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2\02 - D40 - EBO (Ricardo)\RTE\"/>
    </mc:Choice>
  </mc:AlternateContent>
  <xr:revisionPtr revIDLastSave="0" documentId="13_ncr:1_{6D115B9C-F8CE-4987-AD9B-D0D090C4D880}" xr6:coauthVersionLast="47" xr6:coauthVersionMax="47" xr10:uidLastSave="{00000000-0000-0000-0000-000000000000}"/>
  <bookViews>
    <workbookView xWindow="-120" yWindow="-120" windowWidth="25800" windowHeight="11805" firstSheet="21" activeTab="29" xr2:uid="{D83B2FF7-7AF0-4A43-B2A6-F34D1006563D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Aplicação'!$B$3:$AR$64</definedName>
    <definedName name="DadosExternos_1" localSheetId="28" hidden="1">'TA - BE'!$B$3:$AR$64</definedName>
    <definedName name="DadosExternos_1" localSheetId="29" hidden="1">'TA - CVA'!$B$3:$AR$64</definedName>
  </definedNames>
  <calcPr calcId="191029" iterate="1"/>
  <pivotCaches>
    <pivotCache cacheId="515" r:id="rId31"/>
    <pivotCache cacheId="516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8" i="28"/>
  <c r="J17" i="28"/>
  <c r="J13" i="28"/>
  <c r="J12" i="28"/>
  <c r="J6" i="28"/>
  <c r="J5" i="28"/>
  <c r="I3" i="27"/>
  <c r="I2" i="27" s="1"/>
  <c r="K3" i="27"/>
  <c r="K2" i="27" s="1"/>
  <c r="B2" i="27"/>
  <c r="C2" i="27"/>
  <c r="D2" i="27"/>
  <c r="E2" i="27"/>
  <c r="F2" i="27"/>
  <c r="G2" i="27"/>
  <c r="H2" i="27"/>
  <c r="J2" i="27"/>
  <c r="L2" i="27"/>
  <c r="B11" i="27"/>
  <c r="F50" i="5" l="1"/>
  <c r="P11" i="5" l="1"/>
  <c r="R11" i="5" s="1"/>
  <c r="P10" i="5"/>
  <c r="P9" i="5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F35" i="5" s="1"/>
  <c r="R10" i="5" l="1"/>
  <c r="R9" i="5"/>
  <c r="D35" i="5"/>
  <c r="D30" i="5" s="1"/>
  <c r="E35" i="5"/>
  <c r="J51" i="5"/>
  <c r="D4" i="5" l="1"/>
  <c r="F30" i="5" s="1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B18" i="23"/>
  <c r="AB17" i="23"/>
  <c r="AB16" i="23"/>
  <c r="AB11" i="23"/>
  <c r="AB10" i="23"/>
  <c r="AB9" i="23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R13" i="21"/>
  <c r="X13" i="21" s="1"/>
  <c r="AF13" i="21" s="1"/>
  <c r="AE12" i="21"/>
  <c r="AD12" i="21"/>
  <c r="AE8" i="21"/>
  <c r="AD8" i="21"/>
  <c r="AC8" i="21"/>
  <c r="AB8" i="21"/>
  <c r="AA8" i="21"/>
  <c r="Y8" i="21"/>
  <c r="AG8" i="21" s="1"/>
  <c r="W8" i="21"/>
  <c r="AJ8" i="21" s="1"/>
  <c r="V8" i="21"/>
  <c r="U8" i="21"/>
  <c r="AI8" i="21" s="1"/>
  <c r="T8" i="21"/>
  <c r="S8" i="21"/>
  <c r="R8" i="21"/>
  <c r="AE6" i="21"/>
  <c r="AD6" i="21"/>
  <c r="AC6" i="21"/>
  <c r="AB6" i="21"/>
  <c r="AA6" i="21"/>
  <c r="W6" i="21"/>
  <c r="V6" i="21"/>
  <c r="U6" i="21"/>
  <c r="AI6" i="21" s="1"/>
  <c r="T6" i="21"/>
  <c r="S6" i="21"/>
  <c r="R6" i="21"/>
  <c r="X6" i="21" s="1"/>
  <c r="AE5" i="21"/>
  <c r="AD5" i="21"/>
  <c r="AE4" i="21"/>
  <c r="AD4" i="21"/>
  <c r="AC4" i="21"/>
  <c r="AB4" i="21"/>
  <c r="AA4" i="21"/>
  <c r="W4" i="21"/>
  <c r="AJ4" i="21" s="1"/>
  <c r="V4" i="21"/>
  <c r="U4" i="21"/>
  <c r="AI4" i="21" s="1"/>
  <c r="T4" i="21"/>
  <c r="S4" i="21"/>
  <c r="Y4" i="21" s="1"/>
  <c r="R4" i="21"/>
  <c r="X4" i="21" s="1"/>
  <c r="AF4" i="21" s="1"/>
  <c r="AE3" i="21"/>
  <c r="AD3" i="21"/>
  <c r="AC3" i="21"/>
  <c r="AB3" i="21"/>
  <c r="AA3" i="21"/>
  <c r="W3" i="21"/>
  <c r="V3" i="21"/>
  <c r="U3" i="21"/>
  <c r="T3" i="21"/>
  <c r="S3" i="21"/>
  <c r="Y3" i="21" s="1"/>
  <c r="R3" i="21"/>
  <c r="X3" i="21" s="1"/>
  <c r="J1202" i="21"/>
  <c r="M1202" i="21" s="1"/>
  <c r="J1201" i="21"/>
  <c r="J1200" i="21"/>
  <c r="J1199" i="21"/>
  <c r="J1198" i="21"/>
  <c r="J1197" i="21"/>
  <c r="M1197" i="21" s="1"/>
  <c r="J1196" i="21"/>
  <c r="J1195" i="21"/>
  <c r="M1195" i="21" s="1"/>
  <c r="J1194" i="21"/>
  <c r="J1193" i="21"/>
  <c r="J1192" i="21"/>
  <c r="M1192" i="21" s="1"/>
  <c r="J1191" i="21"/>
  <c r="J1190" i="21"/>
  <c r="M1190" i="21" s="1"/>
  <c r="J688" i="21"/>
  <c r="M688" i="21" s="1"/>
  <c r="J687" i="21"/>
  <c r="J686" i="21"/>
  <c r="M686" i="21" s="1"/>
  <c r="J685" i="21"/>
  <c r="M685" i="21" s="1"/>
  <c r="J684" i="21"/>
  <c r="M684" i="21" s="1"/>
  <c r="J683" i="21"/>
  <c r="J682" i="21"/>
  <c r="J681" i="21"/>
  <c r="M681" i="21" s="1"/>
  <c r="J680" i="21"/>
  <c r="M680" i="21" s="1"/>
  <c r="J679" i="21"/>
  <c r="J678" i="21"/>
  <c r="J677" i="21"/>
  <c r="L676" i="21"/>
  <c r="O676" i="21" s="1"/>
  <c r="K676" i="21"/>
  <c r="L675" i="21"/>
  <c r="O675" i="21" s="1"/>
  <c r="K675" i="21"/>
  <c r="N675" i="21" s="1"/>
  <c r="L674" i="21"/>
  <c r="O674" i="21" s="1"/>
  <c r="K674" i="21"/>
  <c r="L673" i="21"/>
  <c r="K673" i="21"/>
  <c r="N673" i="21" s="1"/>
  <c r="L672" i="21"/>
  <c r="O672" i="21" s="1"/>
  <c r="K672" i="21"/>
  <c r="L671" i="21"/>
  <c r="K671" i="21"/>
  <c r="L670" i="21"/>
  <c r="O670" i="21" s="1"/>
  <c r="K670" i="21"/>
  <c r="L669" i="21"/>
  <c r="O669" i="21" s="1"/>
  <c r="K669" i="21"/>
  <c r="N669" i="21" s="1"/>
  <c r="L668" i="21"/>
  <c r="O668" i="21" s="1"/>
  <c r="K668" i="21"/>
  <c r="L667" i="21"/>
  <c r="K667" i="21"/>
  <c r="N667" i="21" s="1"/>
  <c r="L666" i="21"/>
  <c r="O666" i="21" s="1"/>
  <c r="K666" i="21"/>
  <c r="L665" i="21"/>
  <c r="K665" i="21"/>
  <c r="J664" i="21"/>
  <c r="M664" i="21" s="1"/>
  <c r="J663" i="21"/>
  <c r="J662" i="21"/>
  <c r="M662" i="21" s="1"/>
  <c r="J661" i="21"/>
  <c r="M661" i="21" s="1"/>
  <c r="J660" i="21"/>
  <c r="M660" i="21" s="1"/>
  <c r="J659" i="21"/>
  <c r="J658" i="21"/>
  <c r="J657" i="21"/>
  <c r="M657" i="21" s="1"/>
  <c r="J656" i="21"/>
  <c r="M656" i="21" s="1"/>
  <c r="J655" i="21"/>
  <c r="J654" i="21"/>
  <c r="J653" i="21"/>
  <c r="J652" i="21"/>
  <c r="M652" i="21" s="1"/>
  <c r="J651" i="21"/>
  <c r="J650" i="21"/>
  <c r="M650" i="21" s="1"/>
  <c r="J649" i="21"/>
  <c r="M649" i="21" s="1"/>
  <c r="J648" i="21"/>
  <c r="M648" i="21" s="1"/>
  <c r="J647" i="21"/>
  <c r="J646" i="21"/>
  <c r="J645" i="21"/>
  <c r="M645" i="21" s="1"/>
  <c r="J644" i="21"/>
  <c r="M644" i="21" s="1"/>
  <c r="J643" i="21"/>
  <c r="J642" i="21"/>
  <c r="J641" i="21"/>
  <c r="L640" i="21"/>
  <c r="O640" i="21" s="1"/>
  <c r="K640" i="21"/>
  <c r="L639" i="21"/>
  <c r="O639" i="21" s="1"/>
  <c r="K639" i="21"/>
  <c r="N639" i="21" s="1"/>
  <c r="L638" i="21"/>
  <c r="O638" i="21" s="1"/>
  <c r="K638" i="21"/>
  <c r="L637" i="21"/>
  <c r="K637" i="21"/>
  <c r="N637" i="21" s="1"/>
  <c r="L636" i="21"/>
  <c r="O636" i="21" s="1"/>
  <c r="K636" i="21"/>
  <c r="L635" i="21"/>
  <c r="K635" i="21"/>
  <c r="L634" i="21"/>
  <c r="O634" i="21" s="1"/>
  <c r="K634" i="21"/>
  <c r="L633" i="21"/>
  <c r="O633" i="21" s="1"/>
  <c r="K633" i="21"/>
  <c r="N633" i="21" s="1"/>
  <c r="L632" i="21"/>
  <c r="O632" i="21" s="1"/>
  <c r="K632" i="21"/>
  <c r="L631" i="21"/>
  <c r="K631" i="21"/>
  <c r="N631" i="21" s="1"/>
  <c r="L630" i="21"/>
  <c r="O630" i="21" s="1"/>
  <c r="K630" i="21"/>
  <c r="L629" i="21"/>
  <c r="K629" i="21"/>
  <c r="J628" i="21"/>
  <c r="M628" i="21" s="1"/>
  <c r="J627" i="21"/>
  <c r="J626" i="21"/>
  <c r="M626" i="21" s="1"/>
  <c r="J625" i="21"/>
  <c r="M625" i="21" s="1"/>
  <c r="J624" i="21"/>
  <c r="M624" i="21" s="1"/>
  <c r="J623" i="21"/>
  <c r="J622" i="21"/>
  <c r="J621" i="21"/>
  <c r="M621" i="21" s="1"/>
  <c r="J620" i="21"/>
  <c r="M620" i="21" s="1"/>
  <c r="J619" i="21"/>
  <c r="J618" i="21"/>
  <c r="J617" i="21"/>
  <c r="J1214" i="21"/>
  <c r="M1214" i="21" s="1"/>
  <c r="J1213" i="21"/>
  <c r="M1213" i="21" s="1"/>
  <c r="J1212" i="21"/>
  <c r="M1212" i="21" s="1"/>
  <c r="J1211" i="21"/>
  <c r="M1211" i="21" s="1"/>
  <c r="J1210" i="21"/>
  <c r="M1210" i="21" s="1"/>
  <c r="J1209" i="21"/>
  <c r="M1209" i="21" s="1"/>
  <c r="J1208" i="21"/>
  <c r="M1208" i="21" s="1"/>
  <c r="J1207" i="21"/>
  <c r="M1207" i="21" s="1"/>
  <c r="J1206" i="21"/>
  <c r="M1206" i="21" s="1"/>
  <c r="J1205" i="21"/>
  <c r="M1205" i="21" s="1"/>
  <c r="J1204" i="21"/>
  <c r="M1204" i="21" s="1"/>
  <c r="J1203" i="21"/>
  <c r="M1201" i="21"/>
  <c r="M1200" i="21"/>
  <c r="M1199" i="21"/>
  <c r="M1198" i="21"/>
  <c r="M1196" i="21"/>
  <c r="M1194" i="21"/>
  <c r="M1193" i="21"/>
  <c r="M1191" i="21"/>
  <c r="J1189" i="21"/>
  <c r="M1189" i="21" s="1"/>
  <c r="J1188" i="21"/>
  <c r="M1188" i="21" s="1"/>
  <c r="J1187" i="21"/>
  <c r="M1187" i="21" s="1"/>
  <c r="J1186" i="21"/>
  <c r="M1186" i="21" s="1"/>
  <c r="J1185" i="21"/>
  <c r="M1185" i="21" s="1"/>
  <c r="J1184" i="21"/>
  <c r="M1184" i="21" s="1"/>
  <c r="J1183" i="21"/>
  <c r="M1183" i="21" s="1"/>
  <c r="J1182" i="21"/>
  <c r="M1182" i="21" s="1"/>
  <c r="J1181" i="21"/>
  <c r="M1181" i="21" s="1"/>
  <c r="J1180" i="21"/>
  <c r="M1180" i="21" s="1"/>
  <c r="J1179" i="21"/>
  <c r="M1179" i="21" s="1"/>
  <c r="J1178" i="21"/>
  <c r="M1178" i="21" s="1"/>
  <c r="M1177" i="21"/>
  <c r="J1177" i="21"/>
  <c r="J1176" i="21"/>
  <c r="M1176" i="21" s="1"/>
  <c r="M1175" i="21"/>
  <c r="J1175" i="21"/>
  <c r="J1174" i="21"/>
  <c r="M1174" i="21" s="1"/>
  <c r="J1173" i="21"/>
  <c r="M1173" i="21" s="1"/>
  <c r="J1172" i="21"/>
  <c r="M1172" i="21" s="1"/>
  <c r="M1171" i="21"/>
  <c r="J1171" i="21"/>
  <c r="J1170" i="21"/>
  <c r="M1170" i="21" s="1"/>
  <c r="M1169" i="21"/>
  <c r="J1169" i="21"/>
  <c r="J1168" i="21"/>
  <c r="M1168" i="21" s="1"/>
  <c r="M1167" i="21"/>
  <c r="J1167" i="21"/>
  <c r="J1166" i="21"/>
  <c r="M1166" i="21" s="1"/>
  <c r="J1165" i="21"/>
  <c r="M1165" i="21" s="1"/>
  <c r="J1164" i="21"/>
  <c r="M1164" i="21" s="1"/>
  <c r="J1163" i="21"/>
  <c r="M1163" i="21" s="1"/>
  <c r="J1162" i="21"/>
  <c r="M1162" i="21" s="1"/>
  <c r="M1161" i="21"/>
  <c r="J1161" i="21"/>
  <c r="J1160" i="21"/>
  <c r="M1160" i="21" s="1"/>
  <c r="M1159" i="21"/>
  <c r="J1159" i="21"/>
  <c r="J1158" i="21"/>
  <c r="M1158" i="21" s="1"/>
  <c r="M1157" i="21"/>
  <c r="J1157" i="21"/>
  <c r="J1156" i="21"/>
  <c r="M1156" i="21" s="1"/>
  <c r="J1155" i="21"/>
  <c r="M1155" i="21" s="1"/>
  <c r="J1154" i="21"/>
  <c r="M1154" i="21" s="1"/>
  <c r="M1153" i="21"/>
  <c r="J1153" i="21"/>
  <c r="J1152" i="21"/>
  <c r="M1152" i="21" s="1"/>
  <c r="M1151" i="21"/>
  <c r="J1151" i="21"/>
  <c r="J1150" i="21"/>
  <c r="M1150" i="21" s="1"/>
  <c r="J1149" i="21"/>
  <c r="M1149" i="21" s="1"/>
  <c r="J1148" i="21"/>
  <c r="M1148" i="21" s="1"/>
  <c r="M1147" i="21"/>
  <c r="J1147" i="21"/>
  <c r="J1146" i="21"/>
  <c r="M1146" i="21" s="1"/>
  <c r="M1145" i="21"/>
  <c r="J1145" i="21"/>
  <c r="J1144" i="21"/>
  <c r="M1144" i="21" s="1"/>
  <c r="M1143" i="21"/>
  <c r="J1143" i="21"/>
  <c r="J1142" i="21"/>
  <c r="M1142" i="21" s="1"/>
  <c r="J1141" i="21"/>
  <c r="M1141" i="21" s="1"/>
  <c r="J1140" i="21"/>
  <c r="M1140" i="21" s="1"/>
  <c r="J1139" i="21"/>
  <c r="M1139" i="21" s="1"/>
  <c r="J1138" i="21"/>
  <c r="M1138" i="21" s="1"/>
  <c r="M1137" i="21"/>
  <c r="J1137" i="21"/>
  <c r="J1136" i="21"/>
  <c r="M1136" i="21" s="1"/>
  <c r="M1135" i="21"/>
  <c r="J1135" i="21"/>
  <c r="J1134" i="21"/>
  <c r="M1134" i="21" s="1"/>
  <c r="J1133" i="21"/>
  <c r="M1133" i="21" s="1"/>
  <c r="J1132" i="21"/>
  <c r="M1132" i="21" s="1"/>
  <c r="J1131" i="21"/>
  <c r="M1131" i="21" s="1"/>
  <c r="J1130" i="21"/>
  <c r="M1130" i="21" s="1"/>
  <c r="M1129" i="21"/>
  <c r="J1129" i="21"/>
  <c r="J1128" i="21"/>
  <c r="M1128" i="21" s="1"/>
  <c r="J1127" i="21"/>
  <c r="M1127" i="21" s="1"/>
  <c r="J1126" i="21"/>
  <c r="M1126" i="21" s="1"/>
  <c r="M1125" i="21"/>
  <c r="J1125" i="21"/>
  <c r="J1124" i="21"/>
  <c r="M1124" i="21" s="1"/>
  <c r="J1123" i="21"/>
  <c r="M1123" i="21" s="1"/>
  <c r="J1122" i="21"/>
  <c r="M1122" i="21" s="1"/>
  <c r="J1121" i="21"/>
  <c r="M1121" i="21" s="1"/>
  <c r="J1120" i="21"/>
  <c r="M1120" i="21" s="1"/>
  <c r="J1119" i="21"/>
  <c r="M1119" i="21" s="1"/>
  <c r="J1118" i="21"/>
  <c r="M1118" i="21" s="1"/>
  <c r="M1117" i="21"/>
  <c r="J1117" i="21"/>
  <c r="J1116" i="21"/>
  <c r="M1116" i="21" s="1"/>
  <c r="J1115" i="21"/>
  <c r="M1115" i="21" s="1"/>
  <c r="J1114" i="21"/>
  <c r="M1114" i="21" s="1"/>
  <c r="J1113" i="21"/>
  <c r="M1113" i="21" s="1"/>
  <c r="J1112" i="21"/>
  <c r="M1112" i="21" s="1"/>
  <c r="J1111" i="21"/>
  <c r="M1111" i="21" s="1"/>
  <c r="J1110" i="21"/>
  <c r="M1110" i="21" s="1"/>
  <c r="M1109" i="21"/>
  <c r="J1109" i="21"/>
  <c r="J1108" i="21"/>
  <c r="M1108" i="21" s="1"/>
  <c r="J1107" i="21"/>
  <c r="M1107" i="21" s="1"/>
  <c r="J1106" i="21"/>
  <c r="M1106" i="21" s="1"/>
  <c r="J1105" i="21"/>
  <c r="M1105" i="21" s="1"/>
  <c r="J1104" i="21"/>
  <c r="M1104" i="21" s="1"/>
  <c r="J1103" i="21"/>
  <c r="M1103" i="21" s="1"/>
  <c r="J1102" i="21"/>
  <c r="M1102" i="21" s="1"/>
  <c r="M1101" i="21"/>
  <c r="J1101" i="21"/>
  <c r="J1100" i="21"/>
  <c r="M1100" i="21" s="1"/>
  <c r="J1099" i="21"/>
  <c r="M1099" i="21" s="1"/>
  <c r="J1098" i="21"/>
  <c r="M1098" i="21" s="1"/>
  <c r="J1097" i="21"/>
  <c r="M1097" i="21" s="1"/>
  <c r="J1096" i="21"/>
  <c r="M1096" i="21" s="1"/>
  <c r="J1095" i="21"/>
  <c r="M1095" i="21" s="1"/>
  <c r="J1094" i="21"/>
  <c r="M1094" i="21" s="1"/>
  <c r="M1093" i="21"/>
  <c r="J1093" i="21"/>
  <c r="J1092" i="21"/>
  <c r="M1092" i="21" s="1"/>
  <c r="J1091" i="21"/>
  <c r="M1091" i="21" s="1"/>
  <c r="J1090" i="21"/>
  <c r="M1090" i="21" s="1"/>
  <c r="J1089" i="21"/>
  <c r="M1089" i="21" s="1"/>
  <c r="J1088" i="21"/>
  <c r="M1088" i="21" s="1"/>
  <c r="J1087" i="21"/>
  <c r="M1087" i="21" s="1"/>
  <c r="J1086" i="21"/>
  <c r="M1086" i="21" s="1"/>
  <c r="M1085" i="21"/>
  <c r="J1085" i="21"/>
  <c r="J1084" i="21"/>
  <c r="M1084" i="21" s="1"/>
  <c r="J1083" i="21"/>
  <c r="M1083" i="21" s="1"/>
  <c r="J1082" i="21"/>
  <c r="M1082" i="21" s="1"/>
  <c r="J1081" i="21"/>
  <c r="M1081" i="21" s="1"/>
  <c r="J1080" i="21"/>
  <c r="M1080" i="21" s="1"/>
  <c r="J1079" i="21"/>
  <c r="M1079" i="21" s="1"/>
  <c r="J1078" i="21"/>
  <c r="M1078" i="21" s="1"/>
  <c r="M1077" i="21"/>
  <c r="J1077" i="21"/>
  <c r="J1076" i="21"/>
  <c r="M1076" i="21" s="1"/>
  <c r="J1075" i="21"/>
  <c r="M1075" i="21" s="1"/>
  <c r="J1074" i="21"/>
  <c r="M1074" i="21" s="1"/>
  <c r="J1073" i="21"/>
  <c r="M1073" i="21" s="1"/>
  <c r="J1072" i="21"/>
  <c r="M1072" i="21" s="1"/>
  <c r="J1071" i="21"/>
  <c r="M1071" i="21" s="1"/>
  <c r="J1070" i="21"/>
  <c r="M1070" i="21" s="1"/>
  <c r="M1069" i="21"/>
  <c r="J1069" i="21"/>
  <c r="J1068" i="21"/>
  <c r="M1068" i="21" s="1"/>
  <c r="J1067" i="21"/>
  <c r="M1067" i="21" s="1"/>
  <c r="J1066" i="21"/>
  <c r="M1066" i="21" s="1"/>
  <c r="J1065" i="21"/>
  <c r="M1065" i="21" s="1"/>
  <c r="J1064" i="21"/>
  <c r="M1064" i="21" s="1"/>
  <c r="J1063" i="21"/>
  <c r="M1063" i="21" s="1"/>
  <c r="J1062" i="21"/>
  <c r="M1062" i="21" s="1"/>
  <c r="M1061" i="21"/>
  <c r="J1061" i="21"/>
  <c r="J1060" i="21"/>
  <c r="M1060" i="21" s="1"/>
  <c r="J1059" i="21"/>
  <c r="M1059" i="21" s="1"/>
  <c r="J1058" i="21"/>
  <c r="M1058" i="21" s="1"/>
  <c r="J1057" i="21"/>
  <c r="M1057" i="21" s="1"/>
  <c r="J1056" i="21"/>
  <c r="M1056" i="21" s="1"/>
  <c r="J1055" i="21"/>
  <c r="M1055" i="21" s="1"/>
  <c r="J1054" i="21"/>
  <c r="M1054" i="21" s="1"/>
  <c r="M1053" i="21"/>
  <c r="J1053" i="21"/>
  <c r="J1052" i="21"/>
  <c r="M1052" i="21" s="1"/>
  <c r="J1051" i="21"/>
  <c r="M1051" i="21" s="1"/>
  <c r="J1050" i="21"/>
  <c r="M1050" i="21" s="1"/>
  <c r="J1049" i="21"/>
  <c r="M1049" i="21" s="1"/>
  <c r="J1048" i="21"/>
  <c r="M1048" i="21" s="1"/>
  <c r="J1047" i="21"/>
  <c r="M1047" i="21" s="1"/>
  <c r="J1046" i="21"/>
  <c r="M1046" i="21" s="1"/>
  <c r="M1045" i="21"/>
  <c r="J1045" i="21"/>
  <c r="J1044" i="21"/>
  <c r="M1044" i="21" s="1"/>
  <c r="J1043" i="21"/>
  <c r="M1043" i="21" s="1"/>
  <c r="J1042" i="21"/>
  <c r="M1042" i="21" s="1"/>
  <c r="J1041" i="21"/>
  <c r="M1041" i="21" s="1"/>
  <c r="J1040" i="21"/>
  <c r="M1040" i="21" s="1"/>
  <c r="J1039" i="21"/>
  <c r="M1039" i="21" s="1"/>
  <c r="J1038" i="21"/>
  <c r="M1038" i="21" s="1"/>
  <c r="M1037" i="21"/>
  <c r="J1037" i="21"/>
  <c r="J1036" i="21"/>
  <c r="J1035" i="21"/>
  <c r="M1035" i="21" s="1"/>
  <c r="J1034" i="21"/>
  <c r="M1034" i="21" s="1"/>
  <c r="J1033" i="21"/>
  <c r="M1033" i="21" s="1"/>
  <c r="J1032" i="21"/>
  <c r="M1032" i="21" s="1"/>
  <c r="J1031" i="21"/>
  <c r="M1031" i="21" s="1"/>
  <c r="J1030" i="21"/>
  <c r="M1030" i="21" s="1"/>
  <c r="M1029" i="21"/>
  <c r="J1029" i="21"/>
  <c r="J1028" i="21"/>
  <c r="M1028" i="21" s="1"/>
  <c r="J1027" i="21"/>
  <c r="M1027" i="21" s="1"/>
  <c r="J1026" i="21"/>
  <c r="M1026" i="21" s="1"/>
  <c r="J1025" i="21"/>
  <c r="M1025" i="21" s="1"/>
  <c r="J1024" i="21"/>
  <c r="M1024" i="21" s="1"/>
  <c r="J1023" i="21"/>
  <c r="M1023" i="21" s="1"/>
  <c r="J1022" i="21"/>
  <c r="M1022" i="21" s="1"/>
  <c r="M1021" i="21"/>
  <c r="J1021" i="21"/>
  <c r="J1020" i="21"/>
  <c r="M1020" i="21" s="1"/>
  <c r="M1019" i="21"/>
  <c r="J1019" i="21"/>
  <c r="J1018" i="21"/>
  <c r="M1018" i="21" s="1"/>
  <c r="J1017" i="21"/>
  <c r="M1017" i="21" s="1"/>
  <c r="J1016" i="21"/>
  <c r="M1016" i="21" s="1"/>
  <c r="J1015" i="21"/>
  <c r="M1015" i="21" s="1"/>
  <c r="J1014" i="21"/>
  <c r="M1014" i="21" s="1"/>
  <c r="J1013" i="21"/>
  <c r="M1013" i="21" s="1"/>
  <c r="J1012" i="21"/>
  <c r="M1012" i="21" s="1"/>
  <c r="J1011" i="21"/>
  <c r="M1011" i="21" s="1"/>
  <c r="J1010" i="21"/>
  <c r="M1010" i="21" s="1"/>
  <c r="J1009" i="21"/>
  <c r="M1009" i="21" s="1"/>
  <c r="J1008" i="21"/>
  <c r="M1008" i="21" s="1"/>
  <c r="J1007" i="21"/>
  <c r="M1007" i="21" s="1"/>
  <c r="J1006" i="21"/>
  <c r="M1006" i="21" s="1"/>
  <c r="J1005" i="21"/>
  <c r="M1005" i="21" s="1"/>
  <c r="J1004" i="21"/>
  <c r="M1004" i="21" s="1"/>
  <c r="J1003" i="21"/>
  <c r="M1003" i="21" s="1"/>
  <c r="J1002" i="21"/>
  <c r="M1002" i="21" s="1"/>
  <c r="J1001" i="21"/>
  <c r="M1001" i="21" s="1"/>
  <c r="J1000" i="21"/>
  <c r="M1000" i="21" s="1"/>
  <c r="J999" i="21"/>
  <c r="M999" i="21" s="1"/>
  <c r="J998" i="21"/>
  <c r="M998" i="21" s="1"/>
  <c r="J997" i="21"/>
  <c r="M997" i="21" s="1"/>
  <c r="J996" i="21"/>
  <c r="M996" i="21" s="1"/>
  <c r="J995" i="21"/>
  <c r="M995" i="21" s="1"/>
  <c r="J994" i="21"/>
  <c r="M994" i="21" s="1"/>
  <c r="J993" i="21"/>
  <c r="M993" i="21" s="1"/>
  <c r="J992" i="21"/>
  <c r="M992" i="21" s="1"/>
  <c r="J991" i="21"/>
  <c r="M991" i="21" s="1"/>
  <c r="J990" i="21"/>
  <c r="M990" i="21" s="1"/>
  <c r="J989" i="21"/>
  <c r="M989" i="21" s="1"/>
  <c r="J988" i="21"/>
  <c r="M988" i="21" s="1"/>
  <c r="J987" i="21"/>
  <c r="M987" i="21" s="1"/>
  <c r="J986" i="21"/>
  <c r="M986" i="21" s="1"/>
  <c r="J985" i="21"/>
  <c r="M985" i="21" s="1"/>
  <c r="J984" i="21"/>
  <c r="M984" i="21" s="1"/>
  <c r="J983" i="21"/>
  <c r="M983" i="21" s="1"/>
  <c r="J982" i="21"/>
  <c r="M982" i="21" s="1"/>
  <c r="J981" i="21"/>
  <c r="M981" i="21" s="1"/>
  <c r="J980" i="21"/>
  <c r="M980" i="21" s="1"/>
  <c r="J979" i="21"/>
  <c r="M979" i="21" s="1"/>
  <c r="J978" i="21"/>
  <c r="M978" i="21" s="1"/>
  <c r="J977" i="21"/>
  <c r="M977" i="21" s="1"/>
  <c r="J976" i="21"/>
  <c r="M976" i="21" s="1"/>
  <c r="J975" i="21"/>
  <c r="M975" i="21" s="1"/>
  <c r="J974" i="21"/>
  <c r="M974" i="21" s="1"/>
  <c r="J973" i="21"/>
  <c r="M973" i="21" s="1"/>
  <c r="J972" i="21"/>
  <c r="M972" i="21" s="1"/>
  <c r="J971" i="21"/>
  <c r="M971" i="21" s="1"/>
  <c r="J970" i="21"/>
  <c r="M970" i="21" s="1"/>
  <c r="J969" i="21"/>
  <c r="M969" i="21" s="1"/>
  <c r="J968" i="21"/>
  <c r="M968" i="21" s="1"/>
  <c r="J967" i="21"/>
  <c r="M967" i="21" s="1"/>
  <c r="J966" i="21"/>
  <c r="M966" i="21" s="1"/>
  <c r="J965" i="21"/>
  <c r="M965" i="21" s="1"/>
  <c r="J964" i="21"/>
  <c r="M964" i="21" s="1"/>
  <c r="J963" i="21"/>
  <c r="M963" i="21" s="1"/>
  <c r="J962" i="21"/>
  <c r="M962" i="21" s="1"/>
  <c r="J961" i="21"/>
  <c r="M961" i="21" s="1"/>
  <c r="J960" i="21"/>
  <c r="M960" i="21" s="1"/>
  <c r="J959" i="21"/>
  <c r="M959" i="21" s="1"/>
  <c r="J958" i="21"/>
  <c r="M958" i="21" s="1"/>
  <c r="J957" i="21"/>
  <c r="M957" i="21" s="1"/>
  <c r="J956" i="21"/>
  <c r="M956" i="21" s="1"/>
  <c r="J955" i="21"/>
  <c r="M955" i="21" s="1"/>
  <c r="J954" i="21"/>
  <c r="M954" i="21" s="1"/>
  <c r="J953" i="21"/>
  <c r="M953" i="21" s="1"/>
  <c r="J952" i="21"/>
  <c r="M952" i="21" s="1"/>
  <c r="J951" i="21"/>
  <c r="M951" i="21" s="1"/>
  <c r="J950" i="21"/>
  <c r="M950" i="21" s="1"/>
  <c r="J949" i="21"/>
  <c r="M949" i="21" s="1"/>
  <c r="J948" i="21"/>
  <c r="M948" i="21" s="1"/>
  <c r="J947" i="21"/>
  <c r="M947" i="21" s="1"/>
  <c r="J946" i="21"/>
  <c r="M946" i="21" s="1"/>
  <c r="J945" i="21"/>
  <c r="M945" i="21" s="1"/>
  <c r="J944" i="21"/>
  <c r="M944" i="21" s="1"/>
  <c r="J943" i="21"/>
  <c r="M943" i="21" s="1"/>
  <c r="J942" i="21"/>
  <c r="M942" i="21" s="1"/>
  <c r="J936" i="21"/>
  <c r="M936" i="21" s="1"/>
  <c r="J935" i="21"/>
  <c r="M935" i="21" s="1"/>
  <c r="J934" i="21"/>
  <c r="M934" i="21" s="1"/>
  <c r="J924" i="21"/>
  <c r="M924" i="21" s="1"/>
  <c r="J923" i="21"/>
  <c r="M923" i="21" s="1"/>
  <c r="J922" i="21"/>
  <c r="M922" i="21" s="1"/>
  <c r="J912" i="21"/>
  <c r="M912" i="21" s="1"/>
  <c r="J911" i="21"/>
  <c r="M911" i="21" s="1"/>
  <c r="J910" i="21"/>
  <c r="M910" i="21" s="1"/>
  <c r="J905" i="21"/>
  <c r="M905" i="21" s="1"/>
  <c r="J904" i="21"/>
  <c r="M904" i="21" s="1"/>
  <c r="J903" i="21"/>
  <c r="M903" i="21" s="1"/>
  <c r="J902" i="21"/>
  <c r="M902" i="21" s="1"/>
  <c r="J901" i="21"/>
  <c r="M901" i="21" s="1"/>
  <c r="J900" i="21"/>
  <c r="M900" i="21" s="1"/>
  <c r="J899" i="21"/>
  <c r="M899" i="21" s="1"/>
  <c r="J898" i="21"/>
  <c r="M898" i="21" s="1"/>
  <c r="J897" i="21"/>
  <c r="M897" i="21" s="1"/>
  <c r="J896" i="21"/>
  <c r="M896" i="21" s="1"/>
  <c r="J895" i="21"/>
  <c r="M895" i="21" s="1"/>
  <c r="J894" i="21"/>
  <c r="M894" i="21" s="1"/>
  <c r="J893" i="21"/>
  <c r="M893" i="21" s="1"/>
  <c r="J892" i="21"/>
  <c r="M892" i="21" s="1"/>
  <c r="J891" i="21"/>
  <c r="M891" i="21" s="1"/>
  <c r="J890" i="21"/>
  <c r="M890" i="21" s="1"/>
  <c r="J889" i="21"/>
  <c r="M889" i="21" s="1"/>
  <c r="J888" i="21"/>
  <c r="M888" i="21" s="1"/>
  <c r="J887" i="21"/>
  <c r="M887" i="21" s="1"/>
  <c r="J886" i="21"/>
  <c r="M886" i="21" s="1"/>
  <c r="J885" i="21"/>
  <c r="M885" i="21" s="1"/>
  <c r="J884" i="21"/>
  <c r="M884" i="21" s="1"/>
  <c r="J883" i="21"/>
  <c r="M883" i="21" s="1"/>
  <c r="J882" i="21"/>
  <c r="M882" i="21" s="1"/>
  <c r="J881" i="21"/>
  <c r="M881" i="21" s="1"/>
  <c r="J880" i="21"/>
  <c r="M880" i="21" s="1"/>
  <c r="J879" i="21"/>
  <c r="M879" i="21" s="1"/>
  <c r="J878" i="21"/>
  <c r="M878" i="21" s="1"/>
  <c r="J877" i="21"/>
  <c r="M877" i="21" s="1"/>
  <c r="J876" i="21"/>
  <c r="M876" i="21" s="1"/>
  <c r="J875" i="21"/>
  <c r="M875" i="21" s="1"/>
  <c r="J874" i="21"/>
  <c r="M874" i="21" s="1"/>
  <c r="J873" i="21"/>
  <c r="M873" i="21" s="1"/>
  <c r="J872" i="21"/>
  <c r="M872" i="21" s="1"/>
  <c r="J871" i="21"/>
  <c r="M871" i="21" s="1"/>
  <c r="J870" i="21"/>
  <c r="M870" i="21" s="1"/>
  <c r="J869" i="21"/>
  <c r="M869" i="21" s="1"/>
  <c r="J868" i="21"/>
  <c r="M868" i="21" s="1"/>
  <c r="J867" i="21"/>
  <c r="M867" i="21" s="1"/>
  <c r="J866" i="21"/>
  <c r="M866" i="21" s="1"/>
  <c r="J865" i="21"/>
  <c r="M865" i="21" s="1"/>
  <c r="J864" i="21"/>
  <c r="M864" i="21" s="1"/>
  <c r="J863" i="21"/>
  <c r="M863" i="21" s="1"/>
  <c r="J862" i="21"/>
  <c r="M862" i="21" s="1"/>
  <c r="J861" i="21"/>
  <c r="M861" i="21" s="1"/>
  <c r="J860" i="21"/>
  <c r="M860" i="21" s="1"/>
  <c r="J859" i="21"/>
  <c r="M859" i="21" s="1"/>
  <c r="J858" i="21"/>
  <c r="M858" i="21" s="1"/>
  <c r="J857" i="21"/>
  <c r="M857" i="21" s="1"/>
  <c r="J856" i="21"/>
  <c r="M856" i="21" s="1"/>
  <c r="J855" i="21"/>
  <c r="M855" i="21" s="1"/>
  <c r="J854" i="21"/>
  <c r="M854" i="21" s="1"/>
  <c r="J853" i="21"/>
  <c r="M853" i="21" s="1"/>
  <c r="J852" i="21"/>
  <c r="M852" i="21" s="1"/>
  <c r="J851" i="21"/>
  <c r="M851" i="21" s="1"/>
  <c r="J850" i="21"/>
  <c r="M850" i="21" s="1"/>
  <c r="J849" i="21"/>
  <c r="M849" i="21" s="1"/>
  <c r="J848" i="21"/>
  <c r="M848" i="21" s="1"/>
  <c r="J847" i="21"/>
  <c r="M847" i="21" s="1"/>
  <c r="J846" i="21"/>
  <c r="M846" i="21" s="1"/>
  <c r="J845" i="21"/>
  <c r="M845" i="21" s="1"/>
  <c r="J844" i="21"/>
  <c r="M844" i="21" s="1"/>
  <c r="J843" i="21"/>
  <c r="M843" i="21" s="1"/>
  <c r="J842" i="21"/>
  <c r="M842" i="21" s="1"/>
  <c r="J841" i="21"/>
  <c r="M841" i="21" s="1"/>
  <c r="J840" i="21"/>
  <c r="M840" i="21" s="1"/>
  <c r="J839" i="21"/>
  <c r="M839" i="21" s="1"/>
  <c r="J838" i="21"/>
  <c r="M838" i="21" s="1"/>
  <c r="J837" i="21"/>
  <c r="M837" i="21" s="1"/>
  <c r="J836" i="21"/>
  <c r="M836" i="21" s="1"/>
  <c r="J835" i="21"/>
  <c r="M835" i="21" s="1"/>
  <c r="J834" i="21"/>
  <c r="M834" i="21" s="1"/>
  <c r="J833" i="21"/>
  <c r="M833" i="21" s="1"/>
  <c r="J832" i="21"/>
  <c r="M832" i="21" s="1"/>
  <c r="J831" i="21"/>
  <c r="M831" i="21" s="1"/>
  <c r="J830" i="21"/>
  <c r="M830" i="21" s="1"/>
  <c r="J829" i="21"/>
  <c r="M829" i="21" s="1"/>
  <c r="J828" i="21"/>
  <c r="M828" i="21" s="1"/>
  <c r="J827" i="21"/>
  <c r="M827" i="21" s="1"/>
  <c r="J826" i="21"/>
  <c r="M826" i="21" s="1"/>
  <c r="J825" i="21"/>
  <c r="M825" i="21" s="1"/>
  <c r="J824" i="21"/>
  <c r="M824" i="21" s="1"/>
  <c r="J823" i="21"/>
  <c r="M823" i="21" s="1"/>
  <c r="J822" i="21"/>
  <c r="M822" i="21" s="1"/>
  <c r="J821" i="21"/>
  <c r="M821" i="21" s="1"/>
  <c r="J820" i="21"/>
  <c r="M820" i="21" s="1"/>
  <c r="J819" i="21"/>
  <c r="M819" i="21" s="1"/>
  <c r="J818" i="21"/>
  <c r="M818" i="21" s="1"/>
  <c r="J817" i="21"/>
  <c r="M817" i="21" s="1"/>
  <c r="J816" i="21"/>
  <c r="M816" i="21" s="1"/>
  <c r="J815" i="21"/>
  <c r="M815" i="21" s="1"/>
  <c r="J814" i="21"/>
  <c r="M814" i="21" s="1"/>
  <c r="J813" i="21"/>
  <c r="M813" i="21" s="1"/>
  <c r="J812" i="21"/>
  <c r="M812" i="21" s="1"/>
  <c r="J811" i="21"/>
  <c r="M811" i="21" s="1"/>
  <c r="J810" i="21"/>
  <c r="M810" i="21" s="1"/>
  <c r="J809" i="21"/>
  <c r="M809" i="21" s="1"/>
  <c r="J808" i="21"/>
  <c r="M808" i="21" s="1"/>
  <c r="J807" i="21"/>
  <c r="M807" i="21" s="1"/>
  <c r="J806" i="21"/>
  <c r="M806" i="21" s="1"/>
  <c r="J805" i="21"/>
  <c r="M805" i="21" s="1"/>
  <c r="J804" i="21"/>
  <c r="M804" i="21" s="1"/>
  <c r="J803" i="21"/>
  <c r="M803" i="21" s="1"/>
  <c r="J802" i="21"/>
  <c r="M802" i="21" s="1"/>
  <c r="J801" i="21"/>
  <c r="M801" i="21" s="1"/>
  <c r="J800" i="21"/>
  <c r="M800" i="21" s="1"/>
  <c r="J799" i="21"/>
  <c r="M799" i="21" s="1"/>
  <c r="J798" i="21"/>
  <c r="M798" i="21" s="1"/>
  <c r="J797" i="21"/>
  <c r="M797" i="21" s="1"/>
  <c r="J796" i="21"/>
  <c r="M796" i="21" s="1"/>
  <c r="J795" i="21"/>
  <c r="M795" i="21" s="1"/>
  <c r="J794" i="21"/>
  <c r="M794" i="21" s="1"/>
  <c r="J793" i="21"/>
  <c r="M793" i="21" s="1"/>
  <c r="J792" i="21"/>
  <c r="M792" i="21" s="1"/>
  <c r="J791" i="21"/>
  <c r="M791" i="21" s="1"/>
  <c r="J790" i="21"/>
  <c r="M790" i="21" s="1"/>
  <c r="J789" i="21"/>
  <c r="M789" i="21" s="1"/>
  <c r="J788" i="21"/>
  <c r="M788" i="21" s="1"/>
  <c r="J787" i="21"/>
  <c r="M787" i="21" s="1"/>
  <c r="J786" i="21"/>
  <c r="M786" i="21" s="1"/>
  <c r="J785" i="21"/>
  <c r="M785" i="21" s="1"/>
  <c r="J784" i="21"/>
  <c r="M784" i="21" s="1"/>
  <c r="J783" i="21"/>
  <c r="M783" i="21" s="1"/>
  <c r="J782" i="21"/>
  <c r="M782" i="21" s="1"/>
  <c r="J781" i="21"/>
  <c r="M781" i="21" s="1"/>
  <c r="J780" i="21"/>
  <c r="M780" i="21" s="1"/>
  <c r="J779" i="21"/>
  <c r="M779" i="21" s="1"/>
  <c r="J778" i="21"/>
  <c r="M778" i="21" s="1"/>
  <c r="J777" i="21"/>
  <c r="M777" i="21" s="1"/>
  <c r="J776" i="21"/>
  <c r="M776" i="21" s="1"/>
  <c r="J775" i="21"/>
  <c r="M775" i="21" s="1"/>
  <c r="J774" i="21"/>
  <c r="M774" i="21" s="1"/>
  <c r="J773" i="21"/>
  <c r="M773" i="21" s="1"/>
  <c r="J772" i="21"/>
  <c r="M772" i="21" s="1"/>
  <c r="J771" i="21"/>
  <c r="M771" i="21" s="1"/>
  <c r="J770" i="21"/>
  <c r="M770" i="21" s="1"/>
  <c r="J769" i="21"/>
  <c r="M769" i="21" s="1"/>
  <c r="J768" i="21"/>
  <c r="M768" i="21" s="1"/>
  <c r="J767" i="21"/>
  <c r="M767" i="21" s="1"/>
  <c r="J766" i="21"/>
  <c r="M766" i="21" s="1"/>
  <c r="J765" i="21"/>
  <c r="M765" i="21" s="1"/>
  <c r="J764" i="21"/>
  <c r="M764" i="21" s="1"/>
  <c r="J763" i="21"/>
  <c r="M763" i="21" s="1"/>
  <c r="J762" i="21"/>
  <c r="M762" i="21" s="1"/>
  <c r="J761" i="21"/>
  <c r="M761" i="21" s="1"/>
  <c r="J760" i="21"/>
  <c r="M760" i="21" s="1"/>
  <c r="J759" i="21"/>
  <c r="M759" i="21" s="1"/>
  <c r="J758" i="21"/>
  <c r="M758" i="21" s="1"/>
  <c r="J757" i="21"/>
  <c r="M757" i="21" s="1"/>
  <c r="J756" i="21"/>
  <c r="M756" i="21" s="1"/>
  <c r="J755" i="21"/>
  <c r="M755" i="21" s="1"/>
  <c r="J754" i="21"/>
  <c r="M754" i="21" s="1"/>
  <c r="J753" i="21"/>
  <c r="M753" i="21" s="1"/>
  <c r="M752" i="21"/>
  <c r="J752" i="21"/>
  <c r="M751" i="21"/>
  <c r="J751" i="21"/>
  <c r="J750" i="21"/>
  <c r="M750" i="21" s="1"/>
  <c r="M749" i="21"/>
  <c r="J749" i="21"/>
  <c r="J748" i="21"/>
  <c r="M748" i="21" s="1"/>
  <c r="J747" i="21"/>
  <c r="M747" i="21" s="1"/>
  <c r="M746" i="21"/>
  <c r="J746" i="21"/>
  <c r="M745" i="21"/>
  <c r="J745" i="21"/>
  <c r="J744" i="21"/>
  <c r="M744" i="21" s="1"/>
  <c r="J743" i="21"/>
  <c r="M743" i="21" s="1"/>
  <c r="J742" i="21"/>
  <c r="M742" i="21" s="1"/>
  <c r="J741" i="21"/>
  <c r="M741" i="21" s="1"/>
  <c r="M740" i="21"/>
  <c r="J740" i="21"/>
  <c r="M739" i="21"/>
  <c r="J739" i="21"/>
  <c r="J738" i="21"/>
  <c r="M738" i="21" s="1"/>
  <c r="M737" i="21"/>
  <c r="J737" i="21"/>
  <c r="J736" i="21"/>
  <c r="M736" i="21" s="1"/>
  <c r="J735" i="21"/>
  <c r="M735" i="21" s="1"/>
  <c r="M734" i="21"/>
  <c r="J734" i="21"/>
  <c r="M733" i="21"/>
  <c r="J733" i="21"/>
  <c r="J732" i="21"/>
  <c r="M732" i="21" s="1"/>
  <c r="J731" i="21"/>
  <c r="M731" i="21" s="1"/>
  <c r="J730" i="21"/>
  <c r="M730" i="21" s="1"/>
  <c r="J729" i="21"/>
  <c r="M729" i="21" s="1"/>
  <c r="M728" i="21"/>
  <c r="J728" i="21"/>
  <c r="M727" i="21"/>
  <c r="J727" i="21"/>
  <c r="J726" i="21"/>
  <c r="M726" i="21" s="1"/>
  <c r="M725" i="21"/>
  <c r="J725" i="21"/>
  <c r="J724" i="21"/>
  <c r="M724" i="21" s="1"/>
  <c r="J723" i="21"/>
  <c r="M723" i="21" s="1"/>
  <c r="M722" i="21"/>
  <c r="J722" i="21"/>
  <c r="M721" i="21"/>
  <c r="J721" i="21"/>
  <c r="J720" i="21"/>
  <c r="M720" i="21" s="1"/>
  <c r="J719" i="21"/>
  <c r="M719" i="21" s="1"/>
  <c r="J718" i="21"/>
  <c r="M718" i="21" s="1"/>
  <c r="J717" i="21"/>
  <c r="M717" i="21" s="1"/>
  <c r="M716" i="21"/>
  <c r="J716" i="21"/>
  <c r="M715" i="21"/>
  <c r="J715" i="21"/>
  <c r="J714" i="21"/>
  <c r="M714" i="21" s="1"/>
  <c r="M713" i="21"/>
  <c r="J713" i="21"/>
  <c r="J712" i="21"/>
  <c r="M712" i="21" s="1"/>
  <c r="J711" i="21"/>
  <c r="M711" i="21" s="1"/>
  <c r="M710" i="21"/>
  <c r="J710" i="21"/>
  <c r="M709" i="21"/>
  <c r="J709" i="21"/>
  <c r="J708" i="21"/>
  <c r="M708" i="21" s="1"/>
  <c r="J707" i="21"/>
  <c r="M707" i="21" s="1"/>
  <c r="J706" i="21"/>
  <c r="M706" i="21" s="1"/>
  <c r="J705" i="21"/>
  <c r="M705" i="21" s="1"/>
  <c r="M704" i="21"/>
  <c r="J704" i="21"/>
  <c r="M703" i="21"/>
  <c r="J703" i="21"/>
  <c r="J702" i="21"/>
  <c r="M702" i="21" s="1"/>
  <c r="M701" i="21"/>
  <c r="J701" i="21"/>
  <c r="J700" i="21"/>
  <c r="M700" i="21" s="1"/>
  <c r="J699" i="21"/>
  <c r="M699" i="21" s="1"/>
  <c r="M698" i="21"/>
  <c r="J698" i="21"/>
  <c r="M697" i="21"/>
  <c r="J697" i="21"/>
  <c r="J696" i="21"/>
  <c r="M696" i="21" s="1"/>
  <c r="J695" i="21"/>
  <c r="M695" i="21" s="1"/>
  <c r="J694" i="21"/>
  <c r="M694" i="21" s="1"/>
  <c r="J693" i="21"/>
  <c r="M693" i="21" s="1"/>
  <c r="M692" i="21"/>
  <c r="J692" i="21"/>
  <c r="M691" i="21"/>
  <c r="J691" i="21"/>
  <c r="J690" i="21"/>
  <c r="M690" i="21" s="1"/>
  <c r="M689" i="21"/>
  <c r="U9" i="21" s="1"/>
  <c r="J689" i="21"/>
  <c r="M687" i="21"/>
  <c r="M683" i="21"/>
  <c r="M682" i="21"/>
  <c r="M679" i="21"/>
  <c r="M678" i="21"/>
  <c r="M677" i="21"/>
  <c r="N676" i="21"/>
  <c r="N674" i="21"/>
  <c r="O673" i="21"/>
  <c r="N672" i="21"/>
  <c r="O671" i="21"/>
  <c r="N671" i="21"/>
  <c r="N670" i="21"/>
  <c r="N668" i="21"/>
  <c r="O667" i="21"/>
  <c r="N666" i="21"/>
  <c r="O665" i="21"/>
  <c r="N665" i="21"/>
  <c r="M663" i="21"/>
  <c r="M659" i="21"/>
  <c r="M658" i="21"/>
  <c r="M655" i="21"/>
  <c r="M654" i="21"/>
  <c r="M653" i="21"/>
  <c r="M651" i="21"/>
  <c r="M647" i="21"/>
  <c r="M646" i="21"/>
  <c r="M643" i="21"/>
  <c r="M642" i="21"/>
  <c r="M641" i="21"/>
  <c r="N640" i="21"/>
  <c r="N638" i="21"/>
  <c r="O637" i="21"/>
  <c r="N636" i="21"/>
  <c r="O635" i="21"/>
  <c r="N635" i="21"/>
  <c r="N634" i="21"/>
  <c r="N632" i="21"/>
  <c r="O631" i="21"/>
  <c r="N630" i="21"/>
  <c r="O629" i="21"/>
  <c r="N629" i="21"/>
  <c r="M627" i="21"/>
  <c r="M623" i="21"/>
  <c r="M622" i="21"/>
  <c r="M619" i="21"/>
  <c r="M618" i="21"/>
  <c r="M617" i="21"/>
  <c r="J616" i="21"/>
  <c r="M616" i="21" s="1"/>
  <c r="J615" i="21"/>
  <c r="M615" i="21" s="1"/>
  <c r="M614" i="21"/>
  <c r="J614" i="21"/>
  <c r="M613" i="21"/>
  <c r="J613" i="21"/>
  <c r="J612" i="21"/>
  <c r="M612" i="21" s="1"/>
  <c r="J611" i="21"/>
  <c r="M611" i="21" s="1"/>
  <c r="J610" i="21"/>
  <c r="M610" i="21" s="1"/>
  <c r="J609" i="21"/>
  <c r="M609" i="21" s="1"/>
  <c r="M608" i="21"/>
  <c r="J608" i="21"/>
  <c r="M607" i="21"/>
  <c r="J607" i="21"/>
  <c r="J606" i="21"/>
  <c r="M606" i="21" s="1"/>
  <c r="M605" i="21"/>
  <c r="J605" i="21"/>
  <c r="J604" i="21"/>
  <c r="M604" i="21" s="1"/>
  <c r="J603" i="21"/>
  <c r="M603" i="21" s="1"/>
  <c r="M602" i="21"/>
  <c r="J602" i="21"/>
  <c r="M601" i="21"/>
  <c r="J601" i="21"/>
  <c r="J600" i="21"/>
  <c r="M600" i="21" s="1"/>
  <c r="J599" i="21"/>
  <c r="M599" i="21" s="1"/>
  <c r="J598" i="21"/>
  <c r="M598" i="21" s="1"/>
  <c r="J597" i="21"/>
  <c r="M597" i="21" s="1"/>
  <c r="M596" i="21"/>
  <c r="J596" i="21"/>
  <c r="M595" i="21"/>
  <c r="J595" i="21"/>
  <c r="J594" i="21"/>
  <c r="M594" i="21" s="1"/>
  <c r="M593" i="21"/>
  <c r="J593" i="21"/>
  <c r="L592" i="21"/>
  <c r="O592" i="21" s="1"/>
  <c r="K592" i="21"/>
  <c r="N592" i="21" s="1"/>
  <c r="L591" i="21"/>
  <c r="O591" i="21" s="1"/>
  <c r="K591" i="21"/>
  <c r="N591" i="21" s="1"/>
  <c r="L590" i="21"/>
  <c r="O590" i="21" s="1"/>
  <c r="K590" i="21"/>
  <c r="N590" i="21" s="1"/>
  <c r="O589" i="21"/>
  <c r="N589" i="21"/>
  <c r="L589" i="21"/>
  <c r="K589" i="21"/>
  <c r="L588" i="21"/>
  <c r="O588" i="21" s="1"/>
  <c r="K588" i="21"/>
  <c r="N588" i="21" s="1"/>
  <c r="O587" i="21"/>
  <c r="N587" i="21"/>
  <c r="L587" i="21"/>
  <c r="K587" i="21"/>
  <c r="O586" i="21"/>
  <c r="L586" i="21"/>
  <c r="K586" i="21"/>
  <c r="N586" i="21" s="1"/>
  <c r="N585" i="21"/>
  <c r="L585" i="21"/>
  <c r="O585" i="21" s="1"/>
  <c r="K585" i="21"/>
  <c r="O584" i="21"/>
  <c r="L584" i="21"/>
  <c r="K584" i="21"/>
  <c r="N584" i="21" s="1"/>
  <c r="L583" i="21"/>
  <c r="O583" i="21" s="1"/>
  <c r="K583" i="21"/>
  <c r="N583" i="21" s="1"/>
  <c r="O582" i="21"/>
  <c r="L582" i="21"/>
  <c r="K582" i="21"/>
  <c r="N582" i="21" s="1"/>
  <c r="L581" i="21"/>
  <c r="O581" i="21" s="1"/>
  <c r="K581" i="21"/>
  <c r="N581" i="21" s="1"/>
  <c r="O580" i="21"/>
  <c r="L580" i="21"/>
  <c r="K580" i="21"/>
  <c r="N580" i="21" s="1"/>
  <c r="N579" i="21"/>
  <c r="L579" i="21"/>
  <c r="O579" i="21" s="1"/>
  <c r="K579" i="21"/>
  <c r="O578" i="21"/>
  <c r="L578" i="21"/>
  <c r="K578" i="21"/>
  <c r="N578" i="21" s="1"/>
  <c r="N577" i="21"/>
  <c r="L577" i="21"/>
  <c r="O577" i="21" s="1"/>
  <c r="K577" i="21"/>
  <c r="L576" i="21"/>
  <c r="O576" i="21" s="1"/>
  <c r="K576" i="21"/>
  <c r="N576" i="21" s="1"/>
  <c r="O575" i="21"/>
  <c r="L575" i="21"/>
  <c r="K575" i="21"/>
  <c r="N575" i="21" s="1"/>
  <c r="L574" i="21"/>
  <c r="O574" i="21" s="1"/>
  <c r="K574" i="21"/>
  <c r="N574" i="21" s="1"/>
  <c r="O573" i="21"/>
  <c r="L573" i="21"/>
  <c r="K573" i="21"/>
  <c r="N573" i="21" s="1"/>
  <c r="L572" i="21"/>
  <c r="O572" i="21" s="1"/>
  <c r="K572" i="21"/>
  <c r="N572" i="21" s="1"/>
  <c r="O571" i="21"/>
  <c r="L571" i="21"/>
  <c r="K571" i="21"/>
  <c r="N571" i="21" s="1"/>
  <c r="L570" i="21"/>
  <c r="O570" i="21" s="1"/>
  <c r="K570" i="21"/>
  <c r="N570" i="21" s="1"/>
  <c r="N569" i="21"/>
  <c r="L569" i="21"/>
  <c r="O569" i="21" s="1"/>
  <c r="K569" i="21"/>
  <c r="L568" i="21"/>
  <c r="O568" i="21" s="1"/>
  <c r="K568" i="21"/>
  <c r="N568" i="21" s="1"/>
  <c r="J567" i="21"/>
  <c r="M567" i="21" s="1"/>
  <c r="J566" i="21"/>
  <c r="M566" i="21" s="1"/>
  <c r="J565" i="21"/>
  <c r="M565" i="21" s="1"/>
  <c r="J564" i="21"/>
  <c r="M564" i="21" s="1"/>
  <c r="M563" i="21"/>
  <c r="J563" i="21"/>
  <c r="M562" i="21"/>
  <c r="J562" i="21"/>
  <c r="J561" i="21"/>
  <c r="M561" i="21" s="1"/>
  <c r="J560" i="21"/>
  <c r="M560" i="21" s="1"/>
  <c r="J559" i="21"/>
  <c r="M559" i="21" s="1"/>
  <c r="J558" i="21"/>
  <c r="M558" i="21" s="1"/>
  <c r="M557" i="21"/>
  <c r="J557" i="21"/>
  <c r="M556" i="21"/>
  <c r="J556" i="21"/>
  <c r="J555" i="21"/>
  <c r="M555" i="21" s="1"/>
  <c r="J554" i="21"/>
  <c r="M554" i="21" s="1"/>
  <c r="J553" i="21"/>
  <c r="M553" i="21" s="1"/>
  <c r="J552" i="21"/>
  <c r="M552" i="21" s="1"/>
  <c r="M551" i="21"/>
  <c r="J551" i="21"/>
  <c r="M550" i="21"/>
  <c r="J550" i="21"/>
  <c r="J549" i="21"/>
  <c r="M549" i="21" s="1"/>
  <c r="J548" i="21"/>
  <c r="M548" i="21" s="1"/>
  <c r="J547" i="21"/>
  <c r="M547" i="21" s="1"/>
  <c r="M546" i="21"/>
  <c r="J546" i="21"/>
  <c r="M545" i="21"/>
  <c r="J545" i="21"/>
  <c r="M544" i="21"/>
  <c r="J544" i="21"/>
  <c r="L543" i="21"/>
  <c r="O543" i="21" s="1"/>
  <c r="J543" i="21"/>
  <c r="M543" i="21" s="1"/>
  <c r="J542" i="21"/>
  <c r="M542" i="21" s="1"/>
  <c r="J541" i="21"/>
  <c r="M541" i="21" s="1"/>
  <c r="M540" i="21"/>
  <c r="L540" i="21"/>
  <c r="O540" i="21" s="1"/>
  <c r="J540" i="21"/>
  <c r="J539" i="21"/>
  <c r="M539" i="21" s="1"/>
  <c r="M538" i="21"/>
  <c r="J538" i="21"/>
  <c r="O537" i="21"/>
  <c r="L537" i="21"/>
  <c r="J537" i="21"/>
  <c r="M537" i="21" s="1"/>
  <c r="M536" i="21"/>
  <c r="J536" i="21"/>
  <c r="M535" i="21"/>
  <c r="J535" i="21"/>
  <c r="O534" i="21"/>
  <c r="L534" i="21"/>
  <c r="J534" i="21"/>
  <c r="M534" i="21" s="1"/>
  <c r="J533" i="21"/>
  <c r="M533" i="21" s="1"/>
  <c r="J532" i="21"/>
  <c r="M532" i="21" s="1"/>
  <c r="M531" i="21"/>
  <c r="L531" i="21"/>
  <c r="O531" i="21" s="1"/>
  <c r="J531" i="21"/>
  <c r="M530" i="21"/>
  <c r="J530" i="21"/>
  <c r="J529" i="21"/>
  <c r="M529" i="21" s="1"/>
  <c r="O528" i="21"/>
  <c r="M528" i="21"/>
  <c r="L528" i="21"/>
  <c r="J528" i="21"/>
  <c r="J527" i="21"/>
  <c r="M527" i="21" s="1"/>
  <c r="J526" i="21"/>
  <c r="M526" i="21" s="1"/>
  <c r="M525" i="21"/>
  <c r="L525" i="21"/>
  <c r="O525" i="21" s="1"/>
  <c r="J525" i="21"/>
  <c r="M524" i="21"/>
  <c r="J524" i="21"/>
  <c r="M523" i="21"/>
  <c r="J523" i="21"/>
  <c r="L522" i="21"/>
  <c r="O522" i="21" s="1"/>
  <c r="J522" i="21"/>
  <c r="M522" i="21" s="1"/>
  <c r="J521" i="21"/>
  <c r="M521" i="21" s="1"/>
  <c r="J520" i="21"/>
  <c r="M520" i="21" s="1"/>
  <c r="J519" i="21"/>
  <c r="M519" i="21" s="1"/>
  <c r="L518" i="21"/>
  <c r="O518" i="21" s="1"/>
  <c r="J518" i="21"/>
  <c r="M518" i="21" s="1"/>
  <c r="J517" i="21"/>
  <c r="M517" i="21" s="1"/>
  <c r="J516" i="21"/>
  <c r="M516" i="21" s="1"/>
  <c r="L515" i="21"/>
  <c r="O515" i="21" s="1"/>
  <c r="J515" i="21"/>
  <c r="M515" i="21" s="1"/>
  <c r="J514" i="21"/>
  <c r="M514" i="21" s="1"/>
  <c r="J513" i="21"/>
  <c r="M513" i="21" s="1"/>
  <c r="L512" i="21"/>
  <c r="O512" i="21" s="1"/>
  <c r="J512" i="21"/>
  <c r="M512" i="21" s="1"/>
  <c r="J511" i="21"/>
  <c r="M511" i="21" s="1"/>
  <c r="J510" i="21"/>
  <c r="M510" i="21" s="1"/>
  <c r="J509" i="21"/>
  <c r="M509" i="21" s="1"/>
  <c r="L508" i="21"/>
  <c r="O508" i="21" s="1"/>
  <c r="J508" i="21"/>
  <c r="M508" i="21" s="1"/>
  <c r="J507" i="21"/>
  <c r="M507" i="21" s="1"/>
  <c r="J506" i="21"/>
  <c r="M506" i="21" s="1"/>
  <c r="L505" i="21"/>
  <c r="O505" i="21" s="1"/>
  <c r="K505" i="21"/>
  <c r="N505" i="21" s="1"/>
  <c r="N504" i="21"/>
  <c r="L504" i="21"/>
  <c r="O504" i="21" s="1"/>
  <c r="K504" i="21"/>
  <c r="N503" i="21"/>
  <c r="L503" i="21"/>
  <c r="O503" i="21" s="1"/>
  <c r="K503" i="21"/>
  <c r="L502" i="21"/>
  <c r="O502" i="21" s="1"/>
  <c r="K502" i="21"/>
  <c r="N502" i="21" s="1"/>
  <c r="L501" i="21"/>
  <c r="O501" i="21" s="1"/>
  <c r="K501" i="21"/>
  <c r="N501" i="21" s="1"/>
  <c r="N500" i="21"/>
  <c r="L500" i="21"/>
  <c r="O500" i="21" s="1"/>
  <c r="K500" i="21"/>
  <c r="N499" i="21"/>
  <c r="L499" i="21"/>
  <c r="O499" i="21" s="1"/>
  <c r="K499" i="21"/>
  <c r="L498" i="21"/>
  <c r="O498" i="21" s="1"/>
  <c r="K498" i="21"/>
  <c r="N498" i="21" s="1"/>
  <c r="L497" i="21"/>
  <c r="O497" i="21" s="1"/>
  <c r="K497" i="21"/>
  <c r="N497" i="21" s="1"/>
  <c r="N496" i="21"/>
  <c r="L496" i="21"/>
  <c r="O496" i="21" s="1"/>
  <c r="K496" i="21"/>
  <c r="N495" i="21"/>
  <c r="L495" i="21"/>
  <c r="O495" i="21" s="1"/>
  <c r="K495" i="21"/>
  <c r="L494" i="21"/>
  <c r="O494" i="21" s="1"/>
  <c r="K494" i="21"/>
  <c r="N494" i="21" s="1"/>
  <c r="L493" i="21"/>
  <c r="O493" i="21" s="1"/>
  <c r="K493" i="21"/>
  <c r="N493" i="21" s="1"/>
  <c r="N492" i="21"/>
  <c r="L492" i="21"/>
  <c r="O492" i="21" s="1"/>
  <c r="K492" i="21"/>
  <c r="N491" i="21"/>
  <c r="L491" i="21"/>
  <c r="O491" i="21" s="1"/>
  <c r="K491" i="21"/>
  <c r="L490" i="21"/>
  <c r="O490" i="21" s="1"/>
  <c r="K490" i="21"/>
  <c r="N490" i="21" s="1"/>
  <c r="L489" i="21"/>
  <c r="O489" i="21" s="1"/>
  <c r="K489" i="21"/>
  <c r="N489" i="21" s="1"/>
  <c r="N488" i="21"/>
  <c r="L488" i="21"/>
  <c r="O488" i="21" s="1"/>
  <c r="K488" i="21"/>
  <c r="N487" i="21"/>
  <c r="L487" i="21"/>
  <c r="O487" i="21" s="1"/>
  <c r="K487" i="21"/>
  <c r="L486" i="21"/>
  <c r="O486" i="21" s="1"/>
  <c r="K486" i="21"/>
  <c r="N486" i="21" s="1"/>
  <c r="L485" i="21"/>
  <c r="O485" i="21" s="1"/>
  <c r="K485" i="21"/>
  <c r="N485" i="21" s="1"/>
  <c r="N484" i="21"/>
  <c r="L484" i="21"/>
  <c r="O484" i="21" s="1"/>
  <c r="K484" i="21"/>
  <c r="N483" i="21"/>
  <c r="L483" i="21"/>
  <c r="O483" i="21" s="1"/>
  <c r="K483" i="21"/>
  <c r="L482" i="21"/>
  <c r="O482" i="21" s="1"/>
  <c r="K482" i="21"/>
  <c r="N482" i="21" s="1"/>
  <c r="L481" i="21"/>
  <c r="O481" i="21" s="1"/>
  <c r="K481" i="21"/>
  <c r="N481" i="21" s="1"/>
  <c r="N480" i="21"/>
  <c r="L480" i="21"/>
  <c r="O480" i="21" s="1"/>
  <c r="K480" i="21"/>
  <c r="N479" i="21"/>
  <c r="L479" i="21"/>
  <c r="O479" i="21" s="1"/>
  <c r="K479" i="21"/>
  <c r="L478" i="21"/>
  <c r="O478" i="21" s="1"/>
  <c r="K478" i="21"/>
  <c r="N478" i="21" s="1"/>
  <c r="L477" i="21"/>
  <c r="O477" i="21" s="1"/>
  <c r="K477" i="21"/>
  <c r="N477" i="21" s="1"/>
  <c r="N476" i="21"/>
  <c r="L476" i="21"/>
  <c r="O476" i="21" s="1"/>
  <c r="K476" i="21"/>
  <c r="N475" i="21"/>
  <c r="L475" i="21"/>
  <c r="O475" i="21" s="1"/>
  <c r="K475" i="21"/>
  <c r="L474" i="21"/>
  <c r="O474" i="21" s="1"/>
  <c r="K474" i="21"/>
  <c r="N474" i="21" s="1"/>
  <c r="L473" i="21"/>
  <c r="O473" i="21" s="1"/>
  <c r="K473" i="21"/>
  <c r="N473" i="21" s="1"/>
  <c r="N472" i="21"/>
  <c r="L472" i="21"/>
  <c r="O472" i="21" s="1"/>
  <c r="K472" i="21"/>
  <c r="N471" i="21"/>
  <c r="L471" i="21"/>
  <c r="O471" i="21" s="1"/>
  <c r="K471" i="21"/>
  <c r="L470" i="21"/>
  <c r="O470" i="21" s="1"/>
  <c r="K470" i="21"/>
  <c r="N470" i="21" s="1"/>
  <c r="L469" i="21"/>
  <c r="O469" i="21" s="1"/>
  <c r="K469" i="21"/>
  <c r="N469" i="21" s="1"/>
  <c r="L468" i="21"/>
  <c r="O468" i="21" s="1"/>
  <c r="J468" i="21"/>
  <c r="M468" i="21" s="1"/>
  <c r="J467" i="21"/>
  <c r="M467" i="21" s="1"/>
  <c r="J466" i="21"/>
  <c r="M466" i="21" s="1"/>
  <c r="L465" i="21"/>
  <c r="O465" i="21" s="1"/>
  <c r="J465" i="21"/>
  <c r="M465" i="21" s="1"/>
  <c r="J464" i="21"/>
  <c r="M464" i="21" s="1"/>
  <c r="J463" i="21"/>
  <c r="M463" i="21" s="1"/>
  <c r="L462" i="21"/>
  <c r="O462" i="21" s="1"/>
  <c r="J462" i="21"/>
  <c r="M462" i="21" s="1"/>
  <c r="J461" i="21"/>
  <c r="M461" i="21" s="1"/>
  <c r="J460" i="21"/>
  <c r="M460" i="21" s="1"/>
  <c r="L459" i="21"/>
  <c r="O459" i="21" s="1"/>
  <c r="J459" i="21"/>
  <c r="M459" i="21" s="1"/>
  <c r="J458" i="21"/>
  <c r="M458" i="21" s="1"/>
  <c r="J457" i="21"/>
  <c r="M457" i="21" s="1"/>
  <c r="L456" i="21"/>
  <c r="O456" i="21" s="1"/>
  <c r="J456" i="21"/>
  <c r="M456" i="21" s="1"/>
  <c r="J455" i="21"/>
  <c r="M455" i="21" s="1"/>
  <c r="J454" i="21"/>
  <c r="M454" i="21" s="1"/>
  <c r="L453" i="21"/>
  <c r="O453" i="21" s="1"/>
  <c r="J453" i="21"/>
  <c r="M453" i="21" s="1"/>
  <c r="J452" i="21"/>
  <c r="M452" i="21" s="1"/>
  <c r="J451" i="21"/>
  <c r="M451" i="21" s="1"/>
  <c r="L450" i="21"/>
  <c r="O450" i="21" s="1"/>
  <c r="J450" i="21"/>
  <c r="M450" i="21" s="1"/>
  <c r="J449" i="21"/>
  <c r="M449" i="21" s="1"/>
  <c r="J448" i="21"/>
  <c r="M448" i="21" s="1"/>
  <c r="L447" i="21"/>
  <c r="O447" i="21" s="1"/>
  <c r="J447" i="21"/>
  <c r="M447" i="21" s="1"/>
  <c r="J446" i="21"/>
  <c r="M446" i="21" s="1"/>
  <c r="J445" i="21"/>
  <c r="M445" i="21" s="1"/>
  <c r="J444" i="21"/>
  <c r="M444" i="21" s="1"/>
  <c r="L443" i="21"/>
  <c r="O443" i="21" s="1"/>
  <c r="J443" i="21"/>
  <c r="M443" i="21" s="1"/>
  <c r="J442" i="21"/>
  <c r="M442" i="21" s="1"/>
  <c r="J441" i="21"/>
  <c r="M441" i="21" s="1"/>
  <c r="L440" i="21"/>
  <c r="O440" i="21" s="1"/>
  <c r="J440" i="21"/>
  <c r="M440" i="21" s="1"/>
  <c r="J439" i="21"/>
  <c r="M439" i="21" s="1"/>
  <c r="J438" i="21"/>
  <c r="M438" i="21" s="1"/>
  <c r="L437" i="21"/>
  <c r="O437" i="21" s="1"/>
  <c r="J437" i="21"/>
  <c r="M437" i="21" s="1"/>
  <c r="J436" i="21"/>
  <c r="M436" i="21" s="1"/>
  <c r="J435" i="21"/>
  <c r="M435" i="21" s="1"/>
  <c r="J434" i="21"/>
  <c r="M434" i="21" s="1"/>
  <c r="L433" i="21"/>
  <c r="O433" i="21" s="1"/>
  <c r="J433" i="21"/>
  <c r="M433" i="21" s="1"/>
  <c r="J432" i="21"/>
  <c r="M432" i="21" s="1"/>
  <c r="J431" i="21"/>
  <c r="M431" i="21" s="1"/>
  <c r="L430" i="21"/>
  <c r="O430" i="21" s="1"/>
  <c r="J430" i="21"/>
  <c r="M430" i="21" s="1"/>
  <c r="L429" i="21"/>
  <c r="O429" i="21" s="1"/>
  <c r="J429" i="21"/>
  <c r="M429" i="21" s="1"/>
  <c r="L428" i="21"/>
  <c r="O428" i="21" s="1"/>
  <c r="J428" i="21"/>
  <c r="M428" i="21" s="1"/>
  <c r="L427" i="21"/>
  <c r="O427" i="21" s="1"/>
  <c r="J427" i="21"/>
  <c r="M427" i="21" s="1"/>
  <c r="L426" i="21"/>
  <c r="O426" i="21" s="1"/>
  <c r="J426" i="21"/>
  <c r="M426" i="21" s="1"/>
  <c r="L425" i="21"/>
  <c r="O425" i="21" s="1"/>
  <c r="J425" i="21"/>
  <c r="M425" i="21" s="1"/>
  <c r="L424" i="21"/>
  <c r="O424" i="21" s="1"/>
  <c r="J424" i="21"/>
  <c r="M424" i="21" s="1"/>
  <c r="L423" i="21"/>
  <c r="O423" i="21" s="1"/>
  <c r="J423" i="21"/>
  <c r="M423" i="21" s="1"/>
  <c r="L422" i="21"/>
  <c r="O422" i="21" s="1"/>
  <c r="J422" i="21"/>
  <c r="M422" i="21" s="1"/>
  <c r="L421" i="21"/>
  <c r="O421" i="21" s="1"/>
  <c r="J421" i="21"/>
  <c r="M421" i="21" s="1"/>
  <c r="L420" i="21"/>
  <c r="O420" i="21" s="1"/>
  <c r="J420" i="21"/>
  <c r="M420" i="21" s="1"/>
  <c r="L419" i="21"/>
  <c r="O419" i="21" s="1"/>
  <c r="J419" i="21"/>
  <c r="M419" i="21" s="1"/>
  <c r="L418" i="21"/>
  <c r="O418" i="21" s="1"/>
  <c r="K418" i="21"/>
  <c r="N418" i="21" s="1"/>
  <c r="L417" i="21"/>
  <c r="O417" i="21" s="1"/>
  <c r="K417" i="21"/>
  <c r="N417" i="21" s="1"/>
  <c r="N416" i="21"/>
  <c r="L416" i="21"/>
  <c r="O416" i="21" s="1"/>
  <c r="K416" i="21"/>
  <c r="L415" i="21"/>
  <c r="O415" i="21" s="1"/>
  <c r="K415" i="21"/>
  <c r="N415" i="21" s="1"/>
  <c r="L414" i="21"/>
  <c r="O414" i="21" s="1"/>
  <c r="K414" i="21"/>
  <c r="N414" i="21" s="1"/>
  <c r="L413" i="21"/>
  <c r="O413" i="21" s="1"/>
  <c r="K413" i="21"/>
  <c r="N413" i="21" s="1"/>
  <c r="N412" i="21"/>
  <c r="L412" i="21"/>
  <c r="O412" i="21" s="1"/>
  <c r="K412" i="21"/>
  <c r="N411" i="21"/>
  <c r="L411" i="21"/>
  <c r="O411" i="21" s="1"/>
  <c r="K411" i="21"/>
  <c r="L410" i="21"/>
  <c r="O410" i="21" s="1"/>
  <c r="K410" i="21"/>
  <c r="N410" i="21" s="1"/>
  <c r="L409" i="21"/>
  <c r="O409" i="21" s="1"/>
  <c r="K409" i="21"/>
  <c r="N409" i="21" s="1"/>
  <c r="N408" i="21"/>
  <c r="L408" i="21"/>
  <c r="O408" i="21" s="1"/>
  <c r="K408" i="21"/>
  <c r="N407" i="21"/>
  <c r="L407" i="21"/>
  <c r="O407" i="21" s="1"/>
  <c r="K407" i="21"/>
  <c r="L406" i="21"/>
  <c r="O406" i="21" s="1"/>
  <c r="J406" i="21"/>
  <c r="M406" i="21" s="1"/>
  <c r="L405" i="21"/>
  <c r="O405" i="21" s="1"/>
  <c r="J405" i="21"/>
  <c r="M405" i="21" s="1"/>
  <c r="L404" i="21"/>
  <c r="O404" i="21" s="1"/>
  <c r="J404" i="21"/>
  <c r="M404" i="21" s="1"/>
  <c r="L403" i="21"/>
  <c r="O403" i="21" s="1"/>
  <c r="J403" i="21"/>
  <c r="M403" i="21" s="1"/>
  <c r="L402" i="21"/>
  <c r="O402" i="21" s="1"/>
  <c r="J402" i="21"/>
  <c r="M402" i="21" s="1"/>
  <c r="L401" i="21"/>
  <c r="O401" i="21" s="1"/>
  <c r="J401" i="21"/>
  <c r="M401" i="21" s="1"/>
  <c r="L400" i="21"/>
  <c r="O400" i="21" s="1"/>
  <c r="J400" i="21"/>
  <c r="M400" i="21" s="1"/>
  <c r="L399" i="21"/>
  <c r="O399" i="21" s="1"/>
  <c r="J399" i="21"/>
  <c r="M399" i="21" s="1"/>
  <c r="L398" i="21"/>
  <c r="O398" i="21" s="1"/>
  <c r="J398" i="21"/>
  <c r="M398" i="21" s="1"/>
  <c r="L397" i="21"/>
  <c r="O397" i="21" s="1"/>
  <c r="J397" i="21"/>
  <c r="M397" i="21" s="1"/>
  <c r="L396" i="21"/>
  <c r="O396" i="21" s="1"/>
  <c r="J396" i="21"/>
  <c r="M396" i="21" s="1"/>
  <c r="L395" i="21"/>
  <c r="O395" i="21" s="1"/>
  <c r="J395" i="21"/>
  <c r="M395" i="21" s="1"/>
  <c r="J394" i="21"/>
  <c r="M394" i="21" s="1"/>
  <c r="J393" i="21"/>
  <c r="M393" i="21" s="1"/>
  <c r="J392" i="21"/>
  <c r="M392" i="21" s="1"/>
  <c r="J391" i="21"/>
  <c r="M391" i="21" s="1"/>
  <c r="J390" i="21"/>
  <c r="M390" i="21" s="1"/>
  <c r="J389" i="21"/>
  <c r="M389" i="21" s="1"/>
  <c r="J388" i="21"/>
  <c r="M388" i="21" s="1"/>
  <c r="J387" i="21"/>
  <c r="M387" i="21" s="1"/>
  <c r="J386" i="21"/>
  <c r="M386" i="21" s="1"/>
  <c r="J385" i="21"/>
  <c r="M385" i="21" s="1"/>
  <c r="J384" i="21"/>
  <c r="M384" i="21" s="1"/>
  <c r="J383" i="21"/>
  <c r="M383" i="21" s="1"/>
  <c r="L382" i="21"/>
  <c r="O382" i="21" s="1"/>
  <c r="K382" i="21"/>
  <c r="N382" i="21" s="1"/>
  <c r="L381" i="21"/>
  <c r="O381" i="21" s="1"/>
  <c r="K381" i="21"/>
  <c r="N381" i="21" s="1"/>
  <c r="L380" i="21"/>
  <c r="O380" i="21" s="1"/>
  <c r="K380" i="21"/>
  <c r="N380" i="21" s="1"/>
  <c r="L379" i="21"/>
  <c r="O379" i="21" s="1"/>
  <c r="K379" i="21"/>
  <c r="N379" i="21" s="1"/>
  <c r="L378" i="21"/>
  <c r="O378" i="21" s="1"/>
  <c r="K378" i="21"/>
  <c r="N378" i="21" s="1"/>
  <c r="L377" i="21"/>
  <c r="O377" i="21" s="1"/>
  <c r="K377" i="21"/>
  <c r="N377" i="21" s="1"/>
  <c r="L376" i="21"/>
  <c r="O376" i="21" s="1"/>
  <c r="K376" i="21"/>
  <c r="N376" i="21" s="1"/>
  <c r="N375" i="21"/>
  <c r="L375" i="21"/>
  <c r="O375" i="21" s="1"/>
  <c r="K375" i="21"/>
  <c r="L374" i="21"/>
  <c r="O374" i="21" s="1"/>
  <c r="K374" i="21"/>
  <c r="N374" i="21" s="1"/>
  <c r="N373" i="21"/>
  <c r="L373" i="21"/>
  <c r="O373" i="21" s="1"/>
  <c r="K373" i="21"/>
  <c r="L372" i="21"/>
  <c r="O372" i="21" s="1"/>
  <c r="K372" i="21"/>
  <c r="N372" i="21" s="1"/>
  <c r="N371" i="21"/>
  <c r="L371" i="21"/>
  <c r="O371" i="21" s="1"/>
  <c r="K371" i="21"/>
  <c r="J370" i="21"/>
  <c r="M370" i="21" s="1"/>
  <c r="J369" i="21"/>
  <c r="M369" i="21" s="1"/>
  <c r="J368" i="21"/>
  <c r="M368" i="21" s="1"/>
  <c r="J367" i="21"/>
  <c r="M367" i="21" s="1"/>
  <c r="J366" i="21"/>
  <c r="M366" i="21" s="1"/>
  <c r="J365" i="21"/>
  <c r="M365" i="21" s="1"/>
  <c r="J364" i="21"/>
  <c r="M364" i="21" s="1"/>
  <c r="J363" i="21"/>
  <c r="M363" i="21" s="1"/>
  <c r="J362" i="21"/>
  <c r="M362" i="21" s="1"/>
  <c r="J361" i="21"/>
  <c r="M361" i="21" s="1"/>
  <c r="J360" i="21"/>
  <c r="M360" i="21" s="1"/>
  <c r="J359" i="21"/>
  <c r="M359" i="21" s="1"/>
  <c r="J358" i="21"/>
  <c r="M358" i="21" s="1"/>
  <c r="J357" i="21"/>
  <c r="M357" i="21" s="1"/>
  <c r="J356" i="21"/>
  <c r="M356" i="21" s="1"/>
  <c r="J355" i="21"/>
  <c r="M355" i="21" s="1"/>
  <c r="J354" i="21"/>
  <c r="M354" i="21" s="1"/>
  <c r="J353" i="21"/>
  <c r="M353" i="21" s="1"/>
  <c r="J352" i="21"/>
  <c r="M352" i="21" s="1"/>
  <c r="J351" i="21"/>
  <c r="M351" i="21" s="1"/>
  <c r="L350" i="21"/>
  <c r="O350" i="21" s="1"/>
  <c r="J350" i="21"/>
  <c r="M350" i="21" s="1"/>
  <c r="J349" i="21"/>
  <c r="M349" i="21" s="1"/>
  <c r="J348" i="21"/>
  <c r="M348" i="21" s="1"/>
  <c r="J347" i="21"/>
  <c r="M347" i="21" s="1"/>
  <c r="L346" i="21"/>
  <c r="O346" i="21" s="1"/>
  <c r="J346" i="21"/>
  <c r="M346" i="21" s="1"/>
  <c r="J345" i="21"/>
  <c r="M345" i="21" s="1"/>
  <c r="J344" i="21"/>
  <c r="M344" i="21" s="1"/>
  <c r="J343" i="21"/>
  <c r="M343" i="21" s="1"/>
  <c r="J342" i="21"/>
  <c r="M342" i="21" s="1"/>
  <c r="J341" i="21"/>
  <c r="M341" i="21" s="1"/>
  <c r="J340" i="21"/>
  <c r="M340" i="21" s="1"/>
  <c r="J339" i="21"/>
  <c r="M339" i="21" s="1"/>
  <c r="J338" i="21"/>
  <c r="M338" i="21" s="1"/>
  <c r="J337" i="21"/>
  <c r="M337" i="21" s="1"/>
  <c r="J336" i="21"/>
  <c r="M336" i="21" s="1"/>
  <c r="L335" i="21"/>
  <c r="O335" i="21" s="1"/>
  <c r="J335" i="21"/>
  <c r="M335" i="21" s="1"/>
  <c r="J334" i="21"/>
  <c r="M334" i="21" s="1"/>
  <c r="J333" i="21"/>
  <c r="M333" i="21" s="1"/>
  <c r="L332" i="21"/>
  <c r="O332" i="21" s="1"/>
  <c r="J332" i="21"/>
  <c r="M332" i="21" s="1"/>
  <c r="J331" i="21"/>
  <c r="M331" i="21" s="1"/>
  <c r="J330" i="21"/>
  <c r="M330" i="21" s="1"/>
  <c r="J329" i="21"/>
  <c r="M329" i="21" s="1"/>
  <c r="L328" i="21"/>
  <c r="O328" i="21" s="1"/>
  <c r="K328" i="21"/>
  <c r="N328" i="21" s="1"/>
  <c r="L327" i="21"/>
  <c r="O327" i="21" s="1"/>
  <c r="K327" i="21"/>
  <c r="N327" i="21" s="1"/>
  <c r="L326" i="21"/>
  <c r="O326" i="21" s="1"/>
  <c r="K326" i="21"/>
  <c r="N326" i="21" s="1"/>
  <c r="L325" i="21"/>
  <c r="O325" i="21" s="1"/>
  <c r="K325" i="21"/>
  <c r="N325" i="21" s="1"/>
  <c r="L324" i="21"/>
  <c r="O324" i="21" s="1"/>
  <c r="K324" i="21"/>
  <c r="N324" i="21" s="1"/>
  <c r="N323" i="21"/>
  <c r="L323" i="21"/>
  <c r="O323" i="21" s="1"/>
  <c r="K323" i="21"/>
  <c r="L322" i="21"/>
  <c r="O322" i="21" s="1"/>
  <c r="K322" i="21"/>
  <c r="N322" i="21" s="1"/>
  <c r="N321" i="21"/>
  <c r="L321" i="21"/>
  <c r="O321" i="21" s="1"/>
  <c r="K321" i="21"/>
  <c r="L320" i="21"/>
  <c r="O320" i="21" s="1"/>
  <c r="K320" i="21"/>
  <c r="N320" i="21" s="1"/>
  <c r="L319" i="21"/>
  <c r="O319" i="21" s="1"/>
  <c r="K319" i="21"/>
  <c r="N319" i="21" s="1"/>
  <c r="L318" i="21"/>
  <c r="O318" i="21" s="1"/>
  <c r="K318" i="21"/>
  <c r="N318" i="21" s="1"/>
  <c r="L317" i="21"/>
  <c r="O317" i="21" s="1"/>
  <c r="K317" i="21"/>
  <c r="N317" i="21" s="1"/>
  <c r="L316" i="21"/>
  <c r="O316" i="21" s="1"/>
  <c r="K316" i="21"/>
  <c r="N316" i="21" s="1"/>
  <c r="N315" i="21"/>
  <c r="L315" i="21"/>
  <c r="O315" i="21" s="1"/>
  <c r="K315" i="21"/>
  <c r="L314" i="21"/>
  <c r="O314" i="21" s="1"/>
  <c r="K314" i="21"/>
  <c r="N314" i="21" s="1"/>
  <c r="N313" i="21"/>
  <c r="L313" i="21"/>
  <c r="O313" i="21" s="1"/>
  <c r="K313" i="21"/>
  <c r="L312" i="21"/>
  <c r="O312" i="21" s="1"/>
  <c r="K312" i="21"/>
  <c r="N312" i="21" s="1"/>
  <c r="N311" i="21"/>
  <c r="L311" i="21"/>
  <c r="O311" i="21" s="1"/>
  <c r="K311" i="21"/>
  <c r="L310" i="21"/>
  <c r="O310" i="21" s="1"/>
  <c r="K310" i="21"/>
  <c r="N310" i="21" s="1"/>
  <c r="L309" i="21"/>
  <c r="O309" i="21" s="1"/>
  <c r="K309" i="21"/>
  <c r="N309" i="21" s="1"/>
  <c r="L308" i="21"/>
  <c r="O308" i="21" s="1"/>
  <c r="K308" i="21"/>
  <c r="N308" i="21" s="1"/>
  <c r="L307" i="21"/>
  <c r="O307" i="21" s="1"/>
  <c r="K307" i="21"/>
  <c r="N307" i="21" s="1"/>
  <c r="N306" i="21"/>
  <c r="L306" i="21"/>
  <c r="O306" i="21" s="1"/>
  <c r="K306" i="21"/>
  <c r="L305" i="21"/>
  <c r="O305" i="21" s="1"/>
  <c r="K305" i="21"/>
  <c r="N305" i="21" s="1"/>
  <c r="L304" i="21"/>
  <c r="O304" i="21" s="1"/>
  <c r="K304" i="21"/>
  <c r="N304" i="21" s="1"/>
  <c r="L303" i="21"/>
  <c r="O303" i="21" s="1"/>
  <c r="K303" i="21"/>
  <c r="N303" i="21" s="1"/>
  <c r="L302" i="21"/>
  <c r="O302" i="21" s="1"/>
  <c r="K302" i="21"/>
  <c r="N302" i="21" s="1"/>
  <c r="L301" i="21"/>
  <c r="O301" i="21" s="1"/>
  <c r="K301" i="21"/>
  <c r="N301" i="21" s="1"/>
  <c r="N300" i="21"/>
  <c r="L300" i="21"/>
  <c r="O300" i="21" s="1"/>
  <c r="K300" i="21"/>
  <c r="L299" i="21"/>
  <c r="O299" i="21" s="1"/>
  <c r="K299" i="21"/>
  <c r="N299" i="21" s="1"/>
  <c r="N298" i="21"/>
  <c r="L298" i="21"/>
  <c r="O298" i="21" s="1"/>
  <c r="K298" i="21"/>
  <c r="J297" i="21"/>
  <c r="M297" i="21" s="1"/>
  <c r="J296" i="21"/>
  <c r="M296" i="21" s="1"/>
  <c r="J295" i="21"/>
  <c r="M295" i="21" s="1"/>
  <c r="J294" i="21"/>
  <c r="M294" i="21" s="1"/>
  <c r="J293" i="21"/>
  <c r="M293" i="21" s="1"/>
  <c r="J292" i="21"/>
  <c r="M292" i="21" s="1"/>
  <c r="J291" i="21"/>
  <c r="M291" i="21" s="1"/>
  <c r="J290" i="21"/>
  <c r="M290" i="21" s="1"/>
  <c r="L289" i="21"/>
  <c r="O289" i="21" s="1"/>
  <c r="J289" i="21"/>
  <c r="M289" i="21" s="1"/>
  <c r="J288" i="21"/>
  <c r="M288" i="21" s="1"/>
  <c r="J287" i="21"/>
  <c r="M287" i="21" s="1"/>
  <c r="J286" i="21"/>
  <c r="M286" i="21" s="1"/>
  <c r="L285" i="21"/>
  <c r="O285" i="21" s="1"/>
  <c r="J285" i="21"/>
  <c r="M285" i="21" s="1"/>
  <c r="J284" i="21"/>
  <c r="M284" i="21" s="1"/>
  <c r="J283" i="21"/>
  <c r="M283" i="21" s="1"/>
  <c r="J282" i="21"/>
  <c r="M282" i="21" s="1"/>
  <c r="J281" i="21"/>
  <c r="M281" i="21" s="1"/>
  <c r="J280" i="21"/>
  <c r="M280" i="21" s="1"/>
  <c r="J279" i="21"/>
  <c r="M279" i="21" s="1"/>
  <c r="J278" i="21"/>
  <c r="M278" i="21" s="1"/>
  <c r="J277" i="21"/>
  <c r="M277" i="21" s="1"/>
  <c r="J276" i="21"/>
  <c r="M276" i="21" s="1"/>
  <c r="J275" i="21"/>
  <c r="M275" i="21" s="1"/>
  <c r="L274" i="21"/>
  <c r="O274" i="21" s="1"/>
  <c r="J274" i="21"/>
  <c r="M274" i="21" s="1"/>
  <c r="J273" i="21"/>
  <c r="M273" i="21" s="1"/>
  <c r="J272" i="21"/>
  <c r="M272" i="21" s="1"/>
  <c r="L271" i="21"/>
  <c r="O271" i="21" s="1"/>
  <c r="J271" i="21"/>
  <c r="M271" i="21" s="1"/>
  <c r="J270" i="21"/>
  <c r="M270" i="21" s="1"/>
  <c r="J269" i="21"/>
  <c r="M269" i="21" s="1"/>
  <c r="J268" i="21"/>
  <c r="M268" i="21" s="1"/>
  <c r="L267" i="21"/>
  <c r="O267" i="21" s="1"/>
  <c r="L266" i="21"/>
  <c r="O266" i="21" s="1"/>
  <c r="L265" i="21"/>
  <c r="O265" i="21" s="1"/>
  <c r="L264" i="21"/>
  <c r="O264" i="21" s="1"/>
  <c r="L263" i="21"/>
  <c r="O263" i="21" s="1"/>
  <c r="L262" i="21"/>
  <c r="O262" i="21" s="1"/>
  <c r="L261" i="21"/>
  <c r="O261" i="21" s="1"/>
  <c r="L260" i="21"/>
  <c r="O260" i="21" s="1"/>
  <c r="L259" i="21"/>
  <c r="O259" i="21" s="1"/>
  <c r="L258" i="21"/>
  <c r="O258" i="21" s="1"/>
  <c r="L257" i="21"/>
  <c r="O257" i="21" s="1"/>
  <c r="L256" i="21"/>
  <c r="O256" i="21" s="1"/>
  <c r="L255" i="21"/>
  <c r="O255" i="21" s="1"/>
  <c r="L254" i="21"/>
  <c r="O254" i="21" s="1"/>
  <c r="L253" i="21"/>
  <c r="O253" i="21" s="1"/>
  <c r="L252" i="21"/>
  <c r="O252" i="21" s="1"/>
  <c r="L251" i="21"/>
  <c r="O251" i="21" s="1"/>
  <c r="L250" i="21"/>
  <c r="O250" i="21" s="1"/>
  <c r="L249" i="21"/>
  <c r="O249" i="21" s="1"/>
  <c r="L248" i="21"/>
  <c r="O248" i="21" s="1"/>
  <c r="L247" i="21"/>
  <c r="O247" i="21" s="1"/>
  <c r="L246" i="21"/>
  <c r="O246" i="21" s="1"/>
  <c r="L245" i="21"/>
  <c r="O245" i="21" s="1"/>
  <c r="L244" i="21"/>
  <c r="O244" i="21" s="1"/>
  <c r="L243" i="21"/>
  <c r="O243" i="21" s="1"/>
  <c r="L242" i="21"/>
  <c r="O242" i="21" s="1"/>
  <c r="L241" i="21"/>
  <c r="O241" i="21" s="1"/>
  <c r="L240" i="21"/>
  <c r="O240" i="21" s="1"/>
  <c r="L239" i="21"/>
  <c r="O239" i="21" s="1"/>
  <c r="L238" i="21"/>
  <c r="O238" i="21" s="1"/>
  <c r="L237" i="21"/>
  <c r="O237" i="21" s="1"/>
  <c r="L236" i="21"/>
  <c r="O236" i="21" s="1"/>
  <c r="L235" i="21"/>
  <c r="O235" i="21" s="1"/>
  <c r="L234" i="21"/>
  <c r="O234" i="21" s="1"/>
  <c r="L233" i="21"/>
  <c r="O233" i="21" s="1"/>
  <c r="L232" i="21"/>
  <c r="O232" i="21" s="1"/>
  <c r="L159" i="21"/>
  <c r="O159" i="21" s="1"/>
  <c r="L158" i="21"/>
  <c r="O158" i="21" s="1"/>
  <c r="L157" i="21"/>
  <c r="O157" i="21" s="1"/>
  <c r="L156" i="21"/>
  <c r="O156" i="21" s="1"/>
  <c r="L155" i="21"/>
  <c r="O155" i="21" s="1"/>
  <c r="L154" i="21"/>
  <c r="O154" i="21" s="1"/>
  <c r="L153" i="21"/>
  <c r="O153" i="21" s="1"/>
  <c r="L152" i="21"/>
  <c r="O152" i="21" s="1"/>
  <c r="L151" i="21"/>
  <c r="O151" i="21" s="1"/>
  <c r="L150" i="21"/>
  <c r="O150" i="21" s="1"/>
  <c r="L149" i="21"/>
  <c r="O149" i="21" s="1"/>
  <c r="L148" i="21"/>
  <c r="O148" i="21" s="1"/>
  <c r="L147" i="21"/>
  <c r="O147" i="21" s="1"/>
  <c r="J147" i="21"/>
  <c r="M147" i="21" s="1"/>
  <c r="L146" i="21"/>
  <c r="O146" i="21" s="1"/>
  <c r="J146" i="21"/>
  <c r="M146" i="21" s="1"/>
  <c r="L145" i="21"/>
  <c r="O145" i="21" s="1"/>
  <c r="J145" i="21"/>
  <c r="M145" i="21" s="1"/>
  <c r="L144" i="21"/>
  <c r="O144" i="21" s="1"/>
  <c r="J144" i="21"/>
  <c r="M144" i="21" s="1"/>
  <c r="L143" i="21"/>
  <c r="O143" i="21" s="1"/>
  <c r="J143" i="21"/>
  <c r="M143" i="21" s="1"/>
  <c r="L142" i="21"/>
  <c r="O142" i="21" s="1"/>
  <c r="J142" i="21"/>
  <c r="M142" i="21" s="1"/>
  <c r="L141" i="21"/>
  <c r="O141" i="21" s="1"/>
  <c r="J141" i="21"/>
  <c r="M141" i="21" s="1"/>
  <c r="L140" i="21"/>
  <c r="O140" i="21" s="1"/>
  <c r="J140" i="21"/>
  <c r="M140" i="21" s="1"/>
  <c r="L139" i="21"/>
  <c r="O139" i="21" s="1"/>
  <c r="J139" i="21"/>
  <c r="M139" i="21" s="1"/>
  <c r="L138" i="21"/>
  <c r="O138" i="21" s="1"/>
  <c r="J138" i="21"/>
  <c r="M138" i="21" s="1"/>
  <c r="L137" i="21"/>
  <c r="O137" i="21" s="1"/>
  <c r="J137" i="21"/>
  <c r="M137" i="21" s="1"/>
  <c r="L136" i="21"/>
  <c r="O136" i="21" s="1"/>
  <c r="J136" i="21"/>
  <c r="M136" i="21" s="1"/>
  <c r="L135" i="21"/>
  <c r="O135" i="21" s="1"/>
  <c r="L134" i="21"/>
  <c r="O134" i="21" s="1"/>
  <c r="L133" i="21"/>
  <c r="O133" i="21" s="1"/>
  <c r="O132" i="21"/>
  <c r="L132" i="21"/>
  <c r="L131" i="21"/>
  <c r="O131" i="21" s="1"/>
  <c r="O130" i="21"/>
  <c r="L130" i="21"/>
  <c r="L129" i="21"/>
  <c r="O129" i="21" s="1"/>
  <c r="O128" i="21"/>
  <c r="L128" i="21"/>
  <c r="L127" i="21"/>
  <c r="O127" i="21" s="1"/>
  <c r="L126" i="21"/>
  <c r="O126" i="21" s="1"/>
  <c r="L125" i="21"/>
  <c r="O125" i="21" s="1"/>
  <c r="L124" i="21"/>
  <c r="O124" i="21" s="1"/>
  <c r="L73" i="21"/>
  <c r="O73" i="21" s="1"/>
  <c r="L72" i="21"/>
  <c r="O72" i="21" s="1"/>
  <c r="L71" i="21"/>
  <c r="O71" i="21" s="1"/>
  <c r="L70" i="21"/>
  <c r="O70" i="21" s="1"/>
  <c r="L69" i="21"/>
  <c r="O69" i="21" s="1"/>
  <c r="L68" i="21"/>
  <c r="O68" i="21" s="1"/>
  <c r="L67" i="21"/>
  <c r="O67" i="21" s="1"/>
  <c r="L66" i="21"/>
  <c r="O66" i="21" s="1"/>
  <c r="L65" i="21"/>
  <c r="O65" i="21" s="1"/>
  <c r="L64" i="21"/>
  <c r="O64" i="21" s="1"/>
  <c r="L63" i="21"/>
  <c r="O63" i="21" s="1"/>
  <c r="L62" i="21"/>
  <c r="O62" i="21" s="1"/>
  <c r="L61" i="21"/>
  <c r="O61" i="21" s="1"/>
  <c r="L60" i="21"/>
  <c r="O60" i="21" s="1"/>
  <c r="L59" i="21"/>
  <c r="O59" i="21" s="1"/>
  <c r="L58" i="21"/>
  <c r="O58" i="21" s="1"/>
  <c r="L57" i="21"/>
  <c r="O57" i="21" s="1"/>
  <c r="L56" i="21"/>
  <c r="O56" i="21" s="1"/>
  <c r="L55" i="21"/>
  <c r="O55" i="21" s="1"/>
  <c r="L54" i="21"/>
  <c r="O54" i="21" s="1"/>
  <c r="L53" i="21"/>
  <c r="O53" i="21" s="1"/>
  <c r="L52" i="21"/>
  <c r="O52" i="21" s="1"/>
  <c r="L51" i="21"/>
  <c r="O51" i="21" s="1"/>
  <c r="L50" i="21"/>
  <c r="O50" i="21" s="1"/>
  <c r="L49" i="21"/>
  <c r="O49" i="21" s="1"/>
  <c r="L48" i="21"/>
  <c r="O48" i="21" s="1"/>
  <c r="L47" i="21"/>
  <c r="O47" i="21" s="1"/>
  <c r="L46" i="21"/>
  <c r="O46" i="21" s="1"/>
  <c r="L45" i="21"/>
  <c r="O45" i="21" s="1"/>
  <c r="L44" i="21"/>
  <c r="O44" i="21" s="1"/>
  <c r="L43" i="21"/>
  <c r="O43" i="21" s="1"/>
  <c r="L42" i="21"/>
  <c r="O42" i="21" s="1"/>
  <c r="L41" i="21"/>
  <c r="O41" i="21" s="1"/>
  <c r="L40" i="21"/>
  <c r="O40" i="21" s="1"/>
  <c r="L39" i="21"/>
  <c r="O39" i="21" s="1"/>
  <c r="L38" i="21"/>
  <c r="O38" i="21" s="1"/>
  <c r="L37" i="21"/>
  <c r="O37" i="21" s="1"/>
  <c r="L36" i="21"/>
  <c r="O36" i="21" s="1"/>
  <c r="L35" i="21"/>
  <c r="O35" i="21" s="1"/>
  <c r="L34" i="21"/>
  <c r="O34" i="21" s="1"/>
  <c r="L33" i="21"/>
  <c r="O33" i="21" s="1"/>
  <c r="L32" i="21"/>
  <c r="O32" i="21" s="1"/>
  <c r="L31" i="21"/>
  <c r="O31" i="21" s="1"/>
  <c r="L30" i="21"/>
  <c r="O30" i="21" s="1"/>
  <c r="L29" i="21"/>
  <c r="O29" i="21" s="1"/>
  <c r="L28" i="21"/>
  <c r="O28" i="21" s="1"/>
  <c r="L27" i="21"/>
  <c r="O27" i="21" s="1"/>
  <c r="L26" i="21"/>
  <c r="O26" i="21" s="1"/>
  <c r="L25" i="21"/>
  <c r="O25" i="21" s="1"/>
  <c r="J25" i="21"/>
  <c r="M25" i="21" s="1"/>
  <c r="L24" i="21"/>
  <c r="O24" i="21" s="1"/>
  <c r="J24" i="21"/>
  <c r="M24" i="21" s="1"/>
  <c r="L23" i="21"/>
  <c r="O23" i="21" s="1"/>
  <c r="J23" i="21"/>
  <c r="M23" i="21" s="1"/>
  <c r="L22" i="21"/>
  <c r="O22" i="21" s="1"/>
  <c r="J22" i="21"/>
  <c r="M22" i="21" s="1"/>
  <c r="L21" i="21"/>
  <c r="O21" i="21" s="1"/>
  <c r="J21" i="21"/>
  <c r="M21" i="21" s="1"/>
  <c r="L20" i="21"/>
  <c r="O20" i="21" s="1"/>
  <c r="J20" i="21"/>
  <c r="M20" i="21" s="1"/>
  <c r="L19" i="21"/>
  <c r="O19" i="21" s="1"/>
  <c r="J19" i="21"/>
  <c r="M19" i="21" s="1"/>
  <c r="L18" i="21"/>
  <c r="O18" i="21" s="1"/>
  <c r="J18" i="21"/>
  <c r="M18" i="21" s="1"/>
  <c r="L17" i="21"/>
  <c r="O17" i="21" s="1"/>
  <c r="J17" i="21"/>
  <c r="M17" i="21" s="1"/>
  <c r="L16" i="21"/>
  <c r="O16" i="21" s="1"/>
  <c r="J16" i="21"/>
  <c r="M16" i="21" s="1"/>
  <c r="L15" i="21"/>
  <c r="O15" i="21" s="1"/>
  <c r="J15" i="21"/>
  <c r="M15" i="21" s="1"/>
  <c r="L14" i="21"/>
  <c r="O14" i="21" s="1"/>
  <c r="J14" i="21"/>
  <c r="M14" i="21" s="1"/>
  <c r="L13" i="21"/>
  <c r="O13" i="21" s="1"/>
  <c r="L12" i="21"/>
  <c r="O12" i="21" s="1"/>
  <c r="L11" i="21"/>
  <c r="O11" i="21" s="1"/>
  <c r="L10" i="21"/>
  <c r="O10" i="21" s="1"/>
  <c r="L9" i="21"/>
  <c r="O9" i="21" s="1"/>
  <c r="L8" i="21"/>
  <c r="O8" i="21" s="1"/>
  <c r="L7" i="21"/>
  <c r="O7" i="21" s="1"/>
  <c r="L6" i="21"/>
  <c r="O6" i="21" s="1"/>
  <c r="L5" i="21"/>
  <c r="O5" i="21" s="1"/>
  <c r="L4" i="21"/>
  <c r="O4" i="21" s="1"/>
  <c r="L3" i="21"/>
  <c r="O3" i="21" s="1"/>
  <c r="L2" i="21"/>
  <c r="T5" i="21" s="1"/>
  <c r="X1202" i="16"/>
  <c r="W1202" i="16"/>
  <c r="X1201" i="16"/>
  <c r="W1201" i="16"/>
  <c r="X1200" i="16"/>
  <c r="W1200" i="16"/>
  <c r="X1199" i="16"/>
  <c r="W1199" i="16"/>
  <c r="X1198" i="16"/>
  <c r="W1198" i="16"/>
  <c r="X1197" i="16"/>
  <c r="W1197" i="16"/>
  <c r="X1196" i="16"/>
  <c r="W1196" i="16"/>
  <c r="X1195" i="16"/>
  <c r="W1195" i="16"/>
  <c r="X1194" i="16"/>
  <c r="W1194" i="16"/>
  <c r="X1193" i="16"/>
  <c r="W1193" i="16"/>
  <c r="X1192" i="16"/>
  <c r="W1192" i="16"/>
  <c r="X1191" i="16"/>
  <c r="W1191" i="16"/>
  <c r="X1190" i="16"/>
  <c r="W1190" i="16"/>
  <c r="X688" i="16"/>
  <c r="W688" i="16"/>
  <c r="X687" i="16"/>
  <c r="W687" i="16"/>
  <c r="X686" i="16"/>
  <c r="W686" i="16"/>
  <c r="X685" i="16"/>
  <c r="W685" i="16"/>
  <c r="X684" i="16"/>
  <c r="W684" i="16"/>
  <c r="X683" i="16"/>
  <c r="W683" i="16"/>
  <c r="X682" i="16"/>
  <c r="W682" i="16"/>
  <c r="X681" i="16"/>
  <c r="W681" i="16"/>
  <c r="X680" i="16"/>
  <c r="W680" i="16"/>
  <c r="X679" i="16"/>
  <c r="W679" i="16"/>
  <c r="X678" i="16"/>
  <c r="W678" i="16"/>
  <c r="X677" i="16"/>
  <c r="W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X664" i="16"/>
  <c r="W664" i="16"/>
  <c r="X663" i="16"/>
  <c r="W663" i="16"/>
  <c r="X662" i="16"/>
  <c r="W662" i="16"/>
  <c r="X661" i="16"/>
  <c r="W661" i="16"/>
  <c r="X660" i="16"/>
  <c r="W660" i="16"/>
  <c r="X659" i="16"/>
  <c r="W659" i="16"/>
  <c r="X658" i="16"/>
  <c r="W658" i="16"/>
  <c r="X657" i="16"/>
  <c r="W657" i="16"/>
  <c r="X656" i="16"/>
  <c r="W656" i="16"/>
  <c r="X655" i="16"/>
  <c r="W655" i="16"/>
  <c r="X654" i="16"/>
  <c r="W654" i="16"/>
  <c r="X653" i="16"/>
  <c r="W653" i="16"/>
  <c r="X652" i="16"/>
  <c r="W652" i="16"/>
  <c r="X651" i="16"/>
  <c r="W651" i="16"/>
  <c r="X650" i="16"/>
  <c r="W650" i="16"/>
  <c r="X649" i="16"/>
  <c r="W649" i="16"/>
  <c r="X648" i="16"/>
  <c r="W648" i="16"/>
  <c r="X647" i="16"/>
  <c r="W647" i="16"/>
  <c r="X646" i="16"/>
  <c r="W646" i="16"/>
  <c r="X645" i="16"/>
  <c r="W645" i="16"/>
  <c r="X644" i="16"/>
  <c r="W644" i="16"/>
  <c r="X643" i="16"/>
  <c r="W643" i="16"/>
  <c r="X642" i="16"/>
  <c r="W642" i="16"/>
  <c r="X641" i="16"/>
  <c r="W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X628" i="16"/>
  <c r="W628" i="16"/>
  <c r="X627" i="16"/>
  <c r="W627" i="16"/>
  <c r="X626" i="16"/>
  <c r="W626" i="16"/>
  <c r="X625" i="16"/>
  <c r="W625" i="16"/>
  <c r="X624" i="16"/>
  <c r="W624" i="16"/>
  <c r="X623" i="16"/>
  <c r="W623" i="16"/>
  <c r="X622" i="16"/>
  <c r="W622" i="16"/>
  <c r="X621" i="16"/>
  <c r="W621" i="16"/>
  <c r="X620" i="16"/>
  <c r="W620" i="16"/>
  <c r="X619" i="16"/>
  <c r="W619" i="16"/>
  <c r="X618" i="16"/>
  <c r="W618" i="16"/>
  <c r="X617" i="16"/>
  <c r="W617" i="16"/>
  <c r="AD451" i="17"/>
  <c r="X451" i="17"/>
  <c r="W451" i="17"/>
  <c r="AD450" i="17"/>
  <c r="X450" i="17"/>
  <c r="W450" i="17"/>
  <c r="AC450" i="17" s="1"/>
  <c r="AD449" i="17"/>
  <c r="X449" i="17"/>
  <c r="W449" i="17"/>
  <c r="AC449" i="17" s="1"/>
  <c r="AD448" i="17"/>
  <c r="X448" i="17"/>
  <c r="W448" i="17"/>
  <c r="AC448" i="17" s="1"/>
  <c r="AD447" i="17"/>
  <c r="X447" i="17"/>
  <c r="W447" i="17"/>
  <c r="AC447" i="17" s="1"/>
  <c r="AD446" i="17"/>
  <c r="AB446" i="17"/>
  <c r="X446" i="17"/>
  <c r="W446" i="17"/>
  <c r="AC446" i="17" s="1"/>
  <c r="AD445" i="17"/>
  <c r="X445" i="17"/>
  <c r="W445" i="17"/>
  <c r="AD444" i="17"/>
  <c r="X444" i="17"/>
  <c r="W444" i="17"/>
  <c r="AC444" i="17" s="1"/>
  <c r="AD443" i="17"/>
  <c r="AB443" i="17"/>
  <c r="X443" i="17"/>
  <c r="W443" i="17"/>
  <c r="AC443" i="17" s="1"/>
  <c r="AD442" i="17"/>
  <c r="X442" i="17"/>
  <c r="W442" i="17"/>
  <c r="AC442" i="17" s="1"/>
  <c r="AD441" i="17"/>
  <c r="X441" i="17"/>
  <c r="W441" i="17"/>
  <c r="AC441" i="17" s="1"/>
  <c r="AD440" i="17"/>
  <c r="AD11" i="21" s="1"/>
  <c r="AB440" i="17"/>
  <c r="X440" i="17"/>
  <c r="W440" i="17"/>
  <c r="AC440" i="17" s="1"/>
  <c r="AD439" i="17"/>
  <c r="X439" i="17"/>
  <c r="W439" i="17"/>
  <c r="X231" i="16"/>
  <c r="W231" i="16"/>
  <c r="V231" i="16"/>
  <c r="X230" i="16"/>
  <c r="W230" i="16"/>
  <c r="V230" i="16"/>
  <c r="X229" i="16"/>
  <c r="W229" i="16"/>
  <c r="V229" i="16"/>
  <c r="X228" i="16"/>
  <c r="W228" i="16"/>
  <c r="V228" i="16"/>
  <c r="X227" i="16"/>
  <c r="W227" i="16"/>
  <c r="V227" i="16"/>
  <c r="X226" i="16"/>
  <c r="W226" i="16"/>
  <c r="V226" i="16"/>
  <c r="X225" i="16"/>
  <c r="W225" i="16"/>
  <c r="V225" i="16"/>
  <c r="X224" i="16"/>
  <c r="W224" i="16"/>
  <c r="V224" i="16"/>
  <c r="X223" i="16"/>
  <c r="W223" i="16"/>
  <c r="V223" i="16"/>
  <c r="X222" i="16"/>
  <c r="W222" i="16"/>
  <c r="V222" i="16"/>
  <c r="X221" i="16"/>
  <c r="W221" i="16"/>
  <c r="V221" i="16"/>
  <c r="X220" i="16"/>
  <c r="W220" i="16"/>
  <c r="V220" i="16"/>
  <c r="X219" i="16"/>
  <c r="W219" i="16"/>
  <c r="V219" i="16"/>
  <c r="X218" i="16"/>
  <c r="W218" i="16"/>
  <c r="V218" i="16"/>
  <c r="X217" i="16"/>
  <c r="W217" i="16"/>
  <c r="V217" i="16"/>
  <c r="X216" i="16"/>
  <c r="W216" i="16"/>
  <c r="V216" i="16"/>
  <c r="X215" i="16"/>
  <c r="W215" i="16"/>
  <c r="V215" i="16"/>
  <c r="X214" i="16"/>
  <c r="W214" i="16"/>
  <c r="V214" i="16"/>
  <c r="X213" i="16"/>
  <c r="W213" i="16"/>
  <c r="V213" i="16"/>
  <c r="X212" i="16"/>
  <c r="W212" i="16"/>
  <c r="V212" i="16"/>
  <c r="X211" i="16"/>
  <c r="W211" i="16"/>
  <c r="V211" i="16"/>
  <c r="X210" i="16"/>
  <c r="W210" i="16"/>
  <c r="V210" i="16"/>
  <c r="X209" i="16"/>
  <c r="W209" i="16"/>
  <c r="V209" i="16"/>
  <c r="X208" i="16"/>
  <c r="W208" i="16"/>
  <c r="V208" i="16"/>
  <c r="AD169" i="17"/>
  <c r="X169" i="17"/>
  <c r="W169" i="17"/>
  <c r="AC169" i="17" s="1"/>
  <c r="AD168" i="17"/>
  <c r="X168" i="17"/>
  <c r="W168" i="17"/>
  <c r="AD167" i="17"/>
  <c r="X167" i="17"/>
  <c r="W167" i="17"/>
  <c r="AC167" i="17" s="1"/>
  <c r="AD166" i="17"/>
  <c r="X166" i="17"/>
  <c r="W166" i="17"/>
  <c r="AC166" i="17" s="1"/>
  <c r="AD165" i="17"/>
  <c r="X165" i="17"/>
  <c r="W165" i="17"/>
  <c r="AC165" i="17" s="1"/>
  <c r="AD164" i="17"/>
  <c r="X164" i="17"/>
  <c r="W164" i="17"/>
  <c r="AD163" i="17"/>
  <c r="X163" i="17"/>
  <c r="W163" i="17"/>
  <c r="AC163" i="17" s="1"/>
  <c r="AD162" i="17"/>
  <c r="X162" i="17"/>
  <c r="W162" i="17"/>
  <c r="AC162" i="17" s="1"/>
  <c r="AD161" i="17"/>
  <c r="X161" i="17"/>
  <c r="W161" i="17"/>
  <c r="AC161" i="17" s="1"/>
  <c r="AD160" i="17"/>
  <c r="X160" i="17"/>
  <c r="W160" i="17"/>
  <c r="AD159" i="17"/>
  <c r="X159" i="17"/>
  <c r="W159" i="17"/>
  <c r="AC159" i="17" s="1"/>
  <c r="AD158" i="17"/>
  <c r="X158" i="17"/>
  <c r="W158" i="17"/>
  <c r="AE157" i="17"/>
  <c r="V157" i="17"/>
  <c r="AB157" i="17" s="1"/>
  <c r="AE156" i="17"/>
  <c r="V156" i="17"/>
  <c r="AB156" i="17" s="1"/>
  <c r="AE155" i="17"/>
  <c r="V155" i="17"/>
  <c r="AB155" i="17" s="1"/>
  <c r="AE154" i="17"/>
  <c r="V154" i="17"/>
  <c r="AB154" i="17" s="1"/>
  <c r="AE153" i="17"/>
  <c r="V153" i="17"/>
  <c r="AB153" i="17" s="1"/>
  <c r="AE152" i="17"/>
  <c r="V152" i="17"/>
  <c r="AB152" i="17" s="1"/>
  <c r="AE151" i="17"/>
  <c r="V151" i="17"/>
  <c r="AB151" i="17" s="1"/>
  <c r="AE150" i="17"/>
  <c r="V150" i="17"/>
  <c r="AB150" i="17" s="1"/>
  <c r="AE149" i="17"/>
  <c r="V149" i="17"/>
  <c r="AB149" i="17" s="1"/>
  <c r="AE148" i="17"/>
  <c r="AB148" i="17"/>
  <c r="V148" i="17"/>
  <c r="AE147" i="17"/>
  <c r="V147" i="17"/>
  <c r="AB147" i="17" s="1"/>
  <c r="AE146" i="17"/>
  <c r="V146" i="17"/>
  <c r="AB146" i="17" s="1"/>
  <c r="AD145" i="17"/>
  <c r="X145" i="17"/>
  <c r="W145" i="17"/>
  <c r="AD144" i="17"/>
  <c r="X144" i="17"/>
  <c r="W144" i="17"/>
  <c r="AD143" i="17"/>
  <c r="X143" i="17"/>
  <c r="W143" i="17"/>
  <c r="AD142" i="17"/>
  <c r="X142" i="17"/>
  <c r="W142" i="17"/>
  <c r="AD141" i="17"/>
  <c r="X141" i="17"/>
  <c r="W141" i="17"/>
  <c r="AD140" i="17"/>
  <c r="X140" i="17"/>
  <c r="W140" i="17"/>
  <c r="AD139" i="17"/>
  <c r="X139" i="17"/>
  <c r="W139" i="17"/>
  <c r="AC139" i="17" s="1"/>
  <c r="AD138" i="17"/>
  <c r="X138" i="17"/>
  <c r="W138" i="17"/>
  <c r="AD137" i="17"/>
  <c r="X137" i="17"/>
  <c r="W137" i="17"/>
  <c r="AD136" i="17"/>
  <c r="X136" i="17"/>
  <c r="W136" i="17"/>
  <c r="AD135" i="17"/>
  <c r="X135" i="17"/>
  <c r="W135" i="17"/>
  <c r="AD134" i="17"/>
  <c r="X134" i="17"/>
  <c r="W134" i="17"/>
  <c r="AC134" i="17" s="1"/>
  <c r="AD133" i="17"/>
  <c r="X133" i="17"/>
  <c r="W133" i="17"/>
  <c r="AD132" i="17"/>
  <c r="X132" i="17"/>
  <c r="W132" i="17"/>
  <c r="AD131" i="17"/>
  <c r="X131" i="17"/>
  <c r="W131" i="17"/>
  <c r="AC131" i="17" s="1"/>
  <c r="AD130" i="17"/>
  <c r="X130" i="17"/>
  <c r="W130" i="17"/>
  <c r="AD129" i="17"/>
  <c r="X129" i="17"/>
  <c r="W129" i="17"/>
  <c r="AD128" i="17"/>
  <c r="X128" i="17"/>
  <c r="W128" i="17"/>
  <c r="AD127" i="17"/>
  <c r="X127" i="17"/>
  <c r="W127" i="17"/>
  <c r="AC127" i="17" s="1"/>
  <c r="AD126" i="17"/>
  <c r="X126" i="17"/>
  <c r="W126" i="17"/>
  <c r="AD125" i="17"/>
  <c r="AB125" i="17"/>
  <c r="X125" i="17"/>
  <c r="W125" i="17"/>
  <c r="AD124" i="17"/>
  <c r="X124" i="17"/>
  <c r="W124" i="17"/>
  <c r="AD123" i="17"/>
  <c r="X123" i="17"/>
  <c r="W123" i="17"/>
  <c r="AD122" i="17"/>
  <c r="X122" i="17"/>
  <c r="W122" i="17"/>
  <c r="AC122" i="17" s="1"/>
  <c r="AE121" i="17"/>
  <c r="V121" i="17"/>
  <c r="AB121" i="17" s="1"/>
  <c r="AE120" i="17"/>
  <c r="V120" i="17"/>
  <c r="AB120" i="17" s="1"/>
  <c r="AE119" i="17"/>
  <c r="V119" i="17"/>
  <c r="AB119" i="17" s="1"/>
  <c r="AE118" i="17"/>
  <c r="V118" i="17"/>
  <c r="AB118" i="17" s="1"/>
  <c r="AE117" i="17"/>
  <c r="V117" i="17"/>
  <c r="AB117" i="17" s="1"/>
  <c r="AE116" i="17"/>
  <c r="V116" i="17"/>
  <c r="AB116" i="17" s="1"/>
  <c r="AE115" i="17"/>
  <c r="V115" i="17"/>
  <c r="AB115" i="17" s="1"/>
  <c r="AE114" i="17"/>
  <c r="V114" i="17"/>
  <c r="AB114" i="17" s="1"/>
  <c r="AE113" i="17"/>
  <c r="V113" i="17"/>
  <c r="AB113" i="17" s="1"/>
  <c r="AE112" i="17"/>
  <c r="V112" i="17"/>
  <c r="AB112" i="17" s="1"/>
  <c r="AE111" i="17"/>
  <c r="V111" i="17"/>
  <c r="AB111" i="17" s="1"/>
  <c r="AE110" i="17"/>
  <c r="V110" i="17"/>
  <c r="AB110" i="17" s="1"/>
  <c r="AD109" i="17"/>
  <c r="X109" i="17"/>
  <c r="W109" i="17"/>
  <c r="AD108" i="17"/>
  <c r="X108" i="17"/>
  <c r="W108" i="17"/>
  <c r="AC108" i="17" s="1"/>
  <c r="AD107" i="17"/>
  <c r="X107" i="17"/>
  <c r="W107" i="17"/>
  <c r="AC107" i="17" s="1"/>
  <c r="AD106" i="17"/>
  <c r="X106" i="17"/>
  <c r="W106" i="17"/>
  <c r="AD105" i="17"/>
  <c r="X105" i="17"/>
  <c r="W105" i="17"/>
  <c r="AC105" i="17" s="1"/>
  <c r="AD104" i="17"/>
  <c r="X104" i="17"/>
  <c r="W104" i="17"/>
  <c r="AC104" i="17" s="1"/>
  <c r="AD103" i="17"/>
  <c r="X103" i="17"/>
  <c r="W103" i="17"/>
  <c r="AD102" i="17"/>
  <c r="X102" i="17"/>
  <c r="W102" i="17"/>
  <c r="AC102" i="17" s="1"/>
  <c r="AD101" i="17"/>
  <c r="X101" i="17"/>
  <c r="W101" i="17"/>
  <c r="AC101" i="17" s="1"/>
  <c r="AD100" i="17"/>
  <c r="X100" i="17"/>
  <c r="W100" i="17"/>
  <c r="AD99" i="17"/>
  <c r="X99" i="17"/>
  <c r="W99" i="17"/>
  <c r="AC99" i="17" s="1"/>
  <c r="AD98" i="17"/>
  <c r="AB98" i="17"/>
  <c r="X98" i="17"/>
  <c r="W98" i="17"/>
  <c r="AC98" i="17" s="1"/>
  <c r="X61" i="17"/>
  <c r="AC61" i="17" s="1"/>
  <c r="W61" i="17"/>
  <c r="V61" i="17"/>
  <c r="AB61" i="17" s="1"/>
  <c r="X60" i="17"/>
  <c r="W60" i="17"/>
  <c r="AC60" i="17" s="1"/>
  <c r="V60" i="17"/>
  <c r="AB60" i="17" s="1"/>
  <c r="X59" i="17"/>
  <c r="W59" i="17"/>
  <c r="V59" i="17"/>
  <c r="AB59" i="17" s="1"/>
  <c r="X58" i="17"/>
  <c r="W58" i="17"/>
  <c r="V58" i="17"/>
  <c r="AB58" i="17" s="1"/>
  <c r="X57" i="17"/>
  <c r="AC57" i="17" s="1"/>
  <c r="W57" i="17"/>
  <c r="V57" i="17"/>
  <c r="AB57" i="17" s="1"/>
  <c r="X56" i="17"/>
  <c r="W56" i="17"/>
  <c r="AC56" i="17" s="1"/>
  <c r="V56" i="17"/>
  <c r="AB56" i="17" s="1"/>
  <c r="X55" i="17"/>
  <c r="W55" i="17"/>
  <c r="V55" i="17"/>
  <c r="AB55" i="17" s="1"/>
  <c r="X54" i="17"/>
  <c r="W54" i="17"/>
  <c r="V54" i="17"/>
  <c r="AB54" i="17" s="1"/>
  <c r="X53" i="17"/>
  <c r="AC53" i="17" s="1"/>
  <c r="W53" i="17"/>
  <c r="V53" i="17"/>
  <c r="AB53" i="17" s="1"/>
  <c r="X52" i="17"/>
  <c r="W52" i="17"/>
  <c r="AC52" i="17" s="1"/>
  <c r="V52" i="17"/>
  <c r="AB52" i="17" s="1"/>
  <c r="X51" i="17"/>
  <c r="W51" i="17"/>
  <c r="V51" i="17"/>
  <c r="AB51" i="17" s="1"/>
  <c r="X50" i="17"/>
  <c r="W50" i="17"/>
  <c r="V50" i="17"/>
  <c r="AB50" i="17" s="1"/>
  <c r="X49" i="17"/>
  <c r="AC49" i="17" s="1"/>
  <c r="W49" i="17"/>
  <c r="V49" i="17"/>
  <c r="AB49" i="17" s="1"/>
  <c r="X48" i="17"/>
  <c r="W48" i="17"/>
  <c r="AC48" i="17" s="1"/>
  <c r="V48" i="17"/>
  <c r="AB48" i="17" s="1"/>
  <c r="X47" i="17"/>
  <c r="W47" i="17"/>
  <c r="V47" i="17"/>
  <c r="AB47" i="17" s="1"/>
  <c r="X46" i="17"/>
  <c r="W46" i="17"/>
  <c r="V46" i="17"/>
  <c r="AB46" i="17" s="1"/>
  <c r="AB45" i="17"/>
  <c r="X45" i="17"/>
  <c r="W45" i="17"/>
  <c r="V45" i="17"/>
  <c r="X44" i="17"/>
  <c r="W44" i="17"/>
  <c r="V44" i="17"/>
  <c r="AB44" i="17" s="1"/>
  <c r="AB43" i="17"/>
  <c r="X43" i="17"/>
  <c r="W43" i="17"/>
  <c r="AC43" i="17" s="1"/>
  <c r="V43" i="17"/>
  <c r="X42" i="17"/>
  <c r="W42" i="17"/>
  <c r="AC42" i="17" s="1"/>
  <c r="V42" i="17"/>
  <c r="AB42" i="17" s="1"/>
  <c r="AB41" i="17"/>
  <c r="X41" i="17"/>
  <c r="W41" i="17"/>
  <c r="AC41" i="17" s="1"/>
  <c r="V41" i="17"/>
  <c r="X40" i="17"/>
  <c r="W40" i="17"/>
  <c r="AC40" i="17" s="1"/>
  <c r="V40" i="17"/>
  <c r="AB40" i="17" s="1"/>
  <c r="AB39" i="17"/>
  <c r="X39" i="17"/>
  <c r="W39" i="17"/>
  <c r="AC39" i="17" s="1"/>
  <c r="V39" i="17"/>
  <c r="X38" i="17"/>
  <c r="W38" i="17"/>
  <c r="V38" i="17"/>
  <c r="AB38" i="17" s="1"/>
  <c r="M40" i="5"/>
  <c r="M39" i="5"/>
  <c r="M38" i="5"/>
  <c r="J933" i="21" s="1"/>
  <c r="M933" i="21" s="1"/>
  <c r="AJ9" i="17"/>
  <c r="AI9" i="17"/>
  <c r="AJ4" i="17"/>
  <c r="AI4" i="17"/>
  <c r="AJ3" i="17"/>
  <c r="AI3" i="17"/>
  <c r="AD438" i="17"/>
  <c r="AD437" i="17"/>
  <c r="AD436" i="17"/>
  <c r="AD435" i="17"/>
  <c r="AD434" i="17"/>
  <c r="AD433" i="17"/>
  <c r="AD432" i="17"/>
  <c r="AD431" i="17"/>
  <c r="AD430" i="17"/>
  <c r="AD429" i="17"/>
  <c r="AD428" i="17"/>
  <c r="AD427" i="17"/>
  <c r="AD426" i="17"/>
  <c r="AD425" i="17"/>
  <c r="AD424" i="17"/>
  <c r="AD423" i="17"/>
  <c r="AD422" i="17"/>
  <c r="AD421" i="17"/>
  <c r="AD420" i="17"/>
  <c r="AD419" i="17"/>
  <c r="AD418" i="17"/>
  <c r="AD417" i="17"/>
  <c r="AD416" i="17"/>
  <c r="AD415" i="17"/>
  <c r="AD414" i="17"/>
  <c r="AD413" i="17"/>
  <c r="AD412" i="17"/>
  <c r="AD411" i="17"/>
  <c r="AD410" i="17"/>
  <c r="AD409" i="17"/>
  <c r="AD408" i="17"/>
  <c r="AD407" i="17"/>
  <c r="AD406" i="17"/>
  <c r="AD405" i="17"/>
  <c r="AD404" i="17"/>
  <c r="AD403" i="17"/>
  <c r="AD402" i="17"/>
  <c r="AD401" i="17"/>
  <c r="AD400" i="17"/>
  <c r="AD399" i="17"/>
  <c r="AD398" i="17"/>
  <c r="AD397" i="17"/>
  <c r="AD396" i="17"/>
  <c r="AD395" i="17"/>
  <c r="AD394" i="17"/>
  <c r="AD393" i="17"/>
  <c r="AD392" i="17"/>
  <c r="AD391" i="17"/>
  <c r="AD390" i="17"/>
  <c r="AD389" i="17"/>
  <c r="AD388" i="17"/>
  <c r="AD387" i="17"/>
  <c r="AD386" i="17"/>
  <c r="AD385" i="17"/>
  <c r="AD384" i="17"/>
  <c r="AD383" i="17"/>
  <c r="AD382" i="17"/>
  <c r="AD381" i="17"/>
  <c r="AD380" i="17"/>
  <c r="AD379" i="17"/>
  <c r="AD378" i="17"/>
  <c r="AD377" i="17"/>
  <c r="AD376" i="17"/>
  <c r="AD375" i="17"/>
  <c r="AD374" i="17"/>
  <c r="AD373" i="17"/>
  <c r="AD372" i="17"/>
  <c r="AD371" i="17"/>
  <c r="AD370" i="17"/>
  <c r="AD369" i="17"/>
  <c r="AD368" i="17"/>
  <c r="AD367" i="17"/>
  <c r="AD366" i="17"/>
  <c r="AD365" i="17"/>
  <c r="AD364" i="17"/>
  <c r="AD363" i="17"/>
  <c r="AD362" i="17"/>
  <c r="AD361" i="17"/>
  <c r="AD360" i="17"/>
  <c r="AD359" i="17"/>
  <c r="AD358" i="17"/>
  <c r="AD357" i="17"/>
  <c r="AD356" i="17"/>
  <c r="AD355" i="17"/>
  <c r="AD354" i="17"/>
  <c r="AD353" i="17"/>
  <c r="AD352" i="17"/>
  <c r="AD351" i="17"/>
  <c r="AD350" i="17"/>
  <c r="AD349" i="17"/>
  <c r="AD348" i="17"/>
  <c r="AD347" i="17"/>
  <c r="AD346" i="17"/>
  <c r="AD345" i="17"/>
  <c r="AD344" i="17"/>
  <c r="AD343" i="17"/>
  <c r="AD342" i="17"/>
  <c r="AD341" i="17"/>
  <c r="AD340" i="17"/>
  <c r="AD339" i="17"/>
  <c r="AD338" i="17"/>
  <c r="AD337" i="17"/>
  <c r="AD336" i="17"/>
  <c r="AD335" i="17"/>
  <c r="AD334" i="17"/>
  <c r="AD333" i="17"/>
  <c r="AD332" i="17"/>
  <c r="AD331" i="17"/>
  <c r="AD330" i="17"/>
  <c r="AD329" i="17"/>
  <c r="AD328" i="17"/>
  <c r="AD327" i="17"/>
  <c r="AD326" i="17"/>
  <c r="AD325" i="17"/>
  <c r="AD324" i="17"/>
  <c r="AD323" i="17"/>
  <c r="AD322" i="17"/>
  <c r="AD321" i="17"/>
  <c r="AD320" i="17"/>
  <c r="AD319" i="17"/>
  <c r="AD318" i="17"/>
  <c r="AD317" i="17"/>
  <c r="AD316" i="17"/>
  <c r="AD315" i="17"/>
  <c r="AD314" i="17"/>
  <c r="AD313" i="17"/>
  <c r="AD312" i="17"/>
  <c r="AD311" i="17"/>
  <c r="AD310" i="17"/>
  <c r="AD309" i="17"/>
  <c r="AD308" i="17"/>
  <c r="AD307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D275" i="17"/>
  <c r="AD274" i="17"/>
  <c r="AD273" i="17"/>
  <c r="AD272" i="17"/>
  <c r="AD271" i="17"/>
  <c r="AD270" i="17"/>
  <c r="AD269" i="17"/>
  <c r="AD268" i="17"/>
  <c r="AD267" i="17"/>
  <c r="AD266" i="17"/>
  <c r="AD265" i="17"/>
  <c r="AD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D251" i="17"/>
  <c r="AD250" i="17"/>
  <c r="AD249" i="17"/>
  <c r="AD248" i="17"/>
  <c r="AD247" i="17"/>
  <c r="AD246" i="17"/>
  <c r="AD245" i="17"/>
  <c r="AD244" i="17"/>
  <c r="AD243" i="17"/>
  <c r="AD242" i="17"/>
  <c r="AD241" i="17"/>
  <c r="AD240" i="17"/>
  <c r="AD239" i="17"/>
  <c r="AD238" i="17"/>
  <c r="AD237" i="17"/>
  <c r="AD236" i="17"/>
  <c r="AD235" i="17"/>
  <c r="AD234" i="17"/>
  <c r="AD233" i="17"/>
  <c r="AD232" i="17"/>
  <c r="AD231" i="17"/>
  <c r="AD230" i="17"/>
  <c r="AD229" i="17"/>
  <c r="AD228" i="17"/>
  <c r="AD227" i="17"/>
  <c r="AD226" i="17"/>
  <c r="AD225" i="17"/>
  <c r="AD224" i="17"/>
  <c r="AD223" i="17"/>
  <c r="AD222" i="17"/>
  <c r="AD221" i="17"/>
  <c r="AD220" i="17"/>
  <c r="AD219" i="17"/>
  <c r="AD218" i="17"/>
  <c r="AD217" i="17"/>
  <c r="AD216" i="17"/>
  <c r="AD215" i="17"/>
  <c r="AD214" i="17"/>
  <c r="AD213" i="17"/>
  <c r="AD212" i="17"/>
  <c r="AD211" i="17"/>
  <c r="AD210" i="17"/>
  <c r="AD209" i="17"/>
  <c r="AD208" i="17"/>
  <c r="AD207" i="17"/>
  <c r="AD206" i="17"/>
  <c r="AD205" i="17"/>
  <c r="AD204" i="17"/>
  <c r="AD203" i="17"/>
  <c r="AD202" i="17"/>
  <c r="AD201" i="17"/>
  <c r="AD200" i="17"/>
  <c r="AD199" i="17"/>
  <c r="AD198" i="17"/>
  <c r="AD197" i="17"/>
  <c r="AD196" i="17"/>
  <c r="AD195" i="17"/>
  <c r="AD194" i="17"/>
  <c r="AD193" i="17"/>
  <c r="AD192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D179" i="17"/>
  <c r="AD178" i="17"/>
  <c r="AD177" i="17"/>
  <c r="AD176" i="17"/>
  <c r="AD175" i="17"/>
  <c r="AD174" i="17"/>
  <c r="AD173" i="17"/>
  <c r="AD172" i="17"/>
  <c r="AD171" i="17"/>
  <c r="AD170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D73" i="17"/>
  <c r="AD72" i="17"/>
  <c r="AD71" i="17"/>
  <c r="AD70" i="17"/>
  <c r="AD69" i="17"/>
  <c r="AD68" i="17"/>
  <c r="AD67" i="17"/>
  <c r="AD66" i="17"/>
  <c r="AD65" i="17"/>
  <c r="AD64" i="17"/>
  <c r="AD63" i="17"/>
  <c r="AD62" i="17"/>
  <c r="AD25" i="17"/>
  <c r="AD24" i="17"/>
  <c r="AD23" i="17"/>
  <c r="AD22" i="17"/>
  <c r="AD21" i="17"/>
  <c r="AD20" i="17"/>
  <c r="AD19" i="17"/>
  <c r="AD18" i="17"/>
  <c r="AD17" i="17"/>
  <c r="AD16" i="17"/>
  <c r="AD15" i="17"/>
  <c r="AD14" i="17"/>
  <c r="V451" i="17"/>
  <c r="AB451" i="17" s="1"/>
  <c r="V450" i="17"/>
  <c r="AB450" i="17" s="1"/>
  <c r="V449" i="17"/>
  <c r="AB449" i="17" s="1"/>
  <c r="V448" i="17"/>
  <c r="AB448" i="17" s="1"/>
  <c r="V447" i="17"/>
  <c r="AB447" i="17" s="1"/>
  <c r="V446" i="17"/>
  <c r="V445" i="17"/>
  <c r="AB445" i="17" s="1"/>
  <c r="V444" i="17"/>
  <c r="AB444" i="17" s="1"/>
  <c r="V443" i="17"/>
  <c r="V442" i="17"/>
  <c r="AB442" i="17" s="1"/>
  <c r="V441" i="17"/>
  <c r="AB441" i="17" s="1"/>
  <c r="V440" i="17"/>
  <c r="V439" i="17"/>
  <c r="AB439" i="17" s="1"/>
  <c r="X438" i="17"/>
  <c r="W438" i="17"/>
  <c r="V438" i="17"/>
  <c r="AB438" i="17" s="1"/>
  <c r="X437" i="17"/>
  <c r="W437" i="17"/>
  <c r="V437" i="17"/>
  <c r="AB437" i="17" s="1"/>
  <c r="X436" i="17"/>
  <c r="W436" i="17"/>
  <c r="V436" i="17"/>
  <c r="AB436" i="17" s="1"/>
  <c r="X435" i="17"/>
  <c r="W435" i="17"/>
  <c r="V435" i="17"/>
  <c r="AB435" i="17" s="1"/>
  <c r="X434" i="17"/>
  <c r="W434" i="17"/>
  <c r="V434" i="17"/>
  <c r="AB434" i="17" s="1"/>
  <c r="X433" i="17"/>
  <c r="W433" i="17"/>
  <c r="V433" i="17"/>
  <c r="AB433" i="17" s="1"/>
  <c r="X432" i="17"/>
  <c r="W432" i="17"/>
  <c r="V432" i="17"/>
  <c r="AB432" i="17" s="1"/>
  <c r="X431" i="17"/>
  <c r="W431" i="17"/>
  <c r="V431" i="17"/>
  <c r="AB431" i="17" s="1"/>
  <c r="X430" i="17"/>
  <c r="W430" i="17"/>
  <c r="V430" i="17"/>
  <c r="AB430" i="17" s="1"/>
  <c r="X429" i="17"/>
  <c r="W429" i="17"/>
  <c r="V429" i="17"/>
  <c r="AB429" i="17" s="1"/>
  <c r="X428" i="17"/>
  <c r="W428" i="17"/>
  <c r="V428" i="17"/>
  <c r="AB428" i="17" s="1"/>
  <c r="X427" i="17"/>
  <c r="W427" i="17"/>
  <c r="V427" i="17"/>
  <c r="AB427" i="17" s="1"/>
  <c r="X426" i="17"/>
  <c r="W426" i="17"/>
  <c r="V426" i="17"/>
  <c r="AB426" i="17" s="1"/>
  <c r="X425" i="17"/>
  <c r="W425" i="17"/>
  <c r="V425" i="17"/>
  <c r="AB425" i="17" s="1"/>
  <c r="X424" i="17"/>
  <c r="W424" i="17"/>
  <c r="V424" i="17"/>
  <c r="AB424" i="17" s="1"/>
  <c r="X423" i="17"/>
  <c r="W423" i="17"/>
  <c r="V423" i="17"/>
  <c r="AB423" i="17" s="1"/>
  <c r="X422" i="17"/>
  <c r="W422" i="17"/>
  <c r="V422" i="17"/>
  <c r="AB422" i="17" s="1"/>
  <c r="X421" i="17"/>
  <c r="W421" i="17"/>
  <c r="V421" i="17"/>
  <c r="AB421" i="17" s="1"/>
  <c r="X420" i="17"/>
  <c r="W420" i="17"/>
  <c r="V420" i="17"/>
  <c r="AB420" i="17" s="1"/>
  <c r="X419" i="17"/>
  <c r="W419" i="17"/>
  <c r="V419" i="17"/>
  <c r="AB419" i="17" s="1"/>
  <c r="X418" i="17"/>
  <c r="W418" i="17"/>
  <c r="V418" i="17"/>
  <c r="AB418" i="17" s="1"/>
  <c r="X417" i="17"/>
  <c r="W417" i="17"/>
  <c r="V417" i="17"/>
  <c r="AB417" i="17" s="1"/>
  <c r="X416" i="17"/>
  <c r="W416" i="17"/>
  <c r="V416" i="17"/>
  <c r="AB416" i="17" s="1"/>
  <c r="X415" i="17"/>
  <c r="W415" i="17"/>
  <c r="V415" i="17"/>
  <c r="AB415" i="17" s="1"/>
  <c r="X414" i="17"/>
  <c r="W414" i="17"/>
  <c r="V414" i="17"/>
  <c r="AB414" i="17" s="1"/>
  <c r="X413" i="17"/>
  <c r="W413" i="17"/>
  <c r="V413" i="17"/>
  <c r="AB413" i="17" s="1"/>
  <c r="X412" i="17"/>
  <c r="W412" i="17"/>
  <c r="V412" i="17"/>
  <c r="AB412" i="17" s="1"/>
  <c r="X411" i="17"/>
  <c r="W411" i="17"/>
  <c r="V411" i="17"/>
  <c r="AB411" i="17" s="1"/>
  <c r="X410" i="17"/>
  <c r="W410" i="17"/>
  <c r="V410" i="17"/>
  <c r="AB410" i="17" s="1"/>
  <c r="X409" i="17"/>
  <c r="W409" i="17"/>
  <c r="V409" i="17"/>
  <c r="AB409" i="17" s="1"/>
  <c r="X408" i="17"/>
  <c r="W408" i="17"/>
  <c r="V408" i="17"/>
  <c r="AB408" i="17" s="1"/>
  <c r="X407" i="17"/>
  <c r="W407" i="17"/>
  <c r="V407" i="17"/>
  <c r="AB407" i="17" s="1"/>
  <c r="X406" i="17"/>
  <c r="W406" i="17"/>
  <c r="V406" i="17"/>
  <c r="AB406" i="17" s="1"/>
  <c r="X405" i="17"/>
  <c r="W405" i="17"/>
  <c r="V405" i="17"/>
  <c r="AB405" i="17" s="1"/>
  <c r="X404" i="17"/>
  <c r="W404" i="17"/>
  <c r="V404" i="17"/>
  <c r="AB404" i="17" s="1"/>
  <c r="X403" i="17"/>
  <c r="W403" i="17"/>
  <c r="V403" i="17"/>
  <c r="AB403" i="17" s="1"/>
  <c r="X402" i="17"/>
  <c r="W402" i="17"/>
  <c r="V402" i="17"/>
  <c r="AB402" i="17" s="1"/>
  <c r="X401" i="17"/>
  <c r="W401" i="17"/>
  <c r="V401" i="17"/>
  <c r="AB401" i="17" s="1"/>
  <c r="X400" i="17"/>
  <c r="W400" i="17"/>
  <c r="V400" i="17"/>
  <c r="AB400" i="17" s="1"/>
  <c r="X399" i="17"/>
  <c r="W399" i="17"/>
  <c r="V399" i="17"/>
  <c r="AB399" i="17" s="1"/>
  <c r="X398" i="17"/>
  <c r="W398" i="17"/>
  <c r="V398" i="17"/>
  <c r="AB398" i="17" s="1"/>
  <c r="X397" i="17"/>
  <c r="W397" i="17"/>
  <c r="V397" i="17"/>
  <c r="AB397" i="17" s="1"/>
  <c r="X396" i="17"/>
  <c r="W396" i="17"/>
  <c r="V396" i="17"/>
  <c r="AB396" i="17" s="1"/>
  <c r="X395" i="17"/>
  <c r="W395" i="17"/>
  <c r="V395" i="17"/>
  <c r="AB395" i="17" s="1"/>
  <c r="X394" i="17"/>
  <c r="W394" i="17"/>
  <c r="V394" i="17"/>
  <c r="AB394" i="17" s="1"/>
  <c r="X393" i="17"/>
  <c r="W393" i="17"/>
  <c r="V393" i="17"/>
  <c r="AB393" i="17" s="1"/>
  <c r="X392" i="17"/>
  <c r="W392" i="17"/>
  <c r="V392" i="17"/>
  <c r="AB392" i="17" s="1"/>
  <c r="X391" i="17"/>
  <c r="W391" i="17"/>
  <c r="V391" i="17"/>
  <c r="AB391" i="17" s="1"/>
  <c r="X390" i="17"/>
  <c r="W390" i="17"/>
  <c r="V390" i="17"/>
  <c r="AB390" i="17" s="1"/>
  <c r="X389" i="17"/>
  <c r="W389" i="17"/>
  <c r="V389" i="17"/>
  <c r="AB389" i="17" s="1"/>
  <c r="X388" i="17"/>
  <c r="W388" i="17"/>
  <c r="V388" i="17"/>
  <c r="AB388" i="17" s="1"/>
  <c r="X387" i="17"/>
  <c r="W387" i="17"/>
  <c r="V387" i="17"/>
  <c r="AB387" i="17" s="1"/>
  <c r="X386" i="17"/>
  <c r="W386" i="17"/>
  <c r="V386" i="17"/>
  <c r="AB386" i="17" s="1"/>
  <c r="X385" i="17"/>
  <c r="W385" i="17"/>
  <c r="V385" i="17"/>
  <c r="AB385" i="17" s="1"/>
  <c r="X384" i="17"/>
  <c r="W384" i="17"/>
  <c r="V384" i="17"/>
  <c r="AB384" i="17" s="1"/>
  <c r="X383" i="17"/>
  <c r="W383" i="17"/>
  <c r="V383" i="17"/>
  <c r="AB383" i="17" s="1"/>
  <c r="X382" i="17"/>
  <c r="W382" i="17"/>
  <c r="V382" i="17"/>
  <c r="AB382" i="17" s="1"/>
  <c r="X381" i="17"/>
  <c r="W381" i="17"/>
  <c r="V381" i="17"/>
  <c r="AB381" i="17" s="1"/>
  <c r="X380" i="17"/>
  <c r="W380" i="17"/>
  <c r="V380" i="17"/>
  <c r="AB380" i="17" s="1"/>
  <c r="X379" i="17"/>
  <c r="W379" i="17"/>
  <c r="V379" i="17"/>
  <c r="AB379" i="17" s="1"/>
  <c r="X378" i="17"/>
  <c r="W378" i="17"/>
  <c r="V378" i="17"/>
  <c r="AB378" i="17" s="1"/>
  <c r="X377" i="17"/>
  <c r="W377" i="17"/>
  <c r="V377" i="17"/>
  <c r="AB377" i="17" s="1"/>
  <c r="X376" i="17"/>
  <c r="W376" i="17"/>
  <c r="V376" i="17"/>
  <c r="AB376" i="17" s="1"/>
  <c r="X375" i="17"/>
  <c r="W375" i="17"/>
  <c r="V375" i="17"/>
  <c r="AB375" i="17" s="1"/>
  <c r="X374" i="17"/>
  <c r="W374" i="17"/>
  <c r="V374" i="17"/>
  <c r="AB374" i="17" s="1"/>
  <c r="X373" i="17"/>
  <c r="W373" i="17"/>
  <c r="V373" i="17"/>
  <c r="AB373" i="17" s="1"/>
  <c r="X372" i="17"/>
  <c r="W372" i="17"/>
  <c r="V372" i="17"/>
  <c r="AB372" i="17" s="1"/>
  <c r="X371" i="17"/>
  <c r="W371" i="17"/>
  <c r="V371" i="17"/>
  <c r="AB371" i="17" s="1"/>
  <c r="X370" i="17"/>
  <c r="W370" i="17"/>
  <c r="V370" i="17"/>
  <c r="AB370" i="17" s="1"/>
  <c r="X369" i="17"/>
  <c r="W369" i="17"/>
  <c r="V369" i="17"/>
  <c r="AB369" i="17" s="1"/>
  <c r="X368" i="17"/>
  <c r="W368" i="17"/>
  <c r="V368" i="17"/>
  <c r="AB368" i="17" s="1"/>
  <c r="X367" i="17"/>
  <c r="W367" i="17"/>
  <c r="V367" i="17"/>
  <c r="AB367" i="17" s="1"/>
  <c r="X366" i="17"/>
  <c r="W366" i="17"/>
  <c r="V366" i="17"/>
  <c r="AB366" i="17" s="1"/>
  <c r="X365" i="17"/>
  <c r="W365" i="17"/>
  <c r="V365" i="17"/>
  <c r="AB365" i="17" s="1"/>
  <c r="X364" i="17"/>
  <c r="W364" i="17"/>
  <c r="V364" i="17"/>
  <c r="AB364" i="17" s="1"/>
  <c r="X363" i="17"/>
  <c r="W363" i="17"/>
  <c r="V363" i="17"/>
  <c r="AB363" i="17" s="1"/>
  <c r="X362" i="17"/>
  <c r="W362" i="17"/>
  <c r="V362" i="17"/>
  <c r="AB362" i="17" s="1"/>
  <c r="X361" i="17"/>
  <c r="W361" i="17"/>
  <c r="V361" i="17"/>
  <c r="AB361" i="17" s="1"/>
  <c r="X360" i="17"/>
  <c r="W360" i="17"/>
  <c r="V360" i="17"/>
  <c r="AB360" i="17" s="1"/>
  <c r="X359" i="17"/>
  <c r="W359" i="17"/>
  <c r="V359" i="17"/>
  <c r="AB359" i="17" s="1"/>
  <c r="X358" i="17"/>
  <c r="W358" i="17"/>
  <c r="V358" i="17"/>
  <c r="AB358" i="17" s="1"/>
  <c r="X357" i="17"/>
  <c r="W357" i="17"/>
  <c r="V357" i="17"/>
  <c r="AB357" i="17" s="1"/>
  <c r="X356" i="17"/>
  <c r="W356" i="17"/>
  <c r="V356" i="17"/>
  <c r="AB356" i="17" s="1"/>
  <c r="X355" i="17"/>
  <c r="W355" i="17"/>
  <c r="V355" i="17"/>
  <c r="AB355" i="17" s="1"/>
  <c r="X354" i="17"/>
  <c r="W354" i="17"/>
  <c r="V354" i="17"/>
  <c r="AB354" i="17" s="1"/>
  <c r="X353" i="17"/>
  <c r="W353" i="17"/>
  <c r="V353" i="17"/>
  <c r="AB353" i="17" s="1"/>
  <c r="X352" i="17"/>
  <c r="W352" i="17"/>
  <c r="V352" i="17"/>
  <c r="AB352" i="17" s="1"/>
  <c r="X351" i="17"/>
  <c r="W351" i="17"/>
  <c r="V351" i="17"/>
  <c r="AB351" i="17" s="1"/>
  <c r="X350" i="17"/>
  <c r="W350" i="17"/>
  <c r="V350" i="17"/>
  <c r="AB350" i="17" s="1"/>
  <c r="X349" i="17"/>
  <c r="W349" i="17"/>
  <c r="V349" i="17"/>
  <c r="AB349" i="17" s="1"/>
  <c r="X348" i="17"/>
  <c r="W348" i="17"/>
  <c r="V348" i="17"/>
  <c r="AB348" i="17" s="1"/>
  <c r="X347" i="17"/>
  <c r="W347" i="17"/>
  <c r="V347" i="17"/>
  <c r="AB347" i="17" s="1"/>
  <c r="X346" i="17"/>
  <c r="W346" i="17"/>
  <c r="V346" i="17"/>
  <c r="AB346" i="17" s="1"/>
  <c r="X345" i="17"/>
  <c r="W345" i="17"/>
  <c r="V345" i="17"/>
  <c r="AB345" i="17" s="1"/>
  <c r="X344" i="17"/>
  <c r="W344" i="17"/>
  <c r="V344" i="17"/>
  <c r="AB344" i="17" s="1"/>
  <c r="X343" i="17"/>
  <c r="W343" i="17"/>
  <c r="V343" i="17"/>
  <c r="AB343" i="17" s="1"/>
  <c r="X342" i="17"/>
  <c r="W342" i="17"/>
  <c r="AC342" i="17" s="1"/>
  <c r="V342" i="17"/>
  <c r="AB342" i="17" s="1"/>
  <c r="X341" i="17"/>
  <c r="W341" i="17"/>
  <c r="V341" i="17"/>
  <c r="AB341" i="17" s="1"/>
  <c r="X340" i="17"/>
  <c r="W340" i="17"/>
  <c r="V340" i="17"/>
  <c r="AB340" i="17" s="1"/>
  <c r="X339" i="17"/>
  <c r="W339" i="17"/>
  <c r="V339" i="17"/>
  <c r="AB339" i="17" s="1"/>
  <c r="X338" i="17"/>
  <c r="W338" i="17"/>
  <c r="AC338" i="17" s="1"/>
  <c r="V338" i="17"/>
  <c r="AB338" i="17" s="1"/>
  <c r="X337" i="17"/>
  <c r="W337" i="17"/>
  <c r="V337" i="17"/>
  <c r="AB337" i="17" s="1"/>
  <c r="X336" i="17"/>
  <c r="W336" i="17"/>
  <c r="V336" i="17"/>
  <c r="AB336" i="17" s="1"/>
  <c r="X335" i="17"/>
  <c r="W335" i="17"/>
  <c r="V335" i="17"/>
  <c r="AB335" i="17" s="1"/>
  <c r="X334" i="17"/>
  <c r="W334" i="17"/>
  <c r="AC334" i="17" s="1"/>
  <c r="V334" i="17"/>
  <c r="AB334" i="17" s="1"/>
  <c r="X333" i="17"/>
  <c r="W333" i="17"/>
  <c r="V333" i="17"/>
  <c r="AB333" i="17" s="1"/>
  <c r="X332" i="17"/>
  <c r="W332" i="17"/>
  <c r="V332" i="17"/>
  <c r="AB332" i="17" s="1"/>
  <c r="X331" i="17"/>
  <c r="W331" i="17"/>
  <c r="V331" i="17"/>
  <c r="AB331" i="17" s="1"/>
  <c r="X330" i="17"/>
  <c r="W330" i="17"/>
  <c r="AC330" i="17" s="1"/>
  <c r="V330" i="17"/>
  <c r="AB330" i="17" s="1"/>
  <c r="X329" i="17"/>
  <c r="W329" i="17"/>
  <c r="V329" i="17"/>
  <c r="AB329" i="17" s="1"/>
  <c r="X328" i="17"/>
  <c r="W328" i="17"/>
  <c r="V328" i="17"/>
  <c r="AB328" i="17" s="1"/>
  <c r="X327" i="17"/>
  <c r="W327" i="17"/>
  <c r="V327" i="17"/>
  <c r="AB327" i="17" s="1"/>
  <c r="X326" i="17"/>
  <c r="W326" i="17"/>
  <c r="AC326" i="17" s="1"/>
  <c r="V326" i="17"/>
  <c r="AB326" i="17" s="1"/>
  <c r="X325" i="17"/>
  <c r="W325" i="17"/>
  <c r="V325" i="17"/>
  <c r="AB325" i="17" s="1"/>
  <c r="X324" i="17"/>
  <c r="W324" i="17"/>
  <c r="V324" i="17"/>
  <c r="AB324" i="17" s="1"/>
  <c r="X323" i="17"/>
  <c r="W323" i="17"/>
  <c r="V323" i="17"/>
  <c r="AB323" i="17" s="1"/>
  <c r="X322" i="17"/>
  <c r="W322" i="17"/>
  <c r="AC322" i="17" s="1"/>
  <c r="V322" i="17"/>
  <c r="AB322" i="17" s="1"/>
  <c r="X321" i="17"/>
  <c r="W321" i="17"/>
  <c r="V321" i="17"/>
  <c r="AB321" i="17" s="1"/>
  <c r="X320" i="17"/>
  <c r="W320" i="17"/>
  <c r="V320" i="17"/>
  <c r="AB320" i="17" s="1"/>
  <c r="X319" i="17"/>
  <c r="W319" i="17"/>
  <c r="V319" i="17"/>
  <c r="AB319" i="17" s="1"/>
  <c r="X318" i="17"/>
  <c r="W318" i="17"/>
  <c r="V318" i="17"/>
  <c r="AB318" i="17" s="1"/>
  <c r="X317" i="17"/>
  <c r="W317" i="17"/>
  <c r="AC317" i="17" s="1"/>
  <c r="V317" i="17"/>
  <c r="AB317" i="17" s="1"/>
  <c r="X316" i="17"/>
  <c r="W316" i="17"/>
  <c r="V316" i="17"/>
  <c r="AB316" i="17" s="1"/>
  <c r="X315" i="17"/>
  <c r="W315" i="17"/>
  <c r="V315" i="17"/>
  <c r="AB315" i="17" s="1"/>
  <c r="X314" i="17"/>
  <c r="W314" i="17"/>
  <c r="V314" i="17"/>
  <c r="AB314" i="17" s="1"/>
  <c r="X313" i="17"/>
  <c r="W313" i="17"/>
  <c r="AC313" i="17" s="1"/>
  <c r="V313" i="17"/>
  <c r="AB313" i="17" s="1"/>
  <c r="X312" i="17"/>
  <c r="W312" i="17"/>
  <c r="V312" i="17"/>
  <c r="AB312" i="17" s="1"/>
  <c r="X311" i="17"/>
  <c r="W311" i="17"/>
  <c r="V311" i="17"/>
  <c r="AB311" i="17" s="1"/>
  <c r="X310" i="17"/>
  <c r="W310" i="17"/>
  <c r="V310" i="17"/>
  <c r="AB310" i="17" s="1"/>
  <c r="X309" i="17"/>
  <c r="W309" i="17"/>
  <c r="AC309" i="17" s="1"/>
  <c r="V309" i="17"/>
  <c r="AB309" i="17" s="1"/>
  <c r="X308" i="17"/>
  <c r="W308" i="17"/>
  <c r="V308" i="17"/>
  <c r="AB308" i="17" s="1"/>
  <c r="X307" i="17"/>
  <c r="W307" i="17"/>
  <c r="V307" i="17"/>
  <c r="AB307" i="17" s="1"/>
  <c r="X306" i="17"/>
  <c r="W306" i="17"/>
  <c r="V306" i="17"/>
  <c r="AB306" i="17" s="1"/>
  <c r="X305" i="17"/>
  <c r="W305" i="17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V302" i="17"/>
  <c r="AB302" i="17" s="1"/>
  <c r="X301" i="17"/>
  <c r="W301" i="17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V298" i="17"/>
  <c r="AB298" i="17" s="1"/>
  <c r="X297" i="17"/>
  <c r="W297" i="17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V294" i="17"/>
  <c r="AB294" i="17" s="1"/>
  <c r="X293" i="17"/>
  <c r="W293" i="17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V290" i="17"/>
  <c r="AB290" i="17" s="1"/>
  <c r="X289" i="17"/>
  <c r="W289" i="17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V286" i="17"/>
  <c r="AB286" i="17" s="1"/>
  <c r="X285" i="17"/>
  <c r="W285" i="17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V282" i="17"/>
  <c r="AB282" i="17" s="1"/>
  <c r="X281" i="17"/>
  <c r="W281" i="17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V278" i="17"/>
  <c r="AB278" i="17" s="1"/>
  <c r="X277" i="17"/>
  <c r="W277" i="17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V274" i="17"/>
  <c r="AB274" i="17" s="1"/>
  <c r="X273" i="17"/>
  <c r="W273" i="17"/>
  <c r="AC273" i="17" s="1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V270" i="17"/>
  <c r="AB270" i="17" s="1"/>
  <c r="X269" i="17"/>
  <c r="W269" i="17"/>
  <c r="AC269" i="17" s="1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V266" i="17"/>
  <c r="AB266" i="17" s="1"/>
  <c r="X265" i="17"/>
  <c r="W265" i="17"/>
  <c r="AC265" i="17" s="1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V262" i="17"/>
  <c r="AB262" i="17" s="1"/>
  <c r="X261" i="17"/>
  <c r="W261" i="17"/>
  <c r="AC261" i="17" s="1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V258" i="17"/>
  <c r="AB258" i="17" s="1"/>
  <c r="X257" i="17"/>
  <c r="W257" i="17"/>
  <c r="AC257" i="17" s="1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V254" i="17"/>
  <c r="AB254" i="17" s="1"/>
  <c r="X253" i="17"/>
  <c r="W253" i="17"/>
  <c r="AC253" i="17" s="1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V250" i="17"/>
  <c r="AB250" i="17" s="1"/>
  <c r="X249" i="17"/>
  <c r="W249" i="17"/>
  <c r="AC249" i="17" s="1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V246" i="17"/>
  <c r="AB246" i="17" s="1"/>
  <c r="X245" i="17"/>
  <c r="W245" i="17"/>
  <c r="AC245" i="17" s="1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V242" i="17"/>
  <c r="AB242" i="17" s="1"/>
  <c r="X241" i="17"/>
  <c r="W241" i="17"/>
  <c r="AC241" i="17" s="1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V238" i="17"/>
  <c r="AB238" i="17" s="1"/>
  <c r="X237" i="17"/>
  <c r="W237" i="17"/>
  <c r="AC237" i="17" s="1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V234" i="17"/>
  <c r="AB234" i="17" s="1"/>
  <c r="X233" i="17"/>
  <c r="W233" i="17"/>
  <c r="AC233" i="17" s="1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AC230" i="17" s="1"/>
  <c r="V230" i="17"/>
  <c r="AB230" i="17" s="1"/>
  <c r="X229" i="17"/>
  <c r="W229" i="17"/>
  <c r="AC229" i="17" s="1"/>
  <c r="V229" i="17"/>
  <c r="AB229" i="17" s="1"/>
  <c r="X228" i="17"/>
  <c r="W228" i="17"/>
  <c r="V228" i="17"/>
  <c r="AB228" i="17" s="1"/>
  <c r="X227" i="17"/>
  <c r="W227" i="17"/>
  <c r="V227" i="17"/>
  <c r="AB227" i="17" s="1"/>
  <c r="X226" i="17"/>
  <c r="W226" i="17"/>
  <c r="AC226" i="17" s="1"/>
  <c r="V226" i="17"/>
  <c r="AB226" i="17" s="1"/>
  <c r="X225" i="17"/>
  <c r="W225" i="17"/>
  <c r="AC225" i="17" s="1"/>
  <c r="V225" i="17"/>
  <c r="AB225" i="17" s="1"/>
  <c r="X224" i="17"/>
  <c r="W224" i="17"/>
  <c r="V224" i="17"/>
  <c r="AB224" i="17" s="1"/>
  <c r="X223" i="17"/>
  <c r="W223" i="17"/>
  <c r="V223" i="17"/>
  <c r="AB223" i="17" s="1"/>
  <c r="X222" i="17"/>
  <c r="W222" i="17"/>
  <c r="AC222" i="17" s="1"/>
  <c r="V222" i="17"/>
  <c r="AB222" i="17" s="1"/>
  <c r="X221" i="17"/>
  <c r="W221" i="17"/>
  <c r="AC221" i="17" s="1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AC218" i="17" s="1"/>
  <c r="V218" i="17"/>
  <c r="AB218" i="17" s="1"/>
  <c r="X217" i="17"/>
  <c r="W217" i="17"/>
  <c r="AC217" i="17" s="1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AC214" i="17" s="1"/>
  <c r="V214" i="17"/>
  <c r="AB214" i="17" s="1"/>
  <c r="X213" i="17"/>
  <c r="W213" i="17"/>
  <c r="AC213" i="17" s="1"/>
  <c r="V213" i="17"/>
  <c r="AB213" i="17" s="1"/>
  <c r="X212" i="17"/>
  <c r="W212" i="17"/>
  <c r="V212" i="17"/>
  <c r="AB212" i="17" s="1"/>
  <c r="X211" i="17"/>
  <c r="W211" i="17"/>
  <c r="V211" i="17"/>
  <c r="AB211" i="17" s="1"/>
  <c r="X210" i="17"/>
  <c r="W210" i="17"/>
  <c r="AC210" i="17" s="1"/>
  <c r="V210" i="17"/>
  <c r="AB210" i="17" s="1"/>
  <c r="X209" i="17"/>
  <c r="W209" i="17"/>
  <c r="AC209" i="17" s="1"/>
  <c r="V209" i="17"/>
  <c r="AB209" i="17" s="1"/>
  <c r="X208" i="17"/>
  <c r="W208" i="17"/>
  <c r="V208" i="17"/>
  <c r="AB208" i="17" s="1"/>
  <c r="X207" i="17"/>
  <c r="W207" i="17"/>
  <c r="V207" i="17"/>
  <c r="AB207" i="17" s="1"/>
  <c r="X206" i="17"/>
  <c r="W206" i="17"/>
  <c r="AC206" i="17" s="1"/>
  <c r="V206" i="17"/>
  <c r="AB206" i="17" s="1"/>
  <c r="X205" i="17"/>
  <c r="W205" i="17"/>
  <c r="AC205" i="17" s="1"/>
  <c r="V205" i="17"/>
  <c r="AB205" i="17" s="1"/>
  <c r="X204" i="17"/>
  <c r="W204" i="17"/>
  <c r="V204" i="17"/>
  <c r="AB204" i="17" s="1"/>
  <c r="X203" i="17"/>
  <c r="W203" i="17"/>
  <c r="V203" i="17"/>
  <c r="AB203" i="17" s="1"/>
  <c r="X202" i="17"/>
  <c r="W202" i="17"/>
  <c r="AC202" i="17" s="1"/>
  <c r="V202" i="17"/>
  <c r="AB202" i="17" s="1"/>
  <c r="X201" i="17"/>
  <c r="W201" i="17"/>
  <c r="AC201" i="17" s="1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AC198" i="17" s="1"/>
  <c r="V198" i="17"/>
  <c r="AB198" i="17" s="1"/>
  <c r="X197" i="17"/>
  <c r="W197" i="17"/>
  <c r="AC197" i="17" s="1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AC194" i="17" s="1"/>
  <c r="V194" i="17"/>
  <c r="AB194" i="17" s="1"/>
  <c r="X193" i="17"/>
  <c r="W193" i="17"/>
  <c r="AC193" i="17" s="1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AC190" i="17" s="1"/>
  <c r="V190" i="17"/>
  <c r="AB190" i="17" s="1"/>
  <c r="X189" i="17"/>
  <c r="W189" i="17"/>
  <c r="AC189" i="17" s="1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AC186" i="17" s="1"/>
  <c r="V186" i="17"/>
  <c r="AB186" i="17" s="1"/>
  <c r="X185" i="17"/>
  <c r="W185" i="17"/>
  <c r="AC185" i="17" s="1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AC182" i="17" s="1"/>
  <c r="V182" i="17"/>
  <c r="AB182" i="17" s="1"/>
  <c r="X181" i="17"/>
  <c r="W181" i="17"/>
  <c r="AC181" i="17" s="1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AC178" i="17" s="1"/>
  <c r="V178" i="17"/>
  <c r="AB178" i="17" s="1"/>
  <c r="X177" i="17"/>
  <c r="W177" i="17"/>
  <c r="AC177" i="17" s="1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AC174" i="17" s="1"/>
  <c r="V174" i="17"/>
  <c r="AB174" i="17" s="1"/>
  <c r="X173" i="17"/>
  <c r="W173" i="17"/>
  <c r="AC173" i="17" s="1"/>
  <c r="V173" i="17"/>
  <c r="AB173" i="17" s="1"/>
  <c r="X172" i="17"/>
  <c r="W172" i="17"/>
  <c r="V172" i="17"/>
  <c r="AB172" i="17" s="1"/>
  <c r="X171" i="17"/>
  <c r="W171" i="17"/>
  <c r="V171" i="17"/>
  <c r="AB171" i="17" s="1"/>
  <c r="X170" i="17"/>
  <c r="W170" i="17"/>
  <c r="AC170" i="17" s="1"/>
  <c r="V170" i="17"/>
  <c r="AB170" i="17" s="1"/>
  <c r="V169" i="17"/>
  <c r="AB169" i="17" s="1"/>
  <c r="V168" i="17"/>
  <c r="AB168" i="17" s="1"/>
  <c r="V167" i="17"/>
  <c r="AB167" i="17" s="1"/>
  <c r="V166" i="17"/>
  <c r="AB166" i="17" s="1"/>
  <c r="V165" i="17"/>
  <c r="AB165" i="17" s="1"/>
  <c r="V164" i="17"/>
  <c r="AB164" i="17" s="1"/>
  <c r="V163" i="17"/>
  <c r="AB163" i="17" s="1"/>
  <c r="V162" i="17"/>
  <c r="AB162" i="17" s="1"/>
  <c r="V161" i="17"/>
  <c r="AB161" i="17" s="1"/>
  <c r="V160" i="17"/>
  <c r="AB160" i="17" s="1"/>
  <c r="V159" i="17"/>
  <c r="AB159" i="17" s="1"/>
  <c r="V158" i="17"/>
  <c r="AB158" i="17" s="1"/>
  <c r="X157" i="17"/>
  <c r="W157" i="17"/>
  <c r="AC157" i="17" s="1"/>
  <c r="X156" i="17"/>
  <c r="W156" i="17"/>
  <c r="X155" i="17"/>
  <c r="W155" i="17"/>
  <c r="AC155" i="17" s="1"/>
  <c r="X154" i="17"/>
  <c r="W154" i="17"/>
  <c r="X153" i="17"/>
  <c r="W153" i="17"/>
  <c r="AC153" i="17" s="1"/>
  <c r="X152" i="17"/>
  <c r="AC152" i="17" s="1"/>
  <c r="W152" i="17"/>
  <c r="X151" i="17"/>
  <c r="W151" i="17"/>
  <c r="AC151" i="17" s="1"/>
  <c r="X150" i="17"/>
  <c r="W150" i="17"/>
  <c r="X149" i="17"/>
  <c r="W149" i="17"/>
  <c r="AC149" i="17" s="1"/>
  <c r="X148" i="17"/>
  <c r="W148" i="17"/>
  <c r="X147" i="17"/>
  <c r="W147" i="17"/>
  <c r="AC147" i="17" s="1"/>
  <c r="X146" i="17"/>
  <c r="W146" i="17"/>
  <c r="V145" i="17"/>
  <c r="AB145" i="17" s="1"/>
  <c r="V144" i="17"/>
  <c r="AB144" i="17" s="1"/>
  <c r="V143" i="17"/>
  <c r="AB143" i="17" s="1"/>
  <c r="V142" i="17"/>
  <c r="AB142" i="17" s="1"/>
  <c r="V141" i="17"/>
  <c r="AB141" i="17" s="1"/>
  <c r="V140" i="17"/>
  <c r="AB140" i="17" s="1"/>
  <c r="V139" i="17"/>
  <c r="AB139" i="17" s="1"/>
  <c r="V138" i="17"/>
  <c r="AB138" i="17" s="1"/>
  <c r="V137" i="17"/>
  <c r="AB137" i="17" s="1"/>
  <c r="V136" i="17"/>
  <c r="AB136" i="17" s="1"/>
  <c r="V135" i="17"/>
  <c r="AB135" i="17" s="1"/>
  <c r="V134" i="17"/>
  <c r="AB134" i="17" s="1"/>
  <c r="V133" i="17"/>
  <c r="AB133" i="17" s="1"/>
  <c r="V132" i="17"/>
  <c r="AB132" i="17" s="1"/>
  <c r="V131" i="17"/>
  <c r="AB131" i="17" s="1"/>
  <c r="V130" i="17"/>
  <c r="AB130" i="17" s="1"/>
  <c r="V129" i="17"/>
  <c r="AB129" i="17" s="1"/>
  <c r="V128" i="17"/>
  <c r="AB128" i="17" s="1"/>
  <c r="V127" i="17"/>
  <c r="AB127" i="17" s="1"/>
  <c r="V126" i="17"/>
  <c r="AB126" i="17" s="1"/>
  <c r="V125" i="17"/>
  <c r="V124" i="17"/>
  <c r="AB124" i="17" s="1"/>
  <c r="V123" i="17"/>
  <c r="AB123" i="17" s="1"/>
  <c r="V122" i="17"/>
  <c r="AB122" i="17" s="1"/>
  <c r="X121" i="17"/>
  <c r="W121" i="17"/>
  <c r="AC121" i="17" s="1"/>
  <c r="X120" i="17"/>
  <c r="W120" i="17"/>
  <c r="X119" i="17"/>
  <c r="W119" i="17"/>
  <c r="AC119" i="17" s="1"/>
  <c r="X118" i="17"/>
  <c r="W118" i="17"/>
  <c r="X117" i="17"/>
  <c r="W117" i="17"/>
  <c r="AC117" i="17" s="1"/>
  <c r="X116" i="17"/>
  <c r="W116" i="17"/>
  <c r="X115" i="17"/>
  <c r="W115" i="17"/>
  <c r="AC115" i="17" s="1"/>
  <c r="X114" i="17"/>
  <c r="W114" i="17"/>
  <c r="X113" i="17"/>
  <c r="W113" i="17"/>
  <c r="AC113" i="17" s="1"/>
  <c r="X112" i="17"/>
  <c r="W112" i="17"/>
  <c r="X111" i="17"/>
  <c r="W111" i="17"/>
  <c r="AC111" i="17" s="1"/>
  <c r="X110" i="17"/>
  <c r="W110" i="17"/>
  <c r="V109" i="17"/>
  <c r="AB109" i="17" s="1"/>
  <c r="V108" i="17"/>
  <c r="AB108" i="17" s="1"/>
  <c r="V107" i="17"/>
  <c r="AB107" i="17" s="1"/>
  <c r="V106" i="17"/>
  <c r="AB106" i="17" s="1"/>
  <c r="V105" i="17"/>
  <c r="AB105" i="17" s="1"/>
  <c r="V104" i="17"/>
  <c r="AB104" i="17" s="1"/>
  <c r="V103" i="17"/>
  <c r="AB103" i="17" s="1"/>
  <c r="V102" i="17"/>
  <c r="AB102" i="17" s="1"/>
  <c r="V101" i="17"/>
  <c r="AB101" i="17" s="1"/>
  <c r="V100" i="17"/>
  <c r="AB100" i="17" s="1"/>
  <c r="V99" i="17"/>
  <c r="AB99" i="17" s="1"/>
  <c r="V98" i="17"/>
  <c r="X97" i="17"/>
  <c r="W97" i="17"/>
  <c r="AC97" i="17" s="1"/>
  <c r="V97" i="17"/>
  <c r="AB97" i="17" s="1"/>
  <c r="X96" i="17"/>
  <c r="W96" i="17"/>
  <c r="V96" i="17"/>
  <c r="AB96" i="17" s="1"/>
  <c r="X95" i="17"/>
  <c r="W95" i="17"/>
  <c r="V95" i="17"/>
  <c r="AB95" i="17" s="1"/>
  <c r="X94" i="17"/>
  <c r="W94" i="17"/>
  <c r="AC94" i="17" s="1"/>
  <c r="V94" i="17"/>
  <c r="AB94" i="17" s="1"/>
  <c r="X93" i="17"/>
  <c r="W93" i="17"/>
  <c r="AC93" i="17" s="1"/>
  <c r="V93" i="17"/>
  <c r="AB93" i="17" s="1"/>
  <c r="X92" i="17"/>
  <c r="W92" i="17"/>
  <c r="V92" i="17"/>
  <c r="AB92" i="17" s="1"/>
  <c r="X91" i="17"/>
  <c r="W91" i="17"/>
  <c r="V91" i="17"/>
  <c r="AB91" i="17" s="1"/>
  <c r="X90" i="17"/>
  <c r="W90" i="17"/>
  <c r="AC90" i="17" s="1"/>
  <c r="V90" i="17"/>
  <c r="AB90" i="17" s="1"/>
  <c r="X89" i="17"/>
  <c r="W89" i="17"/>
  <c r="AC89" i="17" s="1"/>
  <c r="V89" i="17"/>
  <c r="AB89" i="17" s="1"/>
  <c r="X88" i="17"/>
  <c r="W88" i="17"/>
  <c r="V88" i="17"/>
  <c r="AB88" i="17" s="1"/>
  <c r="X87" i="17"/>
  <c r="W87" i="17"/>
  <c r="V87" i="17"/>
  <c r="AB87" i="17" s="1"/>
  <c r="X86" i="17"/>
  <c r="W86" i="17"/>
  <c r="AC86" i="17" s="1"/>
  <c r="V86" i="17"/>
  <c r="AB86" i="17" s="1"/>
  <c r="X85" i="17"/>
  <c r="W85" i="17"/>
  <c r="AC85" i="17" s="1"/>
  <c r="V85" i="17"/>
  <c r="AB85" i="17" s="1"/>
  <c r="X84" i="17"/>
  <c r="W84" i="17"/>
  <c r="V84" i="17"/>
  <c r="AB84" i="17" s="1"/>
  <c r="X83" i="17"/>
  <c r="W83" i="17"/>
  <c r="V83" i="17"/>
  <c r="AB83" i="17" s="1"/>
  <c r="X82" i="17"/>
  <c r="W82" i="17"/>
  <c r="AC82" i="17" s="1"/>
  <c r="V82" i="17"/>
  <c r="AB82" i="17" s="1"/>
  <c r="X81" i="17"/>
  <c r="W81" i="17"/>
  <c r="AC81" i="17" s="1"/>
  <c r="V81" i="17"/>
  <c r="AB81" i="17" s="1"/>
  <c r="X80" i="17"/>
  <c r="W80" i="17"/>
  <c r="V80" i="17"/>
  <c r="AB80" i="17" s="1"/>
  <c r="X79" i="17"/>
  <c r="W79" i="17"/>
  <c r="V79" i="17"/>
  <c r="AB79" i="17" s="1"/>
  <c r="X78" i="17"/>
  <c r="W78" i="17"/>
  <c r="AC78" i="17" s="1"/>
  <c r="V78" i="17"/>
  <c r="AB78" i="17" s="1"/>
  <c r="X77" i="17"/>
  <c r="W77" i="17"/>
  <c r="AC77" i="17" s="1"/>
  <c r="V77" i="17"/>
  <c r="AB77" i="17" s="1"/>
  <c r="X76" i="17"/>
  <c r="W76" i="17"/>
  <c r="V76" i="17"/>
  <c r="AB76" i="17" s="1"/>
  <c r="X75" i="17"/>
  <c r="W75" i="17"/>
  <c r="V75" i="17"/>
  <c r="AB75" i="17" s="1"/>
  <c r="X74" i="17"/>
  <c r="W74" i="17"/>
  <c r="AC74" i="17" s="1"/>
  <c r="V74" i="17"/>
  <c r="AB74" i="17" s="1"/>
  <c r="X73" i="17"/>
  <c r="W73" i="17"/>
  <c r="AC73" i="17" s="1"/>
  <c r="V73" i="17"/>
  <c r="AB73" i="17" s="1"/>
  <c r="X72" i="17"/>
  <c r="W72" i="17"/>
  <c r="V72" i="17"/>
  <c r="AB72" i="17" s="1"/>
  <c r="X71" i="17"/>
  <c r="W71" i="17"/>
  <c r="V71" i="17"/>
  <c r="AB71" i="17" s="1"/>
  <c r="X70" i="17"/>
  <c r="W70" i="17"/>
  <c r="AC70" i="17" s="1"/>
  <c r="V70" i="17"/>
  <c r="AB70" i="17" s="1"/>
  <c r="X69" i="17"/>
  <c r="W69" i="17"/>
  <c r="AC69" i="17" s="1"/>
  <c r="V69" i="17"/>
  <c r="AB69" i="17" s="1"/>
  <c r="X68" i="17"/>
  <c r="W68" i="17"/>
  <c r="V68" i="17"/>
  <c r="AB68" i="17" s="1"/>
  <c r="X67" i="17"/>
  <c r="W67" i="17"/>
  <c r="V67" i="17"/>
  <c r="AB67" i="17" s="1"/>
  <c r="X66" i="17"/>
  <c r="W66" i="17"/>
  <c r="AC66" i="17" s="1"/>
  <c r="V66" i="17"/>
  <c r="AB66" i="17" s="1"/>
  <c r="X65" i="17"/>
  <c r="W65" i="17"/>
  <c r="AC65" i="17" s="1"/>
  <c r="V65" i="17"/>
  <c r="AB65" i="17" s="1"/>
  <c r="X64" i="17"/>
  <c r="W64" i="17"/>
  <c r="V64" i="17"/>
  <c r="AB64" i="17" s="1"/>
  <c r="X63" i="17"/>
  <c r="W63" i="17"/>
  <c r="V63" i="17"/>
  <c r="AB63" i="17" s="1"/>
  <c r="X62" i="17"/>
  <c r="W62" i="17"/>
  <c r="AC62" i="17" s="1"/>
  <c r="V62" i="17"/>
  <c r="AB62" i="17" s="1"/>
  <c r="X37" i="17"/>
  <c r="W37" i="17"/>
  <c r="AC37" i="17" s="1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AC30" i="17" s="1"/>
  <c r="V30" i="17"/>
  <c r="AB30" i="17" s="1"/>
  <c r="X29" i="17"/>
  <c r="W29" i="17"/>
  <c r="AC29" i="17" s="1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AC25" i="17" s="1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AC21" i="17" s="1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AC17" i="17" s="1"/>
  <c r="V17" i="17"/>
  <c r="AB17" i="17" s="1"/>
  <c r="X16" i="17"/>
  <c r="W16" i="17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AC10" i="17" s="1"/>
  <c r="V10" i="17"/>
  <c r="AB10" i="17" s="1"/>
  <c r="X9" i="17"/>
  <c r="W9" i="17"/>
  <c r="AC9" i="17" s="1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AC2" i="17" s="1"/>
  <c r="V2" i="17"/>
  <c r="AB2" i="17" s="1"/>
  <c r="AE1214" i="16"/>
  <c r="AE1213" i="16"/>
  <c r="AE1212" i="16"/>
  <c r="AE1211" i="16"/>
  <c r="AE1210" i="16"/>
  <c r="AE1209" i="16"/>
  <c r="AE1208" i="16"/>
  <c r="AE1207" i="16"/>
  <c r="AE1206" i="16"/>
  <c r="AE1205" i="16"/>
  <c r="AE1204" i="16"/>
  <c r="AE1203" i="16"/>
  <c r="AA12" i="21" s="1"/>
  <c r="AE1202" i="16"/>
  <c r="AD1202" i="16"/>
  <c r="AC1202" i="16"/>
  <c r="AE1201" i="16"/>
  <c r="AD1201" i="16"/>
  <c r="AC1201" i="16"/>
  <c r="AE1200" i="16"/>
  <c r="AD1200" i="16"/>
  <c r="AC1200" i="16"/>
  <c r="AE1199" i="16"/>
  <c r="AD1199" i="16"/>
  <c r="AC1199" i="16"/>
  <c r="AE1198" i="16"/>
  <c r="AD1198" i="16"/>
  <c r="AC1198" i="16"/>
  <c r="AE1197" i="16"/>
  <c r="AD1197" i="16"/>
  <c r="AC1197" i="16"/>
  <c r="AE1196" i="16"/>
  <c r="AD1196" i="16"/>
  <c r="AC1196" i="16"/>
  <c r="AE1195" i="16"/>
  <c r="AD1195" i="16"/>
  <c r="AC1195" i="16"/>
  <c r="AE1194" i="16"/>
  <c r="AD1194" i="16"/>
  <c r="AC1194" i="16"/>
  <c r="AE1193" i="16"/>
  <c r="AD1193" i="16"/>
  <c r="AC1193" i="16"/>
  <c r="AE1192" i="16"/>
  <c r="AD1192" i="16"/>
  <c r="AC1192" i="16"/>
  <c r="AE1191" i="16"/>
  <c r="AD1191" i="16"/>
  <c r="AC1191" i="16"/>
  <c r="AE1190" i="16"/>
  <c r="AD1190" i="16"/>
  <c r="AC1190" i="16"/>
  <c r="AE1189" i="16"/>
  <c r="AE1188" i="16"/>
  <c r="AE1187" i="16"/>
  <c r="AE1186" i="16"/>
  <c r="AE1185" i="16"/>
  <c r="AE1184" i="16"/>
  <c r="AE1183" i="16"/>
  <c r="AE1182" i="16"/>
  <c r="AE1181" i="16"/>
  <c r="AE1180" i="16"/>
  <c r="AE1179" i="16"/>
  <c r="AE1178" i="16"/>
  <c r="AE1177" i="16"/>
  <c r="AE1176" i="16"/>
  <c r="AE1175" i="16"/>
  <c r="AE1174" i="16"/>
  <c r="AE1173" i="16"/>
  <c r="AE1172" i="16"/>
  <c r="AE1171" i="16"/>
  <c r="AE1170" i="16"/>
  <c r="AE1169" i="16"/>
  <c r="AE1168" i="16"/>
  <c r="AE1167" i="16"/>
  <c r="AE1166" i="16"/>
  <c r="AE1165" i="16"/>
  <c r="AE1164" i="16"/>
  <c r="AE1163" i="16"/>
  <c r="AE1162" i="16"/>
  <c r="AE1161" i="16"/>
  <c r="AE1160" i="16"/>
  <c r="AE1159" i="16"/>
  <c r="AE1158" i="16"/>
  <c r="AE1157" i="16"/>
  <c r="AE1156" i="16"/>
  <c r="AE1155" i="16"/>
  <c r="AE1154" i="16"/>
  <c r="AE1153" i="16"/>
  <c r="AE1152" i="16"/>
  <c r="AE1151" i="16"/>
  <c r="AE1150" i="16"/>
  <c r="AE1149" i="16"/>
  <c r="AE1148" i="16"/>
  <c r="AE1147" i="16"/>
  <c r="AE1146" i="16"/>
  <c r="AE1145" i="16"/>
  <c r="AE1144" i="16"/>
  <c r="AE1143" i="16"/>
  <c r="AE1142" i="16"/>
  <c r="AE1141" i="16"/>
  <c r="AE1140" i="16"/>
  <c r="AE1139" i="16"/>
  <c r="AE1138" i="16"/>
  <c r="AE1137" i="16"/>
  <c r="AE1136" i="16"/>
  <c r="AE1135" i="16"/>
  <c r="AE1134" i="16"/>
  <c r="AE1133" i="16"/>
  <c r="AE1132" i="16"/>
  <c r="AE1131" i="16"/>
  <c r="AE1130" i="16"/>
  <c r="AE1129" i="16"/>
  <c r="AE1128" i="16"/>
  <c r="AE1127" i="16"/>
  <c r="AE1126" i="16"/>
  <c r="AE1125" i="16"/>
  <c r="AE1124" i="16"/>
  <c r="AE1123" i="16"/>
  <c r="AE1122" i="16"/>
  <c r="AE1121" i="16"/>
  <c r="AE1120" i="16"/>
  <c r="AE1119" i="16"/>
  <c r="AE1118" i="16"/>
  <c r="AE1117" i="16"/>
  <c r="AE1116" i="16"/>
  <c r="AE1115" i="16"/>
  <c r="AE1114" i="16"/>
  <c r="AE1113" i="16"/>
  <c r="AE1112" i="16"/>
  <c r="AE1111" i="16"/>
  <c r="AE1110" i="16"/>
  <c r="AE1109" i="16"/>
  <c r="AE1108" i="16"/>
  <c r="AE1107" i="16"/>
  <c r="AE1106" i="16"/>
  <c r="AE1105" i="16"/>
  <c r="AE1104" i="16"/>
  <c r="AE1103" i="16"/>
  <c r="AE1102" i="16"/>
  <c r="AE1101" i="16"/>
  <c r="AE1100" i="16"/>
  <c r="AE1099" i="16"/>
  <c r="AE1098" i="16"/>
  <c r="AE1097" i="16"/>
  <c r="AE1096" i="16"/>
  <c r="AE1095" i="16"/>
  <c r="AE1094" i="16"/>
  <c r="AE1093" i="16"/>
  <c r="AE1092" i="16"/>
  <c r="AE1091" i="16"/>
  <c r="AE1090" i="16"/>
  <c r="AE1089" i="16"/>
  <c r="AE1088" i="16"/>
  <c r="AE1087" i="16"/>
  <c r="AE1086" i="16"/>
  <c r="AE1085" i="16"/>
  <c r="AE1084" i="16"/>
  <c r="AE1083" i="16"/>
  <c r="AE1082" i="16"/>
  <c r="AE1081" i="16"/>
  <c r="AE1080" i="16"/>
  <c r="AE1079" i="16"/>
  <c r="AE1078" i="16"/>
  <c r="AE1077" i="16"/>
  <c r="AE1076" i="16"/>
  <c r="AE1075" i="16"/>
  <c r="AE1074" i="16"/>
  <c r="AE1073" i="16"/>
  <c r="AE1072" i="16"/>
  <c r="AE1071" i="16"/>
  <c r="AE1070" i="16"/>
  <c r="AE1069" i="16"/>
  <c r="AE1068" i="16"/>
  <c r="AE1067" i="16"/>
  <c r="AE1066" i="16"/>
  <c r="AE1065" i="16"/>
  <c r="AE1064" i="16"/>
  <c r="AE1063" i="16"/>
  <c r="AE1062" i="16"/>
  <c r="AE1061" i="16"/>
  <c r="AE1060" i="16"/>
  <c r="AE1059" i="16"/>
  <c r="AE1058" i="16"/>
  <c r="AE1057" i="16"/>
  <c r="AE1056" i="16"/>
  <c r="AE1055" i="16"/>
  <c r="AE1054" i="16"/>
  <c r="AE1053" i="16"/>
  <c r="AE1052" i="16"/>
  <c r="AE1051" i="16"/>
  <c r="AE1050" i="16"/>
  <c r="AE1049" i="16"/>
  <c r="AE1048" i="16"/>
  <c r="AE1047" i="16"/>
  <c r="AE1046" i="16"/>
  <c r="AE1045" i="16"/>
  <c r="AE1044" i="16"/>
  <c r="AE1043" i="16"/>
  <c r="AE1042" i="16"/>
  <c r="AE1041" i="16"/>
  <c r="AE1040" i="16"/>
  <c r="AE1039" i="16"/>
  <c r="AE1038" i="16"/>
  <c r="AE1037" i="16"/>
  <c r="AE1036" i="16"/>
  <c r="AE1035" i="16"/>
  <c r="AE1034" i="16"/>
  <c r="AE1033" i="16"/>
  <c r="AE1032" i="16"/>
  <c r="AE1031" i="16"/>
  <c r="AE1030" i="16"/>
  <c r="AE1029" i="16"/>
  <c r="AE1028" i="16"/>
  <c r="AE1027" i="16"/>
  <c r="AE1026" i="16"/>
  <c r="AE1025" i="16"/>
  <c r="AE1024" i="16"/>
  <c r="AE1023" i="16"/>
  <c r="AE1022" i="16"/>
  <c r="AE1021" i="16"/>
  <c r="AE1020" i="16"/>
  <c r="AE1019" i="16"/>
  <c r="AE1018" i="16"/>
  <c r="AE1017" i="16"/>
  <c r="AE1016" i="16"/>
  <c r="AE1015" i="16"/>
  <c r="AE1014" i="16"/>
  <c r="AE1013" i="16"/>
  <c r="AE1012" i="16"/>
  <c r="AE1011" i="16"/>
  <c r="AE1010" i="16"/>
  <c r="AE1009" i="16"/>
  <c r="AE1008" i="16"/>
  <c r="AE1007" i="16"/>
  <c r="AE1006" i="16"/>
  <c r="AE1005" i="16"/>
  <c r="AE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E975" i="16"/>
  <c r="AE974" i="16"/>
  <c r="AE973" i="16"/>
  <c r="AE972" i="16"/>
  <c r="AE971" i="16"/>
  <c r="AE970" i="16"/>
  <c r="AE969" i="16"/>
  <c r="AE968" i="16"/>
  <c r="AE967" i="16"/>
  <c r="AE966" i="16"/>
  <c r="AE965" i="16"/>
  <c r="AE964" i="16"/>
  <c r="AE963" i="16"/>
  <c r="AE962" i="16"/>
  <c r="AE961" i="16"/>
  <c r="AE960" i="16"/>
  <c r="AE959" i="16"/>
  <c r="AE958" i="16"/>
  <c r="AE957" i="16"/>
  <c r="AE956" i="16"/>
  <c r="AE955" i="16"/>
  <c r="AE954" i="16"/>
  <c r="AE953" i="16"/>
  <c r="AE952" i="16"/>
  <c r="AE951" i="16"/>
  <c r="AE950" i="16"/>
  <c r="AE949" i="16"/>
  <c r="AE948" i="16"/>
  <c r="AE947" i="16"/>
  <c r="AC947" i="16"/>
  <c r="AE946" i="16"/>
  <c r="AE945" i="16"/>
  <c r="AE944" i="16"/>
  <c r="AE943" i="16"/>
  <c r="AE942" i="16"/>
  <c r="AE941" i="16"/>
  <c r="AE940" i="16"/>
  <c r="AE939" i="16"/>
  <c r="AE938" i="16"/>
  <c r="AE937" i="16"/>
  <c r="AE936" i="16"/>
  <c r="AE935" i="16"/>
  <c r="AE934" i="16"/>
  <c r="AE933" i="16"/>
  <c r="AE932" i="16"/>
  <c r="AE931" i="16"/>
  <c r="AE930" i="16"/>
  <c r="AE929" i="16"/>
  <c r="AE928" i="16"/>
  <c r="AE927" i="16"/>
  <c r="AE926" i="16"/>
  <c r="AE925" i="16"/>
  <c r="AE924" i="16"/>
  <c r="AE923" i="16"/>
  <c r="AE922" i="16"/>
  <c r="AE921" i="16"/>
  <c r="AE920" i="16"/>
  <c r="AE919" i="16"/>
  <c r="AE918" i="16"/>
  <c r="AE917" i="16"/>
  <c r="AE916" i="16"/>
  <c r="AE915" i="16"/>
  <c r="AE914" i="16"/>
  <c r="AE913" i="16"/>
  <c r="AE912" i="16"/>
  <c r="AE911" i="16"/>
  <c r="AE910" i="16"/>
  <c r="AE909" i="16"/>
  <c r="AE908" i="16"/>
  <c r="AE907" i="16"/>
  <c r="AE906" i="16"/>
  <c r="AE905" i="16"/>
  <c r="AE904" i="16"/>
  <c r="AE903" i="16"/>
  <c r="AE902" i="16"/>
  <c r="AE901" i="16"/>
  <c r="AE900" i="16"/>
  <c r="AE899" i="16"/>
  <c r="AE898" i="16"/>
  <c r="AE897" i="16"/>
  <c r="AE896" i="16"/>
  <c r="AE895" i="16"/>
  <c r="AE894" i="16"/>
  <c r="AE893" i="16"/>
  <c r="AE892" i="16"/>
  <c r="AE891" i="16"/>
  <c r="AE890" i="16"/>
  <c r="AE889" i="16"/>
  <c r="AE888" i="16"/>
  <c r="AB888" i="16"/>
  <c r="AE887" i="16"/>
  <c r="AE886" i="16"/>
  <c r="AE885" i="16"/>
  <c r="AE884" i="16"/>
  <c r="AE883" i="16"/>
  <c r="AE882" i="16"/>
  <c r="AE881" i="16"/>
  <c r="AE880" i="16"/>
  <c r="AE879" i="16"/>
  <c r="AE878" i="16"/>
  <c r="AE877" i="16"/>
  <c r="AE876" i="16"/>
  <c r="AE875" i="16"/>
  <c r="AE874" i="16"/>
  <c r="AE873" i="16"/>
  <c r="AE872" i="16"/>
  <c r="AE871" i="16"/>
  <c r="AE870" i="16"/>
  <c r="AE869" i="16"/>
  <c r="AE868" i="16"/>
  <c r="AE867" i="16"/>
  <c r="AE866" i="16"/>
  <c r="AE865" i="16"/>
  <c r="AE864" i="16"/>
  <c r="AE863" i="16"/>
  <c r="AE862" i="16"/>
  <c r="AE861" i="16"/>
  <c r="AE860" i="16"/>
  <c r="AE859" i="16"/>
  <c r="AE858" i="16"/>
  <c r="AE857" i="16"/>
  <c r="AE856" i="16"/>
  <c r="AE855" i="16"/>
  <c r="AE854" i="16"/>
  <c r="AE853" i="16"/>
  <c r="AB853" i="16"/>
  <c r="AE852" i="16"/>
  <c r="AE851" i="16"/>
  <c r="AE850" i="16"/>
  <c r="AE849" i="16"/>
  <c r="AE848" i="16"/>
  <c r="AE847" i="16"/>
  <c r="AE846" i="16"/>
  <c r="AE845" i="16"/>
  <c r="AE844" i="16"/>
  <c r="AE843" i="16"/>
  <c r="AE842" i="16"/>
  <c r="AE841" i="16"/>
  <c r="AE840" i="16"/>
  <c r="AE839" i="16"/>
  <c r="AE838" i="16"/>
  <c r="AE837" i="16"/>
  <c r="AE836" i="16"/>
  <c r="AE835" i="16"/>
  <c r="AE834" i="16"/>
  <c r="AE833" i="16"/>
  <c r="AE832" i="16"/>
  <c r="AE831" i="16"/>
  <c r="AE830" i="16"/>
  <c r="AE829" i="16"/>
  <c r="AE828" i="16"/>
  <c r="AE827" i="16"/>
  <c r="AE826" i="16"/>
  <c r="AE825" i="16"/>
  <c r="AE824" i="16"/>
  <c r="AE823" i="16"/>
  <c r="AE822" i="16"/>
  <c r="AE821" i="16"/>
  <c r="AE820" i="16"/>
  <c r="AE819" i="16"/>
  <c r="AE818" i="16"/>
  <c r="AE817" i="16"/>
  <c r="AE816" i="16"/>
  <c r="AE815" i="16"/>
  <c r="AE814" i="16"/>
  <c r="AE813" i="16"/>
  <c r="AE812" i="16"/>
  <c r="AE811" i="16"/>
  <c r="AE810" i="16"/>
  <c r="AE809" i="16"/>
  <c r="AE808" i="16"/>
  <c r="AE807" i="16"/>
  <c r="AE806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E792" i="16"/>
  <c r="AE791" i="16"/>
  <c r="AE790" i="16"/>
  <c r="AE789" i="16"/>
  <c r="AE788" i="16"/>
  <c r="AE787" i="16"/>
  <c r="AE786" i="16"/>
  <c r="AE785" i="16"/>
  <c r="AE784" i="16"/>
  <c r="AE783" i="16"/>
  <c r="AE782" i="16"/>
  <c r="AE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E724" i="16"/>
  <c r="AE723" i="16"/>
  <c r="AE722" i="16"/>
  <c r="AE721" i="16"/>
  <c r="AE720" i="16"/>
  <c r="AE719" i="16"/>
  <c r="AE718" i="16"/>
  <c r="AE717" i="16"/>
  <c r="AE716" i="16"/>
  <c r="AE715" i="16"/>
  <c r="AE714" i="16"/>
  <c r="AE713" i="16"/>
  <c r="AE712" i="16"/>
  <c r="AE711" i="16"/>
  <c r="AE710" i="16"/>
  <c r="AE709" i="16"/>
  <c r="AE708" i="16"/>
  <c r="AE707" i="16"/>
  <c r="AE706" i="16"/>
  <c r="AE705" i="16"/>
  <c r="AE704" i="16"/>
  <c r="AE703" i="16"/>
  <c r="AE702" i="16"/>
  <c r="AE701" i="16"/>
  <c r="AE700" i="16"/>
  <c r="AE699" i="16"/>
  <c r="AE698" i="16"/>
  <c r="AE697" i="16"/>
  <c r="AE696" i="16"/>
  <c r="AE695" i="16"/>
  <c r="AE694" i="16"/>
  <c r="AE693" i="16"/>
  <c r="AE692" i="16"/>
  <c r="AE691" i="16"/>
  <c r="AE690" i="16"/>
  <c r="AE689" i="16"/>
  <c r="AE688" i="16"/>
  <c r="AD688" i="16"/>
  <c r="AC688" i="16"/>
  <c r="AE687" i="16"/>
  <c r="AD687" i="16"/>
  <c r="AC687" i="16"/>
  <c r="AE686" i="16"/>
  <c r="AD686" i="16"/>
  <c r="AC686" i="16"/>
  <c r="AE685" i="16"/>
  <c r="AD685" i="16"/>
  <c r="AC685" i="16"/>
  <c r="AE684" i="16"/>
  <c r="AD684" i="16"/>
  <c r="AC684" i="16"/>
  <c r="AE683" i="16"/>
  <c r="AD683" i="16"/>
  <c r="AC683" i="16"/>
  <c r="AE682" i="16"/>
  <c r="AD682" i="16"/>
  <c r="AC682" i="16"/>
  <c r="AE681" i="16"/>
  <c r="AD681" i="16"/>
  <c r="AC681" i="16"/>
  <c r="AE680" i="16"/>
  <c r="AD680" i="16"/>
  <c r="AC680" i="16"/>
  <c r="AE679" i="16"/>
  <c r="AD679" i="16"/>
  <c r="AC679" i="16"/>
  <c r="AE678" i="16"/>
  <c r="AD678" i="16"/>
  <c r="AC678" i="16"/>
  <c r="AE677" i="16"/>
  <c r="AD677" i="16"/>
  <c r="AC677" i="16"/>
  <c r="AG676" i="16"/>
  <c r="AF676" i="16"/>
  <c r="AB676" i="16"/>
  <c r="AG675" i="16"/>
  <c r="AF675" i="16"/>
  <c r="AB675" i="16"/>
  <c r="AG674" i="16"/>
  <c r="AF674" i="16"/>
  <c r="AB674" i="16"/>
  <c r="AG673" i="16"/>
  <c r="AF673" i="16"/>
  <c r="AB673" i="16"/>
  <c r="AG672" i="16"/>
  <c r="AF672" i="16"/>
  <c r="AB672" i="16"/>
  <c r="AG671" i="16"/>
  <c r="AF671" i="16"/>
  <c r="AB671" i="16"/>
  <c r="AG670" i="16"/>
  <c r="AF670" i="16"/>
  <c r="AB670" i="16"/>
  <c r="AG669" i="16"/>
  <c r="AF669" i="16"/>
  <c r="AB669" i="16"/>
  <c r="AG668" i="16"/>
  <c r="AF668" i="16"/>
  <c r="AB668" i="16"/>
  <c r="AG667" i="16"/>
  <c r="AF667" i="16"/>
  <c r="AB667" i="16"/>
  <c r="AG666" i="16"/>
  <c r="AF666" i="16"/>
  <c r="AB666" i="16"/>
  <c r="AG665" i="16"/>
  <c r="AF665" i="16"/>
  <c r="AB665" i="16"/>
  <c r="AE664" i="16"/>
  <c r="AD664" i="16"/>
  <c r="AC664" i="16"/>
  <c r="AE663" i="16"/>
  <c r="AD663" i="16"/>
  <c r="AC663" i="16"/>
  <c r="AE662" i="16"/>
  <c r="AD662" i="16"/>
  <c r="AC662" i="16"/>
  <c r="AE661" i="16"/>
  <c r="AD661" i="16"/>
  <c r="AC661" i="16"/>
  <c r="AE660" i="16"/>
  <c r="AD660" i="16"/>
  <c r="AC660" i="16"/>
  <c r="AE659" i="16"/>
  <c r="AD659" i="16"/>
  <c r="AC659" i="16"/>
  <c r="AE658" i="16"/>
  <c r="AD658" i="16"/>
  <c r="AC658" i="16"/>
  <c r="AE657" i="16"/>
  <c r="AD657" i="16"/>
  <c r="AC657" i="16"/>
  <c r="AE656" i="16"/>
  <c r="AD656" i="16"/>
  <c r="AC656" i="16"/>
  <c r="AE655" i="16"/>
  <c r="AD655" i="16"/>
  <c r="AC655" i="16"/>
  <c r="AE654" i="16"/>
  <c r="AD654" i="16"/>
  <c r="AC654" i="16"/>
  <c r="AE653" i="16"/>
  <c r="AD653" i="16"/>
  <c r="AC653" i="16"/>
  <c r="AE652" i="16"/>
  <c r="AD652" i="16"/>
  <c r="AC652" i="16"/>
  <c r="AE651" i="16"/>
  <c r="AD651" i="16"/>
  <c r="AC651" i="16"/>
  <c r="AE650" i="16"/>
  <c r="AD650" i="16"/>
  <c r="AC650" i="16"/>
  <c r="AE649" i="16"/>
  <c r="AD649" i="16"/>
  <c r="AC649" i="16"/>
  <c r="AE648" i="16"/>
  <c r="AD648" i="16"/>
  <c r="AC648" i="16"/>
  <c r="AE647" i="16"/>
  <c r="AD647" i="16"/>
  <c r="AC647" i="16"/>
  <c r="AE646" i="16"/>
  <c r="AD646" i="16"/>
  <c r="AC646" i="16"/>
  <c r="AE645" i="16"/>
  <c r="AD645" i="16"/>
  <c r="AC645" i="16"/>
  <c r="AE644" i="16"/>
  <c r="AD644" i="16"/>
  <c r="AC644" i="16"/>
  <c r="AE643" i="16"/>
  <c r="AD643" i="16"/>
  <c r="AC643" i="16"/>
  <c r="AE642" i="16"/>
  <c r="AD642" i="16"/>
  <c r="AC642" i="16"/>
  <c r="AE641" i="16"/>
  <c r="AD641" i="16"/>
  <c r="AC641" i="16"/>
  <c r="AG640" i="16"/>
  <c r="AF640" i="16"/>
  <c r="AB640" i="16"/>
  <c r="AG639" i="16"/>
  <c r="AF639" i="16"/>
  <c r="AB639" i="16"/>
  <c r="AG638" i="16"/>
  <c r="AF638" i="16"/>
  <c r="AB638" i="16"/>
  <c r="AG637" i="16"/>
  <c r="AF637" i="16"/>
  <c r="AB637" i="16"/>
  <c r="AG636" i="16"/>
  <c r="AF636" i="16"/>
  <c r="AB636" i="16"/>
  <c r="AG635" i="16"/>
  <c r="AF635" i="16"/>
  <c r="AC635" i="16"/>
  <c r="AB635" i="16"/>
  <c r="AG634" i="16"/>
  <c r="AF634" i="16"/>
  <c r="AB634" i="16"/>
  <c r="AG633" i="16"/>
  <c r="AF633" i="16"/>
  <c r="AB633" i="16"/>
  <c r="AG632" i="16"/>
  <c r="AF632" i="16"/>
  <c r="AC632" i="16"/>
  <c r="AB632" i="16"/>
  <c r="AG631" i="16"/>
  <c r="AF631" i="16"/>
  <c r="AB631" i="16"/>
  <c r="AG630" i="16"/>
  <c r="AF630" i="16"/>
  <c r="AB630" i="16"/>
  <c r="AG629" i="16"/>
  <c r="AF629" i="16"/>
  <c r="AB629" i="16"/>
  <c r="AE628" i="16"/>
  <c r="AD628" i="16"/>
  <c r="AC628" i="16"/>
  <c r="AE627" i="16"/>
  <c r="AD627" i="16"/>
  <c r="AC627" i="16"/>
  <c r="AE626" i="16"/>
  <c r="AD626" i="16"/>
  <c r="AC626" i="16"/>
  <c r="AE625" i="16"/>
  <c r="AD625" i="16"/>
  <c r="AC625" i="16"/>
  <c r="AE624" i="16"/>
  <c r="AD624" i="16"/>
  <c r="AC624" i="16"/>
  <c r="AE623" i="16"/>
  <c r="AD623" i="16"/>
  <c r="AC623" i="16"/>
  <c r="AE622" i="16"/>
  <c r="AD622" i="16"/>
  <c r="AC622" i="16"/>
  <c r="AE621" i="16"/>
  <c r="AD621" i="16"/>
  <c r="AC621" i="16"/>
  <c r="AE620" i="16"/>
  <c r="AD620" i="16"/>
  <c r="AC620" i="16"/>
  <c r="AE619" i="16"/>
  <c r="AD619" i="16"/>
  <c r="AC619" i="16"/>
  <c r="AE618" i="16"/>
  <c r="AD618" i="16"/>
  <c r="AC618" i="16"/>
  <c r="AE617" i="16"/>
  <c r="AD617" i="16"/>
  <c r="AC617" i="16"/>
  <c r="AE616" i="16"/>
  <c r="AE615" i="16"/>
  <c r="AE614" i="16"/>
  <c r="AE613" i="16"/>
  <c r="AE612" i="16"/>
  <c r="AE611" i="16"/>
  <c r="AE610" i="16"/>
  <c r="AE609" i="16"/>
  <c r="AE608" i="16"/>
  <c r="AE607" i="16"/>
  <c r="AE606" i="16"/>
  <c r="AE605" i="16"/>
  <c r="AE604" i="16"/>
  <c r="AE603" i="16"/>
  <c r="AE602" i="16"/>
  <c r="AE601" i="16"/>
  <c r="AE600" i="16"/>
  <c r="AE599" i="16"/>
  <c r="AE598" i="16"/>
  <c r="AE597" i="16"/>
  <c r="AE596" i="16"/>
  <c r="AE595" i="16"/>
  <c r="AE594" i="16"/>
  <c r="AE593" i="16"/>
  <c r="AG592" i="16"/>
  <c r="AF592" i="16"/>
  <c r="AG591" i="16"/>
  <c r="AF591" i="16"/>
  <c r="AG590" i="16"/>
  <c r="AF590" i="16"/>
  <c r="AG589" i="16"/>
  <c r="AF589" i="16"/>
  <c r="AG588" i="16"/>
  <c r="AF588" i="16"/>
  <c r="AG587" i="16"/>
  <c r="AF587" i="16"/>
  <c r="AG586" i="16"/>
  <c r="AF586" i="16"/>
  <c r="AG585" i="16"/>
  <c r="AF585" i="16"/>
  <c r="AG584" i="16"/>
  <c r="AF584" i="16"/>
  <c r="AG583" i="16"/>
  <c r="AF583" i="16"/>
  <c r="AG582" i="16"/>
  <c r="AF582" i="16"/>
  <c r="AG581" i="16"/>
  <c r="AF581" i="16"/>
  <c r="AG580" i="16"/>
  <c r="AF580" i="16"/>
  <c r="AG579" i="16"/>
  <c r="AF579" i="16"/>
  <c r="AG578" i="16"/>
  <c r="AF578" i="16"/>
  <c r="AG577" i="16"/>
  <c r="AF577" i="16"/>
  <c r="AG576" i="16"/>
  <c r="AF576" i="16"/>
  <c r="AG575" i="16"/>
  <c r="AF575" i="16"/>
  <c r="AG574" i="16"/>
  <c r="AF574" i="16"/>
  <c r="AG573" i="16"/>
  <c r="AF573" i="16"/>
  <c r="AG572" i="16"/>
  <c r="AF572" i="16"/>
  <c r="AG571" i="16"/>
  <c r="AF571" i="16"/>
  <c r="AG570" i="16"/>
  <c r="AF570" i="16"/>
  <c r="AG569" i="16"/>
  <c r="AF569" i="16"/>
  <c r="AG568" i="16"/>
  <c r="AF568" i="16"/>
  <c r="AE567" i="16"/>
  <c r="AE566" i="16"/>
  <c r="AE565" i="16"/>
  <c r="AE564" i="16"/>
  <c r="AB564" i="16"/>
  <c r="AE563" i="16"/>
  <c r="AE562" i="16"/>
  <c r="AE561" i="16"/>
  <c r="AE560" i="16"/>
  <c r="AE559" i="16"/>
  <c r="AE558" i="16"/>
  <c r="AE557" i="16"/>
  <c r="AE556" i="16"/>
  <c r="AE555" i="16"/>
  <c r="AE554" i="16"/>
  <c r="AE553" i="16"/>
  <c r="AE552" i="16"/>
  <c r="AE551" i="16"/>
  <c r="AE550" i="16"/>
  <c r="AE549" i="16"/>
  <c r="AE548" i="16"/>
  <c r="AE547" i="16"/>
  <c r="AE546" i="16"/>
  <c r="AE545" i="16"/>
  <c r="AE544" i="16"/>
  <c r="AG543" i="16"/>
  <c r="AE543" i="16"/>
  <c r="AE542" i="16"/>
  <c r="AE541" i="16"/>
  <c r="AG540" i="16"/>
  <c r="AE540" i="16"/>
  <c r="AE539" i="16"/>
  <c r="AE538" i="16"/>
  <c r="AG537" i="16"/>
  <c r="AE537" i="16"/>
  <c r="AE536" i="16"/>
  <c r="AE535" i="16"/>
  <c r="AG534" i="16"/>
  <c r="AE534" i="16"/>
  <c r="AE533" i="16"/>
  <c r="AE532" i="16"/>
  <c r="AG531" i="16"/>
  <c r="AE531" i="16"/>
  <c r="AE530" i="16"/>
  <c r="AE529" i="16"/>
  <c r="AG528" i="16"/>
  <c r="AE528" i="16"/>
  <c r="AE527" i="16"/>
  <c r="AE526" i="16"/>
  <c r="AG525" i="16"/>
  <c r="AE525" i="16"/>
  <c r="AE524" i="16"/>
  <c r="AE523" i="16"/>
  <c r="AG522" i="16"/>
  <c r="AE522" i="16"/>
  <c r="AE521" i="16"/>
  <c r="AE520" i="16"/>
  <c r="AE519" i="16"/>
  <c r="AG518" i="16"/>
  <c r="AE518" i="16"/>
  <c r="AE517" i="16"/>
  <c r="AE516" i="16"/>
  <c r="AG515" i="16"/>
  <c r="AE515" i="16"/>
  <c r="AE514" i="16"/>
  <c r="AE513" i="16"/>
  <c r="AG512" i="16"/>
  <c r="AE512" i="16"/>
  <c r="AE511" i="16"/>
  <c r="AE510" i="16"/>
  <c r="AE509" i="16"/>
  <c r="AG508" i="16"/>
  <c r="AE508" i="16"/>
  <c r="AE507" i="16"/>
  <c r="AE506" i="16"/>
  <c r="AG505" i="16"/>
  <c r="AF505" i="16"/>
  <c r="AG504" i="16"/>
  <c r="AF504" i="16"/>
  <c r="AG503" i="16"/>
  <c r="AF503" i="16"/>
  <c r="AG502" i="16"/>
  <c r="AF502" i="16"/>
  <c r="AG501" i="16"/>
  <c r="AF501" i="16"/>
  <c r="AG500" i="16"/>
  <c r="AF500" i="16"/>
  <c r="AG499" i="16"/>
  <c r="AF499" i="16"/>
  <c r="AG498" i="16"/>
  <c r="AF498" i="16"/>
  <c r="AG497" i="16"/>
  <c r="AF497" i="16"/>
  <c r="AG496" i="16"/>
  <c r="AF496" i="16"/>
  <c r="AG495" i="16"/>
  <c r="AF495" i="16"/>
  <c r="AG494" i="16"/>
  <c r="AF494" i="16"/>
  <c r="AG493" i="16"/>
  <c r="AF493" i="16"/>
  <c r="AG492" i="16"/>
  <c r="AF492" i="16"/>
  <c r="AG491" i="16"/>
  <c r="AF491" i="16"/>
  <c r="AG490" i="16"/>
  <c r="AF490" i="16"/>
  <c r="AG489" i="16"/>
  <c r="AF489" i="16"/>
  <c r="AG488" i="16"/>
  <c r="AF488" i="16"/>
  <c r="AG487" i="16"/>
  <c r="AF487" i="16"/>
  <c r="AG486" i="16"/>
  <c r="AF486" i="16"/>
  <c r="AG485" i="16"/>
  <c r="AF485" i="16"/>
  <c r="AG484" i="16"/>
  <c r="AF484" i="16"/>
  <c r="AG483" i="16"/>
  <c r="AF483" i="16"/>
  <c r="AG482" i="16"/>
  <c r="AF482" i="16"/>
  <c r="AG481" i="16"/>
  <c r="AF481" i="16"/>
  <c r="AG480" i="16"/>
  <c r="AF480" i="16"/>
  <c r="AG479" i="16"/>
  <c r="AF479" i="16"/>
  <c r="AG478" i="16"/>
  <c r="AF478" i="16"/>
  <c r="AG477" i="16"/>
  <c r="AF477" i="16"/>
  <c r="AG476" i="16"/>
  <c r="AF476" i="16"/>
  <c r="AG475" i="16"/>
  <c r="AF475" i="16"/>
  <c r="AG474" i="16"/>
  <c r="AF474" i="16"/>
  <c r="AG473" i="16"/>
  <c r="AF473" i="16"/>
  <c r="AG472" i="16"/>
  <c r="AF472" i="16"/>
  <c r="AG471" i="16"/>
  <c r="AF471" i="16"/>
  <c r="AG470" i="16"/>
  <c r="AF470" i="16"/>
  <c r="AG469" i="16"/>
  <c r="AF469" i="16"/>
  <c r="AG468" i="16"/>
  <c r="AE468" i="16"/>
  <c r="AE467" i="16"/>
  <c r="AE466" i="16"/>
  <c r="AG465" i="16"/>
  <c r="AE465" i="16"/>
  <c r="AE464" i="16"/>
  <c r="AE463" i="16"/>
  <c r="AG462" i="16"/>
  <c r="AE462" i="16"/>
  <c r="AE461" i="16"/>
  <c r="AE460" i="16"/>
  <c r="AG459" i="16"/>
  <c r="AE459" i="16"/>
  <c r="AE458" i="16"/>
  <c r="AE457" i="16"/>
  <c r="AG456" i="16"/>
  <c r="AE456" i="16"/>
  <c r="AE455" i="16"/>
  <c r="AB455" i="16"/>
  <c r="AE454" i="16"/>
  <c r="AG453" i="16"/>
  <c r="AE453" i="16"/>
  <c r="AE452" i="16"/>
  <c r="AE451" i="16"/>
  <c r="AG450" i="16"/>
  <c r="AE450" i="16"/>
  <c r="AE449" i="16"/>
  <c r="AE448" i="16"/>
  <c r="AG447" i="16"/>
  <c r="AE447" i="16"/>
  <c r="AE446" i="16"/>
  <c r="AE445" i="16"/>
  <c r="AE444" i="16"/>
  <c r="AG443" i="16"/>
  <c r="AE443" i="16"/>
  <c r="AE442" i="16"/>
  <c r="AE441" i="16"/>
  <c r="AG440" i="16"/>
  <c r="AE440" i="16"/>
  <c r="AE439" i="16"/>
  <c r="AE438" i="16"/>
  <c r="AG437" i="16"/>
  <c r="AE437" i="16"/>
  <c r="AE436" i="16"/>
  <c r="AE435" i="16"/>
  <c r="AE434" i="16"/>
  <c r="AG433" i="16"/>
  <c r="AE433" i="16"/>
  <c r="AE432" i="16"/>
  <c r="AE431" i="16"/>
  <c r="AG430" i="16"/>
  <c r="AE430" i="16"/>
  <c r="AG429" i="16"/>
  <c r="AE429" i="16"/>
  <c r="AG428" i="16"/>
  <c r="AE428" i="16"/>
  <c r="AG427" i="16"/>
  <c r="AE427" i="16"/>
  <c r="AG426" i="16"/>
  <c r="AE426" i="16"/>
  <c r="AG425" i="16"/>
  <c r="AE425" i="16"/>
  <c r="AG424" i="16"/>
  <c r="AE424" i="16"/>
  <c r="AG423" i="16"/>
  <c r="AE423" i="16"/>
  <c r="AG422" i="16"/>
  <c r="AE422" i="16"/>
  <c r="AG421" i="16"/>
  <c r="AE421" i="16"/>
  <c r="AG420" i="16"/>
  <c r="AE420" i="16"/>
  <c r="AG419" i="16"/>
  <c r="AE419" i="16"/>
  <c r="AG418" i="16"/>
  <c r="AF418" i="16"/>
  <c r="AG417" i="16"/>
  <c r="AF417" i="16"/>
  <c r="AG416" i="16"/>
  <c r="AF416" i="16"/>
  <c r="AG415" i="16"/>
  <c r="AF415" i="16"/>
  <c r="AG414" i="16"/>
  <c r="AF414" i="16"/>
  <c r="AG413" i="16"/>
  <c r="AF413" i="16"/>
  <c r="AG412" i="16"/>
  <c r="AF412" i="16"/>
  <c r="AG411" i="16"/>
  <c r="AF411" i="16"/>
  <c r="AG410" i="16"/>
  <c r="AF410" i="16"/>
  <c r="AG409" i="16"/>
  <c r="AF409" i="16"/>
  <c r="AG408" i="16"/>
  <c r="AF408" i="16"/>
  <c r="AG407" i="16"/>
  <c r="AF407" i="16"/>
  <c r="AG406" i="16"/>
  <c r="AE406" i="16"/>
  <c r="AG405" i="16"/>
  <c r="AE405" i="16"/>
  <c r="AG404" i="16"/>
  <c r="AE404" i="16"/>
  <c r="AG403" i="16"/>
  <c r="AE403" i="16"/>
  <c r="AC403" i="16"/>
  <c r="AG402" i="16"/>
  <c r="AE402" i="16"/>
  <c r="AG401" i="16"/>
  <c r="AE401" i="16"/>
  <c r="AG400" i="16"/>
  <c r="AE400" i="16"/>
  <c r="AG399" i="16"/>
  <c r="AE399" i="16"/>
  <c r="AG398" i="16"/>
  <c r="AE398" i="16"/>
  <c r="AG397" i="16"/>
  <c r="AE397" i="16"/>
  <c r="AG396" i="16"/>
  <c r="AE396" i="16"/>
  <c r="AG395" i="16"/>
  <c r="AE395" i="16"/>
  <c r="AE394" i="16"/>
  <c r="AE393" i="16"/>
  <c r="AE392" i="16"/>
  <c r="AE391" i="16"/>
  <c r="AE390" i="16"/>
  <c r="AE389" i="16"/>
  <c r="AE388" i="16"/>
  <c r="AE387" i="16"/>
  <c r="AE386" i="16"/>
  <c r="AE385" i="16"/>
  <c r="AE384" i="16"/>
  <c r="AE383" i="16"/>
  <c r="AG382" i="16"/>
  <c r="AF382" i="16"/>
  <c r="AG381" i="16"/>
  <c r="AF381" i="16"/>
  <c r="AG380" i="16"/>
  <c r="AF380" i="16"/>
  <c r="AG379" i="16"/>
  <c r="AF379" i="16"/>
  <c r="AG378" i="16"/>
  <c r="AF378" i="16"/>
  <c r="AG377" i="16"/>
  <c r="AF377" i="16"/>
  <c r="AG376" i="16"/>
  <c r="AF376" i="16"/>
  <c r="AG375" i="16"/>
  <c r="AF375" i="16"/>
  <c r="AG374" i="16"/>
  <c r="AF374" i="16"/>
  <c r="AG373" i="16"/>
  <c r="AF373" i="16"/>
  <c r="AG372" i="16"/>
  <c r="AF372" i="16"/>
  <c r="AG371" i="16"/>
  <c r="AF371" i="16"/>
  <c r="AE370" i="16"/>
  <c r="AE369" i="16"/>
  <c r="AE368" i="16"/>
  <c r="AE367" i="16"/>
  <c r="AE366" i="16"/>
  <c r="AE365" i="16"/>
  <c r="AE364" i="16"/>
  <c r="AE363" i="16"/>
  <c r="AE362" i="16"/>
  <c r="AE361" i="16"/>
  <c r="AC361" i="16"/>
  <c r="AE360" i="16"/>
  <c r="AE359" i="16"/>
  <c r="AE358" i="16"/>
  <c r="AE357" i="16"/>
  <c r="AE356" i="16"/>
  <c r="AE355" i="16"/>
  <c r="AE354" i="16"/>
  <c r="AE353" i="16"/>
  <c r="AE352" i="16"/>
  <c r="AC352" i="16"/>
  <c r="AE351" i="16"/>
  <c r="AG350" i="16"/>
  <c r="AE350" i="16"/>
  <c r="AE349" i="16"/>
  <c r="AE348" i="16"/>
  <c r="AE347" i="16"/>
  <c r="AG346" i="16"/>
  <c r="AE346" i="16"/>
  <c r="AE345" i="16"/>
  <c r="AE344" i="16"/>
  <c r="AE343" i="16"/>
  <c r="AE342" i="16"/>
  <c r="AE341" i="16"/>
  <c r="AE340" i="16"/>
  <c r="AE339" i="16"/>
  <c r="AE338" i="16"/>
  <c r="AE337" i="16"/>
  <c r="AE336" i="16"/>
  <c r="AG335" i="16"/>
  <c r="AE335" i="16"/>
  <c r="AE334" i="16"/>
  <c r="AE333" i="16"/>
  <c r="AG332" i="16"/>
  <c r="AE332" i="16"/>
  <c r="AE331" i="16"/>
  <c r="AE330" i="16"/>
  <c r="AE329" i="16"/>
  <c r="AG328" i="16"/>
  <c r="AF328" i="16"/>
  <c r="AG327" i="16"/>
  <c r="AF327" i="16"/>
  <c r="AG326" i="16"/>
  <c r="AF326" i="16"/>
  <c r="AG325" i="16"/>
  <c r="AF325" i="16"/>
  <c r="AG324" i="16"/>
  <c r="AF324" i="16"/>
  <c r="AG323" i="16"/>
  <c r="AF323" i="16"/>
  <c r="AG322" i="16"/>
  <c r="AF322" i="16"/>
  <c r="AG321" i="16"/>
  <c r="AF321" i="16"/>
  <c r="AG320" i="16"/>
  <c r="AF320" i="16"/>
  <c r="AG319" i="16"/>
  <c r="AF319" i="16"/>
  <c r="AG318" i="16"/>
  <c r="AF318" i="16"/>
  <c r="AG317" i="16"/>
  <c r="AF317" i="16"/>
  <c r="AG316" i="16"/>
  <c r="AF316" i="16"/>
  <c r="AG315" i="16"/>
  <c r="AF315" i="16"/>
  <c r="AG314" i="16"/>
  <c r="AF314" i="16"/>
  <c r="AG313" i="16"/>
  <c r="AF313" i="16"/>
  <c r="AG312" i="16"/>
  <c r="AF312" i="16"/>
  <c r="AG311" i="16"/>
  <c r="AF311" i="16"/>
  <c r="AG310" i="16"/>
  <c r="AF310" i="16"/>
  <c r="AG309" i="16"/>
  <c r="AF309" i="16"/>
  <c r="AG308" i="16"/>
  <c r="AF308" i="16"/>
  <c r="AG307" i="16"/>
  <c r="AF307" i="16"/>
  <c r="AG306" i="16"/>
  <c r="AF306" i="16"/>
  <c r="AG305" i="16"/>
  <c r="AF305" i="16"/>
  <c r="AG304" i="16"/>
  <c r="AF304" i="16"/>
  <c r="AG303" i="16"/>
  <c r="AF303" i="16"/>
  <c r="AG302" i="16"/>
  <c r="AF302" i="16"/>
  <c r="AG301" i="16"/>
  <c r="AF301" i="16"/>
  <c r="AG300" i="16"/>
  <c r="AF300" i="16"/>
  <c r="AG299" i="16"/>
  <c r="AF299" i="16"/>
  <c r="AG298" i="16"/>
  <c r="AF298" i="16"/>
  <c r="AD298" i="16"/>
  <c r="AE297" i="16"/>
  <c r="AE296" i="16"/>
  <c r="AE295" i="16"/>
  <c r="AE294" i="16"/>
  <c r="AE293" i="16"/>
  <c r="AE292" i="16"/>
  <c r="AE291" i="16"/>
  <c r="AE290" i="16"/>
  <c r="AG289" i="16"/>
  <c r="AE289" i="16"/>
  <c r="AE288" i="16"/>
  <c r="AE287" i="16"/>
  <c r="AE286" i="16"/>
  <c r="AG285" i="16"/>
  <c r="AE285" i="16"/>
  <c r="AE284" i="16"/>
  <c r="AE283" i="16"/>
  <c r="AE282" i="16"/>
  <c r="AE281" i="16"/>
  <c r="AE280" i="16"/>
  <c r="AE279" i="16"/>
  <c r="AE278" i="16"/>
  <c r="AE277" i="16"/>
  <c r="AE276" i="16"/>
  <c r="AE275" i="16"/>
  <c r="AG274" i="16"/>
  <c r="AE274" i="16"/>
  <c r="AE273" i="16"/>
  <c r="AE272" i="16"/>
  <c r="AG271" i="16"/>
  <c r="AE271" i="16"/>
  <c r="AE270" i="16"/>
  <c r="AE269" i="16"/>
  <c r="AE268" i="16"/>
  <c r="AG267" i="16"/>
  <c r="AG266" i="16"/>
  <c r="AG265" i="16"/>
  <c r="AG264" i="16"/>
  <c r="AG263" i="16"/>
  <c r="AG262" i="16"/>
  <c r="AG261" i="16"/>
  <c r="AG260" i="16"/>
  <c r="AB260" i="16"/>
  <c r="AG259" i="16"/>
  <c r="AG258" i="16"/>
  <c r="AG257" i="16"/>
  <c r="AG256" i="16"/>
  <c r="AG255" i="16"/>
  <c r="AG254" i="16"/>
  <c r="AG253" i="16"/>
  <c r="AG252" i="16"/>
  <c r="AG251" i="16"/>
  <c r="AG250" i="16"/>
  <c r="AG249" i="16"/>
  <c r="AG248" i="16"/>
  <c r="AG247" i="16"/>
  <c r="AG246" i="16"/>
  <c r="AG245" i="16"/>
  <c r="AB245" i="16"/>
  <c r="AG244" i="16"/>
  <c r="AG243" i="16"/>
  <c r="AG242" i="16"/>
  <c r="AG241" i="16"/>
  <c r="AG240" i="16"/>
  <c r="AG239" i="16"/>
  <c r="AC239" i="16"/>
  <c r="AG238" i="16"/>
  <c r="AG237" i="16"/>
  <c r="AG236" i="16"/>
  <c r="AG235" i="16"/>
  <c r="AG234" i="16"/>
  <c r="AG233" i="16"/>
  <c r="AG232" i="16"/>
  <c r="AD231" i="16"/>
  <c r="AC231" i="16"/>
  <c r="AB231" i="16"/>
  <c r="AD230" i="16"/>
  <c r="AC230" i="16"/>
  <c r="AB230" i="16"/>
  <c r="AD229" i="16"/>
  <c r="AC229" i="16"/>
  <c r="AB229" i="16"/>
  <c r="AD228" i="16"/>
  <c r="AC228" i="16"/>
  <c r="AB228" i="16"/>
  <c r="AD227" i="16"/>
  <c r="AC227" i="16"/>
  <c r="AB227" i="16"/>
  <c r="AD226" i="16"/>
  <c r="AC226" i="16"/>
  <c r="AB226" i="16"/>
  <c r="AD225" i="16"/>
  <c r="AC225" i="16"/>
  <c r="AB225" i="16"/>
  <c r="AD224" i="16"/>
  <c r="AC224" i="16"/>
  <c r="AB224" i="16"/>
  <c r="AD223" i="16"/>
  <c r="AC223" i="16"/>
  <c r="AB223" i="16"/>
  <c r="AD222" i="16"/>
  <c r="AC222" i="16"/>
  <c r="AB222" i="16"/>
  <c r="AD221" i="16"/>
  <c r="AC221" i="16"/>
  <c r="AB221" i="16"/>
  <c r="AD220" i="16"/>
  <c r="AC220" i="16"/>
  <c r="AB220" i="16"/>
  <c r="AD219" i="16"/>
  <c r="AC219" i="16"/>
  <c r="AB219" i="16"/>
  <c r="AD218" i="16"/>
  <c r="AC218" i="16"/>
  <c r="AB218" i="16"/>
  <c r="AD217" i="16"/>
  <c r="AC217" i="16"/>
  <c r="AB217" i="16"/>
  <c r="AD216" i="16"/>
  <c r="AC216" i="16"/>
  <c r="AB216" i="16"/>
  <c r="AD215" i="16"/>
  <c r="AC215" i="16"/>
  <c r="AB215" i="16"/>
  <c r="AD214" i="16"/>
  <c r="AC214" i="16"/>
  <c r="AB214" i="16"/>
  <c r="AD213" i="16"/>
  <c r="AC213" i="16"/>
  <c r="AB213" i="16"/>
  <c r="AD212" i="16"/>
  <c r="AC212" i="16"/>
  <c r="AB212" i="16"/>
  <c r="AD211" i="16"/>
  <c r="AC211" i="16"/>
  <c r="AB211" i="16"/>
  <c r="AD210" i="16"/>
  <c r="AC210" i="16"/>
  <c r="AB210" i="16"/>
  <c r="AD209" i="16"/>
  <c r="AC209" i="16"/>
  <c r="AB209" i="16"/>
  <c r="AD208" i="16"/>
  <c r="AC208" i="16"/>
  <c r="AB208" i="16"/>
  <c r="AC203" i="16"/>
  <c r="AB197" i="16"/>
  <c r="AC189" i="16"/>
  <c r="AB183" i="16"/>
  <c r="AB176" i="16"/>
  <c r="AB169" i="16"/>
  <c r="AG159" i="16"/>
  <c r="AG158" i="16"/>
  <c r="AG157" i="16"/>
  <c r="AG156" i="16"/>
  <c r="AG155" i="16"/>
  <c r="AG154" i="16"/>
  <c r="AG153" i="16"/>
  <c r="AG152" i="16"/>
  <c r="AG151" i="16"/>
  <c r="AG150" i="16"/>
  <c r="AG149" i="16"/>
  <c r="AC149" i="16"/>
  <c r="AG148" i="16"/>
  <c r="AG147" i="16"/>
  <c r="AE147" i="16"/>
  <c r="AG146" i="16"/>
  <c r="AE146" i="16"/>
  <c r="AG145" i="16"/>
  <c r="AE145" i="16"/>
  <c r="AG144" i="16"/>
  <c r="AE144" i="16"/>
  <c r="AG143" i="16"/>
  <c r="AE143" i="16"/>
  <c r="AG142" i="16"/>
  <c r="AE142" i="16"/>
  <c r="AG141" i="16"/>
  <c r="AE141" i="16"/>
  <c r="AG140" i="16"/>
  <c r="AE140" i="16"/>
  <c r="AG139" i="16"/>
  <c r="AE139" i="16"/>
  <c r="AG138" i="16"/>
  <c r="AE138" i="16"/>
  <c r="AG137" i="16"/>
  <c r="AE137" i="16"/>
  <c r="AG136" i="16"/>
  <c r="AE136" i="16"/>
  <c r="AG135" i="16"/>
  <c r="AG134" i="16"/>
  <c r="AG133" i="16"/>
  <c r="AG132" i="16"/>
  <c r="AG131" i="16"/>
  <c r="AG130" i="16"/>
  <c r="AG129" i="16"/>
  <c r="AG128" i="16"/>
  <c r="AC128" i="16"/>
  <c r="AG127" i="16"/>
  <c r="AG126" i="16"/>
  <c r="AG125" i="16"/>
  <c r="AG124" i="16"/>
  <c r="AB115" i="16"/>
  <c r="AG73" i="16"/>
  <c r="AG72" i="16"/>
  <c r="AG71" i="16"/>
  <c r="AG70" i="16"/>
  <c r="AG69" i="16"/>
  <c r="AG68" i="16"/>
  <c r="AG67" i="16"/>
  <c r="AG66" i="16"/>
  <c r="AG65" i="16"/>
  <c r="AG64" i="16"/>
  <c r="AG63" i="16"/>
  <c r="AG62" i="16"/>
  <c r="AG61" i="16"/>
  <c r="AG60" i="16"/>
  <c r="AG59" i="16"/>
  <c r="AG58" i="16"/>
  <c r="AG57" i="16"/>
  <c r="AG56" i="16"/>
  <c r="AG55" i="16"/>
  <c r="AG54" i="16"/>
  <c r="AG53" i="16"/>
  <c r="AG52" i="16"/>
  <c r="AG51" i="16"/>
  <c r="AG50" i="16"/>
  <c r="AG49" i="16"/>
  <c r="AG48" i="16"/>
  <c r="AG47" i="16"/>
  <c r="AG46" i="16"/>
  <c r="AG45" i="16"/>
  <c r="AG44" i="16"/>
  <c r="AG43" i="16"/>
  <c r="AG42" i="16"/>
  <c r="AG41" i="16"/>
  <c r="AG40" i="16"/>
  <c r="AG39" i="16"/>
  <c r="AG38" i="16"/>
  <c r="AG37" i="16"/>
  <c r="AG36" i="16"/>
  <c r="AG35" i="16"/>
  <c r="AG34" i="16"/>
  <c r="AG33" i="16"/>
  <c r="AG32" i="16"/>
  <c r="AG31" i="16"/>
  <c r="AG30" i="16"/>
  <c r="AG29" i="16"/>
  <c r="AG28" i="16"/>
  <c r="AG27" i="16"/>
  <c r="AG26" i="16"/>
  <c r="AG25" i="16"/>
  <c r="AE25" i="16"/>
  <c r="AG24" i="16"/>
  <c r="AE24" i="16"/>
  <c r="AG23" i="16"/>
  <c r="AE23" i="16"/>
  <c r="AG22" i="16"/>
  <c r="AE22" i="16"/>
  <c r="AG21" i="16"/>
  <c r="AE21" i="16"/>
  <c r="AB21" i="16"/>
  <c r="AG20" i="16"/>
  <c r="AE20" i="16"/>
  <c r="AG19" i="16"/>
  <c r="AE19" i="16"/>
  <c r="AG18" i="16"/>
  <c r="AE18" i="16"/>
  <c r="AG17" i="16"/>
  <c r="AE17" i="16"/>
  <c r="AG16" i="16"/>
  <c r="AE16" i="16"/>
  <c r="AG15" i="16"/>
  <c r="AE15" i="16"/>
  <c r="AG14" i="16"/>
  <c r="AE14" i="16"/>
  <c r="AG13" i="16"/>
  <c r="AG12" i="16"/>
  <c r="AG11" i="16"/>
  <c r="AG10" i="16"/>
  <c r="AG9" i="16"/>
  <c r="AG8" i="16"/>
  <c r="AG7" i="16"/>
  <c r="AG6" i="16"/>
  <c r="AG5" i="16"/>
  <c r="AG4" i="16"/>
  <c r="AG3" i="16"/>
  <c r="AG2" i="16"/>
  <c r="X1214" i="16"/>
  <c r="AD1214" i="16" s="1"/>
  <c r="W1214" i="16"/>
  <c r="AC1214" i="16" s="1"/>
  <c r="V1214" i="16"/>
  <c r="AB1214" i="16" s="1"/>
  <c r="X1213" i="16"/>
  <c r="AD1213" i="16" s="1"/>
  <c r="W1213" i="16"/>
  <c r="AC1213" i="16" s="1"/>
  <c r="V1213" i="16"/>
  <c r="AB1213" i="16" s="1"/>
  <c r="X1212" i="16"/>
  <c r="AD1212" i="16" s="1"/>
  <c r="W1212" i="16"/>
  <c r="AC1212" i="16" s="1"/>
  <c r="V1212" i="16"/>
  <c r="AB1212" i="16" s="1"/>
  <c r="X1211" i="16"/>
  <c r="AD1211" i="16" s="1"/>
  <c r="W1211" i="16"/>
  <c r="AC1211" i="16" s="1"/>
  <c r="V1211" i="16"/>
  <c r="AB1211" i="16" s="1"/>
  <c r="X1210" i="16"/>
  <c r="AD1210" i="16" s="1"/>
  <c r="W1210" i="16"/>
  <c r="AC1210" i="16" s="1"/>
  <c r="V1210" i="16"/>
  <c r="AB1210" i="16" s="1"/>
  <c r="X1209" i="16"/>
  <c r="AD1209" i="16" s="1"/>
  <c r="W1209" i="16"/>
  <c r="AC1209" i="16" s="1"/>
  <c r="V1209" i="16"/>
  <c r="AB1209" i="16" s="1"/>
  <c r="X1208" i="16"/>
  <c r="AD1208" i="16" s="1"/>
  <c r="W1208" i="16"/>
  <c r="AC1208" i="16" s="1"/>
  <c r="V1208" i="16"/>
  <c r="AB1208" i="16" s="1"/>
  <c r="X1207" i="16"/>
  <c r="AD1207" i="16" s="1"/>
  <c r="W1207" i="16"/>
  <c r="AC1207" i="16" s="1"/>
  <c r="V1207" i="16"/>
  <c r="AB1207" i="16" s="1"/>
  <c r="X1206" i="16"/>
  <c r="AD1206" i="16" s="1"/>
  <c r="W1206" i="16"/>
  <c r="AC1206" i="16" s="1"/>
  <c r="V1206" i="16"/>
  <c r="AB1206" i="16" s="1"/>
  <c r="X1205" i="16"/>
  <c r="AD1205" i="16" s="1"/>
  <c r="W1205" i="16"/>
  <c r="AC1205" i="16" s="1"/>
  <c r="V1205" i="16"/>
  <c r="AB1205" i="16" s="1"/>
  <c r="X1204" i="16"/>
  <c r="AD1204" i="16" s="1"/>
  <c r="W1204" i="16"/>
  <c r="AC1204" i="16" s="1"/>
  <c r="V1204" i="16"/>
  <c r="AB1204" i="16" s="1"/>
  <c r="X1203" i="16"/>
  <c r="AD1203" i="16" s="1"/>
  <c r="W1203" i="16"/>
  <c r="AC1203" i="16" s="1"/>
  <c r="V1203" i="16"/>
  <c r="AB1203" i="16" s="1"/>
  <c r="V1202" i="16"/>
  <c r="AB1202" i="16" s="1"/>
  <c r="V1201" i="16"/>
  <c r="AB1201" i="16" s="1"/>
  <c r="V1200" i="16"/>
  <c r="AB1200" i="16" s="1"/>
  <c r="V1199" i="16"/>
  <c r="AB1199" i="16" s="1"/>
  <c r="V1198" i="16"/>
  <c r="AB1198" i="16" s="1"/>
  <c r="V1197" i="16"/>
  <c r="AB1197" i="16" s="1"/>
  <c r="V1196" i="16"/>
  <c r="AB1196" i="16" s="1"/>
  <c r="V1195" i="16"/>
  <c r="AB1195" i="16" s="1"/>
  <c r="V1194" i="16"/>
  <c r="AB1194" i="16" s="1"/>
  <c r="V1193" i="16"/>
  <c r="AB1193" i="16" s="1"/>
  <c r="V1192" i="16"/>
  <c r="AB1192" i="16" s="1"/>
  <c r="V1191" i="16"/>
  <c r="AB1191" i="16" s="1"/>
  <c r="V1190" i="16"/>
  <c r="AB1190" i="16" s="1"/>
  <c r="X1189" i="16"/>
  <c r="AD1189" i="16" s="1"/>
  <c r="W1189" i="16"/>
  <c r="AC1189" i="16" s="1"/>
  <c r="V1189" i="16"/>
  <c r="AB1189" i="16" s="1"/>
  <c r="X1188" i="16"/>
  <c r="AD1188" i="16" s="1"/>
  <c r="W1188" i="16"/>
  <c r="AC1188" i="16" s="1"/>
  <c r="V1188" i="16"/>
  <c r="AB1188" i="16" s="1"/>
  <c r="X1187" i="16"/>
  <c r="AD1187" i="16" s="1"/>
  <c r="W1187" i="16"/>
  <c r="AC1187" i="16" s="1"/>
  <c r="V1187" i="16"/>
  <c r="AB1187" i="16" s="1"/>
  <c r="X1186" i="16"/>
  <c r="AD1186" i="16" s="1"/>
  <c r="W1186" i="16"/>
  <c r="AC1186" i="16" s="1"/>
  <c r="V1186" i="16"/>
  <c r="AB1186" i="16" s="1"/>
  <c r="X1185" i="16"/>
  <c r="AD1185" i="16" s="1"/>
  <c r="W1185" i="16"/>
  <c r="AC1185" i="16" s="1"/>
  <c r="V1185" i="16"/>
  <c r="AB1185" i="16" s="1"/>
  <c r="X1184" i="16"/>
  <c r="AD1184" i="16" s="1"/>
  <c r="W1184" i="16"/>
  <c r="AC1184" i="16" s="1"/>
  <c r="V1184" i="16"/>
  <c r="AB1184" i="16" s="1"/>
  <c r="X1183" i="16"/>
  <c r="AD1183" i="16" s="1"/>
  <c r="W1183" i="16"/>
  <c r="AC1183" i="16" s="1"/>
  <c r="V1183" i="16"/>
  <c r="AB1183" i="16" s="1"/>
  <c r="X1182" i="16"/>
  <c r="AD1182" i="16" s="1"/>
  <c r="W1182" i="16"/>
  <c r="AC1182" i="16" s="1"/>
  <c r="V1182" i="16"/>
  <c r="AB1182" i="16" s="1"/>
  <c r="X1181" i="16"/>
  <c r="AD1181" i="16" s="1"/>
  <c r="W1181" i="16"/>
  <c r="AC1181" i="16" s="1"/>
  <c r="V1181" i="16"/>
  <c r="AB1181" i="16" s="1"/>
  <c r="X1180" i="16"/>
  <c r="AD1180" i="16" s="1"/>
  <c r="W1180" i="16"/>
  <c r="AC1180" i="16" s="1"/>
  <c r="V1180" i="16"/>
  <c r="AB1180" i="16" s="1"/>
  <c r="X1179" i="16"/>
  <c r="AD1179" i="16" s="1"/>
  <c r="W1179" i="16"/>
  <c r="AC1179" i="16" s="1"/>
  <c r="V1179" i="16"/>
  <c r="AB1179" i="16" s="1"/>
  <c r="X1178" i="16"/>
  <c r="AD1178" i="16" s="1"/>
  <c r="W1178" i="16"/>
  <c r="AC1178" i="16" s="1"/>
  <c r="V1178" i="16"/>
  <c r="AB1178" i="16" s="1"/>
  <c r="X1177" i="16"/>
  <c r="AD1177" i="16" s="1"/>
  <c r="W1177" i="16"/>
  <c r="AC1177" i="16" s="1"/>
  <c r="V1177" i="16"/>
  <c r="AB1177" i="16" s="1"/>
  <c r="X1176" i="16"/>
  <c r="AD1176" i="16" s="1"/>
  <c r="W1176" i="16"/>
  <c r="AC1176" i="16" s="1"/>
  <c r="V1176" i="16"/>
  <c r="AB1176" i="16" s="1"/>
  <c r="X1175" i="16"/>
  <c r="AD1175" i="16" s="1"/>
  <c r="W1175" i="16"/>
  <c r="AC1175" i="16" s="1"/>
  <c r="V1175" i="16"/>
  <c r="AB1175" i="16" s="1"/>
  <c r="X1174" i="16"/>
  <c r="AD1174" i="16" s="1"/>
  <c r="W1174" i="16"/>
  <c r="AC1174" i="16" s="1"/>
  <c r="V1174" i="16"/>
  <c r="AB1174" i="16" s="1"/>
  <c r="X1173" i="16"/>
  <c r="AD1173" i="16" s="1"/>
  <c r="W1173" i="16"/>
  <c r="AC1173" i="16" s="1"/>
  <c r="V1173" i="16"/>
  <c r="AB1173" i="16" s="1"/>
  <c r="X1172" i="16"/>
  <c r="AD1172" i="16" s="1"/>
  <c r="W1172" i="16"/>
  <c r="AC1172" i="16" s="1"/>
  <c r="V1172" i="16"/>
  <c r="AB1172" i="16" s="1"/>
  <c r="X1171" i="16"/>
  <c r="AD1171" i="16" s="1"/>
  <c r="W1171" i="16"/>
  <c r="AC1171" i="16" s="1"/>
  <c r="V1171" i="16"/>
  <c r="AB1171" i="16" s="1"/>
  <c r="X1170" i="16"/>
  <c r="AD1170" i="16" s="1"/>
  <c r="W1170" i="16"/>
  <c r="AC1170" i="16" s="1"/>
  <c r="V1170" i="16"/>
  <c r="AB1170" i="16" s="1"/>
  <c r="X1169" i="16"/>
  <c r="AD1169" i="16" s="1"/>
  <c r="W1169" i="16"/>
  <c r="AC1169" i="16" s="1"/>
  <c r="V1169" i="16"/>
  <c r="AB1169" i="16" s="1"/>
  <c r="X1168" i="16"/>
  <c r="AD1168" i="16" s="1"/>
  <c r="W1168" i="16"/>
  <c r="AC1168" i="16" s="1"/>
  <c r="V1168" i="16"/>
  <c r="AB1168" i="16" s="1"/>
  <c r="X1167" i="16"/>
  <c r="AD1167" i="16" s="1"/>
  <c r="W1167" i="16"/>
  <c r="AC1167" i="16" s="1"/>
  <c r="V1167" i="16"/>
  <c r="AB1167" i="16" s="1"/>
  <c r="X1166" i="16"/>
  <c r="AD1166" i="16" s="1"/>
  <c r="W1166" i="16"/>
  <c r="AC1166" i="16" s="1"/>
  <c r="V1166" i="16"/>
  <c r="AB1166" i="16" s="1"/>
  <c r="X1165" i="16"/>
  <c r="AD1165" i="16" s="1"/>
  <c r="W1165" i="16"/>
  <c r="AC1165" i="16" s="1"/>
  <c r="V1165" i="16"/>
  <c r="AB1165" i="16" s="1"/>
  <c r="X1164" i="16"/>
  <c r="AD1164" i="16" s="1"/>
  <c r="W1164" i="16"/>
  <c r="AC1164" i="16" s="1"/>
  <c r="V1164" i="16"/>
  <c r="AB1164" i="16" s="1"/>
  <c r="X1163" i="16"/>
  <c r="AD1163" i="16" s="1"/>
  <c r="W1163" i="16"/>
  <c r="AC1163" i="16" s="1"/>
  <c r="V1163" i="16"/>
  <c r="AB1163" i="16" s="1"/>
  <c r="X1162" i="16"/>
  <c r="AD1162" i="16" s="1"/>
  <c r="W1162" i="16"/>
  <c r="AC1162" i="16" s="1"/>
  <c r="V1162" i="16"/>
  <c r="AB1162" i="16" s="1"/>
  <c r="X1161" i="16"/>
  <c r="AD1161" i="16" s="1"/>
  <c r="W1161" i="16"/>
  <c r="AC1161" i="16" s="1"/>
  <c r="V1161" i="16"/>
  <c r="AB1161" i="16" s="1"/>
  <c r="X1160" i="16"/>
  <c r="AD1160" i="16" s="1"/>
  <c r="W1160" i="16"/>
  <c r="AC1160" i="16" s="1"/>
  <c r="V1160" i="16"/>
  <c r="AB1160" i="16" s="1"/>
  <c r="X1159" i="16"/>
  <c r="AD1159" i="16" s="1"/>
  <c r="W1159" i="16"/>
  <c r="AC1159" i="16" s="1"/>
  <c r="V1159" i="16"/>
  <c r="AB1159" i="16" s="1"/>
  <c r="X1158" i="16"/>
  <c r="AD1158" i="16" s="1"/>
  <c r="W1158" i="16"/>
  <c r="AC1158" i="16" s="1"/>
  <c r="V1158" i="16"/>
  <c r="AB1158" i="16" s="1"/>
  <c r="X1157" i="16"/>
  <c r="AD1157" i="16" s="1"/>
  <c r="W1157" i="16"/>
  <c r="AC1157" i="16" s="1"/>
  <c r="V1157" i="16"/>
  <c r="AB1157" i="16" s="1"/>
  <c r="X1156" i="16"/>
  <c r="AD1156" i="16" s="1"/>
  <c r="W1156" i="16"/>
  <c r="AC1156" i="16" s="1"/>
  <c r="V1156" i="16"/>
  <c r="AB1156" i="16" s="1"/>
  <c r="X1155" i="16"/>
  <c r="AD1155" i="16" s="1"/>
  <c r="W1155" i="16"/>
  <c r="AC1155" i="16" s="1"/>
  <c r="V1155" i="16"/>
  <c r="AB1155" i="16" s="1"/>
  <c r="X1154" i="16"/>
  <c r="AD1154" i="16" s="1"/>
  <c r="W1154" i="16"/>
  <c r="AC1154" i="16" s="1"/>
  <c r="V1154" i="16"/>
  <c r="AB1154" i="16" s="1"/>
  <c r="X1153" i="16"/>
  <c r="AD1153" i="16" s="1"/>
  <c r="W1153" i="16"/>
  <c r="AC1153" i="16" s="1"/>
  <c r="V1153" i="16"/>
  <c r="AB1153" i="16" s="1"/>
  <c r="X1152" i="16"/>
  <c r="AD1152" i="16" s="1"/>
  <c r="W1152" i="16"/>
  <c r="AC1152" i="16" s="1"/>
  <c r="V1152" i="16"/>
  <c r="AB1152" i="16" s="1"/>
  <c r="X1151" i="16"/>
  <c r="AD1151" i="16" s="1"/>
  <c r="W1151" i="16"/>
  <c r="AC1151" i="16" s="1"/>
  <c r="V1151" i="16"/>
  <c r="AB1151" i="16" s="1"/>
  <c r="X1150" i="16"/>
  <c r="AD1150" i="16" s="1"/>
  <c r="W1150" i="16"/>
  <c r="AC1150" i="16" s="1"/>
  <c r="V1150" i="16"/>
  <c r="AB1150" i="16" s="1"/>
  <c r="X1149" i="16"/>
  <c r="AD1149" i="16" s="1"/>
  <c r="W1149" i="16"/>
  <c r="AC1149" i="16" s="1"/>
  <c r="V1149" i="16"/>
  <c r="AB1149" i="16" s="1"/>
  <c r="X1148" i="16"/>
  <c r="AD1148" i="16" s="1"/>
  <c r="W1148" i="16"/>
  <c r="AC1148" i="16" s="1"/>
  <c r="V1148" i="16"/>
  <c r="AB1148" i="16" s="1"/>
  <c r="X1147" i="16"/>
  <c r="AD1147" i="16" s="1"/>
  <c r="W1147" i="16"/>
  <c r="AC1147" i="16" s="1"/>
  <c r="V1147" i="16"/>
  <c r="AB1147" i="16" s="1"/>
  <c r="X1146" i="16"/>
  <c r="AD1146" i="16" s="1"/>
  <c r="W1146" i="16"/>
  <c r="AC1146" i="16" s="1"/>
  <c r="V1146" i="16"/>
  <c r="AB1146" i="16" s="1"/>
  <c r="X1145" i="16"/>
  <c r="AD1145" i="16" s="1"/>
  <c r="W1145" i="16"/>
  <c r="AC1145" i="16" s="1"/>
  <c r="V1145" i="16"/>
  <c r="AB1145" i="16" s="1"/>
  <c r="X1144" i="16"/>
  <c r="AD1144" i="16" s="1"/>
  <c r="W1144" i="16"/>
  <c r="AC1144" i="16" s="1"/>
  <c r="V1144" i="16"/>
  <c r="AB1144" i="16" s="1"/>
  <c r="X1143" i="16"/>
  <c r="AD1143" i="16" s="1"/>
  <c r="W1143" i="16"/>
  <c r="AC1143" i="16" s="1"/>
  <c r="V1143" i="16"/>
  <c r="AB1143" i="16" s="1"/>
  <c r="X1142" i="16"/>
  <c r="AD1142" i="16" s="1"/>
  <c r="W1142" i="16"/>
  <c r="AC1142" i="16" s="1"/>
  <c r="V1142" i="16"/>
  <c r="AB1142" i="16" s="1"/>
  <c r="X1141" i="16"/>
  <c r="AD1141" i="16" s="1"/>
  <c r="W1141" i="16"/>
  <c r="AC1141" i="16" s="1"/>
  <c r="V1141" i="16"/>
  <c r="AB1141" i="16" s="1"/>
  <c r="X1140" i="16"/>
  <c r="AD1140" i="16" s="1"/>
  <c r="W1140" i="16"/>
  <c r="AC1140" i="16" s="1"/>
  <c r="V1140" i="16"/>
  <c r="AB1140" i="16" s="1"/>
  <c r="X1139" i="16"/>
  <c r="AD1139" i="16" s="1"/>
  <c r="W1139" i="16"/>
  <c r="AC1139" i="16" s="1"/>
  <c r="V1139" i="16"/>
  <c r="AB1139" i="16" s="1"/>
  <c r="X1138" i="16"/>
  <c r="AD1138" i="16" s="1"/>
  <c r="W1138" i="16"/>
  <c r="AC1138" i="16" s="1"/>
  <c r="V1138" i="16"/>
  <c r="AB1138" i="16" s="1"/>
  <c r="X1137" i="16"/>
  <c r="AD1137" i="16" s="1"/>
  <c r="W1137" i="16"/>
  <c r="AC1137" i="16" s="1"/>
  <c r="V1137" i="16"/>
  <c r="AB1137" i="16" s="1"/>
  <c r="X1136" i="16"/>
  <c r="AD1136" i="16" s="1"/>
  <c r="W1136" i="16"/>
  <c r="AC1136" i="16" s="1"/>
  <c r="V1136" i="16"/>
  <c r="AB1136" i="16" s="1"/>
  <c r="X1135" i="16"/>
  <c r="AD1135" i="16" s="1"/>
  <c r="W1135" i="16"/>
  <c r="AC1135" i="16" s="1"/>
  <c r="V1135" i="16"/>
  <c r="AB1135" i="16" s="1"/>
  <c r="X1134" i="16"/>
  <c r="AD1134" i="16" s="1"/>
  <c r="W1134" i="16"/>
  <c r="AC1134" i="16" s="1"/>
  <c r="V1134" i="16"/>
  <c r="AB1134" i="16" s="1"/>
  <c r="X1133" i="16"/>
  <c r="AD1133" i="16" s="1"/>
  <c r="W1133" i="16"/>
  <c r="AC1133" i="16" s="1"/>
  <c r="V1133" i="16"/>
  <c r="AB1133" i="16" s="1"/>
  <c r="X1132" i="16"/>
  <c r="AD1132" i="16" s="1"/>
  <c r="W1132" i="16"/>
  <c r="AC1132" i="16" s="1"/>
  <c r="V1132" i="16"/>
  <c r="AB1132" i="16" s="1"/>
  <c r="X1131" i="16"/>
  <c r="AD1131" i="16" s="1"/>
  <c r="W1131" i="16"/>
  <c r="AC1131" i="16" s="1"/>
  <c r="V1131" i="16"/>
  <c r="AB1131" i="16" s="1"/>
  <c r="X1130" i="16"/>
  <c r="AD1130" i="16" s="1"/>
  <c r="W1130" i="16"/>
  <c r="AC1130" i="16" s="1"/>
  <c r="V1130" i="16"/>
  <c r="AB1130" i="16" s="1"/>
  <c r="X1129" i="16"/>
  <c r="AD1129" i="16" s="1"/>
  <c r="W1129" i="16"/>
  <c r="AC1129" i="16" s="1"/>
  <c r="V1129" i="16"/>
  <c r="AB1129" i="16" s="1"/>
  <c r="X1128" i="16"/>
  <c r="AD1128" i="16" s="1"/>
  <c r="W1128" i="16"/>
  <c r="AC1128" i="16" s="1"/>
  <c r="V1128" i="16"/>
  <c r="AB1128" i="16" s="1"/>
  <c r="X1127" i="16"/>
  <c r="AD1127" i="16" s="1"/>
  <c r="W1127" i="16"/>
  <c r="AC1127" i="16" s="1"/>
  <c r="V1127" i="16"/>
  <c r="AB1127" i="16" s="1"/>
  <c r="X1126" i="16"/>
  <c r="AD1126" i="16" s="1"/>
  <c r="W1126" i="16"/>
  <c r="AC1126" i="16" s="1"/>
  <c r="V1126" i="16"/>
  <c r="AB1126" i="16" s="1"/>
  <c r="X1125" i="16"/>
  <c r="AD1125" i="16" s="1"/>
  <c r="W1125" i="16"/>
  <c r="AC1125" i="16" s="1"/>
  <c r="V1125" i="16"/>
  <c r="AB1125" i="16" s="1"/>
  <c r="X1124" i="16"/>
  <c r="AD1124" i="16" s="1"/>
  <c r="W1124" i="16"/>
  <c r="AC1124" i="16" s="1"/>
  <c r="V1124" i="16"/>
  <c r="AB1124" i="16" s="1"/>
  <c r="X1123" i="16"/>
  <c r="AD1123" i="16" s="1"/>
  <c r="W1123" i="16"/>
  <c r="AC1123" i="16" s="1"/>
  <c r="V1123" i="16"/>
  <c r="AB1123" i="16" s="1"/>
  <c r="X1122" i="16"/>
  <c r="AD1122" i="16" s="1"/>
  <c r="W1122" i="16"/>
  <c r="AC1122" i="16" s="1"/>
  <c r="V1122" i="16"/>
  <c r="AB1122" i="16" s="1"/>
  <c r="X1121" i="16"/>
  <c r="AD1121" i="16" s="1"/>
  <c r="W1121" i="16"/>
  <c r="AC1121" i="16" s="1"/>
  <c r="V1121" i="16"/>
  <c r="AB1121" i="16" s="1"/>
  <c r="X1120" i="16"/>
  <c r="AD1120" i="16" s="1"/>
  <c r="W1120" i="16"/>
  <c r="AC1120" i="16" s="1"/>
  <c r="V1120" i="16"/>
  <c r="AB1120" i="16" s="1"/>
  <c r="X1119" i="16"/>
  <c r="AD1119" i="16" s="1"/>
  <c r="W1119" i="16"/>
  <c r="AC1119" i="16" s="1"/>
  <c r="V1119" i="16"/>
  <c r="AB1119" i="16" s="1"/>
  <c r="X1118" i="16"/>
  <c r="AD1118" i="16" s="1"/>
  <c r="W1118" i="16"/>
  <c r="AC1118" i="16" s="1"/>
  <c r="V1118" i="16"/>
  <c r="AB1118" i="16" s="1"/>
  <c r="X1117" i="16"/>
  <c r="AD1117" i="16" s="1"/>
  <c r="W1117" i="16"/>
  <c r="AC1117" i="16" s="1"/>
  <c r="V1117" i="16"/>
  <c r="AB1117" i="16" s="1"/>
  <c r="X1116" i="16"/>
  <c r="AD1116" i="16" s="1"/>
  <c r="W1116" i="16"/>
  <c r="AC1116" i="16" s="1"/>
  <c r="V1116" i="16"/>
  <c r="AB1116" i="16" s="1"/>
  <c r="X1115" i="16"/>
  <c r="AD1115" i="16" s="1"/>
  <c r="W1115" i="16"/>
  <c r="AC1115" i="16" s="1"/>
  <c r="V1115" i="16"/>
  <c r="AB1115" i="16" s="1"/>
  <c r="X1114" i="16"/>
  <c r="AD1114" i="16" s="1"/>
  <c r="W1114" i="16"/>
  <c r="AC1114" i="16" s="1"/>
  <c r="V1114" i="16"/>
  <c r="AB1114" i="16" s="1"/>
  <c r="X1113" i="16"/>
  <c r="AD1113" i="16" s="1"/>
  <c r="W1113" i="16"/>
  <c r="AC1113" i="16" s="1"/>
  <c r="V1113" i="16"/>
  <c r="AB1113" i="16" s="1"/>
  <c r="X1112" i="16"/>
  <c r="AD1112" i="16" s="1"/>
  <c r="W1112" i="16"/>
  <c r="AC1112" i="16" s="1"/>
  <c r="V1112" i="16"/>
  <c r="AB1112" i="16" s="1"/>
  <c r="X1111" i="16"/>
  <c r="AD1111" i="16" s="1"/>
  <c r="W1111" i="16"/>
  <c r="AC1111" i="16" s="1"/>
  <c r="V1111" i="16"/>
  <c r="AB1111" i="16" s="1"/>
  <c r="X1110" i="16"/>
  <c r="AD1110" i="16" s="1"/>
  <c r="W1110" i="16"/>
  <c r="AC1110" i="16" s="1"/>
  <c r="V1110" i="16"/>
  <c r="AB1110" i="16" s="1"/>
  <c r="X1109" i="16"/>
  <c r="AD1109" i="16" s="1"/>
  <c r="W1109" i="16"/>
  <c r="AC1109" i="16" s="1"/>
  <c r="V1109" i="16"/>
  <c r="AB1109" i="16" s="1"/>
  <c r="X1108" i="16"/>
  <c r="AD1108" i="16" s="1"/>
  <c r="W1108" i="16"/>
  <c r="AC1108" i="16" s="1"/>
  <c r="V1108" i="16"/>
  <c r="AB1108" i="16" s="1"/>
  <c r="X1107" i="16"/>
  <c r="AD1107" i="16" s="1"/>
  <c r="W1107" i="16"/>
  <c r="AC1107" i="16" s="1"/>
  <c r="V1107" i="16"/>
  <c r="AB1107" i="16" s="1"/>
  <c r="X1106" i="16"/>
  <c r="AD1106" i="16" s="1"/>
  <c r="W1106" i="16"/>
  <c r="AC1106" i="16" s="1"/>
  <c r="V1106" i="16"/>
  <c r="AB1106" i="16" s="1"/>
  <c r="X1105" i="16"/>
  <c r="AD1105" i="16" s="1"/>
  <c r="W1105" i="16"/>
  <c r="AC1105" i="16" s="1"/>
  <c r="V1105" i="16"/>
  <c r="AB1105" i="16" s="1"/>
  <c r="X1104" i="16"/>
  <c r="AD1104" i="16" s="1"/>
  <c r="W1104" i="16"/>
  <c r="AC1104" i="16" s="1"/>
  <c r="V1104" i="16"/>
  <c r="AB1104" i="16" s="1"/>
  <c r="X1103" i="16"/>
  <c r="AD1103" i="16" s="1"/>
  <c r="W1103" i="16"/>
  <c r="AC1103" i="16" s="1"/>
  <c r="V1103" i="16"/>
  <c r="AB1103" i="16" s="1"/>
  <c r="X1102" i="16"/>
  <c r="AD1102" i="16" s="1"/>
  <c r="W1102" i="16"/>
  <c r="AC1102" i="16" s="1"/>
  <c r="V1102" i="16"/>
  <c r="AB1102" i="16" s="1"/>
  <c r="X1101" i="16"/>
  <c r="AD1101" i="16" s="1"/>
  <c r="W1101" i="16"/>
  <c r="AC1101" i="16" s="1"/>
  <c r="V1101" i="16"/>
  <c r="AB1101" i="16" s="1"/>
  <c r="X1100" i="16"/>
  <c r="AD1100" i="16" s="1"/>
  <c r="W1100" i="16"/>
  <c r="AC1100" i="16" s="1"/>
  <c r="V1100" i="16"/>
  <c r="AB1100" i="16" s="1"/>
  <c r="X1099" i="16"/>
  <c r="AD1099" i="16" s="1"/>
  <c r="W1099" i="16"/>
  <c r="AC1099" i="16" s="1"/>
  <c r="V1099" i="16"/>
  <c r="AB1099" i="16" s="1"/>
  <c r="X1098" i="16"/>
  <c r="AD1098" i="16" s="1"/>
  <c r="W1098" i="16"/>
  <c r="AC1098" i="16" s="1"/>
  <c r="V1098" i="16"/>
  <c r="AB1098" i="16" s="1"/>
  <c r="X1097" i="16"/>
  <c r="AD1097" i="16" s="1"/>
  <c r="W1097" i="16"/>
  <c r="AC1097" i="16" s="1"/>
  <c r="V1097" i="16"/>
  <c r="AB1097" i="16" s="1"/>
  <c r="X1096" i="16"/>
  <c r="AD1096" i="16" s="1"/>
  <c r="W1096" i="16"/>
  <c r="AC1096" i="16" s="1"/>
  <c r="V1096" i="16"/>
  <c r="AB1096" i="16" s="1"/>
  <c r="X1095" i="16"/>
  <c r="AD1095" i="16" s="1"/>
  <c r="W1095" i="16"/>
  <c r="AC1095" i="16" s="1"/>
  <c r="V1095" i="16"/>
  <c r="AB1095" i="16" s="1"/>
  <c r="X1094" i="16"/>
  <c r="AD1094" i="16" s="1"/>
  <c r="W1094" i="16"/>
  <c r="AC1094" i="16" s="1"/>
  <c r="V1094" i="16"/>
  <c r="AB1094" i="16" s="1"/>
  <c r="X1093" i="16"/>
  <c r="AD1093" i="16" s="1"/>
  <c r="W1093" i="16"/>
  <c r="AC1093" i="16" s="1"/>
  <c r="V1093" i="16"/>
  <c r="AB1093" i="16" s="1"/>
  <c r="X1092" i="16"/>
  <c r="AD1092" i="16" s="1"/>
  <c r="W1092" i="16"/>
  <c r="AC1092" i="16" s="1"/>
  <c r="V1092" i="16"/>
  <c r="AB1092" i="16" s="1"/>
  <c r="X1091" i="16"/>
  <c r="AD1091" i="16" s="1"/>
  <c r="W1091" i="16"/>
  <c r="AC1091" i="16" s="1"/>
  <c r="V1091" i="16"/>
  <c r="AB1091" i="16" s="1"/>
  <c r="X1090" i="16"/>
  <c r="AD1090" i="16" s="1"/>
  <c r="W1090" i="16"/>
  <c r="AC1090" i="16" s="1"/>
  <c r="V1090" i="16"/>
  <c r="AB1090" i="16" s="1"/>
  <c r="X1089" i="16"/>
  <c r="AD1089" i="16" s="1"/>
  <c r="W1089" i="16"/>
  <c r="AC1089" i="16" s="1"/>
  <c r="V1089" i="16"/>
  <c r="AB1089" i="16" s="1"/>
  <c r="X1088" i="16"/>
  <c r="AD1088" i="16" s="1"/>
  <c r="W1088" i="16"/>
  <c r="AC1088" i="16" s="1"/>
  <c r="V1088" i="16"/>
  <c r="AB1088" i="16" s="1"/>
  <c r="X1087" i="16"/>
  <c r="AD1087" i="16" s="1"/>
  <c r="W1087" i="16"/>
  <c r="AC1087" i="16" s="1"/>
  <c r="V1087" i="16"/>
  <c r="AB1087" i="16" s="1"/>
  <c r="X1086" i="16"/>
  <c r="AD1086" i="16" s="1"/>
  <c r="W1086" i="16"/>
  <c r="AC1086" i="16" s="1"/>
  <c r="V1086" i="16"/>
  <c r="AB1086" i="16" s="1"/>
  <c r="X1085" i="16"/>
  <c r="AD1085" i="16" s="1"/>
  <c r="W1085" i="16"/>
  <c r="AC1085" i="16" s="1"/>
  <c r="V1085" i="16"/>
  <c r="AB1085" i="16" s="1"/>
  <c r="X1084" i="16"/>
  <c r="AD1084" i="16" s="1"/>
  <c r="W1084" i="16"/>
  <c r="AC1084" i="16" s="1"/>
  <c r="V1084" i="16"/>
  <c r="AB1084" i="16" s="1"/>
  <c r="X1083" i="16"/>
  <c r="AD1083" i="16" s="1"/>
  <c r="W1083" i="16"/>
  <c r="AC1083" i="16" s="1"/>
  <c r="V1083" i="16"/>
  <c r="AB1083" i="16" s="1"/>
  <c r="X1082" i="16"/>
  <c r="AD1082" i="16" s="1"/>
  <c r="W1082" i="16"/>
  <c r="AC1082" i="16" s="1"/>
  <c r="V1082" i="16"/>
  <c r="AB1082" i="16" s="1"/>
  <c r="X1081" i="16"/>
  <c r="AD1081" i="16" s="1"/>
  <c r="W1081" i="16"/>
  <c r="AC1081" i="16" s="1"/>
  <c r="V1081" i="16"/>
  <c r="AB1081" i="16" s="1"/>
  <c r="X1080" i="16"/>
  <c r="AD1080" i="16" s="1"/>
  <c r="W1080" i="16"/>
  <c r="AC1080" i="16" s="1"/>
  <c r="V1080" i="16"/>
  <c r="AB1080" i="16" s="1"/>
  <c r="X1079" i="16"/>
  <c r="AD1079" i="16" s="1"/>
  <c r="W1079" i="16"/>
  <c r="AC1079" i="16" s="1"/>
  <c r="V1079" i="16"/>
  <c r="AB1079" i="16" s="1"/>
  <c r="X1078" i="16"/>
  <c r="AD1078" i="16" s="1"/>
  <c r="W1078" i="16"/>
  <c r="AC1078" i="16" s="1"/>
  <c r="V1078" i="16"/>
  <c r="AB1078" i="16" s="1"/>
  <c r="X1077" i="16"/>
  <c r="AD1077" i="16" s="1"/>
  <c r="W1077" i="16"/>
  <c r="AC1077" i="16" s="1"/>
  <c r="V1077" i="16"/>
  <c r="AB1077" i="16" s="1"/>
  <c r="X1076" i="16"/>
  <c r="AD1076" i="16" s="1"/>
  <c r="W1076" i="16"/>
  <c r="AC1076" i="16" s="1"/>
  <c r="V1076" i="16"/>
  <c r="AB1076" i="16" s="1"/>
  <c r="X1075" i="16"/>
  <c r="AD1075" i="16" s="1"/>
  <c r="W1075" i="16"/>
  <c r="AC1075" i="16" s="1"/>
  <c r="V1075" i="16"/>
  <c r="AB1075" i="16" s="1"/>
  <c r="X1074" i="16"/>
  <c r="AD1074" i="16" s="1"/>
  <c r="W1074" i="16"/>
  <c r="AC1074" i="16" s="1"/>
  <c r="V1074" i="16"/>
  <c r="AB1074" i="16" s="1"/>
  <c r="X1073" i="16"/>
  <c r="AD1073" i="16" s="1"/>
  <c r="W1073" i="16"/>
  <c r="AC1073" i="16" s="1"/>
  <c r="V1073" i="16"/>
  <c r="AB1073" i="16" s="1"/>
  <c r="X1072" i="16"/>
  <c r="AD1072" i="16" s="1"/>
  <c r="W1072" i="16"/>
  <c r="AC1072" i="16" s="1"/>
  <c r="V1072" i="16"/>
  <c r="AB1072" i="16" s="1"/>
  <c r="X1071" i="16"/>
  <c r="AD1071" i="16" s="1"/>
  <c r="W1071" i="16"/>
  <c r="AC1071" i="16" s="1"/>
  <c r="V1071" i="16"/>
  <c r="AB1071" i="16" s="1"/>
  <c r="X1070" i="16"/>
  <c r="AD1070" i="16" s="1"/>
  <c r="W1070" i="16"/>
  <c r="AC1070" i="16" s="1"/>
  <c r="V1070" i="16"/>
  <c r="AB1070" i="16" s="1"/>
  <c r="X1069" i="16"/>
  <c r="AD1069" i="16" s="1"/>
  <c r="W1069" i="16"/>
  <c r="AC1069" i="16" s="1"/>
  <c r="V1069" i="16"/>
  <c r="AB1069" i="16" s="1"/>
  <c r="X1068" i="16"/>
  <c r="AD1068" i="16" s="1"/>
  <c r="W1068" i="16"/>
  <c r="AC1068" i="16" s="1"/>
  <c r="V1068" i="16"/>
  <c r="AB1068" i="16" s="1"/>
  <c r="X1067" i="16"/>
  <c r="AD1067" i="16" s="1"/>
  <c r="W1067" i="16"/>
  <c r="AC1067" i="16" s="1"/>
  <c r="V1067" i="16"/>
  <c r="AB1067" i="16" s="1"/>
  <c r="X1066" i="16"/>
  <c r="AD1066" i="16" s="1"/>
  <c r="W1066" i="16"/>
  <c r="AC1066" i="16" s="1"/>
  <c r="V1066" i="16"/>
  <c r="AB1066" i="16" s="1"/>
  <c r="X1065" i="16"/>
  <c r="AD1065" i="16" s="1"/>
  <c r="W1065" i="16"/>
  <c r="AC1065" i="16" s="1"/>
  <c r="V1065" i="16"/>
  <c r="AB1065" i="16" s="1"/>
  <c r="X1064" i="16"/>
  <c r="AD1064" i="16" s="1"/>
  <c r="W1064" i="16"/>
  <c r="AC1064" i="16" s="1"/>
  <c r="V1064" i="16"/>
  <c r="AB1064" i="16" s="1"/>
  <c r="X1063" i="16"/>
  <c r="AD1063" i="16" s="1"/>
  <c r="W1063" i="16"/>
  <c r="AC1063" i="16" s="1"/>
  <c r="V1063" i="16"/>
  <c r="AB1063" i="16" s="1"/>
  <c r="X1062" i="16"/>
  <c r="AD1062" i="16" s="1"/>
  <c r="W1062" i="16"/>
  <c r="AC1062" i="16" s="1"/>
  <c r="V1062" i="16"/>
  <c r="AB1062" i="16" s="1"/>
  <c r="X1061" i="16"/>
  <c r="AD1061" i="16" s="1"/>
  <c r="W1061" i="16"/>
  <c r="AC1061" i="16" s="1"/>
  <c r="V1061" i="16"/>
  <c r="AB1061" i="16" s="1"/>
  <c r="X1060" i="16"/>
  <c r="AD1060" i="16" s="1"/>
  <c r="W1060" i="16"/>
  <c r="AC1060" i="16" s="1"/>
  <c r="V1060" i="16"/>
  <c r="AB1060" i="16" s="1"/>
  <c r="X1059" i="16"/>
  <c r="AD1059" i="16" s="1"/>
  <c r="W1059" i="16"/>
  <c r="AC1059" i="16" s="1"/>
  <c r="V1059" i="16"/>
  <c r="AB1059" i="16" s="1"/>
  <c r="X1058" i="16"/>
  <c r="AD1058" i="16" s="1"/>
  <c r="W1058" i="16"/>
  <c r="AC1058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X1051" i="16"/>
  <c r="AD1051" i="16" s="1"/>
  <c r="W1051" i="16"/>
  <c r="AC1051" i="16" s="1"/>
  <c r="V1051" i="16"/>
  <c r="AB1051" i="16" s="1"/>
  <c r="X1050" i="16"/>
  <c r="AD1050" i="16" s="1"/>
  <c r="W1050" i="16"/>
  <c r="AC1050" i="16" s="1"/>
  <c r="V1050" i="16"/>
  <c r="AB1050" i="16" s="1"/>
  <c r="X1049" i="16"/>
  <c r="AD1049" i="16" s="1"/>
  <c r="W1049" i="16"/>
  <c r="AC1049" i="16" s="1"/>
  <c r="V1049" i="16"/>
  <c r="AB1049" i="16" s="1"/>
  <c r="X1048" i="16"/>
  <c r="AD1048" i="16" s="1"/>
  <c r="W1048" i="16"/>
  <c r="AC1048" i="16" s="1"/>
  <c r="V1048" i="16"/>
  <c r="AB1048" i="16" s="1"/>
  <c r="X1047" i="16"/>
  <c r="AD1047" i="16" s="1"/>
  <c r="W1047" i="16"/>
  <c r="AC1047" i="16" s="1"/>
  <c r="V1047" i="16"/>
  <c r="AB1047" i="16" s="1"/>
  <c r="X1046" i="16"/>
  <c r="AD1046" i="16" s="1"/>
  <c r="W1046" i="16"/>
  <c r="AC1046" i="16" s="1"/>
  <c r="V1046" i="16"/>
  <c r="AB1046" i="16" s="1"/>
  <c r="X1045" i="16"/>
  <c r="AD1045" i="16" s="1"/>
  <c r="W1045" i="16"/>
  <c r="AC1045" i="16" s="1"/>
  <c r="V1045" i="16"/>
  <c r="AB1045" i="16" s="1"/>
  <c r="X1044" i="16"/>
  <c r="AD1044" i="16" s="1"/>
  <c r="W1044" i="16"/>
  <c r="AC1044" i="16" s="1"/>
  <c r="V1044" i="16"/>
  <c r="AB1044" i="16" s="1"/>
  <c r="X1043" i="16"/>
  <c r="AD1043" i="16" s="1"/>
  <c r="W1043" i="16"/>
  <c r="AC1043" i="16" s="1"/>
  <c r="V1043" i="16"/>
  <c r="AB1043" i="16" s="1"/>
  <c r="X1042" i="16"/>
  <c r="AD1042" i="16" s="1"/>
  <c r="W1042" i="16"/>
  <c r="AC1042" i="16" s="1"/>
  <c r="V1042" i="16"/>
  <c r="AB1042" i="16" s="1"/>
  <c r="X1041" i="16"/>
  <c r="AD1041" i="16" s="1"/>
  <c r="W1041" i="16"/>
  <c r="AC1041" i="16" s="1"/>
  <c r="V1041" i="16"/>
  <c r="AB1041" i="16" s="1"/>
  <c r="X1040" i="16"/>
  <c r="AD1040" i="16" s="1"/>
  <c r="W1040" i="16"/>
  <c r="AC1040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X1024" i="16"/>
  <c r="AD1024" i="16" s="1"/>
  <c r="W1024" i="16"/>
  <c r="AC1024" i="16" s="1"/>
  <c r="V1024" i="16"/>
  <c r="AB1024" i="16" s="1"/>
  <c r="X1023" i="16"/>
  <c r="AD1023" i="16" s="1"/>
  <c r="W1023" i="16"/>
  <c r="AC1023" i="16" s="1"/>
  <c r="V1023" i="16"/>
  <c r="AB1023" i="16" s="1"/>
  <c r="X1022" i="16"/>
  <c r="AD1022" i="16" s="1"/>
  <c r="W1022" i="16"/>
  <c r="AC1022" i="16" s="1"/>
  <c r="V1022" i="16"/>
  <c r="AB1022" i="16" s="1"/>
  <c r="X1021" i="16"/>
  <c r="AD1021" i="16" s="1"/>
  <c r="W1021" i="16"/>
  <c r="AC1021" i="16" s="1"/>
  <c r="V1021" i="16"/>
  <c r="AB1021" i="16" s="1"/>
  <c r="X1020" i="16"/>
  <c r="AD1020" i="16" s="1"/>
  <c r="W1020" i="16"/>
  <c r="AC1020" i="16" s="1"/>
  <c r="V1020" i="16"/>
  <c r="AB1020" i="16" s="1"/>
  <c r="X1019" i="16"/>
  <c r="AD1019" i="16" s="1"/>
  <c r="W1019" i="16"/>
  <c r="AC1019" i="16" s="1"/>
  <c r="V1019" i="16"/>
  <c r="AB1019" i="16" s="1"/>
  <c r="X1018" i="16"/>
  <c r="AD1018" i="16" s="1"/>
  <c r="W1018" i="16"/>
  <c r="AC1018" i="16" s="1"/>
  <c r="V1018" i="16"/>
  <c r="AB1018" i="16" s="1"/>
  <c r="X1017" i="16"/>
  <c r="AD1017" i="16" s="1"/>
  <c r="W1017" i="16"/>
  <c r="AC1017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V688" i="16"/>
  <c r="AB688" i="16" s="1"/>
  <c r="V687" i="16"/>
  <c r="AB687" i="16" s="1"/>
  <c r="V686" i="16"/>
  <c r="AB686" i="16" s="1"/>
  <c r="V685" i="16"/>
  <c r="AB685" i="16" s="1"/>
  <c r="V684" i="16"/>
  <c r="AB684" i="16" s="1"/>
  <c r="V683" i="16"/>
  <c r="AB683" i="16" s="1"/>
  <c r="V682" i="16"/>
  <c r="AB682" i="16" s="1"/>
  <c r="V681" i="16"/>
  <c r="AB681" i="16" s="1"/>
  <c r="V680" i="16"/>
  <c r="AB680" i="16" s="1"/>
  <c r="V679" i="16"/>
  <c r="AB679" i="16" s="1"/>
  <c r="V678" i="16"/>
  <c r="AB678" i="16" s="1"/>
  <c r="V677" i="16"/>
  <c r="AB677" i="16" s="1"/>
  <c r="X676" i="16"/>
  <c r="AD676" i="16" s="1"/>
  <c r="W676" i="16"/>
  <c r="AC676" i="16" s="1"/>
  <c r="X675" i="16"/>
  <c r="AD675" i="16" s="1"/>
  <c r="W675" i="16"/>
  <c r="AC675" i="16" s="1"/>
  <c r="X674" i="16"/>
  <c r="AD674" i="16" s="1"/>
  <c r="W674" i="16"/>
  <c r="AC674" i="16" s="1"/>
  <c r="X673" i="16"/>
  <c r="AD673" i="16" s="1"/>
  <c r="W673" i="16"/>
  <c r="AC673" i="16" s="1"/>
  <c r="X672" i="16"/>
  <c r="AD672" i="16" s="1"/>
  <c r="W672" i="16"/>
  <c r="AC672" i="16" s="1"/>
  <c r="X671" i="16"/>
  <c r="AD671" i="16" s="1"/>
  <c r="W671" i="16"/>
  <c r="AC671" i="16" s="1"/>
  <c r="X670" i="16"/>
  <c r="AD670" i="16" s="1"/>
  <c r="W670" i="16"/>
  <c r="AC670" i="16" s="1"/>
  <c r="X669" i="16"/>
  <c r="AD669" i="16" s="1"/>
  <c r="W669" i="16"/>
  <c r="AC669" i="16" s="1"/>
  <c r="X668" i="16"/>
  <c r="AD668" i="16" s="1"/>
  <c r="W668" i="16"/>
  <c r="AC668" i="16" s="1"/>
  <c r="X667" i="16"/>
  <c r="AD667" i="16" s="1"/>
  <c r="W667" i="16"/>
  <c r="AC667" i="16" s="1"/>
  <c r="X666" i="16"/>
  <c r="AD666" i="16" s="1"/>
  <c r="W666" i="16"/>
  <c r="AC666" i="16" s="1"/>
  <c r="X665" i="16"/>
  <c r="AD665" i="16" s="1"/>
  <c r="W665" i="16"/>
  <c r="AC665" i="16" s="1"/>
  <c r="V664" i="16"/>
  <c r="AB664" i="16" s="1"/>
  <c r="V663" i="16"/>
  <c r="AB663" i="16" s="1"/>
  <c r="V662" i="16"/>
  <c r="AB662" i="16" s="1"/>
  <c r="V661" i="16"/>
  <c r="AB661" i="16" s="1"/>
  <c r="V660" i="16"/>
  <c r="AB660" i="16" s="1"/>
  <c r="V659" i="16"/>
  <c r="AB659" i="16" s="1"/>
  <c r="V658" i="16"/>
  <c r="AB658" i="16" s="1"/>
  <c r="V657" i="16"/>
  <c r="AB657" i="16" s="1"/>
  <c r="V656" i="16"/>
  <c r="AB656" i="16" s="1"/>
  <c r="V655" i="16"/>
  <c r="AB655" i="16" s="1"/>
  <c r="V654" i="16"/>
  <c r="AB654" i="16" s="1"/>
  <c r="V653" i="16"/>
  <c r="AB653" i="16" s="1"/>
  <c r="V652" i="16"/>
  <c r="AB652" i="16" s="1"/>
  <c r="V651" i="16"/>
  <c r="AB651" i="16" s="1"/>
  <c r="V650" i="16"/>
  <c r="AB650" i="16" s="1"/>
  <c r="V649" i="16"/>
  <c r="AB649" i="16" s="1"/>
  <c r="V648" i="16"/>
  <c r="AB648" i="16" s="1"/>
  <c r="V647" i="16"/>
  <c r="AB647" i="16" s="1"/>
  <c r="V646" i="16"/>
  <c r="AB646" i="16" s="1"/>
  <c r="V645" i="16"/>
  <c r="AB645" i="16" s="1"/>
  <c r="V644" i="16"/>
  <c r="AB644" i="16" s="1"/>
  <c r="V643" i="16"/>
  <c r="AB643" i="16" s="1"/>
  <c r="V642" i="16"/>
  <c r="AB642" i="16" s="1"/>
  <c r="V641" i="16"/>
  <c r="AB641" i="16" s="1"/>
  <c r="X640" i="16"/>
  <c r="AD640" i="16" s="1"/>
  <c r="W640" i="16"/>
  <c r="AC640" i="16" s="1"/>
  <c r="X639" i="16"/>
  <c r="AD639" i="16" s="1"/>
  <c r="W639" i="16"/>
  <c r="AC639" i="16" s="1"/>
  <c r="X638" i="16"/>
  <c r="AD638" i="16" s="1"/>
  <c r="W638" i="16"/>
  <c r="AC638" i="16" s="1"/>
  <c r="X637" i="16"/>
  <c r="AD637" i="16" s="1"/>
  <c r="W637" i="16"/>
  <c r="AC637" i="16" s="1"/>
  <c r="X636" i="16"/>
  <c r="AD636" i="16" s="1"/>
  <c r="W636" i="16"/>
  <c r="AC636" i="16" s="1"/>
  <c r="X635" i="16"/>
  <c r="AD635" i="16" s="1"/>
  <c r="W635" i="16"/>
  <c r="X634" i="16"/>
  <c r="AD634" i="16" s="1"/>
  <c r="W634" i="16"/>
  <c r="AC634" i="16" s="1"/>
  <c r="X633" i="16"/>
  <c r="AD633" i="16" s="1"/>
  <c r="W633" i="16"/>
  <c r="AC633" i="16" s="1"/>
  <c r="X632" i="16"/>
  <c r="AD632" i="16" s="1"/>
  <c r="W632" i="16"/>
  <c r="X631" i="16"/>
  <c r="AD631" i="16" s="1"/>
  <c r="W631" i="16"/>
  <c r="AC631" i="16" s="1"/>
  <c r="X630" i="16"/>
  <c r="AD630" i="16" s="1"/>
  <c r="W630" i="16"/>
  <c r="AC630" i="16" s="1"/>
  <c r="X629" i="16"/>
  <c r="AD629" i="16" s="1"/>
  <c r="W629" i="16"/>
  <c r="AC629" i="16" s="1"/>
  <c r="V628" i="16"/>
  <c r="AB628" i="16" s="1"/>
  <c r="V627" i="16"/>
  <c r="AB627" i="16" s="1"/>
  <c r="V626" i="16"/>
  <c r="AB626" i="16" s="1"/>
  <c r="V625" i="16"/>
  <c r="AB625" i="16" s="1"/>
  <c r="V624" i="16"/>
  <c r="AB624" i="16" s="1"/>
  <c r="V623" i="16"/>
  <c r="AB623" i="16" s="1"/>
  <c r="V622" i="16"/>
  <c r="AB622" i="16" s="1"/>
  <c r="V621" i="16"/>
  <c r="AB621" i="16" s="1"/>
  <c r="V620" i="16"/>
  <c r="AB620" i="16" s="1"/>
  <c r="V619" i="16"/>
  <c r="AB619" i="16" s="1"/>
  <c r="V618" i="16"/>
  <c r="AB618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79" i="16"/>
  <c r="AD579" i="16" s="1"/>
  <c r="W579" i="16"/>
  <c r="AC579" i="16" s="1"/>
  <c r="V579" i="16"/>
  <c r="AB579" i="16" s="1"/>
  <c r="X578" i="16"/>
  <c r="AD578" i="16" s="1"/>
  <c r="W578" i="16"/>
  <c r="AC578" i="16" s="1"/>
  <c r="V578" i="16"/>
  <c r="AB578" i="16" s="1"/>
  <c r="X577" i="16"/>
  <c r="AD577" i="16" s="1"/>
  <c r="W577" i="16"/>
  <c r="AC577" i="16" s="1"/>
  <c r="V577" i="16"/>
  <c r="AB577" i="16" s="1"/>
  <c r="X576" i="16"/>
  <c r="AD576" i="16" s="1"/>
  <c r="W576" i="16"/>
  <c r="AC576" i="16" s="1"/>
  <c r="V576" i="16"/>
  <c r="AB576" i="16" s="1"/>
  <c r="X575" i="16"/>
  <c r="AD575" i="16" s="1"/>
  <c r="W575" i="16"/>
  <c r="AC575" i="16" s="1"/>
  <c r="V575" i="16"/>
  <c r="AB575" i="16" s="1"/>
  <c r="X574" i="16"/>
  <c r="AD574" i="16" s="1"/>
  <c r="W574" i="16"/>
  <c r="AC574" i="16" s="1"/>
  <c r="V574" i="16"/>
  <c r="AB574" i="16" s="1"/>
  <c r="X573" i="16"/>
  <c r="AD573" i="16" s="1"/>
  <c r="W573" i="16"/>
  <c r="AC573" i="16" s="1"/>
  <c r="V573" i="16"/>
  <c r="AB573" i="16" s="1"/>
  <c r="X572" i="16"/>
  <c r="AD572" i="16" s="1"/>
  <c r="W572" i="16"/>
  <c r="AC572" i="16" s="1"/>
  <c r="V572" i="16"/>
  <c r="AB572" i="16" s="1"/>
  <c r="X571" i="16"/>
  <c r="AD571" i="16" s="1"/>
  <c r="W571" i="16"/>
  <c r="AC571" i="16" s="1"/>
  <c r="V571" i="16"/>
  <c r="AB571" i="16" s="1"/>
  <c r="X570" i="16"/>
  <c r="AD570" i="16" s="1"/>
  <c r="W570" i="16"/>
  <c r="AC570" i="16" s="1"/>
  <c r="V570" i="16"/>
  <c r="AB570" i="16" s="1"/>
  <c r="X569" i="16"/>
  <c r="AD569" i="16" s="1"/>
  <c r="W569" i="16"/>
  <c r="AC569" i="16" s="1"/>
  <c r="V569" i="16"/>
  <c r="AB569" i="16" s="1"/>
  <c r="X568" i="16"/>
  <c r="AD568" i="16" s="1"/>
  <c r="W568" i="16"/>
  <c r="AC568" i="16" s="1"/>
  <c r="V568" i="16"/>
  <c r="AB568" i="16" s="1"/>
  <c r="X567" i="16"/>
  <c r="AD567" i="16" s="1"/>
  <c r="W567" i="16"/>
  <c r="AC567" i="16" s="1"/>
  <c r="V567" i="16"/>
  <c r="AB567" i="16" s="1"/>
  <c r="X566" i="16"/>
  <c r="AD566" i="16" s="1"/>
  <c r="W566" i="16"/>
  <c r="AC566" i="16" s="1"/>
  <c r="V566" i="16"/>
  <c r="AB566" i="16" s="1"/>
  <c r="X565" i="16"/>
  <c r="AD565" i="16" s="1"/>
  <c r="W565" i="16"/>
  <c r="AC565" i="16" s="1"/>
  <c r="V565" i="16"/>
  <c r="AB565" i="16" s="1"/>
  <c r="X564" i="16"/>
  <c r="AD564" i="16" s="1"/>
  <c r="W564" i="16"/>
  <c r="AC564" i="16" s="1"/>
  <c r="V564" i="16"/>
  <c r="X563" i="16"/>
  <c r="AD563" i="16" s="1"/>
  <c r="W563" i="16"/>
  <c r="AC563" i="16" s="1"/>
  <c r="V563" i="16"/>
  <c r="AB563" i="16" s="1"/>
  <c r="X562" i="16"/>
  <c r="AD562" i="16" s="1"/>
  <c r="W562" i="16"/>
  <c r="AC562" i="16" s="1"/>
  <c r="V562" i="16"/>
  <c r="AB562" i="16" s="1"/>
  <c r="X561" i="16"/>
  <c r="AD561" i="16" s="1"/>
  <c r="W561" i="16"/>
  <c r="AC561" i="16" s="1"/>
  <c r="V561" i="16"/>
  <c r="AB561" i="16" s="1"/>
  <c r="X560" i="16"/>
  <c r="AD560" i="16" s="1"/>
  <c r="W560" i="16"/>
  <c r="AC560" i="16" s="1"/>
  <c r="V560" i="16"/>
  <c r="AB560" i="16" s="1"/>
  <c r="X559" i="16"/>
  <c r="AD559" i="16" s="1"/>
  <c r="W559" i="16"/>
  <c r="AC559" i="16" s="1"/>
  <c r="V559" i="16"/>
  <c r="AB559" i="16" s="1"/>
  <c r="X558" i="16"/>
  <c r="AD558" i="16" s="1"/>
  <c r="W558" i="16"/>
  <c r="AC558" i="16" s="1"/>
  <c r="V558" i="16"/>
  <c r="AB558" i="16" s="1"/>
  <c r="X557" i="16"/>
  <c r="AD557" i="16" s="1"/>
  <c r="W557" i="16"/>
  <c r="AC557" i="16" s="1"/>
  <c r="V557" i="16"/>
  <c r="AB557" i="16" s="1"/>
  <c r="X556" i="16"/>
  <c r="AD556" i="16" s="1"/>
  <c r="W556" i="16"/>
  <c r="AC556" i="16" s="1"/>
  <c r="V556" i="16"/>
  <c r="AB556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99" i="16"/>
  <c r="AD299" i="16" s="1"/>
  <c r="W299" i="16"/>
  <c r="AC299" i="16" s="1"/>
  <c r="V299" i="16"/>
  <c r="AB299" i="16" s="1"/>
  <c r="X298" i="16"/>
  <c r="W298" i="16"/>
  <c r="AC298" i="16" s="1"/>
  <c r="V298" i="16"/>
  <c r="AB298" i="16" s="1"/>
  <c r="X297" i="16"/>
  <c r="AD297" i="16" s="1"/>
  <c r="W297" i="16"/>
  <c r="AC297" i="16" s="1"/>
  <c r="V297" i="16"/>
  <c r="AB297" i="16" s="1"/>
  <c r="X296" i="16"/>
  <c r="AD296" i="16" s="1"/>
  <c r="W296" i="16"/>
  <c r="AC296" i="16" s="1"/>
  <c r="V296" i="16"/>
  <c r="AB296" i="16" s="1"/>
  <c r="X295" i="16"/>
  <c r="AD295" i="16" s="1"/>
  <c r="W295" i="16"/>
  <c r="AC295" i="16" s="1"/>
  <c r="V295" i="16"/>
  <c r="AB295" i="16" s="1"/>
  <c r="X294" i="16"/>
  <c r="AD294" i="16" s="1"/>
  <c r="W294" i="16"/>
  <c r="AC294" i="16" s="1"/>
  <c r="V294" i="16"/>
  <c r="AB294" i="16" s="1"/>
  <c r="X293" i="16"/>
  <c r="AD293" i="16" s="1"/>
  <c r="W293" i="16"/>
  <c r="AC293" i="16" s="1"/>
  <c r="V293" i="16"/>
  <c r="AB293" i="16" s="1"/>
  <c r="X292" i="16"/>
  <c r="AD292" i="16" s="1"/>
  <c r="W292" i="16"/>
  <c r="AC292" i="16" s="1"/>
  <c r="V292" i="16"/>
  <c r="AB292" i="16" s="1"/>
  <c r="X291" i="16"/>
  <c r="AD291" i="16" s="1"/>
  <c r="W291" i="16"/>
  <c r="AC291" i="16" s="1"/>
  <c r="V291" i="16"/>
  <c r="AB291" i="16" s="1"/>
  <c r="X290" i="16"/>
  <c r="AD290" i="16" s="1"/>
  <c r="W290" i="16"/>
  <c r="AC290" i="16" s="1"/>
  <c r="V290" i="16"/>
  <c r="AB290" i="16" s="1"/>
  <c r="X289" i="16"/>
  <c r="AD289" i="16" s="1"/>
  <c r="W289" i="16"/>
  <c r="AC289" i="16" s="1"/>
  <c r="V289" i="16"/>
  <c r="AB289" i="16" s="1"/>
  <c r="X288" i="16"/>
  <c r="AD288" i="16" s="1"/>
  <c r="W288" i="16"/>
  <c r="AC288" i="16" s="1"/>
  <c r="V288" i="16"/>
  <c r="AB288" i="16" s="1"/>
  <c r="X287" i="16"/>
  <c r="AD287" i="16" s="1"/>
  <c r="W287" i="16"/>
  <c r="AC287" i="16" s="1"/>
  <c r="V287" i="16"/>
  <c r="AB287" i="16" s="1"/>
  <c r="X286" i="16"/>
  <c r="AD286" i="16" s="1"/>
  <c r="W286" i="16"/>
  <c r="AC286" i="16" s="1"/>
  <c r="V286" i="16"/>
  <c r="AB286" i="16" s="1"/>
  <c r="X285" i="16"/>
  <c r="AD285" i="16" s="1"/>
  <c r="W285" i="16"/>
  <c r="AC285" i="16" s="1"/>
  <c r="V285" i="16"/>
  <c r="AB285" i="16" s="1"/>
  <c r="X284" i="16"/>
  <c r="AD284" i="16" s="1"/>
  <c r="W284" i="16"/>
  <c r="AC284" i="16" s="1"/>
  <c r="V284" i="16"/>
  <c r="AB284" i="16" s="1"/>
  <c r="X283" i="16"/>
  <c r="AD283" i="16" s="1"/>
  <c r="W283" i="16"/>
  <c r="AC283" i="16" s="1"/>
  <c r="V283" i="16"/>
  <c r="AB283" i="16" s="1"/>
  <c r="X282" i="16"/>
  <c r="AD282" i="16" s="1"/>
  <c r="W282" i="16"/>
  <c r="AC282" i="16" s="1"/>
  <c r="V282" i="16"/>
  <c r="AB282" i="16" s="1"/>
  <c r="X281" i="16"/>
  <c r="AD281" i="16" s="1"/>
  <c r="W281" i="16"/>
  <c r="AC281" i="16" s="1"/>
  <c r="V281" i="16"/>
  <c r="AB281" i="16" s="1"/>
  <c r="X280" i="16"/>
  <c r="AD280" i="16" s="1"/>
  <c r="W280" i="16"/>
  <c r="AC280" i="16" s="1"/>
  <c r="V280" i="16"/>
  <c r="AB280" i="16" s="1"/>
  <c r="X279" i="16"/>
  <c r="AD279" i="16" s="1"/>
  <c r="W279" i="16"/>
  <c r="AC279" i="16" s="1"/>
  <c r="V279" i="16"/>
  <c r="AB279" i="16" s="1"/>
  <c r="X278" i="16"/>
  <c r="AD278" i="16" s="1"/>
  <c r="W278" i="16"/>
  <c r="AC278" i="16" s="1"/>
  <c r="V278" i="16"/>
  <c r="AB278" i="16" s="1"/>
  <c r="X277" i="16"/>
  <c r="AD277" i="16" s="1"/>
  <c r="W277" i="16"/>
  <c r="AC277" i="16" s="1"/>
  <c r="V277" i="16"/>
  <c r="AB277" i="16" s="1"/>
  <c r="X276" i="16"/>
  <c r="AD276" i="16" s="1"/>
  <c r="W276" i="16"/>
  <c r="AC276" i="16" s="1"/>
  <c r="V276" i="16"/>
  <c r="AB276" i="16" s="1"/>
  <c r="X275" i="16"/>
  <c r="AD275" i="16" s="1"/>
  <c r="W275" i="16"/>
  <c r="AC275" i="16" s="1"/>
  <c r="V275" i="16"/>
  <c r="AB275" i="16" s="1"/>
  <c r="X274" i="16"/>
  <c r="AD274" i="16" s="1"/>
  <c r="W274" i="16"/>
  <c r="AC274" i="16" s="1"/>
  <c r="V274" i="16"/>
  <c r="AB274" i="16" s="1"/>
  <c r="X273" i="16"/>
  <c r="AD273" i="16" s="1"/>
  <c r="W273" i="16"/>
  <c r="AC273" i="16" s="1"/>
  <c r="V273" i="16"/>
  <c r="AB273" i="16" s="1"/>
  <c r="X272" i="16"/>
  <c r="AD272" i="16" s="1"/>
  <c r="W272" i="16"/>
  <c r="AC272" i="16" s="1"/>
  <c r="V272" i="16"/>
  <c r="AB272" i="16" s="1"/>
  <c r="X271" i="16"/>
  <c r="AD271" i="16" s="1"/>
  <c r="W271" i="16"/>
  <c r="AC271" i="16" s="1"/>
  <c r="V271" i="16"/>
  <c r="AB271" i="16" s="1"/>
  <c r="X270" i="16"/>
  <c r="AD270" i="16" s="1"/>
  <c r="W270" i="16"/>
  <c r="AC270" i="16" s="1"/>
  <c r="V270" i="16"/>
  <c r="AB270" i="16" s="1"/>
  <c r="X269" i="16"/>
  <c r="AD269" i="16" s="1"/>
  <c r="W269" i="16"/>
  <c r="AC269" i="16" s="1"/>
  <c r="V269" i="16"/>
  <c r="AB269" i="16" s="1"/>
  <c r="X268" i="16"/>
  <c r="AD268" i="16" s="1"/>
  <c r="W268" i="16"/>
  <c r="AC268" i="16" s="1"/>
  <c r="V268" i="16"/>
  <c r="AB268" i="16" s="1"/>
  <c r="X267" i="16"/>
  <c r="AD267" i="16" s="1"/>
  <c r="W267" i="16"/>
  <c r="AC267" i="16" s="1"/>
  <c r="V267" i="16"/>
  <c r="AB267" i="16" s="1"/>
  <c r="X266" i="16"/>
  <c r="AD266" i="16" s="1"/>
  <c r="W266" i="16"/>
  <c r="AC266" i="16" s="1"/>
  <c r="V266" i="16"/>
  <c r="AB266" i="16" s="1"/>
  <c r="X265" i="16"/>
  <c r="AD265" i="16" s="1"/>
  <c r="W265" i="16"/>
  <c r="AC265" i="16" s="1"/>
  <c r="V265" i="16"/>
  <c r="AB265" i="16" s="1"/>
  <c r="X264" i="16"/>
  <c r="AD264" i="16" s="1"/>
  <c r="W264" i="16"/>
  <c r="AC264" i="16" s="1"/>
  <c r="V264" i="16"/>
  <c r="AB264" i="16" s="1"/>
  <c r="X263" i="16"/>
  <c r="AD263" i="16" s="1"/>
  <c r="W263" i="16"/>
  <c r="AC263" i="16" s="1"/>
  <c r="V263" i="16"/>
  <c r="AB263" i="16" s="1"/>
  <c r="X262" i="16"/>
  <c r="AD262" i="16" s="1"/>
  <c r="W262" i="16"/>
  <c r="AC262" i="16" s="1"/>
  <c r="V262" i="16"/>
  <c r="AB262" i="16" s="1"/>
  <c r="X261" i="16"/>
  <c r="AD261" i="16" s="1"/>
  <c r="W261" i="16"/>
  <c r="AC261" i="16" s="1"/>
  <c r="V261" i="16"/>
  <c r="AB261" i="16" s="1"/>
  <c r="X260" i="16"/>
  <c r="AD260" i="16" s="1"/>
  <c r="W260" i="16"/>
  <c r="AC260" i="16" s="1"/>
  <c r="V260" i="16"/>
  <c r="X259" i="16"/>
  <c r="AD259" i="16" s="1"/>
  <c r="W259" i="16"/>
  <c r="AC259" i="16" s="1"/>
  <c r="V259" i="16"/>
  <c r="AB259" i="16" s="1"/>
  <c r="X258" i="16"/>
  <c r="AD258" i="16" s="1"/>
  <c r="W258" i="16"/>
  <c r="AC258" i="16" s="1"/>
  <c r="V258" i="16"/>
  <c r="AB258" i="16" s="1"/>
  <c r="X257" i="16"/>
  <c r="AD257" i="16" s="1"/>
  <c r="W257" i="16"/>
  <c r="AC257" i="16" s="1"/>
  <c r="V257" i="16"/>
  <c r="AB257" i="16" s="1"/>
  <c r="X256" i="16"/>
  <c r="AD256" i="16" s="1"/>
  <c r="W256" i="16"/>
  <c r="AC256" i="16" s="1"/>
  <c r="V256" i="16"/>
  <c r="AB256" i="16" s="1"/>
  <c r="X255" i="16"/>
  <c r="AD255" i="16" s="1"/>
  <c r="W255" i="16"/>
  <c r="AC255" i="16" s="1"/>
  <c r="V255" i="16"/>
  <c r="AB255" i="16" s="1"/>
  <c r="X254" i="16"/>
  <c r="AD254" i="16" s="1"/>
  <c r="W254" i="16"/>
  <c r="AC254" i="16" s="1"/>
  <c r="V254" i="16"/>
  <c r="AB254" i="16" s="1"/>
  <c r="X253" i="16"/>
  <c r="AD253" i="16" s="1"/>
  <c r="W253" i="16"/>
  <c r="AC253" i="16" s="1"/>
  <c r="V253" i="16"/>
  <c r="AB253" i="16" s="1"/>
  <c r="X252" i="16"/>
  <c r="AD252" i="16" s="1"/>
  <c r="W252" i="16"/>
  <c r="AC252" i="16" s="1"/>
  <c r="V252" i="16"/>
  <c r="AB252" i="16" s="1"/>
  <c r="X251" i="16"/>
  <c r="AD251" i="16" s="1"/>
  <c r="W251" i="16"/>
  <c r="AC251" i="16" s="1"/>
  <c r="V251" i="16"/>
  <c r="AB251" i="16" s="1"/>
  <c r="X250" i="16"/>
  <c r="AD250" i="16" s="1"/>
  <c r="W250" i="16"/>
  <c r="AC250" i="16" s="1"/>
  <c r="V250" i="16"/>
  <c r="AB250" i="16" s="1"/>
  <c r="X249" i="16"/>
  <c r="AD249" i="16" s="1"/>
  <c r="W249" i="16"/>
  <c r="AC249" i="16" s="1"/>
  <c r="V249" i="16"/>
  <c r="AB249" i="16" s="1"/>
  <c r="X248" i="16"/>
  <c r="AD248" i="16" s="1"/>
  <c r="W248" i="16"/>
  <c r="AC248" i="16" s="1"/>
  <c r="V248" i="16"/>
  <c r="AB248" i="16" s="1"/>
  <c r="X247" i="16"/>
  <c r="AD247" i="16" s="1"/>
  <c r="W247" i="16"/>
  <c r="AC247" i="16" s="1"/>
  <c r="V247" i="16"/>
  <c r="AB247" i="16" s="1"/>
  <c r="X246" i="16"/>
  <c r="AD246" i="16" s="1"/>
  <c r="W246" i="16"/>
  <c r="AC246" i="16" s="1"/>
  <c r="V246" i="16"/>
  <c r="AB246" i="16" s="1"/>
  <c r="X245" i="16"/>
  <c r="AD245" i="16" s="1"/>
  <c r="W245" i="16"/>
  <c r="AC245" i="16" s="1"/>
  <c r="V245" i="16"/>
  <c r="X244" i="16"/>
  <c r="AD244" i="16" s="1"/>
  <c r="W244" i="16"/>
  <c r="AC244" i="16" s="1"/>
  <c r="V244" i="16"/>
  <c r="AB244" i="16" s="1"/>
  <c r="X243" i="16"/>
  <c r="AD243" i="16" s="1"/>
  <c r="W243" i="16"/>
  <c r="AC243" i="16" s="1"/>
  <c r="V243" i="16"/>
  <c r="AB243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AO2" i="16" s="1"/>
  <c r="W2" i="16"/>
  <c r="AC2" i="16" s="1"/>
  <c r="V2" i="16"/>
  <c r="AB2" i="16" s="1"/>
  <c r="AD61" i="6"/>
  <c r="AB61" i="6"/>
  <c r="AA61" i="6"/>
  <c r="Z61" i="6"/>
  <c r="Z61" i="7" s="1"/>
  <c r="X61" i="6"/>
  <c r="AD60" i="6"/>
  <c r="AC60" i="6"/>
  <c r="AB60" i="6"/>
  <c r="AA60" i="6"/>
  <c r="Z60" i="6"/>
  <c r="Z60" i="7" s="1"/>
  <c r="X60" i="6"/>
  <c r="U60" i="6"/>
  <c r="AD59" i="6"/>
  <c r="AB59" i="6"/>
  <c r="AA59" i="6"/>
  <c r="AA59" i="7" s="1"/>
  <c r="Z59" i="6"/>
  <c r="Z59" i="7" s="1"/>
  <c r="X59" i="6"/>
  <c r="AD58" i="6"/>
  <c r="AB58" i="6"/>
  <c r="AA58" i="6"/>
  <c r="Z58" i="6"/>
  <c r="Z58" i="7" s="1"/>
  <c r="Y58" i="6"/>
  <c r="X58" i="6"/>
  <c r="AD57" i="6"/>
  <c r="AB57" i="6"/>
  <c r="AA57" i="6"/>
  <c r="Z57" i="6"/>
  <c r="X57" i="6"/>
  <c r="AD56" i="6"/>
  <c r="AB56" i="6"/>
  <c r="AA56" i="6"/>
  <c r="Z56" i="6"/>
  <c r="X56" i="6"/>
  <c r="AD55" i="6"/>
  <c r="AB55" i="6"/>
  <c r="AA55" i="6"/>
  <c r="AA55" i="7" s="1"/>
  <c r="Z55" i="6"/>
  <c r="Z55" i="7" s="1"/>
  <c r="X55" i="6"/>
  <c r="AD54" i="6"/>
  <c r="AB54" i="6"/>
  <c r="AA54" i="6"/>
  <c r="Z54" i="6"/>
  <c r="Z54" i="7" s="1"/>
  <c r="X54" i="6"/>
  <c r="AD53" i="6"/>
  <c r="AB53" i="6"/>
  <c r="AA53" i="6"/>
  <c r="Z53" i="6"/>
  <c r="X53" i="6"/>
  <c r="W53" i="6"/>
  <c r="AD52" i="6"/>
  <c r="AC52" i="6"/>
  <c r="AB52" i="6"/>
  <c r="AA52" i="6"/>
  <c r="Z52" i="6"/>
  <c r="X52" i="6"/>
  <c r="U52" i="6"/>
  <c r="AD51" i="6"/>
  <c r="AB51" i="6"/>
  <c r="AA51" i="6"/>
  <c r="AA51" i="7" s="1"/>
  <c r="Z51" i="6"/>
  <c r="X51" i="6"/>
  <c r="AD50" i="6"/>
  <c r="AC50" i="6"/>
  <c r="AB50" i="6"/>
  <c r="AA50" i="6"/>
  <c r="AA50" i="7" s="1"/>
  <c r="Z50" i="6"/>
  <c r="Y50" i="6"/>
  <c r="X50" i="6"/>
  <c r="AD49" i="6"/>
  <c r="AB49" i="6"/>
  <c r="AA49" i="6"/>
  <c r="Z49" i="6"/>
  <c r="X49" i="6"/>
  <c r="W49" i="6"/>
  <c r="AD48" i="6"/>
  <c r="AC48" i="6"/>
  <c r="AB48" i="6"/>
  <c r="AA48" i="6"/>
  <c r="AA48" i="7" s="1"/>
  <c r="Z48" i="6"/>
  <c r="X48" i="6"/>
  <c r="U48" i="6"/>
  <c r="AD47" i="6"/>
  <c r="AB47" i="6"/>
  <c r="AA47" i="6"/>
  <c r="AA47" i="7" s="1"/>
  <c r="Z47" i="6"/>
  <c r="X47" i="6"/>
  <c r="AD46" i="6"/>
  <c r="AB46" i="6"/>
  <c r="AA46" i="6"/>
  <c r="AA46" i="7" s="1"/>
  <c r="Z46" i="6"/>
  <c r="Z46" i="7" s="1"/>
  <c r="X46" i="6"/>
  <c r="AD45" i="6"/>
  <c r="AB45" i="6"/>
  <c r="AA45" i="6"/>
  <c r="AA45" i="7" s="1"/>
  <c r="Z45" i="6"/>
  <c r="Z45" i="7" s="1"/>
  <c r="X45" i="6"/>
  <c r="AD44" i="6"/>
  <c r="AC44" i="6"/>
  <c r="AB44" i="6"/>
  <c r="AA44" i="6"/>
  <c r="Z44" i="6"/>
  <c r="Z44" i="7" s="1"/>
  <c r="X44" i="6"/>
  <c r="AD43" i="6"/>
  <c r="AB43" i="6"/>
  <c r="AA43" i="6"/>
  <c r="AA43" i="7" s="1"/>
  <c r="Z43" i="6"/>
  <c r="X43" i="6"/>
  <c r="AD42" i="6"/>
  <c r="AB42" i="6"/>
  <c r="AA42" i="6"/>
  <c r="Z42" i="6"/>
  <c r="Z42" i="7" s="1"/>
  <c r="X42" i="6"/>
  <c r="AD41" i="6"/>
  <c r="AB41" i="6"/>
  <c r="AA41" i="6"/>
  <c r="Z41" i="6"/>
  <c r="X41" i="6"/>
  <c r="W41" i="6"/>
  <c r="AD40" i="6"/>
  <c r="AB40" i="6"/>
  <c r="AA40" i="6"/>
  <c r="Z40" i="6"/>
  <c r="X40" i="6"/>
  <c r="U40" i="6"/>
  <c r="AD39" i="6"/>
  <c r="AB39" i="6"/>
  <c r="AA39" i="6"/>
  <c r="AA39" i="7" s="1"/>
  <c r="Z39" i="6"/>
  <c r="X39" i="6"/>
  <c r="AD38" i="6"/>
  <c r="AB38" i="6"/>
  <c r="AA38" i="6"/>
  <c r="Z38" i="6"/>
  <c r="X38" i="6"/>
  <c r="U38" i="6"/>
  <c r="AD37" i="6"/>
  <c r="AB37" i="6"/>
  <c r="AA37" i="6"/>
  <c r="Z37" i="6"/>
  <c r="X37" i="6"/>
  <c r="AD36" i="6"/>
  <c r="AC36" i="6"/>
  <c r="AB36" i="6"/>
  <c r="AA36" i="6"/>
  <c r="AA36" i="7" s="1"/>
  <c r="Z36" i="6"/>
  <c r="X36" i="6"/>
  <c r="U36" i="6"/>
  <c r="AD35" i="6"/>
  <c r="AC35" i="6"/>
  <c r="AB35" i="6"/>
  <c r="AA35" i="6"/>
  <c r="AA35" i="7" s="1"/>
  <c r="Z35" i="6"/>
  <c r="Y35" i="6"/>
  <c r="X35" i="6"/>
  <c r="W35" i="6"/>
  <c r="V35" i="6"/>
  <c r="U35" i="6"/>
  <c r="AD34" i="6"/>
  <c r="AC34" i="6"/>
  <c r="AB34" i="6"/>
  <c r="AA34" i="6"/>
  <c r="Z34" i="6"/>
  <c r="X34" i="6"/>
  <c r="AD33" i="6"/>
  <c r="AB33" i="6"/>
  <c r="AA33" i="6"/>
  <c r="Z33" i="6"/>
  <c r="Z33" i="7" s="1"/>
  <c r="X33" i="6"/>
  <c r="AD32" i="6"/>
  <c r="AB32" i="6"/>
  <c r="AA32" i="6"/>
  <c r="Z32" i="6"/>
  <c r="Z32" i="7" s="1"/>
  <c r="X32" i="6"/>
  <c r="U32" i="6"/>
  <c r="AD31" i="6"/>
  <c r="AB31" i="6"/>
  <c r="AA31" i="6"/>
  <c r="AA31" i="7" s="1"/>
  <c r="Z31" i="6"/>
  <c r="Z31" i="7" s="1"/>
  <c r="X31" i="6"/>
  <c r="AD30" i="6"/>
  <c r="AC30" i="6"/>
  <c r="AB30" i="6"/>
  <c r="AA30" i="6"/>
  <c r="Z30" i="6"/>
  <c r="Y30" i="6"/>
  <c r="X30" i="6"/>
  <c r="W30" i="6"/>
  <c r="V30" i="6"/>
  <c r="U30" i="6"/>
  <c r="AD29" i="6"/>
  <c r="AC29" i="6"/>
  <c r="AB29" i="6"/>
  <c r="AA29" i="6"/>
  <c r="Z29" i="6"/>
  <c r="Z29" i="7" s="1"/>
  <c r="Y29" i="6"/>
  <c r="X29" i="6"/>
  <c r="W29" i="6"/>
  <c r="V29" i="6"/>
  <c r="U29" i="6"/>
  <c r="AD28" i="6"/>
  <c r="AC28" i="6"/>
  <c r="AB28" i="6"/>
  <c r="AA28" i="6"/>
  <c r="Z28" i="6"/>
  <c r="Y28" i="6"/>
  <c r="X28" i="6"/>
  <c r="W28" i="6"/>
  <c r="V28" i="6"/>
  <c r="U28" i="6"/>
  <c r="AD27" i="6"/>
  <c r="AC27" i="6"/>
  <c r="AB27" i="6"/>
  <c r="AA27" i="6"/>
  <c r="AA27" i="7" s="1"/>
  <c r="Z27" i="6"/>
  <c r="Y27" i="6"/>
  <c r="X27" i="6"/>
  <c r="W27" i="6"/>
  <c r="V27" i="6"/>
  <c r="U27" i="6"/>
  <c r="AD26" i="6"/>
  <c r="AC26" i="6"/>
  <c r="AB26" i="6"/>
  <c r="AA26" i="6"/>
  <c r="Z26" i="6"/>
  <c r="Y26" i="6"/>
  <c r="X26" i="6"/>
  <c r="W26" i="6"/>
  <c r="V26" i="6"/>
  <c r="U26" i="6"/>
  <c r="AD25" i="6"/>
  <c r="AC25" i="6"/>
  <c r="AB25" i="6"/>
  <c r="AA25" i="6"/>
  <c r="Z25" i="6"/>
  <c r="Y25" i="6"/>
  <c r="X25" i="6"/>
  <c r="W25" i="6"/>
  <c r="V25" i="6"/>
  <c r="U25" i="6"/>
  <c r="AD24" i="6"/>
  <c r="AC24" i="6"/>
  <c r="AB24" i="6"/>
  <c r="AA24" i="6"/>
  <c r="AA24" i="7" s="1"/>
  <c r="Z24" i="6"/>
  <c r="Y24" i="6"/>
  <c r="X24" i="6"/>
  <c r="W24" i="6"/>
  <c r="V24" i="6"/>
  <c r="U24" i="6"/>
  <c r="AD23" i="6"/>
  <c r="AC23" i="6"/>
  <c r="AB23" i="6"/>
  <c r="AA23" i="6"/>
  <c r="AA23" i="7" s="1"/>
  <c r="Z23" i="6"/>
  <c r="Z23" i="7" s="1"/>
  <c r="Y23" i="6"/>
  <c r="X23" i="6"/>
  <c r="W23" i="6"/>
  <c r="V23" i="6"/>
  <c r="U23" i="6"/>
  <c r="AD22" i="6"/>
  <c r="AC22" i="6"/>
  <c r="AB22" i="6"/>
  <c r="AA22" i="6"/>
  <c r="AA22" i="7" s="1"/>
  <c r="Z22" i="6"/>
  <c r="Y22" i="6"/>
  <c r="X22" i="6"/>
  <c r="W22" i="6"/>
  <c r="V22" i="6"/>
  <c r="U22" i="6"/>
  <c r="AD21" i="6"/>
  <c r="AC21" i="6"/>
  <c r="AB21" i="6"/>
  <c r="AA21" i="6"/>
  <c r="Z21" i="6"/>
  <c r="Z21" i="7" s="1"/>
  <c r="Y21" i="6"/>
  <c r="X21" i="6"/>
  <c r="W21" i="6"/>
  <c r="V21" i="6"/>
  <c r="U21" i="6"/>
  <c r="AD20" i="6"/>
  <c r="AC20" i="6"/>
  <c r="AB20" i="6"/>
  <c r="AA20" i="6"/>
  <c r="Z20" i="6"/>
  <c r="Z20" i="7" s="1"/>
  <c r="Y20" i="6"/>
  <c r="X20" i="6"/>
  <c r="W20" i="6"/>
  <c r="V20" i="6"/>
  <c r="U20" i="6"/>
  <c r="AD19" i="6"/>
  <c r="AC19" i="6"/>
  <c r="AB19" i="6"/>
  <c r="AA19" i="6"/>
  <c r="AA19" i="7" s="1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AA15" i="7" s="1"/>
  <c r="Z15" i="6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AA13" i="7" s="1"/>
  <c r="Z13" i="6"/>
  <c r="Y13" i="6"/>
  <c r="X13" i="6"/>
  <c r="W13" i="6"/>
  <c r="V13" i="6"/>
  <c r="U13" i="6"/>
  <c r="AD12" i="6"/>
  <c r="AC12" i="6"/>
  <c r="AB12" i="6"/>
  <c r="AA12" i="6"/>
  <c r="Z12" i="6"/>
  <c r="Y12" i="6"/>
  <c r="X12" i="6"/>
  <c r="W12" i="6"/>
  <c r="V12" i="6"/>
  <c r="U12" i="6"/>
  <c r="AD11" i="6"/>
  <c r="AC11" i="6"/>
  <c r="AB11" i="6"/>
  <c r="AA11" i="6"/>
  <c r="AA11" i="7" s="1"/>
  <c r="Z11" i="6"/>
  <c r="Z11" i="7" s="1"/>
  <c r="Y11" i="6"/>
  <c r="X11" i="6"/>
  <c r="W11" i="6"/>
  <c r="V11" i="6"/>
  <c r="U11" i="6"/>
  <c r="AD10" i="6"/>
  <c r="AC10" i="6"/>
  <c r="AB10" i="6"/>
  <c r="AA10" i="6"/>
  <c r="AA10" i="7" s="1"/>
  <c r="Z10" i="6"/>
  <c r="Y10" i="6"/>
  <c r="X10" i="6"/>
  <c r="W10" i="6"/>
  <c r="V10" i="6"/>
  <c r="U10" i="6"/>
  <c r="AD9" i="6"/>
  <c r="AC9" i="6"/>
  <c r="AB9" i="6"/>
  <c r="AA9" i="6"/>
  <c r="AA9" i="7" s="1"/>
  <c r="Z9" i="6"/>
  <c r="Z9" i="7" s="1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AA7" i="7" s="1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Z5" i="6"/>
  <c r="Z5" i="7" s="1"/>
  <c r="Y5" i="6"/>
  <c r="X5" i="6"/>
  <c r="W5" i="6"/>
  <c r="V5" i="6"/>
  <c r="U5" i="6"/>
  <c r="AP61" i="14"/>
  <c r="AC61" i="14"/>
  <c r="AC61" i="6" s="1"/>
  <c r="Y61" i="14"/>
  <c r="Y61" i="6" s="1"/>
  <c r="W61" i="14"/>
  <c r="W61" i="6" s="1"/>
  <c r="V61" i="14"/>
  <c r="V61" i="6" s="1"/>
  <c r="U61" i="14"/>
  <c r="U61" i="6" s="1"/>
  <c r="AP60" i="14"/>
  <c r="AC60" i="14"/>
  <c r="Y60" i="14"/>
  <c r="Y60" i="6" s="1"/>
  <c r="W60" i="14"/>
  <c r="W60" i="6" s="1"/>
  <c r="V60" i="14"/>
  <c r="V60" i="6" s="1"/>
  <c r="U60" i="14"/>
  <c r="AP59" i="14"/>
  <c r="AC59" i="14"/>
  <c r="AC59" i="6" s="1"/>
  <c r="Y59" i="14"/>
  <c r="Y59" i="6" s="1"/>
  <c r="W59" i="14"/>
  <c r="W59" i="6" s="1"/>
  <c r="V59" i="14"/>
  <c r="V59" i="6" s="1"/>
  <c r="U59" i="14"/>
  <c r="U59" i="6" s="1"/>
  <c r="AP58" i="14"/>
  <c r="AC58" i="14"/>
  <c r="AC58" i="6" s="1"/>
  <c r="Y58" i="14"/>
  <c r="W58" i="14"/>
  <c r="W58" i="6" s="1"/>
  <c r="V58" i="14"/>
  <c r="V58" i="6" s="1"/>
  <c r="U58" i="14"/>
  <c r="U58" i="6" s="1"/>
  <c r="AP57" i="14"/>
  <c r="AC57" i="14"/>
  <c r="AC57" i="6" s="1"/>
  <c r="Y57" i="14"/>
  <c r="Y57" i="6" s="1"/>
  <c r="W57" i="14"/>
  <c r="W57" i="6" s="1"/>
  <c r="V57" i="14"/>
  <c r="V57" i="6" s="1"/>
  <c r="U57" i="14"/>
  <c r="U57" i="6" s="1"/>
  <c r="AP56" i="14"/>
  <c r="AC56" i="14"/>
  <c r="AC56" i="6" s="1"/>
  <c r="Y56" i="14"/>
  <c r="Y56" i="6" s="1"/>
  <c r="W56" i="14"/>
  <c r="W56" i="6" s="1"/>
  <c r="V56" i="14"/>
  <c r="V56" i="6" s="1"/>
  <c r="U56" i="14"/>
  <c r="U56" i="6" s="1"/>
  <c r="AP55" i="14"/>
  <c r="AC55" i="14"/>
  <c r="AC55" i="6" s="1"/>
  <c r="Y55" i="14"/>
  <c r="Y55" i="6" s="1"/>
  <c r="W55" i="14"/>
  <c r="W55" i="6" s="1"/>
  <c r="V55" i="14"/>
  <c r="V55" i="6" s="1"/>
  <c r="U55" i="14"/>
  <c r="U55" i="6" s="1"/>
  <c r="AP54" i="14"/>
  <c r="AC54" i="14"/>
  <c r="AC54" i="6" s="1"/>
  <c r="Y54" i="14"/>
  <c r="Y54" i="6" s="1"/>
  <c r="W54" i="14"/>
  <c r="W54" i="6" s="1"/>
  <c r="V54" i="14"/>
  <c r="V54" i="6" s="1"/>
  <c r="U54" i="14"/>
  <c r="U54" i="6" s="1"/>
  <c r="AP53" i="14"/>
  <c r="AC53" i="14"/>
  <c r="AC53" i="6" s="1"/>
  <c r="Y53" i="14"/>
  <c r="Y53" i="6" s="1"/>
  <c r="W53" i="14"/>
  <c r="V53" i="14"/>
  <c r="V53" i="6" s="1"/>
  <c r="U53" i="14"/>
  <c r="U53" i="6" s="1"/>
  <c r="AP52" i="14"/>
  <c r="AC52" i="14"/>
  <c r="Y52" i="14"/>
  <c r="Y52" i="6" s="1"/>
  <c r="W52" i="14"/>
  <c r="W52" i="6" s="1"/>
  <c r="V52" i="14"/>
  <c r="V52" i="6" s="1"/>
  <c r="U52" i="14"/>
  <c r="AP51" i="14"/>
  <c r="AC51" i="14"/>
  <c r="AC51" i="6" s="1"/>
  <c r="Y51" i="14"/>
  <c r="Y51" i="6" s="1"/>
  <c r="W51" i="14"/>
  <c r="W51" i="6" s="1"/>
  <c r="V51" i="14"/>
  <c r="V51" i="6" s="1"/>
  <c r="U51" i="14"/>
  <c r="U51" i="6" s="1"/>
  <c r="AP50" i="14"/>
  <c r="AC50" i="14"/>
  <c r="Y50" i="14"/>
  <c r="W50" i="14"/>
  <c r="W50" i="6" s="1"/>
  <c r="V50" i="14"/>
  <c r="V50" i="6" s="1"/>
  <c r="U50" i="14"/>
  <c r="U50" i="6" s="1"/>
  <c r="AP49" i="14"/>
  <c r="AC49" i="14"/>
  <c r="AC49" i="6" s="1"/>
  <c r="Y49" i="14"/>
  <c r="Y49" i="6" s="1"/>
  <c r="W49" i="14"/>
  <c r="V49" i="14"/>
  <c r="V49" i="6" s="1"/>
  <c r="U49" i="14"/>
  <c r="U49" i="6" s="1"/>
  <c r="AP48" i="14"/>
  <c r="AC48" i="14"/>
  <c r="Y48" i="14"/>
  <c r="Y48" i="6" s="1"/>
  <c r="W48" i="14"/>
  <c r="W48" i="6" s="1"/>
  <c r="V48" i="14"/>
  <c r="V48" i="6" s="1"/>
  <c r="U48" i="14"/>
  <c r="AP47" i="14"/>
  <c r="AC47" i="14"/>
  <c r="AC47" i="6" s="1"/>
  <c r="Y47" i="14"/>
  <c r="Y47" i="6" s="1"/>
  <c r="W47" i="14"/>
  <c r="W47" i="6" s="1"/>
  <c r="V47" i="14"/>
  <c r="V47" i="6" s="1"/>
  <c r="U47" i="14"/>
  <c r="U47" i="6" s="1"/>
  <c r="AP46" i="14"/>
  <c r="AC46" i="14"/>
  <c r="AC46" i="6" s="1"/>
  <c r="Y46" i="14"/>
  <c r="Y46" i="6" s="1"/>
  <c r="W46" i="14"/>
  <c r="W46" i="6" s="1"/>
  <c r="V46" i="14"/>
  <c r="V46" i="6" s="1"/>
  <c r="U46" i="14"/>
  <c r="U46" i="6" s="1"/>
  <c r="AP45" i="14"/>
  <c r="AC45" i="14"/>
  <c r="AC45" i="6" s="1"/>
  <c r="Y45" i="14"/>
  <c r="Y45" i="6" s="1"/>
  <c r="W45" i="14"/>
  <c r="W45" i="6" s="1"/>
  <c r="V45" i="14"/>
  <c r="V45" i="6" s="1"/>
  <c r="U45" i="14"/>
  <c r="U45" i="6" s="1"/>
  <c r="AP44" i="14"/>
  <c r="AC44" i="14"/>
  <c r="Y44" i="14"/>
  <c r="Y44" i="6" s="1"/>
  <c r="W44" i="14"/>
  <c r="W44" i="6" s="1"/>
  <c r="V44" i="14"/>
  <c r="V44" i="6" s="1"/>
  <c r="U44" i="14"/>
  <c r="U44" i="6" s="1"/>
  <c r="AP43" i="14"/>
  <c r="AC43" i="14"/>
  <c r="AC43" i="6" s="1"/>
  <c r="Y43" i="14"/>
  <c r="Y43" i="6" s="1"/>
  <c r="W43" i="14"/>
  <c r="W43" i="6" s="1"/>
  <c r="V43" i="14"/>
  <c r="V43" i="6" s="1"/>
  <c r="U43" i="14"/>
  <c r="U43" i="6" s="1"/>
  <c r="AP42" i="14"/>
  <c r="AC42" i="14"/>
  <c r="AC42" i="6" s="1"/>
  <c r="Y42" i="14"/>
  <c r="Y42" i="6" s="1"/>
  <c r="W42" i="14"/>
  <c r="W42" i="6" s="1"/>
  <c r="V42" i="14"/>
  <c r="V42" i="6" s="1"/>
  <c r="U42" i="14"/>
  <c r="U42" i="6" s="1"/>
  <c r="AP41" i="14"/>
  <c r="AC41" i="14"/>
  <c r="AC41" i="6" s="1"/>
  <c r="Y41" i="14"/>
  <c r="Y41" i="6" s="1"/>
  <c r="W41" i="14"/>
  <c r="V41" i="14"/>
  <c r="V41" i="6" s="1"/>
  <c r="U41" i="14"/>
  <c r="U41" i="6" s="1"/>
  <c r="AP40" i="14"/>
  <c r="AC40" i="14"/>
  <c r="AC40" i="6" s="1"/>
  <c r="Y40" i="14"/>
  <c r="Y40" i="6" s="1"/>
  <c r="W40" i="14"/>
  <c r="W40" i="6" s="1"/>
  <c r="V40" i="14"/>
  <c r="V40" i="6" s="1"/>
  <c r="U40" i="14"/>
  <c r="AP39" i="14"/>
  <c r="AC39" i="14"/>
  <c r="AC39" i="6" s="1"/>
  <c r="Y39" i="14"/>
  <c r="Y39" i="6" s="1"/>
  <c r="W39" i="14"/>
  <c r="W39" i="6" s="1"/>
  <c r="V39" i="14"/>
  <c r="V39" i="6" s="1"/>
  <c r="U39" i="14"/>
  <c r="U39" i="6" s="1"/>
  <c r="AP38" i="14"/>
  <c r="AC38" i="14"/>
  <c r="AC38" i="6" s="1"/>
  <c r="Y38" i="14"/>
  <c r="Y38" i="6" s="1"/>
  <c r="W38" i="14"/>
  <c r="W38" i="6" s="1"/>
  <c r="V38" i="14"/>
  <c r="V38" i="6" s="1"/>
  <c r="U38" i="14"/>
  <c r="AP37" i="14"/>
  <c r="AC37" i="14"/>
  <c r="AC37" i="6" s="1"/>
  <c r="Y37" i="14"/>
  <c r="Y37" i="6" s="1"/>
  <c r="W37" i="14"/>
  <c r="W37" i="6" s="1"/>
  <c r="V37" i="14"/>
  <c r="V37" i="6" s="1"/>
  <c r="U37" i="14"/>
  <c r="U37" i="6" s="1"/>
  <c r="AP36" i="14"/>
  <c r="AC36" i="14"/>
  <c r="Y36" i="14"/>
  <c r="Y36" i="6" s="1"/>
  <c r="W36" i="14"/>
  <c r="W36" i="6" s="1"/>
  <c r="V36" i="14"/>
  <c r="V36" i="6" s="1"/>
  <c r="U36" i="14"/>
  <c r="AP34" i="14"/>
  <c r="AC34" i="14"/>
  <c r="Y34" i="14"/>
  <c r="Y34" i="6" s="1"/>
  <c r="W34" i="14"/>
  <c r="W34" i="6" s="1"/>
  <c r="V34" i="14"/>
  <c r="V34" i="6" s="1"/>
  <c r="U34" i="14"/>
  <c r="U34" i="6" s="1"/>
  <c r="AP33" i="14"/>
  <c r="AC33" i="14"/>
  <c r="AC33" i="6" s="1"/>
  <c r="Y33" i="14"/>
  <c r="Y33" i="6" s="1"/>
  <c r="W33" i="14"/>
  <c r="W33" i="6" s="1"/>
  <c r="V33" i="14"/>
  <c r="V33" i="6" s="1"/>
  <c r="U33" i="14"/>
  <c r="U33" i="6" s="1"/>
  <c r="AP32" i="14"/>
  <c r="AC32" i="14"/>
  <c r="AC32" i="6" s="1"/>
  <c r="Y32" i="14"/>
  <c r="Y32" i="6" s="1"/>
  <c r="W32" i="14"/>
  <c r="W32" i="6" s="1"/>
  <c r="V32" i="14"/>
  <c r="V32" i="6" s="1"/>
  <c r="U32" i="14"/>
  <c r="AP31" i="14"/>
  <c r="AC31" i="14"/>
  <c r="AC31" i="6" s="1"/>
  <c r="Y31" i="14"/>
  <c r="Y31" i="6" s="1"/>
  <c r="W31" i="14"/>
  <c r="W31" i="6" s="1"/>
  <c r="V31" i="14"/>
  <c r="V31" i="6" s="1"/>
  <c r="U31" i="14"/>
  <c r="U31" i="6" s="1"/>
  <c r="W49" i="13"/>
  <c r="U49" i="13"/>
  <c r="S49" i="13"/>
  <c r="O49" i="13"/>
  <c r="N49" i="13"/>
  <c r="M49" i="13"/>
  <c r="U48" i="13"/>
  <c r="T48" i="13"/>
  <c r="S48" i="13"/>
  <c r="O48" i="13"/>
  <c r="N48" i="13"/>
  <c r="M48" i="13"/>
  <c r="W47" i="13"/>
  <c r="U47" i="13"/>
  <c r="T47" i="13"/>
  <c r="S47" i="13"/>
  <c r="O47" i="13"/>
  <c r="N47" i="13"/>
  <c r="M47" i="13"/>
  <c r="W49" i="12"/>
  <c r="U49" i="12"/>
  <c r="S49" i="12"/>
  <c r="O49" i="12"/>
  <c r="N49" i="12"/>
  <c r="M49" i="12"/>
  <c r="U48" i="12"/>
  <c r="T48" i="12"/>
  <c r="S48" i="12"/>
  <c r="O48" i="12"/>
  <c r="N48" i="12"/>
  <c r="M48" i="12"/>
  <c r="W47" i="12"/>
  <c r="U47" i="12"/>
  <c r="U51" i="12" s="1"/>
  <c r="T47" i="12"/>
  <c r="T51" i="12" s="1"/>
  <c r="S47" i="12"/>
  <c r="S51" i="12" s="1"/>
  <c r="O47" i="12"/>
  <c r="N47" i="12"/>
  <c r="N51" i="12" s="1"/>
  <c r="M47" i="12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W49" i="11"/>
  <c r="U49" i="11"/>
  <c r="S49" i="11"/>
  <c r="O49" i="11"/>
  <c r="N49" i="11"/>
  <c r="M49" i="11"/>
  <c r="U48" i="11"/>
  <c r="T48" i="11"/>
  <c r="S48" i="11"/>
  <c r="O48" i="11"/>
  <c r="N48" i="11"/>
  <c r="M48" i="11"/>
  <c r="W47" i="11"/>
  <c r="U47" i="11"/>
  <c r="T47" i="11"/>
  <c r="T51" i="11" s="1"/>
  <c r="S47" i="11"/>
  <c r="S51" i="11" s="1"/>
  <c r="O47" i="11"/>
  <c r="O51" i="11" s="1"/>
  <c r="N47" i="11"/>
  <c r="N51" i="11" s="1"/>
  <c r="M47" i="11"/>
  <c r="W49" i="10"/>
  <c r="W47" i="10"/>
  <c r="U49" i="10"/>
  <c r="U48" i="10"/>
  <c r="U47" i="10"/>
  <c r="T48" i="10"/>
  <c r="T47" i="10"/>
  <c r="S49" i="10"/>
  <c r="S48" i="10"/>
  <c r="S47" i="10"/>
  <c r="Q50" i="10"/>
  <c r="O49" i="10"/>
  <c r="O48" i="10"/>
  <c r="O47" i="10"/>
  <c r="N49" i="10"/>
  <c r="N48" i="10"/>
  <c r="N47" i="10"/>
  <c r="M49" i="10"/>
  <c r="M48" i="10"/>
  <c r="M47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7" i="10"/>
  <c r="Y16" i="10"/>
  <c r="Y15" i="10"/>
  <c r="Y14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7" i="10"/>
  <c r="U16" i="10"/>
  <c r="U15" i="10"/>
  <c r="U14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7" i="10"/>
  <c r="T16" i="10"/>
  <c r="T15" i="10"/>
  <c r="T14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7" i="10"/>
  <c r="S16" i="10"/>
  <c r="S15" i="10"/>
  <c r="S14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7" i="10"/>
  <c r="Q16" i="10"/>
  <c r="Q15" i="10"/>
  <c r="Q14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7" i="10"/>
  <c r="O16" i="10"/>
  <c r="O15" i="10"/>
  <c r="O14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7" i="10"/>
  <c r="N16" i="10"/>
  <c r="N15" i="10"/>
  <c r="N14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7" i="10"/>
  <c r="M16" i="10"/>
  <c r="M15" i="10"/>
  <c r="M14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7" i="10"/>
  <c r="L16" i="10"/>
  <c r="L15" i="10"/>
  <c r="L14" i="10"/>
  <c r="AK66" i="9"/>
  <c r="AF66" i="9"/>
  <c r="AP64" i="9" s="1"/>
  <c r="AE66" i="9"/>
  <c r="AO64" i="9" s="1"/>
  <c r="AC66" i="9"/>
  <c r="Y66" i="9"/>
  <c r="X66" i="9"/>
  <c r="W66" i="9"/>
  <c r="S66" i="9"/>
  <c r="R66" i="9"/>
  <c r="Q66" i="9"/>
  <c r="P66" i="9"/>
  <c r="O66" i="9"/>
  <c r="M66" i="9"/>
  <c r="L66" i="9"/>
  <c r="AK65" i="9"/>
  <c r="AF65" i="9"/>
  <c r="AC65" i="9"/>
  <c r="AA65" i="9"/>
  <c r="Z65" i="9"/>
  <c r="Y65" i="9"/>
  <c r="X65" i="9"/>
  <c r="W65" i="9"/>
  <c r="V65" i="9"/>
  <c r="U65" i="9"/>
  <c r="S65" i="9"/>
  <c r="R65" i="9"/>
  <c r="Q65" i="9"/>
  <c r="P65" i="9"/>
  <c r="O65" i="9"/>
  <c r="M65" i="9"/>
  <c r="L65" i="9"/>
  <c r="AL67" i="8"/>
  <c r="AG67" i="8"/>
  <c r="AD67" i="8"/>
  <c r="AB67" i="8"/>
  <c r="T67" i="8"/>
  <c r="AK66" i="8"/>
  <c r="AF66" i="8"/>
  <c r="AE66" i="8"/>
  <c r="AC66" i="8"/>
  <c r="Y66" i="8"/>
  <c r="X66" i="8"/>
  <c r="W66" i="8"/>
  <c r="S66" i="8"/>
  <c r="R66" i="8"/>
  <c r="Q66" i="8"/>
  <c r="P66" i="8"/>
  <c r="O66" i="8"/>
  <c r="M66" i="8"/>
  <c r="L66" i="8"/>
  <c r="AK65" i="8"/>
  <c r="AF65" i="8"/>
  <c r="AP64" i="8" s="1"/>
  <c r="AC65" i="8"/>
  <c r="AA65" i="8"/>
  <c r="Z65" i="8"/>
  <c r="Y65" i="8"/>
  <c r="X65" i="8"/>
  <c r="W65" i="8"/>
  <c r="V65" i="8"/>
  <c r="U65" i="8"/>
  <c r="S65" i="8"/>
  <c r="R65" i="8"/>
  <c r="Q65" i="8"/>
  <c r="P65" i="8"/>
  <c r="O65" i="8"/>
  <c r="M65" i="8"/>
  <c r="L65" i="8"/>
  <c r="AL67" i="7"/>
  <c r="AG67" i="7"/>
  <c r="AM67" i="7" s="1"/>
  <c r="AD67" i="7"/>
  <c r="AB67" i="7"/>
  <c r="T67" i="7"/>
  <c r="AG61" i="7"/>
  <c r="AA61" i="7"/>
  <c r="AG60" i="7"/>
  <c r="AA60" i="7"/>
  <c r="AG59" i="7"/>
  <c r="AG58" i="7"/>
  <c r="AA58" i="7"/>
  <c r="AG57" i="7"/>
  <c r="AA57" i="7"/>
  <c r="Z57" i="7"/>
  <c r="AG56" i="7"/>
  <c r="AA56" i="7"/>
  <c r="Z56" i="7"/>
  <c r="AG55" i="7"/>
  <c r="AG54" i="7"/>
  <c r="AA54" i="7"/>
  <c r="AG53" i="7"/>
  <c r="AA53" i="7"/>
  <c r="Z53" i="7"/>
  <c r="AG52" i="7"/>
  <c r="AA52" i="7"/>
  <c r="Z52" i="7"/>
  <c r="AG51" i="7"/>
  <c r="Z51" i="7"/>
  <c r="AG50" i="7"/>
  <c r="Z50" i="7"/>
  <c r="AG49" i="7"/>
  <c r="AA49" i="7"/>
  <c r="Z49" i="7"/>
  <c r="AG48" i="7"/>
  <c r="Z48" i="7"/>
  <c r="AG47" i="7"/>
  <c r="Z47" i="7"/>
  <c r="AG46" i="7"/>
  <c r="AG45" i="7"/>
  <c r="AG44" i="7"/>
  <c r="AA44" i="7"/>
  <c r="AG43" i="7"/>
  <c r="Z43" i="7"/>
  <c r="AG42" i="7"/>
  <c r="AA42" i="7"/>
  <c r="AG41" i="7"/>
  <c r="AA41" i="7"/>
  <c r="Z41" i="7"/>
  <c r="AG40" i="7"/>
  <c r="AA40" i="7"/>
  <c r="Z40" i="7"/>
  <c r="AG39" i="7"/>
  <c r="Z39" i="7"/>
  <c r="AG38" i="7"/>
  <c r="AA38" i="7"/>
  <c r="Z38" i="7"/>
  <c r="AG37" i="7"/>
  <c r="AA37" i="7"/>
  <c r="Z37" i="7"/>
  <c r="AG36" i="7"/>
  <c r="Z36" i="7"/>
  <c r="AG35" i="7"/>
  <c r="Z35" i="7"/>
  <c r="AG34" i="7"/>
  <c r="AA34" i="7"/>
  <c r="Z34" i="7"/>
  <c r="AG33" i="7"/>
  <c r="AA33" i="7"/>
  <c r="AG32" i="7"/>
  <c r="AA32" i="7"/>
  <c r="AG31" i="7"/>
  <c r="AG30" i="7"/>
  <c r="AA30" i="7"/>
  <c r="Z30" i="7"/>
  <c r="AG29" i="7"/>
  <c r="AA29" i="7"/>
  <c r="AG28" i="7"/>
  <c r="AA28" i="7"/>
  <c r="Z28" i="7"/>
  <c r="AG27" i="7"/>
  <c r="Z27" i="7"/>
  <c r="AG26" i="7"/>
  <c r="AA26" i="7"/>
  <c r="Z26" i="7"/>
  <c r="AG25" i="7"/>
  <c r="AA25" i="7"/>
  <c r="Z25" i="7"/>
  <c r="AG24" i="7"/>
  <c r="Z24" i="7"/>
  <c r="AG23" i="7"/>
  <c r="AG22" i="7"/>
  <c r="Z22" i="7"/>
  <c r="AG21" i="7"/>
  <c r="AA21" i="7"/>
  <c r="AG20" i="7"/>
  <c r="AA20" i="7"/>
  <c r="AG19" i="7"/>
  <c r="Z19" i="7"/>
  <c r="AG18" i="7"/>
  <c r="AA18" i="7"/>
  <c r="Z18" i="7"/>
  <c r="AG17" i="7"/>
  <c r="AA17" i="7"/>
  <c r="Z17" i="7"/>
  <c r="AG16" i="7"/>
  <c r="AA16" i="7"/>
  <c r="Z16" i="7"/>
  <c r="AG15" i="7"/>
  <c r="Z15" i="7"/>
  <c r="AG14" i="7"/>
  <c r="AA14" i="7"/>
  <c r="Z14" i="7"/>
  <c r="AG13" i="7"/>
  <c r="Z13" i="7"/>
  <c r="AG12" i="7"/>
  <c r="AA12" i="7"/>
  <c r="Z12" i="7"/>
  <c r="AG11" i="7"/>
  <c r="AG10" i="7"/>
  <c r="Z10" i="7"/>
  <c r="AG9" i="7"/>
  <c r="AG8" i="7"/>
  <c r="AA8" i="7"/>
  <c r="Z8" i="7"/>
  <c r="AG7" i="7"/>
  <c r="Z7" i="7"/>
  <c r="AG6" i="7"/>
  <c r="AA6" i="7"/>
  <c r="Z6" i="7"/>
  <c r="AG5" i="7"/>
  <c r="AA5" i="7"/>
  <c r="AK66" i="7"/>
  <c r="AF66" i="7"/>
  <c r="AE66" i="7"/>
  <c r="AC66" i="7"/>
  <c r="Y66" i="7"/>
  <c r="X66" i="7"/>
  <c r="W66" i="7"/>
  <c r="S66" i="7"/>
  <c r="R66" i="7"/>
  <c r="Q66" i="7"/>
  <c r="P66" i="7"/>
  <c r="O66" i="7"/>
  <c r="M66" i="7"/>
  <c r="L66" i="7"/>
  <c r="AK65" i="7"/>
  <c r="AJ65" i="7"/>
  <c r="AF65" i="7"/>
  <c r="AC65" i="7"/>
  <c r="AA65" i="7"/>
  <c r="Z65" i="7"/>
  <c r="Y65" i="7"/>
  <c r="X65" i="7"/>
  <c r="W65" i="7"/>
  <c r="V65" i="7"/>
  <c r="U65" i="7"/>
  <c r="S65" i="7"/>
  <c r="R65" i="7"/>
  <c r="Q65" i="7"/>
  <c r="P65" i="7"/>
  <c r="O65" i="7"/>
  <c r="M65" i="7"/>
  <c r="L65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4" i="7"/>
  <c r="AP33" i="7"/>
  <c r="AP32" i="7"/>
  <c r="AP31" i="7"/>
  <c r="AA66" i="6"/>
  <c r="Z66" i="6"/>
  <c r="AK68" i="6"/>
  <c r="AK67" i="6"/>
  <c r="AK66" i="6"/>
  <c r="AI68" i="6"/>
  <c r="AH67" i="6"/>
  <c r="AF68" i="6"/>
  <c r="AF67" i="6"/>
  <c r="AF66" i="6"/>
  <c r="AE68" i="6"/>
  <c r="AE66" i="6"/>
  <c r="AC68" i="6"/>
  <c r="AC67" i="6"/>
  <c r="AC66" i="6"/>
  <c r="AA67" i="6"/>
  <c r="Z68" i="6"/>
  <c r="Z67" i="6"/>
  <c r="Y68" i="6"/>
  <c r="Y67" i="6"/>
  <c r="X68" i="6"/>
  <c r="X67" i="6"/>
  <c r="X66" i="6"/>
  <c r="W68" i="6"/>
  <c r="W67" i="6"/>
  <c r="V67" i="6"/>
  <c r="U68" i="6"/>
  <c r="U67" i="6"/>
  <c r="U66" i="6"/>
  <c r="S68" i="6"/>
  <c r="S67" i="6"/>
  <c r="S66" i="6"/>
  <c r="R68" i="6"/>
  <c r="R67" i="6"/>
  <c r="R66" i="6"/>
  <c r="Q68" i="6"/>
  <c r="Q67" i="6"/>
  <c r="Q66" i="6"/>
  <c r="Q64" i="8" s="1"/>
  <c r="P68" i="6"/>
  <c r="P67" i="6"/>
  <c r="P66" i="6"/>
  <c r="O68" i="6"/>
  <c r="O67" i="6"/>
  <c r="O66" i="6"/>
  <c r="M68" i="6"/>
  <c r="M67" i="6"/>
  <c r="M66" i="6"/>
  <c r="L68" i="6"/>
  <c r="L67" i="6"/>
  <c r="L66" i="6"/>
  <c r="AK26" i="6"/>
  <c r="AK25" i="6"/>
  <c r="AK20" i="6"/>
  <c r="AK19" i="6"/>
  <c r="AK18" i="6"/>
  <c r="AK17" i="6"/>
  <c r="AK16" i="6"/>
  <c r="AK13" i="6"/>
  <c r="AK12" i="6"/>
  <c r="AK11" i="6"/>
  <c r="AK10" i="6"/>
  <c r="AK9" i="6"/>
  <c r="AK6" i="6"/>
  <c r="AK5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4" i="6"/>
  <c r="AI33" i="6"/>
  <c r="AI32" i="6"/>
  <c r="AI31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4" i="6"/>
  <c r="AH33" i="6"/>
  <c r="AH32" i="6"/>
  <c r="AH31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4" i="6"/>
  <c r="S33" i="6"/>
  <c r="S32" i="6"/>
  <c r="S31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5" i="6"/>
  <c r="Q30" i="6"/>
  <c r="Q29" i="6"/>
  <c r="Q28" i="6"/>
  <c r="Q27" i="6"/>
  <c r="Q22" i="6"/>
  <c r="Q21" i="6"/>
  <c r="Q14" i="6"/>
  <c r="Q7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4" i="6"/>
  <c r="O33" i="6"/>
  <c r="O32" i="6"/>
  <c r="O31" i="6"/>
  <c r="N26" i="6"/>
  <c r="N25" i="6"/>
  <c r="N19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4" i="6"/>
  <c r="AP33" i="6"/>
  <c r="AP32" i="6"/>
  <c r="AP31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5" i="6"/>
  <c r="L30" i="6"/>
  <c r="L29" i="6"/>
  <c r="L28" i="6"/>
  <c r="L27" i="6"/>
  <c r="L22" i="6"/>
  <c r="L21" i="6"/>
  <c r="L14" i="6"/>
  <c r="L7" i="6"/>
  <c r="AJ66" i="9"/>
  <c r="AJ67" i="6"/>
  <c r="AJ66" i="6"/>
  <c r="AI65" i="8"/>
  <c r="AI66" i="6"/>
  <c r="AH66" i="7"/>
  <c r="AH65" i="7"/>
  <c r="AH66" i="6"/>
  <c r="W66" i="6"/>
  <c r="Z66" i="7"/>
  <c r="V66" i="7"/>
  <c r="U66" i="7"/>
  <c r="F44" i="5"/>
  <c r="E44" i="5"/>
  <c r="F42" i="5"/>
  <c r="D42" i="5"/>
  <c r="E40" i="5"/>
  <c r="D40" i="5"/>
  <c r="F23" i="5"/>
  <c r="AG68" i="6" s="1"/>
  <c r="D23" i="5"/>
  <c r="AG66" i="6" s="1"/>
  <c r="F20" i="5"/>
  <c r="AD66" i="7" s="1"/>
  <c r="E20" i="5"/>
  <c r="AD65" i="7" s="1"/>
  <c r="D20" i="5"/>
  <c r="AD66" i="6" s="1"/>
  <c r="F18" i="5"/>
  <c r="E18" i="5"/>
  <c r="AB65" i="7" s="1"/>
  <c r="D18" i="5"/>
  <c r="AB66" i="6" s="1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T37" i="4"/>
  <c r="S37" i="4"/>
  <c r="R37" i="4"/>
  <c r="Q37" i="4"/>
  <c r="P37" i="4"/>
  <c r="O37" i="4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8" i="3"/>
  <c r="S58" i="3"/>
  <c r="R58" i="3"/>
  <c r="Q58" i="3"/>
  <c r="P58" i="3"/>
  <c r="O58" i="3"/>
  <c r="N58" i="3"/>
  <c r="M58" i="3"/>
  <c r="L58" i="3"/>
  <c r="K58" i="3"/>
  <c r="J58" i="3"/>
  <c r="I58" i="3"/>
  <c r="U58" i="3" s="1"/>
  <c r="T57" i="3"/>
  <c r="S57" i="3"/>
  <c r="R57" i="3"/>
  <c r="Q57" i="3"/>
  <c r="P57" i="3"/>
  <c r="O57" i="3"/>
  <c r="N57" i="3"/>
  <c r="M57" i="3"/>
  <c r="L57" i="3"/>
  <c r="K57" i="3"/>
  <c r="J57" i="3"/>
  <c r="I57" i="3"/>
  <c r="U57" i="3" s="1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J55" i="3"/>
  <c r="I55" i="3"/>
  <c r="U55" i="3" s="1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Q15" i="3"/>
  <c r="J15" i="3"/>
  <c r="T14" i="3"/>
  <c r="S14" i="3"/>
  <c r="R14" i="3"/>
  <c r="R15" i="3" s="1"/>
  <c r="Q14" i="3"/>
  <c r="P14" i="3"/>
  <c r="O14" i="3"/>
  <c r="N14" i="3"/>
  <c r="M14" i="3"/>
  <c r="L14" i="3"/>
  <c r="K14" i="3"/>
  <c r="K15" i="3" s="1"/>
  <c r="J14" i="3"/>
  <c r="I14" i="3"/>
  <c r="U14" i="3" s="1"/>
  <c r="T13" i="3"/>
  <c r="T15" i="3" s="1"/>
  <c r="S13" i="3"/>
  <c r="S15" i="3" s="1"/>
  <c r="R13" i="3"/>
  <c r="Q13" i="3"/>
  <c r="P13" i="3"/>
  <c r="P15" i="3" s="1"/>
  <c r="O13" i="3"/>
  <c r="O15" i="3" s="1"/>
  <c r="N13" i="3"/>
  <c r="N15" i="3" s="1"/>
  <c r="M13" i="3"/>
  <c r="M15" i="3" s="1"/>
  <c r="L13" i="3"/>
  <c r="L15" i="3" s="1"/>
  <c r="K13" i="3"/>
  <c r="J13" i="3"/>
  <c r="I13" i="3"/>
  <c r="I15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Q8" i="3"/>
  <c r="L8" i="3"/>
  <c r="T7" i="3"/>
  <c r="S7" i="3"/>
  <c r="R7" i="3"/>
  <c r="R8" i="3" s="1"/>
  <c r="Q7" i="3"/>
  <c r="P7" i="3"/>
  <c r="O7" i="3"/>
  <c r="N7" i="3"/>
  <c r="M7" i="3"/>
  <c r="M8" i="3" s="1"/>
  <c r="L7" i="3"/>
  <c r="K7" i="3"/>
  <c r="J7" i="3"/>
  <c r="I7" i="3"/>
  <c r="U7" i="3" s="1"/>
  <c r="T6" i="3"/>
  <c r="T8" i="3" s="1"/>
  <c r="S6" i="3"/>
  <c r="S8" i="3" s="1"/>
  <c r="R6" i="3"/>
  <c r="Q6" i="3"/>
  <c r="P6" i="3"/>
  <c r="P8" i="3" s="1"/>
  <c r="O6" i="3"/>
  <c r="O8" i="3" s="1"/>
  <c r="N6" i="3"/>
  <c r="N8" i="3" s="1"/>
  <c r="M6" i="3"/>
  <c r="L6" i="3"/>
  <c r="K6" i="3"/>
  <c r="K8" i="3" s="1"/>
  <c r="J6" i="3"/>
  <c r="J8" i="3" s="1"/>
  <c r="I6" i="3"/>
  <c r="I8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U8" i="3" l="1"/>
  <c r="I10" i="23"/>
  <c r="I10" i="14"/>
  <c r="I10" i="7"/>
  <c r="I10" i="8"/>
  <c r="I10" i="6"/>
  <c r="I10" i="9"/>
  <c r="I12" i="23"/>
  <c r="I12" i="6"/>
  <c r="I12" i="9"/>
  <c r="I12" i="7"/>
  <c r="I12" i="14"/>
  <c r="I12" i="8"/>
  <c r="I13" i="23"/>
  <c r="I13" i="8"/>
  <c r="I13" i="9"/>
  <c r="I13" i="14"/>
  <c r="I13" i="6"/>
  <c r="I13" i="7"/>
  <c r="I14" i="23"/>
  <c r="I14" i="8"/>
  <c r="I14" i="6"/>
  <c r="I14" i="9"/>
  <c r="I14" i="14"/>
  <c r="I14" i="7"/>
  <c r="I15" i="23"/>
  <c r="I15" i="6"/>
  <c r="I15" i="14"/>
  <c r="I15" i="7"/>
  <c r="I15" i="9"/>
  <c r="I15" i="8"/>
  <c r="I5" i="23"/>
  <c r="I5" i="8"/>
  <c r="I5" i="6"/>
  <c r="I5" i="9"/>
  <c r="I5" i="14"/>
  <c r="I5" i="7"/>
  <c r="I6" i="23"/>
  <c r="I6" i="8"/>
  <c r="I6" i="6"/>
  <c r="I6" i="14"/>
  <c r="I6" i="7"/>
  <c r="I6" i="9"/>
  <c r="I7" i="23"/>
  <c r="I7" i="6"/>
  <c r="I7" i="9"/>
  <c r="I7" i="14"/>
  <c r="I7" i="7"/>
  <c r="I7" i="8"/>
  <c r="I8" i="23"/>
  <c r="I8" i="9"/>
  <c r="I8" i="14"/>
  <c r="I8" i="8"/>
  <c r="I8" i="6"/>
  <c r="I8" i="7"/>
  <c r="U15" i="3"/>
  <c r="I17" i="23"/>
  <c r="I17" i="8"/>
  <c r="I17" i="6"/>
  <c r="I17" i="9"/>
  <c r="I17" i="14"/>
  <c r="I17" i="7"/>
  <c r="I19" i="23"/>
  <c r="I19" i="6"/>
  <c r="I19" i="9"/>
  <c r="I19" i="14"/>
  <c r="I19" i="7"/>
  <c r="I19" i="8"/>
  <c r="I20" i="23"/>
  <c r="I20" i="9"/>
  <c r="I20" i="14"/>
  <c r="I20" i="6"/>
  <c r="I20" i="7"/>
  <c r="I20" i="8"/>
  <c r="I21" i="23"/>
  <c r="I21" i="9"/>
  <c r="I21" i="14"/>
  <c r="I21" i="7"/>
  <c r="I21" i="8"/>
  <c r="I21" i="6"/>
  <c r="I22" i="23"/>
  <c r="I22" i="14"/>
  <c r="I22" i="7"/>
  <c r="I22" i="8"/>
  <c r="I22" i="6"/>
  <c r="I22" i="9"/>
  <c r="I23" i="23"/>
  <c r="I23" i="7"/>
  <c r="I23" i="8"/>
  <c r="I23" i="6"/>
  <c r="I23" i="9"/>
  <c r="I23" i="14"/>
  <c r="I24" i="23"/>
  <c r="I24" i="6"/>
  <c r="I24" i="9"/>
  <c r="I24" i="7"/>
  <c r="I24" i="14"/>
  <c r="I24" i="8"/>
  <c r="I25" i="23"/>
  <c r="I25" i="6"/>
  <c r="I25" i="8"/>
  <c r="I25" i="9"/>
  <c r="I25" i="14"/>
  <c r="I25" i="7"/>
  <c r="I26" i="23"/>
  <c r="I26" i="8"/>
  <c r="I26" i="9"/>
  <c r="I26" i="14"/>
  <c r="I26" i="7"/>
  <c r="I26" i="6"/>
  <c r="I27" i="23"/>
  <c r="I27" i="14"/>
  <c r="I27" i="7"/>
  <c r="I27" i="8"/>
  <c r="I27" i="6"/>
  <c r="I27" i="9"/>
  <c r="I28" i="23"/>
  <c r="I28" i="8"/>
  <c r="I28" i="9"/>
  <c r="I28" i="6"/>
  <c r="I28" i="14"/>
  <c r="I28" i="7"/>
  <c r="I29" i="23"/>
  <c r="I29" i="8"/>
  <c r="I29" i="9"/>
  <c r="I29" i="6"/>
  <c r="I29" i="14"/>
  <c r="I29" i="7"/>
  <c r="I30" i="23"/>
  <c r="I30" i="8"/>
  <c r="I30" i="14"/>
  <c r="I30" i="7"/>
  <c r="I30" i="6"/>
  <c r="I30" i="9"/>
  <c r="I31" i="23"/>
  <c r="I31" i="9"/>
  <c r="I31" i="6"/>
  <c r="I31" i="14"/>
  <c r="I31" i="7"/>
  <c r="I31" i="8"/>
  <c r="I32" i="23"/>
  <c r="I32" i="9"/>
  <c r="I32" i="6"/>
  <c r="I32" i="7"/>
  <c r="I32" i="14"/>
  <c r="I32" i="8"/>
  <c r="I33" i="23"/>
  <c r="I33" i="9"/>
  <c r="I33" i="7"/>
  <c r="I33" i="6"/>
  <c r="I33" i="14"/>
  <c r="I33" i="8"/>
  <c r="I34" i="23"/>
  <c r="I34" i="14"/>
  <c r="I34" i="8"/>
  <c r="I34" i="6"/>
  <c r="I34" i="9"/>
  <c r="I34" i="7"/>
  <c r="I35" i="23"/>
  <c r="I35" i="8"/>
  <c r="I35" i="7"/>
  <c r="I35" i="14"/>
  <c r="I35" i="6"/>
  <c r="I35" i="9"/>
  <c r="I36" i="23"/>
  <c r="I36" i="7"/>
  <c r="I36" i="9"/>
  <c r="I36" i="6"/>
  <c r="I36" i="8"/>
  <c r="I36" i="14"/>
  <c r="I37" i="23"/>
  <c r="I37" i="14"/>
  <c r="I37" i="8"/>
  <c r="I37" i="7"/>
  <c r="I37" i="9"/>
  <c r="I37" i="6"/>
  <c r="I38" i="23"/>
  <c r="I38" i="8"/>
  <c r="I38" i="9"/>
  <c r="I38" i="6"/>
  <c r="I38" i="14"/>
  <c r="I38" i="7"/>
  <c r="I39" i="23"/>
  <c r="I39" i="14"/>
  <c r="I39" i="7"/>
  <c r="I39" i="8"/>
  <c r="I39" i="6"/>
  <c r="I39" i="9"/>
  <c r="I40" i="23"/>
  <c r="I40" i="8"/>
  <c r="I40" i="9"/>
  <c r="I40" i="6"/>
  <c r="I40" i="14"/>
  <c r="I40" i="7"/>
  <c r="I41" i="23"/>
  <c r="I41" i="8"/>
  <c r="I41" i="9"/>
  <c r="I41" i="6"/>
  <c r="I41" i="7"/>
  <c r="I41" i="14"/>
  <c r="I42" i="23"/>
  <c r="I42" i="8"/>
  <c r="I42" i="14"/>
  <c r="I42" i="7"/>
  <c r="I42" i="6"/>
  <c r="I42" i="9"/>
  <c r="I43" i="23"/>
  <c r="I43" i="9"/>
  <c r="I43" i="6"/>
  <c r="I43" i="7"/>
  <c r="I43" i="14"/>
  <c r="I43" i="8"/>
  <c r="I44" i="23"/>
  <c r="I44" i="9"/>
  <c r="I44" i="6"/>
  <c r="I44" i="14"/>
  <c r="I44" i="8"/>
  <c r="I44" i="7"/>
  <c r="I45" i="23"/>
  <c r="I45" i="9"/>
  <c r="I45" i="6"/>
  <c r="I45" i="7"/>
  <c r="I45" i="14"/>
  <c r="I45" i="8"/>
  <c r="I46" i="23"/>
  <c r="I46" i="14"/>
  <c r="I46" i="8"/>
  <c r="I46" i="6"/>
  <c r="I46" i="9"/>
  <c r="I46" i="7"/>
  <c r="I47" i="23"/>
  <c r="I47" i="14"/>
  <c r="I47" i="8"/>
  <c r="I47" i="7"/>
  <c r="I47" i="6"/>
  <c r="I47" i="9"/>
  <c r="I48" i="23"/>
  <c r="I48" i="7"/>
  <c r="I48" i="9"/>
  <c r="I48" i="6"/>
  <c r="I48" i="14"/>
  <c r="I48" i="8"/>
  <c r="I49" i="23"/>
  <c r="I49" i="14"/>
  <c r="I49" i="8"/>
  <c r="I49" i="7"/>
  <c r="I49" i="9"/>
  <c r="I49" i="6"/>
  <c r="I50" i="23"/>
  <c r="I50" i="8"/>
  <c r="I50" i="9"/>
  <c r="I50" i="6"/>
  <c r="I50" i="14"/>
  <c r="I50" i="7"/>
  <c r="I51" i="23"/>
  <c r="I51" i="14"/>
  <c r="I51" i="7"/>
  <c r="I51" i="6"/>
  <c r="I51" i="9"/>
  <c r="I51" i="8"/>
  <c r="I52" i="23"/>
  <c r="I52" i="8"/>
  <c r="I52" i="9"/>
  <c r="I52" i="6"/>
  <c r="I52" i="14"/>
  <c r="I52" i="7"/>
  <c r="I53" i="23"/>
  <c r="I53" i="8"/>
  <c r="I53" i="9"/>
  <c r="I53" i="6"/>
  <c r="I53" i="7"/>
  <c r="I53" i="14"/>
  <c r="I54" i="23"/>
  <c r="I54" i="8"/>
  <c r="I54" i="14"/>
  <c r="I54" i="7"/>
  <c r="I54" i="6"/>
  <c r="I54" i="9"/>
  <c r="I55" i="23"/>
  <c r="I55" i="9"/>
  <c r="I55" i="6"/>
  <c r="I55" i="7"/>
  <c r="I55" i="14"/>
  <c r="I55" i="8"/>
  <c r="I56" i="23"/>
  <c r="I56" i="9"/>
  <c r="I56" i="6"/>
  <c r="I56" i="14"/>
  <c r="I56" i="7"/>
  <c r="I56" i="8"/>
  <c r="I57" i="23"/>
  <c r="I57" i="9"/>
  <c r="I57" i="6"/>
  <c r="I57" i="7"/>
  <c r="I57" i="14"/>
  <c r="I57" i="8"/>
  <c r="I58" i="23"/>
  <c r="I58" i="14"/>
  <c r="I58" i="8"/>
  <c r="I58" i="6"/>
  <c r="I58" i="9"/>
  <c r="I58" i="7"/>
  <c r="I59" i="23"/>
  <c r="I59" i="14"/>
  <c r="I59" i="8"/>
  <c r="I59" i="7"/>
  <c r="I59" i="9"/>
  <c r="I59" i="6"/>
  <c r="I60" i="23"/>
  <c r="I60" i="7"/>
  <c r="I60" i="9"/>
  <c r="I60" i="6"/>
  <c r="I60" i="14"/>
  <c r="I60" i="8"/>
  <c r="I61" i="23"/>
  <c r="I61" i="14"/>
  <c r="I61" i="8"/>
  <c r="I61" i="7"/>
  <c r="I61" i="9"/>
  <c r="I61" i="6"/>
  <c r="I5" i="24"/>
  <c r="I5" i="10"/>
  <c r="I5" i="13"/>
  <c r="I5" i="11"/>
  <c r="I5" i="12"/>
  <c r="I6" i="24"/>
  <c r="AF51" i="24" s="1"/>
  <c r="I6" i="12"/>
  <c r="I6" i="13"/>
  <c r="I6" i="11"/>
  <c r="I6" i="10"/>
  <c r="I7" i="24"/>
  <c r="AB52" i="24" s="1"/>
  <c r="I7" i="12"/>
  <c r="I7" i="13"/>
  <c r="I7" i="11"/>
  <c r="I7" i="10"/>
  <c r="I8" i="24"/>
  <c r="I8" i="12"/>
  <c r="I8" i="13"/>
  <c r="I8" i="10"/>
  <c r="I8" i="11"/>
  <c r="I9" i="24"/>
  <c r="I9" i="13"/>
  <c r="I9" i="11"/>
  <c r="I9" i="10"/>
  <c r="I9" i="12"/>
  <c r="I10" i="24"/>
  <c r="AE55" i="24" s="1"/>
  <c r="I10" i="11"/>
  <c r="I10" i="10"/>
  <c r="I10" i="12"/>
  <c r="I10" i="13"/>
  <c r="I11" i="24"/>
  <c r="AA56" i="24" s="1"/>
  <c r="I11" i="11"/>
  <c r="I11" i="12"/>
  <c r="I11" i="10"/>
  <c r="I11" i="13"/>
  <c r="I12" i="24"/>
  <c r="I12" i="10"/>
  <c r="I12" i="12"/>
  <c r="I12" i="13"/>
  <c r="I12" i="11"/>
  <c r="I13" i="24"/>
  <c r="I13" i="10"/>
  <c r="I13" i="12"/>
  <c r="I13" i="13"/>
  <c r="I13" i="11"/>
  <c r="I14" i="24"/>
  <c r="AB59" i="24" s="1"/>
  <c r="I14" i="12"/>
  <c r="I14" i="13"/>
  <c r="I14" i="11"/>
  <c r="I14" i="10"/>
  <c r="I15" i="24"/>
  <c r="AF60" i="24" s="1"/>
  <c r="I15" i="10"/>
  <c r="I15" i="12"/>
  <c r="I15" i="13"/>
  <c r="I15" i="11"/>
  <c r="I16" i="24"/>
  <c r="I16" i="10"/>
  <c r="I16" i="12"/>
  <c r="I16" i="13"/>
  <c r="I16" i="11"/>
  <c r="I17" i="24"/>
  <c r="I17" i="10"/>
  <c r="I17" i="13"/>
  <c r="I17" i="11"/>
  <c r="I17" i="12"/>
  <c r="I18" i="24"/>
  <c r="W63" i="24" s="1"/>
  <c r="I18" i="12"/>
  <c r="I18" i="13"/>
  <c r="I18" i="11"/>
  <c r="I18" i="10"/>
  <c r="I19" i="24"/>
  <c r="AC64" i="24" s="1"/>
  <c r="I19" i="12"/>
  <c r="I19" i="13"/>
  <c r="I19" i="11"/>
  <c r="I19" i="10"/>
  <c r="I20" i="24"/>
  <c r="I20" i="12"/>
  <c r="I20" i="13"/>
  <c r="I20" i="10"/>
  <c r="I20" i="11"/>
  <c r="I21" i="24"/>
  <c r="I21" i="13"/>
  <c r="I21" i="11"/>
  <c r="I21" i="10"/>
  <c r="I21" i="12"/>
  <c r="I22" i="24"/>
  <c r="I22" i="11"/>
  <c r="I22" i="10"/>
  <c r="I22" i="13"/>
  <c r="I22" i="12"/>
  <c r="I23" i="24"/>
  <c r="I23" i="11"/>
  <c r="I23" i="12"/>
  <c r="I23" i="13"/>
  <c r="I23" i="10"/>
  <c r="I24" i="24"/>
  <c r="I24" i="10"/>
  <c r="I24" i="12"/>
  <c r="I24" i="13"/>
  <c r="I24" i="11"/>
  <c r="I25" i="24"/>
  <c r="I25" i="10"/>
  <c r="I25" i="12"/>
  <c r="I25" i="13"/>
  <c r="I25" i="11"/>
  <c r="I26" i="24"/>
  <c r="I26" i="12"/>
  <c r="I26" i="13"/>
  <c r="I26" i="11"/>
  <c r="I26" i="10"/>
  <c r="I27" i="24"/>
  <c r="I27" i="10"/>
  <c r="I27" i="12"/>
  <c r="I27" i="13"/>
  <c r="I27" i="11"/>
  <c r="I28" i="24"/>
  <c r="I28" i="10"/>
  <c r="I28" i="12"/>
  <c r="I28" i="13"/>
  <c r="I28" i="11"/>
  <c r="I29" i="24"/>
  <c r="I29" i="10"/>
  <c r="I29" i="13"/>
  <c r="I29" i="11"/>
  <c r="I29" i="12"/>
  <c r="I30" i="24"/>
  <c r="I30" i="12"/>
  <c r="I30" i="13"/>
  <c r="I30" i="11"/>
  <c r="I30" i="10"/>
  <c r="I31" i="24"/>
  <c r="I31" i="12"/>
  <c r="I31" i="13"/>
  <c r="I31" i="11"/>
  <c r="I31" i="10"/>
  <c r="I32" i="24"/>
  <c r="I32" i="12"/>
  <c r="I32" i="13"/>
  <c r="I32" i="10"/>
  <c r="I32" i="11"/>
  <c r="I33" i="24"/>
  <c r="I33" i="13"/>
  <c r="I33" i="11"/>
  <c r="I33" i="10"/>
  <c r="I33" i="12"/>
  <c r="I34" i="24"/>
  <c r="I34" i="11"/>
  <c r="I34" i="10"/>
  <c r="I34" i="13"/>
  <c r="I34" i="12"/>
  <c r="I36" i="24"/>
  <c r="I36" i="10"/>
  <c r="I36" i="12"/>
  <c r="I36" i="13"/>
  <c r="I36" i="11"/>
  <c r="I37" i="24"/>
  <c r="I37" i="10"/>
  <c r="I37" i="12"/>
  <c r="I37" i="13"/>
  <c r="I37" i="11"/>
  <c r="I38" i="24"/>
  <c r="I38" i="12"/>
  <c r="I38" i="13"/>
  <c r="I38" i="11"/>
  <c r="I38" i="10"/>
  <c r="I39" i="24"/>
  <c r="I39" i="10"/>
  <c r="I39" i="12"/>
  <c r="I39" i="13"/>
  <c r="I39" i="11"/>
  <c r="I42" i="24"/>
  <c r="I42" i="12"/>
  <c r="I42" i="13"/>
  <c r="I42" i="11"/>
  <c r="I42" i="10"/>
  <c r="I43" i="24"/>
  <c r="I43" i="12"/>
  <c r="I43" i="13"/>
  <c r="I43" i="11"/>
  <c r="I43" i="10"/>
  <c r="U6" i="3"/>
  <c r="U37" i="4"/>
  <c r="P14" i="5" s="1"/>
  <c r="P17" i="5" s="1"/>
  <c r="U38" i="4"/>
  <c r="U41" i="4"/>
  <c r="AT2" i="16"/>
  <c r="AJ2" i="16"/>
  <c r="U13" i="3"/>
  <c r="U32" i="4"/>
  <c r="AJ5" i="16"/>
  <c r="AT5" i="16"/>
  <c r="AJ6" i="16"/>
  <c r="AJ7" i="16"/>
  <c r="AT7" i="16"/>
  <c r="AO5" i="16"/>
  <c r="AO7" i="16"/>
  <c r="AC5" i="21"/>
  <c r="AP2" i="16"/>
  <c r="AT4" i="16"/>
  <c r="AJ4" i="16"/>
  <c r="AO4" i="16"/>
  <c r="AJ3" i="16"/>
  <c r="AO3" i="16"/>
  <c r="AT3" i="16"/>
  <c r="AO6" i="16"/>
  <c r="AA9" i="21"/>
  <c r="AC140" i="17"/>
  <c r="AA11" i="21"/>
  <c r="AC116" i="17"/>
  <c r="AC146" i="17"/>
  <c r="AC310" i="17"/>
  <c r="AC314" i="17"/>
  <c r="AC318" i="17"/>
  <c r="AC118" i="17"/>
  <c r="AC148" i="17"/>
  <c r="AC154" i="17"/>
  <c r="AC16" i="17"/>
  <c r="AC20" i="17"/>
  <c r="AC24" i="17"/>
  <c r="AC64" i="17"/>
  <c r="AC68" i="17"/>
  <c r="AC72" i="17"/>
  <c r="AC76" i="17"/>
  <c r="AC80" i="17"/>
  <c r="AC84" i="17"/>
  <c r="AC88" i="17"/>
  <c r="AC114" i="17"/>
  <c r="AC120" i="17"/>
  <c r="AC150" i="17"/>
  <c r="AC156" i="17"/>
  <c r="AC110" i="17"/>
  <c r="AD9" i="21"/>
  <c r="AI9" i="21" s="1"/>
  <c r="AC130" i="17"/>
  <c r="AC158" i="17"/>
  <c r="AC445" i="17"/>
  <c r="AA10" i="21"/>
  <c r="AG13" i="21"/>
  <c r="AC3" i="17"/>
  <c r="AC7" i="17"/>
  <c r="AC11" i="17"/>
  <c r="AC15" i="17"/>
  <c r="AC19" i="17"/>
  <c r="AC23" i="17"/>
  <c r="AC27" i="17"/>
  <c r="AC31" i="17"/>
  <c r="AC35" i="17"/>
  <c r="AC63" i="17"/>
  <c r="AC67" i="17"/>
  <c r="AC71" i="17"/>
  <c r="AC75" i="17"/>
  <c r="AC79" i="17"/>
  <c r="AC83" i="17"/>
  <c r="AC87" i="17"/>
  <c r="AC91" i="17"/>
  <c r="AC95" i="17"/>
  <c r="AC112" i="17"/>
  <c r="AC38" i="17"/>
  <c r="AC45" i="17"/>
  <c r="AC124" i="17"/>
  <c r="AC142" i="17"/>
  <c r="AC439" i="17"/>
  <c r="AC128" i="17"/>
  <c r="AC92" i="17"/>
  <c r="AC96" i="17"/>
  <c r="AD10" i="21"/>
  <c r="AC143" i="17"/>
  <c r="AC136" i="17"/>
  <c r="AC164" i="17"/>
  <c r="AC451" i="17"/>
  <c r="R9" i="21"/>
  <c r="J913" i="21"/>
  <c r="M913" i="21" s="1"/>
  <c r="J925" i="21"/>
  <c r="M925" i="21" s="1"/>
  <c r="J937" i="21"/>
  <c r="M937" i="21" s="1"/>
  <c r="R11" i="21"/>
  <c r="AI3" i="21"/>
  <c r="AC46" i="17"/>
  <c r="AC50" i="17"/>
  <c r="AC54" i="17"/>
  <c r="AC58" i="17"/>
  <c r="J914" i="21"/>
  <c r="M914" i="21" s="1"/>
  <c r="J926" i="21"/>
  <c r="M926" i="21" s="1"/>
  <c r="J938" i="21"/>
  <c r="M938" i="21" s="1"/>
  <c r="J915" i="21"/>
  <c r="M915" i="21" s="1"/>
  <c r="J927" i="21"/>
  <c r="M927" i="21" s="1"/>
  <c r="J939" i="21"/>
  <c r="M939" i="21" s="1"/>
  <c r="R12" i="21"/>
  <c r="J916" i="21"/>
  <c r="M916" i="21" s="1"/>
  <c r="J928" i="21"/>
  <c r="M928" i="21" s="1"/>
  <c r="J940" i="21"/>
  <c r="M940" i="21" s="1"/>
  <c r="AF3" i="21"/>
  <c r="AG4" i="21"/>
  <c r="J917" i="21"/>
  <c r="M917" i="21" s="1"/>
  <c r="J929" i="21"/>
  <c r="M929" i="21" s="1"/>
  <c r="J941" i="21"/>
  <c r="M941" i="21" s="1"/>
  <c r="AG3" i="21"/>
  <c r="AC47" i="17"/>
  <c r="AC51" i="17"/>
  <c r="AC55" i="17"/>
  <c r="AC59" i="17"/>
  <c r="J906" i="21"/>
  <c r="J918" i="21"/>
  <c r="M918" i="21" s="1"/>
  <c r="J930" i="21"/>
  <c r="M930" i="21" s="1"/>
  <c r="AC44" i="17"/>
  <c r="AC123" i="17"/>
  <c r="AC126" i="17"/>
  <c r="AC132" i="17"/>
  <c r="AC135" i="17"/>
  <c r="AC138" i="17"/>
  <c r="AC144" i="17"/>
  <c r="J907" i="21"/>
  <c r="M907" i="21" s="1"/>
  <c r="J919" i="21"/>
  <c r="M919" i="21" s="1"/>
  <c r="J931" i="21"/>
  <c r="M931" i="21" s="1"/>
  <c r="Y6" i="21"/>
  <c r="AG6" i="21" s="1"/>
  <c r="J908" i="21"/>
  <c r="M908" i="21" s="1"/>
  <c r="J920" i="21"/>
  <c r="M920" i="21" s="1"/>
  <c r="J932" i="21"/>
  <c r="M932" i="21" s="1"/>
  <c r="AC321" i="17"/>
  <c r="AC325" i="17"/>
  <c r="AC329" i="17"/>
  <c r="AC333" i="17"/>
  <c r="AC337" i="17"/>
  <c r="AC341" i="17"/>
  <c r="AC100" i="17"/>
  <c r="AC103" i="17"/>
  <c r="AC106" i="17"/>
  <c r="AC109" i="17"/>
  <c r="J909" i="21"/>
  <c r="M909" i="21" s="1"/>
  <c r="J921" i="21"/>
  <c r="M921" i="21" s="1"/>
  <c r="E30" i="5"/>
  <c r="F4" i="5"/>
  <c r="E4" i="5"/>
  <c r="O51" i="12"/>
  <c r="M51" i="11"/>
  <c r="Q68" i="8"/>
  <c r="M51" i="12"/>
  <c r="AB67" i="6"/>
  <c r="U51" i="11"/>
  <c r="BA68" i="23"/>
  <c r="AW68" i="23"/>
  <c r="AS68" i="23"/>
  <c r="AO68" i="23"/>
  <c r="AK68" i="23"/>
  <c r="BD68" i="23"/>
  <c r="AY68" i="23"/>
  <c r="AT68" i="23"/>
  <c r="AN68" i="23"/>
  <c r="AI68" i="23"/>
  <c r="BC68" i="23"/>
  <c r="AX68" i="23"/>
  <c r="AR68" i="23"/>
  <c r="AM68" i="23"/>
  <c r="BB68" i="23"/>
  <c r="AV68" i="23"/>
  <c r="AQ68" i="23"/>
  <c r="AL68" i="23"/>
  <c r="AZ68" i="23"/>
  <c r="AU68" i="23"/>
  <c r="AP68" i="23"/>
  <c r="AJ68" i="23"/>
  <c r="BA72" i="23"/>
  <c r="AW72" i="23"/>
  <c r="AS72" i="23"/>
  <c r="AO72" i="23"/>
  <c r="AK72" i="23"/>
  <c r="AB72" i="23"/>
  <c r="BD72" i="23"/>
  <c r="AY72" i="23"/>
  <c r="AT72" i="23"/>
  <c r="AN72" i="23"/>
  <c r="AI72" i="23"/>
  <c r="BC72" i="23"/>
  <c r="AX72" i="23"/>
  <c r="AR72" i="23"/>
  <c r="AM72" i="23"/>
  <c r="BB72" i="23"/>
  <c r="AV72" i="23"/>
  <c r="AQ72" i="23"/>
  <c r="AL72" i="23"/>
  <c r="AZ72" i="23"/>
  <c r="AU72" i="23"/>
  <c r="AP72" i="23"/>
  <c r="AJ72" i="23"/>
  <c r="BC76" i="23"/>
  <c r="AY76" i="23"/>
  <c r="AU76" i="23"/>
  <c r="AQ76" i="23"/>
  <c r="AM76" i="23"/>
  <c r="AI76" i="23"/>
  <c r="BB76" i="23"/>
  <c r="AW76" i="23"/>
  <c r="AR76" i="23"/>
  <c r="AL76" i="23"/>
  <c r="AX76" i="23"/>
  <c r="AP76" i="23"/>
  <c r="AJ76" i="23"/>
  <c r="BD76" i="23"/>
  <c r="AV76" i="23"/>
  <c r="AO76" i="23"/>
  <c r="BA76" i="23"/>
  <c r="AT76" i="23"/>
  <c r="AN76" i="23"/>
  <c r="AZ76" i="23"/>
  <c r="AS76" i="23"/>
  <c r="AK76" i="23"/>
  <c r="BD84" i="23"/>
  <c r="AZ84" i="23"/>
  <c r="AV84" i="23"/>
  <c r="AR84" i="23"/>
  <c r="AN84" i="23"/>
  <c r="AJ84" i="23"/>
  <c r="BB84" i="23"/>
  <c r="AW84" i="23"/>
  <c r="AQ84" i="23"/>
  <c r="AL84" i="23"/>
  <c r="BC84" i="23"/>
  <c r="AU84" i="23"/>
  <c r="AO84" i="23"/>
  <c r="AX84" i="23"/>
  <c r="AP84" i="23"/>
  <c r="AI84" i="23"/>
  <c r="AY84" i="23"/>
  <c r="AK84" i="23"/>
  <c r="AT84" i="23"/>
  <c r="AS84" i="23"/>
  <c r="BA84" i="23"/>
  <c r="AM84" i="23"/>
  <c r="BD88" i="23"/>
  <c r="AZ88" i="23"/>
  <c r="AV88" i="23"/>
  <c r="AR88" i="23"/>
  <c r="AN88" i="23"/>
  <c r="AJ88" i="23"/>
  <c r="BB88" i="23"/>
  <c r="AW88" i="23"/>
  <c r="AQ88" i="23"/>
  <c r="AL88" i="23"/>
  <c r="AX88" i="23"/>
  <c r="AP88" i="23"/>
  <c r="AI88" i="23"/>
  <c r="BA88" i="23"/>
  <c r="AT88" i="23"/>
  <c r="AM88" i="23"/>
  <c r="AY88" i="23"/>
  <c r="AS88" i="23"/>
  <c r="AK88" i="23"/>
  <c r="BC88" i="23"/>
  <c r="AU88" i="23"/>
  <c r="AO88" i="23"/>
  <c r="BD92" i="23"/>
  <c r="AZ92" i="23"/>
  <c r="AV92" i="23"/>
  <c r="AR92" i="23"/>
  <c r="AN92" i="23"/>
  <c r="AJ92" i="23"/>
  <c r="BB92" i="23"/>
  <c r="AW92" i="23"/>
  <c r="AQ92" i="23"/>
  <c r="AL92" i="23"/>
  <c r="AY92" i="23"/>
  <c r="AS92" i="23"/>
  <c r="AK92" i="23"/>
  <c r="AX92" i="23"/>
  <c r="AP92" i="23"/>
  <c r="AI92" i="23"/>
  <c r="BC92" i="23"/>
  <c r="AU92" i="23"/>
  <c r="AO92" i="23"/>
  <c r="BA92" i="23"/>
  <c r="AT92" i="23"/>
  <c r="AM92" i="23"/>
  <c r="BD96" i="23"/>
  <c r="AZ96" i="23"/>
  <c r="AV96" i="23"/>
  <c r="AR96" i="23"/>
  <c r="AN96" i="23"/>
  <c r="AJ96" i="23"/>
  <c r="BB96" i="23"/>
  <c r="AW96" i="23"/>
  <c r="AQ96" i="23"/>
  <c r="AL96" i="23"/>
  <c r="P96" i="23"/>
  <c r="BA96" i="23"/>
  <c r="AT96" i="23"/>
  <c r="AM96" i="23"/>
  <c r="AY96" i="23"/>
  <c r="AS96" i="23"/>
  <c r="AK96" i="23"/>
  <c r="AX96" i="23"/>
  <c r="AP96" i="23"/>
  <c r="AI96" i="23"/>
  <c r="BC96" i="23"/>
  <c r="AU96" i="23"/>
  <c r="AO96" i="23"/>
  <c r="R96" i="23"/>
  <c r="BD100" i="23"/>
  <c r="AZ100" i="23"/>
  <c r="AV100" i="23"/>
  <c r="AR100" i="23"/>
  <c r="AN100" i="23"/>
  <c r="AJ100" i="23"/>
  <c r="BB100" i="23"/>
  <c r="AW100" i="23"/>
  <c r="AQ100" i="23"/>
  <c r="AL100" i="23"/>
  <c r="P100" i="23"/>
  <c r="BC100" i="23"/>
  <c r="AU100" i="23"/>
  <c r="AO100" i="23"/>
  <c r="R100" i="23"/>
  <c r="BA100" i="23"/>
  <c r="AT100" i="23"/>
  <c r="AM100" i="23"/>
  <c r="AY100" i="23"/>
  <c r="AS100" i="23"/>
  <c r="AK100" i="23"/>
  <c r="AX100" i="23"/>
  <c r="AP100" i="23"/>
  <c r="AI100" i="23"/>
  <c r="BA104" i="23"/>
  <c r="AW104" i="23"/>
  <c r="AS104" i="23"/>
  <c r="AO104" i="23"/>
  <c r="AK104" i="23"/>
  <c r="BD104" i="23"/>
  <c r="AY104" i="23"/>
  <c r="AT104" i="23"/>
  <c r="AN104" i="23"/>
  <c r="AI104" i="23"/>
  <c r="AZ104" i="23"/>
  <c r="AR104" i="23"/>
  <c r="AL104" i="23"/>
  <c r="BB104" i="23"/>
  <c r="AU104" i="23"/>
  <c r="AM104" i="23"/>
  <c r="AQ104" i="23"/>
  <c r="BC104" i="23"/>
  <c r="AP104" i="23"/>
  <c r="AX104" i="23"/>
  <c r="AJ104" i="23"/>
  <c r="AV104" i="23"/>
  <c r="BA108" i="23"/>
  <c r="AW108" i="23"/>
  <c r="AS108" i="23"/>
  <c r="AO108" i="23"/>
  <c r="AK108" i="23"/>
  <c r="BD108" i="23"/>
  <c r="AY108" i="23"/>
  <c r="AT108" i="23"/>
  <c r="AN108" i="23"/>
  <c r="AI108" i="23"/>
  <c r="BB108" i="23"/>
  <c r="AU108" i="23"/>
  <c r="AM108" i="23"/>
  <c r="BC108" i="23"/>
  <c r="AV108" i="23"/>
  <c r="AP108" i="23"/>
  <c r="AZ108" i="23"/>
  <c r="AL108" i="23"/>
  <c r="AX108" i="23"/>
  <c r="AJ108" i="23"/>
  <c r="AR108" i="23"/>
  <c r="AQ108" i="23"/>
  <c r="BC112" i="23"/>
  <c r="AY112" i="23"/>
  <c r="AU112" i="23"/>
  <c r="AQ112" i="23"/>
  <c r="AM112" i="23"/>
  <c r="AI112" i="23"/>
  <c r="BA112" i="23"/>
  <c r="AW112" i="23"/>
  <c r="AS112" i="23"/>
  <c r="AO112" i="23"/>
  <c r="AK112" i="23"/>
  <c r="BD112" i="23"/>
  <c r="AV112" i="23"/>
  <c r="AN112" i="23"/>
  <c r="AX112" i="23"/>
  <c r="AL112" i="23"/>
  <c r="AT112" i="23"/>
  <c r="AJ112" i="23"/>
  <c r="AZ112" i="23"/>
  <c r="AP112" i="23"/>
  <c r="BB112" i="23"/>
  <c r="AR112" i="23"/>
  <c r="BC116" i="23"/>
  <c r="AY116" i="23"/>
  <c r="AU116" i="23"/>
  <c r="AQ116" i="23"/>
  <c r="AM116" i="23"/>
  <c r="AI116" i="23"/>
  <c r="BA116" i="23"/>
  <c r="AW116" i="23"/>
  <c r="AS116" i="23"/>
  <c r="AO116" i="23"/>
  <c r="AK116" i="23"/>
  <c r="BD116" i="23"/>
  <c r="AV116" i="23"/>
  <c r="AN116" i="23"/>
  <c r="BB116" i="23"/>
  <c r="AR116" i="23"/>
  <c r="AZ116" i="23"/>
  <c r="AP116" i="23"/>
  <c r="AX116" i="23"/>
  <c r="AL116" i="23"/>
  <c r="AT116" i="23"/>
  <c r="AJ116" i="23"/>
  <c r="BC120" i="23"/>
  <c r="AY120" i="23"/>
  <c r="AU120" i="23"/>
  <c r="AQ120" i="23"/>
  <c r="AM120" i="23"/>
  <c r="AI120" i="23"/>
  <c r="BB120" i="23"/>
  <c r="AX120" i="23"/>
  <c r="AT120" i="23"/>
  <c r="AP120" i="23"/>
  <c r="AL120" i="23"/>
  <c r="BA120" i="23"/>
  <c r="AW120" i="23"/>
  <c r="AS120" i="23"/>
  <c r="AO120" i="23"/>
  <c r="AK120" i="23"/>
  <c r="BD120" i="23"/>
  <c r="AN120" i="23"/>
  <c r="AV120" i="23"/>
  <c r="AR120" i="23"/>
  <c r="AJ120" i="23"/>
  <c r="AZ120" i="23"/>
  <c r="BA69" i="23"/>
  <c r="AW69" i="23"/>
  <c r="AS69" i="23"/>
  <c r="AO69" i="23"/>
  <c r="AK69" i="23"/>
  <c r="BC69" i="23"/>
  <c r="AX69" i="23"/>
  <c r="AR69" i="23"/>
  <c r="AM69" i="23"/>
  <c r="BB69" i="23"/>
  <c r="AV69" i="23"/>
  <c r="AQ69" i="23"/>
  <c r="AL69" i="23"/>
  <c r="AZ69" i="23"/>
  <c r="AU69" i="23"/>
  <c r="AP69" i="23"/>
  <c r="AJ69" i="23"/>
  <c r="BD69" i="23"/>
  <c r="AY69" i="23"/>
  <c r="AT69" i="23"/>
  <c r="AN69" i="23"/>
  <c r="AI69" i="23"/>
  <c r="BC77" i="23"/>
  <c r="AY77" i="23"/>
  <c r="AU77" i="23"/>
  <c r="AQ77" i="23"/>
  <c r="AM77" i="23"/>
  <c r="AI77" i="23"/>
  <c r="BA77" i="23"/>
  <c r="AV77" i="23"/>
  <c r="AP77" i="23"/>
  <c r="AK77" i="23"/>
  <c r="BD77" i="23"/>
  <c r="AW77" i="23"/>
  <c r="AO77" i="23"/>
  <c r="BB77" i="23"/>
  <c r="AT77" i="23"/>
  <c r="AN77" i="23"/>
  <c r="AZ77" i="23"/>
  <c r="AS77" i="23"/>
  <c r="AL77" i="23"/>
  <c r="AX77" i="23"/>
  <c r="AR77" i="23"/>
  <c r="AJ77" i="23"/>
  <c r="BC81" i="23"/>
  <c r="AY81" i="23"/>
  <c r="AU81" i="23"/>
  <c r="AQ81" i="23"/>
  <c r="AM81" i="23"/>
  <c r="AI81" i="23"/>
  <c r="AZ81" i="23"/>
  <c r="AT81" i="23"/>
  <c r="AO81" i="23"/>
  <c r="AJ81" i="23"/>
  <c r="BA81" i="23"/>
  <c r="AV81" i="23"/>
  <c r="AP81" i="23"/>
  <c r="AK81" i="23"/>
  <c r="BB81" i="23"/>
  <c r="AR81" i="23"/>
  <c r="AX81" i="23"/>
  <c r="AN81" i="23"/>
  <c r="AW81" i="23"/>
  <c r="AL81" i="23"/>
  <c r="BD81" i="23"/>
  <c r="AS81" i="23"/>
  <c r="BD85" i="23"/>
  <c r="AZ85" i="23"/>
  <c r="AV85" i="23"/>
  <c r="AR85" i="23"/>
  <c r="AN85" i="23"/>
  <c r="AJ85" i="23"/>
  <c r="BA85" i="23"/>
  <c r="AU85" i="23"/>
  <c r="AP85" i="23"/>
  <c r="AK85" i="23"/>
  <c r="BB85" i="23"/>
  <c r="AT85" i="23"/>
  <c r="AM85" i="23"/>
  <c r="BC85" i="23"/>
  <c r="AW85" i="23"/>
  <c r="AO85" i="23"/>
  <c r="AX85" i="23"/>
  <c r="AI85" i="23"/>
  <c r="AS85" i="23"/>
  <c r="AQ85" i="23"/>
  <c r="AY85" i="23"/>
  <c r="AL85" i="23"/>
  <c r="BD89" i="23"/>
  <c r="AZ89" i="23"/>
  <c r="AV89" i="23"/>
  <c r="AR89" i="23"/>
  <c r="AN89" i="23"/>
  <c r="AJ89" i="23"/>
  <c r="BA89" i="23"/>
  <c r="AU89" i="23"/>
  <c r="AP89" i="23"/>
  <c r="AK89" i="23"/>
  <c r="BC89" i="23"/>
  <c r="AW89" i="23"/>
  <c r="AO89" i="23"/>
  <c r="BB89" i="23"/>
  <c r="AT89" i="23"/>
  <c r="AM89" i="23"/>
  <c r="AY89" i="23"/>
  <c r="AS89" i="23"/>
  <c r="AL89" i="23"/>
  <c r="AX89" i="23"/>
  <c r="AQ89" i="23"/>
  <c r="AI89" i="23"/>
  <c r="BD93" i="23"/>
  <c r="AZ93" i="23"/>
  <c r="AV93" i="23"/>
  <c r="AR93" i="23"/>
  <c r="AN93" i="23"/>
  <c r="AJ93" i="23"/>
  <c r="BA93" i="23"/>
  <c r="AU93" i="23"/>
  <c r="AP93" i="23"/>
  <c r="AK93" i="23"/>
  <c r="AX93" i="23"/>
  <c r="AQ93" i="23"/>
  <c r="AI93" i="23"/>
  <c r="BC93" i="23"/>
  <c r="AW93" i="23"/>
  <c r="AO93" i="23"/>
  <c r="R93" i="23"/>
  <c r="BB93" i="23"/>
  <c r="AT93" i="23"/>
  <c r="AM93" i="23"/>
  <c r="AY93" i="23"/>
  <c r="AS93" i="23"/>
  <c r="AL93" i="23"/>
  <c r="P93" i="23"/>
  <c r="BD97" i="23"/>
  <c r="AZ97" i="23"/>
  <c r="AV97" i="23"/>
  <c r="AR97" i="23"/>
  <c r="AN97" i="23"/>
  <c r="AJ97" i="23"/>
  <c r="BA97" i="23"/>
  <c r="AU97" i="23"/>
  <c r="AP97" i="23"/>
  <c r="AK97" i="23"/>
  <c r="AY97" i="23"/>
  <c r="AS97" i="23"/>
  <c r="AL97" i="23"/>
  <c r="AX97" i="23"/>
  <c r="AQ97" i="23"/>
  <c r="AI97" i="23"/>
  <c r="BC97" i="23"/>
  <c r="AW97" i="23"/>
  <c r="AO97" i="23"/>
  <c r="BB97" i="23"/>
  <c r="AT97" i="23"/>
  <c r="AM97" i="23"/>
  <c r="BD101" i="23"/>
  <c r="AZ101" i="23"/>
  <c r="AV101" i="23"/>
  <c r="AR101" i="23"/>
  <c r="AN101" i="23"/>
  <c r="AJ101" i="23"/>
  <c r="BA101" i="23"/>
  <c r="AU101" i="23"/>
  <c r="AP101" i="23"/>
  <c r="AK101" i="23"/>
  <c r="BB101" i="23"/>
  <c r="AT101" i="23"/>
  <c r="AM101" i="23"/>
  <c r="AY101" i="23"/>
  <c r="AS101" i="23"/>
  <c r="AL101" i="23"/>
  <c r="P101" i="23"/>
  <c r="AX101" i="23"/>
  <c r="AQ101" i="23"/>
  <c r="AI101" i="23"/>
  <c r="BC101" i="23"/>
  <c r="AW101" i="23"/>
  <c r="AO101" i="23"/>
  <c r="R101" i="23"/>
  <c r="BA105" i="23"/>
  <c r="AW105" i="23"/>
  <c r="AS105" i="23"/>
  <c r="AO105" i="23"/>
  <c r="AK105" i="23"/>
  <c r="BC105" i="23"/>
  <c r="AX105" i="23"/>
  <c r="AR105" i="23"/>
  <c r="AM105" i="23"/>
  <c r="AY105" i="23"/>
  <c r="AQ105" i="23"/>
  <c r="AJ105" i="23"/>
  <c r="AZ105" i="23"/>
  <c r="AT105" i="23"/>
  <c r="AL105" i="23"/>
  <c r="BD105" i="23"/>
  <c r="AP105" i="23"/>
  <c r="BB105" i="23"/>
  <c r="AN105" i="23"/>
  <c r="AV105" i="23"/>
  <c r="AI105" i="23"/>
  <c r="AU105" i="23"/>
  <c r="BA109" i="23"/>
  <c r="AW109" i="23"/>
  <c r="AS109" i="23"/>
  <c r="AO109" i="23"/>
  <c r="AK109" i="23"/>
  <c r="BC109" i="23"/>
  <c r="AX109" i="23"/>
  <c r="AR109" i="23"/>
  <c r="AM109" i="23"/>
  <c r="AZ109" i="23"/>
  <c r="AT109" i="23"/>
  <c r="AL109" i="23"/>
  <c r="BB109" i="23"/>
  <c r="AU109" i="23"/>
  <c r="AN109" i="23"/>
  <c r="AY109" i="23"/>
  <c r="AJ109" i="23"/>
  <c r="AV109" i="23"/>
  <c r="AI109" i="23"/>
  <c r="AQ109" i="23"/>
  <c r="BD109" i="23"/>
  <c r="AP109" i="23"/>
  <c r="BC113" i="23"/>
  <c r="AY113" i="23"/>
  <c r="AU113" i="23"/>
  <c r="AQ113" i="23"/>
  <c r="AM113" i="23"/>
  <c r="AI113" i="23"/>
  <c r="BA113" i="23"/>
  <c r="AW113" i="23"/>
  <c r="AS113" i="23"/>
  <c r="AO113" i="23"/>
  <c r="AK113" i="23"/>
  <c r="AZ113" i="23"/>
  <c r="AR113" i="23"/>
  <c r="AJ113" i="23"/>
  <c r="AV113" i="23"/>
  <c r="AL113" i="23"/>
  <c r="BD113" i="23"/>
  <c r="AT113" i="23"/>
  <c r="AX113" i="23"/>
  <c r="AN113" i="23"/>
  <c r="BB113" i="23"/>
  <c r="AP113" i="23"/>
  <c r="BC117" i="23"/>
  <c r="AY117" i="23"/>
  <c r="AU117" i="23"/>
  <c r="AQ117" i="23"/>
  <c r="AM117" i="23"/>
  <c r="AI117" i="23"/>
  <c r="BB117" i="23"/>
  <c r="AX117" i="23"/>
  <c r="AT117" i="23"/>
  <c r="AP117" i="23"/>
  <c r="AL117" i="23"/>
  <c r="BA117" i="23"/>
  <c r="AW117" i="23"/>
  <c r="AS117" i="23"/>
  <c r="AO117" i="23"/>
  <c r="AK117" i="23"/>
  <c r="AR117" i="23"/>
  <c r="AZ117" i="23"/>
  <c r="AV117" i="23"/>
  <c r="AN117" i="23"/>
  <c r="BD117" i="23"/>
  <c r="AJ117" i="23"/>
  <c r="BC121" i="23"/>
  <c r="AY121" i="23"/>
  <c r="AU121" i="23"/>
  <c r="AQ121" i="23"/>
  <c r="AM121" i="23"/>
  <c r="AI121" i="23"/>
  <c r="BB121" i="23"/>
  <c r="AX121" i="23"/>
  <c r="AT121" i="23"/>
  <c r="AP121" i="23"/>
  <c r="AL121" i="23"/>
  <c r="BA121" i="23"/>
  <c r="AW121" i="23"/>
  <c r="AS121" i="23"/>
  <c r="AO121" i="23"/>
  <c r="AK121" i="23"/>
  <c r="AR121" i="23"/>
  <c r="AV121" i="23"/>
  <c r="AN121" i="23"/>
  <c r="BD121" i="23"/>
  <c r="AJ121" i="23"/>
  <c r="AZ121" i="23"/>
  <c r="BA67" i="23"/>
  <c r="AW67" i="23"/>
  <c r="AS67" i="23"/>
  <c r="AO67" i="23"/>
  <c r="AK67" i="23"/>
  <c r="AZ67" i="23"/>
  <c r="AU67" i="23"/>
  <c r="AP67" i="23"/>
  <c r="AJ67" i="23"/>
  <c r="BD67" i="23"/>
  <c r="AY67" i="23"/>
  <c r="AT67" i="23"/>
  <c r="AN67" i="23"/>
  <c r="AI67" i="23"/>
  <c r="BC67" i="23"/>
  <c r="AX67" i="23"/>
  <c r="AR67" i="23"/>
  <c r="AM67" i="23"/>
  <c r="BB67" i="23"/>
  <c r="AV67" i="23"/>
  <c r="AQ67" i="23"/>
  <c r="AL67" i="23"/>
  <c r="BC75" i="23"/>
  <c r="AY75" i="23"/>
  <c r="AU75" i="23"/>
  <c r="AQ75" i="23"/>
  <c r="AM75" i="23"/>
  <c r="AI75" i="23"/>
  <c r="BD75" i="23"/>
  <c r="AX75" i="23"/>
  <c r="AS75" i="23"/>
  <c r="AN75" i="23"/>
  <c r="AZ75" i="23"/>
  <c r="AR75" i="23"/>
  <c r="AK75" i="23"/>
  <c r="AW75" i="23"/>
  <c r="AP75" i="23"/>
  <c r="AJ75" i="23"/>
  <c r="BB75" i="23"/>
  <c r="AV75" i="23"/>
  <c r="AO75" i="23"/>
  <c r="BA75" i="23"/>
  <c r="AT75" i="23"/>
  <c r="AL75" i="23"/>
  <c r="BC79" i="23"/>
  <c r="AY79" i="23"/>
  <c r="AU79" i="23"/>
  <c r="AQ79" i="23"/>
  <c r="AM79" i="23"/>
  <c r="AI79" i="23"/>
  <c r="BD79" i="23"/>
  <c r="AX79" i="23"/>
  <c r="AS79" i="23"/>
  <c r="AN79" i="23"/>
  <c r="AB79" i="23"/>
  <c r="BA79" i="23"/>
  <c r="AT79" i="23"/>
  <c r="AL79" i="23"/>
  <c r="AZ79" i="23"/>
  <c r="AR79" i="23"/>
  <c r="AK79" i="23"/>
  <c r="AW79" i="23"/>
  <c r="AP79" i="23"/>
  <c r="AJ79" i="23"/>
  <c r="BB79" i="23"/>
  <c r="AV79" i="23"/>
  <c r="AO79" i="23"/>
  <c r="BD83" i="23"/>
  <c r="AZ83" i="23"/>
  <c r="AV83" i="23"/>
  <c r="AR83" i="23"/>
  <c r="AN83" i="23"/>
  <c r="AJ83" i="23"/>
  <c r="BC83" i="23"/>
  <c r="AX83" i="23"/>
  <c r="AS83" i="23"/>
  <c r="AM83" i="23"/>
  <c r="AW83" i="23"/>
  <c r="AP83" i="23"/>
  <c r="AI83" i="23"/>
  <c r="AY83" i="23"/>
  <c r="AQ83" i="23"/>
  <c r="AK83" i="23"/>
  <c r="BA83" i="23"/>
  <c r="AL83" i="23"/>
  <c r="AU83" i="23"/>
  <c r="AT83" i="23"/>
  <c r="BB83" i="23"/>
  <c r="AO83" i="23"/>
  <c r="BD87" i="23"/>
  <c r="AZ87" i="23"/>
  <c r="AV87" i="23"/>
  <c r="AR87" i="23"/>
  <c r="AN87" i="23"/>
  <c r="AJ87" i="23"/>
  <c r="BC87" i="23"/>
  <c r="AX87" i="23"/>
  <c r="AS87" i="23"/>
  <c r="AM87" i="23"/>
  <c r="AY87" i="23"/>
  <c r="AQ87" i="23"/>
  <c r="AK87" i="23"/>
  <c r="BB87" i="23"/>
  <c r="BA87" i="23"/>
  <c r="AT87" i="23"/>
  <c r="AL87" i="23"/>
  <c r="AU87" i="23"/>
  <c r="AP87" i="23"/>
  <c r="AO87" i="23"/>
  <c r="AW87" i="23"/>
  <c r="AI87" i="23"/>
  <c r="BD91" i="23"/>
  <c r="AZ91" i="23"/>
  <c r="AV91" i="23"/>
  <c r="AR91" i="23"/>
  <c r="AN91" i="23"/>
  <c r="AJ91" i="23"/>
  <c r="BC91" i="23"/>
  <c r="AX91" i="23"/>
  <c r="AS91" i="23"/>
  <c r="AM91" i="23"/>
  <c r="BA91" i="23"/>
  <c r="AT91" i="23"/>
  <c r="AL91" i="23"/>
  <c r="AY91" i="23"/>
  <c r="AQ91" i="23"/>
  <c r="AK91" i="23"/>
  <c r="AW91" i="23"/>
  <c r="AP91" i="23"/>
  <c r="AI91" i="23"/>
  <c r="BB91" i="23"/>
  <c r="AU91" i="23"/>
  <c r="AO91" i="23"/>
  <c r="BD95" i="23"/>
  <c r="AZ95" i="23"/>
  <c r="AV95" i="23"/>
  <c r="AR95" i="23"/>
  <c r="AN95" i="23"/>
  <c r="AJ95" i="23"/>
  <c r="BC95" i="23"/>
  <c r="AX95" i="23"/>
  <c r="AS95" i="23"/>
  <c r="AM95" i="23"/>
  <c r="BB95" i="23"/>
  <c r="AU95" i="23"/>
  <c r="AO95" i="23"/>
  <c r="R95" i="23"/>
  <c r="BA95" i="23"/>
  <c r="AT95" i="23"/>
  <c r="AL95" i="23"/>
  <c r="P95" i="23"/>
  <c r="AY95" i="23"/>
  <c r="AQ95" i="23"/>
  <c r="AK95" i="23"/>
  <c r="AW95" i="23"/>
  <c r="AP95" i="23"/>
  <c r="AI95" i="23"/>
  <c r="BD99" i="23"/>
  <c r="AZ99" i="23"/>
  <c r="AV99" i="23"/>
  <c r="AR99" i="23"/>
  <c r="AN99" i="23"/>
  <c r="AJ99" i="23"/>
  <c r="BC99" i="23"/>
  <c r="AX99" i="23"/>
  <c r="AS99" i="23"/>
  <c r="AM99" i="23"/>
  <c r="AW99" i="23"/>
  <c r="AP99" i="23"/>
  <c r="AI99" i="23"/>
  <c r="BB99" i="23"/>
  <c r="AU99" i="23"/>
  <c r="AO99" i="23"/>
  <c r="R99" i="23"/>
  <c r="BA99" i="23"/>
  <c r="AT99" i="23"/>
  <c r="AL99" i="23"/>
  <c r="P99" i="23"/>
  <c r="AY99" i="23"/>
  <c r="AQ99" i="23"/>
  <c r="AK99" i="23"/>
  <c r="BA103" i="23"/>
  <c r="AW103" i="23"/>
  <c r="AS103" i="23"/>
  <c r="AO103" i="23"/>
  <c r="AK103" i="23"/>
  <c r="AZ103" i="23"/>
  <c r="AU103" i="23"/>
  <c r="AP103" i="23"/>
  <c r="AJ103" i="23"/>
  <c r="BC103" i="23"/>
  <c r="AV103" i="23"/>
  <c r="AN103" i="23"/>
  <c r="AX103" i="23"/>
  <c r="AM103" i="23"/>
  <c r="BD103" i="23"/>
  <c r="AT103" i="23"/>
  <c r="AL103" i="23"/>
  <c r="BB103" i="23"/>
  <c r="AR103" i="23"/>
  <c r="AI103" i="23"/>
  <c r="AY103" i="23"/>
  <c r="AQ103" i="23"/>
  <c r="BA107" i="23"/>
  <c r="AW107" i="23"/>
  <c r="AS107" i="23"/>
  <c r="AO107" i="23"/>
  <c r="AK107" i="23"/>
  <c r="AZ107" i="23"/>
  <c r="AU107" i="23"/>
  <c r="AP107" i="23"/>
  <c r="AJ107" i="23"/>
  <c r="BC107" i="23"/>
  <c r="AV107" i="23"/>
  <c r="AN107" i="23"/>
  <c r="BD107" i="23"/>
  <c r="AX107" i="23"/>
  <c r="AQ107" i="23"/>
  <c r="AI107" i="23"/>
  <c r="BB107" i="23"/>
  <c r="AM107" i="23"/>
  <c r="AY107" i="23"/>
  <c r="AL107" i="23"/>
  <c r="AT107" i="23"/>
  <c r="AR107" i="23"/>
  <c r="BA111" i="23"/>
  <c r="AW111" i="23"/>
  <c r="AS111" i="23"/>
  <c r="AO111" i="23"/>
  <c r="AK111" i="23"/>
  <c r="AZ111" i="23"/>
  <c r="AU111" i="23"/>
  <c r="AP111" i="23"/>
  <c r="AJ111" i="23"/>
  <c r="BD111" i="23"/>
  <c r="AX111" i="23"/>
  <c r="AQ111" i="23"/>
  <c r="AI111" i="23"/>
  <c r="BC111" i="23"/>
  <c r="AV111" i="23"/>
  <c r="AN111" i="23"/>
  <c r="AY111" i="23"/>
  <c r="AR111" i="23"/>
  <c r="AL111" i="23"/>
  <c r="AT111" i="23"/>
  <c r="AM111" i="23"/>
  <c r="BB111" i="23"/>
  <c r="BC115" i="23"/>
  <c r="AY115" i="23"/>
  <c r="AU115" i="23"/>
  <c r="AQ115" i="23"/>
  <c r="AM115" i="23"/>
  <c r="AI115" i="23"/>
  <c r="BA115" i="23"/>
  <c r="AW115" i="23"/>
  <c r="AS115" i="23"/>
  <c r="AO115" i="23"/>
  <c r="AK115" i="23"/>
  <c r="AZ115" i="23"/>
  <c r="AR115" i="23"/>
  <c r="AJ115" i="23"/>
  <c r="BD115" i="23"/>
  <c r="AT115" i="23"/>
  <c r="BB115" i="23"/>
  <c r="AP115" i="23"/>
  <c r="AX115" i="23"/>
  <c r="AN115" i="23"/>
  <c r="AV115" i="23"/>
  <c r="AL115" i="23"/>
  <c r="BC119" i="23"/>
  <c r="AY119" i="23"/>
  <c r="AU119" i="23"/>
  <c r="AQ119" i="23"/>
  <c r="AM119" i="23"/>
  <c r="AI119" i="23"/>
  <c r="BB119" i="23"/>
  <c r="AX119" i="23"/>
  <c r="AT119" i="23"/>
  <c r="AP119" i="23"/>
  <c r="AL119" i="23"/>
  <c r="BA119" i="23"/>
  <c r="AW119" i="23"/>
  <c r="AS119" i="23"/>
  <c r="AO119" i="23"/>
  <c r="AK119" i="23"/>
  <c r="AZ119" i="23"/>
  <c r="AJ119" i="23"/>
  <c r="AV119" i="23"/>
  <c r="AR119" i="23"/>
  <c r="AN119" i="23"/>
  <c r="BD119" i="23"/>
  <c r="BC123" i="23"/>
  <c r="AY123" i="23"/>
  <c r="AU123" i="23"/>
  <c r="AQ123" i="23"/>
  <c r="AM123" i="23"/>
  <c r="AI123" i="23"/>
  <c r="BB123" i="23"/>
  <c r="AX123" i="23"/>
  <c r="AT123" i="23"/>
  <c r="AP123" i="23"/>
  <c r="AL123" i="23"/>
  <c r="BA123" i="23"/>
  <c r="AW123" i="23"/>
  <c r="AS123" i="23"/>
  <c r="AO123" i="23"/>
  <c r="AK123" i="23"/>
  <c r="AZ123" i="23"/>
  <c r="AJ123" i="23"/>
  <c r="AR123" i="23"/>
  <c r="AN123" i="23"/>
  <c r="BD123" i="23"/>
  <c r="AV123" i="23"/>
  <c r="BA70" i="23"/>
  <c r="AW70" i="23"/>
  <c r="AS70" i="23"/>
  <c r="AO70" i="23"/>
  <c r="AK70" i="23"/>
  <c r="BC74" i="23"/>
  <c r="AY74" i="23"/>
  <c r="AU74" i="23"/>
  <c r="AQ74" i="23"/>
  <c r="AM74" i="23"/>
  <c r="AI74" i="23"/>
  <c r="AZ74" i="23"/>
  <c r="AT74" i="23"/>
  <c r="AO74" i="23"/>
  <c r="AJ74" i="23"/>
  <c r="BD82" i="23"/>
  <c r="AZ82" i="23"/>
  <c r="AY82" i="23"/>
  <c r="AU82" i="23"/>
  <c r="AQ82" i="23"/>
  <c r="AM82" i="23"/>
  <c r="AI82" i="23"/>
  <c r="AX82" i="23"/>
  <c r="AS82" i="23"/>
  <c r="AN82" i="23"/>
  <c r="BA82" i="23"/>
  <c r="AT82" i="23"/>
  <c r="AO82" i="23"/>
  <c r="AJ82" i="23"/>
  <c r="BD86" i="23"/>
  <c r="AZ86" i="23"/>
  <c r="AV86" i="23"/>
  <c r="AR86" i="23"/>
  <c r="AN86" i="23"/>
  <c r="AJ86" i="23"/>
  <c r="AY86" i="23"/>
  <c r="AT86" i="23"/>
  <c r="AO86" i="23"/>
  <c r="AI86" i="23"/>
  <c r="BA86" i="23"/>
  <c r="AS86" i="23"/>
  <c r="AL86" i="23"/>
  <c r="BB86" i="23"/>
  <c r="AU86" i="23"/>
  <c r="AM86" i="23"/>
  <c r="BD90" i="23"/>
  <c r="AZ90" i="23"/>
  <c r="AV90" i="23"/>
  <c r="AR90" i="23"/>
  <c r="AN90" i="23"/>
  <c r="AJ90" i="23"/>
  <c r="AY90" i="23"/>
  <c r="AT90" i="23"/>
  <c r="AO90" i="23"/>
  <c r="AI90" i="23"/>
  <c r="BB90" i="23"/>
  <c r="AU90" i="23"/>
  <c r="AM90" i="23"/>
  <c r="BA90" i="23"/>
  <c r="AS90" i="23"/>
  <c r="AL90" i="23"/>
  <c r="AX90" i="23"/>
  <c r="AQ90" i="23"/>
  <c r="AK90" i="23"/>
  <c r="BC90" i="23"/>
  <c r="AW90" i="23"/>
  <c r="AP90" i="23"/>
  <c r="BD94" i="23"/>
  <c r="AZ94" i="23"/>
  <c r="AV94" i="23"/>
  <c r="AR94" i="23"/>
  <c r="AN94" i="23"/>
  <c r="AJ94" i="23"/>
  <c r="AY94" i="23"/>
  <c r="AT94" i="23"/>
  <c r="AO94" i="23"/>
  <c r="AI94" i="23"/>
  <c r="R94" i="23"/>
  <c r="BC94" i="23"/>
  <c r="AW94" i="23"/>
  <c r="AP94" i="23"/>
  <c r="BB94" i="23"/>
  <c r="AU94" i="23"/>
  <c r="AM94" i="23"/>
  <c r="BA94" i="23"/>
  <c r="AS94" i="23"/>
  <c r="AL94" i="23"/>
  <c r="P94" i="23"/>
  <c r="AX94" i="23"/>
  <c r="AQ94" i="23"/>
  <c r="AK94" i="23"/>
  <c r="BD98" i="23"/>
  <c r="AZ98" i="23"/>
  <c r="AV98" i="23"/>
  <c r="AR98" i="23"/>
  <c r="AN98" i="23"/>
  <c r="AJ98" i="23"/>
  <c r="AY98" i="23"/>
  <c r="AT98" i="23"/>
  <c r="AO98" i="23"/>
  <c r="AI98" i="23"/>
  <c r="R98" i="23"/>
  <c r="AX98" i="23"/>
  <c r="AQ98" i="23"/>
  <c r="AK98" i="23"/>
  <c r="BC98" i="23"/>
  <c r="AW98" i="23"/>
  <c r="AP98" i="23"/>
  <c r="BB98" i="23"/>
  <c r="AU98" i="23"/>
  <c r="AM98" i="23"/>
  <c r="BA98" i="23"/>
  <c r="AS98" i="23"/>
  <c r="AL98" i="23"/>
  <c r="P98" i="23"/>
  <c r="BA102" i="23"/>
  <c r="AW102" i="23"/>
  <c r="AS102" i="23"/>
  <c r="AO102" i="23"/>
  <c r="AK102" i="23"/>
  <c r="BB102" i="23"/>
  <c r="AV102" i="23"/>
  <c r="AQ102" i="23"/>
  <c r="AL102" i="23"/>
  <c r="BD102" i="23"/>
  <c r="AX102" i="23"/>
  <c r="AP102" i="23"/>
  <c r="AI102" i="23"/>
  <c r="BC102" i="23"/>
  <c r="AT102" i="23"/>
  <c r="AJ102" i="23"/>
  <c r="AZ102" i="23"/>
  <c r="AR102" i="23"/>
  <c r="AY102" i="23"/>
  <c r="AN102" i="23"/>
  <c r="AU102" i="23"/>
  <c r="AM102" i="23"/>
  <c r="BA106" i="23"/>
  <c r="AW106" i="23"/>
  <c r="AS106" i="23"/>
  <c r="AO106" i="23"/>
  <c r="AK106" i="23"/>
  <c r="BB106" i="23"/>
  <c r="AV106" i="23"/>
  <c r="AQ106" i="23"/>
  <c r="AL106" i="23"/>
  <c r="BD106" i="23"/>
  <c r="AX106" i="23"/>
  <c r="AP106" i="23"/>
  <c r="AI106" i="23"/>
  <c r="AY106" i="23"/>
  <c r="AR106" i="23"/>
  <c r="AJ106" i="23"/>
  <c r="BC106" i="23"/>
  <c r="AN106" i="23"/>
  <c r="AZ106" i="23"/>
  <c r="AM106" i="23"/>
  <c r="AU106" i="23"/>
  <c r="AT106" i="23"/>
  <c r="BA110" i="23"/>
  <c r="AW110" i="23"/>
  <c r="AS110" i="23"/>
  <c r="AO110" i="23"/>
  <c r="AK110" i="23"/>
  <c r="BB110" i="23"/>
  <c r="AV110" i="23"/>
  <c r="AQ110" i="23"/>
  <c r="AL110" i="23"/>
  <c r="AY110" i="23"/>
  <c r="AR110" i="23"/>
  <c r="AJ110" i="23"/>
  <c r="BD110" i="23"/>
  <c r="AX110" i="23"/>
  <c r="AP110" i="23"/>
  <c r="AI110" i="23"/>
  <c r="AZ110" i="23"/>
  <c r="AT110" i="23"/>
  <c r="AM110" i="23"/>
  <c r="BC110" i="23"/>
  <c r="AU110" i="23"/>
  <c r="AN110" i="23"/>
  <c r="BC114" i="23"/>
  <c r="AY114" i="23"/>
  <c r="AU114" i="23"/>
  <c r="AQ114" i="23"/>
  <c r="AM114" i="23"/>
  <c r="AI114" i="23"/>
  <c r="BA114" i="23"/>
  <c r="AW114" i="23"/>
  <c r="AS114" i="23"/>
  <c r="AO114" i="23"/>
  <c r="AK114" i="23"/>
  <c r="BD114" i="23"/>
  <c r="AV114" i="23"/>
  <c r="AN114" i="23"/>
  <c r="AT114" i="23"/>
  <c r="AJ114" i="23"/>
  <c r="BB114" i="23"/>
  <c r="AR114" i="23"/>
  <c r="AX114" i="23"/>
  <c r="AL114" i="23"/>
  <c r="AZ114" i="23"/>
  <c r="AP114" i="23"/>
  <c r="BC118" i="23"/>
  <c r="AY118" i="23"/>
  <c r="AU118" i="23"/>
  <c r="AQ118" i="23"/>
  <c r="AM118" i="23"/>
  <c r="AI118" i="23"/>
  <c r="BB118" i="23"/>
  <c r="AX118" i="23"/>
  <c r="AT118" i="23"/>
  <c r="AP118" i="23"/>
  <c r="AL118" i="23"/>
  <c r="BA118" i="23"/>
  <c r="AW118" i="23"/>
  <c r="AS118" i="23"/>
  <c r="AO118" i="23"/>
  <c r="AK118" i="23"/>
  <c r="AV118" i="23"/>
  <c r="AZ118" i="23"/>
  <c r="AR118" i="23"/>
  <c r="AN118" i="23"/>
  <c r="BD118" i="23"/>
  <c r="AJ118" i="23"/>
  <c r="BC122" i="23"/>
  <c r="AY122" i="23"/>
  <c r="AU122" i="23"/>
  <c r="AQ122" i="23"/>
  <c r="AM122" i="23"/>
  <c r="AI122" i="23"/>
  <c r="BB122" i="23"/>
  <c r="AX122" i="23"/>
  <c r="AT122" i="23"/>
  <c r="AP122" i="23"/>
  <c r="AL122" i="23"/>
  <c r="BA122" i="23"/>
  <c r="AW122" i="23"/>
  <c r="AS122" i="23"/>
  <c r="AO122" i="23"/>
  <c r="AK122" i="23"/>
  <c r="AV122" i="23"/>
  <c r="AR122" i="23"/>
  <c r="AN122" i="23"/>
  <c r="BD122" i="23"/>
  <c r="AJ122" i="23"/>
  <c r="AZ122" i="23"/>
  <c r="AM70" i="23"/>
  <c r="AR70" i="23"/>
  <c r="AX70" i="23"/>
  <c r="BC70" i="23"/>
  <c r="AN74" i="23"/>
  <c r="AV74" i="23"/>
  <c r="BB74" i="23"/>
  <c r="AR82" i="23"/>
  <c r="BC82" i="23"/>
  <c r="AK86" i="23"/>
  <c r="AX86" i="23"/>
  <c r="AI70" i="23"/>
  <c r="AN70" i="23"/>
  <c r="AT70" i="23"/>
  <c r="AY70" i="23"/>
  <c r="BD70" i="23"/>
  <c r="AP74" i="23"/>
  <c r="AW74" i="23"/>
  <c r="BD74" i="23"/>
  <c r="AK82" i="23"/>
  <c r="AV82" i="23"/>
  <c r="AP86" i="23"/>
  <c r="BC86" i="23"/>
  <c r="AJ70" i="23"/>
  <c r="AP70" i="23"/>
  <c r="AU70" i="23"/>
  <c r="AZ70" i="23"/>
  <c r="AK74" i="23"/>
  <c r="AR74" i="23"/>
  <c r="AX74" i="23"/>
  <c r="AL82" i="23"/>
  <c r="AW82" i="23"/>
  <c r="AQ86" i="23"/>
  <c r="AL70" i="23"/>
  <c r="AQ70" i="23"/>
  <c r="AV70" i="23"/>
  <c r="BB70" i="23"/>
  <c r="AL74" i="23"/>
  <c r="AS74" i="23"/>
  <c r="BA74" i="23"/>
  <c r="AP82" i="23"/>
  <c r="BB82" i="23"/>
  <c r="AW86" i="23"/>
  <c r="AD53" i="24"/>
  <c r="Z53" i="24"/>
  <c r="AF53" i="24"/>
  <c r="AA53" i="24"/>
  <c r="Y53" i="24"/>
  <c r="AE53" i="24"/>
  <c r="X53" i="24"/>
  <c r="AC53" i="24"/>
  <c r="W53" i="24"/>
  <c r="AB53" i="24"/>
  <c r="AD57" i="24"/>
  <c r="Z57" i="24"/>
  <c r="AF57" i="24"/>
  <c r="AA57" i="24"/>
  <c r="AE57" i="24"/>
  <c r="X57" i="24"/>
  <c r="AC57" i="24"/>
  <c r="W57" i="24"/>
  <c r="AB57" i="24"/>
  <c r="Y57" i="24"/>
  <c r="AD61" i="24"/>
  <c r="Z61" i="24"/>
  <c r="AF61" i="24"/>
  <c r="AA61" i="24"/>
  <c r="AC61" i="24"/>
  <c r="W61" i="24"/>
  <c r="AB61" i="24"/>
  <c r="Y61" i="24"/>
  <c r="AE61" i="24"/>
  <c r="X61" i="24"/>
  <c r="AD65" i="24"/>
  <c r="Z65" i="24"/>
  <c r="AC65" i="24"/>
  <c r="X65" i="24"/>
  <c r="AB65" i="24"/>
  <c r="W65" i="24"/>
  <c r="AF65" i="24"/>
  <c r="AA65" i="24"/>
  <c r="AE65" i="24"/>
  <c r="Y65" i="24"/>
  <c r="AD50" i="24"/>
  <c r="Z50" i="24"/>
  <c r="AB50" i="24"/>
  <c r="W50" i="24"/>
  <c r="AD54" i="24"/>
  <c r="Z54" i="24"/>
  <c r="AB54" i="24"/>
  <c r="W54" i="24"/>
  <c r="AD58" i="24"/>
  <c r="Z58" i="24"/>
  <c r="AB58" i="24"/>
  <c r="W58" i="24"/>
  <c r="AD62" i="24"/>
  <c r="Z62" i="24"/>
  <c r="AE62" i="24"/>
  <c r="Y62" i="24"/>
  <c r="AC62" i="24"/>
  <c r="X62" i="24"/>
  <c r="AB62" i="24"/>
  <c r="W62" i="24"/>
  <c r="AD66" i="24"/>
  <c r="Z66" i="24"/>
  <c r="AF66" i="24"/>
  <c r="AA66" i="24"/>
  <c r="AE66" i="24"/>
  <c r="Y66" i="24"/>
  <c r="AC66" i="24"/>
  <c r="X66" i="24"/>
  <c r="AB66" i="24"/>
  <c r="W66" i="24"/>
  <c r="AD70" i="24"/>
  <c r="Z70" i="24"/>
  <c r="AF70" i="24"/>
  <c r="AA70" i="24"/>
  <c r="AE70" i="24"/>
  <c r="Y70" i="24"/>
  <c r="AC70" i="24"/>
  <c r="X70" i="24"/>
  <c r="AB70" i="24"/>
  <c r="W70" i="24"/>
  <c r="AD74" i="24"/>
  <c r="Z74" i="24"/>
  <c r="AE74" i="24"/>
  <c r="Y74" i="24"/>
  <c r="AC74" i="24"/>
  <c r="W74" i="24"/>
  <c r="AB74" i="24"/>
  <c r="AA74" i="24"/>
  <c r="AF74" i="24"/>
  <c r="X74" i="24"/>
  <c r="AD78" i="24"/>
  <c r="Z78" i="24"/>
  <c r="AE78" i="24"/>
  <c r="Y78" i="24"/>
  <c r="AB78" i="24"/>
  <c r="AA78" i="24"/>
  <c r="AF78" i="24"/>
  <c r="X78" i="24"/>
  <c r="AC78" i="24"/>
  <c r="W78" i="24"/>
  <c r="AD82" i="24"/>
  <c r="Z82" i="24"/>
  <c r="AE82" i="24"/>
  <c r="Y82" i="24"/>
  <c r="AA82" i="24"/>
  <c r="AF82" i="24"/>
  <c r="X82" i="24"/>
  <c r="AC82" i="24"/>
  <c r="W82" i="24"/>
  <c r="AB82" i="24"/>
  <c r="X50" i="24"/>
  <c r="C8" i="26" s="1"/>
  <c r="AE50" i="24"/>
  <c r="Y51" i="24"/>
  <c r="AA52" i="24"/>
  <c r="AC54" i="24"/>
  <c r="W55" i="24"/>
  <c r="X56" i="24"/>
  <c r="AF56" i="24"/>
  <c r="AA58" i="24"/>
  <c r="W60" i="24"/>
  <c r="AC60" i="24"/>
  <c r="X64" i="24"/>
  <c r="AD51" i="24"/>
  <c r="Z51" i="24"/>
  <c r="AC51" i="24"/>
  <c r="X51" i="24"/>
  <c r="AD55" i="24"/>
  <c r="Z55" i="24"/>
  <c r="AC55" i="24"/>
  <c r="X55" i="24"/>
  <c r="AD59" i="24"/>
  <c r="Z59" i="24"/>
  <c r="AC59" i="24"/>
  <c r="X59" i="24"/>
  <c r="AD63" i="24"/>
  <c r="Z63" i="24"/>
  <c r="AF63" i="24"/>
  <c r="AA63" i="24"/>
  <c r="AE63" i="24"/>
  <c r="Y63" i="24"/>
  <c r="AC63" i="24"/>
  <c r="X63" i="24"/>
  <c r="AD67" i="24"/>
  <c r="Z67" i="24"/>
  <c r="AB67" i="24"/>
  <c r="W67" i="24"/>
  <c r="AF67" i="24"/>
  <c r="AA67" i="24"/>
  <c r="AE67" i="24"/>
  <c r="Y67" i="24"/>
  <c r="AC67" i="24"/>
  <c r="X67" i="24"/>
  <c r="AD71" i="24"/>
  <c r="Z71" i="24"/>
  <c r="AB71" i="24"/>
  <c r="W71" i="24"/>
  <c r="AF71" i="24"/>
  <c r="AA71" i="24"/>
  <c r="AE71" i="24"/>
  <c r="Y71" i="24"/>
  <c r="AC71" i="24"/>
  <c r="X71" i="24"/>
  <c r="AD75" i="24"/>
  <c r="Z75" i="24"/>
  <c r="AF75" i="24"/>
  <c r="AA75" i="24"/>
  <c r="AE75" i="24"/>
  <c r="X75" i="24"/>
  <c r="AC75" i="24"/>
  <c r="W75" i="24"/>
  <c r="AB75" i="24"/>
  <c r="Y75" i="24"/>
  <c r="AD79" i="24"/>
  <c r="Z79" i="24"/>
  <c r="AF79" i="24"/>
  <c r="AA79" i="24"/>
  <c r="AC79" i="24"/>
  <c r="W79" i="24"/>
  <c r="AB79" i="24"/>
  <c r="Y79" i="24"/>
  <c r="AE79" i="24"/>
  <c r="X79" i="24"/>
  <c r="AD83" i="24"/>
  <c r="Z83" i="24"/>
  <c r="AF83" i="24"/>
  <c r="AA83" i="24"/>
  <c r="AB83" i="24"/>
  <c r="Y83" i="24"/>
  <c r="AE83" i="24"/>
  <c r="X83" i="24"/>
  <c r="AC83" i="24"/>
  <c r="W83" i="24"/>
  <c r="AF87" i="24"/>
  <c r="AB87" i="24"/>
  <c r="X87" i="24"/>
  <c r="AE87" i="24"/>
  <c r="AD87" i="24"/>
  <c r="Z87" i="24"/>
  <c r="AA87" i="24"/>
  <c r="W87" i="24"/>
  <c r="AC87" i="24"/>
  <c r="Y87" i="24"/>
  <c r="Y50" i="24"/>
  <c r="D8" i="26" s="1"/>
  <c r="AF50" i="24"/>
  <c r="K8" i="26" s="1"/>
  <c r="AA51" i="24"/>
  <c r="F8" i="26" s="1"/>
  <c r="X54" i="24"/>
  <c r="AE54" i="24"/>
  <c r="Y55" i="24"/>
  <c r="AF55" i="24"/>
  <c r="AC58" i="24"/>
  <c r="W59" i="24"/>
  <c r="AE59" i="24"/>
  <c r="X60" i="24"/>
  <c r="AA62" i="24"/>
  <c r="AB63" i="24"/>
  <c r="AD52" i="24"/>
  <c r="Z52" i="24"/>
  <c r="AE52" i="24"/>
  <c r="Y52" i="24"/>
  <c r="AD56" i="24"/>
  <c r="Z56" i="24"/>
  <c r="AE56" i="24"/>
  <c r="Y56" i="24"/>
  <c r="AD60" i="24"/>
  <c r="Z60" i="24"/>
  <c r="AE60" i="24"/>
  <c r="Y60" i="24"/>
  <c r="AD64" i="24"/>
  <c r="Z64" i="24"/>
  <c r="AB64" i="24"/>
  <c r="W64" i="24"/>
  <c r="AF64" i="24"/>
  <c r="AA64" i="24"/>
  <c r="AE64" i="24"/>
  <c r="Y64" i="24"/>
  <c r="AD68" i="24"/>
  <c r="Z68" i="24"/>
  <c r="AC68" i="24"/>
  <c r="X68" i="24"/>
  <c r="AB68" i="24"/>
  <c r="W68" i="24"/>
  <c r="AF68" i="24"/>
  <c r="AA68" i="24"/>
  <c r="AE68" i="24"/>
  <c r="Y68" i="24"/>
  <c r="AD72" i="24"/>
  <c r="Z72" i="24"/>
  <c r="AC72" i="24"/>
  <c r="X72" i="24"/>
  <c r="AB72" i="24"/>
  <c r="W72" i="24"/>
  <c r="AF72" i="24"/>
  <c r="AA72" i="24"/>
  <c r="AE72" i="24"/>
  <c r="Y72" i="24"/>
  <c r="AD76" i="24"/>
  <c r="Z76" i="24"/>
  <c r="AB76" i="24"/>
  <c r="W76" i="24"/>
  <c r="AF76" i="24"/>
  <c r="Y76" i="24"/>
  <c r="AE76" i="24"/>
  <c r="X76" i="24"/>
  <c r="AC76" i="24"/>
  <c r="AA76" i="24"/>
  <c r="AD84" i="24"/>
  <c r="Z84" i="24"/>
  <c r="AB84" i="24"/>
  <c r="W84" i="24"/>
  <c r="AC84" i="24"/>
  <c r="AA84" i="24"/>
  <c r="AF84" i="24"/>
  <c r="Y84" i="24"/>
  <c r="AE84" i="24"/>
  <c r="X84" i="24"/>
  <c r="AF88" i="24"/>
  <c r="AB88" i="24"/>
  <c r="X88" i="24"/>
  <c r="AE88" i="24"/>
  <c r="AA88" i="24"/>
  <c r="W88" i="24"/>
  <c r="AD88" i="24"/>
  <c r="Z88" i="24"/>
  <c r="AC88" i="24"/>
  <c r="Y88" i="24"/>
  <c r="AA50" i="24"/>
  <c r="AB51" i="24"/>
  <c r="W52" i="24"/>
  <c r="AC52" i="24"/>
  <c r="Y54" i="24"/>
  <c r="AF54" i="24"/>
  <c r="AA55" i="24"/>
  <c r="AB56" i="24"/>
  <c r="X58" i="24"/>
  <c r="AE58" i="24"/>
  <c r="Y59" i="24"/>
  <c r="AF59" i="24"/>
  <c r="AA60" i="24"/>
  <c r="AF62" i="24"/>
  <c r="AD69" i="24"/>
  <c r="Z69" i="24"/>
  <c r="AE69" i="24"/>
  <c r="Y69" i="24"/>
  <c r="AC69" i="24"/>
  <c r="X69" i="24"/>
  <c r="AB69" i="24"/>
  <c r="W69" i="24"/>
  <c r="AF69" i="24"/>
  <c r="AA69" i="24"/>
  <c r="AD73" i="24"/>
  <c r="Z73" i="24"/>
  <c r="AC73" i="24"/>
  <c r="X73" i="24"/>
  <c r="AB73" i="24"/>
  <c r="AA73" i="24"/>
  <c r="AF73" i="24"/>
  <c r="Y73" i="24"/>
  <c r="AE73" i="24"/>
  <c r="W73" i="24"/>
  <c r="AD77" i="24"/>
  <c r="Z77" i="24"/>
  <c r="AC77" i="24"/>
  <c r="X77" i="24"/>
  <c r="AA77" i="24"/>
  <c r="AF77" i="24"/>
  <c r="Y77" i="24"/>
  <c r="AE77" i="24"/>
  <c r="W77" i="24"/>
  <c r="AB77" i="24"/>
  <c r="AD81" i="24"/>
  <c r="Z81" i="24"/>
  <c r="AC81" i="24"/>
  <c r="X81" i="24"/>
  <c r="AF81" i="24"/>
  <c r="Y81" i="24"/>
  <c r="AE81" i="24"/>
  <c r="W81" i="24"/>
  <c r="AB81" i="24"/>
  <c r="AA81" i="24"/>
  <c r="AC50" i="24"/>
  <c r="W51" i="24"/>
  <c r="B8" i="26" s="1"/>
  <c r="AE51" i="24"/>
  <c r="J8" i="26" s="1"/>
  <c r="X52" i="24"/>
  <c r="AF52" i="24"/>
  <c r="AA54" i="24"/>
  <c r="AB55" i="24"/>
  <c r="W56" i="24"/>
  <c r="AC56" i="24"/>
  <c r="Y58" i="24"/>
  <c r="AF58" i="24"/>
  <c r="AA59" i="24"/>
  <c r="AB60" i="24"/>
  <c r="E8" i="26"/>
  <c r="G8" i="26"/>
  <c r="I8" i="26"/>
  <c r="H8" i="26"/>
  <c r="Z3" i="21"/>
  <c r="AH3" i="21" s="1"/>
  <c r="Z6" i="21"/>
  <c r="AH6" i="21" s="1"/>
  <c r="AJ13" i="21"/>
  <c r="AJ3" i="21"/>
  <c r="Z8" i="21"/>
  <c r="AH8" i="21" s="1"/>
  <c r="Z4" i="21"/>
  <c r="AH4" i="21" s="1"/>
  <c r="Z13" i="21"/>
  <c r="AH13" i="21" s="1"/>
  <c r="O2" i="21"/>
  <c r="W5" i="21" s="1"/>
  <c r="Z5" i="21" s="1"/>
  <c r="X9" i="21"/>
  <c r="AF9" i="21" s="1"/>
  <c r="M906" i="21"/>
  <c r="M1036" i="21"/>
  <c r="U11" i="21" s="1"/>
  <c r="AI11" i="21" s="1"/>
  <c r="M1203" i="21"/>
  <c r="U12" i="21" s="1"/>
  <c r="AI12" i="21" s="1"/>
  <c r="AF6" i="21"/>
  <c r="AJ6" i="21"/>
  <c r="X8" i="21"/>
  <c r="AF8" i="21" s="1"/>
  <c r="AT8" i="16"/>
  <c r="AJ9" i="16"/>
  <c r="AJ10" i="16" s="1"/>
  <c r="AT6" i="16"/>
  <c r="AT9" i="16" s="1"/>
  <c r="AC125" i="17"/>
  <c r="AC129" i="17"/>
  <c r="AC133" i="17"/>
  <c r="AC137" i="17"/>
  <c r="AC141" i="17"/>
  <c r="AC145" i="17"/>
  <c r="AC160" i="17"/>
  <c r="AC168" i="17"/>
  <c r="AJ8" i="16"/>
  <c r="AO8" i="16"/>
  <c r="AC5" i="17"/>
  <c r="AC6" i="17"/>
  <c r="AC13" i="17"/>
  <c r="AC14" i="17"/>
  <c r="AC18" i="17"/>
  <c r="AC22" i="17"/>
  <c r="AC26" i="17"/>
  <c r="AC33" i="17"/>
  <c r="AC34" i="17"/>
  <c r="AC171" i="17"/>
  <c r="AI8" i="17" s="1"/>
  <c r="AC175" i="17"/>
  <c r="AC179" i="17"/>
  <c r="AC183" i="17"/>
  <c r="AC187" i="17"/>
  <c r="AC191" i="17"/>
  <c r="AC195" i="17"/>
  <c r="AC199" i="17"/>
  <c r="AC203" i="17"/>
  <c r="AC207" i="17"/>
  <c r="AC211" i="17"/>
  <c r="AC215" i="17"/>
  <c r="AC219" i="17"/>
  <c r="AC223" i="17"/>
  <c r="AC227" i="17"/>
  <c r="AC231" i="17"/>
  <c r="AC235" i="17"/>
  <c r="AC239" i="17"/>
  <c r="AC243" i="17"/>
  <c r="AC247" i="17"/>
  <c r="AC251" i="17"/>
  <c r="AC255" i="17"/>
  <c r="AC259" i="17"/>
  <c r="AC263" i="17"/>
  <c r="AC267" i="17"/>
  <c r="AC271" i="17"/>
  <c r="AC275" i="17"/>
  <c r="AC279" i="17"/>
  <c r="AC283" i="17"/>
  <c r="AC287" i="17"/>
  <c r="AC291" i="17"/>
  <c r="AC295" i="17"/>
  <c r="AC299" i="17"/>
  <c r="AC303" i="17"/>
  <c r="AC307" i="17"/>
  <c r="AC311" i="17"/>
  <c r="AC315" i="17"/>
  <c r="AC319" i="17"/>
  <c r="AC323" i="17"/>
  <c r="AC327" i="17"/>
  <c r="AC331" i="17"/>
  <c r="AC335" i="17"/>
  <c r="AC339" i="17"/>
  <c r="AC343" i="17"/>
  <c r="AC347" i="17"/>
  <c r="AC351" i="17"/>
  <c r="AC355" i="17"/>
  <c r="AC359" i="17"/>
  <c r="AC363" i="17"/>
  <c r="AC367" i="17"/>
  <c r="AC371" i="17"/>
  <c r="AC375" i="17"/>
  <c r="AC379" i="17"/>
  <c r="AC383" i="17"/>
  <c r="AC387" i="17"/>
  <c r="AC391" i="17"/>
  <c r="AC395" i="17"/>
  <c r="AC399" i="17"/>
  <c r="AC403" i="17"/>
  <c r="AC407" i="17"/>
  <c r="AC411" i="17"/>
  <c r="AC415" i="17"/>
  <c r="AC419" i="17"/>
  <c r="AC423" i="17"/>
  <c r="AC427" i="17"/>
  <c r="AC431" i="17"/>
  <c r="AC435" i="17"/>
  <c r="AC4" i="17"/>
  <c r="AI2" i="17" s="1"/>
  <c r="AC8" i="17"/>
  <c r="AC12" i="17"/>
  <c r="AC28" i="17"/>
  <c r="AC32" i="17"/>
  <c r="AC36" i="17"/>
  <c r="AC172" i="17"/>
  <c r="AC176" i="17"/>
  <c r="AC180" i="17"/>
  <c r="AC184" i="17"/>
  <c r="AC188" i="17"/>
  <c r="AC192" i="17"/>
  <c r="AC196" i="17"/>
  <c r="AC200" i="17"/>
  <c r="AC204" i="17"/>
  <c r="AC208" i="17"/>
  <c r="AC212" i="17"/>
  <c r="AC216" i="17"/>
  <c r="AC220" i="17"/>
  <c r="AC224" i="17"/>
  <c r="AC228" i="17"/>
  <c r="AC232" i="17"/>
  <c r="AC236" i="17"/>
  <c r="AC240" i="17"/>
  <c r="AC244" i="17"/>
  <c r="AC248" i="17"/>
  <c r="AC252" i="17"/>
  <c r="AC256" i="17"/>
  <c r="AC260" i="17"/>
  <c r="AC264" i="17"/>
  <c r="AC268" i="17"/>
  <c r="AC272" i="17"/>
  <c r="AC276" i="17"/>
  <c r="AC280" i="17"/>
  <c r="AC284" i="17"/>
  <c r="AC288" i="17"/>
  <c r="AC292" i="17"/>
  <c r="AC296" i="17"/>
  <c r="AC300" i="17"/>
  <c r="AC304" i="17"/>
  <c r="AC308" i="17"/>
  <c r="AC312" i="17"/>
  <c r="AC316" i="17"/>
  <c r="AC320" i="17"/>
  <c r="AC324" i="17"/>
  <c r="AC328" i="17"/>
  <c r="AC332" i="17"/>
  <c r="AC336" i="17"/>
  <c r="AC340" i="17"/>
  <c r="AC344" i="17"/>
  <c r="AC348" i="17"/>
  <c r="AC352" i="17"/>
  <c r="AC356" i="17"/>
  <c r="AC360" i="17"/>
  <c r="AC364" i="17"/>
  <c r="AC368" i="17"/>
  <c r="AC372" i="17"/>
  <c r="AC376" i="17"/>
  <c r="AC380" i="17"/>
  <c r="AC384" i="17"/>
  <c r="AC388" i="17"/>
  <c r="AC392" i="17"/>
  <c r="AC396" i="17"/>
  <c r="AC400" i="17"/>
  <c r="AC404" i="17"/>
  <c r="AC408" i="17"/>
  <c r="AC412" i="17"/>
  <c r="AC416" i="17"/>
  <c r="AC420" i="17"/>
  <c r="AC424" i="17"/>
  <c r="AC428" i="17"/>
  <c r="AC432" i="17"/>
  <c r="AC436" i="17"/>
  <c r="AQ2" i="16"/>
  <c r="AO9" i="16"/>
  <c r="AC277" i="17"/>
  <c r="AC281" i="17"/>
  <c r="AC285" i="17"/>
  <c r="AC289" i="17"/>
  <c r="AC293" i="17"/>
  <c r="AC297" i="17"/>
  <c r="AC301" i="17"/>
  <c r="AC305" i="17"/>
  <c r="AC345" i="17"/>
  <c r="AC349" i="17"/>
  <c r="AC353" i="17"/>
  <c r="AC357" i="17"/>
  <c r="AC361" i="17"/>
  <c r="AC365" i="17"/>
  <c r="AC369" i="17"/>
  <c r="AC373" i="17"/>
  <c r="AC377" i="17"/>
  <c r="AI7" i="17" s="1"/>
  <c r="AC381" i="17"/>
  <c r="AC385" i="17"/>
  <c r="AC389" i="17"/>
  <c r="AC393" i="17"/>
  <c r="AC397" i="17"/>
  <c r="AC401" i="17"/>
  <c r="AC405" i="17"/>
  <c r="AC409" i="17"/>
  <c r="AC413" i="17"/>
  <c r="AC417" i="17"/>
  <c r="AC421" i="17"/>
  <c r="AC425" i="17"/>
  <c r="AC429" i="17"/>
  <c r="AC433" i="17"/>
  <c r="AC437" i="17"/>
  <c r="AC234" i="17"/>
  <c r="AC238" i="17"/>
  <c r="AC242" i="17"/>
  <c r="AC246" i="17"/>
  <c r="AC250" i="17"/>
  <c r="AC254" i="17"/>
  <c r="AC258" i="17"/>
  <c r="AC262" i="17"/>
  <c r="AC266" i="17"/>
  <c r="AC270" i="17"/>
  <c r="AC274" i="17"/>
  <c r="AC278" i="17"/>
  <c r="AC282" i="17"/>
  <c r="AC286" i="17"/>
  <c r="AC290" i="17"/>
  <c r="AC294" i="17"/>
  <c r="AC298" i="17"/>
  <c r="AC302" i="17"/>
  <c r="AC306" i="17"/>
  <c r="AC346" i="17"/>
  <c r="AC350" i="17"/>
  <c r="AC354" i="17"/>
  <c r="AC358" i="17"/>
  <c r="AC362" i="17"/>
  <c r="AC366" i="17"/>
  <c r="AC370" i="17"/>
  <c r="AC374" i="17"/>
  <c r="AC378" i="17"/>
  <c r="AC382" i="17"/>
  <c r="AC386" i="17"/>
  <c r="AC390" i="17"/>
  <c r="AC394" i="17"/>
  <c r="AC398" i="17"/>
  <c r="AC402" i="17"/>
  <c r="AC406" i="17"/>
  <c r="AC410" i="17"/>
  <c r="AC414" i="17"/>
  <c r="AC418" i="17"/>
  <c r="AC422" i="17"/>
  <c r="AC426" i="17"/>
  <c r="AC430" i="17"/>
  <c r="AC434" i="17"/>
  <c r="AC438" i="17"/>
  <c r="AD64" i="8"/>
  <c r="AD64" i="9"/>
  <c r="AD64" i="7"/>
  <c r="AG64" i="9"/>
  <c r="AG64" i="7"/>
  <c r="AG64" i="8"/>
  <c r="AB64" i="8"/>
  <c r="AB64" i="9"/>
  <c r="AB64" i="7"/>
  <c r="AJ64" i="8"/>
  <c r="AJ64" i="7"/>
  <c r="AJ64" i="9"/>
  <c r="AH64" i="8"/>
  <c r="AH64" i="7"/>
  <c r="AH64" i="9"/>
  <c r="W64" i="9"/>
  <c r="W64" i="8"/>
  <c r="W68" i="8" s="1"/>
  <c r="W64" i="7"/>
  <c r="AI64" i="9"/>
  <c r="AI64" i="8"/>
  <c r="AI64" i="7"/>
  <c r="AB66" i="8"/>
  <c r="AB66" i="9"/>
  <c r="X49" i="13"/>
  <c r="X49" i="12"/>
  <c r="X49" i="11"/>
  <c r="X49" i="10"/>
  <c r="AA66" i="9"/>
  <c r="AA66" i="8"/>
  <c r="M64" i="9"/>
  <c r="M64" i="7"/>
  <c r="M64" i="8"/>
  <c r="M68" i="8" s="1"/>
  <c r="R64" i="8"/>
  <c r="R68" i="8" s="1"/>
  <c r="R64" i="9"/>
  <c r="L64" i="8"/>
  <c r="L68" i="8" s="1"/>
  <c r="L64" i="9"/>
  <c r="L64" i="7"/>
  <c r="Q64" i="9"/>
  <c r="Q64" i="7"/>
  <c r="AB68" i="6"/>
  <c r="AH68" i="6"/>
  <c r="AG66" i="7"/>
  <c r="R64" i="7"/>
  <c r="AE64" i="9"/>
  <c r="AE64" i="8"/>
  <c r="AE64" i="7"/>
  <c r="AB66" i="7"/>
  <c r="AJ66" i="7"/>
  <c r="AI65" i="9"/>
  <c r="P64" i="8"/>
  <c r="P68" i="8" s="1"/>
  <c r="P64" i="9"/>
  <c r="P64" i="7"/>
  <c r="U64" i="9"/>
  <c r="U64" i="7"/>
  <c r="U64" i="8"/>
  <c r="V68" i="6"/>
  <c r="X64" i="8"/>
  <c r="X68" i="8" s="1"/>
  <c r="X64" i="9"/>
  <c r="X64" i="7"/>
  <c r="AA68" i="6"/>
  <c r="AC64" i="9"/>
  <c r="AC64" i="7"/>
  <c r="AC64" i="8"/>
  <c r="AC68" i="8" s="1"/>
  <c r="AD67" i="6"/>
  <c r="AF64" i="8"/>
  <c r="AF64" i="9"/>
  <c r="AF64" i="7"/>
  <c r="Z64" i="8"/>
  <c r="Z68" i="8" s="1"/>
  <c r="Z5" i="9" s="1"/>
  <c r="Z64" i="9"/>
  <c r="Z64" i="7"/>
  <c r="AJ66" i="8"/>
  <c r="AK64" i="9"/>
  <c r="AK64" i="7"/>
  <c r="AK64" i="8"/>
  <c r="AK68" i="8" s="1"/>
  <c r="AG66" i="9"/>
  <c r="AG66" i="8"/>
  <c r="V47" i="13"/>
  <c r="V47" i="10"/>
  <c r="V47" i="12"/>
  <c r="V47" i="11"/>
  <c r="Z48" i="13"/>
  <c r="Z48" i="12"/>
  <c r="Z48" i="10"/>
  <c r="Z48" i="11"/>
  <c r="U66" i="9"/>
  <c r="U66" i="8"/>
  <c r="F40" i="5"/>
  <c r="T49" i="13"/>
  <c r="T49" i="12"/>
  <c r="T49" i="11"/>
  <c r="T49" i="10"/>
  <c r="AH65" i="9"/>
  <c r="AH65" i="8"/>
  <c r="F28" i="5"/>
  <c r="AI66" i="8"/>
  <c r="AI66" i="9"/>
  <c r="D44" i="5"/>
  <c r="Y47" i="13"/>
  <c r="Y47" i="11"/>
  <c r="Y47" i="12"/>
  <c r="Y47" i="10"/>
  <c r="AD65" i="9"/>
  <c r="AD65" i="8"/>
  <c r="D28" i="5"/>
  <c r="AL66" i="6" s="1"/>
  <c r="V48" i="13"/>
  <c r="V48" i="11"/>
  <c r="V48" i="10"/>
  <c r="V48" i="12"/>
  <c r="Z49" i="13"/>
  <c r="Z49" i="10"/>
  <c r="Z49" i="11"/>
  <c r="Z49" i="12"/>
  <c r="V66" i="9"/>
  <c r="V66" i="8"/>
  <c r="AH66" i="9"/>
  <c r="AH66" i="8"/>
  <c r="Y48" i="13"/>
  <c r="Y48" i="11"/>
  <c r="Y48" i="10"/>
  <c r="Y48" i="12"/>
  <c r="AB65" i="8"/>
  <c r="AB65" i="9"/>
  <c r="AD66" i="9"/>
  <c r="AD66" i="8"/>
  <c r="E28" i="5"/>
  <c r="X47" i="13"/>
  <c r="X47" i="12"/>
  <c r="X47" i="11"/>
  <c r="X47" i="10"/>
  <c r="F36" i="5"/>
  <c r="Q49" i="13"/>
  <c r="Q49" i="11"/>
  <c r="Q49" i="12"/>
  <c r="Q49" i="10"/>
  <c r="Z66" i="9"/>
  <c r="Z66" i="8"/>
  <c r="AJ65" i="9"/>
  <c r="AJ65" i="8"/>
  <c r="Y49" i="13"/>
  <c r="Y49" i="11"/>
  <c r="Y49" i="10"/>
  <c r="Y49" i="12"/>
  <c r="O64" i="9"/>
  <c r="O64" i="8"/>
  <c r="O68" i="8" s="1"/>
  <c r="O64" i="7"/>
  <c r="S64" i="9"/>
  <c r="S64" i="8"/>
  <c r="S64" i="7"/>
  <c r="AD68" i="6"/>
  <c r="AI67" i="6"/>
  <c r="AJ68" i="6"/>
  <c r="AA64" i="9"/>
  <c r="AA64" i="8"/>
  <c r="AA68" i="8" s="1"/>
  <c r="AA53" i="9" s="1"/>
  <c r="AA64" i="7"/>
  <c r="AI65" i="7"/>
  <c r="AA66" i="7"/>
  <c r="AI66" i="7"/>
  <c r="AA58" i="9"/>
  <c r="AA27" i="9"/>
  <c r="AA6" i="9"/>
  <c r="Z7" i="9"/>
  <c r="Z56" i="9"/>
  <c r="Z50" i="9"/>
  <c r="Z41" i="9"/>
  <c r="Z18" i="9"/>
  <c r="Z11" i="9"/>
  <c r="Z10" i="9"/>
  <c r="M73" i="6"/>
  <c r="M77" i="6"/>
  <c r="M78" i="6"/>
  <c r="M80" i="6"/>
  <c r="AH5" i="21" l="1"/>
  <c r="I9" i="23"/>
  <c r="I9" i="9"/>
  <c r="I9" i="14"/>
  <c r="I9" i="7"/>
  <c r="I9" i="8"/>
  <c r="I9" i="6"/>
  <c r="I18" i="23"/>
  <c r="I18" i="8"/>
  <c r="I18" i="6"/>
  <c r="I18" i="14"/>
  <c r="I18" i="7"/>
  <c r="I18" i="9"/>
  <c r="AI5" i="17"/>
  <c r="U10" i="21"/>
  <c r="AI10" i="21" s="1"/>
  <c r="P13" i="5"/>
  <c r="P16" i="5" s="1"/>
  <c r="M75" i="6"/>
  <c r="M79" i="6"/>
  <c r="P12" i="5"/>
  <c r="P15" i="5" s="1"/>
  <c r="I35" i="11"/>
  <c r="I35" i="10"/>
  <c r="I35" i="12"/>
  <c r="I35" i="24"/>
  <c r="I35" i="13"/>
  <c r="AI6" i="17"/>
  <c r="I16" i="23"/>
  <c r="I16" i="8"/>
  <c r="I16" i="9"/>
  <c r="I16" i="14"/>
  <c r="I16" i="7"/>
  <c r="I16" i="6"/>
  <c r="Z30" i="9"/>
  <c r="I44" i="24"/>
  <c r="I44" i="12"/>
  <c r="I44" i="13"/>
  <c r="I44" i="10"/>
  <c r="I44" i="11"/>
  <c r="Z29" i="9"/>
  <c r="R10" i="21"/>
  <c r="X10" i="21" s="1"/>
  <c r="AF10" i="21" s="1"/>
  <c r="I41" i="24"/>
  <c r="I41" i="10"/>
  <c r="I41" i="13"/>
  <c r="I41" i="11"/>
  <c r="I41" i="12"/>
  <c r="W50" i="10"/>
  <c r="I40" i="24"/>
  <c r="I40" i="10"/>
  <c r="I40" i="12"/>
  <c r="I40" i="13"/>
  <c r="I40" i="11"/>
  <c r="AA46" i="10"/>
  <c r="M74" i="6"/>
  <c r="I11" i="23"/>
  <c r="I11" i="7"/>
  <c r="I11" i="8"/>
  <c r="I11" i="6"/>
  <c r="I11" i="9"/>
  <c r="I11" i="14"/>
  <c r="AA9" i="9"/>
  <c r="AA34" i="9"/>
  <c r="AA13" i="9"/>
  <c r="AA39" i="9"/>
  <c r="AA17" i="9"/>
  <c r="AA55" i="9"/>
  <c r="AA22" i="9"/>
  <c r="AA10" i="9"/>
  <c r="AA11" i="9"/>
  <c r="AA35" i="9"/>
  <c r="AA30" i="9"/>
  <c r="AA46" i="9"/>
  <c r="AA51" i="9"/>
  <c r="AA59" i="9"/>
  <c r="AA7" i="9"/>
  <c r="AA14" i="9"/>
  <c r="AA21" i="9"/>
  <c r="AA20" i="9"/>
  <c r="AA37" i="9"/>
  <c r="AA40" i="9"/>
  <c r="AA43" i="9"/>
  <c r="AA54" i="9"/>
  <c r="AA12" i="9"/>
  <c r="AA8" i="9"/>
  <c r="AA23" i="9"/>
  <c r="AA29" i="9"/>
  <c r="AA26" i="9"/>
  <c r="AA44" i="9"/>
  <c r="AA47" i="9"/>
  <c r="AA50" i="9"/>
  <c r="Z26" i="9"/>
  <c r="Z40" i="9"/>
  <c r="AI68" i="8"/>
  <c r="Z15" i="9"/>
  <c r="Z39" i="9"/>
  <c r="Z51" i="9"/>
  <c r="Z9" i="9"/>
  <c r="Z16" i="9"/>
  <c r="Z63" i="9" s="1"/>
  <c r="Z17" i="9"/>
  <c r="Z6" i="9"/>
  <c r="Z20" i="9"/>
  <c r="Z31" i="9"/>
  <c r="Z33" i="9"/>
  <c r="Z32" i="9"/>
  <c r="Z44" i="9"/>
  <c r="Z46" i="9"/>
  <c r="Z43" i="9"/>
  <c r="Z59" i="9"/>
  <c r="Z55" i="9"/>
  <c r="Z58" i="9"/>
  <c r="AA5" i="9"/>
  <c r="AA18" i="9"/>
  <c r="AA19" i="9"/>
  <c r="AA16" i="9"/>
  <c r="AA15" i="9"/>
  <c r="AA31" i="9"/>
  <c r="AA33" i="9"/>
  <c r="AA28" i="9"/>
  <c r="AA36" i="9"/>
  <c r="AA38" i="9"/>
  <c r="AA41" i="9"/>
  <c r="AA49" i="9"/>
  <c r="AA60" i="9"/>
  <c r="AA56" i="9"/>
  <c r="AA61" i="9"/>
  <c r="Z14" i="9"/>
  <c r="Z21" i="9"/>
  <c r="Z28" i="9"/>
  <c r="Z8" i="9"/>
  <c r="Z22" i="9"/>
  <c r="Z35" i="9"/>
  <c r="Z37" i="9"/>
  <c r="Z42" i="9"/>
  <c r="Z47" i="9"/>
  <c r="Z34" i="9"/>
  <c r="Z57" i="9"/>
  <c r="Z53" i="9"/>
  <c r="Z52" i="9"/>
  <c r="Z60" i="9"/>
  <c r="Y51" i="12"/>
  <c r="Z19" i="9"/>
  <c r="Z25" i="9"/>
  <c r="Z12" i="9"/>
  <c r="Z13" i="9"/>
  <c r="Z23" i="9"/>
  <c r="Z27" i="9"/>
  <c r="Z24" i="9"/>
  <c r="Z45" i="9"/>
  <c r="Z38" i="9"/>
  <c r="Z36" i="9"/>
  <c r="Z48" i="9"/>
  <c r="Z49" i="9"/>
  <c r="Z54" i="9"/>
  <c r="Z61" i="9"/>
  <c r="AA25" i="9"/>
  <c r="AA24" i="9"/>
  <c r="AA32" i="9"/>
  <c r="AA42" i="9"/>
  <c r="AA48" i="9"/>
  <c r="AA45" i="9"/>
  <c r="AA52" i="9"/>
  <c r="AA57" i="9"/>
  <c r="J10" i="26"/>
  <c r="B10" i="26"/>
  <c r="C10" i="26"/>
  <c r="G10" i="26"/>
  <c r="H10" i="26"/>
  <c r="F10" i="26"/>
  <c r="K10" i="26"/>
  <c r="E10" i="26"/>
  <c r="L8" i="26"/>
  <c r="D10" i="26"/>
  <c r="I10" i="26"/>
  <c r="X12" i="21"/>
  <c r="AF12" i="21" s="1"/>
  <c r="X11" i="21"/>
  <c r="AF11" i="21" s="1"/>
  <c r="AT10" i="16"/>
  <c r="AO10" i="16"/>
  <c r="R49" i="13"/>
  <c r="R49" i="12"/>
  <c r="R49" i="10"/>
  <c r="R49" i="11"/>
  <c r="AL66" i="9"/>
  <c r="AL66" i="8"/>
  <c r="AL66" i="7"/>
  <c r="AL68" i="6"/>
  <c r="E36" i="5"/>
  <c r="Q48" i="13"/>
  <c r="Q48" i="12"/>
  <c r="Q48" i="11"/>
  <c r="Q48" i="10"/>
  <c r="Q47" i="13"/>
  <c r="Q47" i="12"/>
  <c r="Q51" i="12" s="1"/>
  <c r="Q50" i="12" s="1"/>
  <c r="Q47" i="11"/>
  <c r="Q51" i="11" s="1"/>
  <c r="Q50" i="11" s="1"/>
  <c r="Q47" i="10"/>
  <c r="D36" i="5"/>
  <c r="AL65" i="9"/>
  <c r="AL65" i="8"/>
  <c r="AL65" i="7"/>
  <c r="AL67" i="6"/>
  <c r="Z47" i="13"/>
  <c r="Z47" i="12"/>
  <c r="Z47" i="11"/>
  <c r="Z47" i="10"/>
  <c r="U68" i="8"/>
  <c r="AL64" i="8"/>
  <c r="AL64" i="7"/>
  <c r="AL64" i="9"/>
  <c r="AH68" i="8"/>
  <c r="AJ68" i="8"/>
  <c r="Y51" i="11"/>
  <c r="V49" i="13"/>
  <c r="V49" i="12"/>
  <c r="V49" i="10"/>
  <c r="V49" i="11"/>
  <c r="AA63" i="9" l="1"/>
  <c r="AB73" i="23"/>
  <c r="AO73" i="23"/>
  <c r="BB73" i="23"/>
  <c r="AI73" i="23"/>
  <c r="AT73" i="23"/>
  <c r="BC73" i="23"/>
  <c r="AN73" i="23"/>
  <c r="AY73" i="23"/>
  <c r="AZ73" i="23"/>
  <c r="AU73" i="23"/>
  <c r="AS73" i="23"/>
  <c r="AQ73" i="23"/>
  <c r="AL73" i="23"/>
  <c r="AM73" i="23"/>
  <c r="AX73" i="23"/>
  <c r="BA73" i="23"/>
  <c r="AR73" i="23"/>
  <c r="AV73" i="23"/>
  <c r="AJ73" i="23"/>
  <c r="AP73" i="23"/>
  <c r="BD73" i="23"/>
  <c r="AK73" i="23"/>
  <c r="AW73" i="23"/>
  <c r="M81" i="6"/>
  <c r="AE86" i="24"/>
  <c r="Y86" i="24"/>
  <c r="X86" i="24"/>
  <c r="AC86" i="24"/>
  <c r="W86" i="24"/>
  <c r="AB86" i="24"/>
  <c r="AA86" i="24"/>
  <c r="AF86" i="24"/>
  <c r="AD86" i="24"/>
  <c r="Z86" i="24"/>
  <c r="AE63" i="7"/>
  <c r="AA63" i="7"/>
  <c r="AA68" i="7" s="1"/>
  <c r="Z63" i="7"/>
  <c r="Z68" i="7" s="1"/>
  <c r="AG63" i="7"/>
  <c r="AF63" i="7"/>
  <c r="AQ78" i="23"/>
  <c r="AX78" i="23"/>
  <c r="AL78" i="23"/>
  <c r="AM78" i="23"/>
  <c r="AS78" i="23"/>
  <c r="AN78" i="23"/>
  <c r="AI78" i="23"/>
  <c r="BA78" i="23"/>
  <c r="AV78" i="23"/>
  <c r="BB78" i="23"/>
  <c r="AZ78" i="23"/>
  <c r="AT78" i="23"/>
  <c r="AO78" i="23"/>
  <c r="AJ78" i="23"/>
  <c r="AP78" i="23"/>
  <c r="AW78" i="23"/>
  <c r="BD78" i="23"/>
  <c r="BC78" i="23"/>
  <c r="AB78" i="23"/>
  <c r="AY78" i="23"/>
  <c r="AK78" i="23"/>
  <c r="AU78" i="23"/>
  <c r="AR78" i="23"/>
  <c r="AP71" i="23"/>
  <c r="AV71" i="23"/>
  <c r="AJ71" i="23"/>
  <c r="AQ71" i="23"/>
  <c r="BD71" i="23"/>
  <c r="AL71" i="23"/>
  <c r="AY71" i="23"/>
  <c r="BA71" i="23"/>
  <c r="AT71" i="23"/>
  <c r="AW71" i="23"/>
  <c r="AN71" i="23"/>
  <c r="AS71" i="23"/>
  <c r="AI71" i="23"/>
  <c r="AO71" i="23"/>
  <c r="BC71" i="23"/>
  <c r="AK71" i="23"/>
  <c r="AX71" i="23"/>
  <c r="AB71" i="23"/>
  <c r="AR71" i="23"/>
  <c r="AZ71" i="23"/>
  <c r="AM71" i="23"/>
  <c r="AU71" i="23"/>
  <c r="BB71" i="23"/>
  <c r="AC80" i="24"/>
  <c r="AA80" i="24"/>
  <c r="F6" i="26" s="1"/>
  <c r="AF80" i="24"/>
  <c r="Y80" i="24"/>
  <c r="AD80" i="24"/>
  <c r="Z80" i="24"/>
  <c r="AB80" i="24"/>
  <c r="G6" i="26" s="1"/>
  <c r="W80" i="24"/>
  <c r="AE80" i="24"/>
  <c r="J6" i="26" s="1"/>
  <c r="X80" i="24"/>
  <c r="C6" i="26" s="1"/>
  <c r="AB85" i="24"/>
  <c r="AA85" i="24"/>
  <c r="AF85" i="24"/>
  <c r="Y85" i="24"/>
  <c r="AD85" i="24"/>
  <c r="Z85" i="24"/>
  <c r="AC85" i="24"/>
  <c r="X85" i="24"/>
  <c r="AE85" i="24"/>
  <c r="W85" i="24"/>
  <c r="AC89" i="24"/>
  <c r="Y89" i="24"/>
  <c r="AE89" i="24"/>
  <c r="AB89" i="24"/>
  <c r="X89" i="24"/>
  <c r="AF89" i="24"/>
  <c r="AA89" i="24"/>
  <c r="W89" i="24"/>
  <c r="AD89" i="24"/>
  <c r="Z89" i="24"/>
  <c r="R46" i="10"/>
  <c r="P46" i="10"/>
  <c r="S46" i="10"/>
  <c r="Q46" i="10"/>
  <c r="Q51" i="10" s="1"/>
  <c r="X46" i="10"/>
  <c r="W46" i="10"/>
  <c r="W51" i="10" s="1"/>
  <c r="U46" i="10"/>
  <c r="U51" i="10" s="1"/>
  <c r="T46" i="10"/>
  <c r="T51" i="10" s="1"/>
  <c r="Z46" i="10"/>
  <c r="V46" i="10"/>
  <c r="T50" i="10"/>
  <c r="M50" i="10"/>
  <c r="O50" i="10"/>
  <c r="S50" i="10"/>
  <c r="M46" i="10"/>
  <c r="M51" i="10" s="1"/>
  <c r="Y46" i="10"/>
  <c r="Y51" i="10" s="1"/>
  <c r="N50" i="10"/>
  <c r="U50" i="10"/>
  <c r="L46" i="10"/>
  <c r="O46" i="10"/>
  <c r="N46" i="10"/>
  <c r="N51" i="10" s="1"/>
  <c r="W46" i="11"/>
  <c r="X46" i="11"/>
  <c r="AU80" i="23"/>
  <c r="AK80" i="23"/>
  <c r="AQ80" i="23"/>
  <c r="AZ80" i="23"/>
  <c r="AM80" i="23"/>
  <c r="AP80" i="23"/>
  <c r="AI80" i="23"/>
  <c r="AJ80" i="23"/>
  <c r="BA80" i="23"/>
  <c r="AB80" i="23"/>
  <c r="AV80" i="23"/>
  <c r="AX80" i="23"/>
  <c r="BB80" i="23"/>
  <c r="AO80" i="23"/>
  <c r="AW80" i="23"/>
  <c r="AT80" i="23"/>
  <c r="AR80" i="23"/>
  <c r="AN80" i="23"/>
  <c r="AL80" i="23"/>
  <c r="BC80" i="23"/>
  <c r="BD80" i="23"/>
  <c r="AY80" i="23"/>
  <c r="AS80" i="23"/>
  <c r="Y50" i="10"/>
  <c r="Y50" i="12" s="1"/>
  <c r="AI65" i="6"/>
  <c r="AI70" i="6" s="1"/>
  <c r="M49" i="6"/>
  <c r="M27" i="6"/>
  <c r="M36" i="6"/>
  <c r="M60" i="6"/>
  <c r="M44" i="6"/>
  <c r="M34" i="6"/>
  <c r="M51" i="6"/>
  <c r="M31" i="6"/>
  <c r="M38" i="6"/>
  <c r="L65" i="6"/>
  <c r="L70" i="6" s="1"/>
  <c r="M8" i="6"/>
  <c r="M35" i="6"/>
  <c r="S65" i="6"/>
  <c r="S70" i="6" s="1"/>
  <c r="M53" i="6"/>
  <c r="M33" i="6"/>
  <c r="M40" i="6"/>
  <c r="P65" i="6"/>
  <c r="P70" i="6" s="1"/>
  <c r="M7" i="6"/>
  <c r="M55" i="6"/>
  <c r="M42" i="6"/>
  <c r="M22" i="6"/>
  <c r="M46" i="6"/>
  <c r="V65" i="6"/>
  <c r="M30" i="6"/>
  <c r="M37" i="6"/>
  <c r="M61" i="6"/>
  <c r="U65" i="6"/>
  <c r="U70" i="6" s="1"/>
  <c r="M48" i="6"/>
  <c r="AH65" i="6"/>
  <c r="AH70" i="6" s="1"/>
  <c r="M39" i="6"/>
  <c r="R65" i="6"/>
  <c r="R70" i="6" s="1"/>
  <c r="AC65" i="6"/>
  <c r="AC70" i="6" s="1"/>
  <c r="M50" i="6"/>
  <c r="M29" i="6"/>
  <c r="M41" i="6"/>
  <c r="Y65" i="6"/>
  <c r="AE65" i="6"/>
  <c r="AE70" i="6" s="1"/>
  <c r="M52" i="6"/>
  <c r="M32" i="6"/>
  <c r="Q65" i="6"/>
  <c r="Q70" i="6" s="1"/>
  <c r="M45" i="6"/>
  <c r="M24" i="6"/>
  <c r="AA65" i="6"/>
  <c r="M21" i="6"/>
  <c r="M43" i="6"/>
  <c r="Z65" i="6"/>
  <c r="M15" i="6"/>
  <c r="M54" i="6"/>
  <c r="M14" i="6"/>
  <c r="M56" i="6"/>
  <c r="M58" i="6"/>
  <c r="M57" i="6"/>
  <c r="M59" i="6"/>
  <c r="X65" i="6"/>
  <c r="X70" i="6" s="1"/>
  <c r="W65" i="6"/>
  <c r="W70" i="6" s="1"/>
  <c r="M47" i="6"/>
  <c r="M23" i="6"/>
  <c r="M28" i="6"/>
  <c r="O65" i="6"/>
  <c r="O70" i="6" s="1"/>
  <c r="AF65" i="6"/>
  <c r="AF70" i="6" s="1"/>
  <c r="Y16" i="11"/>
  <c r="Y30" i="11"/>
  <c r="Z30" i="11" s="1"/>
  <c r="N15" i="11"/>
  <c r="N34" i="11"/>
  <c r="N34" i="13" s="1"/>
  <c r="N26" i="11"/>
  <c r="N26" i="13" s="1"/>
  <c r="Y24" i="11"/>
  <c r="Y50" i="11"/>
  <c r="Y16" i="12"/>
  <c r="Z16" i="12" s="1"/>
  <c r="N26" i="12"/>
  <c r="N26" i="24" s="1"/>
  <c r="N71" i="24" s="1"/>
  <c r="L15" i="26"/>
  <c r="K15" i="26"/>
  <c r="I15" i="26"/>
  <c r="G15" i="26"/>
  <c r="E15" i="26"/>
  <c r="C15" i="26"/>
  <c r="J15" i="26"/>
  <c r="H15" i="26"/>
  <c r="F15" i="26"/>
  <c r="D15" i="26"/>
  <c r="B15" i="26"/>
  <c r="L10" i="26"/>
  <c r="T12" i="11"/>
  <c r="T10" i="11"/>
  <c r="T8" i="11"/>
  <c r="T18" i="11"/>
  <c r="T11" i="11"/>
  <c r="T7" i="11"/>
  <c r="T6" i="11"/>
  <c r="T9" i="11"/>
  <c r="T26" i="11"/>
  <c r="T17" i="11"/>
  <c r="T19" i="11"/>
  <c r="T42" i="11"/>
  <c r="T5" i="11"/>
  <c r="T13" i="11"/>
  <c r="T28" i="11"/>
  <c r="T44" i="11"/>
  <c r="T29" i="11"/>
  <c r="T22" i="11"/>
  <c r="T35" i="11"/>
  <c r="T27" i="11"/>
  <c r="T15" i="11"/>
  <c r="T32" i="11"/>
  <c r="T16" i="11"/>
  <c r="T37" i="11"/>
  <c r="T38" i="11"/>
  <c r="T39" i="11"/>
  <c r="T24" i="11"/>
  <c r="T40" i="11"/>
  <c r="T33" i="11"/>
  <c r="T25" i="11"/>
  <c r="T31" i="11"/>
  <c r="T34" i="11"/>
  <c r="T14" i="11"/>
  <c r="T20" i="11"/>
  <c r="T23" i="11"/>
  <c r="T36" i="11"/>
  <c r="T30" i="11"/>
  <c r="T21" i="11"/>
  <c r="T41" i="11"/>
  <c r="T43" i="11"/>
  <c r="R47" i="13"/>
  <c r="R47" i="10"/>
  <c r="R47" i="12"/>
  <c r="R47" i="11"/>
  <c r="Y30" i="12"/>
  <c r="Z30" i="12" s="1"/>
  <c r="R48" i="13"/>
  <c r="R48" i="11"/>
  <c r="R48" i="10"/>
  <c r="R48" i="12"/>
  <c r="M13" i="11"/>
  <c r="M10" i="11"/>
  <c r="M9" i="11"/>
  <c r="M7" i="11"/>
  <c r="M11" i="11"/>
  <c r="M5" i="11"/>
  <c r="M12" i="11"/>
  <c r="M6" i="11"/>
  <c r="M25" i="11"/>
  <c r="M24" i="11"/>
  <c r="M18" i="11"/>
  <c r="M20" i="11"/>
  <c r="M8" i="11"/>
  <c r="M28" i="11"/>
  <c r="M17" i="11"/>
  <c r="M34" i="11"/>
  <c r="M27" i="11"/>
  <c r="M43" i="11"/>
  <c r="M36" i="11"/>
  <c r="M33" i="11"/>
  <c r="M22" i="11"/>
  <c r="M38" i="11"/>
  <c r="M14" i="11"/>
  <c r="M31" i="11"/>
  <c r="M40" i="11"/>
  <c r="M37" i="11"/>
  <c r="M39" i="11"/>
  <c r="M32" i="11"/>
  <c r="M29" i="11"/>
  <c r="M30" i="11"/>
  <c r="M23" i="11"/>
  <c r="M41" i="11"/>
  <c r="M19" i="11"/>
  <c r="M44" i="11"/>
  <c r="M16" i="11"/>
  <c r="M35" i="11"/>
  <c r="M42" i="11"/>
  <c r="M21" i="11"/>
  <c r="M26" i="11"/>
  <c r="M15" i="11"/>
  <c r="L47" i="13"/>
  <c r="L47" i="12"/>
  <c r="L47" i="11"/>
  <c r="L47" i="10"/>
  <c r="U18" i="11"/>
  <c r="U11" i="11"/>
  <c r="U9" i="11"/>
  <c r="U8" i="11"/>
  <c r="U5" i="11"/>
  <c r="U29" i="11"/>
  <c r="U33" i="11"/>
  <c r="U28" i="11"/>
  <c r="U7" i="11"/>
  <c r="U6" i="11"/>
  <c r="U12" i="11"/>
  <c r="U10" i="11"/>
  <c r="U37" i="11"/>
  <c r="U15" i="11"/>
  <c r="U13" i="11"/>
  <c r="U30" i="11"/>
  <c r="U35" i="11"/>
  <c r="U19" i="11"/>
  <c r="U39" i="11"/>
  <c r="U40" i="11"/>
  <c r="U20" i="11"/>
  <c r="U17" i="11"/>
  <c r="U34" i="11"/>
  <c r="U23" i="11"/>
  <c r="U43" i="11"/>
  <c r="U16" i="11"/>
  <c r="U24" i="11"/>
  <c r="U26" i="11"/>
  <c r="U14" i="11"/>
  <c r="U25" i="11"/>
  <c r="U41" i="11"/>
  <c r="U42" i="11"/>
  <c r="U31" i="11"/>
  <c r="U36" i="11"/>
  <c r="U27" i="11"/>
  <c r="U21" i="11"/>
  <c r="U22" i="11"/>
  <c r="U44" i="11"/>
  <c r="U38" i="11"/>
  <c r="U32" i="11"/>
  <c r="Q11" i="11"/>
  <c r="Q13" i="11"/>
  <c r="Q12" i="11"/>
  <c r="Q18" i="11"/>
  <c r="Q7" i="11"/>
  <c r="Q5" i="11"/>
  <c r="Q27" i="11"/>
  <c r="Q17" i="11"/>
  <c r="Q14" i="11"/>
  <c r="Q9" i="11"/>
  <c r="Q34" i="11"/>
  <c r="Q30" i="11"/>
  <c r="Q6" i="11"/>
  <c r="Q10" i="11"/>
  <c r="Q8" i="11"/>
  <c r="Q25" i="11"/>
  <c r="Q24" i="11"/>
  <c r="Q40" i="11"/>
  <c r="Q21" i="11"/>
  <c r="Q33" i="11"/>
  <c r="Q39" i="11"/>
  <c r="Q42" i="11"/>
  <c r="Q35" i="11"/>
  <c r="Q28" i="11"/>
  <c r="Q44" i="11"/>
  <c r="Q37" i="11"/>
  <c r="Q43" i="11"/>
  <c r="Q22" i="11"/>
  <c r="Q19" i="11"/>
  <c r="Q20" i="11"/>
  <c r="Q29" i="11"/>
  <c r="Q36" i="11"/>
  <c r="Q38" i="11"/>
  <c r="Q31" i="11"/>
  <c r="Q15" i="11"/>
  <c r="Q41" i="11"/>
  <c r="Q23" i="11"/>
  <c r="Q32" i="11"/>
  <c r="Q16" i="11"/>
  <c r="Q26" i="11"/>
  <c r="N66" i="6"/>
  <c r="D34" i="5"/>
  <c r="U16" i="7" l="1"/>
  <c r="U16" i="9" s="1"/>
  <c r="U8" i="7"/>
  <c r="U8" i="9" s="1"/>
  <c r="U60" i="7"/>
  <c r="U60" i="9" s="1"/>
  <c r="U50" i="7"/>
  <c r="U50" i="9" s="1"/>
  <c r="U47" i="7"/>
  <c r="U47" i="9" s="1"/>
  <c r="U29" i="7"/>
  <c r="U29" i="9" s="1"/>
  <c r="U7" i="7"/>
  <c r="U7" i="9" s="1"/>
  <c r="U43" i="7"/>
  <c r="U43" i="9" s="1"/>
  <c r="U51" i="7"/>
  <c r="U51" i="9" s="1"/>
  <c r="U24" i="7"/>
  <c r="U24" i="9" s="1"/>
  <c r="U30" i="7"/>
  <c r="U30" i="9" s="1"/>
  <c r="U32" i="7"/>
  <c r="U32" i="9" s="1"/>
  <c r="U40" i="7"/>
  <c r="U40" i="9" s="1"/>
  <c r="U22" i="7"/>
  <c r="U22" i="9" s="1"/>
  <c r="U14" i="7"/>
  <c r="U14" i="9" s="1"/>
  <c r="U39" i="7"/>
  <c r="U39" i="9" s="1"/>
  <c r="U56" i="7"/>
  <c r="U56" i="9" s="1"/>
  <c r="U42" i="7"/>
  <c r="U42" i="9" s="1"/>
  <c r="U35" i="7"/>
  <c r="U35" i="9" s="1"/>
  <c r="U13" i="7"/>
  <c r="U13" i="9" s="1"/>
  <c r="U9" i="7"/>
  <c r="U9" i="9" s="1"/>
  <c r="U46" i="7"/>
  <c r="U46" i="9" s="1"/>
  <c r="U49" i="7"/>
  <c r="U49" i="9" s="1"/>
  <c r="U28" i="7"/>
  <c r="U28" i="9" s="1"/>
  <c r="U10" i="7"/>
  <c r="U10" i="9" s="1"/>
  <c r="U6" i="7"/>
  <c r="U6" i="9" s="1"/>
  <c r="U34" i="7"/>
  <c r="U34" i="9" s="1"/>
  <c r="U33" i="7"/>
  <c r="U33" i="9" s="1"/>
  <c r="U36" i="7"/>
  <c r="U36" i="9" s="1"/>
  <c r="U25" i="7"/>
  <c r="U25" i="9" s="1"/>
  <c r="U5" i="7"/>
  <c r="U15" i="7"/>
  <c r="U15" i="9" s="1"/>
  <c r="U31" i="7"/>
  <c r="U31" i="9" s="1"/>
  <c r="U61" i="7"/>
  <c r="U61" i="9" s="1"/>
  <c r="U18" i="7"/>
  <c r="U18" i="9" s="1"/>
  <c r="U12" i="7"/>
  <c r="U12" i="9" s="1"/>
  <c r="U37" i="7"/>
  <c r="U37" i="9" s="1"/>
  <c r="U48" i="7"/>
  <c r="U48" i="9" s="1"/>
  <c r="U52" i="7"/>
  <c r="U52" i="9" s="1"/>
  <c r="U23" i="7"/>
  <c r="U23" i="9" s="1"/>
  <c r="U19" i="7"/>
  <c r="U19" i="9" s="1"/>
  <c r="U55" i="7"/>
  <c r="U55" i="9" s="1"/>
  <c r="U57" i="7"/>
  <c r="U57" i="9" s="1"/>
  <c r="U21" i="7"/>
  <c r="U21" i="9" s="1"/>
  <c r="U11" i="7"/>
  <c r="U11" i="9" s="1"/>
  <c r="U44" i="7"/>
  <c r="U44" i="9" s="1"/>
  <c r="U59" i="7"/>
  <c r="U59" i="9" s="1"/>
  <c r="U53" i="7"/>
  <c r="U53" i="9" s="1"/>
  <c r="U41" i="7"/>
  <c r="U41" i="9" s="1"/>
  <c r="U54" i="7"/>
  <c r="U54" i="9" s="1"/>
  <c r="U45" i="7"/>
  <c r="U45" i="9" s="1"/>
  <c r="U26" i="7"/>
  <c r="U26" i="9" s="1"/>
  <c r="U27" i="7"/>
  <c r="U27" i="9" s="1"/>
  <c r="U20" i="7"/>
  <c r="U20" i="9" s="1"/>
  <c r="U17" i="7"/>
  <c r="U17" i="9" s="1"/>
  <c r="U38" i="7"/>
  <c r="U38" i="9" s="1"/>
  <c r="U58" i="7"/>
  <c r="U58" i="9" s="1"/>
  <c r="S51" i="10"/>
  <c r="F8" i="25"/>
  <c r="F10" i="25"/>
  <c r="F6" i="25"/>
  <c r="M8" i="25"/>
  <c r="M10" i="25"/>
  <c r="M6" i="25"/>
  <c r="M65" i="6"/>
  <c r="M70" i="6" s="1"/>
  <c r="S50" i="11"/>
  <c r="S50" i="12"/>
  <c r="S8" i="25"/>
  <c r="S6" i="25"/>
  <c r="S10" i="25"/>
  <c r="T10" i="25"/>
  <c r="T6" i="25"/>
  <c r="T8" i="25"/>
  <c r="S33" i="7"/>
  <c r="S25" i="7"/>
  <c r="S13" i="7"/>
  <c r="S42" i="7"/>
  <c r="S38" i="7"/>
  <c r="S55" i="7"/>
  <c r="S18" i="7"/>
  <c r="S10" i="7"/>
  <c r="S58" i="7"/>
  <c r="S61" i="7"/>
  <c r="S53" i="7"/>
  <c r="S26" i="7"/>
  <c r="S5" i="7"/>
  <c r="S47" i="7"/>
  <c r="S59" i="7"/>
  <c r="S24" i="7"/>
  <c r="S15" i="7"/>
  <c r="S11" i="7"/>
  <c r="S49" i="7"/>
  <c r="S54" i="7"/>
  <c r="S35" i="7"/>
  <c r="S12" i="7"/>
  <c r="S8" i="7"/>
  <c r="S46" i="7"/>
  <c r="S43" i="7"/>
  <c r="S36" i="7"/>
  <c r="S30" i="7"/>
  <c r="S7" i="7"/>
  <c r="S14" i="7"/>
  <c r="S41" i="7"/>
  <c r="S31" i="7"/>
  <c r="S27" i="7"/>
  <c r="S21" i="7"/>
  <c r="S6" i="7"/>
  <c r="S51" i="7"/>
  <c r="S20" i="7"/>
  <c r="S28" i="7"/>
  <c r="S16" i="7"/>
  <c r="S37" i="7"/>
  <c r="S57" i="7"/>
  <c r="S52" i="7"/>
  <c r="S39" i="7"/>
  <c r="S23" i="7"/>
  <c r="S48" i="7"/>
  <c r="S17" i="7"/>
  <c r="S29" i="7"/>
  <c r="S9" i="7"/>
  <c r="S19" i="7"/>
  <c r="S50" i="7"/>
  <c r="S32" i="7"/>
  <c r="S34" i="7"/>
  <c r="S40" i="7"/>
  <c r="S56" i="7"/>
  <c r="S44" i="7"/>
  <c r="S60" i="7"/>
  <c r="S22" i="7"/>
  <c r="S45" i="7"/>
  <c r="O50" i="11"/>
  <c r="O50" i="12"/>
  <c r="B6" i="26"/>
  <c r="K8" i="25"/>
  <c r="K10" i="25"/>
  <c r="K6" i="25"/>
  <c r="R8" i="25"/>
  <c r="R10" i="25"/>
  <c r="R6" i="25"/>
  <c r="AI44" i="7"/>
  <c r="AI44" i="9" s="1"/>
  <c r="AI24" i="7"/>
  <c r="AI24" i="9" s="1"/>
  <c r="AI12" i="7"/>
  <c r="AI12" i="9" s="1"/>
  <c r="AI8" i="7"/>
  <c r="AI8" i="9" s="1"/>
  <c r="AI40" i="7"/>
  <c r="AI40" i="9" s="1"/>
  <c r="AI34" i="7"/>
  <c r="AI34" i="9" s="1"/>
  <c r="AI17" i="7"/>
  <c r="AI17" i="9" s="1"/>
  <c r="AI9" i="7"/>
  <c r="AI9" i="9" s="1"/>
  <c r="AI5" i="7"/>
  <c r="AI56" i="7"/>
  <c r="AI56" i="9" s="1"/>
  <c r="AI30" i="7"/>
  <c r="AI30" i="9" s="1"/>
  <c r="AI14" i="7"/>
  <c r="AI14" i="9" s="1"/>
  <c r="AI11" i="7"/>
  <c r="AI11" i="9" s="1"/>
  <c r="AI45" i="7"/>
  <c r="AI45" i="9" s="1"/>
  <c r="AI22" i="7"/>
  <c r="AI22" i="9" s="1"/>
  <c r="AI18" i="7"/>
  <c r="AI18" i="9" s="1"/>
  <c r="AI31" i="7"/>
  <c r="AI31" i="9" s="1"/>
  <c r="AI33" i="7"/>
  <c r="AI33" i="9" s="1"/>
  <c r="AI20" i="7"/>
  <c r="AI20" i="9" s="1"/>
  <c r="AI10" i="7"/>
  <c r="AI10" i="9" s="1"/>
  <c r="AI52" i="7"/>
  <c r="AI52" i="9" s="1"/>
  <c r="AI58" i="7"/>
  <c r="AI58" i="9" s="1"/>
  <c r="AI42" i="7"/>
  <c r="AI42" i="9" s="1"/>
  <c r="AI15" i="7"/>
  <c r="AI15" i="9" s="1"/>
  <c r="AI7" i="7"/>
  <c r="AI7" i="9" s="1"/>
  <c r="AI59" i="7"/>
  <c r="AI59" i="9" s="1"/>
  <c r="AI48" i="7"/>
  <c r="AI48" i="9" s="1"/>
  <c r="AI28" i="7"/>
  <c r="AI28" i="9" s="1"/>
  <c r="AI46" i="7"/>
  <c r="AI46" i="9" s="1"/>
  <c r="AI41" i="7"/>
  <c r="AI41" i="9" s="1"/>
  <c r="AI47" i="7"/>
  <c r="AI47" i="9" s="1"/>
  <c r="AI54" i="7"/>
  <c r="AI54" i="9" s="1"/>
  <c r="AI23" i="7"/>
  <c r="AI36" i="7"/>
  <c r="AI36" i="9" s="1"/>
  <c r="AI57" i="7"/>
  <c r="AI57" i="9" s="1"/>
  <c r="AI32" i="7"/>
  <c r="AI32" i="9" s="1"/>
  <c r="AI35" i="7"/>
  <c r="AI35" i="9" s="1"/>
  <c r="AI21" i="7"/>
  <c r="AI21" i="9" s="1"/>
  <c r="AI26" i="7"/>
  <c r="AI26" i="9" s="1"/>
  <c r="AI50" i="7"/>
  <c r="AI50" i="9" s="1"/>
  <c r="AI53" i="7"/>
  <c r="AI53" i="9" s="1"/>
  <c r="AI27" i="7"/>
  <c r="AI27" i="9" s="1"/>
  <c r="AI16" i="7"/>
  <c r="AI16" i="9" s="1"/>
  <c r="AI13" i="7"/>
  <c r="AI13" i="9" s="1"/>
  <c r="AI37" i="7"/>
  <c r="AI37" i="9" s="1"/>
  <c r="AI38" i="7"/>
  <c r="AI38" i="9" s="1"/>
  <c r="AI25" i="7"/>
  <c r="AI25" i="9" s="1"/>
  <c r="AI29" i="7"/>
  <c r="AI29" i="9" s="1"/>
  <c r="AI19" i="7"/>
  <c r="AI19" i="9" s="1"/>
  <c r="AI49" i="7"/>
  <c r="AI49" i="9" s="1"/>
  <c r="AI6" i="7"/>
  <c r="AI6" i="9" s="1"/>
  <c r="AI51" i="7"/>
  <c r="AI51" i="9" s="1"/>
  <c r="AI55" i="7"/>
  <c r="AI55" i="9" s="1"/>
  <c r="AI60" i="7"/>
  <c r="AI60" i="9" s="1"/>
  <c r="AI61" i="7"/>
  <c r="AI61" i="9" s="1"/>
  <c r="AI43" i="7"/>
  <c r="AI43" i="9" s="1"/>
  <c r="AI39" i="7"/>
  <c r="AI39" i="9" s="1"/>
  <c r="M50" i="11"/>
  <c r="M50" i="12"/>
  <c r="E10" i="25"/>
  <c r="E8" i="25"/>
  <c r="E6" i="25"/>
  <c r="O36" i="7"/>
  <c r="O36" i="9" s="1"/>
  <c r="O19" i="7"/>
  <c r="O19" i="9" s="1"/>
  <c r="O9" i="7"/>
  <c r="O9" i="9" s="1"/>
  <c r="O42" i="7"/>
  <c r="O42" i="9" s="1"/>
  <c r="O43" i="7"/>
  <c r="O43" i="9" s="1"/>
  <c r="O52" i="7"/>
  <c r="O52" i="9" s="1"/>
  <c r="O16" i="7"/>
  <c r="O16" i="9" s="1"/>
  <c r="O6" i="7"/>
  <c r="O6" i="9" s="1"/>
  <c r="O46" i="7"/>
  <c r="O46" i="9" s="1"/>
  <c r="O40" i="7"/>
  <c r="O40" i="9" s="1"/>
  <c r="O35" i="7"/>
  <c r="O35" i="9" s="1"/>
  <c r="O15" i="7"/>
  <c r="O15" i="9" s="1"/>
  <c r="O17" i="7"/>
  <c r="O17" i="9" s="1"/>
  <c r="O51" i="7"/>
  <c r="O51" i="9" s="1"/>
  <c r="O57" i="7"/>
  <c r="O57" i="9" s="1"/>
  <c r="O32" i="7"/>
  <c r="O32" i="9" s="1"/>
  <c r="O27" i="7"/>
  <c r="O27" i="9" s="1"/>
  <c r="O7" i="7"/>
  <c r="O7" i="9" s="1"/>
  <c r="O8" i="7"/>
  <c r="O8" i="9" s="1"/>
  <c r="O31" i="7"/>
  <c r="O31" i="9" s="1"/>
  <c r="O22" i="7"/>
  <c r="O22" i="9" s="1"/>
  <c r="O29" i="7"/>
  <c r="O29" i="9" s="1"/>
  <c r="O45" i="7"/>
  <c r="O45" i="9" s="1"/>
  <c r="O48" i="7"/>
  <c r="O48" i="9" s="1"/>
  <c r="O37" i="7"/>
  <c r="O37" i="9" s="1"/>
  <c r="O20" i="7"/>
  <c r="O20" i="9" s="1"/>
  <c r="O14" i="7"/>
  <c r="O14" i="9" s="1"/>
  <c r="O47" i="7"/>
  <c r="O47" i="9" s="1"/>
  <c r="O49" i="7"/>
  <c r="O49" i="9" s="1"/>
  <c r="O34" i="7"/>
  <c r="O34" i="9" s="1"/>
  <c r="O28" i="7"/>
  <c r="O28" i="9" s="1"/>
  <c r="O24" i="7"/>
  <c r="O24" i="9" s="1"/>
  <c r="O44" i="7"/>
  <c r="O44" i="9" s="1"/>
  <c r="O39" i="7"/>
  <c r="O39" i="9" s="1"/>
  <c r="O61" i="7"/>
  <c r="O61" i="9" s="1"/>
  <c r="O55" i="7"/>
  <c r="O55" i="9" s="1"/>
  <c r="O25" i="7"/>
  <c r="O25" i="9" s="1"/>
  <c r="O21" i="7"/>
  <c r="O21" i="9" s="1"/>
  <c r="O60" i="7"/>
  <c r="O60" i="9" s="1"/>
  <c r="O58" i="7"/>
  <c r="O58" i="9" s="1"/>
  <c r="O26" i="7"/>
  <c r="O26" i="9" s="1"/>
  <c r="O10" i="7"/>
  <c r="O10" i="9" s="1"/>
  <c r="O41" i="7"/>
  <c r="O41" i="9" s="1"/>
  <c r="O56" i="7"/>
  <c r="O56" i="9" s="1"/>
  <c r="O23" i="7"/>
  <c r="O23" i="9" s="1"/>
  <c r="O5" i="7"/>
  <c r="O53" i="7"/>
  <c r="O53" i="9" s="1"/>
  <c r="O33" i="7"/>
  <c r="O33" i="9" s="1"/>
  <c r="O38" i="7"/>
  <c r="O38" i="9" s="1"/>
  <c r="O59" i="7"/>
  <c r="O59" i="9" s="1"/>
  <c r="O30" i="7"/>
  <c r="O30" i="9" s="1"/>
  <c r="O18" i="7"/>
  <c r="O18" i="9" s="1"/>
  <c r="O54" i="7"/>
  <c r="O54" i="9" s="1"/>
  <c r="O12" i="7"/>
  <c r="O12" i="9" s="1"/>
  <c r="O13" i="7"/>
  <c r="O13" i="9" s="1"/>
  <c r="O11" i="7"/>
  <c r="O11" i="9" s="1"/>
  <c r="O50" i="7"/>
  <c r="O50" i="9" s="1"/>
  <c r="Y66" i="6"/>
  <c r="V66" i="6"/>
  <c r="T50" i="11"/>
  <c r="T50" i="12"/>
  <c r="E6" i="26"/>
  <c r="Q8" i="25"/>
  <c r="Q10" i="25"/>
  <c r="Q6" i="25"/>
  <c r="W8" i="25"/>
  <c r="W10" i="25"/>
  <c r="W6" i="25"/>
  <c r="L30" i="7"/>
  <c r="L30" i="9" s="1"/>
  <c r="L19" i="7"/>
  <c r="L19" i="9" s="1"/>
  <c r="L16" i="7"/>
  <c r="L16" i="9" s="1"/>
  <c r="L45" i="7"/>
  <c r="L45" i="9" s="1"/>
  <c r="L58" i="7"/>
  <c r="L58" i="9" s="1"/>
  <c r="L59" i="7"/>
  <c r="L59" i="9" s="1"/>
  <c r="L17" i="7"/>
  <c r="L17" i="9" s="1"/>
  <c r="L15" i="7"/>
  <c r="L15" i="9" s="1"/>
  <c r="L61" i="7"/>
  <c r="L61" i="9" s="1"/>
  <c r="L52" i="7"/>
  <c r="L52" i="9" s="1"/>
  <c r="L29" i="7"/>
  <c r="L29" i="9" s="1"/>
  <c r="L39" i="7"/>
  <c r="L39" i="9" s="1"/>
  <c r="L38" i="7"/>
  <c r="L38" i="9" s="1"/>
  <c r="L12" i="7"/>
  <c r="L12" i="9" s="1"/>
  <c r="L27" i="7"/>
  <c r="L27" i="9" s="1"/>
  <c r="L57" i="7"/>
  <c r="L57" i="9" s="1"/>
  <c r="L53" i="7"/>
  <c r="L53" i="9" s="1"/>
  <c r="L37" i="7"/>
  <c r="L37" i="9" s="1"/>
  <c r="L11" i="7"/>
  <c r="L11" i="9" s="1"/>
  <c r="L18" i="7"/>
  <c r="L18" i="9" s="1"/>
  <c r="L50" i="7"/>
  <c r="L50" i="9" s="1"/>
  <c r="L43" i="7"/>
  <c r="L43" i="9" s="1"/>
  <c r="L33" i="7"/>
  <c r="L33" i="9" s="1"/>
  <c r="L8" i="7"/>
  <c r="L8" i="9" s="1"/>
  <c r="L13" i="7"/>
  <c r="L28" i="7"/>
  <c r="L28" i="9" s="1"/>
  <c r="L41" i="7"/>
  <c r="L41" i="9" s="1"/>
  <c r="L31" i="7"/>
  <c r="L31" i="9" s="1"/>
  <c r="L10" i="7"/>
  <c r="L10" i="9" s="1"/>
  <c r="L5" i="7"/>
  <c r="L44" i="7"/>
  <c r="L44" i="9" s="1"/>
  <c r="L26" i="7"/>
  <c r="L26" i="9" s="1"/>
  <c r="L14" i="7"/>
  <c r="L14" i="9" s="1"/>
  <c r="L35" i="7"/>
  <c r="L60" i="7"/>
  <c r="L60" i="9" s="1"/>
  <c r="L23" i="7"/>
  <c r="L23" i="9" s="1"/>
  <c r="L9" i="7"/>
  <c r="L9" i="9" s="1"/>
  <c r="L51" i="7"/>
  <c r="L51" i="9" s="1"/>
  <c r="L21" i="7"/>
  <c r="L21" i="9" s="1"/>
  <c r="L48" i="7"/>
  <c r="L48" i="9" s="1"/>
  <c r="L32" i="7"/>
  <c r="L32" i="9" s="1"/>
  <c r="L22" i="7"/>
  <c r="L22" i="9" s="1"/>
  <c r="L56" i="7"/>
  <c r="L56" i="9" s="1"/>
  <c r="L47" i="7"/>
  <c r="L47" i="9" s="1"/>
  <c r="L24" i="7"/>
  <c r="L24" i="9" s="1"/>
  <c r="L25" i="7"/>
  <c r="L25" i="9" s="1"/>
  <c r="L55" i="7"/>
  <c r="L55" i="9" s="1"/>
  <c r="L46" i="7"/>
  <c r="L46" i="9" s="1"/>
  <c r="L7" i="7"/>
  <c r="L7" i="9" s="1"/>
  <c r="L40" i="7"/>
  <c r="L40" i="9" s="1"/>
  <c r="L49" i="7"/>
  <c r="L42" i="7"/>
  <c r="L42" i="9" s="1"/>
  <c r="L54" i="7"/>
  <c r="L54" i="9" s="1"/>
  <c r="L20" i="7"/>
  <c r="L20" i="9" s="1"/>
  <c r="L34" i="7"/>
  <c r="L34" i="9" s="1"/>
  <c r="L36" i="7"/>
  <c r="L36" i="9" s="1"/>
  <c r="L6" i="7"/>
  <c r="L6" i="9" s="1"/>
  <c r="I6" i="26"/>
  <c r="D8" i="25"/>
  <c r="D6" i="25"/>
  <c r="D10" i="25"/>
  <c r="J8" i="25"/>
  <c r="J10" i="25"/>
  <c r="J6" i="25"/>
  <c r="N24" i="11"/>
  <c r="N25" i="11"/>
  <c r="N32" i="11"/>
  <c r="N37" i="11"/>
  <c r="N8" i="11"/>
  <c r="N29" i="11"/>
  <c r="N6" i="11"/>
  <c r="N44" i="11"/>
  <c r="N14" i="11"/>
  <c r="N40" i="11"/>
  <c r="N5" i="11"/>
  <c r="N41" i="11"/>
  <c r="N35" i="11"/>
  <c r="N36" i="11"/>
  <c r="N28" i="11"/>
  <c r="N43" i="11"/>
  <c r="N13" i="11"/>
  <c r="N31" i="11"/>
  <c r="N20" i="11"/>
  <c r="N30" i="11"/>
  <c r="N21" i="11"/>
  <c r="N33" i="11"/>
  <c r="N18" i="11"/>
  <c r="N19" i="11"/>
  <c r="N27" i="11"/>
  <c r="N9" i="11"/>
  <c r="N38" i="11"/>
  <c r="N10" i="11"/>
  <c r="N12" i="11"/>
  <c r="N11" i="11"/>
  <c r="N42" i="11"/>
  <c r="N17" i="11"/>
  <c r="N23" i="11"/>
  <c r="N16" i="11"/>
  <c r="N22" i="11"/>
  <c r="N39" i="11"/>
  <c r="N7" i="11"/>
  <c r="D6" i="26"/>
  <c r="V8" i="25"/>
  <c r="V10" i="25"/>
  <c r="V6" i="25"/>
  <c r="C8" i="25"/>
  <c r="C10" i="25"/>
  <c r="C6" i="25"/>
  <c r="AC57" i="7"/>
  <c r="AC30" i="7"/>
  <c r="AC7" i="7"/>
  <c r="AC14" i="7"/>
  <c r="AC49" i="7"/>
  <c r="AC54" i="7"/>
  <c r="AC27" i="7"/>
  <c r="AC17" i="7"/>
  <c r="AC6" i="7"/>
  <c r="AC39" i="7"/>
  <c r="AC47" i="7"/>
  <c r="AC22" i="7"/>
  <c r="AC15" i="7"/>
  <c r="AC32" i="7"/>
  <c r="AC33" i="7"/>
  <c r="AC48" i="7"/>
  <c r="AC51" i="7"/>
  <c r="AC25" i="7"/>
  <c r="AC5" i="7"/>
  <c r="AC56" i="7"/>
  <c r="AC36" i="7"/>
  <c r="AC31" i="7"/>
  <c r="AC18" i="7"/>
  <c r="AC9" i="7"/>
  <c r="AC41" i="7"/>
  <c r="AC61" i="7"/>
  <c r="AC42" i="7"/>
  <c r="AC26" i="7"/>
  <c r="AC29" i="7"/>
  <c r="AC46" i="7"/>
  <c r="AC38" i="7"/>
  <c r="AC23" i="7"/>
  <c r="AC21" i="7"/>
  <c r="AC53" i="7"/>
  <c r="AC43" i="7"/>
  <c r="AC58" i="7"/>
  <c r="AC35" i="7"/>
  <c r="AC12" i="7"/>
  <c r="AC16" i="7"/>
  <c r="AC34" i="7"/>
  <c r="AC55" i="7"/>
  <c r="AC28" i="7"/>
  <c r="AC45" i="7"/>
  <c r="AC24" i="7"/>
  <c r="AC52" i="7"/>
  <c r="AC13" i="7"/>
  <c r="AC8" i="7"/>
  <c r="AC19" i="7"/>
  <c r="AC37" i="7"/>
  <c r="AC10" i="7"/>
  <c r="AC11" i="7"/>
  <c r="AC59" i="7"/>
  <c r="AC40" i="7"/>
  <c r="AC44" i="7"/>
  <c r="AC60" i="7"/>
  <c r="AC20" i="7"/>
  <c r="AC50" i="7"/>
  <c r="O51" i="10"/>
  <c r="K6" i="26"/>
  <c r="H8" i="25"/>
  <c r="H6" i="25"/>
  <c r="H10" i="25"/>
  <c r="O10" i="25"/>
  <c r="O6" i="25"/>
  <c r="O8" i="25"/>
  <c r="R40" i="7"/>
  <c r="R40" i="9" s="1"/>
  <c r="R22" i="7"/>
  <c r="R22" i="9" s="1"/>
  <c r="R6" i="7"/>
  <c r="R6" i="9" s="1"/>
  <c r="R8" i="7"/>
  <c r="R8" i="9" s="1"/>
  <c r="R52" i="7"/>
  <c r="R52" i="9" s="1"/>
  <c r="R37" i="7"/>
  <c r="R37" i="9" s="1"/>
  <c r="R20" i="7"/>
  <c r="R20" i="9" s="1"/>
  <c r="R41" i="7"/>
  <c r="R41" i="9" s="1"/>
  <c r="R56" i="7"/>
  <c r="R56" i="9" s="1"/>
  <c r="R59" i="7"/>
  <c r="R59" i="9" s="1"/>
  <c r="R38" i="7"/>
  <c r="R38" i="9" s="1"/>
  <c r="R39" i="7"/>
  <c r="R39" i="9" s="1"/>
  <c r="R11" i="7"/>
  <c r="R11" i="9" s="1"/>
  <c r="R43" i="7"/>
  <c r="R43" i="9" s="1"/>
  <c r="R53" i="7"/>
  <c r="R53" i="9" s="1"/>
  <c r="R49" i="7"/>
  <c r="R49" i="9" s="1"/>
  <c r="R32" i="7"/>
  <c r="R32" i="9" s="1"/>
  <c r="R25" i="7"/>
  <c r="R25" i="9" s="1"/>
  <c r="R7" i="7"/>
  <c r="R7" i="9" s="1"/>
  <c r="R44" i="7"/>
  <c r="R44" i="9" s="1"/>
  <c r="R29" i="7"/>
  <c r="R29" i="9" s="1"/>
  <c r="R31" i="7"/>
  <c r="R31" i="9" s="1"/>
  <c r="R16" i="7"/>
  <c r="R16" i="9" s="1"/>
  <c r="R60" i="7"/>
  <c r="R60" i="9" s="1"/>
  <c r="R24" i="7"/>
  <c r="R24" i="9" s="1"/>
  <c r="R21" i="7"/>
  <c r="R21" i="9" s="1"/>
  <c r="R13" i="7"/>
  <c r="R13" i="9" s="1"/>
  <c r="R45" i="7"/>
  <c r="R45" i="9" s="1"/>
  <c r="R55" i="7"/>
  <c r="R55" i="9" s="1"/>
  <c r="R51" i="7"/>
  <c r="R51" i="9" s="1"/>
  <c r="R19" i="7"/>
  <c r="R19" i="9" s="1"/>
  <c r="R18" i="7"/>
  <c r="R18" i="9" s="1"/>
  <c r="R10" i="7"/>
  <c r="R10" i="9" s="1"/>
  <c r="R61" i="7"/>
  <c r="R61" i="9" s="1"/>
  <c r="R27" i="7"/>
  <c r="R27" i="9" s="1"/>
  <c r="R9" i="7"/>
  <c r="R9" i="9" s="1"/>
  <c r="R23" i="7"/>
  <c r="R23" i="9" s="1"/>
  <c r="R58" i="7"/>
  <c r="R58" i="9" s="1"/>
  <c r="R12" i="7"/>
  <c r="R12" i="9" s="1"/>
  <c r="R50" i="7"/>
  <c r="R50" i="9" s="1"/>
  <c r="R5" i="7"/>
  <c r="R26" i="7"/>
  <c r="R26" i="9" s="1"/>
  <c r="R35" i="7"/>
  <c r="R35" i="9" s="1"/>
  <c r="R57" i="7"/>
  <c r="R57" i="9" s="1"/>
  <c r="R14" i="7"/>
  <c r="R14" i="9" s="1"/>
  <c r="R34" i="7"/>
  <c r="R34" i="9" s="1"/>
  <c r="R54" i="7"/>
  <c r="R54" i="9" s="1"/>
  <c r="R30" i="7"/>
  <c r="R30" i="9" s="1"/>
  <c r="R33" i="7"/>
  <c r="R33" i="9" s="1"/>
  <c r="R47" i="7"/>
  <c r="R47" i="9" s="1"/>
  <c r="R42" i="7"/>
  <c r="R42" i="9" s="1"/>
  <c r="R36" i="7"/>
  <c r="R36" i="9" s="1"/>
  <c r="R46" i="7"/>
  <c r="R46" i="9" s="1"/>
  <c r="R28" i="7"/>
  <c r="R28" i="9" s="1"/>
  <c r="R48" i="7"/>
  <c r="R48" i="9" s="1"/>
  <c r="R17" i="7"/>
  <c r="R17" i="9" s="1"/>
  <c r="R15" i="7"/>
  <c r="R15" i="9" s="1"/>
  <c r="B8" i="25"/>
  <c r="B10" i="25"/>
  <c r="B6" i="25"/>
  <c r="I8" i="25"/>
  <c r="I10" i="25"/>
  <c r="I6" i="25"/>
  <c r="X35" i="7"/>
  <c r="X51" i="7"/>
  <c r="X51" i="9" s="1"/>
  <c r="X25" i="7"/>
  <c r="X25" i="9" s="1"/>
  <c r="X12" i="7"/>
  <c r="X12" i="9" s="1"/>
  <c r="X24" i="7"/>
  <c r="X58" i="7"/>
  <c r="X58" i="9" s="1"/>
  <c r="X43" i="7"/>
  <c r="X43" i="9" s="1"/>
  <c r="X18" i="7"/>
  <c r="X18" i="9" s="1"/>
  <c r="X7" i="7"/>
  <c r="X7" i="9" s="1"/>
  <c r="X14" i="7"/>
  <c r="X14" i="9" s="1"/>
  <c r="X56" i="7"/>
  <c r="X56" i="9" s="1"/>
  <c r="X40" i="7"/>
  <c r="X40" i="9" s="1"/>
  <c r="X55" i="7"/>
  <c r="X55" i="9" s="1"/>
  <c r="X6" i="7"/>
  <c r="X6" i="9" s="1"/>
  <c r="X42" i="7"/>
  <c r="X42" i="9" s="1"/>
  <c r="X54" i="7"/>
  <c r="X54" i="9" s="1"/>
  <c r="X30" i="7"/>
  <c r="X30" i="9" s="1"/>
  <c r="X47" i="7"/>
  <c r="X47" i="9" s="1"/>
  <c r="X53" i="7"/>
  <c r="X53" i="9" s="1"/>
  <c r="X16" i="7"/>
  <c r="X16" i="9" s="1"/>
  <c r="X52" i="7"/>
  <c r="X52" i="9" s="1"/>
  <c r="X27" i="7"/>
  <c r="X37" i="7"/>
  <c r="X37" i="9" s="1"/>
  <c r="X29" i="7"/>
  <c r="X29" i="9" s="1"/>
  <c r="X11" i="7"/>
  <c r="X11" i="9" s="1"/>
  <c r="X50" i="7"/>
  <c r="X50" i="9" s="1"/>
  <c r="X22" i="7"/>
  <c r="X22" i="9" s="1"/>
  <c r="X31" i="7"/>
  <c r="X31" i="9" s="1"/>
  <c r="X21" i="7"/>
  <c r="X21" i="9" s="1"/>
  <c r="X8" i="7"/>
  <c r="X8" i="9" s="1"/>
  <c r="X48" i="7"/>
  <c r="X48" i="9" s="1"/>
  <c r="X20" i="7"/>
  <c r="X20" i="9" s="1"/>
  <c r="X26" i="7"/>
  <c r="X26" i="9" s="1"/>
  <c r="X17" i="7"/>
  <c r="X17" i="9" s="1"/>
  <c r="X9" i="7"/>
  <c r="X9" i="9" s="1"/>
  <c r="X46" i="7"/>
  <c r="X46" i="9" s="1"/>
  <c r="X59" i="7"/>
  <c r="X59" i="9" s="1"/>
  <c r="X23" i="7"/>
  <c r="X23" i="9" s="1"/>
  <c r="X15" i="7"/>
  <c r="X15" i="9" s="1"/>
  <c r="X44" i="7"/>
  <c r="X44" i="9" s="1"/>
  <c r="X57" i="7"/>
  <c r="X57" i="9" s="1"/>
  <c r="X45" i="7"/>
  <c r="X13" i="7"/>
  <c r="X13" i="9" s="1"/>
  <c r="X60" i="7"/>
  <c r="X60" i="9" s="1"/>
  <c r="X36" i="7"/>
  <c r="X36" i="9" s="1"/>
  <c r="X34" i="7"/>
  <c r="X34" i="9" s="1"/>
  <c r="X32" i="7"/>
  <c r="X32" i="9" s="1"/>
  <c r="X5" i="7"/>
  <c r="X38" i="7"/>
  <c r="X38" i="9" s="1"/>
  <c r="X33" i="7"/>
  <c r="X33" i="9" s="1"/>
  <c r="X28" i="7"/>
  <c r="X28" i="9" s="1"/>
  <c r="X19" i="7"/>
  <c r="X19" i="9" s="1"/>
  <c r="X61" i="7"/>
  <c r="X61" i="9" s="1"/>
  <c r="X49" i="7"/>
  <c r="X49" i="9" s="1"/>
  <c r="X41" i="7"/>
  <c r="X41" i="9" s="1"/>
  <c r="X39" i="7"/>
  <c r="X39" i="9" s="1"/>
  <c r="X10" i="7"/>
  <c r="X10" i="9" s="1"/>
  <c r="U50" i="12"/>
  <c r="U50" i="11"/>
  <c r="H6" i="26"/>
  <c r="L10" i="25"/>
  <c r="L6" i="25"/>
  <c r="L8" i="25"/>
  <c r="W59" i="7"/>
  <c r="W59" i="9" s="1"/>
  <c r="W15" i="7"/>
  <c r="W15" i="9" s="1"/>
  <c r="W23" i="7"/>
  <c r="W23" i="9" s="1"/>
  <c r="W34" i="7"/>
  <c r="W34" i="9" s="1"/>
  <c r="W39" i="7"/>
  <c r="W39" i="9" s="1"/>
  <c r="W28" i="7"/>
  <c r="W28" i="9" s="1"/>
  <c r="W21" i="7"/>
  <c r="W21" i="9" s="1"/>
  <c r="W38" i="7"/>
  <c r="W38" i="9" s="1"/>
  <c r="W37" i="7"/>
  <c r="W37" i="9" s="1"/>
  <c r="W50" i="7"/>
  <c r="W50" i="9" s="1"/>
  <c r="W25" i="7"/>
  <c r="W25" i="9" s="1"/>
  <c r="W18" i="7"/>
  <c r="W18" i="9" s="1"/>
  <c r="W54" i="7"/>
  <c r="W54" i="9" s="1"/>
  <c r="W40" i="7"/>
  <c r="W40" i="9" s="1"/>
  <c r="W24" i="7"/>
  <c r="W24" i="9" s="1"/>
  <c r="W6" i="7"/>
  <c r="W6" i="9" s="1"/>
  <c r="W5" i="7"/>
  <c r="W52" i="7"/>
  <c r="W52" i="9" s="1"/>
  <c r="W60" i="7"/>
  <c r="W60" i="9" s="1"/>
  <c r="W19" i="7"/>
  <c r="W19" i="9" s="1"/>
  <c r="W16" i="7"/>
  <c r="W16" i="9" s="1"/>
  <c r="W31" i="7"/>
  <c r="W31" i="9" s="1"/>
  <c r="W55" i="7"/>
  <c r="W55" i="9" s="1"/>
  <c r="W51" i="7"/>
  <c r="W51" i="9" s="1"/>
  <c r="W49" i="7"/>
  <c r="W49" i="9" s="1"/>
  <c r="W17" i="7"/>
  <c r="W17" i="9" s="1"/>
  <c r="W12" i="7"/>
  <c r="W12" i="9" s="1"/>
  <c r="W48" i="7"/>
  <c r="W48" i="9" s="1"/>
  <c r="W45" i="7"/>
  <c r="W45" i="9" s="1"/>
  <c r="W30" i="7"/>
  <c r="W30" i="9" s="1"/>
  <c r="W7" i="7"/>
  <c r="W7" i="9" s="1"/>
  <c r="W44" i="7"/>
  <c r="W44" i="9" s="1"/>
  <c r="W61" i="7"/>
  <c r="W61" i="9" s="1"/>
  <c r="W20" i="7"/>
  <c r="W20" i="9" s="1"/>
  <c r="W26" i="7"/>
  <c r="W26" i="9" s="1"/>
  <c r="W57" i="7"/>
  <c r="W57" i="9" s="1"/>
  <c r="W58" i="7"/>
  <c r="W58" i="9" s="1"/>
  <c r="W32" i="7"/>
  <c r="W32" i="9" s="1"/>
  <c r="W29" i="7"/>
  <c r="W29" i="9" s="1"/>
  <c r="W56" i="7"/>
  <c r="W56" i="9" s="1"/>
  <c r="W27" i="7"/>
  <c r="W27" i="9" s="1"/>
  <c r="W47" i="7"/>
  <c r="W47" i="9" s="1"/>
  <c r="W14" i="7"/>
  <c r="W14" i="9" s="1"/>
  <c r="W22" i="7"/>
  <c r="W22" i="9" s="1"/>
  <c r="W42" i="7"/>
  <c r="W42" i="9" s="1"/>
  <c r="W53" i="7"/>
  <c r="W53" i="9" s="1"/>
  <c r="W36" i="7"/>
  <c r="W36" i="9" s="1"/>
  <c r="W9" i="7"/>
  <c r="W9" i="9" s="1"/>
  <c r="W46" i="7"/>
  <c r="W46" i="9" s="1"/>
  <c r="W11" i="7"/>
  <c r="W11" i="9" s="1"/>
  <c r="W8" i="7"/>
  <c r="W8" i="9" s="1"/>
  <c r="W13" i="7"/>
  <c r="W13" i="9" s="1"/>
  <c r="W10" i="7"/>
  <c r="W10" i="9" s="1"/>
  <c r="W43" i="7"/>
  <c r="W43" i="9" s="1"/>
  <c r="W41" i="7"/>
  <c r="W41" i="9" s="1"/>
  <c r="W35" i="7"/>
  <c r="W35" i="9" s="1"/>
  <c r="W33" i="7"/>
  <c r="W33" i="9" s="1"/>
  <c r="Y30" i="13"/>
  <c r="Z30" i="13" s="1"/>
  <c r="AH27" i="7"/>
  <c r="AH27" i="9" s="1"/>
  <c r="AH12" i="7"/>
  <c r="AH12" i="9" s="1"/>
  <c r="AH46" i="7"/>
  <c r="AH46" i="9" s="1"/>
  <c r="AH49" i="7"/>
  <c r="AH49" i="9" s="1"/>
  <c r="AH54" i="7"/>
  <c r="AH54" i="9" s="1"/>
  <c r="AH24" i="7"/>
  <c r="AH24" i="9" s="1"/>
  <c r="AH9" i="7"/>
  <c r="AH9" i="9" s="1"/>
  <c r="AH41" i="7"/>
  <c r="AH41" i="9" s="1"/>
  <c r="AH40" i="7"/>
  <c r="AH40" i="9" s="1"/>
  <c r="AH17" i="7"/>
  <c r="AH31" i="7"/>
  <c r="AH31" i="9" s="1"/>
  <c r="AH34" i="7"/>
  <c r="AH34" i="9" s="1"/>
  <c r="AH56" i="7"/>
  <c r="AH56" i="9" s="1"/>
  <c r="AH52" i="7"/>
  <c r="AH52" i="9" s="1"/>
  <c r="AH30" i="7"/>
  <c r="AH30" i="9" s="1"/>
  <c r="AH13" i="7"/>
  <c r="AH13" i="9" s="1"/>
  <c r="AH51" i="7"/>
  <c r="AH51" i="9" s="1"/>
  <c r="AH25" i="7"/>
  <c r="AH25" i="9" s="1"/>
  <c r="AH23" i="7"/>
  <c r="AH23" i="9" s="1"/>
  <c r="AH37" i="7"/>
  <c r="AH37" i="9" s="1"/>
  <c r="AH57" i="7"/>
  <c r="AH57" i="9" s="1"/>
  <c r="AH28" i="7"/>
  <c r="AH28" i="9" s="1"/>
  <c r="AH22" i="7"/>
  <c r="AH22" i="9" s="1"/>
  <c r="AH36" i="7"/>
  <c r="AH36" i="9" s="1"/>
  <c r="AH42" i="7"/>
  <c r="AH42" i="9" s="1"/>
  <c r="AH14" i="7"/>
  <c r="AH14" i="9" s="1"/>
  <c r="AH18" i="7"/>
  <c r="AH60" i="7"/>
  <c r="AH60" i="9" s="1"/>
  <c r="AH44" i="7"/>
  <c r="AH44" i="9" s="1"/>
  <c r="AH59" i="7"/>
  <c r="AH59" i="9" s="1"/>
  <c r="AH61" i="7"/>
  <c r="AH61" i="9" s="1"/>
  <c r="AH35" i="7"/>
  <c r="AH35" i="9" s="1"/>
  <c r="AH11" i="7"/>
  <c r="AH11" i="9" s="1"/>
  <c r="AH10" i="7"/>
  <c r="AH10" i="9" s="1"/>
  <c r="AH45" i="7"/>
  <c r="AH45" i="9" s="1"/>
  <c r="AH58" i="7"/>
  <c r="AH58" i="9" s="1"/>
  <c r="AH29" i="7"/>
  <c r="AH29" i="9" s="1"/>
  <c r="AH6" i="7"/>
  <c r="AH6" i="9" s="1"/>
  <c r="AH7" i="7"/>
  <c r="AH7" i="9" s="1"/>
  <c r="AH50" i="7"/>
  <c r="AH50" i="9" s="1"/>
  <c r="AH32" i="7"/>
  <c r="AH32" i="9" s="1"/>
  <c r="AH21" i="7"/>
  <c r="AH21" i="9" s="1"/>
  <c r="AH48" i="7"/>
  <c r="AH48" i="9" s="1"/>
  <c r="AH15" i="7"/>
  <c r="AH15" i="9" s="1"/>
  <c r="AH39" i="7"/>
  <c r="AH39" i="9" s="1"/>
  <c r="AH19" i="7"/>
  <c r="AH19" i="9" s="1"/>
  <c r="AH16" i="7"/>
  <c r="AH16" i="9" s="1"/>
  <c r="AH5" i="7"/>
  <c r="AH55" i="7"/>
  <c r="AH55" i="9" s="1"/>
  <c r="AH43" i="7"/>
  <c r="AH43" i="9" s="1"/>
  <c r="AH26" i="7"/>
  <c r="AH26" i="9" s="1"/>
  <c r="AH8" i="7"/>
  <c r="AH8" i="9" s="1"/>
  <c r="AH33" i="7"/>
  <c r="AH33" i="9" s="1"/>
  <c r="AH20" i="7"/>
  <c r="AH20" i="9" s="1"/>
  <c r="AH38" i="7"/>
  <c r="AH38" i="9" s="1"/>
  <c r="AH53" i="7"/>
  <c r="AH53" i="9" s="1"/>
  <c r="AH47" i="7"/>
  <c r="AH47" i="9" s="1"/>
  <c r="P39" i="7"/>
  <c r="P35" i="7"/>
  <c r="P8" i="7"/>
  <c r="P57" i="7"/>
  <c r="P44" i="7"/>
  <c r="P46" i="7"/>
  <c r="P46" i="9" s="1"/>
  <c r="P34" i="7"/>
  <c r="P34" i="9" s="1"/>
  <c r="P32" i="7"/>
  <c r="P32" i="9" s="1"/>
  <c r="P30" i="7"/>
  <c r="P30" i="9" s="1"/>
  <c r="P56" i="7"/>
  <c r="P56" i="9" s="1"/>
  <c r="P59" i="7"/>
  <c r="P59" i="9" s="1"/>
  <c r="P28" i="7"/>
  <c r="P28" i="9" s="1"/>
  <c r="P29" i="7"/>
  <c r="P29" i="9" s="1"/>
  <c r="P20" i="7"/>
  <c r="P20" i="9" s="1"/>
  <c r="P54" i="7"/>
  <c r="P54" i="9" s="1"/>
  <c r="P48" i="7"/>
  <c r="P48" i="9" s="1"/>
  <c r="P25" i="7"/>
  <c r="P25" i="9" s="1"/>
  <c r="P24" i="7"/>
  <c r="P24" i="9" s="1"/>
  <c r="P18" i="7"/>
  <c r="P13" i="7"/>
  <c r="P15" i="7"/>
  <c r="P45" i="7"/>
  <c r="P50" i="7"/>
  <c r="P38" i="7"/>
  <c r="P38" i="9" s="1"/>
  <c r="P10" i="7"/>
  <c r="P10" i="9" s="1"/>
  <c r="P22" i="7"/>
  <c r="P22" i="9" s="1"/>
  <c r="P61" i="7"/>
  <c r="P61" i="9" s="1"/>
  <c r="P49" i="7"/>
  <c r="P49" i="9" s="1"/>
  <c r="P37" i="7"/>
  <c r="P37" i="9" s="1"/>
  <c r="P5" i="7"/>
  <c r="P14" i="7"/>
  <c r="P14" i="9" s="1"/>
  <c r="P42" i="7"/>
  <c r="P42" i="9" s="1"/>
  <c r="P31" i="7"/>
  <c r="P31" i="9" s="1"/>
  <c r="P51" i="7"/>
  <c r="P51" i="9" s="1"/>
  <c r="P9" i="7"/>
  <c r="P9" i="9" s="1"/>
  <c r="P58" i="7"/>
  <c r="P58" i="9" s="1"/>
  <c r="P26" i="7"/>
  <c r="P7" i="7"/>
  <c r="P6" i="7"/>
  <c r="P52" i="7"/>
  <c r="P36" i="7"/>
  <c r="P36" i="9" s="1"/>
  <c r="P21" i="7"/>
  <c r="P21" i="9" s="1"/>
  <c r="P17" i="7"/>
  <c r="P17" i="9" s="1"/>
  <c r="P60" i="7"/>
  <c r="P60" i="9" s="1"/>
  <c r="P43" i="7"/>
  <c r="P43" i="9" s="1"/>
  <c r="P33" i="7"/>
  <c r="P33" i="9" s="1"/>
  <c r="P16" i="7"/>
  <c r="P16" i="9" s="1"/>
  <c r="P11" i="7"/>
  <c r="P11" i="9" s="1"/>
  <c r="P41" i="7"/>
  <c r="P41" i="9" s="1"/>
  <c r="P40" i="7"/>
  <c r="P40" i="9" s="1"/>
  <c r="P23" i="7"/>
  <c r="P23" i="9" s="1"/>
  <c r="P27" i="7"/>
  <c r="P27" i="9" s="1"/>
  <c r="P19" i="7"/>
  <c r="P19" i="9" s="1"/>
  <c r="P12" i="7"/>
  <c r="P12" i="9" s="1"/>
  <c r="P47" i="7"/>
  <c r="P47" i="9" s="1"/>
  <c r="P55" i="7"/>
  <c r="P55" i="9" s="1"/>
  <c r="P53" i="7"/>
  <c r="P53" i="9" s="1"/>
  <c r="N50" i="11"/>
  <c r="N50" i="12"/>
  <c r="U8" i="25"/>
  <c r="U10" i="25"/>
  <c r="U6" i="25"/>
  <c r="G8" i="25"/>
  <c r="G10" i="25"/>
  <c r="G6" i="25"/>
  <c r="Z42" i="8"/>
  <c r="Y42" i="23" s="1"/>
  <c r="Y104" i="23" s="1"/>
  <c r="Z52" i="8"/>
  <c r="Y52" i="23" s="1"/>
  <c r="Y114" i="23" s="1"/>
  <c r="Z56" i="8"/>
  <c r="Y56" i="23" s="1"/>
  <c r="Y118" i="23" s="1"/>
  <c r="Z31" i="8"/>
  <c r="Y31" i="23" s="1"/>
  <c r="Y93" i="23" s="1"/>
  <c r="Z13" i="8"/>
  <c r="Y13" i="23" s="1"/>
  <c r="Y75" i="23" s="1"/>
  <c r="Z38" i="8"/>
  <c r="Y38" i="23" s="1"/>
  <c r="Y100" i="23" s="1"/>
  <c r="Z49" i="8"/>
  <c r="Y49" i="23" s="1"/>
  <c r="Y111" i="23" s="1"/>
  <c r="Z51" i="8"/>
  <c r="Y51" i="23" s="1"/>
  <c r="Y113" i="23" s="1"/>
  <c r="Z23" i="8"/>
  <c r="Y23" i="23" s="1"/>
  <c r="Y85" i="23" s="1"/>
  <c r="Z5" i="8"/>
  <c r="Z34" i="8"/>
  <c r="Y34" i="23" s="1"/>
  <c r="Y96" i="23" s="1"/>
  <c r="Z44" i="8"/>
  <c r="Y44" i="23" s="1"/>
  <c r="Y106" i="23" s="1"/>
  <c r="Z46" i="8"/>
  <c r="Y46" i="23" s="1"/>
  <c r="Y108" i="23" s="1"/>
  <c r="Z15" i="8"/>
  <c r="Y15" i="23" s="1"/>
  <c r="Y77" i="23" s="1"/>
  <c r="Z27" i="8"/>
  <c r="Y27" i="23" s="1"/>
  <c r="Y89" i="23" s="1"/>
  <c r="Z22" i="8"/>
  <c r="Y22" i="23" s="1"/>
  <c r="Y84" i="23" s="1"/>
  <c r="Z33" i="8"/>
  <c r="Y33" i="23" s="1"/>
  <c r="Y95" i="23" s="1"/>
  <c r="Z24" i="8"/>
  <c r="Y24" i="23" s="1"/>
  <c r="Y86" i="23" s="1"/>
  <c r="Z9" i="8"/>
  <c r="Y9" i="23" s="1"/>
  <c r="Y71" i="23" s="1"/>
  <c r="Z18" i="8"/>
  <c r="Y18" i="23" s="1"/>
  <c r="Y80" i="23" s="1"/>
  <c r="Z29" i="8"/>
  <c r="Y29" i="23" s="1"/>
  <c r="Y91" i="23" s="1"/>
  <c r="Z16" i="8"/>
  <c r="Y16" i="23" s="1"/>
  <c r="Y78" i="23" s="1"/>
  <c r="Z48" i="8"/>
  <c r="Y48" i="23" s="1"/>
  <c r="Y110" i="23" s="1"/>
  <c r="Z12" i="8"/>
  <c r="Y12" i="23" s="1"/>
  <c r="Y74" i="23" s="1"/>
  <c r="Z25" i="8"/>
  <c r="Y25" i="23" s="1"/>
  <c r="Y87" i="23" s="1"/>
  <c r="Z11" i="8"/>
  <c r="Y11" i="23" s="1"/>
  <c r="Y73" i="23" s="1"/>
  <c r="Z35" i="8"/>
  <c r="Y35" i="23" s="1"/>
  <c r="Y97" i="23" s="1"/>
  <c r="Z60" i="8"/>
  <c r="Y60" i="23" s="1"/>
  <c r="Y122" i="23" s="1"/>
  <c r="Z10" i="8"/>
  <c r="Y10" i="23" s="1"/>
  <c r="Y72" i="23" s="1"/>
  <c r="Z21" i="8"/>
  <c r="Y21" i="23" s="1"/>
  <c r="Y83" i="23" s="1"/>
  <c r="Z7" i="8"/>
  <c r="Y7" i="23" s="1"/>
  <c r="Y69" i="23" s="1"/>
  <c r="Z19" i="8"/>
  <c r="Y19" i="23" s="1"/>
  <c r="Y81" i="23" s="1"/>
  <c r="Z47" i="8"/>
  <c r="Y47" i="23" s="1"/>
  <c r="Y109" i="23" s="1"/>
  <c r="Z57" i="8"/>
  <c r="Y57" i="23" s="1"/>
  <c r="Y119" i="23" s="1"/>
  <c r="Z61" i="8"/>
  <c r="Y61" i="23" s="1"/>
  <c r="Y123" i="23" s="1"/>
  <c r="Z39" i="8"/>
  <c r="Y39" i="23" s="1"/>
  <c r="Y101" i="23" s="1"/>
  <c r="Z28" i="8"/>
  <c r="Y28" i="23" s="1"/>
  <c r="Y90" i="23" s="1"/>
  <c r="Z37" i="8"/>
  <c r="Y37" i="23" s="1"/>
  <c r="Y99" i="23" s="1"/>
  <c r="Z53" i="8"/>
  <c r="Y53" i="23" s="1"/>
  <c r="Y115" i="23" s="1"/>
  <c r="Z17" i="8"/>
  <c r="Y17" i="23" s="1"/>
  <c r="Y79" i="23" s="1"/>
  <c r="Z40" i="8"/>
  <c r="Y40" i="23" s="1"/>
  <c r="Y102" i="23" s="1"/>
  <c r="Z59" i="8"/>
  <c r="Y59" i="23" s="1"/>
  <c r="Y121" i="23" s="1"/>
  <c r="Z45" i="8"/>
  <c r="Y45" i="23" s="1"/>
  <c r="Y107" i="23" s="1"/>
  <c r="Z6" i="8"/>
  <c r="Y6" i="23" s="1"/>
  <c r="Y68" i="23" s="1"/>
  <c r="Z14" i="8"/>
  <c r="Y14" i="23" s="1"/>
  <c r="Y76" i="23" s="1"/>
  <c r="Z43" i="8"/>
  <c r="Y43" i="23" s="1"/>
  <c r="Y105" i="23" s="1"/>
  <c r="Z32" i="8"/>
  <c r="Y32" i="23" s="1"/>
  <c r="Y94" i="23" s="1"/>
  <c r="Z58" i="8"/>
  <c r="Y58" i="23" s="1"/>
  <c r="Y120" i="23" s="1"/>
  <c r="Z50" i="8"/>
  <c r="Y50" i="23" s="1"/>
  <c r="Y112" i="23" s="1"/>
  <c r="Z30" i="8"/>
  <c r="Y30" i="23" s="1"/>
  <c r="Y92" i="23" s="1"/>
  <c r="Z36" i="8"/>
  <c r="Y36" i="23" s="1"/>
  <c r="Y98" i="23" s="1"/>
  <c r="Z26" i="8"/>
  <c r="Y26" i="23" s="1"/>
  <c r="Y88" i="23" s="1"/>
  <c r="Z20" i="8"/>
  <c r="Y20" i="23" s="1"/>
  <c r="Y82" i="23" s="1"/>
  <c r="Z8" i="8"/>
  <c r="Y8" i="23" s="1"/>
  <c r="Y70" i="23" s="1"/>
  <c r="Z54" i="8"/>
  <c r="Y54" i="23" s="1"/>
  <c r="Y116" i="23" s="1"/>
  <c r="Z41" i="8"/>
  <c r="Y41" i="23" s="1"/>
  <c r="Y103" i="23" s="1"/>
  <c r="Z55" i="8"/>
  <c r="Y55" i="23" s="1"/>
  <c r="Y117" i="23" s="1"/>
  <c r="Q49" i="7"/>
  <c r="Q49" i="9" s="1"/>
  <c r="Q32" i="7"/>
  <c r="Q14" i="7"/>
  <c r="Q14" i="9" s="1"/>
  <c r="Q43" i="7"/>
  <c r="Q42" i="7"/>
  <c r="Q56" i="7"/>
  <c r="Q56" i="9" s="1"/>
  <c r="Q24" i="7"/>
  <c r="Q24" i="9" s="1"/>
  <c r="Q9" i="7"/>
  <c r="Q9" i="9" s="1"/>
  <c r="Q59" i="7"/>
  <c r="Q59" i="9" s="1"/>
  <c r="Q35" i="7"/>
  <c r="Q35" i="9" s="1"/>
  <c r="Q27" i="7"/>
  <c r="Q27" i="9" s="1"/>
  <c r="Q19" i="7"/>
  <c r="Q6" i="7"/>
  <c r="Q57" i="7"/>
  <c r="Q53" i="7"/>
  <c r="Q33" i="7"/>
  <c r="Q33" i="9" s="1"/>
  <c r="Q20" i="7"/>
  <c r="Q60" i="7"/>
  <c r="Q60" i="9" s="1"/>
  <c r="Q41" i="7"/>
  <c r="Q21" i="7"/>
  <c r="Q39" i="7"/>
  <c r="Q39" i="9" s="1"/>
  <c r="Q11" i="7"/>
  <c r="Q11" i="9" s="1"/>
  <c r="Q15" i="7"/>
  <c r="Q15" i="9" s="1"/>
  <c r="Q45" i="7"/>
  <c r="Q45" i="9" s="1"/>
  <c r="Q52" i="7"/>
  <c r="Q52" i="9" s="1"/>
  <c r="Q51" i="7"/>
  <c r="Q34" i="7"/>
  <c r="Q8" i="7"/>
  <c r="Q12" i="7"/>
  <c r="Q58" i="7"/>
  <c r="Q37" i="7"/>
  <c r="Q37" i="9" s="1"/>
  <c r="Q36" i="7"/>
  <c r="Q7" i="7"/>
  <c r="Q7" i="9" s="1"/>
  <c r="Q29" i="7"/>
  <c r="Q30" i="7"/>
  <c r="Q30" i="9" s="1"/>
  <c r="Q38" i="7"/>
  <c r="Q38" i="9" s="1"/>
  <c r="Q13" i="7"/>
  <c r="Q46" i="7"/>
  <c r="Q46" i="9" s="1"/>
  <c r="Q47" i="7"/>
  <c r="Q26" i="7"/>
  <c r="Q25" i="7"/>
  <c r="Q54" i="7"/>
  <c r="Q61" i="7"/>
  <c r="Q40" i="7"/>
  <c r="Q40" i="9" s="1"/>
  <c r="Q23" i="7"/>
  <c r="Q18" i="7"/>
  <c r="Q18" i="9" s="1"/>
  <c r="Q50" i="7"/>
  <c r="Q50" i="9" s="1"/>
  <c r="Q28" i="7"/>
  <c r="Q28" i="9" s="1"/>
  <c r="Q31" i="7"/>
  <c r="Q31" i="9" s="1"/>
  <c r="Q17" i="7"/>
  <c r="Q17" i="9" s="1"/>
  <c r="Q5" i="7"/>
  <c r="Q16" i="7"/>
  <c r="Q10" i="7"/>
  <c r="Q10" i="9" s="1"/>
  <c r="Q55" i="7"/>
  <c r="Q22" i="7"/>
  <c r="Q44" i="7"/>
  <c r="Q44" i="9" s="1"/>
  <c r="Q48" i="7"/>
  <c r="Q48" i="9" s="1"/>
  <c r="Y40" i="11"/>
  <c r="Y32" i="11"/>
  <c r="Y6" i="11"/>
  <c r="Y25" i="11"/>
  <c r="Y34" i="11"/>
  <c r="Y41" i="11"/>
  <c r="Y22" i="11"/>
  <c r="Y27" i="11"/>
  <c r="Y21" i="11"/>
  <c r="Y20" i="11"/>
  <c r="Y14" i="11"/>
  <c r="Y13" i="11"/>
  <c r="Y5" i="11"/>
  <c r="Y36" i="11"/>
  <c r="Y12" i="11"/>
  <c r="Y43" i="11"/>
  <c r="Y29" i="11"/>
  <c r="Y33" i="11"/>
  <c r="Y10" i="11"/>
  <c r="Y15" i="11"/>
  <c r="Y39" i="11"/>
  <c r="Y7" i="11"/>
  <c r="Y37" i="11"/>
  <c r="Y44" i="11"/>
  <c r="Y8" i="11"/>
  <c r="Y11" i="11"/>
  <c r="Y17" i="11"/>
  <c r="Y9" i="11"/>
  <c r="Y28" i="11"/>
  <c r="Y18" i="11"/>
  <c r="Y38" i="11"/>
  <c r="Y23" i="11"/>
  <c r="Y19" i="11"/>
  <c r="Y42" i="11"/>
  <c r="Y26" i="11"/>
  <c r="Y35" i="11"/>
  <c r="Y31" i="11"/>
  <c r="N8" i="25"/>
  <c r="N6" i="25"/>
  <c r="N10" i="25"/>
  <c r="P8" i="25"/>
  <c r="P10" i="25"/>
  <c r="P6" i="25"/>
  <c r="AA29" i="8"/>
  <c r="Z29" i="23" s="1"/>
  <c r="Z91" i="23" s="1"/>
  <c r="AA32" i="8"/>
  <c r="Z32" i="23" s="1"/>
  <c r="Z94" i="23" s="1"/>
  <c r="AA31" i="8"/>
  <c r="Z31" i="23" s="1"/>
  <c r="Z93" i="23" s="1"/>
  <c r="AA58" i="8"/>
  <c r="Z58" i="23" s="1"/>
  <c r="Z120" i="23" s="1"/>
  <c r="AA25" i="8"/>
  <c r="Z25" i="23" s="1"/>
  <c r="Z87" i="23" s="1"/>
  <c r="AA28" i="8"/>
  <c r="Z28" i="23" s="1"/>
  <c r="Z90" i="23" s="1"/>
  <c r="AA23" i="8"/>
  <c r="Z23" i="23" s="1"/>
  <c r="Z85" i="23" s="1"/>
  <c r="AA47" i="8"/>
  <c r="Z47" i="23" s="1"/>
  <c r="Z109" i="23" s="1"/>
  <c r="AA56" i="8"/>
  <c r="Z56" i="23" s="1"/>
  <c r="Z118" i="23" s="1"/>
  <c r="AA14" i="8"/>
  <c r="Z14" i="23" s="1"/>
  <c r="Z76" i="23" s="1"/>
  <c r="AA16" i="8"/>
  <c r="Z16" i="23" s="1"/>
  <c r="Z78" i="23" s="1"/>
  <c r="AA38" i="8"/>
  <c r="Z38" i="23" s="1"/>
  <c r="Z100" i="23" s="1"/>
  <c r="AA8" i="8"/>
  <c r="Z8" i="23" s="1"/>
  <c r="Z70" i="23" s="1"/>
  <c r="AA57" i="8"/>
  <c r="Z57" i="23" s="1"/>
  <c r="Z119" i="23" s="1"/>
  <c r="AA61" i="8"/>
  <c r="Z61" i="23" s="1"/>
  <c r="Z123" i="23" s="1"/>
  <c r="AA13" i="8"/>
  <c r="Z13" i="23" s="1"/>
  <c r="Z75" i="23" s="1"/>
  <c r="AA52" i="8"/>
  <c r="Z52" i="23" s="1"/>
  <c r="Z114" i="23" s="1"/>
  <c r="AA54" i="8"/>
  <c r="Z54" i="23" s="1"/>
  <c r="Z116" i="23" s="1"/>
  <c r="AA11" i="8"/>
  <c r="Z11" i="23" s="1"/>
  <c r="Z73" i="23" s="1"/>
  <c r="AA22" i="8"/>
  <c r="Z22" i="23" s="1"/>
  <c r="Z84" i="23" s="1"/>
  <c r="AA55" i="8"/>
  <c r="Z55" i="23" s="1"/>
  <c r="Z117" i="23" s="1"/>
  <c r="AA49" i="8"/>
  <c r="Z49" i="23" s="1"/>
  <c r="Z111" i="23" s="1"/>
  <c r="AA51" i="8"/>
  <c r="Z51" i="23" s="1"/>
  <c r="Z113" i="23" s="1"/>
  <c r="AA9" i="8"/>
  <c r="Z9" i="23" s="1"/>
  <c r="Z71" i="23" s="1"/>
  <c r="AA10" i="8"/>
  <c r="Z10" i="23" s="1"/>
  <c r="Z72" i="23" s="1"/>
  <c r="AA53" i="8"/>
  <c r="Z53" i="23" s="1"/>
  <c r="Z115" i="23" s="1"/>
  <c r="AA37" i="8"/>
  <c r="Z37" i="23" s="1"/>
  <c r="Z99" i="23" s="1"/>
  <c r="AA40" i="8"/>
  <c r="Z40" i="23" s="1"/>
  <c r="Z102" i="23" s="1"/>
  <c r="AA45" i="8"/>
  <c r="Z45" i="23" s="1"/>
  <c r="Z107" i="23" s="1"/>
  <c r="AA35" i="8"/>
  <c r="Z35" i="23" s="1"/>
  <c r="Z97" i="23" s="1"/>
  <c r="AA12" i="8"/>
  <c r="Z12" i="23" s="1"/>
  <c r="Z74" i="23" s="1"/>
  <c r="AA33" i="8"/>
  <c r="Z33" i="23" s="1"/>
  <c r="Z95" i="23" s="1"/>
  <c r="AA36" i="8"/>
  <c r="Z36" i="23" s="1"/>
  <c r="Z98" i="23" s="1"/>
  <c r="AA39" i="8"/>
  <c r="Z39" i="23" s="1"/>
  <c r="Z101" i="23" s="1"/>
  <c r="AA42" i="8"/>
  <c r="Z42" i="23" s="1"/>
  <c r="Z104" i="23" s="1"/>
  <c r="AA46" i="8"/>
  <c r="Z46" i="23" s="1"/>
  <c r="Z108" i="23" s="1"/>
  <c r="AA59" i="8"/>
  <c r="Z59" i="23" s="1"/>
  <c r="Z121" i="23" s="1"/>
  <c r="AA15" i="8"/>
  <c r="Z15" i="23" s="1"/>
  <c r="Z77" i="23" s="1"/>
  <c r="AA30" i="8"/>
  <c r="Z30" i="23" s="1"/>
  <c r="Z92" i="23" s="1"/>
  <c r="AA6" i="8"/>
  <c r="Z6" i="23" s="1"/>
  <c r="Z68" i="23" s="1"/>
  <c r="AA48" i="8"/>
  <c r="Z48" i="23" s="1"/>
  <c r="Z110" i="23" s="1"/>
  <c r="AA44" i="8"/>
  <c r="Z44" i="23" s="1"/>
  <c r="Z106" i="23" s="1"/>
  <c r="AA50" i="8"/>
  <c r="Z50" i="23" s="1"/>
  <c r="Z112" i="23" s="1"/>
  <c r="AA41" i="8"/>
  <c r="Z41" i="23" s="1"/>
  <c r="Z103" i="23" s="1"/>
  <c r="AA21" i="8"/>
  <c r="Z21" i="23" s="1"/>
  <c r="Z83" i="23" s="1"/>
  <c r="AA17" i="8"/>
  <c r="Z17" i="23" s="1"/>
  <c r="Z79" i="23" s="1"/>
  <c r="AA19" i="8"/>
  <c r="Z19" i="23" s="1"/>
  <c r="Z81" i="23" s="1"/>
  <c r="AA43" i="8"/>
  <c r="Z43" i="23" s="1"/>
  <c r="Z105" i="23" s="1"/>
  <c r="AA34" i="8"/>
  <c r="Z34" i="23" s="1"/>
  <c r="Z96" i="23" s="1"/>
  <c r="AA18" i="8"/>
  <c r="Z18" i="23" s="1"/>
  <c r="Z80" i="23" s="1"/>
  <c r="AA20" i="8"/>
  <c r="Z20" i="23" s="1"/>
  <c r="Z82" i="23" s="1"/>
  <c r="AA7" i="8"/>
  <c r="Z7" i="23" s="1"/>
  <c r="Z69" i="23" s="1"/>
  <c r="AA24" i="8"/>
  <c r="Z24" i="23" s="1"/>
  <c r="Z86" i="23" s="1"/>
  <c r="AA60" i="8"/>
  <c r="Z60" i="23" s="1"/>
  <c r="Z122" i="23" s="1"/>
  <c r="AA27" i="8"/>
  <c r="Z27" i="23" s="1"/>
  <c r="Z89" i="23" s="1"/>
  <c r="AA5" i="8"/>
  <c r="AA26" i="8"/>
  <c r="Z26" i="23" s="1"/>
  <c r="Z88" i="23" s="1"/>
  <c r="Z16" i="11"/>
  <c r="Y16" i="13"/>
  <c r="N34" i="12"/>
  <c r="N34" i="24" s="1"/>
  <c r="N79" i="24" s="1"/>
  <c r="N15" i="12"/>
  <c r="N15" i="13"/>
  <c r="Z24" i="11"/>
  <c r="Y24" i="13"/>
  <c r="Z24" i="13" s="1"/>
  <c r="Y24" i="12"/>
  <c r="J14" i="26"/>
  <c r="H14" i="26"/>
  <c r="F14" i="26"/>
  <c r="D14" i="26"/>
  <c r="B14" i="26"/>
  <c r="L14" i="26"/>
  <c r="K14" i="26"/>
  <c r="I14" i="26"/>
  <c r="G14" i="26"/>
  <c r="E14" i="26"/>
  <c r="C14" i="26"/>
  <c r="N64" i="8"/>
  <c r="N64" i="9"/>
  <c r="N64" i="7"/>
  <c r="Q32" i="12"/>
  <c r="R32" i="12" s="1"/>
  <c r="R32" i="11"/>
  <c r="Q32" i="13"/>
  <c r="R32" i="13" s="1"/>
  <c r="R20" i="11"/>
  <c r="Q20" i="12"/>
  <c r="R20" i="12" s="1"/>
  <c r="Q20" i="13"/>
  <c r="R20" i="13" s="1"/>
  <c r="R42" i="11"/>
  <c r="Q42" i="12"/>
  <c r="R42" i="12" s="1"/>
  <c r="Q42" i="13"/>
  <c r="R42" i="13" s="1"/>
  <c r="Q40" i="12"/>
  <c r="R40" i="12" s="1"/>
  <c r="R40" i="11"/>
  <c r="Q40" i="13"/>
  <c r="R40" i="13" s="1"/>
  <c r="Q9" i="12"/>
  <c r="R9" i="12" s="1"/>
  <c r="R9" i="11"/>
  <c r="Q9" i="13"/>
  <c r="R9" i="13" s="1"/>
  <c r="R13" i="11"/>
  <c r="Q13" i="12"/>
  <c r="R13" i="12" s="1"/>
  <c r="Q13" i="13"/>
  <c r="R13" i="13" s="1"/>
  <c r="U31" i="12"/>
  <c r="U31" i="13"/>
  <c r="U14" i="12"/>
  <c r="U14" i="13"/>
  <c r="U43" i="12"/>
  <c r="U43" i="13"/>
  <c r="U20" i="12"/>
  <c r="U20" i="13"/>
  <c r="U35" i="12"/>
  <c r="U35" i="13"/>
  <c r="U37" i="12"/>
  <c r="U37" i="13"/>
  <c r="U5" i="12"/>
  <c r="U46" i="11"/>
  <c r="U5" i="13"/>
  <c r="U18" i="12"/>
  <c r="U18" i="13"/>
  <c r="M42" i="12"/>
  <c r="M42" i="13"/>
  <c r="M19" i="12"/>
  <c r="M19" i="13"/>
  <c r="M29" i="12"/>
  <c r="M29" i="13"/>
  <c r="M40" i="12"/>
  <c r="M40" i="13"/>
  <c r="M22" i="12"/>
  <c r="M22" i="13"/>
  <c r="M27" i="12"/>
  <c r="M27" i="13"/>
  <c r="M8" i="12"/>
  <c r="M8" i="13"/>
  <c r="M25" i="12"/>
  <c r="M25" i="13"/>
  <c r="M11" i="12"/>
  <c r="M11" i="13"/>
  <c r="M13" i="12"/>
  <c r="M13" i="13"/>
  <c r="T43" i="12"/>
  <c r="T43" i="13"/>
  <c r="Q23" i="12"/>
  <c r="R23" i="12" s="1"/>
  <c r="R23" i="11"/>
  <c r="Q23" i="13"/>
  <c r="R23" i="13" s="1"/>
  <c r="Q44" i="12"/>
  <c r="R44" i="12" s="1"/>
  <c r="R44" i="11"/>
  <c r="Q44" i="13"/>
  <c r="R44" i="13" s="1"/>
  <c r="U32" i="12"/>
  <c r="U32" i="13"/>
  <c r="U21" i="12"/>
  <c r="U21" i="13"/>
  <c r="U42" i="12"/>
  <c r="U42" i="13"/>
  <c r="U26" i="12"/>
  <c r="U26" i="13"/>
  <c r="U40" i="12"/>
  <c r="U40" i="13"/>
  <c r="U30" i="12"/>
  <c r="U30" i="13"/>
  <c r="U10" i="12"/>
  <c r="U10" i="13"/>
  <c r="U28" i="12"/>
  <c r="U28" i="13"/>
  <c r="U8" i="12"/>
  <c r="U8" i="13"/>
  <c r="L50" i="10"/>
  <c r="M15" i="12"/>
  <c r="M15" i="13"/>
  <c r="M35" i="12"/>
  <c r="M35" i="13"/>
  <c r="M41" i="12"/>
  <c r="M41" i="13"/>
  <c r="M32" i="12"/>
  <c r="M32" i="13"/>
  <c r="M31" i="12"/>
  <c r="M31" i="13"/>
  <c r="M33" i="12"/>
  <c r="M33" i="13"/>
  <c r="M34" i="12"/>
  <c r="M34" i="13"/>
  <c r="M20" i="12"/>
  <c r="M20" i="13"/>
  <c r="M6" i="12"/>
  <c r="M6" i="24" s="1"/>
  <c r="M51" i="24" s="1"/>
  <c r="M6" i="13"/>
  <c r="M7" i="12"/>
  <c r="M7" i="13"/>
  <c r="R26" i="11"/>
  <c r="Q26" i="12"/>
  <c r="R26" i="12" s="1"/>
  <c r="Q26" i="13"/>
  <c r="R26" i="13" s="1"/>
  <c r="R41" i="11"/>
  <c r="Q41" i="12"/>
  <c r="R41" i="12" s="1"/>
  <c r="Q41" i="13"/>
  <c r="R41" i="13" s="1"/>
  <c r="Q36" i="12"/>
  <c r="R36" i="12" s="1"/>
  <c r="R36" i="11"/>
  <c r="Q36" i="13"/>
  <c r="R36" i="13" s="1"/>
  <c r="R22" i="11"/>
  <c r="Q22" i="12"/>
  <c r="R22" i="12" s="1"/>
  <c r="Q22" i="13"/>
  <c r="R22" i="13" s="1"/>
  <c r="Q28" i="12"/>
  <c r="R28" i="12" s="1"/>
  <c r="R28" i="11"/>
  <c r="Q28" i="13"/>
  <c r="R28" i="13" s="1"/>
  <c r="Q33" i="12"/>
  <c r="R33" i="12" s="1"/>
  <c r="R33" i="11"/>
  <c r="Q33" i="13"/>
  <c r="R33" i="13" s="1"/>
  <c r="Q25" i="12"/>
  <c r="R25" i="12" s="1"/>
  <c r="R25" i="11"/>
  <c r="Q25" i="13"/>
  <c r="R25" i="13" s="1"/>
  <c r="R30" i="11"/>
  <c r="Q30" i="12"/>
  <c r="R30" i="12" s="1"/>
  <c r="Q30" i="13"/>
  <c r="R30" i="13" s="1"/>
  <c r="Q17" i="12"/>
  <c r="R17" i="12" s="1"/>
  <c r="R17" i="11"/>
  <c r="Q17" i="13"/>
  <c r="R17" i="13" s="1"/>
  <c r="R18" i="11"/>
  <c r="Q18" i="12"/>
  <c r="R18" i="12" s="1"/>
  <c r="Q18" i="13"/>
  <c r="R18" i="13" s="1"/>
  <c r="U38" i="12"/>
  <c r="U38" i="13"/>
  <c r="U27" i="12"/>
  <c r="U27" i="13"/>
  <c r="U41" i="12"/>
  <c r="U41" i="13"/>
  <c r="U24" i="12"/>
  <c r="S24" i="24" s="1"/>
  <c r="S69" i="24" s="1"/>
  <c r="U24" i="13"/>
  <c r="U34" i="12"/>
  <c r="U34" i="13"/>
  <c r="U39" i="12"/>
  <c r="U39" i="13"/>
  <c r="U13" i="12"/>
  <c r="U13" i="13"/>
  <c r="U12" i="12"/>
  <c r="U12" i="13"/>
  <c r="U33" i="12"/>
  <c r="U33" i="13"/>
  <c r="U9" i="12"/>
  <c r="U9" i="13"/>
  <c r="M26" i="12"/>
  <c r="M26" i="13"/>
  <c r="M16" i="12"/>
  <c r="M16" i="13"/>
  <c r="M23" i="12"/>
  <c r="M23" i="13"/>
  <c r="M39" i="12"/>
  <c r="M39" i="13"/>
  <c r="M14" i="12"/>
  <c r="M14" i="13"/>
  <c r="M36" i="12"/>
  <c r="M36" i="13"/>
  <c r="M17" i="12"/>
  <c r="M17" i="13"/>
  <c r="M18" i="12"/>
  <c r="M18" i="13"/>
  <c r="M12" i="12"/>
  <c r="M12" i="13"/>
  <c r="M9" i="12"/>
  <c r="M9" i="13"/>
  <c r="R31" i="11"/>
  <c r="Q31" i="12"/>
  <c r="R31" i="12" s="1"/>
  <c r="Q31" i="13"/>
  <c r="R31" i="13" s="1"/>
  <c r="R37" i="11"/>
  <c r="Q37" i="12"/>
  <c r="R37" i="12" s="1"/>
  <c r="Q37" i="13"/>
  <c r="R37" i="13" s="1"/>
  <c r="R10" i="11"/>
  <c r="Q10" i="12"/>
  <c r="R10" i="12" s="1"/>
  <c r="Q10" i="13"/>
  <c r="R10" i="13" s="1"/>
  <c r="Q5" i="12"/>
  <c r="R5" i="11"/>
  <c r="Q46" i="11"/>
  <c r="Q5" i="13"/>
  <c r="U22" i="12"/>
  <c r="S22" i="24" s="1"/>
  <c r="S67" i="24" s="1"/>
  <c r="U22" i="13"/>
  <c r="U7" i="12"/>
  <c r="U7" i="13"/>
  <c r="T36" i="12"/>
  <c r="T36" i="13"/>
  <c r="T34" i="12"/>
  <c r="T34" i="13"/>
  <c r="T40" i="12"/>
  <c r="T40" i="13"/>
  <c r="T37" i="12"/>
  <c r="T37" i="13"/>
  <c r="T27" i="12"/>
  <c r="R27" i="24" s="1"/>
  <c r="R72" i="24" s="1"/>
  <c r="T27" i="13"/>
  <c r="T44" i="12"/>
  <c r="T44" i="13"/>
  <c r="T42" i="12"/>
  <c r="T42" i="13"/>
  <c r="T9" i="12"/>
  <c r="T9" i="13"/>
  <c r="T18" i="12"/>
  <c r="T18" i="13"/>
  <c r="R38" i="11"/>
  <c r="Q38" i="12"/>
  <c r="R38" i="12" s="1"/>
  <c r="Q38" i="13"/>
  <c r="R38" i="13" s="1"/>
  <c r="Q19" i="12"/>
  <c r="R19" i="12" s="1"/>
  <c r="R19" i="11"/>
  <c r="Q19" i="13"/>
  <c r="R19" i="13" s="1"/>
  <c r="R39" i="11"/>
  <c r="Q39" i="12"/>
  <c r="R39" i="12" s="1"/>
  <c r="Q39" i="13"/>
  <c r="R39" i="13" s="1"/>
  <c r="Q24" i="12"/>
  <c r="R24" i="12" s="1"/>
  <c r="R24" i="11"/>
  <c r="Q24" i="13"/>
  <c r="R24" i="13" s="1"/>
  <c r="R6" i="11"/>
  <c r="Q6" i="12"/>
  <c r="R6" i="12" s="1"/>
  <c r="Q6" i="13"/>
  <c r="R6" i="13" s="1"/>
  <c r="R14" i="11"/>
  <c r="Q14" i="12"/>
  <c r="R14" i="12" s="1"/>
  <c r="Q14" i="13"/>
  <c r="R14" i="13" s="1"/>
  <c r="R7" i="11"/>
  <c r="Q7" i="12"/>
  <c r="R7" i="12" s="1"/>
  <c r="Q7" i="13"/>
  <c r="R7" i="13" s="1"/>
  <c r="Q11" i="12"/>
  <c r="R11" i="12" s="1"/>
  <c r="R11" i="11"/>
  <c r="Q11" i="13"/>
  <c r="R11" i="13" s="1"/>
  <c r="U23" i="12"/>
  <c r="U23" i="13"/>
  <c r="D45" i="5"/>
  <c r="P47" i="13"/>
  <c r="P47" i="12"/>
  <c r="P47" i="11"/>
  <c r="P47" i="10"/>
  <c r="R16" i="11"/>
  <c r="Q16" i="12"/>
  <c r="R16" i="12" s="1"/>
  <c r="Q16" i="13"/>
  <c r="R16" i="13" s="1"/>
  <c r="R15" i="11"/>
  <c r="Q15" i="12"/>
  <c r="R15" i="12" s="1"/>
  <c r="Q15" i="13"/>
  <c r="R15" i="13" s="1"/>
  <c r="Q29" i="12"/>
  <c r="R29" i="12" s="1"/>
  <c r="R29" i="11"/>
  <c r="Q29" i="13"/>
  <c r="R29" i="13" s="1"/>
  <c r="R43" i="11"/>
  <c r="Q43" i="12"/>
  <c r="R43" i="12" s="1"/>
  <c r="Q43" i="13"/>
  <c r="R43" i="13" s="1"/>
  <c r="R35" i="11"/>
  <c r="Q35" i="12"/>
  <c r="R35" i="12" s="1"/>
  <c r="Q35" i="13"/>
  <c r="R35" i="13" s="1"/>
  <c r="R21" i="11"/>
  <c r="Q21" i="12"/>
  <c r="R21" i="12" s="1"/>
  <c r="Q21" i="13"/>
  <c r="R21" i="13" s="1"/>
  <c r="Q8" i="12"/>
  <c r="R8" i="12" s="1"/>
  <c r="R8" i="11"/>
  <c r="Q8" i="13"/>
  <c r="R8" i="13" s="1"/>
  <c r="R34" i="11"/>
  <c r="Q34" i="12"/>
  <c r="R34" i="12" s="1"/>
  <c r="Q34" i="13"/>
  <c r="R34" i="13" s="1"/>
  <c r="R27" i="11"/>
  <c r="Q27" i="12"/>
  <c r="R27" i="12" s="1"/>
  <c r="Q27" i="13"/>
  <c r="R27" i="13" s="1"/>
  <c r="Q12" i="12"/>
  <c r="R12" i="12" s="1"/>
  <c r="R12" i="11"/>
  <c r="Q12" i="13"/>
  <c r="R12" i="13" s="1"/>
  <c r="U44" i="12"/>
  <c r="U44" i="13"/>
  <c r="U36" i="12"/>
  <c r="U36" i="13"/>
  <c r="U25" i="12"/>
  <c r="S25" i="24" s="1"/>
  <c r="S70" i="24" s="1"/>
  <c r="U25" i="13"/>
  <c r="U16" i="12"/>
  <c r="U16" i="13"/>
  <c r="U17" i="12"/>
  <c r="U17" i="13"/>
  <c r="U19" i="12"/>
  <c r="U19" i="13"/>
  <c r="U15" i="12"/>
  <c r="U15" i="13"/>
  <c r="U6" i="12"/>
  <c r="U6" i="13"/>
  <c r="U29" i="12"/>
  <c r="U29" i="13"/>
  <c r="U11" i="12"/>
  <c r="U11" i="13"/>
  <c r="M21" i="12"/>
  <c r="M21" i="13"/>
  <c r="M44" i="12"/>
  <c r="M44" i="13"/>
  <c r="M30" i="12"/>
  <c r="M30" i="13"/>
  <c r="M37" i="12"/>
  <c r="M37" i="13"/>
  <c r="M38" i="12"/>
  <c r="M38" i="13"/>
  <c r="M43" i="12"/>
  <c r="M43" i="13"/>
  <c r="M28" i="12"/>
  <c r="M28" i="13"/>
  <c r="M24" i="12"/>
  <c r="M24" i="13"/>
  <c r="M5" i="12"/>
  <c r="M5" i="13"/>
  <c r="M46" i="11"/>
  <c r="M10" i="12"/>
  <c r="M10" i="24" s="1"/>
  <c r="M55" i="24" s="1"/>
  <c r="M10" i="13"/>
  <c r="T30" i="12"/>
  <c r="T30" i="13"/>
  <c r="T14" i="12"/>
  <c r="T14" i="13"/>
  <c r="T33" i="12"/>
  <c r="T33" i="13"/>
  <c r="T38" i="12"/>
  <c r="T38" i="13"/>
  <c r="T15" i="12"/>
  <c r="R15" i="24" s="1"/>
  <c r="R60" i="24" s="1"/>
  <c r="T15" i="13"/>
  <c r="T29" i="12"/>
  <c r="T29" i="13"/>
  <c r="T5" i="12"/>
  <c r="R5" i="24" s="1"/>
  <c r="R50" i="24" s="1"/>
  <c r="T5" i="13"/>
  <c r="T46" i="11"/>
  <c r="T26" i="12"/>
  <c r="T26" i="13"/>
  <c r="T11" i="12"/>
  <c r="T11" i="13"/>
  <c r="T12" i="12"/>
  <c r="T12" i="13"/>
  <c r="T21" i="12"/>
  <c r="T21" i="13"/>
  <c r="T20" i="12"/>
  <c r="T20" i="13"/>
  <c r="T25" i="12"/>
  <c r="T25" i="13"/>
  <c r="T39" i="12"/>
  <c r="T39" i="13"/>
  <c r="T32" i="12"/>
  <c r="T32" i="13"/>
  <c r="T22" i="12"/>
  <c r="T22" i="13"/>
  <c r="T13" i="12"/>
  <c r="T13" i="13"/>
  <c r="T17" i="12"/>
  <c r="R17" i="24" s="1"/>
  <c r="R62" i="24" s="1"/>
  <c r="T17" i="13"/>
  <c r="T7" i="12"/>
  <c r="T7" i="13"/>
  <c r="T10" i="12"/>
  <c r="T10" i="13"/>
  <c r="T41" i="12"/>
  <c r="T41" i="13"/>
  <c r="T23" i="12"/>
  <c r="T23" i="13"/>
  <c r="T31" i="12"/>
  <c r="R31" i="24" s="1"/>
  <c r="R76" i="24" s="1"/>
  <c r="T31" i="13"/>
  <c r="T24" i="12"/>
  <c r="T24" i="13"/>
  <c r="T16" i="12"/>
  <c r="R16" i="24" s="1"/>
  <c r="R61" i="24" s="1"/>
  <c r="T16" i="13"/>
  <c r="T35" i="12"/>
  <c r="T35" i="13"/>
  <c r="T28" i="12"/>
  <c r="T28" i="13"/>
  <c r="T19" i="12"/>
  <c r="T19" i="13"/>
  <c r="T6" i="12"/>
  <c r="R6" i="24" s="1"/>
  <c r="R51" i="24" s="1"/>
  <c r="T6" i="13"/>
  <c r="T8" i="12"/>
  <c r="T8" i="13"/>
  <c r="D10" i="5"/>
  <c r="T66" i="6" s="1"/>
  <c r="Z19" i="11" l="1"/>
  <c r="Y19" i="12"/>
  <c r="Z19" i="12" s="1"/>
  <c r="Y19" i="13"/>
  <c r="Z19" i="13" s="1"/>
  <c r="Y39" i="12"/>
  <c r="Z39" i="11"/>
  <c r="Y39" i="13"/>
  <c r="Z39" i="13" s="1"/>
  <c r="Z21" i="11"/>
  <c r="Y21" i="12"/>
  <c r="Z21" i="12" s="1"/>
  <c r="Y21" i="13"/>
  <c r="Z21" i="13" s="1"/>
  <c r="Q55" i="9"/>
  <c r="Q54" i="9"/>
  <c r="Q58" i="9"/>
  <c r="P13" i="9"/>
  <c r="X45" i="9"/>
  <c r="AD10" i="7"/>
  <c r="AC10" i="9"/>
  <c r="AD10" i="9" s="1"/>
  <c r="AC12" i="9"/>
  <c r="AD12" i="9" s="1"/>
  <c r="AD12" i="7"/>
  <c r="AD61" i="7"/>
  <c r="AC61" i="9"/>
  <c r="AD61" i="9" s="1"/>
  <c r="AC32" i="9"/>
  <c r="AD32" i="9" s="1"/>
  <c r="AD32" i="7"/>
  <c r="AD30" i="7"/>
  <c r="AC30" i="9"/>
  <c r="AD30" i="9" s="1"/>
  <c r="N16" i="12"/>
  <c r="N16" i="24" s="1"/>
  <c r="N61" i="24" s="1"/>
  <c r="N16" i="13"/>
  <c r="N33" i="13"/>
  <c r="N33" i="12"/>
  <c r="N40" i="13"/>
  <c r="N40" i="12"/>
  <c r="N40" i="24" s="1"/>
  <c r="N85" i="24" s="1"/>
  <c r="Y70" i="6"/>
  <c r="Y64" i="7"/>
  <c r="Y64" i="9"/>
  <c r="Y64" i="8"/>
  <c r="Y68" i="8" s="1"/>
  <c r="O63" i="7"/>
  <c r="O68" i="7" s="1"/>
  <c r="O5" i="9"/>
  <c r="O63" i="9" s="1"/>
  <c r="U5" i="9"/>
  <c r="U63" i="9" s="1"/>
  <c r="U63" i="7"/>
  <c r="U68" i="7" s="1"/>
  <c r="Y23" i="12"/>
  <c r="Z23" i="11"/>
  <c r="Y23" i="13"/>
  <c r="Z23" i="13" s="1"/>
  <c r="Y15" i="12"/>
  <c r="Y15" i="13"/>
  <c r="Z15" i="13" s="1"/>
  <c r="Z15" i="11"/>
  <c r="Y27" i="12"/>
  <c r="Z27" i="11"/>
  <c r="Y27" i="13"/>
  <c r="Z27" i="13" s="1"/>
  <c r="Q25" i="9"/>
  <c r="Q12" i="9"/>
  <c r="Q20" i="9"/>
  <c r="Q42" i="9"/>
  <c r="P18" i="9"/>
  <c r="X24" i="9"/>
  <c r="AC37" i="9"/>
  <c r="AD37" i="9" s="1"/>
  <c r="AD37" i="7"/>
  <c r="AC35" i="9"/>
  <c r="AD35" i="9" s="1"/>
  <c r="AD35" i="7"/>
  <c r="AC41" i="9"/>
  <c r="AD41" i="9" s="1"/>
  <c r="AD41" i="7"/>
  <c r="AC15" i="9"/>
  <c r="AD15" i="9" s="1"/>
  <c r="AD15" i="7"/>
  <c r="AC57" i="9"/>
  <c r="AD57" i="9" s="1"/>
  <c r="AD57" i="7"/>
  <c r="N23" i="12"/>
  <c r="N23" i="13"/>
  <c r="N21" i="13"/>
  <c r="N21" i="12"/>
  <c r="N21" i="24" s="1"/>
  <c r="N66" i="24" s="1"/>
  <c r="N14" i="12"/>
  <c r="N14" i="13"/>
  <c r="L13" i="9"/>
  <c r="P5" i="9"/>
  <c r="P63" i="7"/>
  <c r="P68" i="7" s="1"/>
  <c r="P13" i="8" s="1"/>
  <c r="P13" i="23" s="1"/>
  <c r="P75" i="23" s="1"/>
  <c r="AH18" i="9"/>
  <c r="AC19" i="9"/>
  <c r="AD19" i="9" s="1"/>
  <c r="AD19" i="7"/>
  <c r="AD58" i="7"/>
  <c r="AC58" i="9"/>
  <c r="AD58" i="9" s="1"/>
  <c r="AC9" i="9"/>
  <c r="AD9" i="9" s="1"/>
  <c r="AD9" i="7"/>
  <c r="AC22" i="9"/>
  <c r="AD22" i="9" s="1"/>
  <c r="AD22" i="7"/>
  <c r="N17" i="13"/>
  <c r="N17" i="12"/>
  <c r="N30" i="13"/>
  <c r="N30" i="12"/>
  <c r="N30" i="24"/>
  <c r="N75" i="24" s="1"/>
  <c r="N44" i="12"/>
  <c r="N44" i="24" s="1"/>
  <c r="N89" i="24" s="1"/>
  <c r="N44" i="13"/>
  <c r="M20" i="7"/>
  <c r="M20" i="9" s="1"/>
  <c r="M11" i="7"/>
  <c r="M11" i="9" s="1"/>
  <c r="M25" i="7"/>
  <c r="M25" i="9" s="1"/>
  <c r="M36" i="7"/>
  <c r="M36" i="9" s="1"/>
  <c r="M44" i="7"/>
  <c r="M44" i="9" s="1"/>
  <c r="M59" i="7"/>
  <c r="M59" i="9" s="1"/>
  <c r="M26" i="7"/>
  <c r="M26" i="9" s="1"/>
  <c r="M39" i="7"/>
  <c r="M39" i="9" s="1"/>
  <c r="M40" i="7"/>
  <c r="M40" i="9" s="1"/>
  <c r="M15" i="7"/>
  <c r="M15" i="9" s="1"/>
  <c r="M9" i="7"/>
  <c r="M9" i="9" s="1"/>
  <c r="M57" i="7"/>
  <c r="M57" i="9" s="1"/>
  <c r="M6" i="7"/>
  <c r="M6" i="9" s="1"/>
  <c r="M16" i="7"/>
  <c r="M16" i="9" s="1"/>
  <c r="M50" i="7"/>
  <c r="M50" i="9" s="1"/>
  <c r="M23" i="7"/>
  <c r="M23" i="9" s="1"/>
  <c r="M43" i="7"/>
  <c r="M43" i="9" s="1"/>
  <c r="M35" i="7"/>
  <c r="M35" i="9" s="1"/>
  <c r="M51" i="7"/>
  <c r="M51" i="9" s="1"/>
  <c r="M12" i="7"/>
  <c r="M12" i="9" s="1"/>
  <c r="M17" i="7"/>
  <c r="M17" i="9" s="1"/>
  <c r="M22" i="7"/>
  <c r="M22" i="9" s="1"/>
  <c r="M31" i="7"/>
  <c r="M31" i="9" s="1"/>
  <c r="M29" i="7"/>
  <c r="M29" i="9" s="1"/>
  <c r="M38" i="7"/>
  <c r="M38" i="9" s="1"/>
  <c r="M42" i="7"/>
  <c r="M42" i="9" s="1"/>
  <c r="M61" i="7"/>
  <c r="M61" i="9" s="1"/>
  <c r="M18" i="7"/>
  <c r="M18" i="9" s="1"/>
  <c r="M53" i="7"/>
  <c r="M53" i="9" s="1"/>
  <c r="M27" i="7"/>
  <c r="M27" i="9" s="1"/>
  <c r="M13" i="7"/>
  <c r="M13" i="9" s="1"/>
  <c r="M33" i="7"/>
  <c r="M33" i="9" s="1"/>
  <c r="M7" i="7"/>
  <c r="M7" i="9" s="1"/>
  <c r="M10" i="7"/>
  <c r="M10" i="9" s="1"/>
  <c r="M19" i="7"/>
  <c r="M19" i="9" s="1"/>
  <c r="M5" i="7"/>
  <c r="M45" i="7"/>
  <c r="M45" i="9" s="1"/>
  <c r="M49" i="7"/>
  <c r="M49" i="9" s="1"/>
  <c r="M55" i="7"/>
  <c r="M55" i="9" s="1"/>
  <c r="M8" i="7"/>
  <c r="M8" i="9" s="1"/>
  <c r="M41" i="7"/>
  <c r="M41" i="9" s="1"/>
  <c r="M32" i="7"/>
  <c r="M32" i="9" s="1"/>
  <c r="M60" i="7"/>
  <c r="M60" i="9" s="1"/>
  <c r="M28" i="7"/>
  <c r="M28" i="9" s="1"/>
  <c r="M46" i="7"/>
  <c r="M46" i="9" s="1"/>
  <c r="M21" i="7"/>
  <c r="M21" i="9" s="1"/>
  <c r="M30" i="7"/>
  <c r="M30" i="9" s="1"/>
  <c r="M52" i="7"/>
  <c r="M52" i="9" s="1"/>
  <c r="M48" i="7"/>
  <c r="M48" i="9" s="1"/>
  <c r="M54" i="7"/>
  <c r="M54" i="9" s="1"/>
  <c r="M24" i="7"/>
  <c r="M24" i="9" s="1"/>
  <c r="M34" i="7"/>
  <c r="M34" i="9" s="1"/>
  <c r="Z10" i="11"/>
  <c r="Y10" i="13"/>
  <c r="Z10" i="13" s="1"/>
  <c r="Y10" i="12"/>
  <c r="Z10" i="12" s="1"/>
  <c r="Q16" i="9"/>
  <c r="Q8" i="9"/>
  <c r="N17" i="24"/>
  <c r="N62" i="24" s="1"/>
  <c r="U30" i="24"/>
  <c r="U75" i="24" s="1"/>
  <c r="Z18" i="11"/>
  <c r="Y18" i="12"/>
  <c r="Y18" i="13"/>
  <c r="Z18" i="13" s="1"/>
  <c r="Y33" i="13"/>
  <c r="Z33" i="13" s="1"/>
  <c r="Z33" i="11"/>
  <c r="Y33" i="12"/>
  <c r="Z41" i="11"/>
  <c r="Y41" i="12"/>
  <c r="Y41" i="13"/>
  <c r="Z41" i="13" s="1"/>
  <c r="Q5" i="9"/>
  <c r="Q63" i="7"/>
  <c r="Q68" i="7" s="1"/>
  <c r="Q25" i="8" s="1"/>
  <c r="Q25" i="23" s="1"/>
  <c r="Q87" i="23" s="1"/>
  <c r="Q47" i="9"/>
  <c r="Q34" i="9"/>
  <c r="Q53" i="9"/>
  <c r="P44" i="9"/>
  <c r="P44" i="8"/>
  <c r="P44" i="23" s="1"/>
  <c r="P106" i="23" s="1"/>
  <c r="AC8" i="9"/>
  <c r="AD8" i="9" s="1"/>
  <c r="AD8" i="7"/>
  <c r="AD43" i="7"/>
  <c r="AC43" i="9"/>
  <c r="AD43" i="9" s="1"/>
  <c r="AD18" i="7"/>
  <c r="AC18" i="9"/>
  <c r="AD18" i="9" s="1"/>
  <c r="AD47" i="7"/>
  <c r="AC47" i="9"/>
  <c r="AD47" i="9" s="1"/>
  <c r="N42" i="13"/>
  <c r="N42" i="12"/>
  <c r="N42" i="24" s="1"/>
  <c r="N87" i="24" s="1"/>
  <c r="N20" i="12"/>
  <c r="N20" i="13"/>
  <c r="N6" i="12"/>
  <c r="N6" i="24" s="1"/>
  <c r="N51" i="24" s="1"/>
  <c r="N6" i="13"/>
  <c r="AI23" i="8"/>
  <c r="AI23" i="9"/>
  <c r="AI5" i="9"/>
  <c r="AI63" i="7"/>
  <c r="AI68" i="7" s="1"/>
  <c r="Z38" i="11"/>
  <c r="Y38" i="12"/>
  <c r="Z38" i="12" s="1"/>
  <c r="Y38" i="13"/>
  <c r="Z38" i="13" s="1"/>
  <c r="Z22" i="11"/>
  <c r="Y22" i="12"/>
  <c r="Z22" i="12" s="1"/>
  <c r="Y22" i="13"/>
  <c r="Z22" i="13" s="1"/>
  <c r="Q26" i="9"/>
  <c r="Q43" i="9"/>
  <c r="Q43" i="8"/>
  <c r="O6" i="8"/>
  <c r="O6" i="23" s="1"/>
  <c r="O68" i="23" s="1"/>
  <c r="U19" i="24"/>
  <c r="U64" i="24" s="1"/>
  <c r="Y28" i="12"/>
  <c r="Z28" i="11"/>
  <c r="Y28" i="13"/>
  <c r="Z28" i="13" s="1"/>
  <c r="Z29" i="11"/>
  <c r="Y29" i="12"/>
  <c r="Y29" i="13"/>
  <c r="Z29" i="13" s="1"/>
  <c r="Y34" i="12"/>
  <c r="Y34" i="13"/>
  <c r="Z34" i="13" s="1"/>
  <c r="Z34" i="11"/>
  <c r="Q51" i="9"/>
  <c r="Q57" i="9"/>
  <c r="Q32" i="9"/>
  <c r="P52" i="9"/>
  <c r="P52" i="8"/>
  <c r="P52" i="23" s="1"/>
  <c r="P114" i="23" s="1"/>
  <c r="P57" i="9"/>
  <c r="P57" i="8"/>
  <c r="P57" i="23" s="1"/>
  <c r="P119" i="23" s="1"/>
  <c r="R63" i="7"/>
  <c r="R5" i="9"/>
  <c r="R63" i="9" s="1"/>
  <c r="O7" i="11"/>
  <c r="O43" i="11"/>
  <c r="O32" i="11"/>
  <c r="O18" i="11"/>
  <c r="O6" i="11"/>
  <c r="O15" i="11"/>
  <c r="O28" i="11"/>
  <c r="O12" i="11"/>
  <c r="O22" i="11"/>
  <c r="O24" i="11"/>
  <c r="O30" i="11"/>
  <c r="O8" i="11"/>
  <c r="O38" i="11"/>
  <c r="O17" i="11"/>
  <c r="O33" i="11"/>
  <c r="O11" i="11"/>
  <c r="O14" i="11"/>
  <c r="O31" i="11"/>
  <c r="O21" i="11"/>
  <c r="O10" i="11"/>
  <c r="O39" i="11"/>
  <c r="O37" i="11"/>
  <c r="O40" i="11"/>
  <c r="O13" i="11"/>
  <c r="O20" i="11"/>
  <c r="O36" i="11"/>
  <c r="O44" i="11"/>
  <c r="O25" i="11"/>
  <c r="O29" i="11"/>
  <c r="O41" i="11"/>
  <c r="O34" i="11"/>
  <c r="O16" i="11"/>
  <c r="O26" i="11"/>
  <c r="O35" i="11"/>
  <c r="O5" i="11"/>
  <c r="O42" i="11"/>
  <c r="O27" i="11"/>
  <c r="O9" i="11"/>
  <c r="O19" i="11"/>
  <c r="O23" i="11"/>
  <c r="AC13" i="9"/>
  <c r="AD13" i="9" s="1"/>
  <c r="AD13" i="7"/>
  <c r="AD53" i="7"/>
  <c r="AC53" i="9"/>
  <c r="AD53" i="9" s="1"/>
  <c r="AC31" i="9"/>
  <c r="AD31" i="9" s="1"/>
  <c r="AD31" i="7"/>
  <c r="AC39" i="9"/>
  <c r="AD39" i="9" s="1"/>
  <c r="AD39" i="7"/>
  <c r="N11" i="12"/>
  <c r="N11" i="24" s="1"/>
  <c r="N56" i="24" s="1"/>
  <c r="N11" i="13"/>
  <c r="N31" i="12"/>
  <c r="N31" i="13"/>
  <c r="N29" i="12"/>
  <c r="N29" i="24" s="1"/>
  <c r="N74" i="24" s="1"/>
  <c r="N29" i="13"/>
  <c r="L35" i="8"/>
  <c r="L35" i="9"/>
  <c r="U38" i="24"/>
  <c r="U83" i="24" s="1"/>
  <c r="Y9" i="12"/>
  <c r="Z9" i="12" s="1"/>
  <c r="Z9" i="11"/>
  <c r="Y9" i="13"/>
  <c r="Z9" i="13" s="1"/>
  <c r="Y43" i="13"/>
  <c r="Z43" i="13" s="1"/>
  <c r="Y43" i="12"/>
  <c r="Z43" i="12" s="1"/>
  <c r="Z43" i="11"/>
  <c r="Y25" i="12"/>
  <c r="Z25" i="12" s="1"/>
  <c r="Z25" i="11"/>
  <c r="Y25" i="13"/>
  <c r="Z25" i="13" s="1"/>
  <c r="Q13" i="9"/>
  <c r="Q6" i="9"/>
  <c r="Y5" i="23"/>
  <c r="Y67" i="23" s="1"/>
  <c r="Z63" i="8"/>
  <c r="P6" i="9"/>
  <c r="P6" i="8"/>
  <c r="P6" i="23" s="1"/>
  <c r="P68" i="23" s="1"/>
  <c r="P8" i="9"/>
  <c r="P8" i="8"/>
  <c r="P8" i="23" s="1"/>
  <c r="P70" i="23" s="1"/>
  <c r="AH5" i="9"/>
  <c r="AH63" i="7"/>
  <c r="AH68" i="7" s="1"/>
  <c r="AH31" i="8" s="1"/>
  <c r="AD31" i="23" s="1"/>
  <c r="AD93" i="23" s="1"/>
  <c r="X35" i="8"/>
  <c r="W35" i="23" s="1"/>
  <c r="W97" i="23" s="1"/>
  <c r="X35" i="9"/>
  <c r="AC50" i="9"/>
  <c r="AD50" i="9" s="1"/>
  <c r="AD50" i="7"/>
  <c r="AC52" i="9"/>
  <c r="AD52" i="9" s="1"/>
  <c r="AD52" i="7"/>
  <c r="AC21" i="9"/>
  <c r="AD21" i="9" s="1"/>
  <c r="AD21" i="7"/>
  <c r="AD36" i="7"/>
  <c r="AC36" i="9"/>
  <c r="AD36" i="9" s="1"/>
  <c r="AC6" i="9"/>
  <c r="AD6" i="9" s="1"/>
  <c r="AD6" i="7"/>
  <c r="N12" i="12"/>
  <c r="N12" i="24" s="1"/>
  <c r="N57" i="24" s="1"/>
  <c r="N12" i="13"/>
  <c r="N13" i="12"/>
  <c r="N13" i="24" s="1"/>
  <c r="N58" i="24" s="1"/>
  <c r="N13" i="13"/>
  <c r="N8" i="13"/>
  <c r="N8" i="12"/>
  <c r="N8" i="24" s="1"/>
  <c r="N53" i="24" s="1"/>
  <c r="S63" i="7"/>
  <c r="U10" i="24"/>
  <c r="U55" i="24" s="1"/>
  <c r="Z5" i="23"/>
  <c r="Z67" i="23" s="1"/>
  <c r="AA63" i="8"/>
  <c r="Y17" i="12"/>
  <c r="Y17" i="13"/>
  <c r="Z17" i="13" s="1"/>
  <c r="Z17" i="11"/>
  <c r="Y12" i="12"/>
  <c r="Z12" i="11"/>
  <c r="Y12" i="13"/>
  <c r="Z12" i="13" s="1"/>
  <c r="Z6" i="11"/>
  <c r="Y6" i="13"/>
  <c r="Z6" i="13" s="1"/>
  <c r="Y6" i="12"/>
  <c r="Z6" i="12" s="1"/>
  <c r="Q19" i="9"/>
  <c r="P7" i="9"/>
  <c r="P7" i="8"/>
  <c r="P35" i="9"/>
  <c r="P35" i="23" s="1"/>
  <c r="P97" i="23" s="1"/>
  <c r="P35" i="8"/>
  <c r="X63" i="7"/>
  <c r="X68" i="7" s="1"/>
  <c r="X31" i="8" s="1"/>
  <c r="W31" i="23" s="1"/>
  <c r="W93" i="23" s="1"/>
  <c r="X5" i="9"/>
  <c r="AC20" i="9"/>
  <c r="AD20" i="9" s="1"/>
  <c r="AD20" i="7"/>
  <c r="AD24" i="7"/>
  <c r="AC24" i="9"/>
  <c r="AD24" i="9" s="1"/>
  <c r="AD23" i="7"/>
  <c r="AC23" i="9"/>
  <c r="AD23" i="9" s="1"/>
  <c r="AD56" i="7"/>
  <c r="AC56" i="9"/>
  <c r="AD56" i="9" s="1"/>
  <c r="AD17" i="7"/>
  <c r="AC17" i="9"/>
  <c r="AD17" i="9" s="1"/>
  <c r="N10" i="12"/>
  <c r="N10" i="24" s="1"/>
  <c r="N55" i="24" s="1"/>
  <c r="N10" i="13"/>
  <c r="N43" i="12"/>
  <c r="N43" i="13"/>
  <c r="N37" i="12"/>
  <c r="N37" i="24" s="1"/>
  <c r="N82" i="24" s="1"/>
  <c r="N37" i="13"/>
  <c r="L6" i="26"/>
  <c r="U22" i="24"/>
  <c r="U67" i="24" s="1"/>
  <c r="Z11" i="11"/>
  <c r="Y11" i="13"/>
  <c r="Z11" i="13" s="1"/>
  <c r="Y11" i="12"/>
  <c r="Z11" i="12" s="1"/>
  <c r="Z36" i="11"/>
  <c r="Y36" i="12"/>
  <c r="Z36" i="12" s="1"/>
  <c r="Y36" i="13"/>
  <c r="Z36" i="13" s="1"/>
  <c r="Z32" i="11"/>
  <c r="Y32" i="12"/>
  <c r="Z32" i="12" s="1"/>
  <c r="Y32" i="13"/>
  <c r="Z32" i="13" s="1"/>
  <c r="P26" i="9"/>
  <c r="P26" i="8"/>
  <c r="P26" i="23" s="1"/>
  <c r="P88" i="23" s="1"/>
  <c r="P39" i="9"/>
  <c r="P39" i="8"/>
  <c r="AH17" i="8"/>
  <c r="AD17" i="23" s="1"/>
  <c r="AD79" i="23" s="1"/>
  <c r="AH17" i="9"/>
  <c r="AC60" i="9"/>
  <c r="AD60" i="9" s="1"/>
  <c r="AD60" i="7"/>
  <c r="AD45" i="7"/>
  <c r="AC45" i="9"/>
  <c r="AD45" i="9" s="1"/>
  <c r="AD38" i="7"/>
  <c r="AC38" i="9"/>
  <c r="AD38" i="9" s="1"/>
  <c r="AD5" i="7"/>
  <c r="AC5" i="9"/>
  <c r="AC63" i="7"/>
  <c r="AC68" i="7" s="1"/>
  <c r="AC22" i="8" s="1"/>
  <c r="AD27" i="7"/>
  <c r="AC27" i="9"/>
  <c r="AD27" i="9" s="1"/>
  <c r="N38" i="12"/>
  <c r="N38" i="13"/>
  <c r="N28" i="12"/>
  <c r="N28" i="13"/>
  <c r="N28" i="24"/>
  <c r="N73" i="24" s="1"/>
  <c r="N32" i="13"/>
  <c r="N32" i="12"/>
  <c r="M47" i="7"/>
  <c r="M47" i="9" s="1"/>
  <c r="Y31" i="12"/>
  <c r="Z31" i="12" s="1"/>
  <c r="Z31" i="11"/>
  <c r="Y31" i="13"/>
  <c r="Z31" i="13" s="1"/>
  <c r="Y5" i="13"/>
  <c r="Y5" i="12"/>
  <c r="Z5" i="11"/>
  <c r="Y46" i="11"/>
  <c r="Z40" i="11"/>
  <c r="Y40" i="13"/>
  <c r="Z40" i="13" s="1"/>
  <c r="Y40" i="12"/>
  <c r="Q29" i="9"/>
  <c r="O7" i="25"/>
  <c r="X27" i="9"/>
  <c r="X27" i="8"/>
  <c r="W27" i="23" s="1"/>
  <c r="W89" i="23" s="1"/>
  <c r="AC44" i="9"/>
  <c r="AD44" i="9" s="1"/>
  <c r="AD44" i="7"/>
  <c r="AD28" i="7"/>
  <c r="AC28" i="9"/>
  <c r="AD28" i="9" s="1"/>
  <c r="AD46" i="7"/>
  <c r="AC46" i="9"/>
  <c r="AD46" i="9" s="1"/>
  <c r="AD25" i="7"/>
  <c r="AC25" i="9"/>
  <c r="AD25" i="9" s="1"/>
  <c r="AD54" i="7"/>
  <c r="AC54" i="9"/>
  <c r="AD54" i="9" s="1"/>
  <c r="N9" i="12"/>
  <c r="N9" i="13"/>
  <c r="N36" i="12"/>
  <c r="N36" i="24" s="1"/>
  <c r="N81" i="24" s="1"/>
  <c r="N36" i="13"/>
  <c r="N25" i="12"/>
  <c r="N25" i="13"/>
  <c r="L63" i="7"/>
  <c r="L68" i="7" s="1"/>
  <c r="L13" i="8" s="1"/>
  <c r="L13" i="23" s="1"/>
  <c r="L75" i="23" s="1"/>
  <c r="L5" i="9"/>
  <c r="M37" i="7"/>
  <c r="M37" i="9" s="1"/>
  <c r="Z8" i="11"/>
  <c r="Y8" i="12"/>
  <c r="Z8" i="12" s="1"/>
  <c r="Y8" i="13"/>
  <c r="Z8" i="13" s="1"/>
  <c r="M31" i="24"/>
  <c r="M76" i="24" s="1"/>
  <c r="R43" i="24"/>
  <c r="R88" i="24" s="1"/>
  <c r="S35" i="24"/>
  <c r="S80" i="24" s="1"/>
  <c r="P12" i="8"/>
  <c r="P12" i="23" s="1"/>
  <c r="P74" i="23" s="1"/>
  <c r="U21" i="24"/>
  <c r="U66" i="24" s="1"/>
  <c r="P7" i="23"/>
  <c r="P69" i="23" s="1"/>
  <c r="AH34" i="8"/>
  <c r="AD34" i="23" s="1"/>
  <c r="AD96" i="23" s="1"/>
  <c r="P7" i="25"/>
  <c r="Z35" i="11"/>
  <c r="Y35" i="12"/>
  <c r="Y35" i="13"/>
  <c r="Z35" i="13" s="1"/>
  <c r="Z44" i="11"/>
  <c r="Y44" i="12"/>
  <c r="Y44" i="13"/>
  <c r="Z44" i="13" s="1"/>
  <c r="Z13" i="11"/>
  <c r="Y13" i="12"/>
  <c r="Y13" i="13"/>
  <c r="Z13" i="13" s="1"/>
  <c r="Q23" i="9"/>
  <c r="Q23" i="8"/>
  <c r="Q23" i="23" s="1"/>
  <c r="Q85" i="23" s="1"/>
  <c r="P50" i="8"/>
  <c r="P50" i="9"/>
  <c r="X6" i="25"/>
  <c r="AD40" i="7"/>
  <c r="AC40" i="9"/>
  <c r="AD40" i="9" s="1"/>
  <c r="AC55" i="9"/>
  <c r="AD55" i="9" s="1"/>
  <c r="AD55" i="7"/>
  <c r="AD29" i="7"/>
  <c r="AC29" i="9"/>
  <c r="AD29" i="9" s="1"/>
  <c r="AD51" i="7"/>
  <c r="AC51" i="9"/>
  <c r="AD51" i="9" s="1"/>
  <c r="AD49" i="7"/>
  <c r="AC49" i="9"/>
  <c r="AD49" i="9" s="1"/>
  <c r="N7" i="12"/>
  <c r="N7" i="24" s="1"/>
  <c r="N52" i="24" s="1"/>
  <c r="N7" i="13"/>
  <c r="N27" i="12"/>
  <c r="N27" i="13"/>
  <c r="N35" i="13"/>
  <c r="N35" i="12"/>
  <c r="N24" i="12"/>
  <c r="N24" i="24" s="1"/>
  <c r="N69" i="24" s="1"/>
  <c r="N24" i="13"/>
  <c r="S13" i="11"/>
  <c r="S16" i="11"/>
  <c r="S9" i="11"/>
  <c r="S26" i="11"/>
  <c r="S33" i="11"/>
  <c r="S17" i="11"/>
  <c r="S12" i="11"/>
  <c r="S42" i="11"/>
  <c r="S22" i="11"/>
  <c r="S37" i="11"/>
  <c r="S10" i="11"/>
  <c r="S27" i="11"/>
  <c r="S39" i="11"/>
  <c r="S34" i="11"/>
  <c r="S7" i="11"/>
  <c r="S36" i="11"/>
  <c r="S32" i="11"/>
  <c r="S29" i="11"/>
  <c r="S25" i="11"/>
  <c r="S18" i="11"/>
  <c r="S11" i="11"/>
  <c r="S30" i="11"/>
  <c r="S38" i="11"/>
  <c r="S6" i="11"/>
  <c r="S19" i="11"/>
  <c r="S14" i="11"/>
  <c r="S44" i="11"/>
  <c r="S31" i="11"/>
  <c r="S28" i="11"/>
  <c r="S5" i="11"/>
  <c r="S15" i="11"/>
  <c r="S35" i="11"/>
  <c r="S41" i="11"/>
  <c r="S40" i="11"/>
  <c r="S23" i="11"/>
  <c r="S24" i="11"/>
  <c r="S21" i="11"/>
  <c r="S8" i="11"/>
  <c r="S43" i="11"/>
  <c r="S20" i="11"/>
  <c r="M14" i="7"/>
  <c r="M14" i="9" s="1"/>
  <c r="P30" i="8"/>
  <c r="P30" i="23" s="1"/>
  <c r="P92" i="23" s="1"/>
  <c r="W20" i="8"/>
  <c r="V20" i="23" s="1"/>
  <c r="V82" i="23" s="1"/>
  <c r="AH46" i="8"/>
  <c r="AD46" i="23" s="1"/>
  <c r="AD108" i="23" s="1"/>
  <c r="Q24" i="8"/>
  <c r="Q24" i="23" s="1"/>
  <c r="Q86" i="23" s="1"/>
  <c r="U5" i="24"/>
  <c r="U50" i="24" s="1"/>
  <c r="Q28" i="8"/>
  <c r="Q28" i="23" s="1"/>
  <c r="Q90" i="23" s="1"/>
  <c r="Q33" i="8"/>
  <c r="Q33" i="23" s="1"/>
  <c r="Q95" i="23" s="1"/>
  <c r="AH60" i="8"/>
  <c r="AD60" i="23" s="1"/>
  <c r="AD122" i="23" s="1"/>
  <c r="Y26" i="12"/>
  <c r="Z26" i="11"/>
  <c r="Y26" i="13"/>
  <c r="Z26" i="13" s="1"/>
  <c r="Y37" i="13"/>
  <c r="Z37" i="13" s="1"/>
  <c r="Z37" i="11"/>
  <c r="Y37" i="12"/>
  <c r="Z14" i="11"/>
  <c r="Y14" i="12"/>
  <c r="Y14" i="13"/>
  <c r="Z14" i="13" s="1"/>
  <c r="Q36" i="9"/>
  <c r="Q21" i="9"/>
  <c r="Q21" i="8"/>
  <c r="P45" i="8"/>
  <c r="P45" i="9"/>
  <c r="W5" i="9"/>
  <c r="W63" i="9" s="1"/>
  <c r="W63" i="7"/>
  <c r="W68" i="7" s="1"/>
  <c r="W46" i="8" s="1"/>
  <c r="V46" i="23" s="1"/>
  <c r="V108" i="23" s="1"/>
  <c r="X10" i="25"/>
  <c r="AC59" i="9"/>
  <c r="AD59" i="9" s="1"/>
  <c r="AD59" i="7"/>
  <c r="AC34" i="9"/>
  <c r="AD34" i="9" s="1"/>
  <c r="AD34" i="7"/>
  <c r="AD26" i="7"/>
  <c r="AC26" i="9"/>
  <c r="AD26" i="9" s="1"/>
  <c r="AD48" i="7"/>
  <c r="AC48" i="9"/>
  <c r="AD48" i="9" s="1"/>
  <c r="AC14" i="9"/>
  <c r="AD14" i="9" s="1"/>
  <c r="AD14" i="7"/>
  <c r="N39" i="12"/>
  <c r="N39" i="13"/>
  <c r="N19" i="13"/>
  <c r="N19" i="12"/>
  <c r="N41" i="13"/>
  <c r="N41" i="12"/>
  <c r="M56" i="7"/>
  <c r="M56" i="9" s="1"/>
  <c r="Q43" i="23"/>
  <c r="Q105" i="23" s="1"/>
  <c r="Z42" i="11"/>
  <c r="Y42" i="13"/>
  <c r="Z42" i="13" s="1"/>
  <c r="Y42" i="12"/>
  <c r="Z42" i="12" s="1"/>
  <c r="Z7" i="11"/>
  <c r="Y7" i="13"/>
  <c r="Z7" i="13" s="1"/>
  <c r="Y7" i="12"/>
  <c r="Z7" i="12" s="1"/>
  <c r="Y20" i="12"/>
  <c r="Z20" i="12" s="1"/>
  <c r="Z20" i="11"/>
  <c r="Y20" i="13"/>
  <c r="Z20" i="13" s="1"/>
  <c r="Q22" i="9"/>
  <c r="Q61" i="8"/>
  <c r="Q61" i="23" s="1"/>
  <c r="Q123" i="23" s="1"/>
  <c r="Q61" i="9"/>
  <c r="Q41" i="9"/>
  <c r="Q41" i="8"/>
  <c r="Q41" i="23" s="1"/>
  <c r="Q103" i="23" s="1"/>
  <c r="P15" i="8"/>
  <c r="P15" i="9"/>
  <c r="X8" i="25"/>
  <c r="AC11" i="9"/>
  <c r="AD11" i="9" s="1"/>
  <c r="AD11" i="7"/>
  <c r="AC16" i="9"/>
  <c r="AD16" i="9" s="1"/>
  <c r="AD16" i="7"/>
  <c r="AC42" i="9"/>
  <c r="AD42" i="9" s="1"/>
  <c r="AD42" i="7"/>
  <c r="AC33" i="9"/>
  <c r="AD33" i="9" s="1"/>
  <c r="AD33" i="7"/>
  <c r="AD7" i="7"/>
  <c r="AC7" i="9"/>
  <c r="AD7" i="9" s="1"/>
  <c r="N22" i="12"/>
  <c r="N22" i="13"/>
  <c r="N18" i="13"/>
  <c r="N18" i="12"/>
  <c r="N5" i="12"/>
  <c r="N46" i="11"/>
  <c r="N5" i="13"/>
  <c r="L49" i="9"/>
  <c r="L49" i="8"/>
  <c r="V64" i="9"/>
  <c r="V70" i="6"/>
  <c r="V64" i="8"/>
  <c r="V68" i="8" s="1"/>
  <c r="V64" i="7"/>
  <c r="M58" i="7"/>
  <c r="M58" i="9" s="1"/>
  <c r="Z16" i="13"/>
  <c r="U16" i="24"/>
  <c r="U61" i="24" s="1"/>
  <c r="R10" i="24"/>
  <c r="R55" i="24" s="1"/>
  <c r="R41" i="24"/>
  <c r="R86" i="24" s="1"/>
  <c r="S17" i="24"/>
  <c r="S62" i="24" s="1"/>
  <c r="S44" i="24"/>
  <c r="S89" i="24" s="1"/>
  <c r="R44" i="24"/>
  <c r="R89" i="24" s="1"/>
  <c r="R36" i="24"/>
  <c r="R81" i="24" s="1"/>
  <c r="S27" i="24"/>
  <c r="S72" i="24" s="1"/>
  <c r="M34" i="24"/>
  <c r="M79" i="24" s="1"/>
  <c r="S5" i="24"/>
  <c r="S50" i="24" s="1"/>
  <c r="S14" i="24"/>
  <c r="S59" i="24" s="1"/>
  <c r="R28" i="24"/>
  <c r="R73" i="24" s="1"/>
  <c r="M41" i="24"/>
  <c r="M86" i="24" s="1"/>
  <c r="M15" i="24"/>
  <c r="M60" i="24" s="1"/>
  <c r="N15" i="24"/>
  <c r="N60" i="24" s="1"/>
  <c r="Z24" i="12"/>
  <c r="U24" i="24"/>
  <c r="U69" i="24" s="1"/>
  <c r="R12" i="24"/>
  <c r="R57" i="24" s="1"/>
  <c r="R26" i="24"/>
  <c r="R71" i="24" s="1"/>
  <c r="R33" i="24"/>
  <c r="R78" i="24" s="1"/>
  <c r="R30" i="24"/>
  <c r="R75" i="24" s="1"/>
  <c r="M24" i="24"/>
  <c r="M69" i="24" s="1"/>
  <c r="M43" i="24"/>
  <c r="M88" i="24" s="1"/>
  <c r="M37" i="24"/>
  <c r="M82" i="24" s="1"/>
  <c r="M44" i="24"/>
  <c r="M89" i="24" s="1"/>
  <c r="S11" i="24"/>
  <c r="S56" i="24" s="1"/>
  <c r="M12" i="24"/>
  <c r="M57" i="24" s="1"/>
  <c r="M17" i="24"/>
  <c r="M62" i="24" s="1"/>
  <c r="M14" i="24"/>
  <c r="M59" i="24" s="1"/>
  <c r="M23" i="24"/>
  <c r="M68" i="24" s="1"/>
  <c r="M26" i="24"/>
  <c r="M71" i="24" s="1"/>
  <c r="S33" i="24"/>
  <c r="S78" i="24" s="1"/>
  <c r="S13" i="24"/>
  <c r="S58" i="24" s="1"/>
  <c r="M13" i="24"/>
  <c r="M58" i="24" s="1"/>
  <c r="M25" i="24"/>
  <c r="M70" i="24" s="1"/>
  <c r="M27" i="24"/>
  <c r="M72" i="24" s="1"/>
  <c r="M40" i="24"/>
  <c r="M85" i="24" s="1"/>
  <c r="M19" i="24"/>
  <c r="M64" i="24" s="1"/>
  <c r="S43" i="24"/>
  <c r="S88" i="24" s="1"/>
  <c r="R22" i="24"/>
  <c r="R67" i="24" s="1"/>
  <c r="R39" i="24"/>
  <c r="R84" i="24" s="1"/>
  <c r="R20" i="24"/>
  <c r="R65" i="24" s="1"/>
  <c r="S6" i="24"/>
  <c r="S51" i="24" s="1"/>
  <c r="I9" i="26" s="1"/>
  <c r="R18" i="24"/>
  <c r="R63" i="24" s="1"/>
  <c r="R42" i="24"/>
  <c r="R87" i="24" s="1"/>
  <c r="R37" i="24"/>
  <c r="R82" i="24" s="1"/>
  <c r="R34" i="24"/>
  <c r="R79" i="24" s="1"/>
  <c r="S7" i="24"/>
  <c r="S52" i="24" s="1"/>
  <c r="S28" i="24"/>
  <c r="S73" i="24" s="1"/>
  <c r="S30" i="24"/>
  <c r="S75" i="24" s="1"/>
  <c r="S26" i="24"/>
  <c r="S71" i="24" s="1"/>
  <c r="S21" i="24"/>
  <c r="S66" i="24" s="1"/>
  <c r="S18" i="24"/>
  <c r="S63" i="24" s="1"/>
  <c r="R8" i="24"/>
  <c r="R53" i="24" s="1"/>
  <c r="R24" i="24"/>
  <c r="R69" i="24" s="1"/>
  <c r="R7" i="24"/>
  <c r="R52" i="24" s="1"/>
  <c r="R29" i="24"/>
  <c r="R74" i="24" s="1"/>
  <c r="R38" i="24"/>
  <c r="R83" i="24" s="1"/>
  <c r="S19" i="24"/>
  <c r="S64" i="24" s="1"/>
  <c r="S16" i="24"/>
  <c r="S61" i="24" s="1"/>
  <c r="S36" i="24"/>
  <c r="S81" i="24" s="1"/>
  <c r="S34" i="24"/>
  <c r="S79" i="24" s="1"/>
  <c r="S41" i="24"/>
  <c r="S86" i="24" s="1"/>
  <c r="S38" i="24"/>
  <c r="S83" i="24" s="1"/>
  <c r="M7" i="24"/>
  <c r="M52" i="24" s="1"/>
  <c r="M20" i="24"/>
  <c r="M65" i="24" s="1"/>
  <c r="M33" i="24"/>
  <c r="M78" i="24" s="1"/>
  <c r="M32" i="24"/>
  <c r="M77" i="24" s="1"/>
  <c r="M35" i="24"/>
  <c r="M80" i="24" s="1"/>
  <c r="S37" i="24"/>
  <c r="S82" i="24" s="1"/>
  <c r="S31" i="24"/>
  <c r="S76" i="24" s="1"/>
  <c r="I7" i="26" s="1"/>
  <c r="I13" i="26" s="1"/>
  <c r="R19" i="24"/>
  <c r="R64" i="24" s="1"/>
  <c r="R35" i="24"/>
  <c r="R80" i="24" s="1"/>
  <c r="R23" i="24"/>
  <c r="R68" i="24" s="1"/>
  <c r="R13" i="24"/>
  <c r="R58" i="24" s="1"/>
  <c r="R32" i="24"/>
  <c r="R77" i="24" s="1"/>
  <c r="R25" i="24"/>
  <c r="R70" i="24" s="1"/>
  <c r="R21" i="24"/>
  <c r="R66" i="24" s="1"/>
  <c r="R11" i="24"/>
  <c r="R56" i="24" s="1"/>
  <c r="R14" i="24"/>
  <c r="R59" i="24" s="1"/>
  <c r="M5" i="24"/>
  <c r="M50" i="24" s="1"/>
  <c r="C11" i="26" s="1"/>
  <c r="M28" i="24"/>
  <c r="M73" i="24" s="1"/>
  <c r="M38" i="24"/>
  <c r="M83" i="24" s="1"/>
  <c r="M30" i="24"/>
  <c r="M75" i="24" s="1"/>
  <c r="M21" i="24"/>
  <c r="M66" i="24" s="1"/>
  <c r="S29" i="24"/>
  <c r="S74" i="24" s="1"/>
  <c r="S15" i="24"/>
  <c r="S60" i="24" s="1"/>
  <c r="S23" i="24"/>
  <c r="S68" i="24" s="1"/>
  <c r="R9" i="24"/>
  <c r="R54" i="24" s="1"/>
  <c r="R40" i="24"/>
  <c r="R85" i="24" s="1"/>
  <c r="M9" i="24"/>
  <c r="M54" i="24" s="1"/>
  <c r="M18" i="24"/>
  <c r="M63" i="24" s="1"/>
  <c r="M36" i="24"/>
  <c r="M81" i="24" s="1"/>
  <c r="M39" i="24"/>
  <c r="M84" i="24" s="1"/>
  <c r="M16" i="24"/>
  <c r="M61" i="24" s="1"/>
  <c r="S9" i="24"/>
  <c r="S54" i="24" s="1"/>
  <c r="S12" i="24"/>
  <c r="S57" i="24" s="1"/>
  <c r="S39" i="24"/>
  <c r="S84" i="24" s="1"/>
  <c r="S8" i="24"/>
  <c r="S53" i="24" s="1"/>
  <c r="S10" i="24"/>
  <c r="S55" i="24" s="1"/>
  <c r="S40" i="24"/>
  <c r="S85" i="24" s="1"/>
  <c r="S42" i="24"/>
  <c r="S87" i="24" s="1"/>
  <c r="S32" i="24"/>
  <c r="S77" i="24" s="1"/>
  <c r="M11" i="24"/>
  <c r="M56" i="24" s="1"/>
  <c r="M8" i="24"/>
  <c r="M53" i="24" s="1"/>
  <c r="M22" i="24"/>
  <c r="M67" i="24" s="1"/>
  <c r="M29" i="24"/>
  <c r="M74" i="24" s="1"/>
  <c r="M42" i="24"/>
  <c r="M87" i="24" s="1"/>
  <c r="S20" i="24"/>
  <c r="S65" i="24" s="1"/>
  <c r="P5" i="24"/>
  <c r="P50" i="24" s="1"/>
  <c r="C9" i="26"/>
  <c r="H9" i="26"/>
  <c r="H11" i="26"/>
  <c r="P18" i="24"/>
  <c r="P63" i="24" s="1"/>
  <c r="P33" i="24"/>
  <c r="P78" i="24" s="1"/>
  <c r="P41" i="24"/>
  <c r="P86" i="24" s="1"/>
  <c r="P14" i="24"/>
  <c r="P59" i="24" s="1"/>
  <c r="P44" i="24"/>
  <c r="P89" i="24" s="1"/>
  <c r="P13" i="24"/>
  <c r="P58" i="24" s="1"/>
  <c r="P40" i="24"/>
  <c r="P85" i="24" s="1"/>
  <c r="P31" i="24"/>
  <c r="P76" i="24" s="1"/>
  <c r="P8" i="24"/>
  <c r="P53" i="24" s="1"/>
  <c r="P29" i="24"/>
  <c r="P74" i="24" s="1"/>
  <c r="P17" i="24"/>
  <c r="P62" i="24" s="1"/>
  <c r="P28" i="24"/>
  <c r="P73" i="24" s="1"/>
  <c r="P26" i="24"/>
  <c r="P71" i="24" s="1"/>
  <c r="P6" i="24"/>
  <c r="P51" i="24" s="1"/>
  <c r="F9" i="26" s="1"/>
  <c r="P19" i="24"/>
  <c r="P64" i="24" s="1"/>
  <c r="P42" i="24"/>
  <c r="P87" i="24" s="1"/>
  <c r="P32" i="24"/>
  <c r="P77" i="24" s="1"/>
  <c r="P12" i="24"/>
  <c r="P57" i="24" s="1"/>
  <c r="P21" i="24"/>
  <c r="P66" i="24" s="1"/>
  <c r="P15" i="24"/>
  <c r="P60" i="24" s="1"/>
  <c r="P30" i="24"/>
  <c r="P75" i="24" s="1"/>
  <c r="P22" i="24"/>
  <c r="P67" i="24" s="1"/>
  <c r="P11" i="24"/>
  <c r="P56" i="24" s="1"/>
  <c r="P24" i="24"/>
  <c r="P69" i="24" s="1"/>
  <c r="P38" i="24"/>
  <c r="P83" i="24" s="1"/>
  <c r="P9" i="24"/>
  <c r="P54" i="24" s="1"/>
  <c r="P37" i="24"/>
  <c r="P82" i="24" s="1"/>
  <c r="P27" i="24"/>
  <c r="P72" i="24" s="1"/>
  <c r="P35" i="24"/>
  <c r="P80" i="24" s="1"/>
  <c r="P16" i="24"/>
  <c r="P61" i="24" s="1"/>
  <c r="P25" i="24"/>
  <c r="P70" i="24" s="1"/>
  <c r="P36" i="24"/>
  <c r="P81" i="24" s="1"/>
  <c r="P7" i="24"/>
  <c r="P52" i="24" s="1"/>
  <c r="P39" i="24"/>
  <c r="P84" i="24" s="1"/>
  <c r="P23" i="24"/>
  <c r="P68" i="24" s="1"/>
  <c r="P10" i="24"/>
  <c r="P55" i="24" s="1"/>
  <c r="P20" i="24"/>
  <c r="P65" i="24" s="1"/>
  <c r="P34" i="24"/>
  <c r="P79" i="24" s="1"/>
  <c r="P43" i="24"/>
  <c r="P88" i="24" s="1"/>
  <c r="M46" i="12"/>
  <c r="T64" i="8"/>
  <c r="T64" i="7"/>
  <c r="T64" i="9"/>
  <c r="T46" i="12"/>
  <c r="N66" i="9"/>
  <c r="N66" i="8"/>
  <c r="N68" i="8" s="1"/>
  <c r="N66" i="7"/>
  <c r="R46" i="11"/>
  <c r="U46" i="12"/>
  <c r="E34" i="5"/>
  <c r="L48" i="13"/>
  <c r="L48" i="12"/>
  <c r="L48" i="11"/>
  <c r="L51" i="11" s="1"/>
  <c r="L50" i="11" s="1"/>
  <c r="L48" i="10"/>
  <c r="R5" i="12"/>
  <c r="R46" i="12" s="1"/>
  <c r="Q46" i="12"/>
  <c r="AA47" i="13"/>
  <c r="AA47" i="12"/>
  <c r="W51" i="12" s="1"/>
  <c r="AA47" i="10"/>
  <c r="AA47" i="11"/>
  <c r="N65" i="9"/>
  <c r="N65" i="8"/>
  <c r="N65" i="7"/>
  <c r="T46" i="13"/>
  <c r="M46" i="13"/>
  <c r="F34" i="5"/>
  <c r="L49" i="13"/>
  <c r="L49" i="12"/>
  <c r="L51" i="12" s="1"/>
  <c r="L50" i="12" s="1"/>
  <c r="L49" i="10"/>
  <c r="L49" i="11"/>
  <c r="Q46" i="13"/>
  <c r="R5" i="13"/>
  <c r="R46" i="13" s="1"/>
  <c r="L51" i="10"/>
  <c r="U46" i="13"/>
  <c r="F10" i="5"/>
  <c r="N68" i="6"/>
  <c r="E10" i="5"/>
  <c r="N67" i="6"/>
  <c r="D46" i="5"/>
  <c r="D29" i="5"/>
  <c r="K9" i="26" l="1"/>
  <c r="AD22" i="8"/>
  <c r="AA22" i="23"/>
  <c r="AA84" i="23" s="1"/>
  <c r="P45" i="23"/>
  <c r="P107" i="23" s="1"/>
  <c r="AH7" i="8"/>
  <c r="AD7" i="23" s="1"/>
  <c r="AD69" i="23" s="1"/>
  <c r="V41" i="11"/>
  <c r="S41" i="12"/>
  <c r="S41" i="13"/>
  <c r="V41" i="13" s="1"/>
  <c r="S11" i="12"/>
  <c r="V11" i="11"/>
  <c r="S11" i="13"/>
  <c r="V11" i="13" s="1"/>
  <c r="V22" i="11"/>
  <c r="S22" i="13"/>
  <c r="V22" i="13" s="1"/>
  <c r="S22" i="12"/>
  <c r="N35" i="24"/>
  <c r="N80" i="24" s="1"/>
  <c r="U6" i="24"/>
  <c r="U51" i="24" s="1"/>
  <c r="Q29" i="8"/>
  <c r="Q29" i="23" s="1"/>
  <c r="Q91" i="23" s="1"/>
  <c r="N32" i="24"/>
  <c r="N77" i="24" s="1"/>
  <c r="N31" i="24"/>
  <c r="N76" i="24" s="1"/>
  <c r="O19" i="12"/>
  <c r="O19" i="24" s="1"/>
  <c r="O64" i="24" s="1"/>
  <c r="O19" i="13"/>
  <c r="O44" i="13"/>
  <c r="O44" i="12"/>
  <c r="O33" i="12"/>
  <c r="O33" i="13"/>
  <c r="O32" i="12"/>
  <c r="O32" i="13"/>
  <c r="Q57" i="8"/>
  <c r="Q57" i="23" s="1"/>
  <c r="Q119" i="23" s="1"/>
  <c r="N20" i="24"/>
  <c r="N65" i="24" s="1"/>
  <c r="Z33" i="12"/>
  <c r="U33" i="24"/>
  <c r="U78" i="24" s="1"/>
  <c r="X32" i="8"/>
  <c r="W32" i="23" s="1"/>
  <c r="W94" i="23" s="1"/>
  <c r="Q42" i="8"/>
  <c r="Q42" i="23" s="1"/>
  <c r="Q104" i="23" s="1"/>
  <c r="Z15" i="12"/>
  <c r="U15" i="24"/>
  <c r="U60" i="24" s="1"/>
  <c r="U31" i="24"/>
  <c r="U76" i="24" s="1"/>
  <c r="L49" i="23"/>
  <c r="L111" i="23" s="1"/>
  <c r="Q21" i="23"/>
  <c r="Q83" i="23" s="1"/>
  <c r="U26" i="24"/>
  <c r="U71" i="24" s="1"/>
  <c r="Z26" i="12"/>
  <c r="S35" i="13"/>
  <c r="V35" i="13" s="1"/>
  <c r="V35" i="11"/>
  <c r="S35" i="12"/>
  <c r="V18" i="11"/>
  <c r="S18" i="12"/>
  <c r="S18" i="13"/>
  <c r="V18" i="13" s="1"/>
  <c r="S42" i="12"/>
  <c r="V42" i="12" s="1"/>
  <c r="S42" i="13"/>
  <c r="V42" i="13" s="1"/>
  <c r="V42" i="11"/>
  <c r="U44" i="24"/>
  <c r="U89" i="24" s="1"/>
  <c r="Z44" i="12"/>
  <c r="Z40" i="12"/>
  <c r="U40" i="24"/>
  <c r="U85" i="24" s="1"/>
  <c r="O9" i="12"/>
  <c r="O9" i="13"/>
  <c r="O36" i="12"/>
  <c r="O36" i="24" s="1"/>
  <c r="O81" i="24" s="1"/>
  <c r="O36" i="13"/>
  <c r="O17" i="13"/>
  <c r="O17" i="12"/>
  <c r="O43" i="13"/>
  <c r="O43" i="12"/>
  <c r="O43" i="24" s="1"/>
  <c r="O88" i="24" s="1"/>
  <c r="AH8" i="8"/>
  <c r="AD8" i="23" s="1"/>
  <c r="AD70" i="23" s="1"/>
  <c r="Q20" i="8"/>
  <c r="Q20" i="23" s="1"/>
  <c r="Q82" i="23" s="1"/>
  <c r="Y6" i="7"/>
  <c r="Y6" i="9" s="1"/>
  <c r="Y25" i="7"/>
  <c r="Y25" i="9" s="1"/>
  <c r="Y10" i="7"/>
  <c r="Y10" i="9" s="1"/>
  <c r="Y40" i="7"/>
  <c r="Y40" i="9" s="1"/>
  <c r="Y49" i="7"/>
  <c r="Y49" i="9" s="1"/>
  <c r="Y52" i="7"/>
  <c r="Y52" i="9" s="1"/>
  <c r="Y26" i="7"/>
  <c r="Y26" i="9" s="1"/>
  <c r="Y23" i="7"/>
  <c r="Y23" i="9" s="1"/>
  <c r="Y32" i="7"/>
  <c r="Y32" i="9" s="1"/>
  <c r="Y36" i="7"/>
  <c r="Y36" i="9" s="1"/>
  <c r="Y18" i="7"/>
  <c r="Y18" i="9" s="1"/>
  <c r="Y5" i="7"/>
  <c r="Y12" i="7"/>
  <c r="Y12" i="9" s="1"/>
  <c r="Y42" i="7"/>
  <c r="Y42" i="9" s="1"/>
  <c r="Y43" i="7"/>
  <c r="Y43" i="9" s="1"/>
  <c r="Y27" i="7"/>
  <c r="Y27" i="9" s="1"/>
  <c r="Y7" i="7"/>
  <c r="Y7" i="9" s="1"/>
  <c r="Y58" i="7"/>
  <c r="Y58" i="9" s="1"/>
  <c r="Y20" i="7"/>
  <c r="Y20" i="9" s="1"/>
  <c r="Y55" i="7"/>
  <c r="Y55" i="9" s="1"/>
  <c r="Y59" i="7"/>
  <c r="Y59" i="9" s="1"/>
  <c r="Y21" i="7"/>
  <c r="Y21" i="9" s="1"/>
  <c r="Y19" i="7"/>
  <c r="Y19" i="9" s="1"/>
  <c r="Y38" i="7"/>
  <c r="Y38" i="9" s="1"/>
  <c r="Y48" i="7"/>
  <c r="Y48" i="9" s="1"/>
  <c r="Y37" i="7"/>
  <c r="Y37" i="9" s="1"/>
  <c r="Y16" i="7"/>
  <c r="Y16" i="9" s="1"/>
  <c r="Y30" i="7"/>
  <c r="Y30" i="9" s="1"/>
  <c r="Y54" i="7"/>
  <c r="Y54" i="9" s="1"/>
  <c r="Y61" i="7"/>
  <c r="Y61" i="9" s="1"/>
  <c r="Y56" i="7"/>
  <c r="Y56" i="9" s="1"/>
  <c r="Y35" i="7"/>
  <c r="Y35" i="9" s="1"/>
  <c r="Y11" i="7"/>
  <c r="Y11" i="9" s="1"/>
  <c r="Y57" i="7"/>
  <c r="Y57" i="9" s="1"/>
  <c r="Y33" i="7"/>
  <c r="Y33" i="9" s="1"/>
  <c r="Y46" i="7"/>
  <c r="Y46" i="9" s="1"/>
  <c r="Y22" i="7"/>
  <c r="Y22" i="9" s="1"/>
  <c r="Y39" i="7"/>
  <c r="Y39" i="9" s="1"/>
  <c r="Y29" i="7"/>
  <c r="Y29" i="9" s="1"/>
  <c r="Y8" i="7"/>
  <c r="Y8" i="9" s="1"/>
  <c r="Y47" i="7"/>
  <c r="Y47" i="9" s="1"/>
  <c r="Y45" i="7"/>
  <c r="Y45" i="9" s="1"/>
  <c r="Y34" i="7"/>
  <c r="Y34" i="9" s="1"/>
  <c r="Y24" i="7"/>
  <c r="Y24" i="9" s="1"/>
  <c r="Y53" i="7"/>
  <c r="Y53" i="9" s="1"/>
  <c r="Y17" i="7"/>
  <c r="Y17" i="9" s="1"/>
  <c r="Y14" i="7"/>
  <c r="Y14" i="9" s="1"/>
  <c r="Y44" i="7"/>
  <c r="Y44" i="9" s="1"/>
  <c r="Y41" i="7"/>
  <c r="Y41" i="9" s="1"/>
  <c r="Y15" i="7"/>
  <c r="Y15" i="9" s="1"/>
  <c r="Y9" i="7"/>
  <c r="Y9" i="9" s="1"/>
  <c r="Y60" i="7"/>
  <c r="Y60" i="9" s="1"/>
  <c r="Y31" i="7"/>
  <c r="Y31" i="9" s="1"/>
  <c r="Y28" i="7"/>
  <c r="Y28" i="9" s="1"/>
  <c r="Y13" i="7"/>
  <c r="Y13" i="9" s="1"/>
  <c r="Y51" i="7"/>
  <c r="Y51" i="9" s="1"/>
  <c r="Y50" i="7"/>
  <c r="Y50" i="9" s="1"/>
  <c r="Q54" i="8"/>
  <c r="Q54" i="23" s="1"/>
  <c r="Q116" i="23" s="1"/>
  <c r="AH59" i="8"/>
  <c r="AD59" i="23" s="1"/>
  <c r="AD121" i="23" s="1"/>
  <c r="S15" i="13"/>
  <c r="V15" i="13" s="1"/>
  <c r="V15" i="11"/>
  <c r="S15" i="12"/>
  <c r="S25" i="13"/>
  <c r="V25" i="13" s="1"/>
  <c r="V25" i="11"/>
  <c r="S25" i="12"/>
  <c r="V12" i="11"/>
  <c r="S12" i="13"/>
  <c r="V12" i="13" s="1"/>
  <c r="S12" i="12"/>
  <c r="V12" i="12" s="1"/>
  <c r="L63" i="9"/>
  <c r="O27" i="12"/>
  <c r="O27" i="24" s="1"/>
  <c r="O72" i="24" s="1"/>
  <c r="O27" i="13"/>
  <c r="O20" i="13"/>
  <c r="O20" i="12"/>
  <c r="O20" i="24" s="1"/>
  <c r="O65" i="24" s="1"/>
  <c r="O38" i="12"/>
  <c r="O38" i="24" s="1"/>
  <c r="O83" i="24" s="1"/>
  <c r="O38" i="13"/>
  <c r="O7" i="13"/>
  <c r="O7" i="12"/>
  <c r="O7" i="24" s="1"/>
  <c r="O52" i="24" s="1"/>
  <c r="Q51" i="8"/>
  <c r="Q51" i="23" s="1"/>
  <c r="Q113" i="23" s="1"/>
  <c r="Q53" i="8"/>
  <c r="Q53" i="23" s="1"/>
  <c r="Q115" i="23" s="1"/>
  <c r="AH11" i="8"/>
  <c r="AD11" i="23" s="1"/>
  <c r="AD73" i="23" s="1"/>
  <c r="AH58" i="8"/>
  <c r="AD58" i="23" s="1"/>
  <c r="AD120" i="23" s="1"/>
  <c r="I11" i="26"/>
  <c r="N46" i="13"/>
  <c r="Q22" i="8"/>
  <c r="Q22" i="23" s="1"/>
  <c r="Q84" i="23" s="1"/>
  <c r="V5" i="11"/>
  <c r="S5" i="12"/>
  <c r="S5" i="13"/>
  <c r="S46" i="11"/>
  <c r="V29" i="11"/>
  <c r="S29" i="12"/>
  <c r="S29" i="13"/>
  <c r="V29" i="13" s="1"/>
  <c r="S17" i="12"/>
  <c r="V17" i="11"/>
  <c r="S17" i="13"/>
  <c r="V17" i="13" s="1"/>
  <c r="N27" i="24"/>
  <c r="N72" i="24" s="1"/>
  <c r="U25" i="24"/>
  <c r="U70" i="24" s="1"/>
  <c r="L48" i="8"/>
  <c r="L48" i="23" s="1"/>
  <c r="L110" i="23" s="1"/>
  <c r="L60" i="8"/>
  <c r="L60" i="23" s="1"/>
  <c r="L122" i="23" s="1"/>
  <c r="L38" i="8"/>
  <c r="L38" i="23" s="1"/>
  <c r="L100" i="23" s="1"/>
  <c r="L19" i="8"/>
  <c r="L19" i="23" s="1"/>
  <c r="L81" i="23" s="1"/>
  <c r="L33" i="8"/>
  <c r="L33" i="23" s="1"/>
  <c r="L95" i="23" s="1"/>
  <c r="L7" i="8"/>
  <c r="L7" i="23" s="1"/>
  <c r="L69" i="23" s="1"/>
  <c r="L42" i="8"/>
  <c r="L42" i="23" s="1"/>
  <c r="L104" i="23" s="1"/>
  <c r="L22" i="8"/>
  <c r="L22" i="23" s="1"/>
  <c r="L84" i="23" s="1"/>
  <c r="L14" i="8"/>
  <c r="L14" i="23" s="1"/>
  <c r="L76" i="23" s="1"/>
  <c r="L56" i="8"/>
  <c r="L56" i="23" s="1"/>
  <c r="L118" i="23" s="1"/>
  <c r="L8" i="8"/>
  <c r="L8" i="23" s="1"/>
  <c r="L70" i="23" s="1"/>
  <c r="L27" i="8"/>
  <c r="L27" i="23" s="1"/>
  <c r="L89" i="23" s="1"/>
  <c r="L6" i="8"/>
  <c r="L6" i="23" s="1"/>
  <c r="L68" i="23" s="1"/>
  <c r="L44" i="8"/>
  <c r="L44" i="23" s="1"/>
  <c r="L106" i="23" s="1"/>
  <c r="L40" i="8"/>
  <c r="L40" i="23" s="1"/>
  <c r="L102" i="23" s="1"/>
  <c r="L28" i="8"/>
  <c r="L28" i="23" s="1"/>
  <c r="L90" i="23" s="1"/>
  <c r="L43" i="8"/>
  <c r="L43" i="23" s="1"/>
  <c r="L105" i="23" s="1"/>
  <c r="L61" i="8"/>
  <c r="L61" i="23" s="1"/>
  <c r="L123" i="23" s="1"/>
  <c r="L24" i="8"/>
  <c r="L24" i="23" s="1"/>
  <c r="L86" i="23" s="1"/>
  <c r="L16" i="8"/>
  <c r="L16" i="23" s="1"/>
  <c r="L78" i="23" s="1"/>
  <c r="L15" i="8"/>
  <c r="L15" i="23" s="1"/>
  <c r="L77" i="23" s="1"/>
  <c r="L53" i="8"/>
  <c r="L53" i="23" s="1"/>
  <c r="L115" i="23" s="1"/>
  <c r="L47" i="8"/>
  <c r="L47" i="23" s="1"/>
  <c r="L109" i="23" s="1"/>
  <c r="L29" i="8"/>
  <c r="L29" i="23" s="1"/>
  <c r="L91" i="23" s="1"/>
  <c r="L59" i="8"/>
  <c r="L59" i="23" s="1"/>
  <c r="L121" i="23" s="1"/>
  <c r="L41" i="8"/>
  <c r="L41" i="23" s="1"/>
  <c r="L103" i="23" s="1"/>
  <c r="L30" i="8"/>
  <c r="L30" i="23" s="1"/>
  <c r="L92" i="23" s="1"/>
  <c r="L57" i="8"/>
  <c r="L57" i="23" s="1"/>
  <c r="L119" i="23" s="1"/>
  <c r="L10" i="8"/>
  <c r="L10" i="23" s="1"/>
  <c r="L72" i="23" s="1"/>
  <c r="L58" i="8"/>
  <c r="L58" i="23" s="1"/>
  <c r="L120" i="23" s="1"/>
  <c r="L52" i="8"/>
  <c r="L52" i="23" s="1"/>
  <c r="L114" i="23" s="1"/>
  <c r="L32" i="8"/>
  <c r="L32" i="23" s="1"/>
  <c r="L94" i="23" s="1"/>
  <c r="L51" i="8"/>
  <c r="L51" i="23" s="1"/>
  <c r="L113" i="23" s="1"/>
  <c r="L17" i="8"/>
  <c r="L17" i="23" s="1"/>
  <c r="L79" i="23" s="1"/>
  <c r="L9" i="8"/>
  <c r="L9" i="23" s="1"/>
  <c r="L71" i="23" s="1"/>
  <c r="L34" i="8"/>
  <c r="L34" i="23" s="1"/>
  <c r="L96" i="23" s="1"/>
  <c r="L20" i="8"/>
  <c r="L20" i="23" s="1"/>
  <c r="L82" i="23" s="1"/>
  <c r="L12" i="8"/>
  <c r="L12" i="23" s="1"/>
  <c r="L74" i="23" s="1"/>
  <c r="L37" i="8"/>
  <c r="L37" i="23" s="1"/>
  <c r="L99" i="23" s="1"/>
  <c r="L45" i="8"/>
  <c r="L45" i="23" s="1"/>
  <c r="L107" i="23" s="1"/>
  <c r="L21" i="8"/>
  <c r="L21" i="23" s="1"/>
  <c r="L83" i="23" s="1"/>
  <c r="L46" i="8"/>
  <c r="L46" i="23" s="1"/>
  <c r="L108" i="23" s="1"/>
  <c r="L18" i="8"/>
  <c r="L18" i="23" s="1"/>
  <c r="L80" i="23" s="1"/>
  <c r="L39" i="8"/>
  <c r="L39" i="23" s="1"/>
  <c r="L101" i="23" s="1"/>
  <c r="L54" i="8"/>
  <c r="L54" i="23" s="1"/>
  <c r="L116" i="23" s="1"/>
  <c r="L23" i="8"/>
  <c r="L23" i="23" s="1"/>
  <c r="L85" i="23" s="1"/>
  <c r="L55" i="8"/>
  <c r="L55" i="23" s="1"/>
  <c r="L117" i="23" s="1"/>
  <c r="L26" i="8"/>
  <c r="L26" i="23" s="1"/>
  <c r="L88" i="23" s="1"/>
  <c r="L31" i="8"/>
  <c r="L31" i="23" s="1"/>
  <c r="L93" i="23" s="1"/>
  <c r="L11" i="8"/>
  <c r="L11" i="23" s="1"/>
  <c r="L73" i="23" s="1"/>
  <c r="L50" i="8"/>
  <c r="L50" i="23" s="1"/>
  <c r="L112" i="23" s="1"/>
  <c r="L25" i="8"/>
  <c r="L25" i="23" s="1"/>
  <c r="L87" i="23" s="1"/>
  <c r="L36" i="8"/>
  <c r="L36" i="23" s="1"/>
  <c r="L98" i="23" s="1"/>
  <c r="L5" i="8"/>
  <c r="N43" i="24"/>
  <c r="N88" i="24" s="1"/>
  <c r="O9" i="25"/>
  <c r="O15" i="25" s="1"/>
  <c r="O11" i="25"/>
  <c r="O42" i="12"/>
  <c r="O42" i="13"/>
  <c r="O13" i="12"/>
  <c r="O13" i="13"/>
  <c r="O8" i="13"/>
  <c r="O8" i="12"/>
  <c r="O8" i="24" s="1"/>
  <c r="O53" i="24" s="1"/>
  <c r="AH28" i="8"/>
  <c r="AD28" i="23" s="1"/>
  <c r="AD90" i="23" s="1"/>
  <c r="N14" i="24"/>
  <c r="N59" i="24" s="1"/>
  <c r="U23" i="24"/>
  <c r="U68" i="24" s="1"/>
  <c r="Z23" i="12"/>
  <c r="Q55" i="8"/>
  <c r="Q55" i="23" s="1"/>
  <c r="Q117" i="23" s="1"/>
  <c r="N41" i="24"/>
  <c r="N86" i="24" s="1"/>
  <c r="Q36" i="8"/>
  <c r="Q36" i="23" s="1"/>
  <c r="Q98" i="23" s="1"/>
  <c r="S28" i="12"/>
  <c r="S28" i="13"/>
  <c r="V28" i="13" s="1"/>
  <c r="V28" i="11"/>
  <c r="S32" i="12"/>
  <c r="V32" i="11"/>
  <c r="S32" i="13"/>
  <c r="V32" i="13" s="1"/>
  <c r="V33" i="11"/>
  <c r="S33" i="12"/>
  <c r="S33" i="13"/>
  <c r="V33" i="13" s="1"/>
  <c r="O13" i="25"/>
  <c r="P13" i="25"/>
  <c r="Z35" i="12"/>
  <c r="U35" i="24"/>
  <c r="U80" i="24" s="1"/>
  <c r="AH13" i="8"/>
  <c r="AD13" i="23" s="1"/>
  <c r="AD75" i="23" s="1"/>
  <c r="N25" i="24"/>
  <c r="N70" i="24" s="1"/>
  <c r="X63" i="9"/>
  <c r="O5" i="12"/>
  <c r="O5" i="13"/>
  <c r="O46" i="11"/>
  <c r="O40" i="12"/>
  <c r="O40" i="13"/>
  <c r="O30" i="12"/>
  <c r="O30" i="24" s="1"/>
  <c r="O75" i="24" s="1"/>
  <c r="O30" i="13"/>
  <c r="S68" i="7"/>
  <c r="R68" i="7"/>
  <c r="Q34" i="8"/>
  <c r="Q34" i="23" s="1"/>
  <c r="Q96" i="23" s="1"/>
  <c r="Z18" i="12"/>
  <c r="U18" i="24"/>
  <c r="U63" i="24" s="1"/>
  <c r="W31" i="8"/>
  <c r="V31" i="23" s="1"/>
  <c r="V93" i="23" s="1"/>
  <c r="M5" i="9"/>
  <c r="M63" i="9" s="1"/>
  <c r="M63" i="7"/>
  <c r="M68" i="7" s="1"/>
  <c r="M58" i="8" s="1"/>
  <c r="M58" i="23" s="1"/>
  <c r="M120" i="23" s="1"/>
  <c r="Q12" i="8"/>
  <c r="Q12" i="23" s="1"/>
  <c r="Q74" i="23" s="1"/>
  <c r="AH30" i="8"/>
  <c r="AD30" i="23" s="1"/>
  <c r="AD92" i="23" s="1"/>
  <c r="N33" i="24"/>
  <c r="N78" i="24" s="1"/>
  <c r="P21" i="8"/>
  <c r="P21" i="23" s="1"/>
  <c r="P83" i="23" s="1"/>
  <c r="U20" i="24"/>
  <c r="U65" i="24" s="1"/>
  <c r="N5" i="24"/>
  <c r="N50" i="24" s="1"/>
  <c r="N46" i="12"/>
  <c r="S20" i="12"/>
  <c r="V20" i="12" s="1"/>
  <c r="V20" i="11"/>
  <c r="S20" i="13"/>
  <c r="V20" i="13" s="1"/>
  <c r="V31" i="11"/>
  <c r="S31" i="12"/>
  <c r="S31" i="13"/>
  <c r="V31" i="13" s="1"/>
  <c r="S36" i="13"/>
  <c r="V36" i="13" s="1"/>
  <c r="V36" i="11"/>
  <c r="S36" i="12"/>
  <c r="V26" i="11"/>
  <c r="S26" i="13"/>
  <c r="V26" i="13" s="1"/>
  <c r="S26" i="12"/>
  <c r="Z46" i="11"/>
  <c r="X8" i="8"/>
  <c r="W8" i="23" s="1"/>
  <c r="W70" i="23" s="1"/>
  <c r="X22" i="8"/>
  <c r="W22" i="23" s="1"/>
  <c r="W84" i="23" s="1"/>
  <c r="X49" i="8"/>
  <c r="W49" i="23" s="1"/>
  <c r="W111" i="23" s="1"/>
  <c r="X6" i="8"/>
  <c r="W6" i="23" s="1"/>
  <c r="W68" i="23" s="1"/>
  <c r="X17" i="8"/>
  <c r="W17" i="23" s="1"/>
  <c r="W79" i="23" s="1"/>
  <c r="X44" i="8"/>
  <c r="W44" i="23" s="1"/>
  <c r="W106" i="23" s="1"/>
  <c r="X47" i="8"/>
  <c r="W47" i="23" s="1"/>
  <c r="W109" i="23" s="1"/>
  <c r="X43" i="8"/>
  <c r="W43" i="23" s="1"/>
  <c r="W105" i="23" s="1"/>
  <c r="X30" i="8"/>
  <c r="W30" i="23" s="1"/>
  <c r="W92" i="23" s="1"/>
  <c r="X28" i="8"/>
  <c r="W28" i="23" s="1"/>
  <c r="W90" i="23" s="1"/>
  <c r="X58" i="8"/>
  <c r="W58" i="23" s="1"/>
  <c r="W120" i="23" s="1"/>
  <c r="X29" i="8"/>
  <c r="W29" i="23" s="1"/>
  <c r="W91" i="23" s="1"/>
  <c r="X50" i="8"/>
  <c r="W50" i="23" s="1"/>
  <c r="W112" i="23" s="1"/>
  <c r="X25" i="8"/>
  <c r="W25" i="23" s="1"/>
  <c r="W87" i="23" s="1"/>
  <c r="X41" i="8"/>
  <c r="W41" i="23" s="1"/>
  <c r="W103" i="23" s="1"/>
  <c r="X51" i="8"/>
  <c r="W51" i="23" s="1"/>
  <c r="W113" i="23" s="1"/>
  <c r="X42" i="8"/>
  <c r="W42" i="23" s="1"/>
  <c r="W104" i="23" s="1"/>
  <c r="X46" i="8"/>
  <c r="W46" i="23" s="1"/>
  <c r="W108" i="23" s="1"/>
  <c r="X12" i="8"/>
  <c r="W12" i="23" s="1"/>
  <c r="W74" i="23" s="1"/>
  <c r="X26" i="8"/>
  <c r="W26" i="23" s="1"/>
  <c r="W88" i="23" s="1"/>
  <c r="X15" i="8"/>
  <c r="W15" i="23" s="1"/>
  <c r="W77" i="23" s="1"/>
  <c r="X56" i="8"/>
  <c r="W56" i="23" s="1"/>
  <c r="W118" i="23" s="1"/>
  <c r="X19" i="8"/>
  <c r="W19" i="23" s="1"/>
  <c r="W81" i="23" s="1"/>
  <c r="X61" i="8"/>
  <c r="W61" i="23" s="1"/>
  <c r="W123" i="23" s="1"/>
  <c r="X18" i="8"/>
  <c r="W18" i="23" s="1"/>
  <c r="W80" i="23" s="1"/>
  <c r="X53" i="8"/>
  <c r="W53" i="23" s="1"/>
  <c r="W115" i="23" s="1"/>
  <c r="X39" i="8"/>
  <c r="W39" i="23" s="1"/>
  <c r="W101" i="23" s="1"/>
  <c r="X52" i="8"/>
  <c r="W52" i="23" s="1"/>
  <c r="W114" i="23" s="1"/>
  <c r="X33" i="8"/>
  <c r="W33" i="23" s="1"/>
  <c r="W95" i="23" s="1"/>
  <c r="X14" i="8"/>
  <c r="W14" i="23" s="1"/>
  <c r="W76" i="23" s="1"/>
  <c r="X23" i="8"/>
  <c r="W23" i="23" s="1"/>
  <c r="W85" i="23" s="1"/>
  <c r="X21" i="8"/>
  <c r="W21" i="23" s="1"/>
  <c r="W83" i="23" s="1"/>
  <c r="X57" i="8"/>
  <c r="W57" i="23" s="1"/>
  <c r="W119" i="23" s="1"/>
  <c r="X34" i="8"/>
  <c r="W34" i="23" s="1"/>
  <c r="W96" i="23" s="1"/>
  <c r="X60" i="8"/>
  <c r="W60" i="23" s="1"/>
  <c r="W122" i="23" s="1"/>
  <c r="X38" i="8"/>
  <c r="W38" i="23" s="1"/>
  <c r="W100" i="23" s="1"/>
  <c r="X37" i="8"/>
  <c r="W37" i="23" s="1"/>
  <c r="W99" i="23" s="1"/>
  <c r="X13" i="8"/>
  <c r="W13" i="23" s="1"/>
  <c r="W75" i="23" s="1"/>
  <c r="X48" i="8"/>
  <c r="W48" i="23" s="1"/>
  <c r="W110" i="23" s="1"/>
  <c r="X36" i="8"/>
  <c r="W36" i="23" s="1"/>
  <c r="W98" i="23" s="1"/>
  <c r="X59" i="8"/>
  <c r="W59" i="23" s="1"/>
  <c r="W121" i="23" s="1"/>
  <c r="X9" i="8"/>
  <c r="W9" i="23" s="1"/>
  <c r="W71" i="23" s="1"/>
  <c r="X20" i="8"/>
  <c r="W20" i="23" s="1"/>
  <c r="W82" i="23" s="1"/>
  <c r="X16" i="8"/>
  <c r="W16" i="23" s="1"/>
  <c r="W78" i="23" s="1"/>
  <c r="X7" i="8"/>
  <c r="W7" i="23" s="1"/>
  <c r="W69" i="23" s="1"/>
  <c r="X10" i="8"/>
  <c r="W10" i="23" s="1"/>
  <c r="W72" i="23" s="1"/>
  <c r="X5" i="8"/>
  <c r="X11" i="8"/>
  <c r="W11" i="23" s="1"/>
  <c r="W73" i="23" s="1"/>
  <c r="X40" i="8"/>
  <c r="W40" i="23" s="1"/>
  <c r="W102" i="23" s="1"/>
  <c r="X55" i="8"/>
  <c r="W55" i="23" s="1"/>
  <c r="W117" i="23" s="1"/>
  <c r="U12" i="24"/>
  <c r="U57" i="24" s="1"/>
  <c r="Z12" i="12"/>
  <c r="Q6" i="8"/>
  <c r="Q6" i="23" s="1"/>
  <c r="Q68" i="23" s="1"/>
  <c r="O35" i="12"/>
  <c r="O35" i="13"/>
  <c r="O37" i="12"/>
  <c r="O37" i="24" s="1"/>
  <c r="O82" i="24" s="1"/>
  <c r="O37" i="13"/>
  <c r="O24" i="12"/>
  <c r="O24" i="24" s="1"/>
  <c r="O69" i="24" s="1"/>
  <c r="O24" i="13"/>
  <c r="Z34" i="12"/>
  <c r="U34" i="24"/>
  <c r="U79" i="24" s="1"/>
  <c r="AH10" i="8"/>
  <c r="AD10" i="23" s="1"/>
  <c r="AD72" i="23" s="1"/>
  <c r="AI22" i="8"/>
  <c r="AE22" i="23" s="1"/>
  <c r="AE84" i="23" s="1"/>
  <c r="AI25" i="8"/>
  <c r="AE25" i="23" s="1"/>
  <c r="AE87" i="23" s="1"/>
  <c r="AI39" i="8"/>
  <c r="AE39" i="23" s="1"/>
  <c r="AE101" i="23" s="1"/>
  <c r="AI59" i="8"/>
  <c r="AE59" i="23" s="1"/>
  <c r="AE121" i="23" s="1"/>
  <c r="AI6" i="8"/>
  <c r="AE6" i="23" s="1"/>
  <c r="AE68" i="23" s="1"/>
  <c r="AI31" i="8"/>
  <c r="AE31" i="23" s="1"/>
  <c r="AE93" i="23" s="1"/>
  <c r="AI60" i="8"/>
  <c r="AE60" i="23" s="1"/>
  <c r="AE122" i="23" s="1"/>
  <c r="AI17" i="8"/>
  <c r="AE17" i="23" s="1"/>
  <c r="AE79" i="23" s="1"/>
  <c r="AI26" i="8"/>
  <c r="AE26" i="23" s="1"/>
  <c r="AE88" i="23" s="1"/>
  <c r="AI12" i="8"/>
  <c r="AE12" i="23" s="1"/>
  <c r="AE74" i="23" s="1"/>
  <c r="AI15" i="8"/>
  <c r="AE15" i="23" s="1"/>
  <c r="AE77" i="23" s="1"/>
  <c r="AI48" i="8"/>
  <c r="AE48" i="23" s="1"/>
  <c r="AE110" i="23" s="1"/>
  <c r="AI40" i="8"/>
  <c r="AE40" i="23" s="1"/>
  <c r="AE102" i="23" s="1"/>
  <c r="AI14" i="8"/>
  <c r="AE14" i="23" s="1"/>
  <c r="AE76" i="23" s="1"/>
  <c r="AI54" i="8"/>
  <c r="AE54" i="23" s="1"/>
  <c r="AE116" i="23" s="1"/>
  <c r="AI50" i="8"/>
  <c r="AE50" i="23" s="1"/>
  <c r="AE112" i="23" s="1"/>
  <c r="AI38" i="8"/>
  <c r="AE38" i="23" s="1"/>
  <c r="AE100" i="23" s="1"/>
  <c r="AI44" i="8"/>
  <c r="AE44" i="23" s="1"/>
  <c r="AE106" i="23" s="1"/>
  <c r="AI11" i="8"/>
  <c r="AE11" i="23" s="1"/>
  <c r="AE73" i="23" s="1"/>
  <c r="AI61" i="8"/>
  <c r="AE61" i="23" s="1"/>
  <c r="AE123" i="23" s="1"/>
  <c r="AI35" i="8"/>
  <c r="AE35" i="23" s="1"/>
  <c r="AE97" i="23" s="1"/>
  <c r="AI42" i="8"/>
  <c r="AE42" i="23" s="1"/>
  <c r="AE104" i="23" s="1"/>
  <c r="AI34" i="8"/>
  <c r="AE34" i="23" s="1"/>
  <c r="AE96" i="23" s="1"/>
  <c r="AI52" i="8"/>
  <c r="AE52" i="23" s="1"/>
  <c r="AE114" i="23" s="1"/>
  <c r="AI7" i="8"/>
  <c r="AE7" i="23" s="1"/>
  <c r="AE69" i="23" s="1"/>
  <c r="AI41" i="8"/>
  <c r="AE41" i="23" s="1"/>
  <c r="AE103" i="23" s="1"/>
  <c r="AI56" i="8"/>
  <c r="AE56" i="23" s="1"/>
  <c r="AE118" i="23" s="1"/>
  <c r="AI49" i="8"/>
  <c r="AE49" i="23" s="1"/>
  <c r="AE111" i="23" s="1"/>
  <c r="AI36" i="8"/>
  <c r="AE36" i="23" s="1"/>
  <c r="AE98" i="23" s="1"/>
  <c r="AI21" i="8"/>
  <c r="AE21" i="23" s="1"/>
  <c r="AE83" i="23" s="1"/>
  <c r="AI13" i="8"/>
  <c r="AE13" i="23" s="1"/>
  <c r="AE75" i="23" s="1"/>
  <c r="AI57" i="8"/>
  <c r="AE57" i="23" s="1"/>
  <c r="AE119" i="23" s="1"/>
  <c r="AI5" i="8"/>
  <c r="AI47" i="8"/>
  <c r="AE47" i="23" s="1"/>
  <c r="AE109" i="23" s="1"/>
  <c r="AI30" i="8"/>
  <c r="AE30" i="23" s="1"/>
  <c r="AE92" i="23" s="1"/>
  <c r="AI19" i="8"/>
  <c r="AE19" i="23" s="1"/>
  <c r="AE81" i="23" s="1"/>
  <c r="AI55" i="8"/>
  <c r="AE55" i="23" s="1"/>
  <c r="AE117" i="23" s="1"/>
  <c r="AI51" i="8"/>
  <c r="AE51" i="23" s="1"/>
  <c r="AE113" i="23" s="1"/>
  <c r="AI8" i="8"/>
  <c r="AE8" i="23" s="1"/>
  <c r="AE70" i="23" s="1"/>
  <c r="AI27" i="8"/>
  <c r="AE27" i="23" s="1"/>
  <c r="AE89" i="23" s="1"/>
  <c r="AI24" i="8"/>
  <c r="AE24" i="23" s="1"/>
  <c r="AE86" i="23" s="1"/>
  <c r="AI20" i="8"/>
  <c r="AE20" i="23" s="1"/>
  <c r="AE82" i="23" s="1"/>
  <c r="AI37" i="8"/>
  <c r="AE37" i="23" s="1"/>
  <c r="AE99" i="23" s="1"/>
  <c r="AI32" i="8"/>
  <c r="AE32" i="23" s="1"/>
  <c r="AE94" i="23" s="1"/>
  <c r="AI28" i="8"/>
  <c r="AE28" i="23" s="1"/>
  <c r="AE90" i="23" s="1"/>
  <c r="AI10" i="8"/>
  <c r="AE10" i="23" s="1"/>
  <c r="AE72" i="23" s="1"/>
  <c r="AI43" i="8"/>
  <c r="AE43" i="23" s="1"/>
  <c r="AE105" i="23" s="1"/>
  <c r="AI46" i="8"/>
  <c r="AE46" i="23" s="1"/>
  <c r="AE108" i="23" s="1"/>
  <c r="AI58" i="8"/>
  <c r="AE58" i="23" s="1"/>
  <c r="AE120" i="23" s="1"/>
  <c r="AI53" i="8"/>
  <c r="AE53" i="23" s="1"/>
  <c r="AE115" i="23" s="1"/>
  <c r="AI18" i="8"/>
  <c r="AE18" i="23" s="1"/>
  <c r="AE80" i="23" s="1"/>
  <c r="AI9" i="8"/>
  <c r="AE9" i="23" s="1"/>
  <c r="AE71" i="23" s="1"/>
  <c r="AI16" i="8"/>
  <c r="AE16" i="23" s="1"/>
  <c r="AE78" i="23" s="1"/>
  <c r="AI29" i="8"/>
  <c r="AE29" i="23" s="1"/>
  <c r="AE91" i="23" s="1"/>
  <c r="AI45" i="8"/>
  <c r="AE45" i="23" s="1"/>
  <c r="AE107" i="23" s="1"/>
  <c r="AI33" i="8"/>
  <c r="AE33" i="23" s="1"/>
  <c r="AE95" i="23" s="1"/>
  <c r="Q47" i="8"/>
  <c r="Q47" i="23" s="1"/>
  <c r="Q109" i="23" s="1"/>
  <c r="Q18" i="8"/>
  <c r="Q18" i="23" s="1"/>
  <c r="Q80" i="23" s="1"/>
  <c r="U7" i="24"/>
  <c r="U52" i="24" s="1"/>
  <c r="N18" i="24"/>
  <c r="N63" i="24" s="1"/>
  <c r="N19" i="24"/>
  <c r="N64" i="24" s="1"/>
  <c r="U14" i="24"/>
  <c r="U59" i="24" s="1"/>
  <c r="Z14" i="12"/>
  <c r="S43" i="13"/>
  <c r="V43" i="13" s="1"/>
  <c r="S43" i="12"/>
  <c r="V43" i="11"/>
  <c r="V44" i="11"/>
  <c r="S44" i="12"/>
  <c r="S44" i="13"/>
  <c r="V44" i="13" s="1"/>
  <c r="S7" i="13"/>
  <c r="V7" i="13" s="1"/>
  <c r="S7" i="12"/>
  <c r="V7" i="11"/>
  <c r="V9" i="11"/>
  <c r="S9" i="12"/>
  <c r="S9" i="13"/>
  <c r="V9" i="13" s="1"/>
  <c r="P50" i="23"/>
  <c r="P112" i="23" s="1"/>
  <c r="Y46" i="12"/>
  <c r="Z5" i="12"/>
  <c r="Z46" i="12" s="1"/>
  <c r="N38" i="24"/>
  <c r="N83" i="24" s="1"/>
  <c r="Q13" i="8"/>
  <c r="Q13" i="23" s="1"/>
  <c r="Q75" i="23" s="1"/>
  <c r="O26" i="13"/>
  <c r="O26" i="12"/>
  <c r="O26" i="24" s="1"/>
  <c r="O71" i="24" s="1"/>
  <c r="O39" i="12"/>
  <c r="O39" i="24" s="1"/>
  <c r="O84" i="24" s="1"/>
  <c r="O39" i="13"/>
  <c r="O22" i="12"/>
  <c r="O22" i="24" s="1"/>
  <c r="O67" i="24" s="1"/>
  <c r="O22" i="13"/>
  <c r="X54" i="8"/>
  <c r="W54" i="23" s="1"/>
  <c r="W116" i="23" s="1"/>
  <c r="AI63" i="9"/>
  <c r="Q8" i="8"/>
  <c r="Q8" i="23" s="1"/>
  <c r="Q70" i="23" s="1"/>
  <c r="U26" i="8"/>
  <c r="T26" i="23" s="1"/>
  <c r="T88" i="23" s="1"/>
  <c r="U32" i="8"/>
  <c r="T32" i="23" s="1"/>
  <c r="T94" i="23" s="1"/>
  <c r="U42" i="8"/>
  <c r="T42" i="23" s="1"/>
  <c r="T104" i="23" s="1"/>
  <c r="U49" i="8"/>
  <c r="T49" i="23" s="1"/>
  <c r="T111" i="23" s="1"/>
  <c r="U61" i="8"/>
  <c r="T61" i="23" s="1"/>
  <c r="T123" i="23" s="1"/>
  <c r="U57" i="8"/>
  <c r="T57" i="23" s="1"/>
  <c r="T119" i="23" s="1"/>
  <c r="U7" i="8"/>
  <c r="T7" i="23" s="1"/>
  <c r="T69" i="23" s="1"/>
  <c r="U35" i="8"/>
  <c r="T35" i="23" s="1"/>
  <c r="T97" i="23" s="1"/>
  <c r="U9" i="8"/>
  <c r="T9" i="23" s="1"/>
  <c r="T71" i="23" s="1"/>
  <c r="U5" i="8"/>
  <c r="U33" i="8"/>
  <c r="T33" i="23" s="1"/>
  <c r="T95" i="23" s="1"/>
  <c r="U59" i="8"/>
  <c r="T59" i="23" s="1"/>
  <c r="T121" i="23" s="1"/>
  <c r="U11" i="8"/>
  <c r="T11" i="23" s="1"/>
  <c r="T73" i="23" s="1"/>
  <c r="U20" i="8"/>
  <c r="T20" i="23" s="1"/>
  <c r="T82" i="23" s="1"/>
  <c r="U25" i="8"/>
  <c r="T25" i="23" s="1"/>
  <c r="T87" i="23" s="1"/>
  <c r="U29" i="8"/>
  <c r="T29" i="23" s="1"/>
  <c r="T91" i="23" s="1"/>
  <c r="U54" i="8"/>
  <c r="T54" i="23" s="1"/>
  <c r="T116" i="23" s="1"/>
  <c r="U36" i="8"/>
  <c r="T36" i="23" s="1"/>
  <c r="T98" i="23" s="1"/>
  <c r="U21" i="8"/>
  <c r="T21" i="23" s="1"/>
  <c r="T83" i="23" s="1"/>
  <c r="U47" i="8"/>
  <c r="T47" i="23" s="1"/>
  <c r="T109" i="23" s="1"/>
  <c r="U27" i="8"/>
  <c r="T27" i="23" s="1"/>
  <c r="T89" i="23" s="1"/>
  <c r="U46" i="8"/>
  <c r="T46" i="23" s="1"/>
  <c r="T108" i="23" s="1"/>
  <c r="U44" i="8"/>
  <c r="T44" i="23" s="1"/>
  <c r="T106" i="23" s="1"/>
  <c r="U13" i="8"/>
  <c r="T13" i="23" s="1"/>
  <c r="T75" i="23" s="1"/>
  <c r="U51" i="8"/>
  <c r="T51" i="23" s="1"/>
  <c r="T113" i="23" s="1"/>
  <c r="U60" i="8"/>
  <c r="T60" i="23" s="1"/>
  <c r="T122" i="23" s="1"/>
  <c r="U12" i="8"/>
  <c r="T12" i="23" s="1"/>
  <c r="T74" i="23" s="1"/>
  <c r="U15" i="8"/>
  <c r="T15" i="23" s="1"/>
  <c r="T77" i="23" s="1"/>
  <c r="U23" i="8"/>
  <c r="T23" i="23" s="1"/>
  <c r="T85" i="23" s="1"/>
  <c r="U22" i="8"/>
  <c r="T22" i="23" s="1"/>
  <c r="T84" i="23" s="1"/>
  <c r="U52" i="8"/>
  <c r="T52" i="23" s="1"/>
  <c r="T114" i="23" s="1"/>
  <c r="U18" i="8"/>
  <c r="T18" i="23" s="1"/>
  <c r="T80" i="23" s="1"/>
  <c r="U53" i="8"/>
  <c r="T53" i="23" s="1"/>
  <c r="T115" i="23" s="1"/>
  <c r="U45" i="8"/>
  <c r="T45" i="23" s="1"/>
  <c r="T107" i="23" s="1"/>
  <c r="U10" i="8"/>
  <c r="T10" i="23" s="1"/>
  <c r="T72" i="23" s="1"/>
  <c r="U37" i="8"/>
  <c r="T37" i="23" s="1"/>
  <c r="T99" i="23" s="1"/>
  <c r="U43" i="8"/>
  <c r="T43" i="23" s="1"/>
  <c r="T105" i="23" s="1"/>
  <c r="U38" i="8"/>
  <c r="T38" i="23" s="1"/>
  <c r="T100" i="23" s="1"/>
  <c r="U39" i="8"/>
  <c r="T39" i="23" s="1"/>
  <c r="T101" i="23" s="1"/>
  <c r="U14" i="8"/>
  <c r="T14" i="23" s="1"/>
  <c r="T76" i="23" s="1"/>
  <c r="U17" i="8"/>
  <c r="T17" i="23" s="1"/>
  <c r="T79" i="23" s="1"/>
  <c r="U28" i="8"/>
  <c r="T28" i="23" s="1"/>
  <c r="T90" i="23" s="1"/>
  <c r="U8" i="8"/>
  <c r="T8" i="23" s="1"/>
  <c r="T70" i="23" s="1"/>
  <c r="U30" i="8"/>
  <c r="T30" i="23" s="1"/>
  <c r="T92" i="23" s="1"/>
  <c r="U50" i="8"/>
  <c r="T50" i="23" s="1"/>
  <c r="T112" i="23" s="1"/>
  <c r="U48" i="8"/>
  <c r="T48" i="23" s="1"/>
  <c r="T110" i="23" s="1"/>
  <c r="U41" i="8"/>
  <c r="T41" i="23" s="1"/>
  <c r="T103" i="23" s="1"/>
  <c r="U24" i="8"/>
  <c r="T24" i="23" s="1"/>
  <c r="T86" i="23" s="1"/>
  <c r="U55" i="8"/>
  <c r="T55" i="23" s="1"/>
  <c r="T117" i="23" s="1"/>
  <c r="U31" i="8"/>
  <c r="T31" i="23" s="1"/>
  <c r="T93" i="23" s="1"/>
  <c r="U19" i="8"/>
  <c r="T19" i="23" s="1"/>
  <c r="T81" i="23" s="1"/>
  <c r="U56" i="8"/>
  <c r="T56" i="23" s="1"/>
  <c r="T118" i="23" s="1"/>
  <c r="U34" i="8"/>
  <c r="T34" i="23" s="1"/>
  <c r="T96" i="23" s="1"/>
  <c r="U58" i="8"/>
  <c r="T58" i="23" s="1"/>
  <c r="T120" i="23" s="1"/>
  <c r="U6" i="8"/>
  <c r="T6" i="23" s="1"/>
  <c r="T68" i="23" s="1"/>
  <c r="U40" i="8"/>
  <c r="T40" i="23" s="1"/>
  <c r="T102" i="23" s="1"/>
  <c r="U16" i="8"/>
  <c r="T16" i="23" s="1"/>
  <c r="T78" i="23" s="1"/>
  <c r="U42" i="24"/>
  <c r="U87" i="24" s="1"/>
  <c r="V8" i="11"/>
  <c r="S8" i="12"/>
  <c r="S8" i="13"/>
  <c r="V8" i="13" s="1"/>
  <c r="S14" i="13"/>
  <c r="V14" i="13" s="1"/>
  <c r="V14" i="11"/>
  <c r="S14" i="12"/>
  <c r="S34" i="12"/>
  <c r="V34" i="12" s="1"/>
  <c r="S34" i="13"/>
  <c r="V34" i="13" s="1"/>
  <c r="V34" i="11"/>
  <c r="S16" i="13"/>
  <c r="V16" i="13" s="1"/>
  <c r="V16" i="11"/>
  <c r="S16" i="12"/>
  <c r="Y46" i="13"/>
  <c r="Z5" i="13"/>
  <c r="Z46" i="13" s="1"/>
  <c r="O16" i="12"/>
  <c r="O16" i="24" s="1"/>
  <c r="O61" i="24" s="1"/>
  <c r="O16" i="13"/>
  <c r="O10" i="12"/>
  <c r="O10" i="24" s="1"/>
  <c r="O55" i="24" s="1"/>
  <c r="O10" i="13"/>
  <c r="O12" i="13"/>
  <c r="O12" i="12"/>
  <c r="O12" i="24" s="1"/>
  <c r="O57" i="24" s="1"/>
  <c r="U29" i="24"/>
  <c r="U74" i="24" s="1"/>
  <c r="Z29" i="12"/>
  <c r="Q48" i="8"/>
  <c r="Q48" i="23" s="1"/>
  <c r="Q110" i="23" s="1"/>
  <c r="Q50" i="8"/>
  <c r="Q50" i="23" s="1"/>
  <c r="Q112" i="23" s="1"/>
  <c r="Q44" i="8"/>
  <c r="Q44" i="23" s="1"/>
  <c r="Q106" i="23" s="1"/>
  <c r="Q11" i="8"/>
  <c r="Q11" i="23" s="1"/>
  <c r="Q73" i="23" s="1"/>
  <c r="Q39" i="8"/>
  <c r="Q39" i="23" s="1"/>
  <c r="Q101" i="23" s="1"/>
  <c r="Q5" i="8"/>
  <c r="Q46" i="8"/>
  <c r="Q46" i="23" s="1"/>
  <c r="Q108" i="23" s="1"/>
  <c r="Q38" i="8"/>
  <c r="Q38" i="23" s="1"/>
  <c r="Q100" i="23" s="1"/>
  <c r="Q40" i="8"/>
  <c r="Q40" i="23" s="1"/>
  <c r="Q102" i="23" s="1"/>
  <c r="Q59" i="8"/>
  <c r="Q59" i="23" s="1"/>
  <c r="Q121" i="23" s="1"/>
  <c r="Q14" i="8"/>
  <c r="Q14" i="23" s="1"/>
  <c r="Q76" i="23" s="1"/>
  <c r="Q52" i="8"/>
  <c r="Q52" i="23" s="1"/>
  <c r="Q114" i="23" s="1"/>
  <c r="Q60" i="8"/>
  <c r="Q60" i="23" s="1"/>
  <c r="Q122" i="23" s="1"/>
  <c r="Q10" i="8"/>
  <c r="Q10" i="23" s="1"/>
  <c r="Q72" i="23" s="1"/>
  <c r="Q49" i="8"/>
  <c r="Q49" i="23" s="1"/>
  <c r="Q111" i="23" s="1"/>
  <c r="Q56" i="8"/>
  <c r="Q56" i="23" s="1"/>
  <c r="Q118" i="23" s="1"/>
  <c r="Q9" i="8"/>
  <c r="Q9" i="23" s="1"/>
  <c r="Q71" i="23" s="1"/>
  <c r="Q15" i="8"/>
  <c r="Q15" i="23" s="1"/>
  <c r="Q77" i="23" s="1"/>
  <c r="Q17" i="8"/>
  <c r="Q17" i="23" s="1"/>
  <c r="Q79" i="23" s="1"/>
  <c r="Q27" i="8"/>
  <c r="Q27" i="23" s="1"/>
  <c r="Q89" i="23" s="1"/>
  <c r="Q35" i="8"/>
  <c r="Q35" i="23" s="1"/>
  <c r="Q97" i="23" s="1"/>
  <c r="Q31" i="8"/>
  <c r="Q31" i="23" s="1"/>
  <c r="Q93" i="23" s="1"/>
  <c r="Q45" i="8"/>
  <c r="Q45" i="23" s="1"/>
  <c r="Q107" i="23" s="1"/>
  <c r="Q7" i="8"/>
  <c r="Q7" i="23" s="1"/>
  <c r="Q69" i="23" s="1"/>
  <c r="Q16" i="8"/>
  <c r="Q16" i="23" s="1"/>
  <c r="Q78" i="23" s="1"/>
  <c r="X45" i="8"/>
  <c r="W45" i="23" s="1"/>
  <c r="W107" i="23" s="1"/>
  <c r="U8" i="24"/>
  <c r="U53" i="24" s="1"/>
  <c r="H7" i="26"/>
  <c r="H13" i="26" s="1"/>
  <c r="O14" i="25"/>
  <c r="Z37" i="12"/>
  <c r="U37" i="24"/>
  <c r="U82" i="24" s="1"/>
  <c r="S21" i="13"/>
  <c r="V21" i="13" s="1"/>
  <c r="V21" i="11"/>
  <c r="S21" i="12"/>
  <c r="S19" i="13"/>
  <c r="V19" i="13" s="1"/>
  <c r="V19" i="11"/>
  <c r="S19" i="12"/>
  <c r="V19" i="12" s="1"/>
  <c r="V39" i="11"/>
  <c r="S39" i="13"/>
  <c r="V39" i="13" s="1"/>
  <c r="S39" i="12"/>
  <c r="V39" i="12" s="1"/>
  <c r="V13" i="11"/>
  <c r="S13" i="12"/>
  <c r="V13" i="12" s="1"/>
  <c r="S13" i="13"/>
  <c r="V13" i="13" s="1"/>
  <c r="Z17" i="12"/>
  <c r="U17" i="24"/>
  <c r="U62" i="24" s="1"/>
  <c r="AH16" i="8"/>
  <c r="AD16" i="23" s="1"/>
  <c r="AD78" i="23" s="1"/>
  <c r="AH61" i="8"/>
  <c r="AD61" i="23" s="1"/>
  <c r="AD123" i="23" s="1"/>
  <c r="AH37" i="8"/>
  <c r="AD37" i="23" s="1"/>
  <c r="AD99" i="23" s="1"/>
  <c r="AH14" i="8"/>
  <c r="AD14" i="23" s="1"/>
  <c r="AD76" i="23" s="1"/>
  <c r="AH50" i="8"/>
  <c r="AD50" i="23" s="1"/>
  <c r="AD112" i="23" s="1"/>
  <c r="AH45" i="8"/>
  <c r="AD45" i="23" s="1"/>
  <c r="AD107" i="23" s="1"/>
  <c r="AH33" i="8"/>
  <c r="AD33" i="23" s="1"/>
  <c r="AD95" i="23" s="1"/>
  <c r="AH19" i="8"/>
  <c r="AD19" i="23" s="1"/>
  <c r="AD81" i="23" s="1"/>
  <c r="AH25" i="8"/>
  <c r="AD25" i="23" s="1"/>
  <c r="AD87" i="23" s="1"/>
  <c r="AH12" i="8"/>
  <c r="AD12" i="23" s="1"/>
  <c r="AD74" i="23" s="1"/>
  <c r="AH38" i="8"/>
  <c r="AD38" i="23" s="1"/>
  <c r="AD100" i="23" s="1"/>
  <c r="AH23" i="8"/>
  <c r="AD23" i="23" s="1"/>
  <c r="AD85" i="23" s="1"/>
  <c r="AH43" i="8"/>
  <c r="AD43" i="23" s="1"/>
  <c r="AD105" i="23" s="1"/>
  <c r="AH6" i="8"/>
  <c r="AD6" i="23" s="1"/>
  <c r="AD68" i="23" s="1"/>
  <c r="AH47" i="8"/>
  <c r="AD47" i="23" s="1"/>
  <c r="AD109" i="23" s="1"/>
  <c r="AH42" i="8"/>
  <c r="AD42" i="23" s="1"/>
  <c r="AD104" i="23" s="1"/>
  <c r="AH29" i="8"/>
  <c r="AD29" i="23" s="1"/>
  <c r="AD91" i="23" s="1"/>
  <c r="AH40" i="8"/>
  <c r="AD40" i="23" s="1"/>
  <c r="AD102" i="23" s="1"/>
  <c r="AH27" i="8"/>
  <c r="AD27" i="23" s="1"/>
  <c r="AD89" i="23" s="1"/>
  <c r="AH51" i="8"/>
  <c r="AD51" i="23" s="1"/>
  <c r="AD113" i="23" s="1"/>
  <c r="AH53" i="8"/>
  <c r="AD53" i="23" s="1"/>
  <c r="AD115" i="23" s="1"/>
  <c r="AH5" i="8"/>
  <c r="AH36" i="8"/>
  <c r="AD36" i="23" s="1"/>
  <c r="AD98" i="23" s="1"/>
  <c r="AH39" i="8"/>
  <c r="AD39" i="23" s="1"/>
  <c r="AD101" i="23" s="1"/>
  <c r="AH41" i="8"/>
  <c r="AD41" i="23" s="1"/>
  <c r="AD103" i="23" s="1"/>
  <c r="AH55" i="8"/>
  <c r="AD55" i="23" s="1"/>
  <c r="AD117" i="23" s="1"/>
  <c r="AH20" i="8"/>
  <c r="AD20" i="23" s="1"/>
  <c r="AD82" i="23" s="1"/>
  <c r="AH52" i="8"/>
  <c r="AD52" i="23" s="1"/>
  <c r="AD114" i="23" s="1"/>
  <c r="AH22" i="8"/>
  <c r="AD22" i="23" s="1"/>
  <c r="AD84" i="23" s="1"/>
  <c r="AH9" i="8"/>
  <c r="AD9" i="23" s="1"/>
  <c r="AD71" i="23" s="1"/>
  <c r="AH35" i="8"/>
  <c r="AD35" i="23" s="1"/>
  <c r="AD97" i="23" s="1"/>
  <c r="AH26" i="8"/>
  <c r="AD26" i="23" s="1"/>
  <c r="AD88" i="23" s="1"/>
  <c r="AH48" i="8"/>
  <c r="AD48" i="23" s="1"/>
  <c r="AD110" i="23" s="1"/>
  <c r="AH21" i="8"/>
  <c r="AD21" i="23" s="1"/>
  <c r="AD83" i="23" s="1"/>
  <c r="AH24" i="8"/>
  <c r="AD24" i="23" s="1"/>
  <c r="AD86" i="23" s="1"/>
  <c r="AH44" i="8"/>
  <c r="AD44" i="23" s="1"/>
  <c r="AD106" i="23" s="1"/>
  <c r="AH32" i="8"/>
  <c r="AD32" i="23" s="1"/>
  <c r="AD94" i="23" s="1"/>
  <c r="AH56" i="8"/>
  <c r="AD56" i="23" s="1"/>
  <c r="AD118" i="23" s="1"/>
  <c r="AH54" i="8"/>
  <c r="AD54" i="23" s="1"/>
  <c r="AD116" i="23" s="1"/>
  <c r="AH49" i="8"/>
  <c r="AD49" i="23" s="1"/>
  <c r="AD111" i="23" s="1"/>
  <c r="AH15" i="8"/>
  <c r="AD15" i="23" s="1"/>
  <c r="AD77" i="23" s="1"/>
  <c r="AH57" i="8"/>
  <c r="AD57" i="23" s="1"/>
  <c r="AD119" i="23" s="1"/>
  <c r="L35" i="23"/>
  <c r="L97" i="23" s="1"/>
  <c r="O34" i="12"/>
  <c r="O34" i="24" s="1"/>
  <c r="O79" i="24" s="1"/>
  <c r="O34" i="13"/>
  <c r="O21" i="12"/>
  <c r="O21" i="13"/>
  <c r="O28" i="12"/>
  <c r="O28" i="24" s="1"/>
  <c r="O73" i="24" s="1"/>
  <c r="O28" i="13"/>
  <c r="AE23" i="23"/>
  <c r="AE85" i="23" s="1"/>
  <c r="Q63" i="9"/>
  <c r="Q37" i="8"/>
  <c r="Q37" i="23" s="1"/>
  <c r="Q99" i="23" s="1"/>
  <c r="N23" i="24"/>
  <c r="N68" i="24" s="1"/>
  <c r="X24" i="8"/>
  <c r="W24" i="23" s="1"/>
  <c r="W86" i="23" s="1"/>
  <c r="Q13" i="24"/>
  <c r="Q58" i="24" s="1"/>
  <c r="Q12" i="24"/>
  <c r="Q57" i="24" s="1"/>
  <c r="Q42" i="24"/>
  <c r="Q87" i="24" s="1"/>
  <c r="N22" i="24"/>
  <c r="N67" i="24" s="1"/>
  <c r="N39" i="24"/>
  <c r="N84" i="24" s="1"/>
  <c r="W10" i="8"/>
  <c r="V10" i="23" s="1"/>
  <c r="V72" i="23" s="1"/>
  <c r="W17" i="8"/>
  <c r="V17" i="23" s="1"/>
  <c r="V79" i="23" s="1"/>
  <c r="W6" i="8"/>
  <c r="V6" i="23" s="1"/>
  <c r="V68" i="23" s="1"/>
  <c r="W5" i="8"/>
  <c r="W18" i="8"/>
  <c r="V18" i="23" s="1"/>
  <c r="V80" i="23" s="1"/>
  <c r="W9" i="8"/>
  <c r="V9" i="23" s="1"/>
  <c r="V71" i="23" s="1"/>
  <c r="W21" i="8"/>
  <c r="V21" i="23" s="1"/>
  <c r="V83" i="23" s="1"/>
  <c r="W52" i="8"/>
  <c r="V52" i="23" s="1"/>
  <c r="V114" i="23" s="1"/>
  <c r="W61" i="8"/>
  <c r="V61" i="23" s="1"/>
  <c r="V123" i="23" s="1"/>
  <c r="W37" i="8"/>
  <c r="V37" i="23" s="1"/>
  <c r="V99" i="23" s="1"/>
  <c r="W47" i="8"/>
  <c r="V47" i="23" s="1"/>
  <c r="V109" i="23" s="1"/>
  <c r="W59" i="8"/>
  <c r="V59" i="23" s="1"/>
  <c r="V121" i="23" s="1"/>
  <c r="W33" i="8"/>
  <c r="V33" i="23" s="1"/>
  <c r="V95" i="23" s="1"/>
  <c r="W48" i="8"/>
  <c r="V48" i="23" s="1"/>
  <c r="V110" i="23" s="1"/>
  <c r="W38" i="8"/>
  <c r="V38" i="23" s="1"/>
  <c r="V100" i="23" s="1"/>
  <c r="W41" i="8"/>
  <c r="V41" i="23" s="1"/>
  <c r="V103" i="23" s="1"/>
  <c r="W30" i="8"/>
  <c r="V30" i="23" s="1"/>
  <c r="V92" i="23" s="1"/>
  <c r="W25" i="8"/>
  <c r="V25" i="23" s="1"/>
  <c r="V87" i="23" s="1"/>
  <c r="W55" i="8"/>
  <c r="V55" i="23" s="1"/>
  <c r="V117" i="23" s="1"/>
  <c r="W23" i="8"/>
  <c r="V23" i="23" s="1"/>
  <c r="V85" i="23" s="1"/>
  <c r="W42" i="8"/>
  <c r="V42" i="23" s="1"/>
  <c r="V104" i="23" s="1"/>
  <c r="W40" i="8"/>
  <c r="V40" i="23" s="1"/>
  <c r="V102" i="23" s="1"/>
  <c r="W49" i="8"/>
  <c r="V49" i="23" s="1"/>
  <c r="V111" i="23" s="1"/>
  <c r="W43" i="8"/>
  <c r="V43" i="23" s="1"/>
  <c r="V105" i="23" s="1"/>
  <c r="W56" i="8"/>
  <c r="V56" i="23" s="1"/>
  <c r="V118" i="23" s="1"/>
  <c r="W13" i="8"/>
  <c r="V13" i="23" s="1"/>
  <c r="V75" i="23" s="1"/>
  <c r="W50" i="8"/>
  <c r="V50" i="23" s="1"/>
  <c r="V112" i="23" s="1"/>
  <c r="W26" i="8"/>
  <c r="V26" i="23" s="1"/>
  <c r="V88" i="23" s="1"/>
  <c r="W15" i="8"/>
  <c r="V15" i="23" s="1"/>
  <c r="V77" i="23" s="1"/>
  <c r="W36" i="8"/>
  <c r="V36" i="23" s="1"/>
  <c r="V98" i="23" s="1"/>
  <c r="W45" i="8"/>
  <c r="V45" i="23" s="1"/>
  <c r="V107" i="23" s="1"/>
  <c r="W24" i="8"/>
  <c r="V24" i="23" s="1"/>
  <c r="V86" i="23" s="1"/>
  <c r="W51" i="8"/>
  <c r="V51" i="23" s="1"/>
  <c r="V113" i="23" s="1"/>
  <c r="W14" i="8"/>
  <c r="V14" i="23" s="1"/>
  <c r="V76" i="23" s="1"/>
  <c r="W57" i="8"/>
  <c r="V57" i="23" s="1"/>
  <c r="V119" i="23" s="1"/>
  <c r="W8" i="8"/>
  <c r="V8" i="23" s="1"/>
  <c r="V70" i="23" s="1"/>
  <c r="W28" i="8"/>
  <c r="V28" i="23" s="1"/>
  <c r="V90" i="23" s="1"/>
  <c r="W39" i="8"/>
  <c r="V39" i="23" s="1"/>
  <c r="V101" i="23" s="1"/>
  <c r="W35" i="8"/>
  <c r="V35" i="23" s="1"/>
  <c r="V97" i="23" s="1"/>
  <c r="W12" i="8"/>
  <c r="V12" i="23" s="1"/>
  <c r="V74" i="23" s="1"/>
  <c r="W32" i="8"/>
  <c r="V32" i="23" s="1"/>
  <c r="V94" i="23" s="1"/>
  <c r="W11" i="8"/>
  <c r="V11" i="23" s="1"/>
  <c r="V73" i="23" s="1"/>
  <c r="W44" i="8"/>
  <c r="V44" i="23" s="1"/>
  <c r="V106" i="23" s="1"/>
  <c r="W19" i="8"/>
  <c r="V19" i="23" s="1"/>
  <c r="V81" i="23" s="1"/>
  <c r="W7" i="8"/>
  <c r="V7" i="23" s="1"/>
  <c r="V69" i="23" s="1"/>
  <c r="W53" i="8"/>
  <c r="V53" i="23" s="1"/>
  <c r="V115" i="23" s="1"/>
  <c r="W54" i="8"/>
  <c r="V54" i="23" s="1"/>
  <c r="V116" i="23" s="1"/>
  <c r="W29" i="8"/>
  <c r="V29" i="23" s="1"/>
  <c r="V91" i="23" s="1"/>
  <c r="W22" i="8"/>
  <c r="V22" i="23" s="1"/>
  <c r="V84" i="23" s="1"/>
  <c r="W27" i="8"/>
  <c r="V27" i="23" s="1"/>
  <c r="V89" i="23" s="1"/>
  <c r="W16" i="8"/>
  <c r="V16" i="23" s="1"/>
  <c r="V78" i="23" s="1"/>
  <c r="W34" i="8"/>
  <c r="V34" i="23" s="1"/>
  <c r="V96" i="23" s="1"/>
  <c r="W60" i="8"/>
  <c r="V60" i="23" s="1"/>
  <c r="V122" i="23" s="1"/>
  <c r="S24" i="12"/>
  <c r="V24" i="11"/>
  <c r="S24" i="13"/>
  <c r="V24" i="13" s="1"/>
  <c r="V6" i="11"/>
  <c r="S6" i="12"/>
  <c r="S6" i="13"/>
  <c r="V6" i="13" s="1"/>
  <c r="V27" i="11"/>
  <c r="S27" i="12"/>
  <c r="S27" i="13"/>
  <c r="V27" i="13" s="1"/>
  <c r="Q30" i="8"/>
  <c r="Q30" i="23" s="1"/>
  <c r="Q92" i="23" s="1"/>
  <c r="W58" i="8"/>
  <c r="V58" i="23" s="1"/>
  <c r="V120" i="23" s="1"/>
  <c r="N9" i="24"/>
  <c r="N54" i="24" s="1"/>
  <c r="AC24" i="8"/>
  <c r="AC28" i="8"/>
  <c r="AC47" i="8"/>
  <c r="AC12" i="8"/>
  <c r="AC60" i="8"/>
  <c r="AC31" i="8"/>
  <c r="AC26" i="8"/>
  <c r="AC29" i="8"/>
  <c r="AC16" i="8"/>
  <c r="AC21" i="8"/>
  <c r="AC27" i="8"/>
  <c r="AC49" i="8"/>
  <c r="AC41" i="8"/>
  <c r="AC17" i="8"/>
  <c r="AC52" i="8"/>
  <c r="AC42" i="8"/>
  <c r="AC36" i="8"/>
  <c r="AC46" i="8"/>
  <c r="AC53" i="8"/>
  <c r="AC45" i="8"/>
  <c r="AC23" i="8"/>
  <c r="AC15" i="8"/>
  <c r="AC5" i="8"/>
  <c r="AC14" i="8"/>
  <c r="AC30" i="8"/>
  <c r="AC11" i="8"/>
  <c r="AC20" i="8"/>
  <c r="AC44" i="8"/>
  <c r="AC18" i="8"/>
  <c r="AC35" i="8"/>
  <c r="AC38" i="8"/>
  <c r="AC6" i="8"/>
  <c r="AC32" i="8"/>
  <c r="AC59" i="8"/>
  <c r="AC39" i="8"/>
  <c r="AC19" i="8"/>
  <c r="AC40" i="8"/>
  <c r="AC51" i="8"/>
  <c r="AC37" i="8"/>
  <c r="AC10" i="8"/>
  <c r="AC8" i="8"/>
  <c r="AC43" i="8"/>
  <c r="AC61" i="8"/>
  <c r="AC33" i="8"/>
  <c r="AC7" i="8"/>
  <c r="AC9" i="8"/>
  <c r="AC25" i="8"/>
  <c r="AC34" i="8"/>
  <c r="AC57" i="8"/>
  <c r="AC48" i="8"/>
  <c r="AC56" i="8"/>
  <c r="AC58" i="8"/>
  <c r="AC50" i="8"/>
  <c r="AC55" i="8"/>
  <c r="AC13" i="8"/>
  <c r="AC54" i="8"/>
  <c r="AH63" i="9"/>
  <c r="O41" i="12"/>
  <c r="O41" i="24" s="1"/>
  <c r="O86" i="24" s="1"/>
  <c r="O41" i="13"/>
  <c r="O31" i="13"/>
  <c r="O31" i="12"/>
  <c r="O31" i="24" s="1"/>
  <c r="O76" i="24" s="1"/>
  <c r="O15" i="12"/>
  <c r="O15" i="13"/>
  <c r="Q32" i="8"/>
  <c r="Q32" i="23" s="1"/>
  <c r="Q94" i="23" s="1"/>
  <c r="AH18" i="8"/>
  <c r="AD18" i="23" s="1"/>
  <c r="AD80" i="23" s="1"/>
  <c r="P18" i="8"/>
  <c r="P18" i="23" s="1"/>
  <c r="P80" i="23" s="1"/>
  <c r="Z27" i="12"/>
  <c r="U27" i="24"/>
  <c r="U72" i="24" s="1"/>
  <c r="O39" i="8"/>
  <c r="O39" i="23" s="1"/>
  <c r="O101" i="23" s="1"/>
  <c r="O7" i="8"/>
  <c r="O7" i="23" s="1"/>
  <c r="O69" i="23" s="1"/>
  <c r="O18" i="8"/>
  <c r="O18" i="23" s="1"/>
  <c r="O80" i="23" s="1"/>
  <c r="O37" i="8"/>
  <c r="O37" i="23" s="1"/>
  <c r="O99" i="23" s="1"/>
  <c r="O17" i="8"/>
  <c r="O17" i="23" s="1"/>
  <c r="O79" i="23" s="1"/>
  <c r="O49" i="8"/>
  <c r="O49" i="23" s="1"/>
  <c r="O111" i="23" s="1"/>
  <c r="O45" i="8"/>
  <c r="O45" i="23" s="1"/>
  <c r="O107" i="23" s="1"/>
  <c r="O9" i="8"/>
  <c r="O9" i="23" s="1"/>
  <c r="O71" i="23" s="1"/>
  <c r="O29" i="8"/>
  <c r="O29" i="23" s="1"/>
  <c r="O91" i="23" s="1"/>
  <c r="O51" i="8"/>
  <c r="O51" i="23" s="1"/>
  <c r="O113" i="23" s="1"/>
  <c r="O50" i="8"/>
  <c r="O50" i="23" s="1"/>
  <c r="O112" i="23" s="1"/>
  <c r="O27" i="8"/>
  <c r="O27" i="23" s="1"/>
  <c r="O89" i="23" s="1"/>
  <c r="O28" i="8"/>
  <c r="O28" i="23" s="1"/>
  <c r="O90" i="23" s="1"/>
  <c r="O57" i="8"/>
  <c r="O57" i="23" s="1"/>
  <c r="O119" i="23" s="1"/>
  <c r="O26" i="8"/>
  <c r="O26" i="23" s="1"/>
  <c r="O88" i="23" s="1"/>
  <c r="O20" i="8"/>
  <c r="O20" i="23" s="1"/>
  <c r="O82" i="23" s="1"/>
  <c r="O12" i="8"/>
  <c r="O12" i="23" s="1"/>
  <c r="O74" i="23" s="1"/>
  <c r="O60" i="8"/>
  <c r="O60" i="23" s="1"/>
  <c r="O122" i="23" s="1"/>
  <c r="O56" i="8"/>
  <c r="O56" i="23" s="1"/>
  <c r="O118" i="23" s="1"/>
  <c r="O40" i="8"/>
  <c r="O40" i="23" s="1"/>
  <c r="O102" i="23" s="1"/>
  <c r="O19" i="8"/>
  <c r="O19" i="23" s="1"/>
  <c r="O81" i="23" s="1"/>
  <c r="O54" i="8"/>
  <c r="O54" i="23" s="1"/>
  <c r="O116" i="23" s="1"/>
  <c r="O10" i="8"/>
  <c r="O10" i="23" s="1"/>
  <c r="O72" i="23" s="1"/>
  <c r="O5" i="8"/>
  <c r="O48" i="8"/>
  <c r="O48" i="23" s="1"/>
  <c r="O110" i="23" s="1"/>
  <c r="O47" i="8"/>
  <c r="O47" i="23" s="1"/>
  <c r="O109" i="23" s="1"/>
  <c r="O21" i="8"/>
  <c r="O21" i="23" s="1"/>
  <c r="O83" i="23" s="1"/>
  <c r="O30" i="8"/>
  <c r="O30" i="23" s="1"/>
  <c r="O92" i="23" s="1"/>
  <c r="O53" i="8"/>
  <c r="O53" i="23" s="1"/>
  <c r="O115" i="23" s="1"/>
  <c r="O15" i="8"/>
  <c r="O15" i="23" s="1"/>
  <c r="O77" i="23" s="1"/>
  <c r="O8" i="8"/>
  <c r="O8" i="23" s="1"/>
  <c r="O70" i="23" s="1"/>
  <c r="O44" i="8"/>
  <c r="O44" i="23" s="1"/>
  <c r="O106" i="23" s="1"/>
  <c r="O31" i="8"/>
  <c r="O31" i="23" s="1"/>
  <c r="O93" i="23" s="1"/>
  <c r="O36" i="8"/>
  <c r="O36" i="23" s="1"/>
  <c r="O98" i="23" s="1"/>
  <c r="O33" i="8"/>
  <c r="O33" i="23" s="1"/>
  <c r="O95" i="23" s="1"/>
  <c r="O23" i="8"/>
  <c r="O23" i="23" s="1"/>
  <c r="O85" i="23" s="1"/>
  <c r="O59" i="8"/>
  <c r="O59" i="23" s="1"/>
  <c r="O121" i="23" s="1"/>
  <c r="O52" i="8"/>
  <c r="O52" i="23" s="1"/>
  <c r="O114" i="23" s="1"/>
  <c r="O35" i="8"/>
  <c r="O35" i="23" s="1"/>
  <c r="O97" i="23" s="1"/>
  <c r="O42" i="8"/>
  <c r="O42" i="23" s="1"/>
  <c r="O104" i="23" s="1"/>
  <c r="O38" i="8"/>
  <c r="O38" i="23" s="1"/>
  <c r="O100" i="23" s="1"/>
  <c r="O16" i="8"/>
  <c r="O16" i="23" s="1"/>
  <c r="O78" i="23" s="1"/>
  <c r="O24" i="8"/>
  <c r="O24" i="23" s="1"/>
  <c r="O86" i="23" s="1"/>
  <c r="O46" i="8"/>
  <c r="O46" i="23" s="1"/>
  <c r="O108" i="23" s="1"/>
  <c r="O58" i="8"/>
  <c r="O58" i="23" s="1"/>
  <c r="O120" i="23" s="1"/>
  <c r="O14" i="8"/>
  <c r="O14" i="23" s="1"/>
  <c r="O76" i="23" s="1"/>
  <c r="O11" i="8"/>
  <c r="O11" i="23" s="1"/>
  <c r="O73" i="23" s="1"/>
  <c r="O25" i="8"/>
  <c r="O25" i="23" s="1"/>
  <c r="O87" i="23" s="1"/>
  <c r="O32" i="8"/>
  <c r="O32" i="23" s="1"/>
  <c r="O94" i="23" s="1"/>
  <c r="O13" i="8"/>
  <c r="O13" i="23" s="1"/>
  <c r="O75" i="23" s="1"/>
  <c r="O43" i="8"/>
  <c r="O43" i="23" s="1"/>
  <c r="O105" i="23" s="1"/>
  <c r="O55" i="8"/>
  <c r="O55" i="23" s="1"/>
  <c r="O117" i="23" s="1"/>
  <c r="O22" i="8"/>
  <c r="O22" i="23" s="1"/>
  <c r="O84" i="23" s="1"/>
  <c r="O61" i="8"/>
  <c r="O61" i="23" s="1"/>
  <c r="O123" i="23" s="1"/>
  <c r="O34" i="8"/>
  <c r="O34" i="23" s="1"/>
  <c r="O96" i="23" s="1"/>
  <c r="O41" i="8"/>
  <c r="O41" i="23" s="1"/>
  <c r="O103" i="23" s="1"/>
  <c r="U39" i="24"/>
  <c r="U84" i="24" s="1"/>
  <c r="Z39" i="12"/>
  <c r="U32" i="24"/>
  <c r="U77" i="24" s="1"/>
  <c r="P15" i="23"/>
  <c r="P77" i="23" s="1"/>
  <c r="V23" i="11"/>
  <c r="S23" i="13"/>
  <c r="V23" i="13" s="1"/>
  <c r="S23" i="12"/>
  <c r="V38" i="11"/>
  <c r="S38" i="12"/>
  <c r="S38" i="13"/>
  <c r="V38" i="13" s="1"/>
  <c r="S10" i="13"/>
  <c r="V10" i="13" s="1"/>
  <c r="V10" i="11"/>
  <c r="S10" i="12"/>
  <c r="Z13" i="12"/>
  <c r="U13" i="24"/>
  <c r="U58" i="24" s="1"/>
  <c r="AD5" i="9"/>
  <c r="AD63" i="9" s="1"/>
  <c r="AC63" i="9"/>
  <c r="P9" i="25"/>
  <c r="P15" i="25" s="1"/>
  <c r="P11" i="25"/>
  <c r="O29" i="12"/>
  <c r="O29" i="13"/>
  <c r="O14" i="12"/>
  <c r="O14" i="13"/>
  <c r="O6" i="12"/>
  <c r="O6" i="24" s="1"/>
  <c r="O51" i="24" s="1"/>
  <c r="O6" i="13"/>
  <c r="Q26" i="8"/>
  <c r="Q26" i="23" s="1"/>
  <c r="Q88" i="23" s="1"/>
  <c r="D9" i="26"/>
  <c r="Z41" i="12"/>
  <c r="U41" i="24"/>
  <c r="U86" i="24" s="1"/>
  <c r="P47" i="8"/>
  <c r="P47" i="23" s="1"/>
  <c r="P109" i="23" s="1"/>
  <c r="P17" i="8"/>
  <c r="P17" i="23" s="1"/>
  <c r="P79" i="23" s="1"/>
  <c r="P32" i="8"/>
  <c r="P10" i="8"/>
  <c r="P10" i="23" s="1"/>
  <c r="P72" i="23" s="1"/>
  <c r="P27" i="8"/>
  <c r="P27" i="23" s="1"/>
  <c r="P89" i="23" s="1"/>
  <c r="P16" i="8"/>
  <c r="P16" i="23" s="1"/>
  <c r="P78" i="23" s="1"/>
  <c r="P40" i="8"/>
  <c r="P40" i="23" s="1"/>
  <c r="P102" i="23" s="1"/>
  <c r="P24" i="8"/>
  <c r="P24" i="23" s="1"/>
  <c r="P86" i="23" s="1"/>
  <c r="P29" i="8"/>
  <c r="P29" i="23" s="1"/>
  <c r="P91" i="23" s="1"/>
  <c r="P33" i="8"/>
  <c r="P14" i="8"/>
  <c r="P14" i="23" s="1"/>
  <c r="P76" i="23" s="1"/>
  <c r="P22" i="8"/>
  <c r="P22" i="23" s="1"/>
  <c r="P84" i="23" s="1"/>
  <c r="P9" i="8"/>
  <c r="P9" i="23" s="1"/>
  <c r="P71" i="23" s="1"/>
  <c r="P36" i="8"/>
  <c r="P11" i="8"/>
  <c r="P11" i="23" s="1"/>
  <c r="P73" i="23" s="1"/>
  <c r="P56" i="8"/>
  <c r="P56" i="23" s="1"/>
  <c r="P118" i="23" s="1"/>
  <c r="P61" i="8"/>
  <c r="P61" i="23" s="1"/>
  <c r="P123" i="23" s="1"/>
  <c r="P48" i="8"/>
  <c r="P48" i="23" s="1"/>
  <c r="P110" i="23" s="1"/>
  <c r="P53" i="8"/>
  <c r="P53" i="23" s="1"/>
  <c r="P115" i="23" s="1"/>
  <c r="P43" i="8"/>
  <c r="P43" i="23" s="1"/>
  <c r="P105" i="23" s="1"/>
  <c r="P58" i="8"/>
  <c r="P58" i="23" s="1"/>
  <c r="P120" i="23" s="1"/>
  <c r="P5" i="8"/>
  <c r="P41" i="8"/>
  <c r="P41" i="23" s="1"/>
  <c r="P103" i="23" s="1"/>
  <c r="P51" i="8"/>
  <c r="P51" i="23" s="1"/>
  <c r="P113" i="23" s="1"/>
  <c r="P31" i="8"/>
  <c r="P49" i="8"/>
  <c r="P49" i="23" s="1"/>
  <c r="P111" i="23" s="1"/>
  <c r="P25" i="8"/>
  <c r="P25" i="23" s="1"/>
  <c r="P87" i="23" s="1"/>
  <c r="P46" i="8"/>
  <c r="P46" i="23" s="1"/>
  <c r="P108" i="23" s="1"/>
  <c r="P60" i="8"/>
  <c r="P60" i="23" s="1"/>
  <c r="P122" i="23" s="1"/>
  <c r="P28" i="8"/>
  <c r="P28" i="23" s="1"/>
  <c r="P90" i="23" s="1"/>
  <c r="P34" i="8"/>
  <c r="P54" i="8"/>
  <c r="P54" i="23" s="1"/>
  <c r="P116" i="23" s="1"/>
  <c r="P55" i="8"/>
  <c r="P55" i="23" s="1"/>
  <c r="P117" i="23" s="1"/>
  <c r="P20" i="8"/>
  <c r="P20" i="23" s="1"/>
  <c r="P82" i="23" s="1"/>
  <c r="P59" i="8"/>
  <c r="P59" i="23" s="1"/>
  <c r="P121" i="23" s="1"/>
  <c r="P38" i="8"/>
  <c r="P37" i="8"/>
  <c r="P19" i="8"/>
  <c r="P19" i="23" s="1"/>
  <c r="P81" i="23" s="1"/>
  <c r="P23" i="8"/>
  <c r="P23" i="23" s="1"/>
  <c r="P85" i="23" s="1"/>
  <c r="P42" i="8"/>
  <c r="P42" i="23" s="1"/>
  <c r="P104" i="23" s="1"/>
  <c r="U43" i="24"/>
  <c r="U88" i="24" s="1"/>
  <c r="U36" i="24"/>
  <c r="U81" i="24" s="1"/>
  <c r="V15" i="7"/>
  <c r="V35" i="7"/>
  <c r="V13" i="7"/>
  <c r="V48" i="7"/>
  <c r="V34" i="7"/>
  <c r="V25" i="7"/>
  <c r="V33" i="7"/>
  <c r="V20" i="7"/>
  <c r="V54" i="7"/>
  <c r="V28" i="7"/>
  <c r="V10" i="7"/>
  <c r="V57" i="7"/>
  <c r="V56" i="7"/>
  <c r="V5" i="7"/>
  <c r="V61" i="7"/>
  <c r="V51" i="7"/>
  <c r="V23" i="7"/>
  <c r="V16" i="7"/>
  <c r="V12" i="7"/>
  <c r="V37" i="7"/>
  <c r="V53" i="7"/>
  <c r="V21" i="7"/>
  <c r="V7" i="7"/>
  <c r="V43" i="7"/>
  <c r="V39" i="7"/>
  <c r="V58" i="7"/>
  <c r="V11" i="7"/>
  <c r="V40" i="7"/>
  <c r="V17" i="7"/>
  <c r="V44" i="7"/>
  <c r="V29" i="7"/>
  <c r="V8" i="7"/>
  <c r="V50" i="7"/>
  <c r="V59" i="7"/>
  <c r="V49" i="7"/>
  <c r="V19" i="7"/>
  <c r="V18" i="7"/>
  <c r="V46" i="7"/>
  <c r="V52" i="7"/>
  <c r="V14" i="7"/>
  <c r="V24" i="7"/>
  <c r="V22" i="7"/>
  <c r="V45" i="7"/>
  <c r="V36" i="7"/>
  <c r="V47" i="7"/>
  <c r="V41" i="7"/>
  <c r="V30" i="7"/>
  <c r="V9" i="7"/>
  <c r="V55" i="7"/>
  <c r="V32" i="7"/>
  <c r="V60" i="7"/>
  <c r="V27" i="7"/>
  <c r="V6" i="7"/>
  <c r="V31" i="7"/>
  <c r="V42" i="7"/>
  <c r="V38" i="7"/>
  <c r="V26" i="7"/>
  <c r="S40" i="12"/>
  <c r="V40" i="11"/>
  <c r="S40" i="13"/>
  <c r="V40" i="13" s="1"/>
  <c r="S30" i="12"/>
  <c r="S30" i="13"/>
  <c r="V30" i="13" s="1"/>
  <c r="V30" i="11"/>
  <c r="V37" i="11"/>
  <c r="S37" i="12"/>
  <c r="S37" i="13"/>
  <c r="V37" i="13" s="1"/>
  <c r="AD63" i="7"/>
  <c r="Q19" i="8"/>
  <c r="Q19" i="23" s="1"/>
  <c r="Q81" i="23" s="1"/>
  <c r="O23" i="13"/>
  <c r="O23" i="12"/>
  <c r="O23" i="24" s="1"/>
  <c r="O68" i="24" s="1"/>
  <c r="O25" i="12"/>
  <c r="O25" i="13"/>
  <c r="O11" i="13"/>
  <c r="O11" i="12"/>
  <c r="O11" i="24" s="1"/>
  <c r="O56" i="24" s="1"/>
  <c r="O18" i="12"/>
  <c r="O18" i="13"/>
  <c r="U28" i="24"/>
  <c r="U73" i="24" s="1"/>
  <c r="Z28" i="12"/>
  <c r="P63" i="9"/>
  <c r="Q58" i="8"/>
  <c r="Q58" i="23" s="1"/>
  <c r="Q120" i="23" s="1"/>
  <c r="U9" i="24"/>
  <c r="U54" i="24" s="1"/>
  <c r="U11" i="24"/>
  <c r="U56" i="24" s="1"/>
  <c r="E41" i="5"/>
  <c r="E21" i="5"/>
  <c r="C7" i="26"/>
  <c r="C13" i="26" s="1"/>
  <c r="F7" i="26"/>
  <c r="F13" i="26" s="1"/>
  <c r="F11" i="26"/>
  <c r="T68" i="6"/>
  <c r="T66" i="9"/>
  <c r="T66" i="8"/>
  <c r="T66" i="7"/>
  <c r="P48" i="13"/>
  <c r="P48" i="12"/>
  <c r="P48" i="11"/>
  <c r="P48" i="10"/>
  <c r="F46" i="5"/>
  <c r="T67" i="6"/>
  <c r="T65" i="8"/>
  <c r="T65" i="9"/>
  <c r="T65" i="7"/>
  <c r="F29" i="5"/>
  <c r="AM66" i="6"/>
  <c r="AM64" i="9"/>
  <c r="AM64" i="7"/>
  <c r="AM64" i="8" s="1"/>
  <c r="L11" i="11"/>
  <c r="L9" i="11"/>
  <c r="L8" i="11"/>
  <c r="L7" i="11"/>
  <c r="L10" i="11"/>
  <c r="L5" i="11"/>
  <c r="L13" i="11"/>
  <c r="L6" i="11"/>
  <c r="L43" i="11"/>
  <c r="L39" i="11"/>
  <c r="L12" i="11"/>
  <c r="L18" i="11"/>
  <c r="L41" i="11"/>
  <c r="L29" i="11"/>
  <c r="L15" i="11"/>
  <c r="L32" i="11"/>
  <c r="L37" i="11"/>
  <c r="L34" i="11"/>
  <c r="L14" i="11"/>
  <c r="L38" i="11"/>
  <c r="L31" i="11"/>
  <c r="L20" i="11"/>
  <c r="L36" i="11"/>
  <c r="L33" i="11"/>
  <c r="L16" i="11"/>
  <c r="L27" i="11"/>
  <c r="L42" i="11"/>
  <c r="L35" i="11"/>
  <c r="L44" i="11"/>
  <c r="L25" i="11"/>
  <c r="L30" i="11"/>
  <c r="L28" i="11"/>
  <c r="L26" i="11"/>
  <c r="L23" i="11"/>
  <c r="L40" i="11"/>
  <c r="L22" i="11"/>
  <c r="L24" i="11"/>
  <c r="L21" i="11"/>
  <c r="L17" i="11"/>
  <c r="L19" i="11"/>
  <c r="F45" i="5"/>
  <c r="P49" i="13"/>
  <c r="P49" i="12"/>
  <c r="P49" i="10"/>
  <c r="P49" i="11"/>
  <c r="P14" i="25" l="1"/>
  <c r="V37" i="12"/>
  <c r="Q37" i="24"/>
  <c r="Q82" i="24" s="1"/>
  <c r="V6" i="9"/>
  <c r="AB6" i="9" s="1"/>
  <c r="AB6" i="7"/>
  <c r="V24" i="9"/>
  <c r="AB24" i="9" s="1"/>
  <c r="AB24" i="7"/>
  <c r="V17" i="9"/>
  <c r="AB17" i="9" s="1"/>
  <c r="AB17" i="7"/>
  <c r="V23" i="9"/>
  <c r="AB23" i="9" s="1"/>
  <c r="AB23" i="7"/>
  <c r="V34" i="9"/>
  <c r="AB34" i="9" s="1"/>
  <c r="AB34" i="7"/>
  <c r="O5" i="23"/>
  <c r="O67" i="23" s="1"/>
  <c r="O63" i="8"/>
  <c r="AD54" i="8"/>
  <c r="AA54" i="23"/>
  <c r="AA116" i="23" s="1"/>
  <c r="AD33" i="8"/>
  <c r="AA33" i="23"/>
  <c r="AA95" i="23" s="1"/>
  <c r="AA6" i="23"/>
  <c r="AA68" i="23" s="1"/>
  <c r="AD6" i="8"/>
  <c r="AD45" i="8"/>
  <c r="AA45" i="23"/>
  <c r="AA107" i="23" s="1"/>
  <c r="AA29" i="23"/>
  <c r="AA91" i="23" s="1"/>
  <c r="AD29" i="8"/>
  <c r="Q27" i="24"/>
  <c r="Q72" i="24" s="1"/>
  <c r="V27" i="12"/>
  <c r="V21" i="12"/>
  <c r="Q21" i="24"/>
  <c r="Q66" i="24" s="1"/>
  <c r="O46" i="13"/>
  <c r="Q18" i="24"/>
  <c r="Q63" i="24" s="1"/>
  <c r="V18" i="12"/>
  <c r="Q11" i="24"/>
  <c r="Q56" i="24" s="1"/>
  <c r="V11" i="12"/>
  <c r="V25" i="9"/>
  <c r="AB25" i="9" s="1"/>
  <c r="AB25" i="7"/>
  <c r="V51" i="9"/>
  <c r="AB51" i="9" s="1"/>
  <c r="AB51" i="7"/>
  <c r="AD61" i="8"/>
  <c r="AA61" i="23"/>
  <c r="AA123" i="23" s="1"/>
  <c r="AD53" i="8"/>
  <c r="AA53" i="23"/>
  <c r="AA115" i="23" s="1"/>
  <c r="AD26" i="8"/>
  <c r="AA26" i="23"/>
  <c r="AA88" i="23" s="1"/>
  <c r="O5" i="24"/>
  <c r="O50" i="24" s="1"/>
  <c r="O46" i="12"/>
  <c r="S46" i="13"/>
  <c r="V5" i="13"/>
  <c r="V46" i="13" s="1"/>
  <c r="Q25" i="24"/>
  <c r="Q70" i="24" s="1"/>
  <c r="V25" i="12"/>
  <c r="V16" i="9"/>
  <c r="AB16" i="9" s="1"/>
  <c r="AB16" i="7"/>
  <c r="V7" i="12"/>
  <c r="Q7" i="24"/>
  <c r="Q52" i="24" s="1"/>
  <c r="V32" i="12"/>
  <c r="Q32" i="24"/>
  <c r="Q77" i="24" s="1"/>
  <c r="Q5" i="24"/>
  <c r="Q50" i="24" s="1"/>
  <c r="S46" i="12"/>
  <c r="V5" i="12"/>
  <c r="Q35" i="24"/>
  <c r="Q80" i="24" s="1"/>
  <c r="V35" i="12"/>
  <c r="V41" i="12"/>
  <c r="Q41" i="24"/>
  <c r="Q86" i="24" s="1"/>
  <c r="V31" i="9"/>
  <c r="AB31" i="9" s="1"/>
  <c r="AB31" i="7"/>
  <c r="AD13" i="8"/>
  <c r="AA13" i="23"/>
  <c r="AA75" i="23" s="1"/>
  <c r="V60" i="9"/>
  <c r="AB60" i="9" s="1"/>
  <c r="AB60" i="7"/>
  <c r="V52" i="9"/>
  <c r="AB52" i="9" s="1"/>
  <c r="AB52" i="7"/>
  <c r="AB61" i="7"/>
  <c r="V61" i="9"/>
  <c r="AB61" i="9" s="1"/>
  <c r="V13" i="9"/>
  <c r="AB13" i="9" s="1"/>
  <c r="AB13" i="7"/>
  <c r="AA55" i="23"/>
  <c r="AA117" i="23" s="1"/>
  <c r="AD55" i="8"/>
  <c r="AD35" i="8"/>
  <c r="AA35" i="23"/>
  <c r="AA97" i="23" s="1"/>
  <c r="AD31" i="8"/>
  <c r="AA31" i="23"/>
  <c r="AA93" i="23" s="1"/>
  <c r="AB32" i="7"/>
  <c r="V32" i="9"/>
  <c r="AB32" i="9" s="1"/>
  <c r="V46" i="9"/>
  <c r="AB46" i="9" s="1"/>
  <c r="AB46" i="7"/>
  <c r="V58" i="9"/>
  <c r="AB58" i="9" s="1"/>
  <c r="AB58" i="7"/>
  <c r="AB5" i="7"/>
  <c r="V5" i="9"/>
  <c r="V63" i="7"/>
  <c r="V68" i="7" s="1"/>
  <c r="V35" i="9"/>
  <c r="AB35" i="9" s="1"/>
  <c r="AB35" i="7"/>
  <c r="Q10" i="24"/>
  <c r="Q55" i="24" s="1"/>
  <c r="V10" i="12"/>
  <c r="AA50" i="23"/>
  <c r="AA112" i="23" s="1"/>
  <c r="AD50" i="8"/>
  <c r="AA8" i="23"/>
  <c r="AA70" i="23" s="1"/>
  <c r="AD8" i="8"/>
  <c r="AD18" i="8"/>
  <c r="AA18" i="23"/>
  <c r="AA80" i="23" s="1"/>
  <c r="AD36" i="8"/>
  <c r="AA36" i="23"/>
  <c r="AA98" i="23" s="1"/>
  <c r="AD60" i="8"/>
  <c r="AA60" i="23"/>
  <c r="AA122" i="23" s="1"/>
  <c r="Q6" i="24"/>
  <c r="Q51" i="24" s="1"/>
  <c r="V6" i="12"/>
  <c r="O21" i="24"/>
  <c r="O66" i="24" s="1"/>
  <c r="AD5" i="23"/>
  <c r="AD67" i="23" s="1"/>
  <c r="AH63" i="8"/>
  <c r="V46" i="11"/>
  <c r="O9" i="24"/>
  <c r="O54" i="24" s="1"/>
  <c r="V27" i="9"/>
  <c r="AB27" i="9" s="1"/>
  <c r="AB27" i="7"/>
  <c r="AB14" i="7"/>
  <c r="V14" i="9"/>
  <c r="AB14" i="9" s="1"/>
  <c r="V40" i="9"/>
  <c r="AB40" i="9" s="1"/>
  <c r="AB40" i="7"/>
  <c r="V48" i="9"/>
  <c r="AB48" i="9" s="1"/>
  <c r="AB48" i="7"/>
  <c r="P5" i="23"/>
  <c r="P67" i="23" s="1"/>
  <c r="P63" i="8"/>
  <c r="AD38" i="8"/>
  <c r="AA38" i="23"/>
  <c r="AA100" i="23" s="1"/>
  <c r="V16" i="8"/>
  <c r="U16" i="23" s="1"/>
  <c r="U78" i="23" s="1"/>
  <c r="O18" i="24"/>
  <c r="O63" i="24" s="1"/>
  <c r="V11" i="9"/>
  <c r="AB11" i="9" s="1"/>
  <c r="AB11" i="7"/>
  <c r="AD43" i="8"/>
  <c r="AA43" i="23"/>
  <c r="AA105" i="23" s="1"/>
  <c r="AD46" i="8"/>
  <c r="AA46" i="23"/>
  <c r="AA108" i="23" s="1"/>
  <c r="Q30" i="24"/>
  <c r="Q75" i="24" s="1"/>
  <c r="V30" i="12"/>
  <c r="V55" i="9"/>
  <c r="AB55" i="9" s="1"/>
  <c r="AB55" i="7"/>
  <c r="V18" i="9"/>
  <c r="AB18" i="9" s="1"/>
  <c r="AB18" i="7"/>
  <c r="V39" i="9"/>
  <c r="AB39" i="9" s="1"/>
  <c r="AB39" i="7"/>
  <c r="V56" i="9"/>
  <c r="AB56" i="9" s="1"/>
  <c r="AB56" i="7"/>
  <c r="V15" i="9"/>
  <c r="AB15" i="9" s="1"/>
  <c r="AB15" i="7"/>
  <c r="AA58" i="23"/>
  <c r="AA120" i="23" s="1"/>
  <c r="AD58" i="8"/>
  <c r="AD10" i="8"/>
  <c r="AA10" i="23"/>
  <c r="AA72" i="23" s="1"/>
  <c r="AD44" i="8"/>
  <c r="AA44" i="23"/>
  <c r="AA106" i="23" s="1"/>
  <c r="AA42" i="23"/>
  <c r="AA104" i="23" s="1"/>
  <c r="AD42" i="8"/>
  <c r="AD12" i="8"/>
  <c r="AA12" i="23"/>
  <c r="AA74" i="23" s="1"/>
  <c r="Q39" i="24"/>
  <c r="Q84" i="24" s="1"/>
  <c r="V14" i="12"/>
  <c r="Q14" i="24"/>
  <c r="Q59" i="24" s="1"/>
  <c r="AE5" i="23"/>
  <c r="AE67" i="23" s="1"/>
  <c r="AI63" i="8"/>
  <c r="W5" i="23"/>
  <c r="W67" i="23" s="1"/>
  <c r="X63" i="8"/>
  <c r="Q26" i="24"/>
  <c r="Q71" i="24" s="1"/>
  <c r="V26" i="12"/>
  <c r="O13" i="24"/>
  <c r="O58" i="24" s="1"/>
  <c r="Q15" i="24"/>
  <c r="Q60" i="24" s="1"/>
  <c r="V15" i="12"/>
  <c r="V9" i="9"/>
  <c r="AB9" i="9" s="1"/>
  <c r="AB9" i="7"/>
  <c r="V19" i="9"/>
  <c r="AB19" i="9" s="1"/>
  <c r="AB19" i="7"/>
  <c r="AB43" i="7"/>
  <c r="V43" i="9"/>
  <c r="AB43" i="9" s="1"/>
  <c r="V57" i="9"/>
  <c r="AB57" i="9" s="1"/>
  <c r="AB57" i="7"/>
  <c r="AD56" i="8"/>
  <c r="AA56" i="23"/>
  <c r="AA118" i="23" s="1"/>
  <c r="AD37" i="8"/>
  <c r="AA37" i="23"/>
  <c r="AA99" i="23" s="1"/>
  <c r="AA20" i="23"/>
  <c r="AA82" i="23" s="1"/>
  <c r="AD20" i="8"/>
  <c r="AD52" i="8"/>
  <c r="AA52" i="23"/>
  <c r="AA114" i="23" s="1"/>
  <c r="AD47" i="8"/>
  <c r="AA47" i="23"/>
  <c r="AA109" i="23" s="1"/>
  <c r="Q44" i="24"/>
  <c r="Q89" i="24" s="1"/>
  <c r="V44" i="12"/>
  <c r="D7" i="26"/>
  <c r="D13" i="26" s="1"/>
  <c r="D11" i="26"/>
  <c r="R17" i="8"/>
  <c r="R17" i="23" s="1"/>
  <c r="R79" i="23" s="1"/>
  <c r="R33" i="8"/>
  <c r="R25" i="8"/>
  <c r="R25" i="23" s="1"/>
  <c r="R87" i="23" s="1"/>
  <c r="R15" i="8"/>
  <c r="R15" i="23" s="1"/>
  <c r="R77" i="23" s="1"/>
  <c r="R6" i="8"/>
  <c r="R6" i="23" s="1"/>
  <c r="R68" i="23" s="1"/>
  <c r="R35" i="8"/>
  <c r="R35" i="23" s="1"/>
  <c r="R97" i="23" s="1"/>
  <c r="R42" i="8"/>
  <c r="R42" i="23" s="1"/>
  <c r="R104" i="23" s="1"/>
  <c r="R36" i="8"/>
  <c r="R37" i="8"/>
  <c r="R60" i="8"/>
  <c r="R60" i="23" s="1"/>
  <c r="R122" i="23" s="1"/>
  <c r="R9" i="8"/>
  <c r="R9" i="23" s="1"/>
  <c r="R71" i="23" s="1"/>
  <c r="R18" i="8"/>
  <c r="R18" i="23" s="1"/>
  <c r="R80" i="23" s="1"/>
  <c r="R16" i="8"/>
  <c r="R16" i="23" s="1"/>
  <c r="R78" i="23" s="1"/>
  <c r="R28" i="8"/>
  <c r="R28" i="23" s="1"/>
  <c r="R90" i="23" s="1"/>
  <c r="R24" i="8"/>
  <c r="R24" i="23" s="1"/>
  <c r="R86" i="23" s="1"/>
  <c r="R29" i="8"/>
  <c r="R29" i="23" s="1"/>
  <c r="R91" i="23" s="1"/>
  <c r="R49" i="8"/>
  <c r="R49" i="23" s="1"/>
  <c r="R111" i="23" s="1"/>
  <c r="R26" i="8"/>
  <c r="R26" i="23" s="1"/>
  <c r="R88" i="23" s="1"/>
  <c r="R20" i="8"/>
  <c r="R20" i="23" s="1"/>
  <c r="R82" i="23" s="1"/>
  <c r="R7" i="8"/>
  <c r="R7" i="23" s="1"/>
  <c r="R69" i="23" s="1"/>
  <c r="R19" i="8"/>
  <c r="R19" i="23" s="1"/>
  <c r="R81" i="23" s="1"/>
  <c r="R40" i="8"/>
  <c r="R40" i="23" s="1"/>
  <c r="R102" i="23" s="1"/>
  <c r="R11" i="8"/>
  <c r="R11" i="23" s="1"/>
  <c r="R73" i="23" s="1"/>
  <c r="R55" i="8"/>
  <c r="R55" i="23" s="1"/>
  <c r="R117" i="23" s="1"/>
  <c r="R51" i="8"/>
  <c r="R51" i="23" s="1"/>
  <c r="R113" i="23" s="1"/>
  <c r="R31" i="8"/>
  <c r="R39" i="8"/>
  <c r="R48" i="8"/>
  <c r="R48" i="23" s="1"/>
  <c r="R110" i="23" s="1"/>
  <c r="R21" i="8"/>
  <c r="R21" i="23" s="1"/>
  <c r="R83" i="23" s="1"/>
  <c r="R47" i="8"/>
  <c r="R47" i="23" s="1"/>
  <c r="R109" i="23" s="1"/>
  <c r="R54" i="8"/>
  <c r="R54" i="23" s="1"/>
  <c r="R116" i="23" s="1"/>
  <c r="R14" i="8"/>
  <c r="R14" i="23" s="1"/>
  <c r="R76" i="23" s="1"/>
  <c r="R59" i="8"/>
  <c r="R59" i="23" s="1"/>
  <c r="R121" i="23" s="1"/>
  <c r="R8" i="8"/>
  <c r="R8" i="23" s="1"/>
  <c r="R70" i="23" s="1"/>
  <c r="R56" i="8"/>
  <c r="R56" i="23" s="1"/>
  <c r="R118" i="23" s="1"/>
  <c r="R23" i="8"/>
  <c r="R23" i="23" s="1"/>
  <c r="R85" i="23" s="1"/>
  <c r="R52" i="8"/>
  <c r="R52" i="23" s="1"/>
  <c r="R114" i="23" s="1"/>
  <c r="R34" i="8"/>
  <c r="R50" i="8"/>
  <c r="R50" i="23" s="1"/>
  <c r="R112" i="23" s="1"/>
  <c r="R30" i="8"/>
  <c r="R30" i="23" s="1"/>
  <c r="R92" i="23" s="1"/>
  <c r="R32" i="8"/>
  <c r="R61" i="8"/>
  <c r="R61" i="23" s="1"/>
  <c r="R123" i="23" s="1"/>
  <c r="R53" i="8"/>
  <c r="R53" i="23" s="1"/>
  <c r="R115" i="23" s="1"/>
  <c r="R46" i="8"/>
  <c r="R46" i="23" s="1"/>
  <c r="R108" i="23" s="1"/>
  <c r="R5" i="8"/>
  <c r="R45" i="8"/>
  <c r="R45" i="23" s="1"/>
  <c r="R107" i="23" s="1"/>
  <c r="R58" i="8"/>
  <c r="R58" i="23" s="1"/>
  <c r="R120" i="23" s="1"/>
  <c r="R38" i="8"/>
  <c r="R12" i="8"/>
  <c r="R12" i="23" s="1"/>
  <c r="R74" i="23" s="1"/>
  <c r="R27" i="8"/>
  <c r="R27" i="23" s="1"/>
  <c r="R89" i="23" s="1"/>
  <c r="R43" i="8"/>
  <c r="R43" i="23" s="1"/>
  <c r="R105" i="23" s="1"/>
  <c r="R41" i="8"/>
  <c r="R41" i="23" s="1"/>
  <c r="R103" i="23" s="1"/>
  <c r="R44" i="8"/>
  <c r="R44" i="23" s="1"/>
  <c r="R106" i="23" s="1"/>
  <c r="R57" i="8"/>
  <c r="R57" i="23" s="1"/>
  <c r="R119" i="23" s="1"/>
  <c r="R10" i="8"/>
  <c r="R10" i="23" s="1"/>
  <c r="R72" i="23" s="1"/>
  <c r="R13" i="8"/>
  <c r="R13" i="23" s="1"/>
  <c r="R75" i="23" s="1"/>
  <c r="R22" i="8"/>
  <c r="R22" i="23" s="1"/>
  <c r="R84" i="23" s="1"/>
  <c r="V28" i="12"/>
  <c r="Q28" i="24"/>
  <c r="Q73" i="24" s="1"/>
  <c r="K11" i="26"/>
  <c r="K7" i="26"/>
  <c r="K13" i="26" s="1"/>
  <c r="V19" i="8"/>
  <c r="U19" i="23" s="1"/>
  <c r="U81" i="23" s="1"/>
  <c r="O25" i="24"/>
  <c r="O70" i="24" s="1"/>
  <c r="V30" i="9"/>
  <c r="AB30" i="9" s="1"/>
  <c r="AB30" i="7"/>
  <c r="V49" i="9"/>
  <c r="AB49" i="9" s="1"/>
  <c r="AB49" i="7"/>
  <c r="V7" i="9"/>
  <c r="AB7" i="9" s="1"/>
  <c r="AB7" i="7"/>
  <c r="V10" i="9"/>
  <c r="AB10" i="9" s="1"/>
  <c r="AB10" i="7"/>
  <c r="O14" i="24"/>
  <c r="O59" i="24" s="1"/>
  <c r="O15" i="24"/>
  <c r="O60" i="24" s="1"/>
  <c r="AD48" i="8"/>
  <c r="AA48" i="23"/>
  <c r="AA110" i="23" s="1"/>
  <c r="AD51" i="8"/>
  <c r="AA51" i="23"/>
  <c r="AA113" i="23" s="1"/>
  <c r="AD11" i="8"/>
  <c r="AA11" i="23"/>
  <c r="AA73" i="23" s="1"/>
  <c r="AD17" i="8"/>
  <c r="AA17" i="23"/>
  <c r="AA79" i="23" s="1"/>
  <c r="AD28" i="8"/>
  <c r="AA28" i="23"/>
  <c r="AA90" i="23" s="1"/>
  <c r="Q5" i="23"/>
  <c r="Q67" i="23" s="1"/>
  <c r="Q63" i="8"/>
  <c r="S60" i="8"/>
  <c r="S47" i="8"/>
  <c r="S18" i="8"/>
  <c r="S39" i="8"/>
  <c r="S9" i="8"/>
  <c r="S42" i="8"/>
  <c r="S22" i="8"/>
  <c r="S17" i="8"/>
  <c r="S51" i="8"/>
  <c r="S37" i="8"/>
  <c r="S40" i="8"/>
  <c r="S5" i="8"/>
  <c r="S28" i="8"/>
  <c r="S29" i="8"/>
  <c r="S36" i="8"/>
  <c r="S49" i="8"/>
  <c r="S27" i="8"/>
  <c r="S38" i="8"/>
  <c r="S24" i="8"/>
  <c r="S59" i="8"/>
  <c r="S55" i="8"/>
  <c r="S34" i="8"/>
  <c r="S52" i="8"/>
  <c r="S35" i="8"/>
  <c r="S44" i="8"/>
  <c r="S48" i="8"/>
  <c r="S11" i="8"/>
  <c r="S46" i="8"/>
  <c r="S43" i="8"/>
  <c r="S56" i="8"/>
  <c r="S61" i="8"/>
  <c r="S16" i="8"/>
  <c r="S58" i="8"/>
  <c r="S31" i="8"/>
  <c r="S20" i="8"/>
  <c r="S26" i="8"/>
  <c r="S7" i="8"/>
  <c r="S54" i="8"/>
  <c r="S14" i="8"/>
  <c r="S45" i="8"/>
  <c r="S41" i="8"/>
  <c r="S8" i="8"/>
  <c r="S21" i="8"/>
  <c r="S19" i="8"/>
  <c r="S57" i="8"/>
  <c r="S32" i="8"/>
  <c r="S10" i="8"/>
  <c r="S30" i="8"/>
  <c r="S23" i="8"/>
  <c r="S33" i="8"/>
  <c r="S25" i="8"/>
  <c r="S12" i="8"/>
  <c r="S53" i="8"/>
  <c r="S13" i="8"/>
  <c r="S50" i="8"/>
  <c r="S6" i="8"/>
  <c r="S15" i="8"/>
  <c r="O42" i="24"/>
  <c r="O87" i="24" s="1"/>
  <c r="Y63" i="7"/>
  <c r="Y68" i="7" s="1"/>
  <c r="Y5" i="9"/>
  <c r="Y63" i="9" s="1"/>
  <c r="AD30" i="8"/>
  <c r="AA30" i="23"/>
  <c r="AA92" i="23" s="1"/>
  <c r="AD41" i="8"/>
  <c r="AA41" i="23"/>
  <c r="AA103" i="23" s="1"/>
  <c r="AD24" i="8"/>
  <c r="AA24" i="23"/>
  <c r="AA86" i="23" s="1"/>
  <c r="Q24" i="24"/>
  <c r="Q69" i="24" s="1"/>
  <c r="V24" i="12"/>
  <c r="V36" i="12"/>
  <c r="Q36" i="24"/>
  <c r="Q81" i="24" s="1"/>
  <c r="O32" i="24"/>
  <c r="O77" i="24" s="1"/>
  <c r="Q22" i="24"/>
  <c r="Q67" i="24" s="1"/>
  <c r="V22" i="12"/>
  <c r="V43" i="12"/>
  <c r="Q43" i="24"/>
  <c r="Q88" i="24" s="1"/>
  <c r="Q17" i="24"/>
  <c r="Q62" i="24" s="1"/>
  <c r="V17" i="12"/>
  <c r="V44" i="9"/>
  <c r="AB44" i="9" s="1"/>
  <c r="AB44" i="7"/>
  <c r="V44" i="8"/>
  <c r="U44" i="23" s="1"/>
  <c r="U106" i="23" s="1"/>
  <c r="V41" i="9"/>
  <c r="AB41" i="9" s="1"/>
  <c r="AB41" i="7"/>
  <c r="V21" i="9"/>
  <c r="AB21" i="9" s="1"/>
  <c r="AB21" i="7"/>
  <c r="V28" i="9"/>
  <c r="AB28" i="9" s="1"/>
  <c r="AB28" i="7"/>
  <c r="AD40" i="8"/>
  <c r="AA40" i="23"/>
  <c r="AA102" i="23" s="1"/>
  <c r="V26" i="9"/>
  <c r="AB26" i="9" s="1"/>
  <c r="AB26" i="7"/>
  <c r="V50" i="9"/>
  <c r="AB50" i="9" s="1"/>
  <c r="AB50" i="7"/>
  <c r="V53" i="9"/>
  <c r="AB53" i="9" s="1"/>
  <c r="AB53" i="7"/>
  <c r="AD19" i="8"/>
  <c r="AA19" i="23"/>
  <c r="AA81" i="23" s="1"/>
  <c r="AD49" i="8"/>
  <c r="AA49" i="23"/>
  <c r="AA111" i="23" s="1"/>
  <c r="V8" i="12"/>
  <c r="Q8" i="24"/>
  <c r="Q53" i="24" s="1"/>
  <c r="V25" i="8"/>
  <c r="U25" i="23" s="1"/>
  <c r="U87" i="23" s="1"/>
  <c r="V17" i="8"/>
  <c r="U17" i="23" s="1"/>
  <c r="U79" i="23" s="1"/>
  <c r="V40" i="8"/>
  <c r="U40" i="23" s="1"/>
  <c r="U102" i="23" s="1"/>
  <c r="V38" i="9"/>
  <c r="AB38" i="9" s="1"/>
  <c r="AB38" i="7"/>
  <c r="V36" i="9"/>
  <c r="AB36" i="9" s="1"/>
  <c r="AB36" i="7"/>
  <c r="V8" i="9"/>
  <c r="AB8" i="9" s="1"/>
  <c r="AB8" i="7"/>
  <c r="V37" i="9"/>
  <c r="AB37" i="9" s="1"/>
  <c r="AB37" i="7"/>
  <c r="AB20" i="7"/>
  <c r="V20" i="9"/>
  <c r="AB20" i="9" s="1"/>
  <c r="V23" i="12"/>
  <c r="Q23" i="24"/>
  <c r="Q68" i="24" s="1"/>
  <c r="AD25" i="8"/>
  <c r="AA25" i="23"/>
  <c r="AA87" i="23" s="1"/>
  <c r="AD39" i="8"/>
  <c r="AA39" i="23"/>
  <c r="AA101" i="23" s="1"/>
  <c r="AA5" i="23"/>
  <c r="AA67" i="23" s="1"/>
  <c r="AC63" i="8"/>
  <c r="AD5" i="8"/>
  <c r="AA27" i="23"/>
  <c r="AA89" i="23" s="1"/>
  <c r="AD27" i="8"/>
  <c r="V5" i="23"/>
  <c r="V67" i="23" s="1"/>
  <c r="W63" i="8"/>
  <c r="O35" i="24"/>
  <c r="O80" i="24" s="1"/>
  <c r="O33" i="24"/>
  <c r="O78" i="24" s="1"/>
  <c r="Q34" i="24"/>
  <c r="Q79" i="24" s="1"/>
  <c r="V40" i="12"/>
  <c r="Q40" i="24"/>
  <c r="Q85" i="24" s="1"/>
  <c r="V59" i="9"/>
  <c r="AB59" i="9" s="1"/>
  <c r="AB59" i="7"/>
  <c r="Q38" i="24"/>
  <c r="Q83" i="24" s="1"/>
  <c r="V38" i="12"/>
  <c r="AD57" i="8"/>
  <c r="AA57" i="23"/>
  <c r="AA119" i="23" s="1"/>
  <c r="V47" i="9"/>
  <c r="AB47" i="9" s="1"/>
  <c r="AB47" i="7"/>
  <c r="AB54" i="7"/>
  <c r="V54" i="9"/>
  <c r="AB54" i="9" s="1"/>
  <c r="O29" i="24"/>
  <c r="O74" i="24" s="1"/>
  <c r="AA34" i="23"/>
  <c r="AA96" i="23" s="1"/>
  <c r="AD34" i="8"/>
  <c r="AD14" i="8"/>
  <c r="AA14" i="23"/>
  <c r="AA76" i="23" s="1"/>
  <c r="V54" i="8"/>
  <c r="V42" i="9"/>
  <c r="AB42" i="9" s="1"/>
  <c r="AB42" i="7"/>
  <c r="V45" i="9"/>
  <c r="AB45" i="9" s="1"/>
  <c r="AB45" i="7"/>
  <c r="V29" i="9"/>
  <c r="AB29" i="9" s="1"/>
  <c r="AB29" i="7"/>
  <c r="V12" i="9"/>
  <c r="AB12" i="9" s="1"/>
  <c r="AB12" i="7"/>
  <c r="AB33" i="7"/>
  <c r="V33" i="9"/>
  <c r="AB33" i="9" s="1"/>
  <c r="AD9" i="8"/>
  <c r="AA9" i="23"/>
  <c r="AA71" i="23" s="1"/>
  <c r="AD59" i="8"/>
  <c r="AA59" i="23"/>
  <c r="AA121" i="23" s="1"/>
  <c r="AD15" i="8"/>
  <c r="AA15" i="23"/>
  <c r="AA77" i="23" s="1"/>
  <c r="AD21" i="8"/>
  <c r="AA21" i="23"/>
  <c r="AA83" i="23" s="1"/>
  <c r="Q16" i="24"/>
  <c r="Q61" i="24" s="1"/>
  <c r="V16" i="12"/>
  <c r="T5" i="23"/>
  <c r="T67" i="23" s="1"/>
  <c r="U63" i="8"/>
  <c r="O40" i="24"/>
  <c r="O85" i="24" s="1"/>
  <c r="V33" i="12"/>
  <c r="Q33" i="24"/>
  <c r="Q78" i="24" s="1"/>
  <c r="L5" i="23"/>
  <c r="L67" i="23" s="1"/>
  <c r="L63" i="8"/>
  <c r="V29" i="12"/>
  <c r="Q29" i="24"/>
  <c r="Q74" i="24" s="1"/>
  <c r="O17" i="24"/>
  <c r="O62" i="24" s="1"/>
  <c r="O44" i="24"/>
  <c r="O89" i="24" s="1"/>
  <c r="Q19" i="24"/>
  <c r="Q64" i="24" s="1"/>
  <c r="V22" i="9"/>
  <c r="AB22" i="9" s="1"/>
  <c r="AB22" i="7"/>
  <c r="AD7" i="8"/>
  <c r="AA7" i="23"/>
  <c r="AA69" i="23" s="1"/>
  <c r="AD32" i="8"/>
  <c r="AA32" i="23"/>
  <c r="AA94" i="23" s="1"/>
  <c r="AA23" i="23"/>
  <c r="AA85" i="23" s="1"/>
  <c r="AD23" i="8"/>
  <c r="AD16" i="8"/>
  <c r="AA16" i="23"/>
  <c r="AA78" i="23" s="1"/>
  <c r="V9" i="12"/>
  <c r="Q9" i="24"/>
  <c r="Q54" i="24" s="1"/>
  <c r="Q31" i="24"/>
  <c r="Q76" i="24" s="1"/>
  <c r="V31" i="12"/>
  <c r="M60" i="8"/>
  <c r="M60" i="23" s="1"/>
  <c r="M122" i="23" s="1"/>
  <c r="M19" i="8"/>
  <c r="M19" i="23" s="1"/>
  <c r="M81" i="23" s="1"/>
  <c r="M34" i="8"/>
  <c r="M34" i="23" s="1"/>
  <c r="M96" i="23" s="1"/>
  <c r="M29" i="8"/>
  <c r="M29" i="23" s="1"/>
  <c r="M91" i="23" s="1"/>
  <c r="M53" i="8"/>
  <c r="M53" i="23" s="1"/>
  <c r="M115" i="23" s="1"/>
  <c r="M32" i="8"/>
  <c r="M32" i="23" s="1"/>
  <c r="M94" i="23" s="1"/>
  <c r="M28" i="8"/>
  <c r="M28" i="23" s="1"/>
  <c r="M90" i="23" s="1"/>
  <c r="M43" i="8"/>
  <c r="M43" i="23" s="1"/>
  <c r="M105" i="23" s="1"/>
  <c r="M56" i="8"/>
  <c r="M56" i="23" s="1"/>
  <c r="M118" i="23" s="1"/>
  <c r="M47" i="8"/>
  <c r="M47" i="23" s="1"/>
  <c r="M109" i="23" s="1"/>
  <c r="M42" i="8"/>
  <c r="M42" i="23" s="1"/>
  <c r="M104" i="23" s="1"/>
  <c r="M24" i="8"/>
  <c r="M24" i="23" s="1"/>
  <c r="M86" i="23" s="1"/>
  <c r="M14" i="8"/>
  <c r="M14" i="23" s="1"/>
  <c r="M76" i="23" s="1"/>
  <c r="M36" i="8"/>
  <c r="M36" i="23" s="1"/>
  <c r="M98" i="23" s="1"/>
  <c r="M16" i="8"/>
  <c r="M16" i="23" s="1"/>
  <c r="M78" i="23" s="1"/>
  <c r="M54" i="8"/>
  <c r="M54" i="23" s="1"/>
  <c r="M116" i="23" s="1"/>
  <c r="M57" i="8"/>
  <c r="M57" i="23" s="1"/>
  <c r="M119" i="23" s="1"/>
  <c r="M27" i="8"/>
  <c r="M27" i="23" s="1"/>
  <c r="M89" i="23" s="1"/>
  <c r="M59" i="8"/>
  <c r="M59" i="23" s="1"/>
  <c r="M121" i="23" s="1"/>
  <c r="M21" i="8"/>
  <c r="M21" i="23" s="1"/>
  <c r="M83" i="23" s="1"/>
  <c r="M20" i="8"/>
  <c r="M20" i="23" s="1"/>
  <c r="M82" i="23" s="1"/>
  <c r="M52" i="8"/>
  <c r="M52" i="23" s="1"/>
  <c r="M114" i="23" s="1"/>
  <c r="M6" i="8"/>
  <c r="M6" i="23" s="1"/>
  <c r="M68" i="23" s="1"/>
  <c r="M13" i="8"/>
  <c r="M13" i="23" s="1"/>
  <c r="M75" i="23" s="1"/>
  <c r="M9" i="8"/>
  <c r="M9" i="23" s="1"/>
  <c r="M71" i="23" s="1"/>
  <c r="M18" i="8"/>
  <c r="M18" i="23" s="1"/>
  <c r="M80" i="23" s="1"/>
  <c r="M35" i="8"/>
  <c r="M35" i="23" s="1"/>
  <c r="M97" i="23" s="1"/>
  <c r="M50" i="8"/>
  <c r="M50" i="23" s="1"/>
  <c r="M112" i="23" s="1"/>
  <c r="M11" i="8"/>
  <c r="M11" i="23" s="1"/>
  <c r="M73" i="23" s="1"/>
  <c r="M15" i="8"/>
  <c r="M15" i="23" s="1"/>
  <c r="M77" i="23" s="1"/>
  <c r="M41" i="8"/>
  <c r="M41" i="23" s="1"/>
  <c r="M103" i="23" s="1"/>
  <c r="M33" i="8"/>
  <c r="M33" i="23" s="1"/>
  <c r="M95" i="23" s="1"/>
  <c r="M5" i="8"/>
  <c r="M17" i="8"/>
  <c r="M17" i="23" s="1"/>
  <c r="M79" i="23" s="1"/>
  <c r="M48" i="8"/>
  <c r="M48" i="23" s="1"/>
  <c r="M110" i="23" s="1"/>
  <c r="M55" i="8"/>
  <c r="M55" i="23" s="1"/>
  <c r="M117" i="23" s="1"/>
  <c r="M45" i="8"/>
  <c r="M45" i="23" s="1"/>
  <c r="M107" i="23" s="1"/>
  <c r="M61" i="8"/>
  <c r="M61" i="23" s="1"/>
  <c r="M123" i="23" s="1"/>
  <c r="M49" i="8"/>
  <c r="M49" i="23" s="1"/>
  <c r="M111" i="23" s="1"/>
  <c r="M22" i="8"/>
  <c r="M22" i="23" s="1"/>
  <c r="M84" i="23" s="1"/>
  <c r="M12" i="8"/>
  <c r="M12" i="23" s="1"/>
  <c r="M74" i="23" s="1"/>
  <c r="M51" i="8"/>
  <c r="M51" i="23" s="1"/>
  <c r="M113" i="23" s="1"/>
  <c r="M46" i="8"/>
  <c r="M46" i="23" s="1"/>
  <c r="M108" i="23" s="1"/>
  <c r="M7" i="8"/>
  <c r="M7" i="23" s="1"/>
  <c r="M69" i="23" s="1"/>
  <c r="M39" i="8"/>
  <c r="M39" i="23" s="1"/>
  <c r="M101" i="23" s="1"/>
  <c r="M37" i="8"/>
  <c r="M37" i="23" s="1"/>
  <c r="M99" i="23" s="1"/>
  <c r="M30" i="8"/>
  <c r="M30" i="23" s="1"/>
  <c r="M92" i="23" s="1"/>
  <c r="M31" i="8"/>
  <c r="M31" i="23" s="1"/>
  <c r="M93" i="23" s="1"/>
  <c r="M8" i="8"/>
  <c r="M8" i="23" s="1"/>
  <c r="M70" i="23" s="1"/>
  <c r="M38" i="8"/>
  <c r="M38" i="23" s="1"/>
  <c r="M100" i="23" s="1"/>
  <c r="M26" i="8"/>
  <c r="M26" i="23" s="1"/>
  <c r="M88" i="23" s="1"/>
  <c r="M23" i="8"/>
  <c r="M23" i="23" s="1"/>
  <c r="M85" i="23" s="1"/>
  <c r="M40" i="8"/>
  <c r="M40" i="23" s="1"/>
  <c r="M102" i="23" s="1"/>
  <c r="M25" i="8"/>
  <c r="M25" i="23" s="1"/>
  <c r="M87" i="23" s="1"/>
  <c r="M44" i="8"/>
  <c r="M44" i="23" s="1"/>
  <c r="M106" i="23" s="1"/>
  <c r="M10" i="8"/>
  <c r="M10" i="23" s="1"/>
  <c r="M72" i="23" s="1"/>
  <c r="Q20" i="24"/>
  <c r="Q65" i="24" s="1"/>
  <c r="AE65" i="9"/>
  <c r="AE65" i="8"/>
  <c r="AO64" i="8" s="1"/>
  <c r="AE65" i="7"/>
  <c r="P19" i="11"/>
  <c r="AA19" i="11" s="1"/>
  <c r="L19" i="12"/>
  <c r="P19" i="12" s="1"/>
  <c r="L19" i="13"/>
  <c r="P19" i="13" s="1"/>
  <c r="P22" i="11"/>
  <c r="AA22" i="11" s="1"/>
  <c r="L22" i="12"/>
  <c r="P22" i="12" s="1"/>
  <c r="L22" i="13"/>
  <c r="P22" i="13" s="1"/>
  <c r="P28" i="11"/>
  <c r="AA28" i="11" s="1"/>
  <c r="L28" i="12"/>
  <c r="P28" i="12" s="1"/>
  <c r="L28" i="13"/>
  <c r="P28" i="13" s="1"/>
  <c r="P35" i="11"/>
  <c r="AA35" i="11" s="1"/>
  <c r="L35" i="12"/>
  <c r="P35" i="12" s="1"/>
  <c r="L35" i="13"/>
  <c r="P35" i="13" s="1"/>
  <c r="P33" i="11"/>
  <c r="AA33" i="11" s="1"/>
  <c r="L33" i="12"/>
  <c r="P33" i="12" s="1"/>
  <c r="L33" i="13"/>
  <c r="P33" i="13" s="1"/>
  <c r="P38" i="11"/>
  <c r="AA38" i="11" s="1"/>
  <c r="L38" i="12"/>
  <c r="P38" i="12" s="1"/>
  <c r="L38" i="13"/>
  <c r="P38" i="13" s="1"/>
  <c r="P32" i="11"/>
  <c r="AA32" i="11" s="1"/>
  <c r="L32" i="12"/>
  <c r="P32" i="12" s="1"/>
  <c r="L32" i="13"/>
  <c r="P32" i="13" s="1"/>
  <c r="P18" i="11"/>
  <c r="AA18" i="11" s="1"/>
  <c r="L18" i="12"/>
  <c r="P18" i="12" s="1"/>
  <c r="L18" i="13"/>
  <c r="P18" i="13" s="1"/>
  <c r="P6" i="11"/>
  <c r="AA6" i="11" s="1"/>
  <c r="L6" i="12"/>
  <c r="P6" i="12" s="1"/>
  <c r="L6" i="13"/>
  <c r="P6" i="13" s="1"/>
  <c r="P7" i="11"/>
  <c r="AA7" i="11" s="1"/>
  <c r="L7" i="12"/>
  <c r="P7" i="12" s="1"/>
  <c r="L7" i="13"/>
  <c r="P7" i="13" s="1"/>
  <c r="E42" i="5"/>
  <c r="W48" i="13"/>
  <c r="W48" i="12"/>
  <c r="W48" i="11"/>
  <c r="W51" i="11" s="1"/>
  <c r="W48" i="10"/>
  <c r="AA49" i="13"/>
  <c r="AA49" i="12"/>
  <c r="AA49" i="11"/>
  <c r="AA49" i="10"/>
  <c r="P17" i="11"/>
  <c r="AA17" i="11" s="1"/>
  <c r="L17" i="12"/>
  <c r="P17" i="12" s="1"/>
  <c r="L17" i="13"/>
  <c r="P17" i="13" s="1"/>
  <c r="P40" i="11"/>
  <c r="AA40" i="11" s="1"/>
  <c r="L40" i="12"/>
  <c r="P40" i="12" s="1"/>
  <c r="L40" i="13"/>
  <c r="P40" i="13" s="1"/>
  <c r="P30" i="11"/>
  <c r="AA30" i="11" s="1"/>
  <c r="L30" i="12"/>
  <c r="P30" i="12" s="1"/>
  <c r="L30" i="13"/>
  <c r="P30" i="13" s="1"/>
  <c r="P42" i="11"/>
  <c r="AA42" i="11" s="1"/>
  <c r="L42" i="12"/>
  <c r="P42" i="12" s="1"/>
  <c r="L42" i="13"/>
  <c r="P42" i="13" s="1"/>
  <c r="P36" i="11"/>
  <c r="AA36" i="11" s="1"/>
  <c r="L36" i="12"/>
  <c r="P36" i="12" s="1"/>
  <c r="L36" i="13"/>
  <c r="P36" i="13" s="1"/>
  <c r="P14" i="11"/>
  <c r="AA14" i="11" s="1"/>
  <c r="L14" i="12"/>
  <c r="P14" i="12" s="1"/>
  <c r="L14" i="13"/>
  <c r="P14" i="13" s="1"/>
  <c r="P15" i="11"/>
  <c r="AA15" i="11" s="1"/>
  <c r="L15" i="12"/>
  <c r="P15" i="12" s="1"/>
  <c r="L15" i="13"/>
  <c r="P15" i="13" s="1"/>
  <c r="P12" i="11"/>
  <c r="AA12" i="11" s="1"/>
  <c r="L12" i="12"/>
  <c r="P12" i="12" s="1"/>
  <c r="L12" i="13"/>
  <c r="P12" i="13" s="1"/>
  <c r="P13" i="11"/>
  <c r="AA13" i="11" s="1"/>
  <c r="L13" i="12"/>
  <c r="P13" i="12" s="1"/>
  <c r="L13" i="13"/>
  <c r="P13" i="13" s="1"/>
  <c r="AM68" i="6"/>
  <c r="AM66" i="9"/>
  <c r="AM66" i="8"/>
  <c r="AM66" i="7"/>
  <c r="P21" i="11"/>
  <c r="AA21" i="11" s="1"/>
  <c r="L21" i="12"/>
  <c r="P21" i="12" s="1"/>
  <c r="L21" i="13"/>
  <c r="P21" i="13" s="1"/>
  <c r="P23" i="11"/>
  <c r="AA23" i="11" s="1"/>
  <c r="L23" i="12"/>
  <c r="P23" i="12" s="1"/>
  <c r="L23" i="13"/>
  <c r="P23" i="13" s="1"/>
  <c r="P25" i="11"/>
  <c r="AA25" i="11" s="1"/>
  <c r="L25" i="12"/>
  <c r="P25" i="12" s="1"/>
  <c r="L25" i="13"/>
  <c r="P25" i="13" s="1"/>
  <c r="P27" i="11"/>
  <c r="AA27" i="11" s="1"/>
  <c r="L27" i="12"/>
  <c r="P27" i="12" s="1"/>
  <c r="L27" i="13"/>
  <c r="P27" i="13" s="1"/>
  <c r="P20" i="11"/>
  <c r="AA20" i="11" s="1"/>
  <c r="L20" i="12"/>
  <c r="P20" i="12" s="1"/>
  <c r="L20" i="13"/>
  <c r="P20" i="13" s="1"/>
  <c r="P34" i="11"/>
  <c r="AA34" i="11" s="1"/>
  <c r="L34" i="12"/>
  <c r="P34" i="12" s="1"/>
  <c r="L34" i="13"/>
  <c r="P34" i="13" s="1"/>
  <c r="P29" i="11"/>
  <c r="AA29" i="11" s="1"/>
  <c r="L29" i="12"/>
  <c r="P29" i="12" s="1"/>
  <c r="L29" i="13"/>
  <c r="P29" i="13" s="1"/>
  <c r="P39" i="11"/>
  <c r="AA39" i="11" s="1"/>
  <c r="L39" i="12"/>
  <c r="P39" i="12" s="1"/>
  <c r="L39" i="13"/>
  <c r="P39" i="13" s="1"/>
  <c r="P5" i="11"/>
  <c r="L5" i="12"/>
  <c r="L5" i="13"/>
  <c r="L46" i="11"/>
  <c r="P9" i="11"/>
  <c r="AA9" i="11" s="1"/>
  <c r="L9" i="12"/>
  <c r="P9" i="12" s="1"/>
  <c r="L9" i="13"/>
  <c r="P9" i="13" s="1"/>
  <c r="P24" i="11"/>
  <c r="AA24" i="11" s="1"/>
  <c r="L24" i="12"/>
  <c r="P24" i="12" s="1"/>
  <c r="L24" i="13"/>
  <c r="P24" i="13" s="1"/>
  <c r="P26" i="11"/>
  <c r="AA26" i="11" s="1"/>
  <c r="L26" i="12"/>
  <c r="P26" i="12" s="1"/>
  <c r="L26" i="13"/>
  <c r="P26" i="13" s="1"/>
  <c r="P44" i="11"/>
  <c r="AA44" i="11" s="1"/>
  <c r="L44" i="12"/>
  <c r="P44" i="12" s="1"/>
  <c r="L44" i="13"/>
  <c r="P44" i="13" s="1"/>
  <c r="P16" i="11"/>
  <c r="AA16" i="11" s="1"/>
  <c r="L16" i="12"/>
  <c r="P16" i="12" s="1"/>
  <c r="L16" i="13"/>
  <c r="P16" i="13" s="1"/>
  <c r="P31" i="11"/>
  <c r="AA31" i="11" s="1"/>
  <c r="L31" i="12"/>
  <c r="P31" i="12" s="1"/>
  <c r="L31" i="13"/>
  <c r="P31" i="13" s="1"/>
  <c r="P37" i="11"/>
  <c r="AA37" i="11" s="1"/>
  <c r="L37" i="12"/>
  <c r="P37" i="12" s="1"/>
  <c r="L37" i="13"/>
  <c r="P37" i="13" s="1"/>
  <c r="P41" i="11"/>
  <c r="AA41" i="11" s="1"/>
  <c r="L41" i="12"/>
  <c r="P41" i="12" s="1"/>
  <c r="L41" i="13"/>
  <c r="P41" i="13" s="1"/>
  <c r="P43" i="11"/>
  <c r="AA43" i="11" s="1"/>
  <c r="L43" i="12"/>
  <c r="P43" i="12" s="1"/>
  <c r="L43" i="13"/>
  <c r="P43" i="13" s="1"/>
  <c r="P10" i="11"/>
  <c r="AA10" i="11" s="1"/>
  <c r="L10" i="12"/>
  <c r="P10" i="12" s="1"/>
  <c r="L10" i="13"/>
  <c r="P10" i="13" s="1"/>
  <c r="P11" i="11"/>
  <c r="AA11" i="11" s="1"/>
  <c r="L11" i="12"/>
  <c r="P11" i="12" s="1"/>
  <c r="L11" i="13"/>
  <c r="P11" i="13" s="1"/>
  <c r="P8" i="11"/>
  <c r="AA8" i="11" s="1"/>
  <c r="L8" i="12"/>
  <c r="P8" i="12" s="1"/>
  <c r="L8" i="13"/>
  <c r="P8" i="13" s="1"/>
  <c r="E23" i="5"/>
  <c r="AE67" i="6"/>
  <c r="V49" i="8" l="1"/>
  <c r="V56" i="8"/>
  <c r="V47" i="8"/>
  <c r="V29" i="8"/>
  <c r="V27" i="8"/>
  <c r="V53" i="8"/>
  <c r="V34" i="8"/>
  <c r="V32" i="8"/>
  <c r="V18" i="8"/>
  <c r="V33" i="8"/>
  <c r="V48" i="8"/>
  <c r="V50" i="8"/>
  <c r="V60" i="8"/>
  <c r="V61" i="8"/>
  <c r="V21" i="8"/>
  <c r="V8" i="8"/>
  <c r="V37" i="8"/>
  <c r="V28" i="8"/>
  <c r="V39" i="8"/>
  <c r="V10" i="8"/>
  <c r="V58" i="8"/>
  <c r="V35" i="8"/>
  <c r="V55" i="8"/>
  <c r="V15" i="8"/>
  <c r="V24" i="8"/>
  <c r="V43" i="8"/>
  <c r="V38" i="8"/>
  <c r="V9" i="8"/>
  <c r="V11" i="8"/>
  <c r="V20" i="8"/>
  <c r="V5" i="8"/>
  <c r="V52" i="8"/>
  <c r="V36" i="8"/>
  <c r="V13" i="8"/>
  <c r="V45" i="8"/>
  <c r="V12" i="8"/>
  <c r="V42" i="8"/>
  <c r="V46" i="8"/>
  <c r="V23" i="8"/>
  <c r="V26" i="8"/>
  <c r="V7" i="8"/>
  <c r="V41" i="8"/>
  <c r="V31" i="8"/>
  <c r="R5" i="23"/>
  <c r="R67" i="23" s="1"/>
  <c r="R63" i="8"/>
  <c r="S68" i="8" s="1"/>
  <c r="V51" i="8"/>
  <c r="V63" i="9"/>
  <c r="AB5" i="9"/>
  <c r="AB63" i="9" s="1"/>
  <c r="M9" i="25"/>
  <c r="M7" i="25"/>
  <c r="M13" i="25" s="1"/>
  <c r="M11" i="25"/>
  <c r="AB63" i="7"/>
  <c r="B11" i="25"/>
  <c r="B9" i="25"/>
  <c r="B7" i="25"/>
  <c r="B13" i="25" s="1"/>
  <c r="L9" i="25"/>
  <c r="L11" i="25"/>
  <c r="L7" i="25"/>
  <c r="L13" i="25" s="1"/>
  <c r="U9" i="25"/>
  <c r="U11" i="25"/>
  <c r="U7" i="25"/>
  <c r="U13" i="25" s="1"/>
  <c r="U54" i="23"/>
  <c r="U116" i="23" s="1"/>
  <c r="F9" i="25"/>
  <c r="F11" i="25"/>
  <c r="F7" i="25"/>
  <c r="F13" i="25" s="1"/>
  <c r="T7" i="25"/>
  <c r="T13" i="25" s="1"/>
  <c r="T11" i="25"/>
  <c r="T9" i="25"/>
  <c r="E9" i="25"/>
  <c r="E11" i="25"/>
  <c r="E7" i="25"/>
  <c r="E13" i="25" s="1"/>
  <c r="AD63" i="8"/>
  <c r="V59" i="8"/>
  <c r="V14" i="8"/>
  <c r="J11" i="25"/>
  <c r="J7" i="25"/>
  <c r="J13" i="25" s="1"/>
  <c r="J9" i="25"/>
  <c r="Q9" i="25"/>
  <c r="Q7" i="25"/>
  <c r="Q13" i="25" s="1"/>
  <c r="Q11" i="25"/>
  <c r="S63" i="8"/>
  <c r="V6" i="8"/>
  <c r="V46" i="12"/>
  <c r="V22" i="8"/>
  <c r="Y52" i="8"/>
  <c r="X52" i="23" s="1"/>
  <c r="X114" i="23" s="1"/>
  <c r="Y34" i="8"/>
  <c r="X34" i="23" s="1"/>
  <c r="X96" i="23" s="1"/>
  <c r="Y54" i="8"/>
  <c r="Y40" i="8"/>
  <c r="X40" i="23" s="1"/>
  <c r="X102" i="23" s="1"/>
  <c r="Y29" i="8"/>
  <c r="X29" i="23" s="1"/>
  <c r="X91" i="23" s="1"/>
  <c r="Y41" i="8"/>
  <c r="X41" i="23" s="1"/>
  <c r="X103" i="23" s="1"/>
  <c r="Y50" i="8"/>
  <c r="X50" i="23" s="1"/>
  <c r="X112" i="23" s="1"/>
  <c r="Y56" i="8"/>
  <c r="X56" i="23" s="1"/>
  <c r="X118" i="23" s="1"/>
  <c r="Y44" i="8"/>
  <c r="Y15" i="8"/>
  <c r="X15" i="23" s="1"/>
  <c r="X77" i="23" s="1"/>
  <c r="Y47" i="8"/>
  <c r="X47" i="23" s="1"/>
  <c r="X109" i="23" s="1"/>
  <c r="Y24" i="8"/>
  <c r="X24" i="23" s="1"/>
  <c r="X86" i="23" s="1"/>
  <c r="Y42" i="8"/>
  <c r="X42" i="23" s="1"/>
  <c r="X104" i="23" s="1"/>
  <c r="Y16" i="8"/>
  <c r="Y48" i="8"/>
  <c r="X48" i="23" s="1"/>
  <c r="X110" i="23" s="1"/>
  <c r="Y6" i="8"/>
  <c r="X6" i="23" s="1"/>
  <c r="X68" i="23" s="1"/>
  <c r="Y27" i="8"/>
  <c r="X27" i="23" s="1"/>
  <c r="X89" i="23" s="1"/>
  <c r="Y38" i="8"/>
  <c r="X38" i="23" s="1"/>
  <c r="X100" i="23" s="1"/>
  <c r="Y31" i="8"/>
  <c r="X31" i="23" s="1"/>
  <c r="X93" i="23" s="1"/>
  <c r="Y19" i="8"/>
  <c r="Y39" i="8"/>
  <c r="X39" i="23" s="1"/>
  <c r="X101" i="23" s="1"/>
  <c r="Y23" i="8"/>
  <c r="X23" i="23" s="1"/>
  <c r="X85" i="23" s="1"/>
  <c r="Y14" i="8"/>
  <c r="X14" i="23" s="1"/>
  <c r="X76" i="23" s="1"/>
  <c r="Y51" i="8"/>
  <c r="X51" i="23" s="1"/>
  <c r="X113" i="23" s="1"/>
  <c r="Y9" i="8"/>
  <c r="X9" i="23" s="1"/>
  <c r="X71" i="23" s="1"/>
  <c r="Y37" i="8"/>
  <c r="X37" i="23" s="1"/>
  <c r="X99" i="23" s="1"/>
  <c r="Y26" i="8"/>
  <c r="X26" i="23" s="1"/>
  <c r="X88" i="23" s="1"/>
  <c r="Y8" i="8"/>
  <c r="X8" i="23" s="1"/>
  <c r="X70" i="23" s="1"/>
  <c r="Y46" i="8"/>
  <c r="X46" i="23" s="1"/>
  <c r="X108" i="23" s="1"/>
  <c r="Y30" i="8"/>
  <c r="X30" i="23" s="1"/>
  <c r="X92" i="23" s="1"/>
  <c r="Y61" i="8"/>
  <c r="X61" i="23" s="1"/>
  <c r="X123" i="23" s="1"/>
  <c r="Y11" i="8"/>
  <c r="X11" i="23" s="1"/>
  <c r="X73" i="23" s="1"/>
  <c r="Y45" i="8"/>
  <c r="X45" i="23" s="1"/>
  <c r="X107" i="23" s="1"/>
  <c r="Y18" i="8"/>
  <c r="X18" i="23" s="1"/>
  <c r="X80" i="23" s="1"/>
  <c r="Y58" i="8"/>
  <c r="X58" i="23" s="1"/>
  <c r="X120" i="23" s="1"/>
  <c r="Y33" i="8"/>
  <c r="X33" i="23" s="1"/>
  <c r="X95" i="23" s="1"/>
  <c r="Y17" i="8"/>
  <c r="Y55" i="8"/>
  <c r="X55" i="23" s="1"/>
  <c r="X117" i="23" s="1"/>
  <c r="Y22" i="8"/>
  <c r="X22" i="23" s="1"/>
  <c r="X84" i="23" s="1"/>
  <c r="Y5" i="8"/>
  <c r="Y28" i="8"/>
  <c r="X28" i="23" s="1"/>
  <c r="X90" i="23" s="1"/>
  <c r="Y7" i="8"/>
  <c r="X7" i="23" s="1"/>
  <c r="X69" i="23" s="1"/>
  <c r="Y21" i="8"/>
  <c r="X21" i="23" s="1"/>
  <c r="X83" i="23" s="1"/>
  <c r="Y13" i="8"/>
  <c r="X13" i="23" s="1"/>
  <c r="X75" i="23" s="1"/>
  <c r="Y12" i="8"/>
  <c r="X12" i="23" s="1"/>
  <c r="X74" i="23" s="1"/>
  <c r="Y35" i="8"/>
  <c r="X35" i="23" s="1"/>
  <c r="X97" i="23" s="1"/>
  <c r="Y57" i="8"/>
  <c r="X57" i="23" s="1"/>
  <c r="X119" i="23" s="1"/>
  <c r="Y60" i="8"/>
  <c r="X60" i="23" s="1"/>
  <c r="X122" i="23" s="1"/>
  <c r="Y32" i="8"/>
  <c r="X32" i="23" s="1"/>
  <c r="X94" i="23" s="1"/>
  <c r="Y25" i="8"/>
  <c r="Y43" i="8"/>
  <c r="X43" i="23" s="1"/>
  <c r="X105" i="23" s="1"/>
  <c r="Y36" i="8"/>
  <c r="X36" i="23" s="1"/>
  <c r="X98" i="23" s="1"/>
  <c r="Y20" i="8"/>
  <c r="X20" i="23" s="1"/>
  <c r="X82" i="23" s="1"/>
  <c r="Y53" i="8"/>
  <c r="X53" i="23" s="1"/>
  <c r="X115" i="23" s="1"/>
  <c r="Y59" i="8"/>
  <c r="X59" i="23" s="1"/>
  <c r="X121" i="23" s="1"/>
  <c r="Y49" i="8"/>
  <c r="X49" i="23" s="1"/>
  <c r="X111" i="23" s="1"/>
  <c r="Y10" i="8"/>
  <c r="X10" i="23" s="1"/>
  <c r="X72" i="23" s="1"/>
  <c r="G9" i="25"/>
  <c r="G11" i="25"/>
  <c r="G7" i="25"/>
  <c r="G13" i="25" s="1"/>
  <c r="V30" i="8"/>
  <c r="M5" i="23"/>
  <c r="M67" i="23" s="1"/>
  <c r="M63" i="8"/>
  <c r="G11" i="26"/>
  <c r="G9" i="26"/>
  <c r="G7" i="26"/>
  <c r="G13" i="26" s="1"/>
  <c r="E9" i="26"/>
  <c r="E11" i="26"/>
  <c r="E7" i="26"/>
  <c r="E13" i="26" s="1"/>
  <c r="V57" i="8"/>
  <c r="L5" i="24"/>
  <c r="L50" i="24" s="1"/>
  <c r="L29" i="24"/>
  <c r="L74" i="24" s="1"/>
  <c r="L25" i="24"/>
  <c r="L70" i="24" s="1"/>
  <c r="L15" i="24"/>
  <c r="L60" i="24" s="1"/>
  <c r="L30" i="24"/>
  <c r="L75" i="24" s="1"/>
  <c r="L7" i="24"/>
  <c r="L52" i="24" s="1"/>
  <c r="L38" i="24"/>
  <c r="L83" i="24" s="1"/>
  <c r="L19" i="24"/>
  <c r="L64" i="24" s="1"/>
  <c r="L11" i="24"/>
  <c r="L56" i="24" s="1"/>
  <c r="L37" i="24"/>
  <c r="L82" i="24" s="1"/>
  <c r="L26" i="24"/>
  <c r="L71" i="24" s="1"/>
  <c r="L9" i="24"/>
  <c r="L54" i="24" s="1"/>
  <c r="L34" i="24"/>
  <c r="L79" i="24" s="1"/>
  <c r="L23" i="24"/>
  <c r="L68" i="24" s="1"/>
  <c r="L8" i="24"/>
  <c r="L53" i="24" s="1"/>
  <c r="L14" i="24"/>
  <c r="L59" i="24" s="1"/>
  <c r="L40" i="24"/>
  <c r="L85" i="24" s="1"/>
  <c r="L28" i="24"/>
  <c r="L73" i="24" s="1"/>
  <c r="L6" i="24"/>
  <c r="L51" i="24" s="1"/>
  <c r="L33" i="24"/>
  <c r="L78" i="24" s="1"/>
  <c r="L10" i="24"/>
  <c r="L55" i="24" s="1"/>
  <c r="L31" i="24"/>
  <c r="L76" i="24" s="1"/>
  <c r="L24" i="24"/>
  <c r="L69" i="24" s="1"/>
  <c r="L20" i="24"/>
  <c r="L65" i="24" s="1"/>
  <c r="L21" i="24"/>
  <c r="L66" i="24" s="1"/>
  <c r="L13" i="24"/>
  <c r="L58" i="24" s="1"/>
  <c r="L36" i="24"/>
  <c r="L81" i="24" s="1"/>
  <c r="L17" i="24"/>
  <c r="L62" i="24" s="1"/>
  <c r="L18" i="24"/>
  <c r="L63" i="24" s="1"/>
  <c r="L35" i="24"/>
  <c r="L80" i="24" s="1"/>
  <c r="L43" i="24"/>
  <c r="L88" i="24" s="1"/>
  <c r="L16" i="24"/>
  <c r="L61" i="24" s="1"/>
  <c r="L39" i="24"/>
  <c r="L84" i="24" s="1"/>
  <c r="L27" i="24"/>
  <c r="L72" i="24" s="1"/>
  <c r="L12" i="24"/>
  <c r="L57" i="24" s="1"/>
  <c r="L42" i="24"/>
  <c r="L87" i="24" s="1"/>
  <c r="L32" i="24"/>
  <c r="L77" i="24" s="1"/>
  <c r="L22" i="24"/>
  <c r="L67" i="24" s="1"/>
  <c r="L41" i="24"/>
  <c r="L86" i="24" s="1"/>
  <c r="L44" i="24"/>
  <c r="L89" i="24" s="1"/>
  <c r="W44" i="12"/>
  <c r="X44" i="12" s="1"/>
  <c r="AA44" i="12" s="1"/>
  <c r="W44" i="13"/>
  <c r="W34" i="12"/>
  <c r="X34" i="12" s="1"/>
  <c r="W34" i="13"/>
  <c r="W13" i="12"/>
  <c r="X13" i="12" s="1"/>
  <c r="AA13" i="12" s="1"/>
  <c r="W13" i="13"/>
  <c r="W36" i="12"/>
  <c r="X36" i="12" s="1"/>
  <c r="AA36" i="12" s="1"/>
  <c r="W36" i="13"/>
  <c r="W17" i="12"/>
  <c r="X17" i="12" s="1"/>
  <c r="AA17" i="12" s="1"/>
  <c r="W17" i="13"/>
  <c r="W32" i="12"/>
  <c r="X32" i="12" s="1"/>
  <c r="W32" i="13"/>
  <c r="W28" i="12"/>
  <c r="X28" i="12" s="1"/>
  <c r="AA28" i="12" s="1"/>
  <c r="W28" i="13"/>
  <c r="W43" i="12"/>
  <c r="X43" i="12" s="1"/>
  <c r="AA43" i="12" s="1"/>
  <c r="W43" i="13"/>
  <c r="L46" i="13"/>
  <c r="P5" i="13"/>
  <c r="W29" i="12"/>
  <c r="X29" i="12" s="1"/>
  <c r="W29" i="13"/>
  <c r="W25" i="12"/>
  <c r="X25" i="12" s="1"/>
  <c r="AA25" i="12" s="1"/>
  <c r="W25" i="13"/>
  <c r="W14" i="12"/>
  <c r="X14" i="12" s="1"/>
  <c r="AA14" i="12" s="1"/>
  <c r="W14" i="13"/>
  <c r="W40" i="12"/>
  <c r="X40" i="12" s="1"/>
  <c r="AA40" i="12" s="1"/>
  <c r="W40" i="13"/>
  <c r="W18" i="12"/>
  <c r="X18" i="12" s="1"/>
  <c r="AA18" i="12" s="1"/>
  <c r="W18" i="13"/>
  <c r="W35" i="12"/>
  <c r="X35" i="12" s="1"/>
  <c r="AA35" i="12" s="1"/>
  <c r="W35" i="13"/>
  <c r="W8" i="12"/>
  <c r="X8" i="12" s="1"/>
  <c r="AA8" i="12" s="1"/>
  <c r="W8" i="13"/>
  <c r="W10" i="12"/>
  <c r="X10" i="12" s="1"/>
  <c r="AA10" i="12" s="1"/>
  <c r="W10" i="13"/>
  <c r="W31" i="12"/>
  <c r="X31" i="12" s="1"/>
  <c r="AA31" i="12" s="1"/>
  <c r="W31" i="13"/>
  <c r="W24" i="12"/>
  <c r="X24" i="12" s="1"/>
  <c r="AA24" i="12" s="1"/>
  <c r="W24" i="13"/>
  <c r="L46" i="12"/>
  <c r="P5" i="12"/>
  <c r="W39" i="12"/>
  <c r="X39" i="12" s="1"/>
  <c r="AA39" i="12" s="1"/>
  <c r="W39" i="13"/>
  <c r="W27" i="12"/>
  <c r="X27" i="12" s="1"/>
  <c r="AA27" i="12" s="1"/>
  <c r="W27" i="13"/>
  <c r="W15" i="12"/>
  <c r="X15" i="12" s="1"/>
  <c r="AA15" i="12" s="1"/>
  <c r="W15" i="13"/>
  <c r="W30" i="12"/>
  <c r="X30" i="12" s="1"/>
  <c r="AA30" i="12" s="1"/>
  <c r="W30" i="13"/>
  <c r="W6" i="12"/>
  <c r="X6" i="12" s="1"/>
  <c r="AA6" i="12" s="1"/>
  <c r="W6" i="13"/>
  <c r="W33" i="12"/>
  <c r="X33" i="12" s="1"/>
  <c r="AA33" i="12" s="1"/>
  <c r="W33" i="13"/>
  <c r="W19" i="12"/>
  <c r="X19" i="12" s="1"/>
  <c r="AA19" i="12" s="1"/>
  <c r="W19" i="13"/>
  <c r="AG67" i="6"/>
  <c r="AG65" i="9"/>
  <c r="AG65" i="8"/>
  <c r="AG65" i="7"/>
  <c r="W11" i="12"/>
  <c r="X11" i="12" s="1"/>
  <c r="AA11" i="12" s="1"/>
  <c r="W11" i="13"/>
  <c r="W37" i="12"/>
  <c r="X37" i="12" s="1"/>
  <c r="AA37" i="12" s="1"/>
  <c r="W37" i="13"/>
  <c r="W26" i="12"/>
  <c r="X26" i="12" s="1"/>
  <c r="AA26" i="12" s="1"/>
  <c r="W26" i="13"/>
  <c r="W9" i="12"/>
  <c r="X9" i="12" s="1"/>
  <c r="AA9" i="12" s="1"/>
  <c r="W9" i="13"/>
  <c r="AA5" i="11"/>
  <c r="P46" i="11"/>
  <c r="AA34" i="12"/>
  <c r="W20" i="12"/>
  <c r="X20" i="12" s="1"/>
  <c r="AA20" i="12" s="1"/>
  <c r="W20" i="13"/>
  <c r="W21" i="12"/>
  <c r="X21" i="12" s="1"/>
  <c r="AA21" i="12" s="1"/>
  <c r="W21" i="13"/>
  <c r="W12" i="12"/>
  <c r="X12" i="12" s="1"/>
  <c r="AA12" i="12" s="1"/>
  <c r="W12" i="13"/>
  <c r="W42" i="12"/>
  <c r="X42" i="12" s="1"/>
  <c r="AA42" i="12" s="1"/>
  <c r="W42" i="13"/>
  <c r="E45" i="5"/>
  <c r="X48" i="13"/>
  <c r="X48" i="12"/>
  <c r="X48" i="10"/>
  <c r="X48" i="11"/>
  <c r="W7" i="12"/>
  <c r="X7" i="12" s="1"/>
  <c r="AA7" i="12" s="1"/>
  <c r="W7" i="13"/>
  <c r="AA32" i="12"/>
  <c r="W38" i="12"/>
  <c r="X38" i="12" s="1"/>
  <c r="AA38" i="12" s="1"/>
  <c r="W38" i="13"/>
  <c r="W22" i="12"/>
  <c r="X22" i="12" s="1"/>
  <c r="AA22" i="12" s="1"/>
  <c r="W22" i="13"/>
  <c r="W41" i="12"/>
  <c r="X41" i="12" s="1"/>
  <c r="AA41" i="12" s="1"/>
  <c r="W41" i="13"/>
  <c r="AA29" i="12"/>
  <c r="W23" i="12"/>
  <c r="X23" i="12" s="1"/>
  <c r="AA23" i="12" s="1"/>
  <c r="W23" i="13"/>
  <c r="W16" i="12"/>
  <c r="X16" i="12" s="1"/>
  <c r="AA16" i="12" s="1"/>
  <c r="W16" i="13"/>
  <c r="E29" i="5"/>
  <c r="E46" i="5"/>
  <c r="U22" i="23" l="1"/>
  <c r="U84" i="23" s="1"/>
  <c r="AB22" i="8"/>
  <c r="U12" i="23"/>
  <c r="U74" i="23" s="1"/>
  <c r="AB12" i="8"/>
  <c r="U15" i="23"/>
  <c r="U77" i="23" s="1"/>
  <c r="AB15" i="8"/>
  <c r="AB50" i="8"/>
  <c r="U50" i="23"/>
  <c r="U112" i="23" s="1"/>
  <c r="U15" i="25"/>
  <c r="U14" i="25"/>
  <c r="U45" i="23"/>
  <c r="U107" i="23" s="1"/>
  <c r="AB45" i="8"/>
  <c r="U55" i="23"/>
  <c r="U117" i="23" s="1"/>
  <c r="AB55" i="8"/>
  <c r="U48" i="23"/>
  <c r="U110" i="23" s="1"/>
  <c r="AB48" i="8"/>
  <c r="G15" i="25"/>
  <c r="G14" i="25"/>
  <c r="X44" i="23"/>
  <c r="X106" i="23" s="1"/>
  <c r="AB44" i="8"/>
  <c r="U6" i="23"/>
  <c r="U68" i="23" s="1"/>
  <c r="AB6" i="8"/>
  <c r="U51" i="23"/>
  <c r="U113" i="23" s="1"/>
  <c r="AB51" i="8"/>
  <c r="U13" i="23"/>
  <c r="U75" i="23" s="1"/>
  <c r="AB13" i="8"/>
  <c r="AB35" i="8"/>
  <c r="U35" i="23"/>
  <c r="U97" i="23" s="1"/>
  <c r="U33" i="23"/>
  <c r="U95" i="23" s="1"/>
  <c r="AB33" i="8"/>
  <c r="X19" i="23"/>
  <c r="X81" i="23" s="1"/>
  <c r="AB19" i="8"/>
  <c r="E14" i="25"/>
  <c r="E15" i="25"/>
  <c r="S14" i="9"/>
  <c r="S14" i="23" s="1"/>
  <c r="S76" i="23" s="1"/>
  <c r="S21" i="9"/>
  <c r="S21" i="23" s="1"/>
  <c r="S83" i="23" s="1"/>
  <c r="S19" i="9"/>
  <c r="S19" i="23" s="1"/>
  <c r="S81" i="23" s="1"/>
  <c r="S55" i="9"/>
  <c r="S55" i="23" s="1"/>
  <c r="S117" i="23" s="1"/>
  <c r="S49" i="9"/>
  <c r="S49" i="23" s="1"/>
  <c r="S111" i="23" s="1"/>
  <c r="S43" i="9"/>
  <c r="S43" i="23" s="1"/>
  <c r="S105" i="23" s="1"/>
  <c r="S48" i="9"/>
  <c r="S48" i="23" s="1"/>
  <c r="S110" i="23" s="1"/>
  <c r="S10" i="9"/>
  <c r="S10" i="23" s="1"/>
  <c r="S72" i="23" s="1"/>
  <c r="S31" i="9"/>
  <c r="S31" i="23" s="1"/>
  <c r="S93" i="23" s="1"/>
  <c r="S11" i="9"/>
  <c r="S11" i="23" s="1"/>
  <c r="S73" i="23" s="1"/>
  <c r="S46" i="9"/>
  <c r="S46" i="23" s="1"/>
  <c r="S108" i="23" s="1"/>
  <c r="S26" i="9"/>
  <c r="S26" i="23" s="1"/>
  <c r="S88" i="23" s="1"/>
  <c r="S44" i="9"/>
  <c r="S44" i="23" s="1"/>
  <c r="S106" i="23" s="1"/>
  <c r="S12" i="9"/>
  <c r="S12" i="23" s="1"/>
  <c r="S74" i="23" s="1"/>
  <c r="S57" i="9"/>
  <c r="S57" i="23" s="1"/>
  <c r="S119" i="23" s="1"/>
  <c r="S40" i="9"/>
  <c r="S40" i="23" s="1"/>
  <c r="S102" i="23" s="1"/>
  <c r="S37" i="9"/>
  <c r="S37" i="23" s="1"/>
  <c r="S99" i="23" s="1"/>
  <c r="S17" i="9"/>
  <c r="S17" i="23" s="1"/>
  <c r="S79" i="23" s="1"/>
  <c r="S34" i="9"/>
  <c r="S34" i="23" s="1"/>
  <c r="S96" i="23" s="1"/>
  <c r="S52" i="9"/>
  <c r="S52" i="23" s="1"/>
  <c r="S114" i="23" s="1"/>
  <c r="S27" i="9"/>
  <c r="S27" i="23" s="1"/>
  <c r="S89" i="23" s="1"/>
  <c r="S61" i="9"/>
  <c r="S61" i="23" s="1"/>
  <c r="S123" i="23" s="1"/>
  <c r="S20" i="9"/>
  <c r="S20" i="23" s="1"/>
  <c r="S82" i="23" s="1"/>
  <c r="S51" i="9"/>
  <c r="S51" i="23" s="1"/>
  <c r="S113" i="23" s="1"/>
  <c r="S42" i="9"/>
  <c r="S42" i="23" s="1"/>
  <c r="S104" i="23" s="1"/>
  <c r="S59" i="9"/>
  <c r="S59" i="23" s="1"/>
  <c r="S121" i="23" s="1"/>
  <c r="S54" i="9"/>
  <c r="S54" i="23" s="1"/>
  <c r="S116" i="23" s="1"/>
  <c r="S5" i="9"/>
  <c r="S45" i="9"/>
  <c r="S45" i="23" s="1"/>
  <c r="S107" i="23" s="1"/>
  <c r="S38" i="9"/>
  <c r="S38" i="23" s="1"/>
  <c r="S100" i="23" s="1"/>
  <c r="S7" i="9"/>
  <c r="S7" i="23" s="1"/>
  <c r="S69" i="23" s="1"/>
  <c r="S6" i="9"/>
  <c r="S6" i="23" s="1"/>
  <c r="S68" i="23" s="1"/>
  <c r="S25" i="9"/>
  <c r="S25" i="23" s="1"/>
  <c r="S87" i="23" s="1"/>
  <c r="S23" i="9"/>
  <c r="S23" i="23" s="1"/>
  <c r="S85" i="23" s="1"/>
  <c r="S47" i="9"/>
  <c r="S47" i="23" s="1"/>
  <c r="S109" i="23" s="1"/>
  <c r="S9" i="9"/>
  <c r="S9" i="23" s="1"/>
  <c r="S71" i="23" s="1"/>
  <c r="S32" i="9"/>
  <c r="S32" i="23" s="1"/>
  <c r="S94" i="23" s="1"/>
  <c r="S60" i="9"/>
  <c r="S60" i="23" s="1"/>
  <c r="S122" i="23" s="1"/>
  <c r="S33" i="9"/>
  <c r="S33" i="23" s="1"/>
  <c r="S95" i="23" s="1"/>
  <c r="S18" i="9"/>
  <c r="S18" i="23" s="1"/>
  <c r="S80" i="23" s="1"/>
  <c r="S50" i="9"/>
  <c r="S50" i="23" s="1"/>
  <c r="S112" i="23" s="1"/>
  <c r="S36" i="9"/>
  <c r="S36" i="23" s="1"/>
  <c r="S98" i="23" s="1"/>
  <c r="S39" i="9"/>
  <c r="S39" i="23" s="1"/>
  <c r="S101" i="23" s="1"/>
  <c r="S58" i="9"/>
  <c r="S58" i="23" s="1"/>
  <c r="S120" i="23" s="1"/>
  <c r="S22" i="9"/>
  <c r="S22" i="23" s="1"/>
  <c r="S84" i="23" s="1"/>
  <c r="S56" i="9"/>
  <c r="S56" i="23" s="1"/>
  <c r="S118" i="23" s="1"/>
  <c r="S24" i="9"/>
  <c r="S24" i="23" s="1"/>
  <c r="S86" i="23" s="1"/>
  <c r="S29" i="9"/>
  <c r="S29" i="23" s="1"/>
  <c r="S91" i="23" s="1"/>
  <c r="S30" i="9"/>
  <c r="S30" i="23" s="1"/>
  <c r="S92" i="23" s="1"/>
  <c r="S35" i="9"/>
  <c r="S35" i="23" s="1"/>
  <c r="S97" i="23" s="1"/>
  <c r="S16" i="9"/>
  <c r="S16" i="23" s="1"/>
  <c r="S78" i="23" s="1"/>
  <c r="S28" i="9"/>
  <c r="S28" i="23" s="1"/>
  <c r="S90" i="23" s="1"/>
  <c r="S13" i="9"/>
  <c r="S13" i="23" s="1"/>
  <c r="S75" i="23" s="1"/>
  <c r="S53" i="9"/>
  <c r="S53" i="23" s="1"/>
  <c r="S115" i="23" s="1"/>
  <c r="S15" i="9"/>
  <c r="S15" i="23" s="1"/>
  <c r="S77" i="23" s="1"/>
  <c r="S8" i="9"/>
  <c r="S8" i="23" s="1"/>
  <c r="S70" i="23" s="1"/>
  <c r="S41" i="9"/>
  <c r="S41" i="23" s="1"/>
  <c r="S103" i="23" s="1"/>
  <c r="U36" i="23"/>
  <c r="U98" i="23" s="1"/>
  <c r="AB36" i="8"/>
  <c r="U58" i="23"/>
  <c r="U120" i="23" s="1"/>
  <c r="AB58" i="8"/>
  <c r="U18" i="23"/>
  <c r="U80" i="23" s="1"/>
  <c r="AB18" i="8"/>
  <c r="T15" i="25"/>
  <c r="T14" i="25"/>
  <c r="L15" i="25"/>
  <c r="L14" i="25"/>
  <c r="H11" i="25"/>
  <c r="H9" i="25"/>
  <c r="H7" i="25"/>
  <c r="H13" i="25" s="1"/>
  <c r="U52" i="23"/>
  <c r="U114" i="23" s="1"/>
  <c r="AB52" i="8"/>
  <c r="U10" i="23"/>
  <c r="U72" i="23" s="1"/>
  <c r="AB10" i="8"/>
  <c r="U32" i="23"/>
  <c r="U94" i="23" s="1"/>
  <c r="AB32" i="8"/>
  <c r="H46" i="5"/>
  <c r="E50" i="5"/>
  <c r="AU13" i="16"/>
  <c r="U31" i="23"/>
  <c r="U93" i="23" s="1"/>
  <c r="AB31" i="8"/>
  <c r="U5" i="23"/>
  <c r="U67" i="23" s="1"/>
  <c r="V63" i="8"/>
  <c r="AB5" i="8"/>
  <c r="U39" i="23"/>
  <c r="U101" i="23" s="1"/>
  <c r="AB39" i="8"/>
  <c r="U34" i="23"/>
  <c r="U96" i="23" s="1"/>
  <c r="AB34" i="8"/>
  <c r="Q15" i="25"/>
  <c r="Q14" i="25"/>
  <c r="B15" i="25"/>
  <c r="B14" i="25"/>
  <c r="U41" i="23"/>
  <c r="U103" i="23" s="1"/>
  <c r="AB41" i="8"/>
  <c r="U20" i="23"/>
  <c r="U82" i="23" s="1"/>
  <c r="AB20" i="8"/>
  <c r="AB28" i="8"/>
  <c r="U28" i="23"/>
  <c r="U90" i="23" s="1"/>
  <c r="U53" i="23"/>
  <c r="U115" i="23" s="1"/>
  <c r="AB53" i="8"/>
  <c r="X5" i="23"/>
  <c r="X67" i="23" s="1"/>
  <c r="Y63" i="8"/>
  <c r="J15" i="25"/>
  <c r="J14" i="25"/>
  <c r="U7" i="23"/>
  <c r="U69" i="23" s="1"/>
  <c r="AB7" i="8"/>
  <c r="AB11" i="8"/>
  <c r="U11" i="23"/>
  <c r="U73" i="23" s="1"/>
  <c r="K9" i="25" s="1"/>
  <c r="U37" i="23"/>
  <c r="U99" i="23" s="1"/>
  <c r="AB37" i="8"/>
  <c r="U27" i="23"/>
  <c r="U89" i="23" s="1"/>
  <c r="AB27" i="8"/>
  <c r="AB57" i="8"/>
  <c r="U57" i="23"/>
  <c r="U119" i="23" s="1"/>
  <c r="U26" i="23"/>
  <c r="U88" i="23" s="1"/>
  <c r="AB26" i="8"/>
  <c r="AB9" i="8"/>
  <c r="U9" i="23"/>
  <c r="U71" i="23" s="1"/>
  <c r="U8" i="23"/>
  <c r="U70" i="23" s="1"/>
  <c r="AB8" i="8"/>
  <c r="U29" i="23"/>
  <c r="U91" i="23" s="1"/>
  <c r="AB29" i="8"/>
  <c r="C11" i="25"/>
  <c r="C9" i="25"/>
  <c r="C7" i="25"/>
  <c r="C13" i="25" s="1"/>
  <c r="X25" i="23"/>
  <c r="X87" i="23" s="1"/>
  <c r="AB25" i="8"/>
  <c r="X16" i="23"/>
  <c r="X78" i="23" s="1"/>
  <c r="AB16" i="8"/>
  <c r="F14" i="25"/>
  <c r="F15" i="25"/>
  <c r="U23" i="23"/>
  <c r="U85" i="23" s="1"/>
  <c r="AB23" i="8"/>
  <c r="U38" i="23"/>
  <c r="U100" i="23" s="1"/>
  <c r="AB38" i="8"/>
  <c r="U21" i="23"/>
  <c r="U83" i="23" s="1"/>
  <c r="AB21" i="8"/>
  <c r="U47" i="23"/>
  <c r="U109" i="23" s="1"/>
  <c r="AB47" i="8"/>
  <c r="AB54" i="8"/>
  <c r="X54" i="23"/>
  <c r="X116" i="23" s="1"/>
  <c r="U30" i="23"/>
  <c r="U92" i="23" s="1"/>
  <c r="AB30" i="8"/>
  <c r="AB17" i="8"/>
  <c r="X17" i="23"/>
  <c r="X79" i="23" s="1"/>
  <c r="AB14" i="8"/>
  <c r="U14" i="23"/>
  <c r="U76" i="23" s="1"/>
  <c r="U46" i="23"/>
  <c r="U108" i="23" s="1"/>
  <c r="AB46" i="8"/>
  <c r="AB43" i="8"/>
  <c r="U43" i="23"/>
  <c r="U105" i="23" s="1"/>
  <c r="U61" i="23"/>
  <c r="U123" i="23" s="1"/>
  <c r="AB61" i="8"/>
  <c r="U56" i="23"/>
  <c r="U118" i="23" s="1"/>
  <c r="AB56" i="8"/>
  <c r="AB40" i="8"/>
  <c r="U59" i="23"/>
  <c r="U121" i="23" s="1"/>
  <c r="AB59" i="8"/>
  <c r="M15" i="25"/>
  <c r="M14" i="25"/>
  <c r="U42" i="23"/>
  <c r="U104" i="23" s="1"/>
  <c r="AB42" i="8"/>
  <c r="U24" i="23"/>
  <c r="U86" i="23" s="1"/>
  <c r="AB24" i="8"/>
  <c r="U60" i="23"/>
  <c r="U122" i="23" s="1"/>
  <c r="AB60" i="8"/>
  <c r="U49" i="23"/>
  <c r="U111" i="23" s="1"/>
  <c r="AB49" i="8"/>
  <c r="H54" i="5"/>
  <c r="J52" i="5"/>
  <c r="B7" i="26"/>
  <c r="B13" i="26" s="1"/>
  <c r="B11" i="26"/>
  <c r="B9" i="26"/>
  <c r="AA46" i="11"/>
  <c r="X6" i="13"/>
  <c r="AA6" i="13" s="1"/>
  <c r="G6" i="28" s="1"/>
  <c r="T6" i="24"/>
  <c r="T51" i="24" s="1"/>
  <c r="X24" i="13"/>
  <c r="AA24" i="13" s="1"/>
  <c r="S13" i="28" s="1"/>
  <c r="T24" i="24"/>
  <c r="T69" i="24" s="1"/>
  <c r="X29" i="13"/>
  <c r="AA29" i="13" s="1"/>
  <c r="S19" i="28" s="1"/>
  <c r="T29" i="24"/>
  <c r="T74" i="24" s="1"/>
  <c r="X43" i="13"/>
  <c r="AA43" i="13" s="1"/>
  <c r="S32" i="28" s="1"/>
  <c r="T43" i="24"/>
  <c r="T88" i="24" s="1"/>
  <c r="X32" i="13"/>
  <c r="AA32" i="13" s="1"/>
  <c r="S23" i="28" s="1"/>
  <c r="T32" i="24"/>
  <c r="T77" i="24" s="1"/>
  <c r="X36" i="13"/>
  <c r="AA36" i="13" s="1"/>
  <c r="T36" i="24"/>
  <c r="T81" i="24" s="1"/>
  <c r="X34" i="13"/>
  <c r="AA34" i="13" s="1"/>
  <c r="T34" i="24"/>
  <c r="T79" i="24" s="1"/>
  <c r="X22" i="13"/>
  <c r="AA22" i="13" s="1"/>
  <c r="T22" i="24"/>
  <c r="T67" i="24" s="1"/>
  <c r="X20" i="13"/>
  <c r="AA20" i="13" s="1"/>
  <c r="T20" i="24"/>
  <c r="T65" i="24" s="1"/>
  <c r="X11" i="13"/>
  <c r="AA11" i="13" s="1"/>
  <c r="T11" i="24"/>
  <c r="T56" i="24" s="1"/>
  <c r="X33" i="13"/>
  <c r="AA33" i="13" s="1"/>
  <c r="S24" i="28" s="1"/>
  <c r="T33" i="24"/>
  <c r="T78" i="24" s="1"/>
  <c r="X10" i="13"/>
  <c r="AA10" i="13" s="1"/>
  <c r="T10" i="24"/>
  <c r="T55" i="24" s="1"/>
  <c r="X35" i="13"/>
  <c r="AA35" i="13" s="1"/>
  <c r="T35" i="24"/>
  <c r="T80" i="24" s="1"/>
  <c r="X40" i="13"/>
  <c r="AA40" i="13" s="1"/>
  <c r="S29" i="28" s="1"/>
  <c r="T40" i="24"/>
  <c r="T85" i="24" s="1"/>
  <c r="X16" i="13"/>
  <c r="AA16" i="13" s="1"/>
  <c r="AA861" i="16" s="1"/>
  <c r="AG861" i="16" s="1"/>
  <c r="T16" i="24"/>
  <c r="T61" i="24" s="1"/>
  <c r="X7" i="13"/>
  <c r="AA7" i="13" s="1"/>
  <c r="T7" i="24"/>
  <c r="T52" i="24" s="1"/>
  <c r="X26" i="13"/>
  <c r="AA26" i="13" s="1"/>
  <c r="AA413" i="17" s="1"/>
  <c r="T26" i="24"/>
  <c r="T71" i="24" s="1"/>
  <c r="X15" i="13"/>
  <c r="AA15" i="13" s="1"/>
  <c r="AA821" i="16" s="1"/>
  <c r="AG821" i="16" s="1"/>
  <c r="T15" i="24"/>
  <c r="T60" i="24" s="1"/>
  <c r="X9" i="13"/>
  <c r="AA9" i="13" s="1"/>
  <c r="T9" i="24"/>
  <c r="T54" i="24" s="1"/>
  <c r="X30" i="13"/>
  <c r="AA30" i="13" s="1"/>
  <c r="T30" i="24"/>
  <c r="T75" i="24" s="1"/>
  <c r="X27" i="13"/>
  <c r="AA27" i="13" s="1"/>
  <c r="S17" i="28" s="1"/>
  <c r="T27" i="24"/>
  <c r="T72" i="24" s="1"/>
  <c r="X25" i="13"/>
  <c r="AA25" i="13" s="1"/>
  <c r="S14" i="28" s="1"/>
  <c r="T25" i="24"/>
  <c r="T70" i="24" s="1"/>
  <c r="X28" i="13"/>
  <c r="AA28" i="13" s="1"/>
  <c r="S18" i="28" s="1"/>
  <c r="T28" i="24"/>
  <c r="T73" i="24" s="1"/>
  <c r="X17" i="13"/>
  <c r="AA17" i="13" s="1"/>
  <c r="AA308" i="17" s="1"/>
  <c r="T17" i="24"/>
  <c r="T62" i="24" s="1"/>
  <c r="X13" i="13"/>
  <c r="AA13" i="13" s="1"/>
  <c r="T13" i="24"/>
  <c r="T58" i="24" s="1"/>
  <c r="X44" i="13"/>
  <c r="AA44" i="13" s="1"/>
  <c r="S33" i="28" s="1"/>
  <c r="T44" i="24"/>
  <c r="T89" i="24" s="1"/>
  <c r="X38" i="13"/>
  <c r="AA38" i="13" s="1"/>
  <c r="S27" i="28" s="1"/>
  <c r="T38" i="24"/>
  <c r="T83" i="24" s="1"/>
  <c r="X42" i="13"/>
  <c r="AA42" i="13" s="1"/>
  <c r="S30" i="28" s="1"/>
  <c r="T42" i="24"/>
  <c r="T87" i="24" s="1"/>
  <c r="X39" i="13"/>
  <c r="AA39" i="13" s="1"/>
  <c r="S28" i="28" s="1"/>
  <c r="T39" i="24"/>
  <c r="T84" i="24" s="1"/>
  <c r="X21" i="13"/>
  <c r="AA21" i="13" s="1"/>
  <c r="T21" i="24"/>
  <c r="T66" i="24" s="1"/>
  <c r="X23" i="13"/>
  <c r="AA23" i="13" s="1"/>
  <c r="S12" i="28" s="1"/>
  <c r="T23" i="24"/>
  <c r="T68" i="24" s="1"/>
  <c r="X41" i="13"/>
  <c r="AA41" i="13" s="1"/>
  <c r="T41" i="24"/>
  <c r="T86" i="24" s="1"/>
  <c r="X12" i="13"/>
  <c r="AA12" i="13" s="1"/>
  <c r="S7" i="28" s="1"/>
  <c r="T12" i="24"/>
  <c r="T57" i="24" s="1"/>
  <c r="X37" i="13"/>
  <c r="AA37" i="13" s="1"/>
  <c r="T37" i="24"/>
  <c r="T82" i="24" s="1"/>
  <c r="X19" i="13"/>
  <c r="AA19" i="13" s="1"/>
  <c r="S10" i="28" s="1"/>
  <c r="T19" i="24"/>
  <c r="T64" i="24" s="1"/>
  <c r="X31" i="13"/>
  <c r="AA31" i="13" s="1"/>
  <c r="S22" i="28" s="1"/>
  <c r="T31" i="24"/>
  <c r="T76" i="24" s="1"/>
  <c r="X8" i="13"/>
  <c r="AA8" i="13" s="1"/>
  <c r="T8" i="24"/>
  <c r="T53" i="24" s="1"/>
  <c r="X18" i="13"/>
  <c r="AA18" i="13" s="1"/>
  <c r="S8" i="28" s="1"/>
  <c r="T18" i="24"/>
  <c r="T63" i="24" s="1"/>
  <c r="X14" i="13"/>
  <c r="AA14" i="13" s="1"/>
  <c r="S11" i="28" s="1"/>
  <c r="T14" i="24"/>
  <c r="T59" i="24" s="1"/>
  <c r="AA1014" i="16"/>
  <c r="AG1014" i="16" s="1"/>
  <c r="AA326" i="17"/>
  <c r="AA1049" i="16"/>
  <c r="AA251" i="17"/>
  <c r="AA243" i="17"/>
  <c r="AA48" i="13"/>
  <c r="AA48" i="12"/>
  <c r="AA48" i="10"/>
  <c r="AA48" i="11"/>
  <c r="P46" i="13"/>
  <c r="P46" i="12"/>
  <c r="AM67" i="6"/>
  <c r="AM65" i="9"/>
  <c r="AM65" i="8"/>
  <c r="AM65" i="7"/>
  <c r="W5" i="12"/>
  <c r="W5" i="13"/>
  <c r="AA199" i="17" l="1"/>
  <c r="AA392" i="17"/>
  <c r="AA190" i="17"/>
  <c r="AA854" i="16"/>
  <c r="AG854" i="16" s="1"/>
  <c r="AA844" i="16"/>
  <c r="AG844" i="16" s="1"/>
  <c r="AA846" i="16"/>
  <c r="AG846" i="16" s="1"/>
  <c r="AA253" i="17"/>
  <c r="AA859" i="16"/>
  <c r="AG859" i="16" s="1"/>
  <c r="AA857" i="16"/>
  <c r="AG857" i="16" s="1"/>
  <c r="AA597" i="16"/>
  <c r="G17" i="28"/>
  <c r="G12" i="28"/>
  <c r="AA712" i="16"/>
  <c r="S6" i="28"/>
  <c r="AA1039" i="16"/>
  <c r="AA1198" i="16"/>
  <c r="AG1198" i="16" s="1"/>
  <c r="S31" i="28"/>
  <c r="S15" i="28"/>
  <c r="S20" i="28"/>
  <c r="S25" i="28"/>
  <c r="AA322" i="17"/>
  <c r="AA922" i="16"/>
  <c r="AA918" i="16"/>
  <c r="AA628" i="16"/>
  <c r="AG628" i="16" s="1"/>
  <c r="G18" i="28"/>
  <c r="G13" i="28"/>
  <c r="AA761" i="16"/>
  <c r="S9" i="28"/>
  <c r="AA324" i="17"/>
  <c r="AA726" i="16"/>
  <c r="S5" i="28"/>
  <c r="AA1025" i="16"/>
  <c r="AG1025" i="16" s="1"/>
  <c r="S26" i="28"/>
  <c r="S21" i="28"/>
  <c r="S16" i="28"/>
  <c r="AA249" i="17"/>
  <c r="AA1048" i="16"/>
  <c r="AA267" i="17"/>
  <c r="AA268" i="17"/>
  <c r="AA271" i="17"/>
  <c r="AA848" i="16"/>
  <c r="AG848" i="16" s="1"/>
  <c r="AA1209" i="16"/>
  <c r="AA794" i="16"/>
  <c r="AG794" i="16" s="1"/>
  <c r="AA860" i="16"/>
  <c r="AG860" i="16" s="1"/>
  <c r="AA923" i="16"/>
  <c r="AG923" i="16" s="1"/>
  <c r="AA920" i="16"/>
  <c r="AG920" i="16" s="1"/>
  <c r="AA1037" i="16"/>
  <c r="AA321" i="17"/>
  <c r="AA361" i="17"/>
  <c r="AB63" i="8"/>
  <c r="K14" i="25"/>
  <c r="K15" i="25"/>
  <c r="AA409" i="17"/>
  <c r="AA1205" i="16"/>
  <c r="AA328" i="17"/>
  <c r="AA378" i="17"/>
  <c r="AA1044" i="16"/>
  <c r="AG1044" i="16" s="1"/>
  <c r="AA1203" i="16"/>
  <c r="AG1203" i="16" s="1"/>
  <c r="AA331" i="17"/>
  <c r="AA397" i="17"/>
  <c r="K7" i="25"/>
  <c r="K13" i="25" s="1"/>
  <c r="K11" i="25"/>
  <c r="H15" i="25"/>
  <c r="H14" i="25"/>
  <c r="AA1050" i="16"/>
  <c r="AA927" i="16"/>
  <c r="AA919" i="16"/>
  <c r="AG919" i="16" s="1"/>
  <c r="AA990" i="16"/>
  <c r="AG990" i="16" s="1"/>
  <c r="AA1042" i="16"/>
  <c r="AG1042" i="16" s="1"/>
  <c r="AA325" i="17"/>
  <c r="AA1047" i="16"/>
  <c r="AA921" i="16"/>
  <c r="N11" i="25"/>
  <c r="N9" i="25"/>
  <c r="N7" i="25"/>
  <c r="N13" i="25" s="1"/>
  <c r="AA1040" i="16"/>
  <c r="AG1040" i="16" s="1"/>
  <c r="AA926" i="16"/>
  <c r="AA327" i="17"/>
  <c r="AA183" i="17"/>
  <c r="AA1038" i="16"/>
  <c r="AA332" i="17"/>
  <c r="AA929" i="16"/>
  <c r="L929" i="21" s="1"/>
  <c r="O929" i="21" s="1"/>
  <c r="C15" i="25"/>
  <c r="C14" i="25"/>
  <c r="S63" i="9"/>
  <c r="S5" i="23"/>
  <c r="S67" i="23" s="1"/>
  <c r="AA772" i="16"/>
  <c r="AG772" i="16" s="1"/>
  <c r="AA1002" i="16"/>
  <c r="AG1002" i="16" s="1"/>
  <c r="AA1019" i="16"/>
  <c r="AG1019" i="16" s="1"/>
  <c r="AA696" i="16"/>
  <c r="AA351" i="17"/>
  <c r="AA945" i="16"/>
  <c r="AG945" i="16" s="1"/>
  <c r="AA426" i="17"/>
  <c r="AA438" i="17"/>
  <c r="AA1028" i="16"/>
  <c r="AG1028" i="16" s="1"/>
  <c r="AA559" i="16"/>
  <c r="AA76" i="16"/>
  <c r="AA841" i="16"/>
  <c r="AG841" i="16" s="1"/>
  <c r="AA796" i="16"/>
  <c r="AG796" i="16" s="1"/>
  <c r="AA256" i="17"/>
  <c r="AA798" i="16"/>
  <c r="AG798" i="16" s="1"/>
  <c r="AA84" i="16"/>
  <c r="AA259" i="17"/>
  <c r="AA849" i="16"/>
  <c r="AG849" i="16" s="1"/>
  <c r="AA993" i="16"/>
  <c r="AG993" i="16" s="1"/>
  <c r="AA78" i="16"/>
  <c r="L78" i="21" s="1"/>
  <c r="O78" i="21" s="1"/>
  <c r="AA95" i="16"/>
  <c r="AG95" i="16" s="1"/>
  <c r="AA785" i="16"/>
  <c r="AG785" i="16" s="1"/>
  <c r="AA544" i="16"/>
  <c r="AA553" i="16"/>
  <c r="AA548" i="16"/>
  <c r="AA273" i="17"/>
  <c r="AA565" i="16"/>
  <c r="AA91" i="16"/>
  <c r="AA175" i="17"/>
  <c r="AA295" i="16"/>
  <c r="AA690" i="16"/>
  <c r="L690" i="21" s="1"/>
  <c r="O690" i="21" s="1"/>
  <c r="AA178" i="17"/>
  <c r="AA364" i="16"/>
  <c r="L364" i="21" s="1"/>
  <c r="O364" i="21" s="1"/>
  <c r="AA693" i="16"/>
  <c r="AA863" i="16"/>
  <c r="AG863" i="16" s="1"/>
  <c r="AA434" i="16"/>
  <c r="AA179" i="17"/>
  <c r="AA775" i="16"/>
  <c r="AG775" i="16" s="1"/>
  <c r="AA695" i="16"/>
  <c r="AA252" i="17"/>
  <c r="AA269" i="17"/>
  <c r="AA839" i="16"/>
  <c r="AG839" i="16" s="1"/>
  <c r="AA853" i="16"/>
  <c r="AG853" i="16" s="1"/>
  <c r="AA811" i="16"/>
  <c r="AG811" i="16" s="1"/>
  <c r="AA352" i="17"/>
  <c r="AA366" i="17"/>
  <c r="AA989" i="16"/>
  <c r="AG989" i="16" s="1"/>
  <c r="AA211" i="17"/>
  <c r="AA185" i="17"/>
  <c r="AA787" i="16"/>
  <c r="AG787" i="16" s="1"/>
  <c r="AA852" i="16"/>
  <c r="AG852" i="16" s="1"/>
  <c r="AA255" i="17"/>
  <c r="AA272" i="17"/>
  <c r="AA850" i="16"/>
  <c r="AG850" i="16" s="1"/>
  <c r="AA865" i="16"/>
  <c r="AG865" i="16" s="1"/>
  <c r="AA1204" i="16"/>
  <c r="AG1204" i="16" s="1"/>
  <c r="AA212" i="17"/>
  <c r="AA375" i="17"/>
  <c r="AA391" i="17"/>
  <c r="AA763" i="16"/>
  <c r="AG763" i="16" s="1"/>
  <c r="AA228" i="17"/>
  <c r="AA194" i="17"/>
  <c r="AA781" i="16"/>
  <c r="AG781" i="16" s="1"/>
  <c r="AA241" i="17"/>
  <c r="AA257" i="17"/>
  <c r="AA275" i="17"/>
  <c r="AA871" i="16"/>
  <c r="AG871" i="16" s="1"/>
  <c r="AA1213" i="16"/>
  <c r="AG1213" i="16" s="1"/>
  <c r="AA231" i="17"/>
  <c r="AA398" i="17"/>
  <c r="AA399" i="17"/>
  <c r="AA201" i="17"/>
  <c r="AA797" i="16"/>
  <c r="AG797" i="16" s="1"/>
  <c r="AA168" i="16"/>
  <c r="AG168" i="16" s="1"/>
  <c r="AA244" i="17"/>
  <c r="AA261" i="17"/>
  <c r="AA864" i="16"/>
  <c r="AG864" i="16" s="1"/>
  <c r="AA851" i="16"/>
  <c r="AG851" i="16" s="1"/>
  <c r="AA980" i="16"/>
  <c r="AG980" i="16" s="1"/>
  <c r="AA414" i="17"/>
  <c r="AA421" i="17"/>
  <c r="AA205" i="17"/>
  <c r="AA245" i="17"/>
  <c r="AA263" i="17"/>
  <c r="AA847" i="16"/>
  <c r="AG847" i="16" s="1"/>
  <c r="AA856" i="16"/>
  <c r="AG856" i="16" s="1"/>
  <c r="AA1024" i="16"/>
  <c r="AG1024" i="16" s="1"/>
  <c r="AA418" i="17"/>
  <c r="AA429" i="17"/>
  <c r="AA819" i="16"/>
  <c r="AG819" i="16" s="1"/>
  <c r="AA790" i="16"/>
  <c r="AG790" i="16" s="1"/>
  <c r="AA778" i="16"/>
  <c r="AG778" i="16" s="1"/>
  <c r="AA247" i="17"/>
  <c r="AA264" i="17"/>
  <c r="AA858" i="16"/>
  <c r="AG858" i="16" s="1"/>
  <c r="AA867" i="16"/>
  <c r="AG867" i="16" s="1"/>
  <c r="AA173" i="17"/>
  <c r="AA799" i="16"/>
  <c r="AG799" i="16" s="1"/>
  <c r="AA691" i="16"/>
  <c r="AA248" i="17"/>
  <c r="AA265" i="17"/>
  <c r="AA838" i="16"/>
  <c r="AG838" i="16" s="1"/>
  <c r="AA872" i="16"/>
  <c r="AG872" i="16" s="1"/>
  <c r="AA971" i="16"/>
  <c r="AG971" i="16" s="1"/>
  <c r="AA434" i="17"/>
  <c r="AA1020" i="16"/>
  <c r="AG1020" i="16" s="1"/>
  <c r="AA270" i="16"/>
  <c r="AG270" i="16" s="1"/>
  <c r="AA558" i="16"/>
  <c r="L558" i="21" s="1"/>
  <c r="O558" i="21" s="1"/>
  <c r="AA90" i="16"/>
  <c r="AG90" i="16" s="1"/>
  <c r="AA96" i="16"/>
  <c r="AG96" i="16" s="1"/>
  <c r="AA1210" i="16"/>
  <c r="AA432" i="16"/>
  <c r="AA89" i="16"/>
  <c r="L89" i="21" s="1"/>
  <c r="O89" i="21" s="1"/>
  <c r="AA185" i="16"/>
  <c r="AA184" i="16"/>
  <c r="AG184" i="16" s="1"/>
  <c r="AA1208" i="16"/>
  <c r="L1208" i="21" s="1"/>
  <c r="O1208" i="21" s="1"/>
  <c r="AA330" i="16"/>
  <c r="AG330" i="16" s="1"/>
  <c r="AA281" i="16"/>
  <c r="AG281" i="16" s="1"/>
  <c r="AA86" i="16"/>
  <c r="AA269" i="16"/>
  <c r="AG269" i="16" s="1"/>
  <c r="AA567" i="16"/>
  <c r="L660" i="21" s="1"/>
  <c r="AA186" i="17"/>
  <c r="AA784" i="16"/>
  <c r="AG784" i="16" s="1"/>
  <c r="AA368" i="16"/>
  <c r="AA75" i="16"/>
  <c r="AG75" i="16" s="1"/>
  <c r="AA286" i="16"/>
  <c r="AA294" i="16"/>
  <c r="L294" i="21" s="1"/>
  <c r="O294" i="21" s="1"/>
  <c r="AA287" i="16"/>
  <c r="AG287" i="16" s="1"/>
  <c r="AA1211" i="16"/>
  <c r="AG1211" i="16" s="1"/>
  <c r="AA804" i="16"/>
  <c r="AG804" i="16" s="1"/>
  <c r="AA370" i="17"/>
  <c r="AA996" i="16"/>
  <c r="AG996" i="16" s="1"/>
  <c r="AA998" i="16"/>
  <c r="AG998" i="16" s="1"/>
  <c r="AA273" i="16"/>
  <c r="AG273" i="16" s="1"/>
  <c r="AA194" i="16"/>
  <c r="AA87" i="16"/>
  <c r="AA363" i="16"/>
  <c r="AG363" i="16" s="1"/>
  <c r="AA189" i="16"/>
  <c r="AA77" i="16"/>
  <c r="L77" i="21" s="1"/>
  <c r="O77" i="21" s="1"/>
  <c r="AA360" i="16"/>
  <c r="AG360" i="16" s="1"/>
  <c r="AA445" i="16"/>
  <c r="AG445" i="16" s="1"/>
  <c r="AA191" i="17"/>
  <c r="AA791" i="16"/>
  <c r="AG791" i="16" s="1"/>
  <c r="AA187" i="16"/>
  <c r="AG187" i="16" s="1"/>
  <c r="AA82" i="16"/>
  <c r="AA435" i="16"/>
  <c r="L435" i="21" s="1"/>
  <c r="O435" i="21" s="1"/>
  <c r="AA452" i="16"/>
  <c r="AA367" i="16"/>
  <c r="AA1041" i="16"/>
  <c r="AG1041" i="16" s="1"/>
  <c r="AA833" i="16"/>
  <c r="AG833" i="16" s="1"/>
  <c r="AA381" i="17"/>
  <c r="AA355" i="17"/>
  <c r="AA1030" i="16"/>
  <c r="AG1030" i="16" s="1"/>
  <c r="AA557" i="16"/>
  <c r="AG557" i="16" s="1"/>
  <c r="AA290" i="16"/>
  <c r="AG290" i="16" s="1"/>
  <c r="AA278" i="16"/>
  <c r="AG278" i="16" s="1"/>
  <c r="AA461" i="16"/>
  <c r="L461" i="21" s="1"/>
  <c r="O461" i="21" s="1"/>
  <c r="AA279" i="16"/>
  <c r="AG279" i="16" s="1"/>
  <c r="AA161" i="16"/>
  <c r="AA444" i="16"/>
  <c r="AA442" i="16"/>
  <c r="AG442" i="16" s="1"/>
  <c r="AA768" i="16"/>
  <c r="AG768" i="16" s="1"/>
  <c r="AA197" i="17"/>
  <c r="AA782" i="16"/>
  <c r="AG782" i="16" s="1"/>
  <c r="AA457" i="16"/>
  <c r="AG457" i="16" s="1"/>
  <c r="AA272" i="16"/>
  <c r="AG272" i="16" s="1"/>
  <c r="AA549" i="16"/>
  <c r="AG549" i="16" s="1"/>
  <c r="AA561" i="16"/>
  <c r="AG561" i="16" s="1"/>
  <c r="AA454" i="16"/>
  <c r="AG454" i="16" s="1"/>
  <c r="AA260" i="17"/>
  <c r="AA842" i="16"/>
  <c r="AG842" i="16" s="1"/>
  <c r="AA866" i="16"/>
  <c r="AG866" i="16" s="1"/>
  <c r="AA869" i="16"/>
  <c r="AG869" i="16" s="1"/>
  <c r="AA1206" i="16"/>
  <c r="AA1003" i="16"/>
  <c r="AG1003" i="16" s="1"/>
  <c r="AA394" i="17"/>
  <c r="AA369" i="17"/>
  <c r="AA952" i="16"/>
  <c r="AG952" i="16" s="1"/>
  <c r="AA564" i="16"/>
  <c r="AG564" i="16" s="1"/>
  <c r="AA223" i="17"/>
  <c r="AA812" i="16"/>
  <c r="AG812" i="16" s="1"/>
  <c r="AA986" i="16"/>
  <c r="AG986" i="16" s="1"/>
  <c r="AA359" i="17"/>
  <c r="AA382" i="17"/>
  <c r="AA408" i="17"/>
  <c r="AA433" i="17"/>
  <c r="AA999" i="16"/>
  <c r="AG999" i="16" s="1"/>
  <c r="AA1032" i="16"/>
  <c r="AG1032" i="16" s="1"/>
  <c r="AA1013" i="16"/>
  <c r="AG1013" i="16" s="1"/>
  <c r="AA822" i="16"/>
  <c r="AG822" i="16" s="1"/>
  <c r="AA817" i="16"/>
  <c r="AG817" i="16" s="1"/>
  <c r="AA944" i="16"/>
  <c r="AG944" i="16" s="1"/>
  <c r="AA983" i="16"/>
  <c r="AG983" i="16" s="1"/>
  <c r="AA979" i="16"/>
  <c r="AG979" i="16" s="1"/>
  <c r="AA961" i="16"/>
  <c r="AG961" i="16" s="1"/>
  <c r="AA333" i="16"/>
  <c r="AA174" i="17"/>
  <c r="AA181" i="17"/>
  <c r="AA189" i="17"/>
  <c r="AA195" i="17"/>
  <c r="AA202" i="17"/>
  <c r="AA800" i="16"/>
  <c r="AG800" i="16" s="1"/>
  <c r="AA770" i="16"/>
  <c r="AG770" i="16" s="1"/>
  <c r="AA802" i="16"/>
  <c r="AG802" i="16" s="1"/>
  <c r="AA773" i="16"/>
  <c r="AG773" i="16" s="1"/>
  <c r="AA801" i="16"/>
  <c r="AG801" i="16" s="1"/>
  <c r="AA551" i="16"/>
  <c r="AA441" i="16"/>
  <c r="AA170" i="16"/>
  <c r="AA446" i="16"/>
  <c r="AG446" i="16" s="1"/>
  <c r="AA439" i="16"/>
  <c r="AG439" i="16" s="1"/>
  <c r="AA193" i="16"/>
  <c r="L193" i="21" s="1"/>
  <c r="O193" i="21" s="1"/>
  <c r="AA449" i="16"/>
  <c r="L449" i="21" s="1"/>
  <c r="O449" i="21" s="1"/>
  <c r="AA162" i="16"/>
  <c r="AA293" i="16"/>
  <c r="L293" i="21" s="1"/>
  <c r="O293" i="21" s="1"/>
  <c r="AA458" i="16"/>
  <c r="AG458" i="16" s="1"/>
  <c r="AA85" i="16"/>
  <c r="AA190" i="16"/>
  <c r="AA361" i="16"/>
  <c r="AA555" i="16"/>
  <c r="AA92" i="16"/>
  <c r="L92" i="21" s="1"/>
  <c r="O92" i="21" s="1"/>
  <c r="AA188" i="16"/>
  <c r="AG188" i="16" s="1"/>
  <c r="AA296" i="16"/>
  <c r="AG296" i="16" s="1"/>
  <c r="AA448" i="16"/>
  <c r="AG448" i="16" s="1"/>
  <c r="AA556" i="16"/>
  <c r="AA699" i="16"/>
  <c r="AA697" i="16"/>
  <c r="AG697" i="16" s="1"/>
  <c r="AA810" i="16"/>
  <c r="AG810" i="16" s="1"/>
  <c r="AA219" i="17"/>
  <c r="AA239" i="17"/>
  <c r="AA828" i="16"/>
  <c r="AG828" i="16" s="1"/>
  <c r="AA959" i="16"/>
  <c r="AG959" i="16" s="1"/>
  <c r="AA991" i="16"/>
  <c r="AG991" i="16" s="1"/>
  <c r="AA349" i="17"/>
  <c r="AA365" i="17"/>
  <c r="AA383" i="17"/>
  <c r="AA407" i="17"/>
  <c r="AA424" i="17"/>
  <c r="AA943" i="16"/>
  <c r="AG943" i="16" s="1"/>
  <c r="AA350" i="17"/>
  <c r="AA367" i="17"/>
  <c r="AA386" i="17"/>
  <c r="AA406" i="17"/>
  <c r="AA423" i="17"/>
  <c r="AA955" i="16"/>
  <c r="AG955" i="16" s="1"/>
  <c r="AA967" i="16"/>
  <c r="AG967" i="16" s="1"/>
  <c r="AA947" i="16"/>
  <c r="AG947" i="16" s="1"/>
  <c r="AA1000" i="16"/>
  <c r="AG1000" i="16" s="1"/>
  <c r="AA973" i="16"/>
  <c r="AG973" i="16" s="1"/>
  <c r="AA1029" i="16"/>
  <c r="AG1029" i="16" s="1"/>
  <c r="AA276" i="17"/>
  <c r="AA739" i="16"/>
  <c r="AG739" i="16" s="1"/>
  <c r="AA962" i="16"/>
  <c r="AG962" i="16" s="1"/>
  <c r="AA1010" i="16"/>
  <c r="AG1010" i="16" s="1"/>
  <c r="AA958" i="16"/>
  <c r="AG958" i="16" s="1"/>
  <c r="AA1016" i="16"/>
  <c r="AG1016" i="16" s="1"/>
  <c r="AA965" i="16"/>
  <c r="AG965" i="16" s="1"/>
  <c r="AA1005" i="16"/>
  <c r="AG1005" i="16" s="1"/>
  <c r="AA611" i="16"/>
  <c r="AG611" i="16" s="1"/>
  <c r="AA752" i="16"/>
  <c r="AG752" i="16" s="1"/>
  <c r="AA727" i="16"/>
  <c r="L727" i="21" s="1"/>
  <c r="O727" i="21" s="1"/>
  <c r="AA520" i="16"/>
  <c r="AA745" i="16"/>
  <c r="AG745" i="16" s="1"/>
  <c r="AA171" i="17"/>
  <c r="AA177" i="17"/>
  <c r="AA182" i="17"/>
  <c r="AA187" i="17"/>
  <c r="AA193" i="17"/>
  <c r="AA198" i="17"/>
  <c r="AA203" i="17"/>
  <c r="AA779" i="16"/>
  <c r="AG779" i="16" s="1"/>
  <c r="AA774" i="16"/>
  <c r="AG774" i="16" s="1"/>
  <c r="AA780" i="16"/>
  <c r="AG780" i="16" s="1"/>
  <c r="AA776" i="16"/>
  <c r="AG776" i="16" s="1"/>
  <c r="AA769" i="16"/>
  <c r="AG769" i="16" s="1"/>
  <c r="AA789" i="16"/>
  <c r="AG789" i="16" s="1"/>
  <c r="AA186" i="16"/>
  <c r="AG186" i="16" s="1"/>
  <c r="AA562" i="16"/>
  <c r="AA291" i="16"/>
  <c r="AG291" i="16" s="1"/>
  <c r="AA81" i="16"/>
  <c r="AA283" i="16"/>
  <c r="AG283" i="16" s="1"/>
  <c r="AA463" i="16"/>
  <c r="L463" i="21" s="1"/>
  <c r="O463" i="21" s="1"/>
  <c r="AA277" i="16"/>
  <c r="AG277" i="16" s="1"/>
  <c r="AA93" i="16"/>
  <c r="AG93" i="16" s="1"/>
  <c r="AA284" i="16"/>
  <c r="AA547" i="16"/>
  <c r="AA94" i="16"/>
  <c r="AG94" i="16" s="1"/>
  <c r="AA275" i="16"/>
  <c r="AG275" i="16" s="1"/>
  <c r="AA370" i="16"/>
  <c r="AG370" i="16" s="1"/>
  <c r="AA467" i="16"/>
  <c r="AG467" i="16" s="1"/>
  <c r="AA74" i="16"/>
  <c r="AG74" i="16" s="1"/>
  <c r="AA169" i="16"/>
  <c r="AA276" i="16"/>
  <c r="AA366" i="16"/>
  <c r="L366" i="21" s="1"/>
  <c r="O366" i="21" s="1"/>
  <c r="AA550" i="16"/>
  <c r="AG550" i="16" s="1"/>
  <c r="AA80" i="16"/>
  <c r="AG80" i="16" s="1"/>
  <c r="AA160" i="16"/>
  <c r="AG160" i="16" s="1"/>
  <c r="AA268" i="16"/>
  <c r="L268" i="21" s="1"/>
  <c r="O268" i="21" s="1"/>
  <c r="AA292" i="16"/>
  <c r="AG292" i="16" s="1"/>
  <c r="AA431" i="16"/>
  <c r="AG431" i="16" s="1"/>
  <c r="AA466" i="16"/>
  <c r="AG466" i="16" s="1"/>
  <c r="AA560" i="16"/>
  <c r="AG560" i="16" s="1"/>
  <c r="AA692" i="16"/>
  <c r="AG692" i="16" s="1"/>
  <c r="AA689" i="16"/>
  <c r="AA982" i="16"/>
  <c r="AG982" i="16" s="1"/>
  <c r="AA1012" i="16"/>
  <c r="AG1012" i="16" s="1"/>
  <c r="AA1035" i="16"/>
  <c r="AG1035" i="16" s="1"/>
  <c r="AA358" i="17"/>
  <c r="AA373" i="17"/>
  <c r="AA385" i="17"/>
  <c r="AA403" i="17"/>
  <c r="AA416" i="17"/>
  <c r="AA430" i="17"/>
  <c r="AA975" i="16"/>
  <c r="AG975" i="16" s="1"/>
  <c r="AA345" i="17"/>
  <c r="AA360" i="17"/>
  <c r="AA376" i="17"/>
  <c r="AA389" i="17"/>
  <c r="AA401" i="17"/>
  <c r="AA417" i="17"/>
  <c r="AA431" i="17"/>
  <c r="AA976" i="16"/>
  <c r="AG976" i="16" s="1"/>
  <c r="AA956" i="16"/>
  <c r="AG956" i="16" s="1"/>
  <c r="AA988" i="16"/>
  <c r="AG988" i="16" s="1"/>
  <c r="AA1026" i="16"/>
  <c r="AG1026" i="16" s="1"/>
  <c r="AA974" i="16"/>
  <c r="AG974" i="16" s="1"/>
  <c r="AA1011" i="16"/>
  <c r="AG1011" i="16" s="1"/>
  <c r="AA949" i="16"/>
  <c r="AG949" i="16" s="1"/>
  <c r="AA981" i="16"/>
  <c r="AG981" i="16" s="1"/>
  <c r="AA1009" i="16"/>
  <c r="AG1009" i="16" s="1"/>
  <c r="AA114" i="16"/>
  <c r="AG114" i="16" s="1"/>
  <c r="AA736" i="16"/>
  <c r="AG736" i="16" s="1"/>
  <c r="AA766" i="16"/>
  <c r="AG766" i="16" s="1"/>
  <c r="AA711" i="16"/>
  <c r="AA208" i="17"/>
  <c r="AA220" i="17"/>
  <c r="AA235" i="17"/>
  <c r="AA807" i="16"/>
  <c r="AG807" i="16" s="1"/>
  <c r="AA835" i="16"/>
  <c r="AG835" i="16" s="1"/>
  <c r="AA358" i="16"/>
  <c r="AA105" i="16"/>
  <c r="AA596" i="16"/>
  <c r="AA756" i="16"/>
  <c r="L756" i="21" s="1"/>
  <c r="O756" i="21" s="1"/>
  <c r="AA754" i="16"/>
  <c r="L754" i="21" s="1"/>
  <c r="O754" i="21" s="1"/>
  <c r="AA1113" i="16"/>
  <c r="L1113" i="21" s="1"/>
  <c r="O1113" i="21" s="1"/>
  <c r="AA352" i="16"/>
  <c r="L352" i="21" s="1"/>
  <c r="O352" i="21" s="1"/>
  <c r="AA393" i="16"/>
  <c r="AG393" i="16" s="1"/>
  <c r="AA180" i="16"/>
  <c r="AG180" i="16" s="1"/>
  <c r="AA610" i="16"/>
  <c r="AA198" i="16"/>
  <c r="L198" i="21" s="1"/>
  <c r="O198" i="21" s="1"/>
  <c r="AA173" i="16"/>
  <c r="AG173" i="16" s="1"/>
  <c r="AA174" i="16"/>
  <c r="AA100" i="16"/>
  <c r="AA609" i="16"/>
  <c r="AG609" i="16" s="1"/>
  <c r="AA730" i="16"/>
  <c r="AG730" i="16" s="1"/>
  <c r="AA747" i="16"/>
  <c r="AG747" i="16" s="1"/>
  <c r="AA760" i="16"/>
  <c r="L760" i="21" s="1"/>
  <c r="O760" i="21" s="1"/>
  <c r="AA753" i="16"/>
  <c r="AA720" i="16"/>
  <c r="L720" i="21" s="1"/>
  <c r="O720" i="21" s="1"/>
  <c r="AA1073" i="16"/>
  <c r="AG1073" i="16" s="1"/>
  <c r="AA344" i="16"/>
  <c r="AA603" i="16"/>
  <c r="AA386" i="16"/>
  <c r="AA535" i="16"/>
  <c r="AA384" i="16"/>
  <c r="AA351" i="16"/>
  <c r="AG351" i="16" s="1"/>
  <c r="AA728" i="16"/>
  <c r="AG728" i="16" s="1"/>
  <c r="AA746" i="16"/>
  <c r="L746" i="21" s="1"/>
  <c r="O746" i="21" s="1"/>
  <c r="AA738" i="16"/>
  <c r="AA741" i="16"/>
  <c r="AG741" i="16" s="1"/>
  <c r="AA891" i="16"/>
  <c r="AG891" i="16" s="1"/>
  <c r="AA703" i="16"/>
  <c r="L703" i="21" s="1"/>
  <c r="O703" i="21" s="1"/>
  <c r="AA300" i="17"/>
  <c r="AA1033" i="16"/>
  <c r="AG1033" i="16" s="1"/>
  <c r="AA1017" i="16"/>
  <c r="AG1017" i="16" s="1"/>
  <c r="AA1001" i="16"/>
  <c r="AG1001" i="16" s="1"/>
  <c r="AA985" i="16"/>
  <c r="AG985" i="16" s="1"/>
  <c r="AA969" i="16"/>
  <c r="AG969" i="16" s="1"/>
  <c r="AA953" i="16"/>
  <c r="AG953" i="16" s="1"/>
  <c r="AA1027" i="16"/>
  <c r="AG1027" i="16" s="1"/>
  <c r="AA1006" i="16"/>
  <c r="AG1006" i="16" s="1"/>
  <c r="AA984" i="16"/>
  <c r="AG984" i="16" s="1"/>
  <c r="AA963" i="16"/>
  <c r="AG963" i="16" s="1"/>
  <c r="AA942" i="16"/>
  <c r="AG942" i="16" s="1"/>
  <c r="AA1015" i="16"/>
  <c r="AG1015" i="16" s="1"/>
  <c r="AA994" i="16"/>
  <c r="AG994" i="16" s="1"/>
  <c r="AA972" i="16"/>
  <c r="AG972" i="16" s="1"/>
  <c r="AA951" i="16"/>
  <c r="AG951" i="16" s="1"/>
  <c r="AA1008" i="16"/>
  <c r="AG1008" i="16" s="1"/>
  <c r="AA966" i="16"/>
  <c r="AG966" i="16" s="1"/>
  <c r="AA435" i="17"/>
  <c r="AA427" i="17"/>
  <c r="AA419" i="17"/>
  <c r="AA410" i="17"/>
  <c r="AA402" i="17"/>
  <c r="AA395" i="17"/>
  <c r="AA388" i="17"/>
  <c r="AA380" i="17"/>
  <c r="AA372" i="17"/>
  <c r="AA364" i="17"/>
  <c r="AA357" i="17"/>
  <c r="AA347" i="17"/>
  <c r="AA1007" i="16"/>
  <c r="AG1007" i="16" s="1"/>
  <c r="AA964" i="16"/>
  <c r="AG964" i="16" s="1"/>
  <c r="AA436" i="17"/>
  <c r="AA428" i="17"/>
  <c r="AA420" i="17"/>
  <c r="AA412" i="17"/>
  <c r="AA405" i="17"/>
  <c r="AA396" i="17"/>
  <c r="AA387" i="17"/>
  <c r="AA379" i="17"/>
  <c r="AA371" i="17"/>
  <c r="AA363" i="17"/>
  <c r="AA354" i="17"/>
  <c r="AA348" i="17"/>
  <c r="AA992" i="16"/>
  <c r="AG992" i="16" s="1"/>
  <c r="AA1034" i="16"/>
  <c r="AG1034" i="16" s="1"/>
  <c r="AA948" i="16"/>
  <c r="AG948" i="16" s="1"/>
  <c r="AA960" i="16"/>
  <c r="AG960" i="16" s="1"/>
  <c r="AA172" i="17"/>
  <c r="AA176" i="17"/>
  <c r="AA180" i="17"/>
  <c r="AA184" i="17"/>
  <c r="AA188" i="17"/>
  <c r="AA192" i="17"/>
  <c r="AA196" i="17"/>
  <c r="AA200" i="17"/>
  <c r="AA204" i="17"/>
  <c r="AA788" i="16"/>
  <c r="AG788" i="16" s="1"/>
  <c r="AA783" i="16"/>
  <c r="AG783" i="16" s="1"/>
  <c r="AA795" i="16"/>
  <c r="AG795" i="16" s="1"/>
  <c r="AA786" i="16"/>
  <c r="AG786" i="16" s="1"/>
  <c r="AA771" i="16"/>
  <c r="AG771" i="16" s="1"/>
  <c r="AA792" i="16"/>
  <c r="AG792" i="16" s="1"/>
  <c r="AA777" i="16"/>
  <c r="AG777" i="16" s="1"/>
  <c r="AA793" i="16"/>
  <c r="AG793" i="16" s="1"/>
  <c r="AA165" i="16"/>
  <c r="AG165" i="16" s="1"/>
  <c r="AA455" i="16"/>
  <c r="AG455" i="16" s="1"/>
  <c r="AA166" i="16"/>
  <c r="AG166" i="16" s="1"/>
  <c r="AA369" i="16"/>
  <c r="AA563" i="16"/>
  <c r="AG563" i="16" s="1"/>
  <c r="AA191" i="16"/>
  <c r="AG191" i="16" s="1"/>
  <c r="AA362" i="16"/>
  <c r="AA546" i="16"/>
  <c r="AA97" i="16"/>
  <c r="AA98" i="16"/>
  <c r="AA171" i="16"/>
  <c r="L171" i="21" s="1"/>
  <c r="O171" i="21" s="1"/>
  <c r="AA297" i="16"/>
  <c r="L297" i="21" s="1"/>
  <c r="O297" i="21" s="1"/>
  <c r="AA464" i="16"/>
  <c r="AG464" i="16" s="1"/>
  <c r="AA83" i="16"/>
  <c r="AG83" i="16" s="1"/>
  <c r="AA167" i="16"/>
  <c r="AA280" i="16"/>
  <c r="AA365" i="16"/>
  <c r="AG365" i="16" s="1"/>
  <c r="AA451" i="16"/>
  <c r="AG451" i="16" s="1"/>
  <c r="AA554" i="16"/>
  <c r="AG554" i="16" s="1"/>
  <c r="AA79" i="16"/>
  <c r="AA163" i="16"/>
  <c r="AG163" i="16" s="1"/>
  <c r="AA195" i="16"/>
  <c r="L212" i="21" s="1"/>
  <c r="AA288" i="16"/>
  <c r="AA438" i="16"/>
  <c r="AA545" i="16"/>
  <c r="L545" i="21" s="1"/>
  <c r="O545" i="21" s="1"/>
  <c r="AA566" i="16"/>
  <c r="L566" i="21" s="1"/>
  <c r="O566" i="21" s="1"/>
  <c r="AA88" i="16"/>
  <c r="L88" i="21" s="1"/>
  <c r="O88" i="21" s="1"/>
  <c r="AA164" i="16"/>
  <c r="AG164" i="16" s="1"/>
  <c r="AA192" i="16"/>
  <c r="L192" i="21" s="1"/>
  <c r="O192" i="21" s="1"/>
  <c r="AA282" i="16"/>
  <c r="AG282" i="16" s="1"/>
  <c r="AA359" i="16"/>
  <c r="AA436" i="16"/>
  <c r="AA460" i="16"/>
  <c r="AG460" i="16" s="1"/>
  <c r="AA552" i="16"/>
  <c r="AG552" i="16" s="1"/>
  <c r="AA698" i="16"/>
  <c r="L698" i="21" s="1"/>
  <c r="O698" i="21" s="1"/>
  <c r="AA694" i="16"/>
  <c r="AA700" i="16"/>
  <c r="AG700" i="16" s="1"/>
  <c r="AA701" i="16"/>
  <c r="AG701" i="16" s="1"/>
  <c r="AA242" i="17"/>
  <c r="AA246" i="17"/>
  <c r="AA250" i="17"/>
  <c r="AA254" i="17"/>
  <c r="AA258" i="17"/>
  <c r="AA262" i="17"/>
  <c r="AA266" i="17"/>
  <c r="AA270" i="17"/>
  <c r="AA274" i="17"/>
  <c r="AA843" i="16"/>
  <c r="AG843" i="16" s="1"/>
  <c r="AA868" i="16"/>
  <c r="AG868" i="16" s="1"/>
  <c r="AA870" i="16"/>
  <c r="AG870" i="16" s="1"/>
  <c r="AA855" i="16"/>
  <c r="AG855" i="16" s="1"/>
  <c r="AA840" i="16"/>
  <c r="AG840" i="16" s="1"/>
  <c r="AA862" i="16"/>
  <c r="AG862" i="16" s="1"/>
  <c r="AA845" i="16"/>
  <c r="AG845" i="16" s="1"/>
  <c r="AA1046" i="16"/>
  <c r="AA1036" i="16"/>
  <c r="AA1043" i="16"/>
  <c r="AG1043" i="16" s="1"/>
  <c r="AA1045" i="16"/>
  <c r="AA1214" i="16"/>
  <c r="L1214" i="21" s="1"/>
  <c r="O1214" i="21" s="1"/>
  <c r="AA1212" i="16"/>
  <c r="AA1207" i="16"/>
  <c r="AG1207" i="16" s="1"/>
  <c r="AA928" i="16"/>
  <c r="L928" i="21" s="1"/>
  <c r="O928" i="21" s="1"/>
  <c r="AA330" i="17"/>
  <c r="AA323" i="17"/>
  <c r="AA329" i="17"/>
  <c r="AA924" i="16"/>
  <c r="L924" i="21" s="1"/>
  <c r="O924" i="21" s="1"/>
  <c r="AA925" i="16"/>
  <c r="L925" i="21" s="1"/>
  <c r="O925" i="21" s="1"/>
  <c r="AA207" i="17"/>
  <c r="AA215" i="17"/>
  <c r="AA227" i="17"/>
  <c r="AA236" i="17"/>
  <c r="AA836" i="16"/>
  <c r="AG836" i="16" s="1"/>
  <c r="AA814" i="16"/>
  <c r="AG814" i="16" s="1"/>
  <c r="AA1023" i="16"/>
  <c r="AG1023" i="16" s="1"/>
  <c r="AA970" i="16"/>
  <c r="AG970" i="16" s="1"/>
  <c r="AA950" i="16"/>
  <c r="AG950" i="16" s="1"/>
  <c r="AA346" i="17"/>
  <c r="AA356" i="17"/>
  <c r="AA368" i="17"/>
  <c r="AA377" i="17"/>
  <c r="AA390" i="17"/>
  <c r="AA400" i="17"/>
  <c r="AA411" i="17"/>
  <c r="AA422" i="17"/>
  <c r="AA432" i="17"/>
  <c r="AA954" i="16"/>
  <c r="AG954" i="16" s="1"/>
  <c r="AA1018" i="16"/>
  <c r="AG1018" i="16" s="1"/>
  <c r="AA353" i="17"/>
  <c r="AA362" i="17"/>
  <c r="AA374" i="17"/>
  <c r="AA384" i="17"/>
  <c r="AA393" i="17"/>
  <c r="AA404" i="17"/>
  <c r="AA415" i="17"/>
  <c r="AA425" i="17"/>
  <c r="AA437" i="17"/>
  <c r="AA987" i="16"/>
  <c r="AG987" i="16" s="1"/>
  <c r="AA946" i="16"/>
  <c r="AG946" i="16" s="1"/>
  <c r="AA978" i="16"/>
  <c r="AG978" i="16" s="1"/>
  <c r="AA1004" i="16"/>
  <c r="AG1004" i="16" s="1"/>
  <c r="AA1031" i="16"/>
  <c r="AG1031" i="16" s="1"/>
  <c r="AA968" i="16"/>
  <c r="AG968" i="16" s="1"/>
  <c r="AA995" i="16"/>
  <c r="AG995" i="16" s="1"/>
  <c r="AA1022" i="16"/>
  <c r="AG1022" i="16" s="1"/>
  <c r="AA957" i="16"/>
  <c r="AG957" i="16" s="1"/>
  <c r="AA977" i="16"/>
  <c r="AG977" i="16" s="1"/>
  <c r="AA997" i="16"/>
  <c r="AG997" i="16" s="1"/>
  <c r="AA1021" i="16"/>
  <c r="AG1021" i="16" s="1"/>
  <c r="AA608" i="16"/>
  <c r="AA123" i="16"/>
  <c r="AG123" i="16" s="1"/>
  <c r="AA197" i="16"/>
  <c r="AG197" i="16" s="1"/>
  <c r="AA347" i="16"/>
  <c r="AA594" i="16"/>
  <c r="L594" i="21" s="1"/>
  <c r="O594" i="21" s="1"/>
  <c r="AA205" i="16"/>
  <c r="AG205" i="16" s="1"/>
  <c r="AA511" i="16"/>
  <c r="AA106" i="16"/>
  <c r="AA356" i="16"/>
  <c r="AG356" i="16" s="1"/>
  <c r="AA612" i="16"/>
  <c r="L612" i="21" s="1"/>
  <c r="O612" i="21" s="1"/>
  <c r="AA331" i="16"/>
  <c r="AA751" i="16"/>
  <c r="AG751" i="16" s="1"/>
  <c r="AA744" i="16"/>
  <c r="AG744" i="16" s="1"/>
  <c r="AA740" i="16"/>
  <c r="AG740" i="16" s="1"/>
  <c r="AA748" i="16"/>
  <c r="AA729" i="16"/>
  <c r="AA1111" i="16"/>
  <c r="AG1111" i="16" s="1"/>
  <c r="AA1123" i="16"/>
  <c r="L1123" i="21" s="1"/>
  <c r="O1123" i="21" s="1"/>
  <c r="AA897" i="16"/>
  <c r="AG897" i="16" s="1"/>
  <c r="AA894" i="16"/>
  <c r="AG894" i="16" s="1"/>
  <c r="AA292" i="17"/>
  <c r="AA829" i="16"/>
  <c r="AG829" i="16" s="1"/>
  <c r="AA837" i="16"/>
  <c r="AG837" i="16" s="1"/>
  <c r="AA805" i="16"/>
  <c r="AG805" i="16" s="1"/>
  <c r="AA834" i="16"/>
  <c r="AG834" i="16" s="1"/>
  <c r="AA806" i="16"/>
  <c r="AG806" i="16" s="1"/>
  <c r="AA240" i="17"/>
  <c r="AA232" i="17"/>
  <c r="AA224" i="17"/>
  <c r="AA216" i="17"/>
  <c r="AA684" i="16"/>
  <c r="AG684" i="16" s="1"/>
  <c r="AA221" i="16"/>
  <c r="AG221" i="16" s="1"/>
  <c r="AA526" i="16"/>
  <c r="AA345" i="16"/>
  <c r="AG345" i="16" s="1"/>
  <c r="AA116" i="16"/>
  <c r="AG116" i="16" s="1"/>
  <c r="AA513" i="16"/>
  <c r="AG513" i="16" s="1"/>
  <c r="AA338" i="16"/>
  <c r="AG338" i="16" s="1"/>
  <c r="AA111" i="16"/>
  <c r="AA542" i="16"/>
  <c r="AA348" i="16"/>
  <c r="AG348" i="16" s="1"/>
  <c r="AA178" i="16"/>
  <c r="AG178" i="16" s="1"/>
  <c r="AA604" i="16"/>
  <c r="AA182" i="16"/>
  <c r="L182" i="21" s="1"/>
  <c r="O182" i="21" s="1"/>
  <c r="AA598" i="16"/>
  <c r="AG598" i="16" s="1"/>
  <c r="AA614" i="16"/>
  <c r="AA181" i="16"/>
  <c r="L181" i="21" s="1"/>
  <c r="O181" i="21" s="1"/>
  <c r="AA392" i="16"/>
  <c r="AG392" i="16" s="1"/>
  <c r="AA719" i="16"/>
  <c r="AG719" i="16" s="1"/>
  <c r="AA713" i="16"/>
  <c r="AG713" i="16" s="1"/>
  <c r="AA708" i="16"/>
  <c r="AG708" i="16" s="1"/>
  <c r="AA541" i="16"/>
  <c r="AG541" i="16" s="1"/>
  <c r="AA385" i="16"/>
  <c r="AG385" i="16" s="1"/>
  <c r="AA539" i="16"/>
  <c r="L539" i="21" s="1"/>
  <c r="O539" i="21" s="1"/>
  <c r="AA353" i="16"/>
  <c r="AG353" i="16" s="1"/>
  <c r="AA110" i="16"/>
  <c r="AG110" i="16" s="1"/>
  <c r="AA342" i="16"/>
  <c r="AG342" i="16" s="1"/>
  <c r="AA606" i="16"/>
  <c r="AA179" i="16"/>
  <c r="AG179" i="16" s="1"/>
  <c r="AA506" i="16"/>
  <c r="AG506" i="16" s="1"/>
  <c r="AA176" i="16"/>
  <c r="L176" i="21" s="1"/>
  <c r="O176" i="21" s="1"/>
  <c r="AA391" i="16"/>
  <c r="L391" i="21" s="1"/>
  <c r="O391" i="21" s="1"/>
  <c r="AA613" i="16"/>
  <c r="L613" i="21" s="1"/>
  <c r="O613" i="21" s="1"/>
  <c r="AA284" i="17"/>
  <c r="AA1131" i="16"/>
  <c r="L1131" i="21" s="1"/>
  <c r="O1131" i="21" s="1"/>
  <c r="AA334" i="17"/>
  <c r="AA707" i="16"/>
  <c r="AG707" i="16" s="1"/>
  <c r="AA320" i="17"/>
  <c r="AA1135" i="16"/>
  <c r="L1135" i="21" s="1"/>
  <c r="O1135" i="21" s="1"/>
  <c r="AA757" i="16"/>
  <c r="L757" i="21" s="1"/>
  <c r="O757" i="21" s="1"/>
  <c r="AA737" i="16"/>
  <c r="AG737" i="16" s="1"/>
  <c r="AA759" i="16"/>
  <c r="AG759" i="16" s="1"/>
  <c r="AA732" i="16"/>
  <c r="AG732" i="16" s="1"/>
  <c r="AA734" i="16"/>
  <c r="AG734" i="16" s="1"/>
  <c r="AA758" i="16"/>
  <c r="AG758" i="16" s="1"/>
  <c r="AA742" i="16"/>
  <c r="AA767" i="16"/>
  <c r="AA536" i="16"/>
  <c r="AG536" i="16" s="1"/>
  <c r="AA112" i="16"/>
  <c r="AG112" i="16" s="1"/>
  <c r="AA204" i="16"/>
  <c r="AA387" i="16"/>
  <c r="AG387" i="16" s="1"/>
  <c r="AA593" i="16"/>
  <c r="AG593" i="16" s="1"/>
  <c r="AA735" i="16"/>
  <c r="L735" i="21" s="1"/>
  <c r="O735" i="21" s="1"/>
  <c r="AA170" i="17"/>
  <c r="AA750" i="16"/>
  <c r="AG750" i="16" s="1"/>
  <c r="AA731" i="16"/>
  <c r="L731" i="21" s="1"/>
  <c r="O731" i="21" s="1"/>
  <c r="AA762" i="16"/>
  <c r="AG762" i="16" s="1"/>
  <c r="AA755" i="16"/>
  <c r="AG755" i="16" s="1"/>
  <c r="AA743" i="16"/>
  <c r="L743" i="21" s="1"/>
  <c r="O743" i="21" s="1"/>
  <c r="AA764" i="16"/>
  <c r="AA733" i="16"/>
  <c r="AG733" i="16" s="1"/>
  <c r="AA749" i="16"/>
  <c r="AG749" i="16" s="1"/>
  <c r="AA765" i="16"/>
  <c r="L765" i="21" s="1"/>
  <c r="O765" i="21" s="1"/>
  <c r="AA286" i="17"/>
  <c r="AA302" i="17"/>
  <c r="AA876" i="16"/>
  <c r="AG876" i="16" s="1"/>
  <c r="AA1140" i="16"/>
  <c r="AG1140" i="16" s="1"/>
  <c r="AA1143" i="16"/>
  <c r="AG1143" i="16" s="1"/>
  <c r="AA1137" i="16"/>
  <c r="AG1137" i="16" s="1"/>
  <c r="AA715" i="16"/>
  <c r="AG715" i="16" s="1"/>
  <c r="AA717" i="16"/>
  <c r="AA704" i="16"/>
  <c r="L704" i="21" s="1"/>
  <c r="O704" i="21" s="1"/>
  <c r="AA1063" i="16"/>
  <c r="AG1063" i="16" s="1"/>
  <c r="AA621" i="16"/>
  <c r="AG621" i="16" s="1"/>
  <c r="AA164" i="17"/>
  <c r="AA278" i="17"/>
  <c r="AA294" i="17"/>
  <c r="AA895" i="16"/>
  <c r="AG895" i="16" s="1"/>
  <c r="AA877" i="16"/>
  <c r="AG877" i="16" s="1"/>
  <c r="AA1188" i="16"/>
  <c r="L1188" i="21" s="1"/>
  <c r="O1188" i="21" s="1"/>
  <c r="AA1150" i="16"/>
  <c r="AG1150" i="16" s="1"/>
  <c r="AA335" i="17"/>
  <c r="AA914" i="16"/>
  <c r="L914" i="21" s="1"/>
  <c r="O914" i="21" s="1"/>
  <c r="AA686" i="16"/>
  <c r="AG686" i="16" s="1"/>
  <c r="AA832" i="16"/>
  <c r="AG832" i="16" s="1"/>
  <c r="AA209" i="17"/>
  <c r="AA213" i="17"/>
  <c r="AA217" i="17"/>
  <c r="AA221" i="17"/>
  <c r="AA225" i="17"/>
  <c r="AA229" i="17"/>
  <c r="AA233" i="17"/>
  <c r="AA237" i="17"/>
  <c r="AA820" i="16"/>
  <c r="AG820" i="16" s="1"/>
  <c r="AA815" i="16"/>
  <c r="AG815" i="16" s="1"/>
  <c r="AA816" i="16"/>
  <c r="AG816" i="16" s="1"/>
  <c r="AA818" i="16"/>
  <c r="AG818" i="16" s="1"/>
  <c r="AA803" i="16"/>
  <c r="AG803" i="16" s="1"/>
  <c r="AA824" i="16"/>
  <c r="AG824" i="16" s="1"/>
  <c r="AA809" i="16"/>
  <c r="AG809" i="16" s="1"/>
  <c r="AA825" i="16"/>
  <c r="AG825" i="16" s="1"/>
  <c r="AA107" i="16"/>
  <c r="AA390" i="16"/>
  <c r="L390" i="21" s="1"/>
  <c r="O390" i="21" s="1"/>
  <c r="AA109" i="16"/>
  <c r="AG109" i="16" s="1"/>
  <c r="AA510" i="16"/>
  <c r="AG510" i="16" s="1"/>
  <c r="AA102" i="16"/>
  <c r="AG102" i="16" s="1"/>
  <c r="AA202" i="16"/>
  <c r="AA516" i="16"/>
  <c r="L516" i="21" s="1"/>
  <c r="O516" i="21" s="1"/>
  <c r="AA118" i="16"/>
  <c r="L118" i="21" s="1"/>
  <c r="O118" i="21" s="1"/>
  <c r="AA357" i="16"/>
  <c r="L357" i="21" s="1"/>
  <c r="O357" i="21" s="1"/>
  <c r="AA119" i="16"/>
  <c r="L119" i="21" s="1"/>
  <c r="O119" i="21" s="1"/>
  <c r="AA599" i="16"/>
  <c r="L599" i="21" s="1"/>
  <c r="O599" i="21" s="1"/>
  <c r="AA203" i="16"/>
  <c r="AG203" i="16" s="1"/>
  <c r="AA517" i="16"/>
  <c r="AA615" i="16"/>
  <c r="AG615" i="16" s="1"/>
  <c r="AA115" i="16"/>
  <c r="L115" i="21" s="1"/>
  <c r="O115" i="21" s="1"/>
  <c r="AA183" i="16"/>
  <c r="AG183" i="16" s="1"/>
  <c r="AA329" i="16"/>
  <c r="AA354" i="16"/>
  <c r="AG354" i="16" s="1"/>
  <c r="AA519" i="16"/>
  <c r="L519" i="21" s="1"/>
  <c r="O519" i="21" s="1"/>
  <c r="AA595" i="16"/>
  <c r="AG595" i="16" s="1"/>
  <c r="AA616" i="16"/>
  <c r="AG616" i="16" s="1"/>
  <c r="AA117" i="16"/>
  <c r="AG117" i="16" s="1"/>
  <c r="AA201" i="16"/>
  <c r="L201" i="21" s="1"/>
  <c r="O201" i="21" s="1"/>
  <c r="AA343" i="16"/>
  <c r="AG343" i="16" s="1"/>
  <c r="AA389" i="16"/>
  <c r="AA521" i="16"/>
  <c r="AG521" i="16" s="1"/>
  <c r="AA602" i="16"/>
  <c r="L602" i="21" s="1"/>
  <c r="O602" i="21" s="1"/>
  <c r="AA104" i="16"/>
  <c r="L104" i="21" s="1"/>
  <c r="O104" i="21" s="1"/>
  <c r="AA120" i="16"/>
  <c r="AA196" i="16"/>
  <c r="L196" i="21" s="1"/>
  <c r="O196" i="21" s="1"/>
  <c r="AA337" i="16"/>
  <c r="L337" i="21" s="1"/>
  <c r="O337" i="21" s="1"/>
  <c r="AA355" i="16"/>
  <c r="L355" i="21" s="1"/>
  <c r="O355" i="21" s="1"/>
  <c r="AA509" i="16"/>
  <c r="AG509" i="16" s="1"/>
  <c r="AA532" i="16"/>
  <c r="AG532" i="16" s="1"/>
  <c r="AA601" i="16"/>
  <c r="L601" i="21" s="1"/>
  <c r="O601" i="21" s="1"/>
  <c r="AA280" i="17"/>
  <c r="AA288" i="17"/>
  <c r="AA296" i="17"/>
  <c r="AA304" i="17"/>
  <c r="AA879" i="16"/>
  <c r="AG879" i="16" s="1"/>
  <c r="AA887" i="16"/>
  <c r="AG887" i="16" s="1"/>
  <c r="AA893" i="16"/>
  <c r="AG893" i="16" s="1"/>
  <c r="AA1172" i="16"/>
  <c r="AG1172" i="16" s="1"/>
  <c r="AA1136" i="16"/>
  <c r="AG1136" i="16" s="1"/>
  <c r="AA1170" i="16"/>
  <c r="AA1176" i="16"/>
  <c r="L1176" i="21" s="1"/>
  <c r="O1176" i="21" s="1"/>
  <c r="AA1157" i="16"/>
  <c r="AG1157" i="16" s="1"/>
  <c r="AA940" i="16"/>
  <c r="AG940" i="16" s="1"/>
  <c r="AA718" i="16"/>
  <c r="AA716" i="16"/>
  <c r="AG716" i="16" s="1"/>
  <c r="AA721" i="16"/>
  <c r="L721" i="21" s="1"/>
  <c r="O721" i="21" s="1"/>
  <c r="AA702" i="16"/>
  <c r="AG702" i="16" s="1"/>
  <c r="AA710" i="16"/>
  <c r="AA705" i="16"/>
  <c r="AG705" i="16" s="1"/>
  <c r="AA310" i="17"/>
  <c r="AA917" i="16"/>
  <c r="AG917" i="16" s="1"/>
  <c r="AA643" i="16"/>
  <c r="AG643" i="16" s="1"/>
  <c r="AA229" i="16"/>
  <c r="AG229" i="16" s="1"/>
  <c r="AA206" i="17"/>
  <c r="AA210" i="17"/>
  <c r="AA214" i="17"/>
  <c r="AA218" i="17"/>
  <c r="AA222" i="17"/>
  <c r="AA226" i="17"/>
  <c r="AA230" i="17"/>
  <c r="AA234" i="17"/>
  <c r="AA238" i="17"/>
  <c r="AA831" i="16"/>
  <c r="AG831" i="16" s="1"/>
  <c r="AA826" i="16"/>
  <c r="AG826" i="16" s="1"/>
  <c r="AA827" i="16"/>
  <c r="AG827" i="16" s="1"/>
  <c r="AA823" i="16"/>
  <c r="AG823" i="16" s="1"/>
  <c r="AA808" i="16"/>
  <c r="AG808" i="16" s="1"/>
  <c r="AA830" i="16"/>
  <c r="AG830" i="16" s="1"/>
  <c r="AA813" i="16"/>
  <c r="AG813" i="16" s="1"/>
  <c r="AA207" i="16"/>
  <c r="L220" i="21" s="1"/>
  <c r="AA523" i="16"/>
  <c r="AG523" i="16" s="1"/>
  <c r="AA334" i="16"/>
  <c r="AG334" i="16" s="1"/>
  <c r="AA524" i="16"/>
  <c r="L524" i="21" s="1"/>
  <c r="O524" i="21" s="1"/>
  <c r="AA113" i="16"/>
  <c r="AG113" i="16" s="1"/>
  <c r="AA339" i="16"/>
  <c r="L339" i="21" s="1"/>
  <c r="O339" i="21" s="1"/>
  <c r="AA530" i="16"/>
  <c r="L530" i="21" s="1"/>
  <c r="O530" i="21" s="1"/>
  <c r="AA175" i="16"/>
  <c r="AA507" i="16"/>
  <c r="L507" i="21" s="1"/>
  <c r="O507" i="21" s="1"/>
  <c r="AA177" i="16"/>
  <c r="AG177" i="16" s="1"/>
  <c r="AA103" i="16"/>
  <c r="AG103" i="16" s="1"/>
  <c r="AA340" i="16"/>
  <c r="AA533" i="16"/>
  <c r="L533" i="21" s="1"/>
  <c r="O533" i="21" s="1"/>
  <c r="AA99" i="16"/>
  <c r="AG99" i="16" s="1"/>
  <c r="AA121" i="16"/>
  <c r="AA199" i="16"/>
  <c r="AG199" i="16" s="1"/>
  <c r="AA336" i="16"/>
  <c r="AG336" i="16" s="1"/>
  <c r="AA388" i="16"/>
  <c r="L388" i="21" s="1"/>
  <c r="O388" i="21" s="1"/>
  <c r="AA527" i="16"/>
  <c r="AA600" i="16"/>
  <c r="AA101" i="16"/>
  <c r="L101" i="21" s="1"/>
  <c r="O101" i="21" s="1"/>
  <c r="AA122" i="16"/>
  <c r="L122" i="21" s="1"/>
  <c r="O122" i="21" s="1"/>
  <c r="AA206" i="16"/>
  <c r="AA349" i="16"/>
  <c r="AA394" i="16"/>
  <c r="L394" i="21" s="1"/>
  <c r="O394" i="21" s="1"/>
  <c r="AA529" i="16"/>
  <c r="AG529" i="16" s="1"/>
  <c r="AA607" i="16"/>
  <c r="L607" i="21" s="1"/>
  <c r="O607" i="21" s="1"/>
  <c r="AA108" i="16"/>
  <c r="AG108" i="16" s="1"/>
  <c r="AA172" i="16"/>
  <c r="L172" i="21" s="1"/>
  <c r="O172" i="21" s="1"/>
  <c r="AA200" i="16"/>
  <c r="L200" i="21" s="1"/>
  <c r="O200" i="21" s="1"/>
  <c r="AA341" i="16"/>
  <c r="L341" i="21" s="1"/>
  <c r="O341" i="21" s="1"/>
  <c r="AA383" i="16"/>
  <c r="AA514" i="16"/>
  <c r="AG514" i="16" s="1"/>
  <c r="AA538" i="16"/>
  <c r="AG538" i="16" s="1"/>
  <c r="AA605" i="16"/>
  <c r="AA875" i="16"/>
  <c r="AG875" i="16" s="1"/>
  <c r="AA282" i="17"/>
  <c r="AA290" i="17"/>
  <c r="AA298" i="17"/>
  <c r="AA306" i="17"/>
  <c r="AA900" i="16"/>
  <c r="AG900" i="16" s="1"/>
  <c r="AA903" i="16"/>
  <c r="AG903" i="16" s="1"/>
  <c r="AA1108" i="16"/>
  <c r="AA1082" i="16"/>
  <c r="AA1084" i="16"/>
  <c r="L1084" i="21" s="1"/>
  <c r="O1084" i="21" s="1"/>
  <c r="AA1091" i="16"/>
  <c r="AG1091" i="16" s="1"/>
  <c r="AA1093" i="16"/>
  <c r="AG1093" i="16" s="1"/>
  <c r="AA1177" i="16"/>
  <c r="AA723" i="16"/>
  <c r="AG723" i="16" s="1"/>
  <c r="AA724" i="16"/>
  <c r="AG724" i="16" s="1"/>
  <c r="AA722" i="16"/>
  <c r="AA725" i="16"/>
  <c r="AA714" i="16"/>
  <c r="AG714" i="16" s="1"/>
  <c r="AA706" i="16"/>
  <c r="AG706" i="16" s="1"/>
  <c r="AA709" i="16"/>
  <c r="L709" i="21" s="1"/>
  <c r="O709" i="21" s="1"/>
  <c r="AA315" i="17"/>
  <c r="AA687" i="16"/>
  <c r="AG687" i="16" s="1"/>
  <c r="AA127" i="17"/>
  <c r="AA896" i="16"/>
  <c r="AG896" i="16" s="1"/>
  <c r="AA279" i="17"/>
  <c r="AA283" i="17"/>
  <c r="AA287" i="17"/>
  <c r="AA291" i="17"/>
  <c r="AA295" i="17"/>
  <c r="AA299" i="17"/>
  <c r="AA303" i="17"/>
  <c r="AA307" i="17"/>
  <c r="AA886" i="16"/>
  <c r="AG886" i="16" s="1"/>
  <c r="AA880" i="16"/>
  <c r="AG880" i="16" s="1"/>
  <c r="AA882" i="16"/>
  <c r="AG882" i="16" s="1"/>
  <c r="AA883" i="16"/>
  <c r="AG883" i="16" s="1"/>
  <c r="AA885" i="16"/>
  <c r="AG885" i="16" s="1"/>
  <c r="AA1088" i="16"/>
  <c r="AG1088" i="16" s="1"/>
  <c r="AA1087" i="16"/>
  <c r="AG1087" i="16" s="1"/>
  <c r="AA1103" i="16"/>
  <c r="AG1103" i="16" s="1"/>
  <c r="AA1104" i="16"/>
  <c r="AA1100" i="16"/>
  <c r="AG1100" i="16" s="1"/>
  <c r="AA1154" i="16"/>
  <c r="AG1154" i="16" s="1"/>
  <c r="AA1107" i="16"/>
  <c r="AG1107" i="16" s="1"/>
  <c r="AA1166" i="16"/>
  <c r="AG1166" i="16" s="1"/>
  <c r="AA1105" i="16"/>
  <c r="L1105" i="21" s="1"/>
  <c r="O1105" i="21" s="1"/>
  <c r="AA1145" i="16"/>
  <c r="AG1145" i="16" s="1"/>
  <c r="AA1189" i="16"/>
  <c r="L1201" i="21" s="1"/>
  <c r="AA343" i="17"/>
  <c r="AA312" i="17"/>
  <c r="AA319" i="17"/>
  <c r="AA1072" i="16"/>
  <c r="AA664" i="16"/>
  <c r="AG664" i="16" s="1"/>
  <c r="AA647" i="16"/>
  <c r="AG647" i="16" s="1"/>
  <c r="AA159" i="17"/>
  <c r="AA677" i="16"/>
  <c r="AG677" i="16" s="1"/>
  <c r="AA688" i="16"/>
  <c r="AG688" i="16" s="1"/>
  <c r="AA874" i="16"/>
  <c r="AG874" i="16" s="1"/>
  <c r="AA277" i="17"/>
  <c r="AA281" i="17"/>
  <c r="AA285" i="17"/>
  <c r="AA289" i="17"/>
  <c r="AA293" i="17"/>
  <c r="AA297" i="17"/>
  <c r="AA301" i="17"/>
  <c r="AA305" i="17"/>
  <c r="AA884" i="16"/>
  <c r="AG884" i="16" s="1"/>
  <c r="AA890" i="16"/>
  <c r="AG890" i="16" s="1"/>
  <c r="AA902" i="16"/>
  <c r="AG902" i="16" s="1"/>
  <c r="AA892" i="16"/>
  <c r="AG892" i="16" s="1"/>
  <c r="AA904" i="16"/>
  <c r="AG904" i="16" s="1"/>
  <c r="AA901" i="16"/>
  <c r="AG901" i="16" s="1"/>
  <c r="AA1174" i="16"/>
  <c r="AA1142" i="16"/>
  <c r="AG1142" i="16" s="1"/>
  <c r="AA1167" i="16"/>
  <c r="L1167" i="21" s="1"/>
  <c r="O1167" i="21" s="1"/>
  <c r="AA1158" i="16"/>
  <c r="AG1158" i="16" s="1"/>
  <c r="AA1127" i="16"/>
  <c r="AG1127" i="16" s="1"/>
  <c r="AA1186" i="16"/>
  <c r="AG1186" i="16" s="1"/>
  <c r="AA1134" i="16"/>
  <c r="AG1134" i="16" s="1"/>
  <c r="AA1081" i="16"/>
  <c r="L1081" i="21" s="1"/>
  <c r="O1081" i="21" s="1"/>
  <c r="AA1125" i="16"/>
  <c r="AA1169" i="16"/>
  <c r="AG1169" i="16" s="1"/>
  <c r="AA342" i="17"/>
  <c r="AA941" i="16"/>
  <c r="L941" i="21" s="1"/>
  <c r="O941" i="21" s="1"/>
  <c r="AA1061" i="16"/>
  <c r="AA907" i="16"/>
  <c r="L907" i="21" s="1"/>
  <c r="O907" i="21" s="1"/>
  <c r="AA915" i="16"/>
  <c r="AG915" i="16" s="1"/>
  <c r="AA42" i="17"/>
  <c r="AA130" i="17"/>
  <c r="AA650" i="16"/>
  <c r="AG650" i="16" s="1"/>
  <c r="AA224" i="16"/>
  <c r="AG224" i="16" s="1"/>
  <c r="AA55" i="17"/>
  <c r="AA898" i="16"/>
  <c r="AG898" i="16" s="1"/>
  <c r="AA888" i="16"/>
  <c r="AG888" i="16" s="1"/>
  <c r="AA873" i="16"/>
  <c r="AG873" i="16" s="1"/>
  <c r="AA889" i="16"/>
  <c r="AG889" i="16" s="1"/>
  <c r="AA905" i="16"/>
  <c r="AG905" i="16" s="1"/>
  <c r="AA1110" i="16"/>
  <c r="AG1110" i="16" s="1"/>
  <c r="AA1119" i="16"/>
  <c r="AG1119" i="16" s="1"/>
  <c r="AA1130" i="16"/>
  <c r="L1130" i="21" s="1"/>
  <c r="O1130" i="21" s="1"/>
  <c r="AA1163" i="16"/>
  <c r="L1163" i="21" s="1"/>
  <c r="O1163" i="21" s="1"/>
  <c r="AA1124" i="16"/>
  <c r="L1124" i="21" s="1"/>
  <c r="O1124" i="21" s="1"/>
  <c r="AA1178" i="16"/>
  <c r="AG1178" i="16" s="1"/>
  <c r="AA1115" i="16"/>
  <c r="L1115" i="21" s="1"/>
  <c r="O1115" i="21" s="1"/>
  <c r="AA1179" i="16"/>
  <c r="AA1106" i="16"/>
  <c r="AG1106" i="16" s="1"/>
  <c r="AA1132" i="16"/>
  <c r="L1132" i="21" s="1"/>
  <c r="O1132" i="21" s="1"/>
  <c r="AA1164" i="16"/>
  <c r="L1164" i="21" s="1"/>
  <c r="O1164" i="21" s="1"/>
  <c r="AA1086" i="16"/>
  <c r="AG1086" i="16" s="1"/>
  <c r="AA1112" i="16"/>
  <c r="L1112" i="21" s="1"/>
  <c r="O1112" i="21" s="1"/>
  <c r="AA1144" i="16"/>
  <c r="L1144" i="21" s="1"/>
  <c r="O1144" i="21" s="1"/>
  <c r="AA1171" i="16"/>
  <c r="AA1089" i="16"/>
  <c r="AA1109" i="16"/>
  <c r="AG1109" i="16" s="1"/>
  <c r="AA1129" i="16"/>
  <c r="AG1129" i="16" s="1"/>
  <c r="AA1153" i="16"/>
  <c r="AA1173" i="16"/>
  <c r="L1173" i="21" s="1"/>
  <c r="O1173" i="21" s="1"/>
  <c r="AA939" i="16"/>
  <c r="AG939" i="16" s="1"/>
  <c r="AA932" i="16"/>
  <c r="L932" i="21" s="1"/>
  <c r="O932" i="21" s="1"/>
  <c r="AA930" i="16"/>
  <c r="L930" i="21" s="1"/>
  <c r="O930" i="21" s="1"/>
  <c r="AA1059" i="16"/>
  <c r="AG1059" i="16" s="1"/>
  <c r="AA311" i="17"/>
  <c r="AA316" i="17"/>
  <c r="AA317" i="17"/>
  <c r="AA910" i="16"/>
  <c r="AG910" i="16" s="1"/>
  <c r="AA1076" i="16"/>
  <c r="AG1076" i="16" s="1"/>
  <c r="AA134" i="17"/>
  <c r="AA47" i="17"/>
  <c r="AA445" i="17"/>
  <c r="AA126" i="17"/>
  <c r="AA131" i="17"/>
  <c r="AA132" i="17"/>
  <c r="AA223" i="16"/>
  <c r="AG223" i="16" s="1"/>
  <c r="AA641" i="16"/>
  <c r="AG641" i="16" s="1"/>
  <c r="AA51" i="17"/>
  <c r="AA652" i="16"/>
  <c r="AG652" i="16" s="1"/>
  <c r="AA878" i="16"/>
  <c r="AG878" i="16" s="1"/>
  <c r="AA899" i="16"/>
  <c r="AG899" i="16" s="1"/>
  <c r="AA881" i="16"/>
  <c r="AG881" i="16" s="1"/>
  <c r="AA1151" i="16"/>
  <c r="AG1151" i="16" s="1"/>
  <c r="AA1152" i="16"/>
  <c r="AG1152" i="16" s="1"/>
  <c r="AA1162" i="16"/>
  <c r="L1162" i="21" s="1"/>
  <c r="O1162" i="21" s="1"/>
  <c r="AA1120" i="16"/>
  <c r="L1120" i="21" s="1"/>
  <c r="O1120" i="21" s="1"/>
  <c r="AA1092" i="16"/>
  <c r="AA1146" i="16"/>
  <c r="AA1094" i="16"/>
  <c r="AG1094" i="16" s="1"/>
  <c r="AA1147" i="16"/>
  <c r="AG1147" i="16" s="1"/>
  <c r="AA1090" i="16"/>
  <c r="L1090" i="21" s="1"/>
  <c r="O1090" i="21" s="1"/>
  <c r="AA1122" i="16"/>
  <c r="L1122" i="21" s="1"/>
  <c r="O1122" i="21" s="1"/>
  <c r="AA1148" i="16"/>
  <c r="AG1148" i="16" s="1"/>
  <c r="AA1175" i="16"/>
  <c r="L1175" i="21" s="1"/>
  <c r="O1175" i="21" s="1"/>
  <c r="AA1102" i="16"/>
  <c r="AG1102" i="16" s="1"/>
  <c r="AA1128" i="16"/>
  <c r="AA1155" i="16"/>
  <c r="L1155" i="21" s="1"/>
  <c r="O1155" i="21" s="1"/>
  <c r="AA1187" i="16"/>
  <c r="L1187" i="21" s="1"/>
  <c r="O1187" i="21" s="1"/>
  <c r="AA1097" i="16"/>
  <c r="AA1121" i="16"/>
  <c r="L1121" i="21" s="1"/>
  <c r="O1121" i="21" s="1"/>
  <c r="AA1141" i="16"/>
  <c r="AG1141" i="16" s="1"/>
  <c r="AA1161" i="16"/>
  <c r="L1161" i="21" s="1"/>
  <c r="O1161" i="21" s="1"/>
  <c r="AA1185" i="16"/>
  <c r="AA338" i="17"/>
  <c r="AA339" i="17"/>
  <c r="AA933" i="16"/>
  <c r="AG933" i="16" s="1"/>
  <c r="AA1051" i="16"/>
  <c r="L1051" i="21" s="1"/>
  <c r="O1051" i="21" s="1"/>
  <c r="AA916" i="16"/>
  <c r="AG916" i="16" s="1"/>
  <c r="AA314" i="17"/>
  <c r="AA318" i="17"/>
  <c r="AA912" i="16"/>
  <c r="L912" i="21" s="1"/>
  <c r="O912" i="21" s="1"/>
  <c r="AA913" i="16"/>
  <c r="AA1070" i="16"/>
  <c r="L1070" i="21" s="1"/>
  <c r="O1070" i="21" s="1"/>
  <c r="AA144" i="17"/>
  <c r="AA439" i="17"/>
  <c r="AA161" i="17"/>
  <c r="AA679" i="16"/>
  <c r="AG679" i="16" s="1"/>
  <c r="AA678" i="16"/>
  <c r="AG678" i="16" s="1"/>
  <c r="AA167" i="17"/>
  <c r="AA228" i="16"/>
  <c r="AG228" i="16" s="1"/>
  <c r="AA685" i="16"/>
  <c r="AG685" i="16" s="1"/>
  <c r="AA59" i="17"/>
  <c r="AA41" i="17"/>
  <c r="AA44" i="17"/>
  <c r="AA213" i="16"/>
  <c r="AG213" i="16" s="1"/>
  <c r="AA143" i="17"/>
  <c r="AA145" i="17"/>
  <c r="AA336" i="17"/>
  <c r="AA344" i="17"/>
  <c r="AA337" i="17"/>
  <c r="AA934" i="16"/>
  <c r="AG934" i="16" s="1"/>
  <c r="AA931" i="16"/>
  <c r="L931" i="21" s="1"/>
  <c r="O931" i="21" s="1"/>
  <c r="AA1062" i="16"/>
  <c r="L1062" i="21" s="1"/>
  <c r="O1062" i="21" s="1"/>
  <c r="AA1057" i="16"/>
  <c r="AG1057" i="16" s="1"/>
  <c r="AA1066" i="16"/>
  <c r="AG1066" i="16" s="1"/>
  <c r="AA1079" i="16"/>
  <c r="L1079" i="21" s="1"/>
  <c r="O1079" i="21" s="1"/>
  <c r="AA1077" i="16"/>
  <c r="AG1077" i="16" s="1"/>
  <c r="AA655" i="16"/>
  <c r="AG655" i="16" s="1"/>
  <c r="AA102" i="17"/>
  <c r="AA217" i="16"/>
  <c r="AG217" i="16" s="1"/>
  <c r="AA38" i="17"/>
  <c r="AA624" i="16"/>
  <c r="AG624" i="16" s="1"/>
  <c r="AA444" i="17"/>
  <c r="AA1201" i="16"/>
  <c r="AG1201" i="16" s="1"/>
  <c r="AA682" i="16"/>
  <c r="AG682" i="16" s="1"/>
  <c r="AA125" i="17"/>
  <c r="AA938" i="16"/>
  <c r="L938" i="21" s="1"/>
  <c r="O938" i="21" s="1"/>
  <c r="AA340" i="17"/>
  <c r="AA333" i="17"/>
  <c r="AA341" i="17"/>
  <c r="AA935" i="16"/>
  <c r="AG935" i="16" s="1"/>
  <c r="AA937" i="16"/>
  <c r="AG937" i="16" s="1"/>
  <c r="AA1056" i="16"/>
  <c r="AA1054" i="16"/>
  <c r="AG1054" i="16" s="1"/>
  <c r="AA1071" i="16"/>
  <c r="AG1071" i="16" s="1"/>
  <c r="AA1075" i="16"/>
  <c r="AG1075" i="16" s="1"/>
  <c r="AA623" i="16"/>
  <c r="AG623" i="16" s="1"/>
  <c r="AA139" i="17"/>
  <c r="AA211" i="16"/>
  <c r="AG211" i="16" s="1"/>
  <c r="AA657" i="16"/>
  <c r="AG657" i="16" s="1"/>
  <c r="AA103" i="17"/>
  <c r="AA1192" i="16"/>
  <c r="AG1192" i="16" s="1"/>
  <c r="AA451" i="17"/>
  <c r="T5" i="24"/>
  <c r="T50" i="24" s="1"/>
  <c r="J9" i="26" s="1"/>
  <c r="L9" i="26" s="1"/>
  <c r="AA40" i="17"/>
  <c r="AA663" i="16"/>
  <c r="AG663" i="16" s="1"/>
  <c r="AA618" i="16"/>
  <c r="AG618" i="16" s="1"/>
  <c r="AA136" i="17"/>
  <c r="AA212" i="16"/>
  <c r="AG212" i="16" s="1"/>
  <c r="AA219" i="16"/>
  <c r="AG219" i="16" s="1"/>
  <c r="AA105" i="17"/>
  <c r="AA39" i="17"/>
  <c r="AA107" i="17"/>
  <c r="AA660" i="16"/>
  <c r="AG660" i="16" s="1"/>
  <c r="AA1200" i="16"/>
  <c r="AG1200" i="16" s="1"/>
  <c r="AA448" i="17"/>
  <c r="AA1195" i="16"/>
  <c r="AG1195" i="16" s="1"/>
  <c r="AA50" i="17"/>
  <c r="AA57" i="17"/>
  <c r="AA160" i="17"/>
  <c r="AA680" i="16"/>
  <c r="AG680" i="16" s="1"/>
  <c r="AA1098" i="16"/>
  <c r="AG1098" i="16" s="1"/>
  <c r="AA1183" i="16"/>
  <c r="L1183" i="21" s="1"/>
  <c r="O1183" i="21" s="1"/>
  <c r="AA1099" i="16"/>
  <c r="AG1099" i="16" s="1"/>
  <c r="AA1184" i="16"/>
  <c r="AG1184" i="16" s="1"/>
  <c r="AA1114" i="16"/>
  <c r="L1114" i="21" s="1"/>
  <c r="O1114" i="21" s="1"/>
  <c r="AA1156" i="16"/>
  <c r="AG1156" i="16" s="1"/>
  <c r="AA1083" i="16"/>
  <c r="L1083" i="21" s="1"/>
  <c r="O1083" i="21" s="1"/>
  <c r="AA1126" i="16"/>
  <c r="AG1126" i="16" s="1"/>
  <c r="AA1168" i="16"/>
  <c r="AG1168" i="16" s="1"/>
  <c r="AA1095" i="16"/>
  <c r="AA1116" i="16"/>
  <c r="AG1116" i="16" s="1"/>
  <c r="AA1138" i="16"/>
  <c r="AG1138" i="16" s="1"/>
  <c r="AA1159" i="16"/>
  <c r="AA1180" i="16"/>
  <c r="AA1096" i="16"/>
  <c r="L1096" i="21" s="1"/>
  <c r="O1096" i="21" s="1"/>
  <c r="AA1118" i="16"/>
  <c r="AG1118" i="16" s="1"/>
  <c r="AA1139" i="16"/>
  <c r="AA1160" i="16"/>
  <c r="AG1160" i="16" s="1"/>
  <c r="AA1182" i="16"/>
  <c r="L1182" i="21" s="1"/>
  <c r="O1182" i="21" s="1"/>
  <c r="AA1085" i="16"/>
  <c r="L1085" i="21" s="1"/>
  <c r="O1085" i="21" s="1"/>
  <c r="AA1101" i="16"/>
  <c r="AG1101" i="16" s="1"/>
  <c r="AA1117" i="16"/>
  <c r="AG1117" i="16" s="1"/>
  <c r="AA1133" i="16"/>
  <c r="L1133" i="21" s="1"/>
  <c r="O1133" i="21" s="1"/>
  <c r="AA1149" i="16"/>
  <c r="L1149" i="21" s="1"/>
  <c r="O1149" i="21" s="1"/>
  <c r="AA1165" i="16"/>
  <c r="AA1181" i="16"/>
  <c r="AG1181" i="16" s="1"/>
  <c r="AA1055" i="16"/>
  <c r="AG1055" i="16" s="1"/>
  <c r="AA1052" i="16"/>
  <c r="L1052" i="21" s="1"/>
  <c r="O1052" i="21" s="1"/>
  <c r="AA1053" i="16"/>
  <c r="L1053" i="21" s="1"/>
  <c r="O1053" i="21" s="1"/>
  <c r="AA309" i="17"/>
  <c r="AA313" i="17"/>
  <c r="AA906" i="16"/>
  <c r="AG906" i="16" s="1"/>
  <c r="AA911" i="16"/>
  <c r="AA908" i="16"/>
  <c r="AA909" i="16"/>
  <c r="AG909" i="16" s="1"/>
  <c r="AA1067" i="16"/>
  <c r="AG1067" i="16" s="1"/>
  <c r="AA1068" i="16"/>
  <c r="AA1069" i="16"/>
  <c r="L1069" i="21" s="1"/>
  <c r="O1069" i="21" s="1"/>
  <c r="AA627" i="16"/>
  <c r="AG627" i="16" s="1"/>
  <c r="AA142" i="17"/>
  <c r="AA135" i="17"/>
  <c r="AA45" i="17"/>
  <c r="AA208" i="16"/>
  <c r="AG208" i="16" s="1"/>
  <c r="AA216" i="16"/>
  <c r="AG216" i="16" s="1"/>
  <c r="AA653" i="16"/>
  <c r="AG653" i="16" s="1"/>
  <c r="AA622" i="16"/>
  <c r="AG622" i="16" s="1"/>
  <c r="AA49" i="17"/>
  <c r="AA620" i="16"/>
  <c r="AG620" i="16" s="1"/>
  <c r="AA446" i="17"/>
  <c r="AA440" i="17"/>
  <c r="AA1202" i="16"/>
  <c r="AG1202" i="16" s="1"/>
  <c r="AA449" i="17"/>
  <c r="AA165" i="17"/>
  <c r="AA651" i="16"/>
  <c r="AG651" i="16" s="1"/>
  <c r="AA158" i="17"/>
  <c r="AA128" i="17"/>
  <c r="AA220" i="16"/>
  <c r="AG220" i="16" s="1"/>
  <c r="AA227" i="16"/>
  <c r="AG227" i="16" s="1"/>
  <c r="AA645" i="16"/>
  <c r="AG645" i="16" s="1"/>
  <c r="AA162" i="17"/>
  <c r="AA54" i="17"/>
  <c r="AA61" i="17"/>
  <c r="AA168" i="17"/>
  <c r="AA138" i="17"/>
  <c r="AA619" i="16"/>
  <c r="AG619" i="16" s="1"/>
  <c r="AA101" i="17"/>
  <c r="AA658" i="16"/>
  <c r="AG658" i="16" s="1"/>
  <c r="AA106" i="17"/>
  <c r="AA209" i="16"/>
  <c r="AG209" i="16" s="1"/>
  <c r="AA215" i="16"/>
  <c r="AG215" i="16" s="1"/>
  <c r="AA617" i="16"/>
  <c r="AG617" i="16" s="1"/>
  <c r="AA661" i="16"/>
  <c r="AG661" i="16" s="1"/>
  <c r="AA662" i="16"/>
  <c r="AG662" i="16" s="1"/>
  <c r="AA48" i="17"/>
  <c r="AA137" i="17"/>
  <c r="AA656" i="16"/>
  <c r="AG656" i="16" s="1"/>
  <c r="AA450" i="17"/>
  <c r="AA447" i="17"/>
  <c r="AA1194" i="16"/>
  <c r="AG1194" i="16" s="1"/>
  <c r="AA1191" i="16"/>
  <c r="AG1191" i="16" s="1"/>
  <c r="AA1193" i="16"/>
  <c r="AG1193" i="16" s="1"/>
  <c r="AA225" i="16"/>
  <c r="AG225" i="16" s="1"/>
  <c r="AA231" i="16"/>
  <c r="AG231" i="16" s="1"/>
  <c r="AA681" i="16"/>
  <c r="AG681" i="16" s="1"/>
  <c r="AA642" i="16"/>
  <c r="AG642" i="16" s="1"/>
  <c r="AA53" i="17"/>
  <c r="AA58" i="17"/>
  <c r="AA129" i="17"/>
  <c r="AA648" i="16"/>
  <c r="AG648" i="16" s="1"/>
  <c r="AA936" i="16"/>
  <c r="AA1060" i="16"/>
  <c r="L1060" i="21" s="1"/>
  <c r="O1060" i="21" s="1"/>
  <c r="AA1058" i="16"/>
  <c r="L1058" i="21" s="1"/>
  <c r="O1058" i="21" s="1"/>
  <c r="AA1064" i="16"/>
  <c r="AG1064" i="16" s="1"/>
  <c r="AA1065" i="16"/>
  <c r="L1065" i="21" s="1"/>
  <c r="O1065" i="21" s="1"/>
  <c r="AA1078" i="16"/>
  <c r="AG1078" i="16" s="1"/>
  <c r="AA1074" i="16"/>
  <c r="L1074" i="21" s="1"/>
  <c r="O1074" i="21" s="1"/>
  <c r="AA1080" i="16"/>
  <c r="AG1080" i="16" s="1"/>
  <c r="AA100" i="17"/>
  <c r="AA104" i="17"/>
  <c r="AA108" i="17"/>
  <c r="AA659" i="16"/>
  <c r="AG659" i="16" s="1"/>
  <c r="AA109" i="17"/>
  <c r="AA626" i="16"/>
  <c r="AG626" i="16" s="1"/>
  <c r="AA98" i="17"/>
  <c r="AA140" i="17"/>
  <c r="AA210" i="16"/>
  <c r="AG210" i="16" s="1"/>
  <c r="AA214" i="16"/>
  <c r="AG214" i="16" s="1"/>
  <c r="AA218" i="16"/>
  <c r="AG218" i="16" s="1"/>
  <c r="AA625" i="16"/>
  <c r="AG625" i="16" s="1"/>
  <c r="AA43" i="17"/>
  <c r="AA654" i="16"/>
  <c r="AG654" i="16" s="1"/>
  <c r="AA46" i="17"/>
  <c r="AA99" i="17"/>
  <c r="AA141" i="17"/>
  <c r="AA442" i="17"/>
  <c r="AA1196" i="16"/>
  <c r="AG1196" i="16" s="1"/>
  <c r="AA1199" i="16"/>
  <c r="AG1199" i="16" s="1"/>
  <c r="AA1190" i="16"/>
  <c r="AG1190" i="16" s="1"/>
  <c r="AA443" i="17"/>
  <c r="AA441" i="17"/>
  <c r="AA1197" i="16"/>
  <c r="AG1197" i="16" s="1"/>
  <c r="AA122" i="17"/>
  <c r="AA169" i="17"/>
  <c r="AA683" i="16"/>
  <c r="AG683" i="16" s="1"/>
  <c r="AA166" i="17"/>
  <c r="AA124" i="17"/>
  <c r="AA163" i="17"/>
  <c r="AA222" i="16"/>
  <c r="AG222" i="16" s="1"/>
  <c r="AA226" i="16"/>
  <c r="AG226" i="16" s="1"/>
  <c r="AA230" i="16"/>
  <c r="AG230" i="16" s="1"/>
  <c r="AA649" i="16"/>
  <c r="AG649" i="16" s="1"/>
  <c r="AA123" i="17"/>
  <c r="AA646" i="16"/>
  <c r="AG646" i="16" s="1"/>
  <c r="AA52" i="17"/>
  <c r="AA56" i="17"/>
  <c r="AA60" i="17"/>
  <c r="AA133" i="17"/>
  <c r="AA644" i="16"/>
  <c r="AG644" i="16" s="1"/>
  <c r="AG86" i="16"/>
  <c r="L86" i="21"/>
  <c r="O86" i="21" s="1"/>
  <c r="AG368" i="16"/>
  <c r="L368" i="21"/>
  <c r="O368" i="21" s="1"/>
  <c r="AG81" i="16"/>
  <c r="L81" i="21"/>
  <c r="O81" i="21" s="1"/>
  <c r="AG98" i="16"/>
  <c r="L98" i="21"/>
  <c r="O98" i="21" s="1"/>
  <c r="AG89" i="16"/>
  <c r="AG189" i="16"/>
  <c r="L189" i="21"/>
  <c r="O189" i="21" s="1"/>
  <c r="L275" i="21"/>
  <c r="O275" i="21" s="1"/>
  <c r="AG444" i="16"/>
  <c r="L444" i="21"/>
  <c r="O444" i="21" s="1"/>
  <c r="AG195" i="16"/>
  <c r="L216" i="21"/>
  <c r="L215" i="21"/>
  <c r="L208" i="21"/>
  <c r="L218" i="21"/>
  <c r="L213" i="21"/>
  <c r="L209" i="21"/>
  <c r="L214" i="21"/>
  <c r="L210" i="21"/>
  <c r="L217" i="21"/>
  <c r="L211" i="21"/>
  <c r="L195" i="21"/>
  <c r="O195" i="21" s="1"/>
  <c r="AG361" i="16"/>
  <c r="L361" i="21"/>
  <c r="O361" i="21" s="1"/>
  <c r="AG452" i="16"/>
  <c r="L452" i="21"/>
  <c r="O452" i="21" s="1"/>
  <c r="AG555" i="16"/>
  <c r="L555" i="21"/>
  <c r="O555" i="21" s="1"/>
  <c r="AG76" i="16"/>
  <c r="L76" i="21"/>
  <c r="O76" i="21" s="1"/>
  <c r="L552" i="21"/>
  <c r="O552" i="21" s="1"/>
  <c r="AG1045" i="16"/>
  <c r="L1045" i="21"/>
  <c r="O1045" i="21" s="1"/>
  <c r="AG924" i="16"/>
  <c r="AG612" i="16"/>
  <c r="L112" i="21"/>
  <c r="O112" i="21" s="1"/>
  <c r="L962" i="21"/>
  <c r="L969" i="21"/>
  <c r="O969" i="21" s="1"/>
  <c r="AG1124" i="16"/>
  <c r="AG726" i="16"/>
  <c r="L726" i="21"/>
  <c r="O726" i="21" s="1"/>
  <c r="AG87" i="16"/>
  <c r="L87" i="21"/>
  <c r="O87" i="21" s="1"/>
  <c r="AG441" i="16"/>
  <c r="L441" i="21"/>
  <c r="O441" i="21" s="1"/>
  <c r="AG91" i="16"/>
  <c r="L91" i="21"/>
  <c r="O91" i="21" s="1"/>
  <c r="L270" i="21"/>
  <c r="O270" i="21" s="1"/>
  <c r="AG432" i="16"/>
  <c r="L432" i="21"/>
  <c r="O432" i="21" s="1"/>
  <c r="L557" i="21"/>
  <c r="O557" i="21" s="1"/>
  <c r="AG82" i="16"/>
  <c r="L82" i="21"/>
  <c r="O82" i="21" s="1"/>
  <c r="AG194" i="16"/>
  <c r="L194" i="21"/>
  <c r="O194" i="21" s="1"/>
  <c r="AG169" i="16"/>
  <c r="L169" i="21"/>
  <c r="O169" i="21" s="1"/>
  <c r="AG461" i="16"/>
  <c r="L442" i="21"/>
  <c r="O442" i="21" s="1"/>
  <c r="AG691" i="16"/>
  <c r="L691" i="21"/>
  <c r="O691" i="21" s="1"/>
  <c r="AG689" i="16"/>
  <c r="L689" i="21"/>
  <c r="AG1039" i="16"/>
  <c r="L1039" i="21"/>
  <c r="O1039" i="21" s="1"/>
  <c r="AG1048" i="16"/>
  <c r="L1048" i="21"/>
  <c r="O1048" i="21" s="1"/>
  <c r="AG1049" i="16"/>
  <c r="L1049" i="21"/>
  <c r="O1049" i="21" s="1"/>
  <c r="L920" i="21"/>
  <c r="O920" i="21" s="1"/>
  <c r="AG929" i="16"/>
  <c r="AG614" i="16"/>
  <c r="L614" i="21"/>
  <c r="O614" i="21" s="1"/>
  <c r="L393" i="21"/>
  <c r="O393" i="21" s="1"/>
  <c r="AG535" i="16"/>
  <c r="L535" i="21"/>
  <c r="O535" i="21" s="1"/>
  <c r="AG757" i="16"/>
  <c r="L799" i="21"/>
  <c r="O799" i="21" s="1"/>
  <c r="L814" i="21"/>
  <c r="O814" i="21" s="1"/>
  <c r="L1178" i="21"/>
  <c r="O1178" i="21" s="1"/>
  <c r="L186" i="21"/>
  <c r="O186" i="21" s="1"/>
  <c r="AG551" i="16"/>
  <c r="L551" i="21"/>
  <c r="O551" i="21" s="1"/>
  <c r="AG567" i="16"/>
  <c r="L661" i="21"/>
  <c r="L657" i="21"/>
  <c r="L653" i="21"/>
  <c r="L621" i="21"/>
  <c r="O621" i="21" s="1"/>
  <c r="L617" i="21"/>
  <c r="L663" i="21"/>
  <c r="L655" i="21"/>
  <c r="L627" i="21"/>
  <c r="L624" i="21"/>
  <c r="L619" i="21"/>
  <c r="L664" i="21"/>
  <c r="L656" i="21"/>
  <c r="L622" i="21"/>
  <c r="L662" i="21"/>
  <c r="L628" i="21"/>
  <c r="O628" i="21" s="1"/>
  <c r="L618" i="21"/>
  <c r="L567" i="21"/>
  <c r="O567" i="21" s="1"/>
  <c r="AG97" i="16"/>
  <c r="L97" i="21"/>
  <c r="O97" i="21" s="1"/>
  <c r="AG364" i="16"/>
  <c r="AG286" i="16"/>
  <c r="L286" i="21"/>
  <c r="O286" i="21" s="1"/>
  <c r="AG559" i="16"/>
  <c r="L559" i="21"/>
  <c r="O559" i="21" s="1"/>
  <c r="L90" i="21"/>
  <c r="O90" i="21" s="1"/>
  <c r="AG185" i="16"/>
  <c r="L185" i="21"/>
  <c r="O185" i="21" s="1"/>
  <c r="AG545" i="16"/>
  <c r="AG84" i="16"/>
  <c r="L84" i="21"/>
  <c r="O84" i="21" s="1"/>
  <c r="AG367" i="16"/>
  <c r="L367" i="21"/>
  <c r="O367" i="21" s="1"/>
  <c r="L448" i="21"/>
  <c r="O448" i="21" s="1"/>
  <c r="AG544" i="16"/>
  <c r="L544" i="21"/>
  <c r="O544" i="21" s="1"/>
  <c r="AG696" i="16"/>
  <c r="L696" i="21"/>
  <c r="O696" i="21" s="1"/>
  <c r="AG690" i="16"/>
  <c r="AG693" i="16"/>
  <c r="L693" i="21"/>
  <c r="O693" i="21" s="1"/>
  <c r="AG1050" i="16"/>
  <c r="L1050" i="21"/>
  <c r="O1050" i="21" s="1"/>
  <c r="AG1047" i="16"/>
  <c r="L1047" i="21"/>
  <c r="O1047" i="21" s="1"/>
  <c r="AG1037" i="16"/>
  <c r="L1037" i="21"/>
  <c r="O1037" i="21" s="1"/>
  <c r="AG1206" i="16"/>
  <c r="L1206" i="21"/>
  <c r="O1206" i="21" s="1"/>
  <c r="AG1210" i="16"/>
  <c r="L1210" i="21"/>
  <c r="O1210" i="21" s="1"/>
  <c r="AG918" i="16"/>
  <c r="L918" i="21"/>
  <c r="O918" i="21" s="1"/>
  <c r="AG922" i="16"/>
  <c r="L922" i="21"/>
  <c r="O922" i="21" s="1"/>
  <c r="AG926" i="16"/>
  <c r="L926" i="21"/>
  <c r="O926" i="21" s="1"/>
  <c r="AG608" i="16"/>
  <c r="L608" i="21"/>
  <c r="O608" i="21" s="1"/>
  <c r="AG358" i="16"/>
  <c r="L358" i="21"/>
  <c r="O358" i="21" s="1"/>
  <c r="AG599" i="16"/>
  <c r="AG386" i="16"/>
  <c r="L386" i="21"/>
  <c r="O386" i="21" s="1"/>
  <c r="AG174" i="16"/>
  <c r="L174" i="21"/>
  <c r="O174" i="21" s="1"/>
  <c r="AG526" i="16"/>
  <c r="L526" i="21"/>
  <c r="O526" i="21" s="1"/>
  <c r="AG597" i="16"/>
  <c r="L597" i="21"/>
  <c r="O597" i="21" s="1"/>
  <c r="L745" i="21"/>
  <c r="O745" i="21" s="1"/>
  <c r="AG761" i="16"/>
  <c r="L761" i="21"/>
  <c r="O761" i="21" s="1"/>
  <c r="AG1162" i="16"/>
  <c r="L1134" i="21"/>
  <c r="O1134" i="21" s="1"/>
  <c r="L1129" i="21"/>
  <c r="O1129" i="21" s="1"/>
  <c r="L290" i="21"/>
  <c r="O290" i="21" s="1"/>
  <c r="L291" i="21"/>
  <c r="O291" i="21" s="1"/>
  <c r="AG553" i="16"/>
  <c r="L553" i="21"/>
  <c r="O553" i="21" s="1"/>
  <c r="L191" i="21"/>
  <c r="O191" i="21" s="1"/>
  <c r="AG295" i="16"/>
  <c r="L295" i="21"/>
  <c r="O295" i="21" s="1"/>
  <c r="AG161" i="16"/>
  <c r="L161" i="21"/>
  <c r="O161" i="21" s="1"/>
  <c r="L272" i="21"/>
  <c r="O272" i="21" s="1"/>
  <c r="AG434" i="16"/>
  <c r="L434" i="21"/>
  <c r="O434" i="21" s="1"/>
  <c r="AG293" i="16"/>
  <c r="AG435" i="16"/>
  <c r="AG565" i="16"/>
  <c r="L565" i="21"/>
  <c r="O565" i="21" s="1"/>
  <c r="L74" i="21"/>
  <c r="AG294" i="16"/>
  <c r="L454" i="21"/>
  <c r="O454" i="21" s="1"/>
  <c r="AG548" i="16"/>
  <c r="L548" i="21"/>
  <c r="O548" i="21" s="1"/>
  <c r="L692" i="21"/>
  <c r="O692" i="21" s="1"/>
  <c r="AG695" i="16"/>
  <c r="L695" i="21"/>
  <c r="O695" i="21" s="1"/>
  <c r="L697" i="21"/>
  <c r="O697" i="21" s="1"/>
  <c r="L1044" i="21"/>
  <c r="O1044" i="21" s="1"/>
  <c r="AG1038" i="16"/>
  <c r="L1038" i="21"/>
  <c r="O1038" i="21" s="1"/>
  <c r="AG1209" i="16"/>
  <c r="L1209" i="21"/>
  <c r="O1209" i="21" s="1"/>
  <c r="AG1205" i="16"/>
  <c r="L1205" i="21"/>
  <c r="O1205" i="21" s="1"/>
  <c r="AG927" i="16"/>
  <c r="L927" i="21"/>
  <c r="O927" i="21" s="1"/>
  <c r="L919" i="21"/>
  <c r="O919" i="21" s="1"/>
  <c r="AG921" i="16"/>
  <c r="L921" i="21"/>
  <c r="O921" i="21" s="1"/>
  <c r="AG339" i="16"/>
  <c r="AG333" i="16"/>
  <c r="L333" i="21"/>
  <c r="O333" i="21" s="1"/>
  <c r="L598" i="21"/>
  <c r="O598" i="21" s="1"/>
  <c r="L173" i="21"/>
  <c r="O173" i="21" s="1"/>
  <c r="AG200" i="16"/>
  <c r="AG337" i="16"/>
  <c r="AG355" i="16"/>
  <c r="AG764" i="16"/>
  <c r="L764" i="21"/>
  <c r="O764" i="21" s="1"/>
  <c r="L733" i="21"/>
  <c r="O733" i="21" s="1"/>
  <c r="AG765" i="16"/>
  <c r="L1143" i="21"/>
  <c r="O1143" i="21" s="1"/>
  <c r="AG1149" i="16"/>
  <c r="AG938" i="16"/>
  <c r="AG720" i="16"/>
  <c r="AG712" i="16"/>
  <c r="L712" i="21"/>
  <c r="O712" i="21" s="1"/>
  <c r="L1063" i="21"/>
  <c r="O1063" i="21" s="1"/>
  <c r="AG1069" i="16"/>
  <c r="X5" i="13"/>
  <c r="W46" i="13"/>
  <c r="X5" i="12"/>
  <c r="W46" i="12"/>
  <c r="L595" i="21" l="1"/>
  <c r="O595" i="21" s="1"/>
  <c r="L219" i="21"/>
  <c r="L1107" i="21"/>
  <c r="O1107" i="21" s="1"/>
  <c r="L934" i="21"/>
  <c r="O934" i="21" s="1"/>
  <c r="L1086" i="21"/>
  <c r="O1086" i="21" s="1"/>
  <c r="L1136" i="21"/>
  <c r="O1136" i="21" s="1"/>
  <c r="AG118" i="16"/>
  <c r="AG756" i="16"/>
  <c r="AG297" i="16"/>
  <c r="L975" i="21"/>
  <c r="L976" i="21"/>
  <c r="L978" i="21"/>
  <c r="L986" i="21"/>
  <c r="L977" i="21"/>
  <c r="O977" i="21" s="1"/>
  <c r="L984" i="21"/>
  <c r="L363" i="21"/>
  <c r="O363" i="21" s="1"/>
  <c r="L439" i="21"/>
  <c r="O439" i="21" s="1"/>
  <c r="L999" i="21"/>
  <c r="O999" i="21" s="1"/>
  <c r="L75" i="21"/>
  <c r="O75" i="21" s="1"/>
  <c r="L1001" i="21"/>
  <c r="L992" i="21"/>
  <c r="L1008" i="21"/>
  <c r="L983" i="21"/>
  <c r="L283" i="21"/>
  <c r="O283" i="21" s="1"/>
  <c r="L1042" i="21"/>
  <c r="O1042" i="21" s="1"/>
  <c r="L1017" i="21"/>
  <c r="O1017" i="21" s="1"/>
  <c r="L184" i="21"/>
  <c r="O184" i="21" s="1"/>
  <c r="L1015" i="21"/>
  <c r="L923" i="21"/>
  <c r="O923" i="21" s="1"/>
  <c r="L1010" i="21"/>
  <c r="O1010" i="21" s="1"/>
  <c r="L1041" i="21"/>
  <c r="O1041" i="21" s="1"/>
  <c r="L611" i="21"/>
  <c r="O611" i="21" s="1"/>
  <c r="L728" i="21"/>
  <c r="O728" i="21" s="1"/>
  <c r="L1018" i="21"/>
  <c r="L1022" i="21"/>
  <c r="L296" i="21"/>
  <c r="O296" i="21" s="1"/>
  <c r="L951" i="21"/>
  <c r="L1019" i="21"/>
  <c r="O1019" i="21" s="1"/>
  <c r="L1024" i="21"/>
  <c r="O1024" i="21" s="1"/>
  <c r="AG92" i="16"/>
  <c r="L953" i="21"/>
  <c r="L1030" i="21"/>
  <c r="O1030" i="21" s="1"/>
  <c r="L944" i="21"/>
  <c r="O944" i="21" s="1"/>
  <c r="AG77" i="16"/>
  <c r="L523" i="21"/>
  <c r="O523" i="21" s="1"/>
  <c r="L967" i="21"/>
  <c r="L960" i="21"/>
  <c r="L1032" i="21"/>
  <c r="L736" i="21"/>
  <c r="O736" i="21" s="1"/>
  <c r="AG78" i="16"/>
  <c r="AG101" i="16"/>
  <c r="AG566" i="16"/>
  <c r="L93" i="21"/>
  <c r="O93" i="21" s="1"/>
  <c r="L1203" i="21"/>
  <c r="L737" i="21"/>
  <c r="O737" i="21" s="1"/>
  <c r="AG1060" i="16"/>
  <c r="L770" i="21"/>
  <c r="O770" i="21" s="1"/>
  <c r="AG914" i="16"/>
  <c r="L1118" i="21"/>
  <c r="O1118" i="21" s="1"/>
  <c r="AG1058" i="16"/>
  <c r="L659" i="21"/>
  <c r="L625" i="21"/>
  <c r="AG1052" i="16"/>
  <c r="L168" i="21"/>
  <c r="O168" i="21" s="1"/>
  <c r="AG198" i="16"/>
  <c r="L1040" i="21"/>
  <c r="O1040" i="21" s="1"/>
  <c r="L658" i="21"/>
  <c r="O658" i="21" s="1"/>
  <c r="L1111" i="21"/>
  <c r="O1111" i="21" s="1"/>
  <c r="L620" i="21"/>
  <c r="O620" i="21" s="1"/>
  <c r="L292" i="21"/>
  <c r="O292" i="21" s="1"/>
  <c r="L623" i="21"/>
  <c r="L626" i="21"/>
  <c r="O626" i="21" s="1"/>
  <c r="L279" i="21"/>
  <c r="O279" i="21" s="1"/>
  <c r="L96" i="21"/>
  <c r="O96" i="21" s="1"/>
  <c r="O984" i="21"/>
  <c r="AG731" i="16"/>
  <c r="L1184" i="21"/>
  <c r="O1184" i="21" s="1"/>
  <c r="L273" i="21"/>
  <c r="O273" i="21" s="1"/>
  <c r="L759" i="21"/>
  <c r="O759" i="21" s="1"/>
  <c r="L654" i="21"/>
  <c r="L794" i="21"/>
  <c r="O794" i="21" s="1"/>
  <c r="AG1123" i="16"/>
  <c r="L1158" i="21"/>
  <c r="O1158" i="21" s="1"/>
  <c r="L1119" i="21"/>
  <c r="O1119" i="21" s="1"/>
  <c r="AG104" i="16"/>
  <c r="AG931" i="16"/>
  <c r="I9" i="25"/>
  <c r="I7" i="25"/>
  <c r="I13" i="25" s="1"/>
  <c r="I11" i="25"/>
  <c r="N15" i="25"/>
  <c r="N14" i="25"/>
  <c r="AG119" i="16"/>
  <c r="O655" i="21"/>
  <c r="L933" i="21"/>
  <c r="O933" i="21" s="1"/>
  <c r="AG1175" i="16"/>
  <c r="L823" i="21"/>
  <c r="O823" i="21" s="1"/>
  <c r="AG388" i="16"/>
  <c r="L917" i="21"/>
  <c r="O917" i="21" s="1"/>
  <c r="L1154" i="21"/>
  <c r="O1154" i="21" s="1"/>
  <c r="L848" i="21"/>
  <c r="O848" i="21" s="1"/>
  <c r="L110" i="21"/>
  <c r="O110" i="21" s="1"/>
  <c r="L706" i="21"/>
  <c r="O706" i="21" s="1"/>
  <c r="AG1085" i="16"/>
  <c r="AG1074" i="16"/>
  <c r="AG1096" i="16"/>
  <c r="AG735" i="16"/>
  <c r="L550" i="21"/>
  <c r="O550" i="21" s="1"/>
  <c r="AG1113" i="16"/>
  <c r="L177" i="21"/>
  <c r="O177" i="21" s="1"/>
  <c r="L841" i="21"/>
  <c r="O841" i="21" s="1"/>
  <c r="L846" i="21"/>
  <c r="O846" i="21" s="1"/>
  <c r="L1204" i="21"/>
  <c r="O1204" i="21" s="1"/>
  <c r="L1023" i="21"/>
  <c r="O1023" i="21" s="1"/>
  <c r="L985" i="21"/>
  <c r="O985" i="21" s="1"/>
  <c r="L946" i="21"/>
  <c r="O946" i="21" s="1"/>
  <c r="L994" i="21"/>
  <c r="O994" i="21" s="1"/>
  <c r="L1211" i="21"/>
  <c r="O1211" i="21" s="1"/>
  <c r="L856" i="21"/>
  <c r="O856" i="21" s="1"/>
  <c r="L1213" i="21"/>
  <c r="O1213" i="21" s="1"/>
  <c r="L854" i="21"/>
  <c r="O854" i="21" s="1"/>
  <c r="L952" i="21"/>
  <c r="L818" i="21"/>
  <c r="O818" i="21" s="1"/>
  <c r="L445" i="21"/>
  <c r="O445" i="21" s="1"/>
  <c r="L849" i="21"/>
  <c r="O849" i="21" s="1"/>
  <c r="L455" i="21"/>
  <c r="O455" i="21" s="1"/>
  <c r="L943" i="21"/>
  <c r="O943" i="21" s="1"/>
  <c r="L991" i="21"/>
  <c r="O991" i="21" s="1"/>
  <c r="L1000" i="21"/>
  <c r="O1000" i="21" s="1"/>
  <c r="AG1122" i="16"/>
  <c r="AG602" i="16"/>
  <c r="AG721" i="16"/>
  <c r="L839" i="21"/>
  <c r="O839" i="21" s="1"/>
  <c r="L868" i="21"/>
  <c r="O868" i="21" s="1"/>
  <c r="AG704" i="16"/>
  <c r="L945" i="21"/>
  <c r="O945" i="21" s="1"/>
  <c r="L993" i="21"/>
  <c r="O993" i="21" s="1"/>
  <c r="L954" i="21"/>
  <c r="L1002" i="21"/>
  <c r="O1002" i="21" s="1"/>
  <c r="L506" i="21"/>
  <c r="O506" i="21" s="1"/>
  <c r="L123" i="21"/>
  <c r="O123" i="21" s="1"/>
  <c r="L330" i="21"/>
  <c r="O330" i="21" s="1"/>
  <c r="AG727" i="16"/>
  <c r="L160" i="21"/>
  <c r="O160" i="21" s="1"/>
  <c r="L457" i="21"/>
  <c r="O457" i="21" s="1"/>
  <c r="L896" i="21"/>
  <c r="L343" i="21"/>
  <c r="O343" i="21" s="1"/>
  <c r="L847" i="21"/>
  <c r="O847" i="21" s="1"/>
  <c r="L872" i="21"/>
  <c r="O872" i="21" s="1"/>
  <c r="L771" i="21"/>
  <c r="O771" i="21" s="1"/>
  <c r="L95" i="21"/>
  <c r="O95" i="21" s="1"/>
  <c r="L775" i="21"/>
  <c r="O775" i="21" s="1"/>
  <c r="L902" i="21"/>
  <c r="O902" i="21" s="1"/>
  <c r="L464" i="21"/>
  <c r="O464" i="21" s="1"/>
  <c r="AG1121" i="16"/>
  <c r="L959" i="21"/>
  <c r="O959" i="21" s="1"/>
  <c r="L1007" i="21"/>
  <c r="O1007" i="21" s="1"/>
  <c r="L968" i="21"/>
  <c r="L1016" i="21"/>
  <c r="O1016" i="21" s="1"/>
  <c r="AG172" i="16"/>
  <c r="L1157" i="21"/>
  <c r="O1157" i="21" s="1"/>
  <c r="L1140" i="21"/>
  <c r="O1140" i="21" s="1"/>
  <c r="L795" i="21"/>
  <c r="O795" i="21" s="1"/>
  <c r="L287" i="21"/>
  <c r="O287" i="21" s="1"/>
  <c r="AG1105" i="16"/>
  <c r="L961" i="21"/>
  <c r="O961" i="21" s="1"/>
  <c r="L1009" i="21"/>
  <c r="L970" i="21"/>
  <c r="L1025" i="21"/>
  <c r="O1025" i="21" s="1"/>
  <c r="L790" i="21"/>
  <c r="O790" i="21" s="1"/>
  <c r="L819" i="21"/>
  <c r="O819" i="21" s="1"/>
  <c r="AG746" i="16"/>
  <c r="AG193" i="16"/>
  <c r="L431" i="21"/>
  <c r="O431" i="21" s="1"/>
  <c r="L269" i="21"/>
  <c r="O269" i="21" s="1"/>
  <c r="AG558" i="16"/>
  <c r="AG709" i="16"/>
  <c r="AG1112" i="16"/>
  <c r="L541" i="21"/>
  <c r="O541" i="21" s="1"/>
  <c r="L222" i="21"/>
  <c r="O222" i="21" s="1"/>
  <c r="L1137" i="21"/>
  <c r="O1137" i="21" s="1"/>
  <c r="L1138" i="21"/>
  <c r="O1138" i="21" s="1"/>
  <c r="L758" i="21"/>
  <c r="O758" i="21" s="1"/>
  <c r="L224" i="21"/>
  <c r="O224" i="21" s="1"/>
  <c r="L451" i="21"/>
  <c r="O451" i="21" s="1"/>
  <c r="L763" i="21"/>
  <c r="O763" i="21" s="1"/>
  <c r="L178" i="21"/>
  <c r="O178" i="21" s="1"/>
  <c r="AG703" i="16"/>
  <c r="L762" i="21"/>
  <c r="O762" i="21" s="1"/>
  <c r="L529" i="21"/>
  <c r="O529" i="21" s="1"/>
  <c r="L342" i="21"/>
  <c r="O342" i="21" s="1"/>
  <c r="L187" i="21"/>
  <c r="O187" i="21" s="1"/>
  <c r="L724" i="21"/>
  <c r="O724" i="21" s="1"/>
  <c r="L1147" i="21"/>
  <c r="O1147" i="21" s="1"/>
  <c r="L1077" i="21"/>
  <c r="O1077" i="21" s="1"/>
  <c r="L1150" i="21"/>
  <c r="O1150" i="21" s="1"/>
  <c r="L183" i="21"/>
  <c r="O183" i="21" s="1"/>
  <c r="L365" i="21"/>
  <c r="O365" i="21" s="1"/>
  <c r="L739" i="21"/>
  <c r="O739" i="21" s="1"/>
  <c r="L282" i="21"/>
  <c r="O282" i="21" s="1"/>
  <c r="L278" i="21"/>
  <c r="O278" i="21" s="1"/>
  <c r="AG613" i="16"/>
  <c r="O619" i="21"/>
  <c r="O657" i="21"/>
  <c r="AG1144" i="16"/>
  <c r="O968" i="21"/>
  <c r="L1073" i="21"/>
  <c r="O1073" i="21" s="1"/>
  <c r="AG1079" i="16"/>
  <c r="L205" i="21"/>
  <c r="O205" i="21" s="1"/>
  <c r="L564" i="21"/>
  <c r="O564" i="21" s="1"/>
  <c r="AG192" i="16"/>
  <c r="AG1161" i="16"/>
  <c r="AG1188" i="16"/>
  <c r="L99" i="21"/>
  <c r="O99" i="21" s="1"/>
  <c r="L458" i="21"/>
  <c r="O458" i="21" s="1"/>
  <c r="AG594" i="16"/>
  <c r="AG1167" i="16"/>
  <c r="L549" i="21"/>
  <c r="O549" i="21" s="1"/>
  <c r="L915" i="21"/>
  <c r="O915" i="21" s="1"/>
  <c r="L509" i="21"/>
  <c r="O509" i="21" s="1"/>
  <c r="AG1163" i="16"/>
  <c r="L561" i="21"/>
  <c r="O561" i="21" s="1"/>
  <c r="L1067" i="21"/>
  <c r="O1067" i="21" s="1"/>
  <c r="L510" i="21"/>
  <c r="O510" i="21" s="1"/>
  <c r="L702" i="21"/>
  <c r="O702" i="21" s="1"/>
  <c r="L180" i="21"/>
  <c r="O180" i="21" s="1"/>
  <c r="L1087" i="21"/>
  <c r="O1087" i="21" s="1"/>
  <c r="L708" i="21"/>
  <c r="O708" i="21" s="1"/>
  <c r="L768" i="21"/>
  <c r="O768" i="21" s="1"/>
  <c r="L792" i="21"/>
  <c r="O792" i="21" s="1"/>
  <c r="L816" i="21"/>
  <c r="O816" i="21" s="1"/>
  <c r="L844" i="21"/>
  <c r="O844" i="21" s="1"/>
  <c r="L842" i="21"/>
  <c r="O842" i="21" s="1"/>
  <c r="L773" i="21"/>
  <c r="O773" i="21" s="1"/>
  <c r="L797" i="21"/>
  <c r="O797" i="21" s="1"/>
  <c r="L821" i="21"/>
  <c r="O821" i="21" s="1"/>
  <c r="L853" i="21"/>
  <c r="O853" i="21" s="1"/>
  <c r="L851" i="21"/>
  <c r="O851" i="21" s="1"/>
  <c r="L870" i="21"/>
  <c r="O870" i="21" s="1"/>
  <c r="L900" i="21"/>
  <c r="O900" i="21" s="1"/>
  <c r="O953" i="21"/>
  <c r="L164" i="21"/>
  <c r="O164" i="21" s="1"/>
  <c r="L772" i="21"/>
  <c r="O772" i="21" s="1"/>
  <c r="L796" i="21"/>
  <c r="O796" i="21" s="1"/>
  <c r="L820" i="21"/>
  <c r="O820" i="21" s="1"/>
  <c r="L852" i="21"/>
  <c r="O852" i="21" s="1"/>
  <c r="L850" i="21"/>
  <c r="O850" i="21" s="1"/>
  <c r="L777" i="21"/>
  <c r="L801" i="21"/>
  <c r="O801" i="21" s="1"/>
  <c r="L825" i="21"/>
  <c r="O825" i="21" s="1"/>
  <c r="L861" i="21"/>
  <c r="O861" i="21" s="1"/>
  <c r="L859" i="21"/>
  <c r="O859" i="21" s="1"/>
  <c r="L874" i="21"/>
  <c r="O874" i="21" s="1"/>
  <c r="L904" i="21"/>
  <c r="O904" i="21" s="1"/>
  <c r="L281" i="21"/>
  <c r="O281" i="21" s="1"/>
  <c r="L719" i="21"/>
  <c r="O719" i="21" s="1"/>
  <c r="L774" i="21"/>
  <c r="O774" i="21" s="1"/>
  <c r="L798" i="21"/>
  <c r="O798" i="21" s="1"/>
  <c r="L822" i="21"/>
  <c r="O822" i="21" s="1"/>
  <c r="L857" i="21"/>
  <c r="O857" i="21" s="1"/>
  <c r="L855" i="21"/>
  <c r="L779" i="21"/>
  <c r="O779" i="21" s="1"/>
  <c r="L803" i="21"/>
  <c r="L827" i="21"/>
  <c r="O827" i="21" s="1"/>
  <c r="L865" i="21"/>
  <c r="O865" i="21" s="1"/>
  <c r="L873" i="21"/>
  <c r="O873" i="21" s="1"/>
  <c r="L876" i="21"/>
  <c r="L338" i="21"/>
  <c r="O338" i="21" s="1"/>
  <c r="AG268" i="16"/>
  <c r="L879" i="21"/>
  <c r="O879" i="21" s="1"/>
  <c r="L1126" i="21"/>
  <c r="O1126" i="21" s="1"/>
  <c r="AG928" i="16"/>
  <c r="L1091" i="21"/>
  <c r="O1091" i="21" s="1"/>
  <c r="L800" i="21"/>
  <c r="O800" i="21" s="1"/>
  <c r="L858" i="21"/>
  <c r="O858" i="21" s="1"/>
  <c r="L871" i="21"/>
  <c r="O871" i="21" s="1"/>
  <c r="AG932" i="16"/>
  <c r="L778" i="21"/>
  <c r="O778" i="21" s="1"/>
  <c r="L783" i="21"/>
  <c r="O783" i="21" s="1"/>
  <c r="L747" i="21"/>
  <c r="O747" i="21" s="1"/>
  <c r="AG391" i="16"/>
  <c r="L780" i="21"/>
  <c r="O780" i="21" s="1"/>
  <c r="L804" i="21"/>
  <c r="O804" i="21" s="1"/>
  <c r="L828" i="21"/>
  <c r="O828" i="21" s="1"/>
  <c r="L867" i="21"/>
  <c r="O867" i="21" s="1"/>
  <c r="L877" i="21"/>
  <c r="O877" i="21" s="1"/>
  <c r="L785" i="21"/>
  <c r="O785" i="21" s="1"/>
  <c r="L809" i="21"/>
  <c r="O809" i="21" s="1"/>
  <c r="L833" i="21"/>
  <c r="O833" i="21" s="1"/>
  <c r="L887" i="21"/>
  <c r="O887" i="21" s="1"/>
  <c r="L897" i="21"/>
  <c r="O897" i="21" s="1"/>
  <c r="L884" i="21"/>
  <c r="O884" i="21" s="1"/>
  <c r="AG754" i="16"/>
  <c r="AG122" i="16"/>
  <c r="AG1208" i="16"/>
  <c r="O1032" i="21"/>
  <c r="L776" i="21"/>
  <c r="L860" i="21"/>
  <c r="O860" i="21" s="1"/>
  <c r="L805" i="21"/>
  <c r="O805" i="21" s="1"/>
  <c r="L881" i="21"/>
  <c r="O881" i="21" s="1"/>
  <c r="AG1132" i="16"/>
  <c r="L863" i="21"/>
  <c r="O863" i="21" s="1"/>
  <c r="L807" i="21"/>
  <c r="L880" i="21"/>
  <c r="L782" i="21"/>
  <c r="O782" i="21" s="1"/>
  <c r="L806" i="21"/>
  <c r="O806" i="21" s="1"/>
  <c r="L830" i="21"/>
  <c r="L875" i="21"/>
  <c r="O875" i="21" s="1"/>
  <c r="L885" i="21"/>
  <c r="O885" i="21" s="1"/>
  <c r="L787" i="21"/>
  <c r="O787" i="21" s="1"/>
  <c r="L811" i="21"/>
  <c r="O811" i="21" s="1"/>
  <c r="L835" i="21"/>
  <c r="O835" i="21" s="1"/>
  <c r="L895" i="21"/>
  <c r="O895" i="21" s="1"/>
  <c r="L905" i="21"/>
  <c r="O905" i="21" s="1"/>
  <c r="L886" i="21"/>
  <c r="L740" i="21"/>
  <c r="O740" i="21" s="1"/>
  <c r="L538" i="21"/>
  <c r="O538" i="21" s="1"/>
  <c r="L360" i="21"/>
  <c r="O360" i="21" s="1"/>
  <c r="L802" i="21"/>
  <c r="O802" i="21" s="1"/>
  <c r="L869" i="21"/>
  <c r="O869" i="21" s="1"/>
  <c r="L831" i="21"/>
  <c r="O831" i="21" s="1"/>
  <c r="AG530" i="16"/>
  <c r="L83" i="21"/>
  <c r="O83" i="21" s="1"/>
  <c r="L642" i="21"/>
  <c r="O642" i="21" s="1"/>
  <c r="L1145" i="21"/>
  <c r="O1145" i="21" s="1"/>
  <c r="L752" i="21"/>
  <c r="O752" i="21" s="1"/>
  <c r="L203" i="21"/>
  <c r="O203" i="21" s="1"/>
  <c r="O624" i="21"/>
  <c r="L1075" i="21"/>
  <c r="O1075" i="21" s="1"/>
  <c r="L784" i="21"/>
  <c r="O784" i="21" s="1"/>
  <c r="L808" i="21"/>
  <c r="O808" i="21" s="1"/>
  <c r="L832" i="21"/>
  <c r="O832" i="21" s="1"/>
  <c r="L883" i="21"/>
  <c r="L893" i="21"/>
  <c r="O893" i="21" s="1"/>
  <c r="L789" i="21"/>
  <c r="O789" i="21" s="1"/>
  <c r="L813" i="21"/>
  <c r="O813" i="21" s="1"/>
  <c r="L837" i="21"/>
  <c r="O837" i="21" s="1"/>
  <c r="L903" i="21"/>
  <c r="O903" i="21" s="1"/>
  <c r="L862" i="21"/>
  <c r="O862" i="21" s="1"/>
  <c r="L888" i="21"/>
  <c r="O888" i="21" s="1"/>
  <c r="L80" i="21"/>
  <c r="O80" i="21" s="1"/>
  <c r="L937" i="21"/>
  <c r="O937" i="21" s="1"/>
  <c r="AG1120" i="16"/>
  <c r="L701" i="21"/>
  <c r="O701" i="21" s="1"/>
  <c r="L824" i="21"/>
  <c r="L781" i="21"/>
  <c r="O781" i="21" s="1"/>
  <c r="L829" i="21"/>
  <c r="O829" i="21" s="1"/>
  <c r="L878" i="21"/>
  <c r="O878" i="21" s="1"/>
  <c r="L826" i="21"/>
  <c r="L889" i="21"/>
  <c r="O889" i="21" s="1"/>
  <c r="L713" i="21"/>
  <c r="O713" i="21" s="1"/>
  <c r="AG1114" i="16"/>
  <c r="O618" i="21"/>
  <c r="L786" i="21"/>
  <c r="O786" i="21" s="1"/>
  <c r="L810" i="21"/>
  <c r="O810" i="21" s="1"/>
  <c r="L834" i="21"/>
  <c r="O834" i="21" s="1"/>
  <c r="L891" i="21"/>
  <c r="O891" i="21" s="1"/>
  <c r="L901" i="21"/>
  <c r="O901" i="21" s="1"/>
  <c r="L791" i="21"/>
  <c r="O791" i="21" s="1"/>
  <c r="L815" i="21"/>
  <c r="O815" i="21" s="1"/>
  <c r="L840" i="21"/>
  <c r="O840" i="21" s="1"/>
  <c r="L838" i="21"/>
  <c r="O838" i="21" s="1"/>
  <c r="L864" i="21"/>
  <c r="O864" i="21" s="1"/>
  <c r="L892" i="21"/>
  <c r="O892" i="21" s="1"/>
  <c r="L940" i="21"/>
  <c r="O940" i="21" s="1"/>
  <c r="O952" i="21"/>
  <c r="L788" i="21"/>
  <c r="L812" i="21"/>
  <c r="O812" i="21" s="1"/>
  <c r="L836" i="21"/>
  <c r="O836" i="21" s="1"/>
  <c r="L899" i="21"/>
  <c r="O899" i="21" s="1"/>
  <c r="L769" i="21"/>
  <c r="O769" i="21" s="1"/>
  <c r="L793" i="21"/>
  <c r="O793" i="21" s="1"/>
  <c r="L817" i="21"/>
  <c r="O817" i="21" s="1"/>
  <c r="L845" i="21"/>
  <c r="O845" i="21" s="1"/>
  <c r="L843" i="21"/>
  <c r="O843" i="21" s="1"/>
  <c r="L866" i="21"/>
  <c r="O866" i="21" s="1"/>
  <c r="L894" i="21"/>
  <c r="O894" i="21" s="1"/>
  <c r="O954" i="21"/>
  <c r="AG908" i="16"/>
  <c r="L908" i="21"/>
  <c r="O908" i="21" s="1"/>
  <c r="AG1089" i="16"/>
  <c r="L1089" i="21"/>
  <c r="O1089" i="21" s="1"/>
  <c r="AG1177" i="16"/>
  <c r="L1177" i="21"/>
  <c r="O1177" i="21" s="1"/>
  <c r="AG1082" i="16"/>
  <c r="L1082" i="21"/>
  <c r="O1082" i="21" s="1"/>
  <c r="AG175" i="16"/>
  <c r="L175" i="21"/>
  <c r="O175" i="21" s="1"/>
  <c r="AG542" i="16"/>
  <c r="L542" i="21"/>
  <c r="O542" i="21" s="1"/>
  <c r="AG539" i="16"/>
  <c r="L188" i="21"/>
  <c r="O188" i="21" s="1"/>
  <c r="O664" i="21"/>
  <c r="L446" i="21"/>
  <c r="O446" i="21" s="1"/>
  <c r="L1059" i="21"/>
  <c r="O1059" i="21" s="1"/>
  <c r="L705" i="21"/>
  <c r="O705" i="21" s="1"/>
  <c r="L609" i="21"/>
  <c r="O609" i="21" s="1"/>
  <c r="L116" i="21"/>
  <c r="O116" i="21" s="1"/>
  <c r="L1127" i="21"/>
  <c r="O1127" i="21" s="1"/>
  <c r="AG936" i="16"/>
  <c r="L936" i="21"/>
  <c r="O936" i="21" s="1"/>
  <c r="AG1180" i="16"/>
  <c r="L1180" i="21"/>
  <c r="O1180" i="21" s="1"/>
  <c r="AG1095" i="16"/>
  <c r="L1095" i="21"/>
  <c r="O1095" i="21" s="1"/>
  <c r="AG913" i="16"/>
  <c r="L913" i="21"/>
  <c r="O913" i="21" s="1"/>
  <c r="AG1128" i="16"/>
  <c r="L1128" i="21"/>
  <c r="O1128" i="21" s="1"/>
  <c r="AG1179" i="16"/>
  <c r="L1179" i="21"/>
  <c r="O1179" i="21" s="1"/>
  <c r="AG1061" i="16"/>
  <c r="L1061" i="21"/>
  <c r="O1061" i="21" s="1"/>
  <c r="AG1174" i="16"/>
  <c r="L1174" i="21"/>
  <c r="O1174" i="21" s="1"/>
  <c r="AG383" i="16"/>
  <c r="L383" i="21"/>
  <c r="O383" i="21" s="1"/>
  <c r="AG600" i="16"/>
  <c r="L600" i="21"/>
  <c r="O600" i="21" s="1"/>
  <c r="AG340" i="16"/>
  <c r="L340" i="21"/>
  <c r="O340" i="21" s="1"/>
  <c r="AG202" i="16"/>
  <c r="L202" i="21"/>
  <c r="O202" i="21" s="1"/>
  <c r="AG767" i="16"/>
  <c r="L767" i="21"/>
  <c r="O767" i="21" s="1"/>
  <c r="AG606" i="16"/>
  <c r="L606" i="21"/>
  <c r="O606" i="21" s="1"/>
  <c r="AG729" i="16"/>
  <c r="L729" i="21"/>
  <c r="O729" i="21" s="1"/>
  <c r="AG106" i="16"/>
  <c r="L106" i="21"/>
  <c r="O106" i="21" s="1"/>
  <c r="AG1036" i="16"/>
  <c r="L1036" i="21"/>
  <c r="O1036" i="21" s="1"/>
  <c r="AG694" i="16"/>
  <c r="L694" i="21"/>
  <c r="O694" i="21" s="1"/>
  <c r="AG438" i="16"/>
  <c r="L438" i="21"/>
  <c r="O438" i="21" s="1"/>
  <c r="AG79" i="16"/>
  <c r="L79" i="21"/>
  <c r="O79" i="21" s="1"/>
  <c r="AG280" i="16"/>
  <c r="L280" i="21"/>
  <c r="O280" i="21" s="1"/>
  <c r="AG546" i="16"/>
  <c r="L546" i="21"/>
  <c r="O546" i="21" s="1"/>
  <c r="AG369" i="16"/>
  <c r="L369" i="21"/>
  <c r="O369" i="21" s="1"/>
  <c r="AG603" i="16"/>
  <c r="L603" i="21"/>
  <c r="O603" i="21" s="1"/>
  <c r="AG753" i="16"/>
  <c r="L753" i="21"/>
  <c r="O753" i="21" s="1"/>
  <c r="AG596" i="16"/>
  <c r="L596" i="21"/>
  <c r="O596" i="21" s="1"/>
  <c r="AG711" i="16"/>
  <c r="L711" i="21"/>
  <c r="O711" i="21" s="1"/>
  <c r="AG547" i="16"/>
  <c r="L547" i="21"/>
  <c r="O547" i="21" s="1"/>
  <c r="AG562" i="16"/>
  <c r="L562" i="21"/>
  <c r="O562" i="21" s="1"/>
  <c r="AG520" i="16"/>
  <c r="L520" i="21"/>
  <c r="O520" i="21" s="1"/>
  <c r="AG699" i="16"/>
  <c r="L699" i="21"/>
  <c r="O699" i="21" s="1"/>
  <c r="AG190" i="16"/>
  <c r="L190" i="21"/>
  <c r="O190" i="21" s="1"/>
  <c r="AG162" i="16"/>
  <c r="L162" i="21"/>
  <c r="O162" i="21" s="1"/>
  <c r="L916" i="21"/>
  <c r="O916" i="21" s="1"/>
  <c r="L1181" i="21"/>
  <c r="O1181" i="21" s="1"/>
  <c r="L1117" i="21"/>
  <c r="O1117" i="21" s="1"/>
  <c r="L1160" i="21"/>
  <c r="O1160" i="21" s="1"/>
  <c r="AG743" i="16"/>
  <c r="L392" i="21"/>
  <c r="O392" i="21" s="1"/>
  <c r="L467" i="21"/>
  <c r="O467" i="21" s="1"/>
  <c r="L910" i="21"/>
  <c r="O910" i="21" s="1"/>
  <c r="L751" i="21"/>
  <c r="O751" i="21" s="1"/>
  <c r="L351" i="21"/>
  <c r="O351" i="21" s="1"/>
  <c r="AG1183" i="16"/>
  <c r="L750" i="21"/>
  <c r="O750" i="21" s="1"/>
  <c r="L532" i="21"/>
  <c r="O532" i="21" s="1"/>
  <c r="L354" i="21"/>
  <c r="O354" i="21" s="1"/>
  <c r="AG463" i="16"/>
  <c r="AG1065" i="16"/>
  <c r="AG196" i="16"/>
  <c r="L521" i="21"/>
  <c r="O521" i="21" s="1"/>
  <c r="L199" i="21"/>
  <c r="O199" i="21" s="1"/>
  <c r="L560" i="21"/>
  <c r="O560" i="21" s="1"/>
  <c r="O622" i="21"/>
  <c r="L716" i="21"/>
  <c r="O716" i="21" s="1"/>
  <c r="O776" i="21"/>
  <c r="O824" i="21"/>
  <c r="L732" i="21"/>
  <c r="O732" i="21" s="1"/>
  <c r="L387" i="21"/>
  <c r="O387" i="21" s="1"/>
  <c r="L1054" i="21"/>
  <c r="O1054" i="21" s="1"/>
  <c r="L1166" i="21"/>
  <c r="O1166" i="21" s="1"/>
  <c r="L1152" i="21"/>
  <c r="O1152" i="21" s="1"/>
  <c r="AG390" i="16"/>
  <c r="AG1146" i="16"/>
  <c r="L1146" i="21"/>
  <c r="O1146" i="21" s="1"/>
  <c r="AG1125" i="16"/>
  <c r="L1125" i="21"/>
  <c r="O1125" i="21" s="1"/>
  <c r="AG1104" i="16"/>
  <c r="L1104" i="21"/>
  <c r="O1104" i="21" s="1"/>
  <c r="AG725" i="16"/>
  <c r="L725" i="21"/>
  <c r="O725" i="21" s="1"/>
  <c r="AG349" i="16"/>
  <c r="L349" i="21"/>
  <c r="O349" i="21" s="1"/>
  <c r="AG717" i="16"/>
  <c r="L717" i="21"/>
  <c r="O717" i="21" s="1"/>
  <c r="AG347" i="16"/>
  <c r="L347" i="21"/>
  <c r="O347" i="21" s="1"/>
  <c r="AG1212" i="16"/>
  <c r="L1212" i="21"/>
  <c r="O1212" i="21" s="1"/>
  <c r="AG436" i="16"/>
  <c r="L436" i="21"/>
  <c r="O436" i="21" s="1"/>
  <c r="L1066" i="21"/>
  <c r="O1066" i="21" s="1"/>
  <c r="L1156" i="21"/>
  <c r="O1156" i="21" s="1"/>
  <c r="L108" i="21"/>
  <c r="O108" i="21" s="1"/>
  <c r="L615" i="21"/>
  <c r="O615" i="21" s="1"/>
  <c r="AG1176" i="16"/>
  <c r="AG1173" i="16"/>
  <c r="O807" i="21"/>
  <c r="L741" i="21"/>
  <c r="O741" i="21" s="1"/>
  <c r="AG182" i="16"/>
  <c r="AG524" i="16"/>
  <c r="AG366" i="16"/>
  <c r="O975" i="21"/>
  <c r="L117" i="21"/>
  <c r="O117" i="21" s="1"/>
  <c r="AG352" i="16"/>
  <c r="O656" i="21"/>
  <c r="O661" i="21"/>
  <c r="O1009" i="21"/>
  <c r="O986" i="21"/>
  <c r="O886" i="21"/>
  <c r="O967" i="21"/>
  <c r="O1015" i="21"/>
  <c r="O976" i="21"/>
  <c r="O992" i="21"/>
  <c r="O1008" i="21"/>
  <c r="O1022" i="21"/>
  <c r="O212" i="21"/>
  <c r="AG1056" i="16"/>
  <c r="L1056" i="21"/>
  <c r="O1056" i="21" s="1"/>
  <c r="AG1185" i="16"/>
  <c r="L1185" i="21"/>
  <c r="O1185" i="21" s="1"/>
  <c r="AG1072" i="16"/>
  <c r="L1072" i="21"/>
  <c r="O1072" i="21" s="1"/>
  <c r="L1194" i="21"/>
  <c r="L1196" i="21"/>
  <c r="O1196" i="21" s="1"/>
  <c r="L1200" i="21"/>
  <c r="O1200" i="21" s="1"/>
  <c r="AG1189" i="16"/>
  <c r="L1190" i="21"/>
  <c r="O1190" i="21" s="1"/>
  <c r="L1193" i="21"/>
  <c r="O1193" i="21" s="1"/>
  <c r="L1197" i="21"/>
  <c r="O1197" i="21" s="1"/>
  <c r="L1202" i="21"/>
  <c r="O1202" i="21" s="1"/>
  <c r="L1195" i="21"/>
  <c r="O1195" i="21" s="1"/>
  <c r="L1199" i="21"/>
  <c r="O1199" i="21" s="1"/>
  <c r="L1192" i="21"/>
  <c r="O1192" i="21" s="1"/>
  <c r="AG1108" i="16"/>
  <c r="L1108" i="21"/>
  <c r="O1108" i="21" s="1"/>
  <c r="AG605" i="16"/>
  <c r="L605" i="21"/>
  <c r="O605" i="21" s="1"/>
  <c r="AG527" i="16"/>
  <c r="L527" i="21"/>
  <c r="O527" i="21" s="1"/>
  <c r="AG710" i="16"/>
  <c r="L710" i="21"/>
  <c r="O710" i="21" s="1"/>
  <c r="AG1170" i="16"/>
  <c r="L1170" i="21"/>
  <c r="O1170" i="21" s="1"/>
  <c r="AG120" i="16"/>
  <c r="L120" i="21"/>
  <c r="O120" i="21" s="1"/>
  <c r="L685" i="21"/>
  <c r="O685" i="21" s="1"/>
  <c r="L645" i="21"/>
  <c r="O645" i="21" s="1"/>
  <c r="L652" i="21"/>
  <c r="O652" i="21" s="1"/>
  <c r="L684" i="21"/>
  <c r="O684" i="21" s="1"/>
  <c r="L682" i="21"/>
  <c r="O682" i="21" s="1"/>
  <c r="L688" i="21"/>
  <c r="O688" i="21" s="1"/>
  <c r="L616" i="21"/>
  <c r="O616" i="21" s="1"/>
  <c r="L677" i="21"/>
  <c r="O677" i="21" s="1"/>
  <c r="L650" i="21"/>
  <c r="O650" i="21" s="1"/>
  <c r="L681" i="21"/>
  <c r="O681" i="21" s="1"/>
  <c r="L641" i="21"/>
  <c r="O641" i="21" s="1"/>
  <c r="L647" i="21"/>
  <c r="O647" i="21" s="1"/>
  <c r="L679" i="21"/>
  <c r="O679" i="21" s="1"/>
  <c r="L651" i="21"/>
  <c r="O651" i="21" s="1"/>
  <c r="L683" i="21"/>
  <c r="O683" i="21" s="1"/>
  <c r="L644" i="21"/>
  <c r="O644" i="21" s="1"/>
  <c r="L648" i="21"/>
  <c r="O648" i="21" s="1"/>
  <c r="L686" i="21"/>
  <c r="O686" i="21" s="1"/>
  <c r="L680" i="21"/>
  <c r="O680" i="21" s="1"/>
  <c r="AG107" i="16"/>
  <c r="L107" i="21"/>
  <c r="O107" i="21" s="1"/>
  <c r="AG742" i="16"/>
  <c r="L742" i="21"/>
  <c r="O742" i="21" s="1"/>
  <c r="L111" i="21"/>
  <c r="O111" i="21" s="1"/>
  <c r="AG111" i="16"/>
  <c r="AG748" i="16"/>
  <c r="L748" i="21"/>
  <c r="O748" i="21" s="1"/>
  <c r="AG511" i="16"/>
  <c r="L511" i="21"/>
  <c r="O511" i="21" s="1"/>
  <c r="AG1046" i="16"/>
  <c r="L1046" i="21"/>
  <c r="O1046" i="21" s="1"/>
  <c r="AG359" i="16"/>
  <c r="L359" i="21"/>
  <c r="O359" i="21" s="1"/>
  <c r="AG288" i="16"/>
  <c r="L288" i="21"/>
  <c r="O288" i="21" s="1"/>
  <c r="AG738" i="16"/>
  <c r="L738" i="21"/>
  <c r="O738" i="21" s="1"/>
  <c r="AG100" i="16"/>
  <c r="L100" i="21"/>
  <c r="O100" i="21" s="1"/>
  <c r="AG610" i="16"/>
  <c r="L610" i="21"/>
  <c r="O610" i="21" s="1"/>
  <c r="AG105" i="16"/>
  <c r="L105" i="21"/>
  <c r="O105" i="21" s="1"/>
  <c r="AG276" i="16"/>
  <c r="L276" i="21"/>
  <c r="O276" i="21" s="1"/>
  <c r="AG556" i="16"/>
  <c r="L556" i="21"/>
  <c r="O556" i="21" s="1"/>
  <c r="AG170" i="16"/>
  <c r="L170" i="21"/>
  <c r="O170" i="21" s="1"/>
  <c r="AG1115" i="16"/>
  <c r="L1098" i="21"/>
  <c r="O1098" i="21" s="1"/>
  <c r="L755" i="21"/>
  <c r="O755" i="21" s="1"/>
  <c r="AG607" i="16"/>
  <c r="L687" i="21"/>
  <c r="O687" i="21" s="1"/>
  <c r="AG930" i="16"/>
  <c r="AG1081" i="16"/>
  <c r="L197" i="21"/>
  <c r="O197" i="21" s="1"/>
  <c r="L370" i="21"/>
  <c r="O370" i="21" s="1"/>
  <c r="L166" i="21"/>
  <c r="O166" i="21" s="1"/>
  <c r="L1198" i="21"/>
  <c r="O1198" i="21" s="1"/>
  <c r="AG1135" i="16"/>
  <c r="L334" i="21"/>
  <c r="O334" i="21" s="1"/>
  <c r="O1001" i="21"/>
  <c r="O962" i="21"/>
  <c r="O978" i="21"/>
  <c r="AG449" i="16"/>
  <c r="AG1051" i="16"/>
  <c r="L1101" i="21"/>
  <c r="O1101" i="21" s="1"/>
  <c r="AG1131" i="16"/>
  <c r="L646" i="21"/>
  <c r="O646" i="21" s="1"/>
  <c r="L1189" i="21"/>
  <c r="O1189" i="21" s="1"/>
  <c r="AG1090" i="16"/>
  <c r="AG1130" i="16"/>
  <c r="O830" i="21"/>
  <c r="O855" i="21"/>
  <c r="O803" i="21"/>
  <c r="O876" i="21"/>
  <c r="O896" i="21"/>
  <c r="L766" i="21"/>
  <c r="O766" i="21" s="1"/>
  <c r="L102" i="21"/>
  <c r="O102" i="21" s="1"/>
  <c r="L466" i="21"/>
  <c r="O466" i="21" s="1"/>
  <c r="L715" i="21"/>
  <c r="O715" i="21" s="1"/>
  <c r="AG341" i="16"/>
  <c r="AG181" i="16"/>
  <c r="AG1214" i="16"/>
  <c r="AG171" i="16"/>
  <c r="AG1068" i="16"/>
  <c r="L1068" i="21"/>
  <c r="O1068" i="21" s="1"/>
  <c r="AG911" i="16"/>
  <c r="L911" i="21"/>
  <c r="O911" i="21" s="1"/>
  <c r="AG1165" i="16"/>
  <c r="L1165" i="21"/>
  <c r="O1165" i="21" s="1"/>
  <c r="AG1139" i="16"/>
  <c r="L1139" i="21"/>
  <c r="O1139" i="21" s="1"/>
  <c r="AG1159" i="16"/>
  <c r="L1159" i="21"/>
  <c r="O1159" i="21" s="1"/>
  <c r="AG1097" i="16"/>
  <c r="L1097" i="21"/>
  <c r="O1097" i="21" s="1"/>
  <c r="AG1092" i="16"/>
  <c r="L1092" i="21"/>
  <c r="O1092" i="21" s="1"/>
  <c r="AG1153" i="16"/>
  <c r="L1153" i="21"/>
  <c r="O1153" i="21" s="1"/>
  <c r="AG1171" i="16"/>
  <c r="L1171" i="21"/>
  <c r="O1171" i="21" s="1"/>
  <c r="AG722" i="16"/>
  <c r="L722" i="21"/>
  <c r="O722" i="21" s="1"/>
  <c r="AG206" i="16"/>
  <c r="L206" i="21"/>
  <c r="O206" i="21" s="1"/>
  <c r="AG121" i="16"/>
  <c r="L121" i="21"/>
  <c r="O121" i="21" s="1"/>
  <c r="AG718" i="16"/>
  <c r="L718" i="21"/>
  <c r="O718" i="21" s="1"/>
  <c r="AG389" i="16"/>
  <c r="L389" i="21"/>
  <c r="O389" i="21" s="1"/>
  <c r="AG329" i="16"/>
  <c r="L329" i="21"/>
  <c r="O329" i="21" s="1"/>
  <c r="AG517" i="16"/>
  <c r="L517" i="21"/>
  <c r="O517" i="21" s="1"/>
  <c r="AG204" i="16"/>
  <c r="L204" i="21"/>
  <c r="O204" i="21" s="1"/>
  <c r="AG604" i="16"/>
  <c r="L604" i="21"/>
  <c r="O604" i="21" s="1"/>
  <c r="AG331" i="16"/>
  <c r="L331" i="21"/>
  <c r="O331" i="21" s="1"/>
  <c r="AG167" i="16"/>
  <c r="L167" i="21"/>
  <c r="O167" i="21" s="1"/>
  <c r="AG362" i="16"/>
  <c r="L362" i="21"/>
  <c r="O362" i="21" s="1"/>
  <c r="AG384" i="16"/>
  <c r="L384" i="21"/>
  <c r="O384" i="21" s="1"/>
  <c r="AG344" i="16"/>
  <c r="L344" i="21"/>
  <c r="O344" i="21" s="1"/>
  <c r="AG284" i="16"/>
  <c r="L284" i="21"/>
  <c r="O284" i="21" s="1"/>
  <c r="AG85" i="16"/>
  <c r="L85" i="21"/>
  <c r="O85" i="21" s="1"/>
  <c r="AG1053" i="16"/>
  <c r="L749" i="21"/>
  <c r="O749" i="21" s="1"/>
  <c r="L678" i="21"/>
  <c r="O678" i="21" s="1"/>
  <c r="L103" i="21"/>
  <c r="O103" i="21" s="1"/>
  <c r="AG941" i="16"/>
  <c r="AG912" i="16"/>
  <c r="AG1164" i="16"/>
  <c r="L1151" i="21"/>
  <c r="O1151" i="21" s="1"/>
  <c r="L643" i="21"/>
  <c r="O643" i="21" s="1"/>
  <c r="L649" i="21"/>
  <c r="O649" i="21" s="1"/>
  <c r="AG88" i="16"/>
  <c r="L1103" i="21"/>
  <c r="O1103" i="21" s="1"/>
  <c r="L1191" i="21"/>
  <c r="O1191" i="21" s="1"/>
  <c r="L1093" i="21"/>
  <c r="O1093" i="21" s="1"/>
  <c r="L345" i="21"/>
  <c r="O345" i="21" s="1"/>
  <c r="L385" i="21"/>
  <c r="O385" i="21" s="1"/>
  <c r="L554" i="21"/>
  <c r="O554" i="21" s="1"/>
  <c r="L1057" i="21"/>
  <c r="O1057" i="21" s="1"/>
  <c r="AG760" i="16"/>
  <c r="AG176" i="16"/>
  <c r="AG357" i="16"/>
  <c r="AG925" i="16"/>
  <c r="AG698" i="16"/>
  <c r="O883" i="21"/>
  <c r="O1018" i="21"/>
  <c r="O653" i="21"/>
  <c r="O826" i="21"/>
  <c r="O970" i="21"/>
  <c r="O623" i="21"/>
  <c r="O777" i="21"/>
  <c r="AG1062" i="16"/>
  <c r="AG1187" i="16"/>
  <c r="O951" i="21"/>
  <c r="O983" i="21"/>
  <c r="O960" i="21"/>
  <c r="O218" i="21"/>
  <c r="O216" i="21"/>
  <c r="O211" i="21"/>
  <c r="O214" i="21"/>
  <c r="O208" i="21"/>
  <c r="AG1155" i="16"/>
  <c r="L348" i="21"/>
  <c r="O348" i="21" s="1"/>
  <c r="AG907" i="16"/>
  <c r="L744" i="21"/>
  <c r="O744" i="21" s="1"/>
  <c r="L593" i="21"/>
  <c r="O593" i="21" s="1"/>
  <c r="L513" i="21"/>
  <c r="O513" i="21" s="1"/>
  <c r="L353" i="21"/>
  <c r="O353" i="21" s="1"/>
  <c r="AG507" i="16"/>
  <c r="L94" i="21"/>
  <c r="O94" i="21" s="1"/>
  <c r="L165" i="21"/>
  <c r="O165" i="21" s="1"/>
  <c r="AG1070" i="16"/>
  <c r="L906" i="21"/>
  <c r="O906" i="21" s="1"/>
  <c r="L1169" i="21"/>
  <c r="O1169" i="21" s="1"/>
  <c r="AG1083" i="16"/>
  <c r="L734" i="21"/>
  <c r="O734" i="21" s="1"/>
  <c r="L730" i="21"/>
  <c r="O730" i="21" s="1"/>
  <c r="L1031" i="21"/>
  <c r="O1031" i="21" s="1"/>
  <c r="L947" i="21"/>
  <c r="O947" i="21" s="1"/>
  <c r="L955" i="21"/>
  <c r="O955" i="21" s="1"/>
  <c r="L963" i="21"/>
  <c r="O963" i="21" s="1"/>
  <c r="L971" i="21"/>
  <c r="O971" i="21" s="1"/>
  <c r="L979" i="21"/>
  <c r="O979" i="21" s="1"/>
  <c r="L987" i="21"/>
  <c r="O987" i="21" s="1"/>
  <c r="L995" i="21"/>
  <c r="O995" i="21" s="1"/>
  <c r="L1003" i="21"/>
  <c r="O1003" i="21" s="1"/>
  <c r="L1011" i="21"/>
  <c r="O1011" i="21" s="1"/>
  <c r="L1021" i="21"/>
  <c r="O1021" i="21" s="1"/>
  <c r="L1027" i="21"/>
  <c r="O1027" i="21" s="1"/>
  <c r="L948" i="21"/>
  <c r="O948" i="21" s="1"/>
  <c r="L956" i="21"/>
  <c r="O956" i="21" s="1"/>
  <c r="L964" i="21"/>
  <c r="O964" i="21" s="1"/>
  <c r="L972" i="21"/>
  <c r="O972" i="21" s="1"/>
  <c r="L980" i="21"/>
  <c r="O980" i="21" s="1"/>
  <c r="L988" i="21"/>
  <c r="O988" i="21" s="1"/>
  <c r="L996" i="21"/>
  <c r="O996" i="21" s="1"/>
  <c r="L1004" i="21"/>
  <c r="O1004" i="21" s="1"/>
  <c r="L1012" i="21"/>
  <c r="O1012" i="21" s="1"/>
  <c r="L1033" i="21"/>
  <c r="O1033" i="21" s="1"/>
  <c r="L1026" i="21"/>
  <c r="O1026" i="21" s="1"/>
  <c r="L1034" i="21"/>
  <c r="O1034" i="21" s="1"/>
  <c r="L536" i="21"/>
  <c r="O536" i="21" s="1"/>
  <c r="L356" i="21"/>
  <c r="O356" i="21" s="1"/>
  <c r="AG201" i="16"/>
  <c r="L114" i="21"/>
  <c r="O114" i="21" s="1"/>
  <c r="L1207" i="21"/>
  <c r="O1207" i="21" s="1"/>
  <c r="L1043" i="21"/>
  <c r="O1043" i="21" s="1"/>
  <c r="L700" i="21"/>
  <c r="O700" i="21" s="1"/>
  <c r="L460" i="21"/>
  <c r="O460" i="21" s="1"/>
  <c r="L163" i="21"/>
  <c r="O163" i="21" s="1"/>
  <c r="L277" i="21"/>
  <c r="O277" i="21" s="1"/>
  <c r="L563" i="21"/>
  <c r="O563" i="21" s="1"/>
  <c r="L707" i="21"/>
  <c r="O707" i="21" s="1"/>
  <c r="AG1182" i="16"/>
  <c r="AG601" i="16"/>
  <c r="L179" i="21"/>
  <c r="O179" i="21" s="1"/>
  <c r="AG519" i="16"/>
  <c r="AG1133" i="16"/>
  <c r="AG394" i="16"/>
  <c r="AG516" i="16"/>
  <c r="O788" i="21"/>
  <c r="L882" i="21"/>
  <c r="O882" i="21" s="1"/>
  <c r="L890" i="21"/>
  <c r="O890" i="21" s="1"/>
  <c r="L898" i="21"/>
  <c r="O898" i="21" s="1"/>
  <c r="AG115" i="16"/>
  <c r="L223" i="21"/>
  <c r="O223" i="21" s="1"/>
  <c r="AG1084" i="16"/>
  <c r="L1035" i="21"/>
  <c r="O1035" i="21" s="1"/>
  <c r="L949" i="21"/>
  <c r="O949" i="21" s="1"/>
  <c r="L957" i="21"/>
  <c r="O957" i="21" s="1"/>
  <c r="L965" i="21"/>
  <c r="O965" i="21" s="1"/>
  <c r="L973" i="21"/>
  <c r="O973" i="21" s="1"/>
  <c r="L981" i="21"/>
  <c r="O981" i="21" s="1"/>
  <c r="L989" i="21"/>
  <c r="O989" i="21" s="1"/>
  <c r="L997" i="21"/>
  <c r="O997" i="21" s="1"/>
  <c r="L1005" i="21"/>
  <c r="O1005" i="21" s="1"/>
  <c r="L1013" i="21"/>
  <c r="O1013" i="21" s="1"/>
  <c r="L1029" i="21"/>
  <c r="O1029" i="21" s="1"/>
  <c r="L942" i="21"/>
  <c r="O942" i="21" s="1"/>
  <c r="L950" i="21"/>
  <c r="O950" i="21" s="1"/>
  <c r="L958" i="21"/>
  <c r="O958" i="21" s="1"/>
  <c r="L966" i="21"/>
  <c r="O966" i="21" s="1"/>
  <c r="L974" i="21"/>
  <c r="O974" i="21" s="1"/>
  <c r="L982" i="21"/>
  <c r="O982" i="21" s="1"/>
  <c r="L990" i="21"/>
  <c r="O990" i="21" s="1"/>
  <c r="L998" i="21"/>
  <c r="O998" i="21" s="1"/>
  <c r="L1006" i="21"/>
  <c r="O1006" i="21" s="1"/>
  <c r="L1014" i="21"/>
  <c r="O1014" i="21" s="1"/>
  <c r="L1020" i="21"/>
  <c r="O1020" i="21" s="1"/>
  <c r="L1028" i="21"/>
  <c r="O1028" i="21" s="1"/>
  <c r="AG533" i="16"/>
  <c r="O213" i="21"/>
  <c r="O215" i="21"/>
  <c r="O210" i="21"/>
  <c r="O220" i="21"/>
  <c r="L1071" i="21"/>
  <c r="O1071" i="21" s="1"/>
  <c r="L1186" i="21"/>
  <c r="O1186" i="21" s="1"/>
  <c r="L1078" i="21"/>
  <c r="O1078" i="21" s="1"/>
  <c r="L723" i="21"/>
  <c r="O723" i="21" s="1"/>
  <c r="L939" i="21"/>
  <c r="O939" i="21" s="1"/>
  <c r="L1116" i="21"/>
  <c r="O1116" i="21" s="1"/>
  <c r="L113" i="21"/>
  <c r="O113" i="21" s="1"/>
  <c r="L1076" i="21"/>
  <c r="O1076" i="21" s="1"/>
  <c r="O880" i="21"/>
  <c r="L207" i="21"/>
  <c r="O207" i="21" s="1"/>
  <c r="L230" i="21"/>
  <c r="O230" i="21" s="1"/>
  <c r="L229" i="21"/>
  <c r="O229" i="21" s="1"/>
  <c r="L228" i="21"/>
  <c r="O228" i="21" s="1"/>
  <c r="L909" i="21"/>
  <c r="O909" i="21" s="1"/>
  <c r="L1055" i="21"/>
  <c r="O1055" i="21" s="1"/>
  <c r="L1148" i="21"/>
  <c r="O1148" i="21" s="1"/>
  <c r="L1106" i="21"/>
  <c r="O1106" i="21" s="1"/>
  <c r="L514" i="21"/>
  <c r="O514" i="21" s="1"/>
  <c r="L336" i="21"/>
  <c r="O336" i="21" s="1"/>
  <c r="L109" i="21"/>
  <c r="O109" i="21" s="1"/>
  <c r="O217" i="21"/>
  <c r="O209" i="21"/>
  <c r="L935" i="21"/>
  <c r="O935" i="21" s="1"/>
  <c r="L1100" i="21"/>
  <c r="O1100" i="21" s="1"/>
  <c r="L1099" i="21"/>
  <c r="O1099" i="21" s="1"/>
  <c r="L714" i="21"/>
  <c r="O714" i="21" s="1"/>
  <c r="L1172" i="21"/>
  <c r="O1172" i="21" s="1"/>
  <c r="L1110" i="21"/>
  <c r="O1110" i="21" s="1"/>
  <c r="O654" i="21"/>
  <c r="O627" i="21"/>
  <c r="O660" i="21"/>
  <c r="L1141" i="21"/>
  <c r="O1141" i="21" s="1"/>
  <c r="L1109" i="21"/>
  <c r="O1109" i="21" s="1"/>
  <c r="L1094" i="21"/>
  <c r="O1094" i="21" s="1"/>
  <c r="L1142" i="21"/>
  <c r="O1142" i="21" s="1"/>
  <c r="L1088" i="21"/>
  <c r="O1088" i="21" s="1"/>
  <c r="L226" i="21"/>
  <c r="O226" i="21" s="1"/>
  <c r="L225" i="21"/>
  <c r="O225" i="21" s="1"/>
  <c r="L231" i="21"/>
  <c r="O231" i="21" s="1"/>
  <c r="AG207" i="16"/>
  <c r="O219" i="21"/>
  <c r="O662" i="21"/>
  <c r="O663" i="21"/>
  <c r="O1201" i="21"/>
  <c r="L221" i="21"/>
  <c r="O221" i="21" s="1"/>
  <c r="L227" i="21"/>
  <c r="O227" i="21" s="1"/>
  <c r="J11" i="26"/>
  <c r="L11" i="26" s="1"/>
  <c r="J7" i="26"/>
  <c r="L7" i="26" s="1"/>
  <c r="L13" i="26" s="1"/>
  <c r="L1102" i="21"/>
  <c r="O1102" i="21" s="1"/>
  <c r="L1168" i="21"/>
  <c r="O1168" i="21" s="1"/>
  <c r="O1194" i="21"/>
  <c r="O617" i="21"/>
  <c r="O659" i="21"/>
  <c r="O625" i="21"/>
  <c r="L1080" i="21"/>
  <c r="O1080" i="21" s="1"/>
  <c r="L1064" i="21"/>
  <c r="O1064" i="21" s="1"/>
  <c r="T12" i="21"/>
  <c r="O1203" i="21"/>
  <c r="W12" i="21" s="1"/>
  <c r="O689" i="21"/>
  <c r="O74" i="21"/>
  <c r="X46" i="12"/>
  <c r="AA5" i="12"/>
  <c r="AA46" i="12" s="1"/>
  <c r="X46" i="13"/>
  <c r="AA5" i="13"/>
  <c r="G5" i="28" s="1"/>
  <c r="AC12" i="21" l="1"/>
  <c r="AC10" i="21"/>
  <c r="I15" i="25"/>
  <c r="I14" i="25"/>
  <c r="AC7" i="21"/>
  <c r="AP6" i="16"/>
  <c r="AQ6" i="16" s="1"/>
  <c r="AP7" i="16"/>
  <c r="AQ7" i="16" s="1"/>
  <c r="AP4" i="16"/>
  <c r="AQ4" i="16" s="1"/>
  <c r="AP5" i="16"/>
  <c r="AQ5" i="16" s="1"/>
  <c r="AC11" i="21"/>
  <c r="AC9" i="21"/>
  <c r="AP3" i="16"/>
  <c r="AP8" i="16" s="1"/>
  <c r="AQ8" i="16" s="1"/>
  <c r="W10" i="21"/>
  <c r="T10" i="21"/>
  <c r="J13" i="26"/>
  <c r="T9" i="21"/>
  <c r="W9" i="21"/>
  <c r="W11" i="21"/>
  <c r="T11" i="21"/>
  <c r="T7" i="21"/>
  <c r="W7" i="21"/>
  <c r="AA46" i="13"/>
  <c r="Z12" i="21"/>
  <c r="AH12" i="21" l="1"/>
  <c r="Z10" i="21"/>
  <c r="AH10" i="21" s="1"/>
  <c r="AQ3" i="16"/>
  <c r="AP9" i="16"/>
  <c r="AP10" i="16" s="1"/>
  <c r="AQ10" i="16" s="1"/>
  <c r="Z9" i="21"/>
  <c r="AH9" i="21" s="1"/>
  <c r="Z11" i="21"/>
  <c r="AH11" i="21" s="1"/>
  <c r="AQ9" i="16"/>
  <c r="Z7" i="21"/>
  <c r="AH7" i="21" s="1"/>
  <c r="J2" i="21" l="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R5" i="21"/>
  <c r="S5" i="21"/>
  <c r="U5" i="21"/>
  <c r="V5" i="21"/>
  <c r="X5" i="21"/>
  <c r="Y5" i="21"/>
  <c r="AA5" i="21"/>
  <c r="AB5" i="21"/>
  <c r="AF5" i="21"/>
  <c r="AG5" i="21"/>
  <c r="AI5" i="21"/>
  <c r="AJ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K14" i="21"/>
  <c r="N14" i="21"/>
  <c r="K15" i="21"/>
  <c r="N15" i="21"/>
  <c r="K16" i="21"/>
  <c r="N16" i="21"/>
  <c r="K17" i="21"/>
  <c r="N17" i="21"/>
  <c r="K18" i="21"/>
  <c r="N18" i="21"/>
  <c r="K19" i="21"/>
  <c r="N19" i="21"/>
  <c r="K20" i="21"/>
  <c r="N20" i="21"/>
  <c r="K21" i="21"/>
  <c r="N21" i="21"/>
  <c r="K22" i="21"/>
  <c r="N22" i="21"/>
  <c r="K23" i="21"/>
  <c r="N23" i="21"/>
  <c r="K24" i="21"/>
  <c r="N24" i="21"/>
  <c r="K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J29" i="21"/>
  <c r="K29" i="21"/>
  <c r="M29" i="21"/>
  <c r="N29" i="21"/>
  <c r="J30" i="21"/>
  <c r="K30" i="21"/>
  <c r="M30" i="21"/>
  <c r="N30" i="21"/>
  <c r="J31" i="21"/>
  <c r="K31" i="21"/>
  <c r="M31" i="21"/>
  <c r="N31" i="21"/>
  <c r="J32" i="21"/>
  <c r="K32" i="21"/>
  <c r="M32" i="21"/>
  <c r="N32" i="21"/>
  <c r="J33" i="21"/>
  <c r="K33" i="21"/>
  <c r="M33" i="21"/>
  <c r="N33" i="21"/>
  <c r="J34" i="21"/>
  <c r="K34" i="21"/>
  <c r="M34" i="21"/>
  <c r="N34" i="21"/>
  <c r="J35" i="21"/>
  <c r="K35" i="21"/>
  <c r="M35" i="21"/>
  <c r="N35" i="21"/>
  <c r="J36" i="21"/>
  <c r="K36" i="21"/>
  <c r="M36" i="21"/>
  <c r="N36" i="21"/>
  <c r="J37" i="21"/>
  <c r="K37" i="21"/>
  <c r="M37" i="21"/>
  <c r="N37" i="21"/>
  <c r="J38" i="21"/>
  <c r="K38" i="21"/>
  <c r="M38" i="21"/>
  <c r="N38" i="21"/>
  <c r="J39" i="21"/>
  <c r="K39" i="21"/>
  <c r="M39" i="21"/>
  <c r="N39" i="21"/>
  <c r="J40" i="21"/>
  <c r="K40" i="21"/>
  <c r="M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K50" i="21"/>
  <c r="M50" i="21"/>
  <c r="N50" i="21"/>
  <c r="J51" i="21"/>
  <c r="K51" i="21"/>
  <c r="M51" i="21"/>
  <c r="N51" i="21"/>
  <c r="J52" i="21"/>
  <c r="K52" i="21"/>
  <c r="M52" i="21"/>
  <c r="N52" i="21"/>
  <c r="J53" i="21"/>
  <c r="K53" i="21"/>
  <c r="M53" i="21"/>
  <c r="N53" i="21"/>
  <c r="J54" i="21"/>
  <c r="K54" i="21"/>
  <c r="M54" i="21"/>
  <c r="N54" i="21"/>
  <c r="J55" i="21"/>
  <c r="K55" i="21"/>
  <c r="M55" i="21"/>
  <c r="N55" i="21"/>
  <c r="J56" i="21"/>
  <c r="K56" i="21"/>
  <c r="M56" i="21"/>
  <c r="N56" i="21"/>
  <c r="J57" i="21"/>
  <c r="K57" i="21"/>
  <c r="M57" i="21"/>
  <c r="N57" i="21"/>
  <c r="J58" i="21"/>
  <c r="K58" i="21"/>
  <c r="M58" i="21"/>
  <c r="N58" i="21"/>
  <c r="J59" i="21"/>
  <c r="K59" i="21"/>
  <c r="M59" i="21"/>
  <c r="N59" i="21"/>
  <c r="J60" i="21"/>
  <c r="K60" i="21"/>
  <c r="M60" i="21"/>
  <c r="N60" i="21"/>
  <c r="J61" i="21"/>
  <c r="K61" i="21"/>
  <c r="M61" i="21"/>
  <c r="N61" i="21"/>
  <c r="J62" i="21"/>
  <c r="K62" i="21"/>
  <c r="M62" i="21"/>
  <c r="N62" i="21"/>
  <c r="J63" i="21"/>
  <c r="K63" i="21"/>
  <c r="M63" i="21"/>
  <c r="N63" i="21"/>
  <c r="J64" i="21"/>
  <c r="K64" i="21"/>
  <c r="M64" i="21"/>
  <c r="N64" i="21"/>
  <c r="J65" i="21"/>
  <c r="K65" i="21"/>
  <c r="M65" i="21"/>
  <c r="N65" i="21"/>
  <c r="J66" i="21"/>
  <c r="K66" i="21"/>
  <c r="M66" i="21"/>
  <c r="N66" i="21"/>
  <c r="J67" i="21"/>
  <c r="K67" i="21"/>
  <c r="M67" i="21"/>
  <c r="N67" i="21"/>
  <c r="J68" i="21"/>
  <c r="K68" i="21"/>
  <c r="M68" i="21"/>
  <c r="N68" i="21"/>
  <c r="J69" i="21"/>
  <c r="K69" i="21"/>
  <c r="M69" i="21"/>
  <c r="N69" i="21"/>
  <c r="J70" i="21"/>
  <c r="K70" i="21"/>
  <c r="M70" i="21"/>
  <c r="N70" i="21"/>
  <c r="J71" i="21"/>
  <c r="K71" i="21"/>
  <c r="M71" i="21"/>
  <c r="N71" i="21"/>
  <c r="J72" i="21"/>
  <c r="K72" i="21"/>
  <c r="M72" i="21"/>
  <c r="N72" i="21"/>
  <c r="J73" i="21"/>
  <c r="K73" i="21"/>
  <c r="M73" i="21"/>
  <c r="N73" i="21"/>
  <c r="J74" i="21"/>
  <c r="K74" i="21"/>
  <c r="M74" i="21"/>
  <c r="N74" i="21"/>
  <c r="J75" i="21"/>
  <c r="K75" i="21"/>
  <c r="M75" i="21"/>
  <c r="N75" i="21"/>
  <c r="J76" i="21"/>
  <c r="K76" i="21"/>
  <c r="M76" i="21"/>
  <c r="N76" i="21"/>
  <c r="J77" i="21"/>
  <c r="K77" i="21"/>
  <c r="M77" i="21"/>
  <c r="N77" i="21"/>
  <c r="J78" i="21"/>
  <c r="K78" i="21"/>
  <c r="M78" i="21"/>
  <c r="N78" i="21"/>
  <c r="J79" i="21"/>
  <c r="K79" i="21"/>
  <c r="M79" i="21"/>
  <c r="N79" i="21"/>
  <c r="J80" i="21"/>
  <c r="K80" i="21"/>
  <c r="M80" i="21"/>
  <c r="N80" i="21"/>
  <c r="J81" i="21"/>
  <c r="K81" i="21"/>
  <c r="M81" i="21"/>
  <c r="N81" i="21"/>
  <c r="J82" i="21"/>
  <c r="K82" i="21"/>
  <c r="M82" i="21"/>
  <c r="N82" i="21"/>
  <c r="J83" i="21"/>
  <c r="K83" i="21"/>
  <c r="M83" i="21"/>
  <c r="N83" i="21"/>
  <c r="J84" i="21"/>
  <c r="K84" i="21"/>
  <c r="M84" i="21"/>
  <c r="N84" i="21"/>
  <c r="J85" i="21"/>
  <c r="K85" i="21"/>
  <c r="M85" i="21"/>
  <c r="N85" i="21"/>
  <c r="J86" i="21"/>
  <c r="K86" i="21"/>
  <c r="M86" i="21"/>
  <c r="N86" i="21"/>
  <c r="J87" i="21"/>
  <c r="K87" i="21"/>
  <c r="M87" i="21"/>
  <c r="N87" i="21"/>
  <c r="J88" i="21"/>
  <c r="K88" i="21"/>
  <c r="M88" i="21"/>
  <c r="N88" i="21"/>
  <c r="J89" i="21"/>
  <c r="K89" i="21"/>
  <c r="M89" i="21"/>
  <c r="N89" i="21"/>
  <c r="J90" i="21"/>
  <c r="K90" i="21"/>
  <c r="M90" i="21"/>
  <c r="N90" i="21"/>
  <c r="J91" i="21"/>
  <c r="K91" i="21"/>
  <c r="M91" i="21"/>
  <c r="N91" i="21"/>
  <c r="J92" i="21"/>
  <c r="K92" i="21"/>
  <c r="M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J101" i="21"/>
  <c r="K101" i="21"/>
  <c r="M101" i="21"/>
  <c r="N101" i="21"/>
  <c r="J102" i="21"/>
  <c r="K102" i="21"/>
  <c r="M102" i="21"/>
  <c r="N102" i="21"/>
  <c r="J103" i="21"/>
  <c r="K103" i="21"/>
  <c r="M103" i="21"/>
  <c r="N103" i="21"/>
  <c r="J104" i="21"/>
  <c r="K104" i="21"/>
  <c r="M104" i="21"/>
  <c r="N104" i="21"/>
  <c r="J105" i="21"/>
  <c r="K105" i="21"/>
  <c r="M105" i="21"/>
  <c r="N105" i="21"/>
  <c r="J106" i="21"/>
  <c r="K106" i="21"/>
  <c r="M106" i="21"/>
  <c r="N106" i="21"/>
  <c r="J107" i="21"/>
  <c r="K107" i="21"/>
  <c r="M107" i="21"/>
  <c r="N107" i="21"/>
  <c r="J108" i="21"/>
  <c r="K108" i="21"/>
  <c r="M108" i="21"/>
  <c r="N108" i="21"/>
  <c r="J109" i="21"/>
  <c r="K109" i="21"/>
  <c r="M109" i="21"/>
  <c r="N109" i="21"/>
  <c r="J110" i="21"/>
  <c r="K110" i="21"/>
  <c r="M110" i="21"/>
  <c r="N110" i="21"/>
  <c r="J111" i="21"/>
  <c r="K111" i="21"/>
  <c r="M111" i="21"/>
  <c r="N111" i="21"/>
  <c r="J112" i="21"/>
  <c r="K112" i="21"/>
  <c r="M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J116" i="21"/>
  <c r="K116" i="21"/>
  <c r="M116" i="21"/>
  <c r="N116" i="21"/>
  <c r="J117" i="21"/>
  <c r="K117" i="21"/>
  <c r="M117" i="21"/>
  <c r="N117" i="21"/>
  <c r="J118" i="21"/>
  <c r="K118" i="21"/>
  <c r="M118" i="21"/>
  <c r="N118" i="21"/>
  <c r="J119" i="21"/>
  <c r="K119" i="21"/>
  <c r="M119" i="21"/>
  <c r="N119" i="21"/>
  <c r="J120" i="21"/>
  <c r="K120" i="21"/>
  <c r="M120" i="21"/>
  <c r="N120" i="21"/>
  <c r="J121" i="21"/>
  <c r="K121" i="21"/>
  <c r="M121" i="21"/>
  <c r="N121" i="21"/>
  <c r="J122" i="21"/>
  <c r="K122" i="21"/>
  <c r="M122" i="21"/>
  <c r="N122" i="21"/>
  <c r="J123" i="21"/>
  <c r="K123" i="21"/>
  <c r="M123" i="21"/>
  <c r="N123" i="21"/>
  <c r="J124" i="21"/>
  <c r="K124" i="21"/>
  <c r="M124" i="21"/>
  <c r="N124" i="21"/>
  <c r="J125" i="21"/>
  <c r="K125" i="21"/>
  <c r="M125" i="21"/>
  <c r="N125" i="21"/>
  <c r="J126" i="21"/>
  <c r="K126" i="21"/>
  <c r="M126" i="21"/>
  <c r="N126" i="21"/>
  <c r="J127" i="21"/>
  <c r="K127" i="21"/>
  <c r="M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J132" i="21"/>
  <c r="K132" i="21"/>
  <c r="M132" i="21"/>
  <c r="N132" i="21"/>
  <c r="J133" i="21"/>
  <c r="K133" i="21"/>
  <c r="M133" i="21"/>
  <c r="N133" i="21"/>
  <c r="J134" i="21"/>
  <c r="K134" i="21"/>
  <c r="M134" i="21"/>
  <c r="N134" i="21"/>
  <c r="J135" i="21"/>
  <c r="K135" i="21"/>
  <c r="M135" i="21"/>
  <c r="N135" i="21"/>
  <c r="K136" i="21"/>
  <c r="N136" i="21"/>
  <c r="K137" i="21"/>
  <c r="N137" i="21"/>
  <c r="K138" i="21"/>
  <c r="N138" i="21"/>
  <c r="K139" i="21"/>
  <c r="N139" i="21"/>
  <c r="K140" i="21"/>
  <c r="N140" i="21"/>
  <c r="K141" i="21"/>
  <c r="N141" i="21"/>
  <c r="K142" i="21"/>
  <c r="N142" i="21"/>
  <c r="K143" i="21"/>
  <c r="N143" i="21"/>
  <c r="K144" i="21"/>
  <c r="N144" i="21"/>
  <c r="K145" i="21"/>
  <c r="N145" i="21"/>
  <c r="K146" i="21"/>
  <c r="N146" i="21"/>
  <c r="K147" i="21"/>
  <c r="N147" i="21"/>
  <c r="J148" i="21"/>
  <c r="K148" i="21"/>
  <c r="M148" i="21"/>
  <c r="N148" i="21"/>
  <c r="J149" i="21"/>
  <c r="K149" i="21"/>
  <c r="M149" i="21"/>
  <c r="N149" i="21"/>
  <c r="J150" i="21"/>
  <c r="K150" i="21"/>
  <c r="M150" i="21"/>
  <c r="N150" i="21"/>
  <c r="J151" i="21"/>
  <c r="K151" i="21"/>
  <c r="M151" i="21"/>
  <c r="N151" i="21"/>
  <c r="J152" i="21"/>
  <c r="K152" i="21"/>
  <c r="M152" i="21"/>
  <c r="N152" i="21"/>
  <c r="J153" i="21"/>
  <c r="K153" i="21"/>
  <c r="M153" i="21"/>
  <c r="N153" i="21"/>
  <c r="J154" i="21"/>
  <c r="K154" i="21"/>
  <c r="M154" i="21"/>
  <c r="N154" i="21"/>
  <c r="J155" i="21"/>
  <c r="K155" i="21"/>
  <c r="M155" i="21"/>
  <c r="N155" i="21"/>
  <c r="J156" i="21"/>
  <c r="K156" i="21"/>
  <c r="M156" i="21"/>
  <c r="N156" i="21"/>
  <c r="J157" i="21"/>
  <c r="K157" i="21"/>
  <c r="M157" i="21"/>
  <c r="N157" i="21"/>
  <c r="J158" i="21"/>
  <c r="K158" i="21"/>
  <c r="M158" i="21"/>
  <c r="N158" i="21"/>
  <c r="J159" i="21"/>
  <c r="K159" i="21"/>
  <c r="M159" i="21"/>
  <c r="N159" i="21"/>
  <c r="J160" i="21"/>
  <c r="K160" i="21"/>
  <c r="M160" i="21"/>
  <c r="N160" i="21"/>
  <c r="J161" i="21"/>
  <c r="K161" i="21"/>
  <c r="M161" i="21"/>
  <c r="N161" i="21"/>
  <c r="J162" i="21"/>
  <c r="K162" i="21"/>
  <c r="M162" i="21"/>
  <c r="N162" i="21"/>
  <c r="J163" i="21"/>
  <c r="K163" i="21"/>
  <c r="M163" i="21"/>
  <c r="N163" i="21"/>
  <c r="J164" i="21"/>
  <c r="K164" i="21"/>
  <c r="M164" i="21"/>
  <c r="N164" i="21"/>
  <c r="J165" i="21"/>
  <c r="K165" i="21"/>
  <c r="M165" i="21"/>
  <c r="N165" i="21"/>
  <c r="J166" i="21"/>
  <c r="K166" i="21"/>
  <c r="M166" i="21"/>
  <c r="N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J178" i="21"/>
  <c r="K178" i="21"/>
  <c r="M178" i="21"/>
  <c r="N178" i="21"/>
  <c r="J179" i="21"/>
  <c r="K179" i="21"/>
  <c r="M179" i="21"/>
  <c r="N179" i="21"/>
  <c r="J180" i="21"/>
  <c r="K180" i="21"/>
  <c r="M180" i="21"/>
  <c r="N180" i="21"/>
  <c r="J181" i="21"/>
  <c r="K181" i="21"/>
  <c r="M181" i="21"/>
  <c r="N181" i="21"/>
  <c r="J182" i="21"/>
  <c r="K182" i="21"/>
  <c r="M182" i="21"/>
  <c r="N182" i="21"/>
  <c r="J183" i="21"/>
  <c r="K183" i="21"/>
  <c r="M183" i="21"/>
  <c r="N183" i="21"/>
  <c r="J184" i="21"/>
  <c r="K184" i="21"/>
  <c r="M184" i="21"/>
  <c r="N184" i="21"/>
  <c r="J185" i="21"/>
  <c r="K185" i="21"/>
  <c r="M185" i="21"/>
  <c r="N185" i="21"/>
  <c r="J186" i="21"/>
  <c r="K186" i="21"/>
  <c r="M186" i="21"/>
  <c r="N186" i="21"/>
  <c r="J187" i="21"/>
  <c r="K187" i="21"/>
  <c r="M187" i="21"/>
  <c r="N187" i="21"/>
  <c r="J188" i="21"/>
  <c r="K188" i="21"/>
  <c r="M188" i="21"/>
  <c r="N188" i="21"/>
  <c r="J189" i="21"/>
  <c r="K189" i="21"/>
  <c r="M189" i="21"/>
  <c r="N189" i="21"/>
  <c r="J190" i="21"/>
  <c r="K190" i="21"/>
  <c r="M190" i="21"/>
  <c r="N190" i="21"/>
  <c r="J191" i="21"/>
  <c r="K191" i="21"/>
  <c r="M191" i="21"/>
  <c r="N191" i="21"/>
  <c r="J192" i="21"/>
  <c r="K192" i="21"/>
  <c r="M192" i="21"/>
  <c r="N192" i="21"/>
  <c r="J193" i="21"/>
  <c r="K193" i="21"/>
  <c r="M193" i="21"/>
  <c r="N193" i="21"/>
  <c r="J194" i="21"/>
  <c r="K194" i="21"/>
  <c r="M194" i="21"/>
  <c r="N194" i="21"/>
  <c r="J195" i="21"/>
  <c r="K195" i="21"/>
  <c r="M195" i="21"/>
  <c r="N195" i="21"/>
  <c r="J196" i="21"/>
  <c r="K196" i="21"/>
  <c r="M196" i="21"/>
  <c r="N196" i="21"/>
  <c r="J197" i="21"/>
  <c r="K197" i="21"/>
  <c r="M197" i="21"/>
  <c r="N197" i="21"/>
  <c r="J198" i="21"/>
  <c r="K198" i="21"/>
  <c r="M198" i="21"/>
  <c r="N198" i="21"/>
  <c r="J199" i="21"/>
  <c r="K199" i="21"/>
  <c r="M199" i="21"/>
  <c r="N199" i="21"/>
  <c r="J200" i="21"/>
  <c r="K200" i="21"/>
  <c r="M200" i="21"/>
  <c r="N200" i="21"/>
  <c r="J201" i="21"/>
  <c r="K201" i="21"/>
  <c r="M201" i="21"/>
  <c r="N201" i="21"/>
  <c r="J202" i="21"/>
  <c r="K202" i="21"/>
  <c r="M202" i="21"/>
  <c r="N202" i="21"/>
  <c r="J203" i="21"/>
  <c r="K203" i="21"/>
  <c r="M203" i="21"/>
  <c r="N203" i="21"/>
  <c r="J204" i="21"/>
  <c r="K204" i="21"/>
  <c r="M204" i="21"/>
  <c r="N204" i="21"/>
  <c r="J205" i="21"/>
  <c r="K205" i="21"/>
  <c r="M205" i="21"/>
  <c r="N205" i="21"/>
  <c r="J206" i="21"/>
  <c r="K206" i="21"/>
  <c r="M206" i="21"/>
  <c r="N206" i="21"/>
  <c r="J207" i="21"/>
  <c r="K207" i="21"/>
  <c r="M207" i="21"/>
  <c r="N207" i="21"/>
  <c r="J208" i="21"/>
  <c r="K208" i="21"/>
  <c r="M208" i="21"/>
  <c r="N208" i="21"/>
  <c r="J209" i="21"/>
  <c r="K209" i="21"/>
  <c r="M209" i="21"/>
  <c r="N209" i="21"/>
  <c r="J210" i="21"/>
  <c r="K210" i="21"/>
  <c r="M210" i="21"/>
  <c r="N210" i="21"/>
  <c r="J211" i="21"/>
  <c r="K211" i="21"/>
  <c r="M211" i="21"/>
  <c r="N211" i="21"/>
  <c r="J212" i="21"/>
  <c r="K212" i="21"/>
  <c r="M212" i="21"/>
  <c r="N212" i="21"/>
  <c r="J213" i="21"/>
  <c r="K213" i="21"/>
  <c r="M213" i="21"/>
  <c r="N213" i="21"/>
  <c r="J214" i="21"/>
  <c r="K214" i="21"/>
  <c r="M214" i="21"/>
  <c r="N214" i="21"/>
  <c r="J215" i="21"/>
  <c r="K215" i="21"/>
  <c r="M215" i="21"/>
  <c r="N215" i="21"/>
  <c r="J216" i="21"/>
  <c r="K216" i="21"/>
  <c r="M216" i="21"/>
  <c r="N216" i="21"/>
  <c r="J217" i="21"/>
  <c r="K217" i="21"/>
  <c r="M217" i="21"/>
  <c r="N217" i="21"/>
  <c r="J218" i="21"/>
  <c r="K218" i="21"/>
  <c r="M218" i="21"/>
  <c r="N218" i="21"/>
  <c r="J219" i="21"/>
  <c r="K219" i="21"/>
  <c r="M219" i="21"/>
  <c r="N219" i="21"/>
  <c r="J220" i="21"/>
  <c r="K220" i="21"/>
  <c r="M220" i="21"/>
  <c r="N220" i="21"/>
  <c r="J221" i="21"/>
  <c r="K221" i="21"/>
  <c r="M221" i="21"/>
  <c r="N221" i="21"/>
  <c r="J222" i="21"/>
  <c r="K222" i="21"/>
  <c r="M222" i="21"/>
  <c r="N222" i="21"/>
  <c r="J223" i="21"/>
  <c r="K223" i="21"/>
  <c r="M223" i="21"/>
  <c r="N223" i="21"/>
  <c r="J224" i="21"/>
  <c r="K224" i="21"/>
  <c r="M224" i="21"/>
  <c r="N224" i="21"/>
  <c r="J225" i="21"/>
  <c r="K225" i="21"/>
  <c r="M225" i="21"/>
  <c r="N225" i="21"/>
  <c r="J226" i="21"/>
  <c r="K226" i="21"/>
  <c r="M226" i="21"/>
  <c r="N226" i="21"/>
  <c r="J227" i="21"/>
  <c r="K227" i="21"/>
  <c r="M227" i="21"/>
  <c r="N227" i="21"/>
  <c r="J228" i="21"/>
  <c r="K228" i="21"/>
  <c r="M228" i="21"/>
  <c r="N228" i="21"/>
  <c r="J229" i="21"/>
  <c r="K229" i="21"/>
  <c r="M229" i="21"/>
  <c r="N229" i="21"/>
  <c r="J230" i="21"/>
  <c r="K230" i="21"/>
  <c r="M230" i="21"/>
  <c r="N230" i="21"/>
  <c r="J231" i="21"/>
  <c r="K231" i="21"/>
  <c r="M231" i="21"/>
  <c r="N231" i="21"/>
  <c r="J232" i="21"/>
  <c r="K232" i="21"/>
  <c r="M232" i="21"/>
  <c r="N232" i="21"/>
  <c r="J233" i="21"/>
  <c r="K233" i="21"/>
  <c r="M233" i="21"/>
  <c r="N233" i="21"/>
  <c r="J234" i="21"/>
  <c r="K234" i="21"/>
  <c r="M234" i="21"/>
  <c r="N234" i="21"/>
  <c r="J235" i="21"/>
  <c r="K235" i="21"/>
  <c r="M235" i="21"/>
  <c r="N235" i="21"/>
  <c r="J236" i="21"/>
  <c r="K236" i="21"/>
  <c r="M236" i="21"/>
  <c r="N236" i="21"/>
  <c r="J237" i="21"/>
  <c r="K237" i="21"/>
  <c r="M237" i="21"/>
  <c r="N237" i="21"/>
  <c r="J238" i="21"/>
  <c r="K238" i="21"/>
  <c r="M238" i="21"/>
  <c r="N238" i="21"/>
  <c r="J239" i="21"/>
  <c r="K239" i="21"/>
  <c r="M239" i="21"/>
  <c r="N239" i="21"/>
  <c r="J240" i="21"/>
  <c r="K240" i="21"/>
  <c r="M240" i="21"/>
  <c r="N240" i="21"/>
  <c r="J241" i="21"/>
  <c r="K241" i="21"/>
  <c r="M241" i="21"/>
  <c r="N241" i="21"/>
  <c r="J242" i="21"/>
  <c r="K242" i="21"/>
  <c r="M242" i="21"/>
  <c r="N242" i="21"/>
  <c r="J243" i="21"/>
  <c r="K243" i="21"/>
  <c r="M243" i="21"/>
  <c r="N243" i="21"/>
  <c r="J244" i="21"/>
  <c r="K244" i="21"/>
  <c r="M244" i="21"/>
  <c r="N244" i="21"/>
  <c r="J245" i="21"/>
  <c r="K245" i="21"/>
  <c r="M245" i="21"/>
  <c r="N245" i="21"/>
  <c r="J246" i="21"/>
  <c r="K246" i="21"/>
  <c r="M246" i="21"/>
  <c r="N246" i="21"/>
  <c r="J247" i="21"/>
  <c r="K247" i="21"/>
  <c r="M247" i="21"/>
  <c r="N247" i="21"/>
  <c r="J248" i="21"/>
  <c r="K248" i="21"/>
  <c r="M248" i="21"/>
  <c r="N248" i="21"/>
  <c r="J249" i="21"/>
  <c r="K249" i="21"/>
  <c r="M249" i="21"/>
  <c r="N249" i="21"/>
  <c r="J250" i="21"/>
  <c r="K250" i="21"/>
  <c r="M250" i="21"/>
  <c r="N250" i="21"/>
  <c r="J251" i="21"/>
  <c r="K251" i="21"/>
  <c r="M251" i="21"/>
  <c r="N251" i="21"/>
  <c r="J252" i="21"/>
  <c r="K252" i="21"/>
  <c r="M252" i="21"/>
  <c r="N252" i="21"/>
  <c r="J253" i="21"/>
  <c r="K253" i="21"/>
  <c r="M253" i="21"/>
  <c r="N253" i="21"/>
  <c r="J254" i="21"/>
  <c r="K254" i="21"/>
  <c r="M254" i="21"/>
  <c r="N254" i="21"/>
  <c r="J255" i="21"/>
  <c r="K255" i="21"/>
  <c r="M255" i="21"/>
  <c r="N255" i="21"/>
  <c r="J256" i="21"/>
  <c r="K256" i="21"/>
  <c r="M256" i="21"/>
  <c r="N256" i="21"/>
  <c r="J257" i="21"/>
  <c r="K257" i="21"/>
  <c r="M257" i="21"/>
  <c r="N257" i="21"/>
  <c r="J258" i="21"/>
  <c r="K258" i="21"/>
  <c r="M258" i="21"/>
  <c r="N258" i="21"/>
  <c r="J259" i="21"/>
  <c r="K259" i="21"/>
  <c r="M259" i="21"/>
  <c r="N259" i="21"/>
  <c r="J260" i="21"/>
  <c r="K260" i="21"/>
  <c r="M260" i="21"/>
  <c r="N260" i="21"/>
  <c r="J261" i="21"/>
  <c r="K261" i="21"/>
  <c r="M261" i="21"/>
  <c r="N261" i="21"/>
  <c r="J262" i="21"/>
  <c r="K262" i="21"/>
  <c r="M262" i="21"/>
  <c r="N262" i="21"/>
  <c r="J263" i="21"/>
  <c r="K263" i="21"/>
  <c r="M263" i="21"/>
  <c r="N263" i="21"/>
  <c r="J264" i="21"/>
  <c r="K264" i="21"/>
  <c r="M264" i="21"/>
  <c r="N264" i="21"/>
  <c r="J265" i="21"/>
  <c r="K265" i="21"/>
  <c r="M265" i="21"/>
  <c r="N265" i="21"/>
  <c r="J266" i="21"/>
  <c r="K266" i="21"/>
  <c r="M266" i="21"/>
  <c r="N266" i="21"/>
  <c r="J267" i="21"/>
  <c r="K267" i="21"/>
  <c r="M267" i="21"/>
  <c r="N267" i="21"/>
  <c r="K268" i="21"/>
  <c r="N268" i="21"/>
  <c r="K269" i="21"/>
  <c r="N269" i="21"/>
  <c r="K270" i="21"/>
  <c r="N270" i="21"/>
  <c r="K271" i="21"/>
  <c r="N271" i="21"/>
  <c r="K272" i="21"/>
  <c r="N272" i="21"/>
  <c r="K273" i="21"/>
  <c r="N273" i="21"/>
  <c r="K274" i="21"/>
  <c r="N274" i="21"/>
  <c r="K275" i="21"/>
  <c r="N275" i="21"/>
  <c r="K276" i="21"/>
  <c r="N276" i="21"/>
  <c r="K277" i="21"/>
  <c r="N277" i="21"/>
  <c r="K278" i="21"/>
  <c r="N278" i="21"/>
  <c r="K279" i="21"/>
  <c r="N279" i="21"/>
  <c r="K280" i="21"/>
  <c r="N280" i="21"/>
  <c r="K281" i="21"/>
  <c r="N281" i="21"/>
  <c r="K282" i="21"/>
  <c r="N282" i="21"/>
  <c r="K283" i="21"/>
  <c r="N283" i="21"/>
  <c r="K284" i="21"/>
  <c r="N284" i="21"/>
  <c r="K285" i="21"/>
  <c r="N285" i="21"/>
  <c r="K286" i="21"/>
  <c r="N286" i="21"/>
  <c r="K287" i="21"/>
  <c r="N287" i="21"/>
  <c r="K288" i="21"/>
  <c r="N288" i="21"/>
  <c r="K289" i="21"/>
  <c r="N289" i="21"/>
  <c r="K290" i="21"/>
  <c r="N290" i="21"/>
  <c r="K291" i="21"/>
  <c r="N291" i="21"/>
  <c r="K292" i="21"/>
  <c r="N292" i="21"/>
  <c r="K293" i="21"/>
  <c r="N293" i="21"/>
  <c r="K294" i="21"/>
  <c r="N294" i="21"/>
  <c r="K295" i="21"/>
  <c r="N295" i="21"/>
  <c r="K296" i="21"/>
  <c r="N296" i="21"/>
  <c r="K297" i="21"/>
  <c r="N297" i="21"/>
  <c r="J298" i="21"/>
  <c r="M298" i="21"/>
  <c r="J299" i="21"/>
  <c r="M299" i="21"/>
  <c r="J300" i="21"/>
  <c r="M300" i="21"/>
  <c r="J301" i="21"/>
  <c r="M301" i="21"/>
  <c r="J302" i="21"/>
  <c r="M302" i="21"/>
  <c r="J303" i="21"/>
  <c r="M303" i="21"/>
  <c r="J304" i="21"/>
  <c r="M304" i="21"/>
  <c r="J305" i="21"/>
  <c r="M305" i="21"/>
  <c r="J306" i="21"/>
  <c r="M306" i="21"/>
  <c r="J307" i="21"/>
  <c r="M307" i="21"/>
  <c r="J308" i="21"/>
  <c r="M308" i="21"/>
  <c r="J309" i="21"/>
  <c r="M309" i="21"/>
  <c r="J310" i="21"/>
  <c r="M310" i="21"/>
  <c r="J311" i="21"/>
  <c r="M311" i="21"/>
  <c r="J312" i="21"/>
  <c r="M312" i="21"/>
  <c r="J313" i="21"/>
  <c r="M313" i="21"/>
  <c r="J314" i="21"/>
  <c r="M314" i="21"/>
  <c r="J315" i="21"/>
  <c r="M315" i="21"/>
  <c r="J316" i="21"/>
  <c r="M316" i="21"/>
  <c r="J317" i="21"/>
  <c r="M317" i="21"/>
  <c r="J318" i="21"/>
  <c r="M318" i="21"/>
  <c r="J319" i="21"/>
  <c r="M319" i="21"/>
  <c r="J320" i="21"/>
  <c r="M320" i="21"/>
  <c r="J321" i="21"/>
  <c r="M321" i="21"/>
  <c r="J322" i="21"/>
  <c r="M322" i="21"/>
  <c r="J323" i="21"/>
  <c r="M323" i="21"/>
  <c r="J324" i="21"/>
  <c r="M324" i="21"/>
  <c r="J325" i="21"/>
  <c r="M325" i="21"/>
  <c r="J326" i="21"/>
  <c r="M326" i="21"/>
  <c r="J327" i="21"/>
  <c r="M327" i="21"/>
  <c r="J328" i="21"/>
  <c r="M328" i="21"/>
  <c r="K329" i="21"/>
  <c r="N329" i="21"/>
  <c r="K330" i="21"/>
  <c r="N330" i="21"/>
  <c r="K331" i="21"/>
  <c r="N331" i="21"/>
  <c r="K332" i="21"/>
  <c r="N332" i="21"/>
  <c r="K333" i="21"/>
  <c r="N333" i="21"/>
  <c r="K334" i="21"/>
  <c r="N334" i="21"/>
  <c r="K335" i="21"/>
  <c r="N335" i="21"/>
  <c r="K336" i="21"/>
  <c r="N336" i="21"/>
  <c r="K337" i="21"/>
  <c r="N337" i="21"/>
  <c r="K338" i="21"/>
  <c r="N338" i="21"/>
  <c r="K339" i="21"/>
  <c r="N339" i="21"/>
  <c r="K340" i="21"/>
  <c r="N340" i="21"/>
  <c r="K341" i="21"/>
  <c r="N341" i="21"/>
  <c r="K342" i="21"/>
  <c r="N342" i="21"/>
  <c r="K343" i="21"/>
  <c r="N343" i="21"/>
  <c r="K344" i="21"/>
  <c r="N344" i="21"/>
  <c r="K345" i="21"/>
  <c r="N345" i="21"/>
  <c r="K346" i="21"/>
  <c r="N346" i="21"/>
  <c r="K347" i="21"/>
  <c r="N347" i="21"/>
  <c r="K348" i="21"/>
  <c r="N348" i="21"/>
  <c r="K349" i="21"/>
  <c r="N349" i="21"/>
  <c r="K350" i="21"/>
  <c r="N350" i="21"/>
  <c r="K351" i="21"/>
  <c r="N351" i="21"/>
  <c r="K352" i="21"/>
  <c r="N352" i="21"/>
  <c r="K353" i="21"/>
  <c r="N353" i="21"/>
  <c r="K354" i="21"/>
  <c r="N354" i="21"/>
  <c r="K355" i="21"/>
  <c r="N355" i="21"/>
  <c r="K356" i="21"/>
  <c r="N356" i="21"/>
  <c r="K357" i="21"/>
  <c r="N357" i="21"/>
  <c r="K358" i="21"/>
  <c r="N358" i="21"/>
  <c r="K359" i="21"/>
  <c r="N359" i="21"/>
  <c r="K360" i="21"/>
  <c r="N360" i="21"/>
  <c r="K361" i="21"/>
  <c r="N361" i="21"/>
  <c r="K362" i="21"/>
  <c r="N362" i="21"/>
  <c r="K363" i="21"/>
  <c r="N363" i="21"/>
  <c r="K364" i="21"/>
  <c r="N364" i="21"/>
  <c r="K365" i="21"/>
  <c r="N365" i="21"/>
  <c r="K366" i="21"/>
  <c r="N366" i="21"/>
  <c r="K367" i="21"/>
  <c r="N367" i="21"/>
  <c r="K368" i="21"/>
  <c r="N368" i="21"/>
  <c r="K369" i="21"/>
  <c r="N369" i="21"/>
  <c r="K370" i="21"/>
  <c r="N370" i="21"/>
  <c r="J371" i="21"/>
  <c r="M371" i="21"/>
  <c r="J372" i="21"/>
  <c r="M372" i="21"/>
  <c r="J373" i="21"/>
  <c r="M373" i="21"/>
  <c r="J374" i="21"/>
  <c r="M374" i="21"/>
  <c r="J375" i="21"/>
  <c r="M375" i="21"/>
  <c r="J376" i="21"/>
  <c r="M376" i="21"/>
  <c r="J377" i="21"/>
  <c r="M377" i="21"/>
  <c r="J378" i="21"/>
  <c r="M378" i="21"/>
  <c r="J379" i="21"/>
  <c r="M379" i="21"/>
  <c r="J380" i="21"/>
  <c r="M380" i="21"/>
  <c r="J381" i="21"/>
  <c r="M381" i="21"/>
  <c r="J382" i="21"/>
  <c r="M382" i="21"/>
  <c r="K383" i="21"/>
  <c r="N383" i="21"/>
  <c r="K384" i="21"/>
  <c r="N384" i="21"/>
  <c r="K385" i="21"/>
  <c r="N385" i="21"/>
  <c r="K386" i="21"/>
  <c r="N386" i="21"/>
  <c r="K387" i="21"/>
  <c r="N387" i="21"/>
  <c r="K388" i="21"/>
  <c r="N388" i="21"/>
  <c r="K389" i="21"/>
  <c r="N389" i="21"/>
  <c r="K390" i="21"/>
  <c r="N390" i="21"/>
  <c r="K391" i="21"/>
  <c r="N391" i="21"/>
  <c r="K392" i="21"/>
  <c r="N392" i="21"/>
  <c r="K393" i="21"/>
  <c r="N393" i="21"/>
  <c r="K394" i="21"/>
  <c r="N394" i="21"/>
  <c r="K395" i="21"/>
  <c r="N395" i="21"/>
  <c r="K396" i="21"/>
  <c r="N396" i="21"/>
  <c r="K397" i="21"/>
  <c r="N397" i="21"/>
  <c r="K398" i="21"/>
  <c r="N398" i="21"/>
  <c r="K399" i="21"/>
  <c r="N399" i="21"/>
  <c r="K400" i="21"/>
  <c r="N400" i="21"/>
  <c r="K401" i="21"/>
  <c r="N401" i="21"/>
  <c r="K402" i="21"/>
  <c r="N402" i="21"/>
  <c r="K403" i="21"/>
  <c r="N403" i="21"/>
  <c r="K404" i="21"/>
  <c r="N404" i="21"/>
  <c r="K405" i="21"/>
  <c r="N405" i="21"/>
  <c r="K406" i="21"/>
  <c r="N406" i="21"/>
  <c r="J407" i="21"/>
  <c r="M407" i="21"/>
  <c r="J408" i="21"/>
  <c r="M408" i="21"/>
  <c r="J409" i="21"/>
  <c r="M409" i="21"/>
  <c r="J410" i="21"/>
  <c r="M410" i="21"/>
  <c r="J411" i="21"/>
  <c r="M411" i="21"/>
  <c r="J412" i="21"/>
  <c r="M412" i="21"/>
  <c r="J413" i="21"/>
  <c r="M413" i="21"/>
  <c r="J414" i="21"/>
  <c r="M414" i="21"/>
  <c r="J415" i="21"/>
  <c r="M415" i="21"/>
  <c r="J416" i="21"/>
  <c r="M416" i="21"/>
  <c r="J417" i="21"/>
  <c r="M417" i="21"/>
  <c r="J418" i="21"/>
  <c r="M418" i="21"/>
  <c r="K419" i="21"/>
  <c r="N419" i="21"/>
  <c r="K420" i="21"/>
  <c r="N420" i="21"/>
  <c r="K421" i="21"/>
  <c r="N421" i="21"/>
  <c r="K422" i="21"/>
  <c r="N422" i="21"/>
  <c r="K423" i="21"/>
  <c r="N423" i="21"/>
  <c r="K424" i="21"/>
  <c r="N424" i="21"/>
  <c r="K425" i="21"/>
  <c r="N425" i="21"/>
  <c r="K426" i="21"/>
  <c r="N426" i="21"/>
  <c r="K427" i="21"/>
  <c r="N427" i="21"/>
  <c r="K428" i="21"/>
  <c r="N428" i="21"/>
  <c r="K429" i="21"/>
  <c r="N429" i="21"/>
  <c r="K430" i="21"/>
  <c r="N430" i="21"/>
  <c r="K431" i="21"/>
  <c r="N431" i="21"/>
  <c r="K432" i="21"/>
  <c r="N432" i="21"/>
  <c r="K433" i="21"/>
  <c r="N433" i="21"/>
  <c r="K434" i="21"/>
  <c r="N434" i="21"/>
  <c r="K435" i="21"/>
  <c r="N435" i="21"/>
  <c r="K436" i="21"/>
  <c r="N436" i="21"/>
  <c r="K437" i="21"/>
  <c r="N437" i="21"/>
  <c r="K438" i="21"/>
  <c r="N438" i="21"/>
  <c r="K439" i="21"/>
  <c r="N439" i="21"/>
  <c r="K440" i="21"/>
  <c r="N440" i="21"/>
  <c r="K441" i="21"/>
  <c r="N441" i="21"/>
  <c r="K442" i="21"/>
  <c r="N442" i="21"/>
  <c r="K443" i="21"/>
  <c r="N443" i="21"/>
  <c r="K444" i="21"/>
  <c r="N444" i="21"/>
  <c r="K445" i="21"/>
  <c r="N445" i="21"/>
  <c r="K446" i="21"/>
  <c r="N446" i="21"/>
  <c r="K447" i="21"/>
  <c r="N447" i="21"/>
  <c r="K448" i="21"/>
  <c r="N448" i="21"/>
  <c r="K449" i="21"/>
  <c r="N449" i="21"/>
  <c r="K450" i="21"/>
  <c r="N450" i="21"/>
  <c r="K451" i="21"/>
  <c r="N451" i="21"/>
  <c r="K452" i="21"/>
  <c r="N452" i="21"/>
  <c r="K453" i="21"/>
  <c r="N453" i="21"/>
  <c r="K454" i="21"/>
  <c r="N454" i="21"/>
  <c r="K455" i="21"/>
  <c r="N455" i="21"/>
  <c r="K456" i="21"/>
  <c r="N456" i="21"/>
  <c r="K457" i="21"/>
  <c r="N457" i="21"/>
  <c r="K458" i="21"/>
  <c r="N458" i="21"/>
  <c r="K459" i="21"/>
  <c r="N459" i="21"/>
  <c r="K460" i="21"/>
  <c r="N460" i="21"/>
  <c r="K461" i="21"/>
  <c r="N461" i="21"/>
  <c r="K462" i="21"/>
  <c r="N462" i="21"/>
  <c r="K463" i="21"/>
  <c r="N463" i="21"/>
  <c r="K464" i="21"/>
  <c r="N464" i="21"/>
  <c r="K465" i="21"/>
  <c r="N465" i="21"/>
  <c r="K466" i="21"/>
  <c r="N466" i="21"/>
  <c r="K467" i="21"/>
  <c r="N467" i="21"/>
  <c r="K468" i="21"/>
  <c r="N468" i="21"/>
  <c r="J469" i="21"/>
  <c r="M469" i="21"/>
  <c r="J470" i="21"/>
  <c r="M470" i="21"/>
  <c r="J471" i="21"/>
  <c r="M471" i="21"/>
  <c r="J472" i="21"/>
  <c r="M472" i="21"/>
  <c r="J473" i="21"/>
  <c r="M473" i="21"/>
  <c r="J474" i="21"/>
  <c r="M474" i="21"/>
  <c r="J475" i="21"/>
  <c r="M475" i="21"/>
  <c r="J476" i="21"/>
  <c r="M476" i="21"/>
  <c r="J477" i="21"/>
  <c r="M477" i="21"/>
  <c r="J478" i="21"/>
  <c r="M478" i="21"/>
  <c r="J479" i="21"/>
  <c r="M479" i="21"/>
  <c r="J480" i="21"/>
  <c r="M480" i="21"/>
  <c r="J481" i="21"/>
  <c r="M481" i="21"/>
  <c r="J482" i="21"/>
  <c r="M482" i="21"/>
  <c r="J483" i="21"/>
  <c r="M483" i="21"/>
  <c r="J484" i="21"/>
  <c r="M484" i="21"/>
  <c r="J485" i="21"/>
  <c r="M485" i="21"/>
  <c r="J486" i="21"/>
  <c r="M486" i="21"/>
  <c r="J487" i="21"/>
  <c r="M487" i="21"/>
  <c r="J488" i="21"/>
  <c r="M488" i="21"/>
  <c r="J489" i="21"/>
  <c r="M489" i="21"/>
  <c r="J490" i="21"/>
  <c r="M490" i="21"/>
  <c r="J491" i="21"/>
  <c r="M491" i="21"/>
  <c r="J492" i="21"/>
  <c r="M492" i="21"/>
  <c r="J493" i="21"/>
  <c r="M493" i="21"/>
  <c r="J494" i="21"/>
  <c r="M494" i="21"/>
  <c r="J495" i="21"/>
  <c r="M495" i="21"/>
  <c r="J496" i="21"/>
  <c r="M496" i="21"/>
  <c r="J497" i="21"/>
  <c r="M497" i="21"/>
  <c r="J498" i="21"/>
  <c r="M498" i="21"/>
  <c r="J499" i="21"/>
  <c r="M499" i="21"/>
  <c r="J500" i="21"/>
  <c r="M500" i="21"/>
  <c r="J501" i="21"/>
  <c r="M501" i="21"/>
  <c r="J502" i="21"/>
  <c r="M502" i="21"/>
  <c r="J503" i="21"/>
  <c r="M503" i="21"/>
  <c r="J504" i="21"/>
  <c r="M504" i="21"/>
  <c r="J505" i="21"/>
  <c r="M505" i="21"/>
  <c r="K506" i="21"/>
  <c r="N506" i="21"/>
  <c r="K507" i="21"/>
  <c r="N507" i="21"/>
  <c r="K508" i="21"/>
  <c r="N508" i="21"/>
  <c r="K509" i="21"/>
  <c r="N509" i="21"/>
  <c r="K510" i="21"/>
  <c r="N510" i="21"/>
  <c r="K511" i="21"/>
  <c r="N511" i="21"/>
  <c r="K512" i="21"/>
  <c r="N512" i="21"/>
  <c r="K513" i="21"/>
  <c r="N513" i="21"/>
  <c r="K514" i="21"/>
  <c r="N514" i="21"/>
  <c r="K515" i="21"/>
  <c r="N515" i="21"/>
  <c r="K516" i="21"/>
  <c r="N516" i="21"/>
  <c r="K517" i="21"/>
  <c r="N517" i="21"/>
  <c r="K518" i="21"/>
  <c r="N518" i="21"/>
  <c r="K519" i="21"/>
  <c r="N519" i="21"/>
  <c r="K520" i="21"/>
  <c r="N520" i="21"/>
  <c r="K521" i="21"/>
  <c r="N521" i="21"/>
  <c r="K522" i="21"/>
  <c r="N522" i="21"/>
  <c r="K523" i="21"/>
  <c r="N523" i="21"/>
  <c r="K524" i="21"/>
  <c r="N524" i="21"/>
  <c r="K525" i="21"/>
  <c r="N525" i="21"/>
  <c r="K526" i="21"/>
  <c r="N526" i="21"/>
  <c r="K527" i="21"/>
  <c r="N527" i="21"/>
  <c r="K528" i="21"/>
  <c r="N528" i="21"/>
  <c r="K529" i="21"/>
  <c r="N529" i="21"/>
  <c r="K530" i="21"/>
  <c r="N530" i="21"/>
  <c r="K531" i="21"/>
  <c r="N531" i="21"/>
  <c r="K532" i="21"/>
  <c r="N532" i="21"/>
  <c r="K533" i="21"/>
  <c r="N533" i="21"/>
  <c r="K534" i="21"/>
  <c r="N534" i="21"/>
  <c r="K535" i="21"/>
  <c r="N535" i="21"/>
  <c r="K536" i="21"/>
  <c r="N536" i="21"/>
  <c r="K537" i="21"/>
  <c r="N537" i="21"/>
  <c r="K538" i="21"/>
  <c r="N538" i="21"/>
  <c r="K539" i="21"/>
  <c r="N539" i="21"/>
  <c r="K540" i="21"/>
  <c r="N540" i="21"/>
  <c r="K541" i="21"/>
  <c r="N541" i="21"/>
  <c r="K542" i="21"/>
  <c r="N542" i="21"/>
  <c r="K543" i="21"/>
  <c r="N543" i="21"/>
  <c r="K544" i="21"/>
  <c r="N544" i="21"/>
  <c r="K545" i="21"/>
  <c r="N545" i="21"/>
  <c r="K546" i="21"/>
  <c r="N546" i="21"/>
  <c r="K547" i="21"/>
  <c r="N547" i="21"/>
  <c r="K548" i="21"/>
  <c r="N548" i="21"/>
  <c r="K549" i="21"/>
  <c r="N549" i="21"/>
  <c r="K550" i="21"/>
  <c r="N550" i="21"/>
  <c r="K551" i="21"/>
  <c r="N551" i="21"/>
  <c r="K552" i="21"/>
  <c r="N552" i="21"/>
  <c r="K553" i="21"/>
  <c r="N553" i="21"/>
  <c r="K554" i="21"/>
  <c r="N554" i="21"/>
  <c r="K555" i="21"/>
  <c r="N555" i="21"/>
  <c r="K556" i="21"/>
  <c r="N556" i="21"/>
  <c r="K557" i="21"/>
  <c r="N557" i="21"/>
  <c r="K558" i="21"/>
  <c r="N558" i="21"/>
  <c r="K559" i="21"/>
  <c r="N559" i="21"/>
  <c r="K560" i="21"/>
  <c r="N560" i="21"/>
  <c r="K561" i="21"/>
  <c r="N561" i="21"/>
  <c r="K562" i="21"/>
  <c r="N562" i="21"/>
  <c r="K563" i="21"/>
  <c r="N563" i="21"/>
  <c r="K564" i="21"/>
  <c r="N564" i="21"/>
  <c r="K565" i="21"/>
  <c r="N565" i="21"/>
  <c r="K566" i="21"/>
  <c r="N566" i="21"/>
  <c r="K567" i="21"/>
  <c r="N567" i="21"/>
  <c r="J568" i="21"/>
  <c r="M568" i="21"/>
  <c r="J569" i="21"/>
  <c r="M569" i="21"/>
  <c r="J570" i="21"/>
  <c r="M570" i="21"/>
  <c r="J571" i="21"/>
  <c r="M571" i="21"/>
  <c r="J572" i="21"/>
  <c r="M572" i="21"/>
  <c r="J573" i="21"/>
  <c r="M573" i="21"/>
  <c r="J574" i="21"/>
  <c r="M574" i="21"/>
  <c r="J575" i="21"/>
  <c r="M575" i="21"/>
  <c r="J576" i="21"/>
  <c r="M576" i="21"/>
  <c r="J577" i="21"/>
  <c r="M577" i="21"/>
  <c r="J578" i="21"/>
  <c r="M578" i="21"/>
  <c r="J579" i="21"/>
  <c r="M579" i="21"/>
  <c r="J580" i="21"/>
  <c r="M580" i="21"/>
  <c r="J581" i="21"/>
  <c r="M581" i="21"/>
  <c r="J582" i="21"/>
  <c r="M582" i="21"/>
  <c r="J583" i="21"/>
  <c r="M583" i="21"/>
  <c r="J584" i="21"/>
  <c r="M584" i="21"/>
  <c r="J585" i="21"/>
  <c r="M585" i="21"/>
  <c r="J586" i="21"/>
  <c r="M586" i="21"/>
  <c r="J587" i="21"/>
  <c r="M587" i="21"/>
  <c r="J588" i="21"/>
  <c r="M588" i="21"/>
  <c r="J589" i="21"/>
  <c r="M589" i="21"/>
  <c r="J590" i="21"/>
  <c r="M590" i="21"/>
  <c r="J591" i="21"/>
  <c r="M591" i="21"/>
  <c r="J592" i="21"/>
  <c r="M592" i="21"/>
  <c r="K593" i="21"/>
  <c r="N593" i="21"/>
  <c r="K594" i="21"/>
  <c r="N594" i="21"/>
  <c r="K595" i="21"/>
  <c r="N595" i="21"/>
  <c r="K596" i="21"/>
  <c r="N596" i="21"/>
  <c r="K597" i="21"/>
  <c r="N597" i="21"/>
  <c r="K598" i="21"/>
  <c r="N598" i="21"/>
  <c r="K599" i="21"/>
  <c r="N599" i="21"/>
  <c r="K600" i="21"/>
  <c r="N600" i="21"/>
  <c r="K601" i="21"/>
  <c r="N601" i="21"/>
  <c r="K602" i="21"/>
  <c r="N602" i="21"/>
  <c r="K603" i="21"/>
  <c r="N603" i="21"/>
  <c r="K604" i="21"/>
  <c r="N604" i="21"/>
  <c r="K605" i="21"/>
  <c r="N605" i="21"/>
  <c r="K606" i="21"/>
  <c r="N606" i="21"/>
  <c r="K607" i="21"/>
  <c r="N607" i="21"/>
  <c r="K608" i="21"/>
  <c r="N608" i="21"/>
  <c r="K609" i="21"/>
  <c r="N609" i="21"/>
  <c r="K610" i="21"/>
  <c r="N610" i="21"/>
  <c r="K611" i="21"/>
  <c r="N611" i="21"/>
  <c r="K612" i="21"/>
  <c r="N612" i="21"/>
  <c r="K613" i="21"/>
  <c r="N613" i="21"/>
  <c r="K614" i="21"/>
  <c r="N614" i="21"/>
  <c r="K615" i="21"/>
  <c r="N615" i="21"/>
  <c r="K616" i="21"/>
  <c r="N616" i="21"/>
  <c r="K617" i="21"/>
  <c r="N617" i="21"/>
  <c r="K618" i="21"/>
  <c r="N618" i="21"/>
  <c r="K619" i="21"/>
  <c r="N619" i="21"/>
  <c r="K620" i="21"/>
  <c r="N620" i="21"/>
  <c r="K621" i="21"/>
  <c r="N621" i="21"/>
  <c r="K622" i="21"/>
  <c r="N622" i="21"/>
  <c r="K623" i="21"/>
  <c r="N623" i="21"/>
  <c r="K624" i="21"/>
  <c r="N624" i="21"/>
  <c r="K625" i="21"/>
  <c r="N625" i="21"/>
  <c r="K626" i="21"/>
  <c r="N626" i="21"/>
  <c r="K627" i="21"/>
  <c r="N627" i="21"/>
  <c r="K628" i="21"/>
  <c r="N628" i="21"/>
  <c r="J629" i="21"/>
  <c r="M629" i="21"/>
  <c r="J630" i="21"/>
  <c r="M630" i="21"/>
  <c r="J631" i="21"/>
  <c r="M631" i="21"/>
  <c r="J632" i="21"/>
  <c r="M632" i="21"/>
  <c r="J633" i="21"/>
  <c r="M633" i="21"/>
  <c r="J634" i="21"/>
  <c r="M634" i="21"/>
  <c r="J635" i="21"/>
  <c r="M635" i="21"/>
  <c r="J636" i="21"/>
  <c r="M636" i="21"/>
  <c r="J637" i="21"/>
  <c r="M637" i="21"/>
  <c r="J638" i="21"/>
  <c r="M638" i="21"/>
  <c r="J639" i="21"/>
  <c r="M639" i="21"/>
  <c r="J640" i="21"/>
  <c r="M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J665" i="21"/>
  <c r="M665" i="21"/>
  <c r="J666" i="21"/>
  <c r="M666" i="21"/>
  <c r="J667" i="21"/>
  <c r="M667" i="21"/>
  <c r="J668" i="21"/>
  <c r="M668" i="21"/>
  <c r="J669" i="21"/>
  <c r="M669" i="21"/>
  <c r="J670" i="21"/>
  <c r="M670" i="21"/>
  <c r="J671" i="21"/>
  <c r="M671" i="21"/>
  <c r="J672" i="21"/>
  <c r="M672" i="21"/>
  <c r="J673" i="21"/>
  <c r="M673" i="21"/>
  <c r="J674" i="21"/>
  <c r="M674" i="21"/>
  <c r="J675" i="21"/>
  <c r="M675" i="21"/>
  <c r="J676" i="21"/>
  <c r="M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K684" i="21"/>
  <c r="N684" i="21"/>
  <c r="K685" i="21"/>
  <c r="N685" i="21"/>
  <c r="K686" i="21"/>
  <c r="N686" i="21"/>
  <c r="K687" i="21"/>
  <c r="N687" i="21"/>
  <c r="K688" i="21"/>
  <c r="N688" i="21"/>
  <c r="K689" i="21"/>
  <c r="N689" i="21"/>
  <c r="K690" i="21"/>
  <c r="N690" i="21"/>
  <c r="K691" i="21"/>
  <c r="N691" i="21"/>
  <c r="K692" i="21"/>
  <c r="N692" i="21"/>
  <c r="K693" i="21"/>
  <c r="N693" i="21"/>
  <c r="K694" i="21"/>
  <c r="N694" i="21"/>
  <c r="K695" i="21"/>
  <c r="N695" i="21"/>
  <c r="K696" i="21"/>
  <c r="N696" i="21"/>
  <c r="K697" i="21"/>
  <c r="N697" i="21"/>
  <c r="K698" i="21"/>
  <c r="N698" i="21"/>
  <c r="K699" i="21"/>
  <c r="N699" i="21"/>
  <c r="K700" i="21"/>
  <c r="N700" i="21"/>
  <c r="K701" i="21"/>
  <c r="N701" i="21"/>
  <c r="K702" i="21"/>
  <c r="N702" i="21"/>
  <c r="K703" i="21"/>
  <c r="N703" i="21"/>
  <c r="K704" i="21"/>
  <c r="N704" i="21"/>
  <c r="K705" i="21"/>
  <c r="N705" i="21"/>
  <c r="K706" i="21"/>
  <c r="N706" i="21"/>
  <c r="K707" i="21"/>
  <c r="N707" i="21"/>
  <c r="K708" i="21"/>
  <c r="N708" i="21"/>
  <c r="K709" i="21"/>
  <c r="N709" i="21"/>
  <c r="K710" i="21"/>
  <c r="N710" i="21"/>
  <c r="K711" i="21"/>
  <c r="N711" i="21"/>
  <c r="K712" i="21"/>
  <c r="N712" i="21"/>
  <c r="K713" i="21"/>
  <c r="N713" i="21"/>
  <c r="K714" i="21"/>
  <c r="N714" i="21"/>
  <c r="K715" i="21"/>
  <c r="N715" i="21"/>
  <c r="K716" i="21"/>
  <c r="N716" i="21"/>
  <c r="K717" i="21"/>
  <c r="N717" i="21"/>
  <c r="K718" i="21"/>
  <c r="N718" i="21"/>
  <c r="K719" i="21"/>
  <c r="N719" i="21"/>
  <c r="K720" i="21"/>
  <c r="N720" i="21"/>
  <c r="K721" i="21"/>
  <c r="N721" i="21"/>
  <c r="K722" i="21"/>
  <c r="N722" i="21"/>
  <c r="K723" i="21"/>
  <c r="N723" i="21"/>
  <c r="K724" i="21"/>
  <c r="N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K781" i="21"/>
  <c r="N781" i="21"/>
  <c r="K782" i="21"/>
  <c r="N782" i="21"/>
  <c r="K783" i="21"/>
  <c r="N783" i="21"/>
  <c r="K784" i="21"/>
  <c r="N784" i="21"/>
  <c r="K785" i="21"/>
  <c r="N785" i="21"/>
  <c r="K786" i="21"/>
  <c r="N786" i="21"/>
  <c r="K787" i="21"/>
  <c r="N787" i="21"/>
  <c r="K788" i="21"/>
  <c r="N788" i="21"/>
  <c r="K789" i="21"/>
  <c r="N789" i="21"/>
  <c r="K790" i="21"/>
  <c r="N790" i="21"/>
  <c r="K791" i="21"/>
  <c r="N791" i="21"/>
  <c r="K792" i="21"/>
  <c r="N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K817" i="21"/>
  <c r="N817" i="21"/>
  <c r="K818" i="21"/>
  <c r="N818" i="21"/>
  <c r="K819" i="21"/>
  <c r="N819" i="21"/>
  <c r="K820" i="21"/>
  <c r="N820" i="21"/>
  <c r="K821" i="21"/>
  <c r="N821" i="21"/>
  <c r="K822" i="21"/>
  <c r="N822" i="21"/>
  <c r="K823" i="21"/>
  <c r="N823" i="21"/>
  <c r="K824" i="21"/>
  <c r="N824" i="21"/>
  <c r="K825" i="21"/>
  <c r="N825" i="21"/>
  <c r="K826" i="21"/>
  <c r="N826" i="21"/>
  <c r="K827" i="21"/>
  <c r="N827" i="21"/>
  <c r="K828" i="21"/>
  <c r="N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K886" i="21"/>
  <c r="N886" i="21"/>
  <c r="K887" i="21"/>
  <c r="N887" i="21"/>
  <c r="K888" i="21"/>
  <c r="N888" i="21"/>
  <c r="K889" i="21"/>
  <c r="N889" i="21"/>
  <c r="K890" i="21"/>
  <c r="N890" i="21"/>
  <c r="K891" i="21"/>
  <c r="N891" i="21"/>
  <c r="K892" i="21"/>
  <c r="N892" i="21"/>
  <c r="K893" i="21"/>
  <c r="N893" i="21"/>
  <c r="K894" i="21"/>
  <c r="N894" i="21"/>
  <c r="K895" i="21"/>
  <c r="N895" i="21"/>
  <c r="K896" i="21"/>
  <c r="N896" i="21"/>
  <c r="K897" i="21"/>
  <c r="N897" i="21"/>
  <c r="K898" i="21"/>
  <c r="N898" i="21"/>
  <c r="K899" i="21"/>
  <c r="N899" i="21"/>
  <c r="K900" i="21"/>
  <c r="N900" i="21"/>
  <c r="K901" i="21"/>
  <c r="N901" i="21"/>
  <c r="K902" i="21"/>
  <c r="N902" i="21"/>
  <c r="K903" i="21"/>
  <c r="N903" i="21"/>
  <c r="K904" i="21"/>
  <c r="N904" i="21"/>
  <c r="K905" i="21"/>
  <c r="N905" i="21"/>
  <c r="K906" i="21"/>
  <c r="N906" i="21"/>
  <c r="K907" i="21"/>
  <c r="N907" i="21"/>
  <c r="K908" i="21"/>
  <c r="N908" i="21"/>
  <c r="K909" i="21"/>
  <c r="N909" i="21"/>
  <c r="K910" i="21"/>
  <c r="N910" i="21"/>
  <c r="K911" i="21"/>
  <c r="N911" i="21"/>
  <c r="K912" i="21"/>
  <c r="N912" i="21"/>
  <c r="K913" i="21"/>
  <c r="N913" i="21"/>
  <c r="K914" i="21"/>
  <c r="N914" i="21"/>
  <c r="K915" i="21"/>
  <c r="N915" i="21"/>
  <c r="K916" i="21"/>
  <c r="N916" i="21"/>
  <c r="K917" i="21"/>
  <c r="N917" i="21"/>
  <c r="K918" i="21"/>
  <c r="N918" i="21"/>
  <c r="K919" i="21"/>
  <c r="N919" i="21"/>
  <c r="K920" i="21"/>
  <c r="N920" i="21"/>
  <c r="K921" i="21"/>
  <c r="N921" i="21"/>
  <c r="K922" i="21"/>
  <c r="N922" i="21"/>
  <c r="K923" i="21"/>
  <c r="N923" i="21"/>
  <c r="K924" i="21"/>
  <c r="N924" i="21"/>
  <c r="K925" i="21"/>
  <c r="N925" i="21"/>
  <c r="K926" i="21"/>
  <c r="N926" i="21"/>
  <c r="K927" i="21"/>
  <c r="N927" i="21"/>
  <c r="K928" i="21"/>
  <c r="N928" i="21"/>
  <c r="K929" i="21"/>
  <c r="N929" i="21"/>
  <c r="K930" i="21"/>
  <c r="N930" i="21"/>
  <c r="K931" i="21"/>
  <c r="N931" i="21"/>
  <c r="K932" i="21"/>
  <c r="N932" i="21"/>
  <c r="K933" i="21"/>
  <c r="N933" i="21"/>
  <c r="K934" i="21"/>
  <c r="N934" i="21"/>
  <c r="K935" i="21"/>
  <c r="N935" i="21"/>
  <c r="K936" i="21"/>
  <c r="N936" i="21"/>
  <c r="K937" i="21"/>
  <c r="N937" i="21"/>
  <c r="K938" i="21"/>
  <c r="N938" i="21"/>
  <c r="K939" i="21"/>
  <c r="N939" i="21"/>
  <c r="K940" i="21"/>
  <c r="N940" i="21"/>
  <c r="K941" i="21"/>
  <c r="N941" i="21"/>
  <c r="K942" i="21"/>
  <c r="N942" i="21"/>
  <c r="K943" i="21"/>
  <c r="N943" i="21"/>
  <c r="K944" i="21"/>
  <c r="N944" i="21"/>
  <c r="K945" i="21"/>
  <c r="N945" i="21"/>
  <c r="K946" i="21"/>
  <c r="N946" i="21"/>
  <c r="K947" i="21"/>
  <c r="N947" i="21"/>
  <c r="K948" i="21"/>
  <c r="N948" i="21"/>
  <c r="K949" i="21"/>
  <c r="N949" i="21"/>
  <c r="K950" i="21"/>
  <c r="N950" i="21"/>
  <c r="K951" i="21"/>
  <c r="N951" i="21"/>
  <c r="K952" i="21"/>
  <c r="N952" i="21"/>
  <c r="K953" i="21"/>
  <c r="N953" i="21"/>
  <c r="K954" i="21"/>
  <c r="N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K988" i="21"/>
  <c r="N988" i="21"/>
  <c r="K989" i="21"/>
  <c r="N989" i="21"/>
  <c r="K990" i="21"/>
  <c r="N990" i="21"/>
  <c r="K991" i="21"/>
  <c r="N991" i="21"/>
  <c r="K992" i="21"/>
  <c r="N992" i="21"/>
  <c r="K993" i="21"/>
  <c r="N993" i="21"/>
  <c r="K994" i="21"/>
  <c r="N994" i="21"/>
  <c r="K995" i="21"/>
  <c r="N995" i="21"/>
  <c r="K996" i="21"/>
  <c r="N996" i="21"/>
  <c r="K997" i="21"/>
  <c r="N997" i="21"/>
  <c r="K998" i="21"/>
  <c r="N998" i="21"/>
  <c r="K999" i="21"/>
  <c r="N999" i="21"/>
  <c r="K1000" i="21"/>
  <c r="N1000" i="21"/>
  <c r="K1001" i="21"/>
  <c r="N1001" i="21"/>
  <c r="K1002" i="21"/>
  <c r="N1002" i="21"/>
  <c r="K1003" i="21"/>
  <c r="N1003" i="21"/>
  <c r="K1004" i="21"/>
  <c r="N1004" i="21"/>
  <c r="K1005" i="21"/>
  <c r="N1005" i="21"/>
  <c r="K1006" i="21"/>
  <c r="N1006" i="21"/>
  <c r="K1007" i="21"/>
  <c r="N1007" i="21"/>
  <c r="K1008" i="21"/>
  <c r="N1008" i="21"/>
  <c r="K1009" i="21"/>
  <c r="N1009" i="21"/>
  <c r="K1010" i="21"/>
  <c r="N1010" i="21"/>
  <c r="K1011" i="21"/>
  <c r="N1011" i="21"/>
  <c r="K1012" i="21"/>
  <c r="N1012" i="21"/>
  <c r="K1013" i="21"/>
  <c r="N1013" i="21"/>
  <c r="K1014" i="21"/>
  <c r="N1014" i="21"/>
  <c r="K1015" i="21"/>
  <c r="N1015" i="21"/>
  <c r="K1016" i="21"/>
  <c r="N1016" i="21"/>
  <c r="K1017" i="21"/>
  <c r="N1017" i="21"/>
  <c r="K1018" i="21"/>
  <c r="N1018" i="21"/>
  <c r="K1019" i="21"/>
  <c r="N1019" i="21"/>
  <c r="K1020" i="21"/>
  <c r="N1020" i="21"/>
  <c r="K1021" i="21"/>
  <c r="N1021" i="21"/>
  <c r="K1022" i="21"/>
  <c r="N1022" i="21"/>
  <c r="K1023" i="21"/>
  <c r="N1023" i="21"/>
  <c r="K1024" i="21"/>
  <c r="N1024" i="21"/>
  <c r="K1025" i="21"/>
  <c r="N1025" i="21"/>
  <c r="K1026" i="21"/>
  <c r="N1026" i="21"/>
  <c r="K1027" i="21"/>
  <c r="N1027" i="21"/>
  <c r="K1028" i="21"/>
  <c r="N1028" i="21"/>
  <c r="K1029" i="21"/>
  <c r="N1029" i="21"/>
  <c r="K1030" i="21"/>
  <c r="N1030" i="21"/>
  <c r="K1031" i="21"/>
  <c r="N1031" i="21"/>
  <c r="K1032" i="21"/>
  <c r="N1032" i="21"/>
  <c r="K1033" i="21"/>
  <c r="N1033" i="21"/>
  <c r="K1034" i="21"/>
  <c r="N1034" i="21"/>
  <c r="K1035" i="21"/>
  <c r="N1035" i="21"/>
  <c r="K1036" i="21"/>
  <c r="N1036" i="21"/>
  <c r="K1037" i="21"/>
  <c r="N1037" i="21"/>
  <c r="K1038" i="21"/>
  <c r="N1038" i="21"/>
  <c r="K1039" i="21"/>
  <c r="N1039" i="21"/>
  <c r="K1040" i="21"/>
  <c r="N1040" i="21"/>
  <c r="K1041" i="21"/>
  <c r="N1041" i="21"/>
  <c r="K1042" i="21"/>
  <c r="N1042" i="21"/>
  <c r="K1043" i="21"/>
  <c r="N1043" i="21"/>
  <c r="K1044" i="21"/>
  <c r="N1044" i="21"/>
  <c r="K1045" i="21"/>
  <c r="N1045" i="21"/>
  <c r="K1046" i="21"/>
  <c r="N1046" i="21"/>
  <c r="K1047" i="21"/>
  <c r="N1047" i="21"/>
  <c r="K1048" i="21"/>
  <c r="N1048" i="21"/>
  <c r="K1049" i="21"/>
  <c r="N1049" i="21"/>
  <c r="K1050" i="21"/>
  <c r="N1050" i="21"/>
  <c r="K1051" i="21"/>
  <c r="N1051" i="21"/>
  <c r="K1052" i="21"/>
  <c r="N1052" i="21"/>
  <c r="K1053" i="21"/>
  <c r="N1053" i="21"/>
  <c r="K1054" i="21"/>
  <c r="N1054" i="21"/>
  <c r="K1055" i="21"/>
  <c r="N1055" i="21"/>
  <c r="K1056" i="21"/>
  <c r="N1056" i="21"/>
  <c r="K1057" i="21"/>
  <c r="N1057" i="21"/>
  <c r="K1058" i="21"/>
  <c r="N1058" i="21"/>
  <c r="K1059" i="21"/>
  <c r="N1059" i="21"/>
  <c r="K1060" i="21"/>
  <c r="N1060" i="21"/>
  <c r="K1061" i="21"/>
  <c r="N1061" i="21"/>
  <c r="K1062" i="21"/>
  <c r="N1062" i="21"/>
  <c r="K1063" i="21"/>
  <c r="N1063" i="21"/>
  <c r="K1064" i="21"/>
  <c r="N1064" i="21"/>
  <c r="K1065" i="21"/>
  <c r="N1065" i="21"/>
  <c r="K1066" i="21"/>
  <c r="N1066" i="21"/>
  <c r="K1067" i="21"/>
  <c r="N1067" i="21"/>
  <c r="K1068" i="21"/>
  <c r="N1068" i="21"/>
  <c r="K1069" i="21"/>
  <c r="N1069" i="21"/>
  <c r="K1070" i="21"/>
  <c r="N1070" i="21"/>
  <c r="K1071" i="21"/>
  <c r="N1071" i="21"/>
  <c r="K1072" i="21"/>
  <c r="N1072" i="21"/>
  <c r="K1073" i="21"/>
  <c r="N1073" i="21"/>
  <c r="K1074" i="21"/>
  <c r="N1074" i="21"/>
  <c r="K1075" i="21"/>
  <c r="N1075" i="21"/>
  <c r="K1076" i="21"/>
  <c r="N1076" i="21"/>
  <c r="K1077" i="21"/>
  <c r="N1077" i="21"/>
  <c r="K1078" i="21"/>
  <c r="N1078" i="21"/>
  <c r="K1079" i="21"/>
  <c r="N1079" i="21"/>
  <c r="K1080" i="21"/>
  <c r="N1080" i="21"/>
  <c r="K1081" i="21"/>
  <c r="N1081" i="21"/>
  <c r="K1082" i="21"/>
  <c r="N1082" i="21"/>
  <c r="K1083" i="21"/>
  <c r="N1083" i="21"/>
  <c r="K1084" i="21"/>
  <c r="N1084" i="21"/>
  <c r="K1085" i="21"/>
  <c r="N1085" i="21"/>
  <c r="K1086" i="21"/>
  <c r="N1086" i="21"/>
  <c r="K1087" i="21"/>
  <c r="N1087" i="21"/>
  <c r="K1088" i="21"/>
  <c r="N1088" i="21"/>
  <c r="K1089" i="21"/>
  <c r="N1089" i="21"/>
  <c r="K1090" i="21"/>
  <c r="N1090" i="21"/>
  <c r="K1091" i="21"/>
  <c r="N1091" i="21"/>
  <c r="K1092" i="21"/>
  <c r="N1092" i="21"/>
  <c r="K1093" i="21"/>
  <c r="N1093" i="21"/>
  <c r="K1094" i="21"/>
  <c r="N1094" i="21"/>
  <c r="K1095" i="21"/>
  <c r="N1095" i="21"/>
  <c r="K1096" i="21"/>
  <c r="N1096" i="21"/>
  <c r="K1097" i="21"/>
  <c r="N1097" i="21"/>
  <c r="K1098" i="21"/>
  <c r="N1098" i="21"/>
  <c r="K1099" i="21"/>
  <c r="N1099" i="21"/>
  <c r="K1100" i="21"/>
  <c r="N1100" i="21"/>
  <c r="K1101" i="21"/>
  <c r="N1101" i="21"/>
  <c r="K1102" i="21"/>
  <c r="N1102" i="21"/>
  <c r="K1103" i="21"/>
  <c r="N1103" i="21"/>
  <c r="K1104" i="21"/>
  <c r="N1104" i="21"/>
  <c r="K1105" i="21"/>
  <c r="N1105" i="21"/>
  <c r="K1106" i="21"/>
  <c r="N1106" i="21"/>
  <c r="K1107" i="21"/>
  <c r="N1107" i="21"/>
  <c r="K1108" i="21"/>
  <c r="N1108" i="21"/>
  <c r="K1109" i="21"/>
  <c r="N1109" i="21"/>
  <c r="K1110" i="21"/>
  <c r="N1110" i="21"/>
  <c r="K1111" i="21"/>
  <c r="N1111" i="21"/>
  <c r="K1112" i="21"/>
  <c r="N1112" i="21"/>
  <c r="K1113" i="21"/>
  <c r="N1113" i="21"/>
  <c r="K1114" i="21"/>
  <c r="N1114" i="21"/>
  <c r="K1115" i="21"/>
  <c r="N1115" i="21"/>
  <c r="K1116" i="21"/>
  <c r="N1116" i="21"/>
  <c r="K1117" i="21"/>
  <c r="N1117" i="21"/>
  <c r="K1118" i="21"/>
  <c r="N1118" i="21"/>
  <c r="K1119" i="21"/>
  <c r="N1119" i="21"/>
  <c r="K1120" i="21"/>
  <c r="N1120" i="21"/>
  <c r="K1121" i="21"/>
  <c r="N1121" i="21"/>
  <c r="K1122" i="21"/>
  <c r="N1122" i="21"/>
  <c r="K1123" i="21"/>
  <c r="N1123" i="21"/>
  <c r="K1124" i="21"/>
  <c r="N1124" i="21"/>
  <c r="K1125" i="21"/>
  <c r="N1125" i="21"/>
  <c r="K1126" i="21"/>
  <c r="N1126" i="21"/>
  <c r="K1127" i="21"/>
  <c r="N1127" i="21"/>
  <c r="K1128" i="21"/>
  <c r="N1128" i="21"/>
  <c r="K1129" i="21"/>
  <c r="N1129" i="21"/>
  <c r="K1130" i="21"/>
  <c r="N1130" i="21"/>
  <c r="K1131" i="21"/>
  <c r="N1131" i="21"/>
  <c r="K1132" i="21"/>
  <c r="N1132" i="21"/>
  <c r="K1133" i="21"/>
  <c r="N1133" i="21"/>
  <c r="K1134" i="21"/>
  <c r="N1134" i="21"/>
  <c r="K1135" i="21"/>
  <c r="N1135" i="21"/>
  <c r="K1136" i="21"/>
  <c r="N1136" i="21"/>
  <c r="K1137" i="21"/>
  <c r="N1137" i="21"/>
  <c r="K1138" i="21"/>
  <c r="N1138" i="21"/>
  <c r="K1139" i="21"/>
  <c r="N1139" i="21"/>
  <c r="K1140" i="21"/>
  <c r="N1140" i="21"/>
  <c r="K1141" i="21"/>
  <c r="N1141" i="21"/>
  <c r="K1142" i="21"/>
  <c r="N1142" i="21"/>
  <c r="K1143" i="21"/>
  <c r="N1143" i="21"/>
  <c r="K1144" i="21"/>
  <c r="N1144" i="21"/>
  <c r="K1145" i="21"/>
  <c r="N1145" i="21"/>
  <c r="K1146" i="21"/>
  <c r="N1146" i="21"/>
  <c r="K1147" i="21"/>
  <c r="N1147" i="21"/>
  <c r="K1148" i="21"/>
  <c r="N1148" i="21"/>
  <c r="K1149" i="21"/>
  <c r="N1149" i="21"/>
  <c r="K1150" i="21"/>
  <c r="N1150" i="21"/>
  <c r="K1151" i="21"/>
  <c r="N1151" i="21"/>
  <c r="K1152" i="21"/>
  <c r="N1152" i="21"/>
  <c r="K1153" i="21"/>
  <c r="N1153" i="21"/>
  <c r="K1154" i="21"/>
  <c r="N1154" i="21"/>
  <c r="K1155" i="21"/>
  <c r="N1155" i="21"/>
  <c r="K1156" i="21"/>
  <c r="N1156" i="21"/>
  <c r="K1157" i="21"/>
  <c r="N1157" i="21"/>
  <c r="K1158" i="21"/>
  <c r="N1158" i="21"/>
  <c r="K1159" i="21"/>
  <c r="N1159" i="21"/>
  <c r="K1160" i="21"/>
  <c r="N1160" i="21"/>
  <c r="K1161" i="21"/>
  <c r="N1161" i="21"/>
  <c r="K1162" i="21"/>
  <c r="N1162" i="21"/>
  <c r="K1163" i="21"/>
  <c r="N1163" i="21"/>
  <c r="K1164" i="21"/>
  <c r="N1164" i="21"/>
  <c r="K1165" i="21"/>
  <c r="N1165" i="21"/>
  <c r="K1166" i="21"/>
  <c r="N1166" i="21"/>
  <c r="K1167" i="21"/>
  <c r="N1167" i="21"/>
  <c r="K1168" i="21"/>
  <c r="N1168" i="21"/>
  <c r="K1169" i="21"/>
  <c r="N1169" i="21"/>
  <c r="K1170" i="21"/>
  <c r="N1170" i="21"/>
  <c r="K1171" i="21"/>
  <c r="N1171" i="21"/>
  <c r="K1172" i="21"/>
  <c r="N1172" i="21"/>
  <c r="K1173" i="21"/>
  <c r="N1173" i="21"/>
  <c r="K1174" i="21"/>
  <c r="N1174" i="21"/>
  <c r="K1175" i="21"/>
  <c r="N1175" i="21"/>
  <c r="K1176" i="21"/>
  <c r="N1176" i="21"/>
  <c r="K1177" i="21"/>
  <c r="N1177" i="21"/>
  <c r="K1178" i="21"/>
  <c r="N1178" i="21"/>
  <c r="K1179" i="21"/>
  <c r="N1179" i="21"/>
  <c r="K1180" i="21"/>
  <c r="N1180" i="21"/>
  <c r="K1181" i="21"/>
  <c r="N1181" i="21"/>
  <c r="K1182" i="21"/>
  <c r="N1182" i="21"/>
  <c r="K1183" i="21"/>
  <c r="N1183" i="21"/>
  <c r="K1184" i="21"/>
  <c r="N1184" i="21"/>
  <c r="K1185" i="21"/>
  <c r="N1185" i="21"/>
  <c r="K1186" i="21"/>
  <c r="N1186" i="21"/>
  <c r="K1187" i="21"/>
  <c r="N1187" i="21"/>
  <c r="K1188" i="21"/>
  <c r="N1188" i="21"/>
  <c r="K1189" i="21"/>
  <c r="N1189" i="21"/>
  <c r="K1190" i="21"/>
  <c r="N1190" i="21"/>
  <c r="K1191" i="21"/>
  <c r="N1191" i="21"/>
  <c r="K1192" i="21"/>
  <c r="N1192" i="21"/>
  <c r="K1193" i="21"/>
  <c r="N1193" i="21"/>
  <c r="K1194" i="21"/>
  <c r="N1194" i="21"/>
  <c r="K1195" i="21"/>
  <c r="N1195" i="21"/>
  <c r="K1196" i="21"/>
  <c r="N1196" i="21"/>
  <c r="K1197" i="21"/>
  <c r="N1197" i="21"/>
  <c r="K1198" i="21"/>
  <c r="N1198" i="21"/>
  <c r="K1199" i="21"/>
  <c r="N1199" i="21"/>
  <c r="K1200" i="21"/>
  <c r="N1200" i="21"/>
  <c r="K1201" i="21"/>
  <c r="N1201" i="21"/>
  <c r="K1202" i="21"/>
  <c r="N1202" i="21"/>
  <c r="K1203" i="21"/>
  <c r="N1203" i="21"/>
  <c r="K1204" i="21"/>
  <c r="N1204" i="21"/>
  <c r="K1205" i="21"/>
  <c r="N1205" i="21"/>
  <c r="K1206" i="21"/>
  <c r="N1206" i="21"/>
  <c r="K1207" i="21"/>
  <c r="N1207" i="21"/>
  <c r="K1208" i="21"/>
  <c r="N1208" i="21"/>
  <c r="K1209" i="21"/>
  <c r="N1209" i="21"/>
  <c r="K1210" i="21"/>
  <c r="N1210" i="21"/>
  <c r="K1211" i="21"/>
  <c r="N1211" i="21"/>
  <c r="K1212" i="21"/>
  <c r="N1212" i="21"/>
  <c r="K1213" i="21"/>
  <c r="N1213" i="21"/>
  <c r="K1214" i="21"/>
  <c r="N1214" i="21"/>
  <c r="D47" i="5"/>
  <c r="E47" i="5"/>
  <c r="F47" i="5"/>
  <c r="H47" i="5"/>
  <c r="D48" i="5"/>
  <c r="E48" i="5"/>
  <c r="F48" i="5"/>
  <c r="Y2" i="16"/>
  <c r="Z2" i="16"/>
  <c r="AE2" i="16"/>
  <c r="AF2" i="16"/>
  <c r="AK2" i="16"/>
  <c r="AL2" i="16"/>
  <c r="AU2" i="16"/>
  <c r="AV2" i="16"/>
  <c r="BA2" i="16"/>
  <c r="Y3" i="16"/>
  <c r="Z3" i="16"/>
  <c r="AE3" i="16"/>
  <c r="AF3" i="16"/>
  <c r="AK3" i="16"/>
  <c r="AL3" i="16"/>
  <c r="AU3" i="16"/>
  <c r="AV3" i="16"/>
  <c r="BA3" i="16"/>
  <c r="Y4" i="16"/>
  <c r="Z4" i="16"/>
  <c r="AE4" i="16"/>
  <c r="AF4" i="16"/>
  <c r="AK4" i="16"/>
  <c r="AL4" i="16"/>
  <c r="AU4" i="16"/>
  <c r="AV4" i="16"/>
  <c r="BA4" i="16"/>
  <c r="Y5" i="16"/>
  <c r="Z5" i="16"/>
  <c r="AE5" i="16"/>
  <c r="AF5" i="16"/>
  <c r="AK5" i="16"/>
  <c r="AL5" i="16"/>
  <c r="AU5" i="16"/>
  <c r="AV5" i="16"/>
  <c r="BA5" i="16"/>
  <c r="Y6" i="16"/>
  <c r="Z6" i="16"/>
  <c r="AE6" i="16"/>
  <c r="AF6" i="16"/>
  <c r="AK6" i="16"/>
  <c r="AL6" i="16"/>
  <c r="AU6" i="16"/>
  <c r="AV6" i="16"/>
  <c r="BA6" i="16"/>
  <c r="Y7" i="16"/>
  <c r="Z7" i="16"/>
  <c r="AE7" i="16"/>
  <c r="AF7" i="16"/>
  <c r="AK7" i="16"/>
  <c r="AL7" i="16"/>
  <c r="AU7" i="16"/>
  <c r="AV7" i="16"/>
  <c r="BA7" i="16"/>
  <c r="Y8" i="16"/>
  <c r="Z8" i="16"/>
  <c r="AE8" i="16"/>
  <c r="AF8" i="16"/>
  <c r="AK8" i="16"/>
  <c r="AL8" i="16"/>
  <c r="AU8" i="16"/>
  <c r="AV8" i="16"/>
  <c r="BA8" i="16"/>
  <c r="Y9" i="16"/>
  <c r="Z9" i="16"/>
  <c r="AE9" i="16"/>
  <c r="AF9" i="16"/>
  <c r="AK9" i="16"/>
  <c r="AL9" i="16"/>
  <c r="AU9" i="16"/>
  <c r="AV9" i="16"/>
  <c r="BA9" i="16"/>
  <c r="Y10" i="16"/>
  <c r="Z10" i="16"/>
  <c r="AE10" i="16"/>
  <c r="AF10" i="16"/>
  <c r="AK10" i="16"/>
  <c r="AL10" i="16"/>
  <c r="AU10" i="16"/>
  <c r="AV10" i="16"/>
  <c r="BA10" i="16"/>
  <c r="Y11" i="16"/>
  <c r="Z11" i="16"/>
  <c r="AE11" i="16"/>
  <c r="AF11" i="16"/>
  <c r="Y12" i="16"/>
  <c r="Z12" i="16"/>
  <c r="AE12" i="16"/>
  <c r="AF12" i="16"/>
  <c r="AU12" i="16"/>
  <c r="Y13" i="16"/>
  <c r="Z13" i="16"/>
  <c r="AE13" i="16"/>
  <c r="AF13" i="16"/>
  <c r="Z14" i="16"/>
  <c r="AF14" i="16"/>
  <c r="Z15" i="16"/>
  <c r="AF15" i="16"/>
  <c r="AU15" i="16"/>
  <c r="Z16" i="16"/>
  <c r="AF16" i="16"/>
  <c r="Z17" i="16"/>
  <c r="AF17" i="16"/>
  <c r="Z18" i="16"/>
  <c r="AF18" i="16"/>
  <c r="Z19" i="16"/>
  <c r="AF19" i="16"/>
  <c r="AU19" i="16"/>
  <c r="Z20" i="16"/>
  <c r="AF20" i="16"/>
  <c r="Z21" i="16"/>
  <c r="AF21" i="16"/>
  <c r="Z22" i="16"/>
  <c r="AF22" i="16"/>
  <c r="Z23" i="16"/>
  <c r="AF23" i="16"/>
  <c r="Z24" i="16"/>
  <c r="AF24" i="16"/>
  <c r="Z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Y29" i="16"/>
  <c r="Z29" i="16"/>
  <c r="AE29" i="16"/>
  <c r="AF29" i="16"/>
  <c r="Y30" i="16"/>
  <c r="Z30" i="16"/>
  <c r="AE30" i="16"/>
  <c r="AF30" i="16"/>
  <c r="Y31" i="16"/>
  <c r="Z31" i="16"/>
  <c r="AE31" i="16"/>
  <c r="AF31" i="16"/>
  <c r="Y32" i="16"/>
  <c r="Z32" i="16"/>
  <c r="AE32" i="16"/>
  <c r="AF32" i="16"/>
  <c r="Y33" i="16"/>
  <c r="Z33" i="16"/>
  <c r="AE33" i="16"/>
  <c r="AF33" i="16"/>
  <c r="Y34" i="16"/>
  <c r="Z34" i="16"/>
  <c r="AE34" i="16"/>
  <c r="AF34" i="16"/>
  <c r="Y35" i="16"/>
  <c r="Z35" i="16"/>
  <c r="AE35" i="16"/>
  <c r="AF35" i="16"/>
  <c r="Y36" i="16"/>
  <c r="Z36" i="16"/>
  <c r="AE36" i="16"/>
  <c r="AF36" i="16"/>
  <c r="Y37" i="16"/>
  <c r="Z37" i="16"/>
  <c r="AE37" i="16"/>
  <c r="AF37" i="16"/>
  <c r="Y38" i="16"/>
  <c r="Z38" i="16"/>
  <c r="AE38" i="16"/>
  <c r="AF38" i="16"/>
  <c r="Y39" i="16"/>
  <c r="Z39" i="16"/>
  <c r="AE39" i="16"/>
  <c r="AF39" i="16"/>
  <c r="Y40" i="16"/>
  <c r="Z40" i="16"/>
  <c r="AE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Z50" i="16"/>
  <c r="AE50" i="16"/>
  <c r="AF50" i="16"/>
  <c r="Y51" i="16"/>
  <c r="Z51" i="16"/>
  <c r="AE51" i="16"/>
  <c r="AF51" i="16"/>
  <c r="Y52" i="16"/>
  <c r="Z52" i="16"/>
  <c r="AE52" i="16"/>
  <c r="AF52" i="16"/>
  <c r="Y53" i="16"/>
  <c r="Z53" i="16"/>
  <c r="AE53" i="16"/>
  <c r="AF53" i="16"/>
  <c r="Y54" i="16"/>
  <c r="Z54" i="16"/>
  <c r="AE54" i="16"/>
  <c r="AF54" i="16"/>
  <c r="Y55" i="16"/>
  <c r="Z55" i="16"/>
  <c r="AE55" i="16"/>
  <c r="AF55" i="16"/>
  <c r="Y56" i="16"/>
  <c r="Z56" i="16"/>
  <c r="AE56" i="16"/>
  <c r="AF56" i="16"/>
  <c r="Y57" i="16"/>
  <c r="Z57" i="16"/>
  <c r="AE57" i="16"/>
  <c r="AF57" i="16"/>
  <c r="Y58" i="16"/>
  <c r="Z58" i="16"/>
  <c r="AE58" i="16"/>
  <c r="AF58" i="16"/>
  <c r="Y59" i="16"/>
  <c r="Z59" i="16"/>
  <c r="AE59" i="16"/>
  <c r="AF59" i="16"/>
  <c r="Y60" i="16"/>
  <c r="Z60" i="16"/>
  <c r="AE60" i="16"/>
  <c r="AF60" i="16"/>
  <c r="Y61" i="16"/>
  <c r="Z61" i="16"/>
  <c r="AE61" i="16"/>
  <c r="AF61" i="16"/>
  <c r="Y62" i="16"/>
  <c r="Z62" i="16"/>
  <c r="AE62" i="16"/>
  <c r="AF62" i="16"/>
  <c r="Y63" i="16"/>
  <c r="Z63" i="16"/>
  <c r="AE63" i="16"/>
  <c r="AF63" i="16"/>
  <c r="Y64" i="16"/>
  <c r="Z64" i="16"/>
  <c r="AE64" i="16"/>
  <c r="AF64" i="16"/>
  <c r="Y65" i="16"/>
  <c r="Z65" i="16"/>
  <c r="AE65" i="16"/>
  <c r="AF65" i="16"/>
  <c r="Y66" i="16"/>
  <c r="Z66" i="16"/>
  <c r="AE66" i="16"/>
  <c r="AF66" i="16"/>
  <c r="Y67" i="16"/>
  <c r="Z67" i="16"/>
  <c r="AE67" i="16"/>
  <c r="AF67" i="16"/>
  <c r="Y68" i="16"/>
  <c r="Z68" i="16"/>
  <c r="AE68" i="16"/>
  <c r="AF68" i="16"/>
  <c r="Y69" i="16"/>
  <c r="Z69" i="16"/>
  <c r="AE69" i="16"/>
  <c r="AF69" i="16"/>
  <c r="Y70" i="16"/>
  <c r="Z70" i="16"/>
  <c r="AE70" i="16"/>
  <c r="AF70" i="16"/>
  <c r="Y71" i="16"/>
  <c r="Z71" i="16"/>
  <c r="AE71" i="16"/>
  <c r="AF71" i="16"/>
  <c r="Y72" i="16"/>
  <c r="Z72" i="16"/>
  <c r="AE72" i="16"/>
  <c r="AF72" i="16"/>
  <c r="Y73" i="16"/>
  <c r="Z73" i="16"/>
  <c r="AE73" i="16"/>
  <c r="AF73" i="16"/>
  <c r="Y74" i="16"/>
  <c r="Z74" i="16"/>
  <c r="AE74" i="16"/>
  <c r="AF74" i="16"/>
  <c r="Y75" i="16"/>
  <c r="Z75" i="16"/>
  <c r="AE75" i="16"/>
  <c r="AF75" i="16"/>
  <c r="Y76" i="16"/>
  <c r="Z76" i="16"/>
  <c r="AE76" i="16"/>
  <c r="AF76" i="16"/>
  <c r="Y77" i="16"/>
  <c r="Z77" i="16"/>
  <c r="AE77" i="16"/>
  <c r="AF77" i="16"/>
  <c r="Y78" i="16"/>
  <c r="Z78" i="16"/>
  <c r="AE78" i="16"/>
  <c r="AF78" i="16"/>
  <c r="Y79" i="16"/>
  <c r="Z79" i="16"/>
  <c r="AE79" i="16"/>
  <c r="AF79" i="16"/>
  <c r="Y80" i="16"/>
  <c r="Z80" i="16"/>
  <c r="AE80" i="16"/>
  <c r="AF80" i="16"/>
  <c r="Y81" i="16"/>
  <c r="Z81" i="16"/>
  <c r="AE81" i="16"/>
  <c r="AF81" i="16"/>
  <c r="Y82" i="16"/>
  <c r="Z82" i="16"/>
  <c r="AE82" i="16"/>
  <c r="AF82" i="16"/>
  <c r="Y83" i="16"/>
  <c r="Z83" i="16"/>
  <c r="AE83" i="16"/>
  <c r="AF83" i="16"/>
  <c r="Y84" i="16"/>
  <c r="Z84" i="16"/>
  <c r="AE84" i="16"/>
  <c r="AF84" i="16"/>
  <c r="Y85" i="16"/>
  <c r="Z85" i="16"/>
  <c r="AE85" i="16"/>
  <c r="AF85" i="16"/>
  <c r="Y86" i="16"/>
  <c r="Z86" i="16"/>
  <c r="AE86" i="16"/>
  <c r="AF86" i="16"/>
  <c r="Y87" i="16"/>
  <c r="Z87" i="16"/>
  <c r="AE87" i="16"/>
  <c r="AF87" i="16"/>
  <c r="Y88" i="16"/>
  <c r="Z88" i="16"/>
  <c r="AE88" i="16"/>
  <c r="AF88" i="16"/>
  <c r="Y89" i="16"/>
  <c r="Z89" i="16"/>
  <c r="AE89" i="16"/>
  <c r="AF89" i="16"/>
  <c r="Y90" i="16"/>
  <c r="Z90" i="16"/>
  <c r="AE90" i="16"/>
  <c r="AF90" i="16"/>
  <c r="Y91" i="16"/>
  <c r="Z91" i="16"/>
  <c r="AE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Y116" i="16"/>
  <c r="Z116" i="16"/>
  <c r="AE116" i="16"/>
  <c r="AF116" i="16"/>
  <c r="Y117" i="16"/>
  <c r="Z117" i="16"/>
  <c r="AE117" i="16"/>
  <c r="AF117" i="16"/>
  <c r="Y118" i="16"/>
  <c r="Z118" i="16"/>
  <c r="AE118" i="16"/>
  <c r="AF118" i="16"/>
  <c r="Y119" i="16"/>
  <c r="Z119" i="16"/>
  <c r="AE119" i="16"/>
  <c r="AF119" i="16"/>
  <c r="Y120" i="16"/>
  <c r="Z120" i="16"/>
  <c r="AE120" i="16"/>
  <c r="AF120" i="16"/>
  <c r="Y121" i="16"/>
  <c r="Z121" i="16"/>
  <c r="AE121" i="16"/>
  <c r="AF121" i="16"/>
  <c r="Y122" i="16"/>
  <c r="Z122" i="16"/>
  <c r="AE122" i="16"/>
  <c r="AF122" i="16"/>
  <c r="Y123" i="16"/>
  <c r="Z123" i="16"/>
  <c r="AE123" i="16"/>
  <c r="AF123" i="16"/>
  <c r="Y124" i="16"/>
  <c r="Z124" i="16"/>
  <c r="AE124" i="16"/>
  <c r="AF124" i="16"/>
  <c r="Y125" i="16"/>
  <c r="Z125" i="16"/>
  <c r="AE125" i="16"/>
  <c r="AF125" i="16"/>
  <c r="Y126" i="16"/>
  <c r="Z126" i="16"/>
  <c r="AE126" i="16"/>
  <c r="AF126" i="16"/>
  <c r="Y127" i="16"/>
  <c r="Z127" i="16"/>
  <c r="AE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Z136" i="16"/>
  <c r="AF136" i="16"/>
  <c r="Z137" i="16"/>
  <c r="AF137" i="16"/>
  <c r="Z138" i="16"/>
  <c r="AF138" i="16"/>
  <c r="Z139" i="16"/>
  <c r="AF139" i="16"/>
  <c r="Z140" i="16"/>
  <c r="AF140" i="16"/>
  <c r="Z141" i="16"/>
  <c r="AF141" i="16"/>
  <c r="Z142" i="16"/>
  <c r="AF142" i="16"/>
  <c r="Z143" i="16"/>
  <c r="AF143" i="16"/>
  <c r="Z144" i="16"/>
  <c r="AF144" i="16"/>
  <c r="Z145" i="16"/>
  <c r="AF145" i="16"/>
  <c r="Z146" i="16"/>
  <c r="AF146" i="16"/>
  <c r="Z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Z158" i="16"/>
  <c r="AE158" i="16"/>
  <c r="AF158" i="16"/>
  <c r="Y159" i="16"/>
  <c r="Z159" i="16"/>
  <c r="AE159" i="16"/>
  <c r="AF159" i="16"/>
  <c r="Y160" i="16"/>
  <c r="Z160" i="16"/>
  <c r="AE160" i="16"/>
  <c r="AF160" i="16"/>
  <c r="Y161" i="16"/>
  <c r="Z161" i="16"/>
  <c r="AE161" i="16"/>
  <c r="AF161" i="16"/>
  <c r="Y162" i="16"/>
  <c r="Z162" i="16"/>
  <c r="AE162" i="16"/>
  <c r="AF162" i="16"/>
  <c r="Y163" i="16"/>
  <c r="Z163" i="16"/>
  <c r="AE163" i="16"/>
  <c r="AF163" i="16"/>
  <c r="Y164" i="16"/>
  <c r="Z164" i="16"/>
  <c r="AE164" i="16"/>
  <c r="AF164" i="16"/>
  <c r="Y165" i="16"/>
  <c r="Z165" i="16"/>
  <c r="AE165" i="16"/>
  <c r="AF165" i="16"/>
  <c r="Y166" i="16"/>
  <c r="Z166" i="16"/>
  <c r="AE166" i="16"/>
  <c r="AF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Y178" i="16"/>
  <c r="Z178" i="16"/>
  <c r="AE178" i="16"/>
  <c r="AF178" i="16"/>
  <c r="Y179" i="16"/>
  <c r="Z179" i="16"/>
  <c r="AE179" i="16"/>
  <c r="AF179" i="16"/>
  <c r="Y180" i="16"/>
  <c r="Z180" i="16"/>
  <c r="AE180" i="16"/>
  <c r="AF180" i="16"/>
  <c r="Y181" i="16"/>
  <c r="Z181" i="16"/>
  <c r="AE181" i="16"/>
  <c r="AF181" i="16"/>
  <c r="Y182" i="16"/>
  <c r="Z182" i="16"/>
  <c r="AE182" i="16"/>
  <c r="AF182" i="16"/>
  <c r="Y183" i="16"/>
  <c r="Z183" i="16"/>
  <c r="AE183" i="16"/>
  <c r="AF183" i="16"/>
  <c r="Y184" i="16"/>
  <c r="Z184" i="16"/>
  <c r="AE184" i="16"/>
  <c r="AF184" i="16"/>
  <c r="Y185" i="16"/>
  <c r="Z185" i="16"/>
  <c r="AE185" i="16"/>
  <c r="AF185" i="16"/>
  <c r="Y186" i="16"/>
  <c r="Z186" i="16"/>
  <c r="AE186" i="16"/>
  <c r="AF186" i="16"/>
  <c r="Y187" i="16"/>
  <c r="Z187" i="16"/>
  <c r="AE187" i="16"/>
  <c r="AF187" i="16"/>
  <c r="Y188" i="16"/>
  <c r="Z188" i="16"/>
  <c r="AE188" i="16"/>
  <c r="AF188" i="16"/>
  <c r="Y189" i="16"/>
  <c r="Z189" i="16"/>
  <c r="AE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Y194" i="16"/>
  <c r="Z194" i="16"/>
  <c r="AE194" i="16"/>
  <c r="AF194" i="16"/>
  <c r="Y195" i="16"/>
  <c r="Z195" i="16"/>
  <c r="AE195" i="16"/>
  <c r="AF195" i="16"/>
  <c r="Y196" i="16"/>
  <c r="Z196" i="16"/>
  <c r="AE196" i="16"/>
  <c r="AF196" i="16"/>
  <c r="Y197" i="16"/>
  <c r="Z197" i="16"/>
  <c r="AE197" i="16"/>
  <c r="AF197" i="16"/>
  <c r="Y198" i="16"/>
  <c r="Z198" i="16"/>
  <c r="AE198" i="16"/>
  <c r="AF198" i="16"/>
  <c r="Y199" i="16"/>
  <c r="Z199" i="16"/>
  <c r="AE199" i="16"/>
  <c r="AF199" i="16"/>
  <c r="Y200" i="16"/>
  <c r="Z200" i="16"/>
  <c r="AE200" i="16"/>
  <c r="AF200" i="16"/>
  <c r="Y201" i="16"/>
  <c r="Z201" i="16"/>
  <c r="AE201" i="16"/>
  <c r="AF201" i="16"/>
  <c r="Y202" i="16"/>
  <c r="Z202" i="16"/>
  <c r="AE202" i="16"/>
  <c r="AF202" i="16"/>
  <c r="Y203" i="16"/>
  <c r="Z203" i="16"/>
  <c r="AE203" i="16"/>
  <c r="AF203" i="16"/>
  <c r="Y204" i="16"/>
  <c r="Z204" i="16"/>
  <c r="AE204" i="16"/>
  <c r="AF204" i="16"/>
  <c r="Y205" i="16"/>
  <c r="Z205" i="16"/>
  <c r="AE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Y215" i="16"/>
  <c r="Z215" i="16"/>
  <c r="AE215" i="16"/>
  <c r="AF215" i="16"/>
  <c r="Y216" i="16"/>
  <c r="Z216" i="16"/>
  <c r="AE216" i="16"/>
  <c r="AF216" i="16"/>
  <c r="Y217" i="16"/>
  <c r="Z217" i="16"/>
  <c r="AE217" i="16"/>
  <c r="AF217" i="16"/>
  <c r="Y218" i="16"/>
  <c r="Z218" i="16"/>
  <c r="AE218" i="16"/>
  <c r="AF218" i="16"/>
  <c r="Y219" i="16"/>
  <c r="Z219" i="16"/>
  <c r="AE219" i="16"/>
  <c r="AF219" i="16"/>
  <c r="Y220" i="16"/>
  <c r="Z220" i="16"/>
  <c r="AE220" i="16"/>
  <c r="AF220" i="16"/>
  <c r="Y221" i="16"/>
  <c r="Z221" i="16"/>
  <c r="AE221" i="16"/>
  <c r="AF221" i="16"/>
  <c r="Y222" i="16"/>
  <c r="Z222" i="16"/>
  <c r="AE222" i="16"/>
  <c r="AF222" i="16"/>
  <c r="Y223" i="16"/>
  <c r="Z223" i="16"/>
  <c r="AE223" i="16"/>
  <c r="AF223" i="16"/>
  <c r="Y224" i="16"/>
  <c r="Z224" i="16"/>
  <c r="AE224" i="16"/>
  <c r="AF224" i="16"/>
  <c r="Y225" i="16"/>
  <c r="Z225" i="16"/>
  <c r="AE225" i="16"/>
  <c r="AF225" i="16"/>
  <c r="Y226" i="16"/>
  <c r="Z226" i="16"/>
  <c r="AE226" i="16"/>
  <c r="AF226" i="16"/>
  <c r="Y227" i="16"/>
  <c r="Z227" i="16"/>
  <c r="AE227" i="16"/>
  <c r="AF227" i="16"/>
  <c r="Y228" i="16"/>
  <c r="Z228" i="16"/>
  <c r="AE228" i="16"/>
  <c r="AF228" i="16"/>
  <c r="Y229" i="16"/>
  <c r="Z229" i="16"/>
  <c r="AE229" i="16"/>
  <c r="AF229" i="16"/>
  <c r="Y230" i="16"/>
  <c r="Z230" i="16"/>
  <c r="AE230" i="16"/>
  <c r="AF230" i="16"/>
  <c r="Y231" i="16"/>
  <c r="Z231" i="16"/>
  <c r="AE231" i="16"/>
  <c r="AF231" i="16"/>
  <c r="Y232" i="16"/>
  <c r="Z232" i="16"/>
  <c r="AE232" i="16"/>
  <c r="AF232" i="16"/>
  <c r="Y233" i="16"/>
  <c r="Z233" i="16"/>
  <c r="AE233" i="16"/>
  <c r="AF233" i="16"/>
  <c r="Y234" i="16"/>
  <c r="Z234" i="16"/>
  <c r="AE234" i="16"/>
  <c r="AF234" i="16"/>
  <c r="Y235" i="16"/>
  <c r="Z235" i="16"/>
  <c r="AE235" i="16"/>
  <c r="AF235" i="16"/>
  <c r="Y236" i="16"/>
  <c r="Z236" i="16"/>
  <c r="AE236" i="16"/>
  <c r="AF236" i="16"/>
  <c r="Y237" i="16"/>
  <c r="Z237" i="16"/>
  <c r="AE237" i="16"/>
  <c r="AF237" i="16"/>
  <c r="Y238" i="16"/>
  <c r="Z238" i="16"/>
  <c r="AE238" i="16"/>
  <c r="AF238" i="16"/>
  <c r="Y239" i="16"/>
  <c r="Z239" i="16"/>
  <c r="AE239" i="16"/>
  <c r="AF239" i="16"/>
  <c r="Y240" i="16"/>
  <c r="Z240" i="16"/>
  <c r="AE240" i="16"/>
  <c r="AF240" i="16"/>
  <c r="Y241" i="16"/>
  <c r="Z241" i="16"/>
  <c r="AE241" i="16"/>
  <c r="AF241" i="16"/>
  <c r="Y242" i="16"/>
  <c r="Z242" i="16"/>
  <c r="AE242" i="16"/>
  <c r="AF242" i="16"/>
  <c r="Y243" i="16"/>
  <c r="Z243" i="16"/>
  <c r="AE243" i="16"/>
  <c r="AF243" i="16"/>
  <c r="Y244" i="16"/>
  <c r="Z244" i="16"/>
  <c r="AE244" i="16"/>
  <c r="AF244" i="16"/>
  <c r="Y245" i="16"/>
  <c r="Z245" i="16"/>
  <c r="AE245" i="16"/>
  <c r="AF245" i="16"/>
  <c r="Y246" i="16"/>
  <c r="Z246" i="16"/>
  <c r="AE246" i="16"/>
  <c r="AF246" i="16"/>
  <c r="Y247" i="16"/>
  <c r="Z247" i="16"/>
  <c r="AE247" i="16"/>
  <c r="AF247" i="16"/>
  <c r="Y248" i="16"/>
  <c r="Z248" i="16"/>
  <c r="AE248" i="16"/>
  <c r="AF248" i="16"/>
  <c r="Y249" i="16"/>
  <c r="Z249" i="16"/>
  <c r="AE249" i="16"/>
  <c r="AF249" i="16"/>
  <c r="Y250" i="16"/>
  <c r="Z250" i="16"/>
  <c r="AE250" i="16"/>
  <c r="AF250" i="16"/>
  <c r="Y251" i="16"/>
  <c r="Z251" i="16"/>
  <c r="AE251" i="16"/>
  <c r="AF251" i="16"/>
  <c r="Y252" i="16"/>
  <c r="Z252" i="16"/>
  <c r="AE252" i="16"/>
  <c r="AF252" i="16"/>
  <c r="Y253" i="16"/>
  <c r="Z253" i="16"/>
  <c r="AE253" i="16"/>
  <c r="AF253" i="16"/>
  <c r="Y254" i="16"/>
  <c r="Z254" i="16"/>
  <c r="AE254" i="16"/>
  <c r="AF254" i="16"/>
  <c r="Y255" i="16"/>
  <c r="Z255" i="16"/>
  <c r="AE255" i="16"/>
  <c r="AF255" i="16"/>
  <c r="Y256" i="16"/>
  <c r="Z256" i="16"/>
  <c r="AE256" i="16"/>
  <c r="AF256" i="16"/>
  <c r="Y257" i="16"/>
  <c r="Z257" i="16"/>
  <c r="AE257" i="16"/>
  <c r="AF257" i="16"/>
  <c r="Y258" i="16"/>
  <c r="Z258" i="16"/>
  <c r="AE258" i="16"/>
  <c r="AF258" i="16"/>
  <c r="Y259" i="16"/>
  <c r="Z259" i="16"/>
  <c r="AE259" i="16"/>
  <c r="AF259" i="16"/>
  <c r="Y260" i="16"/>
  <c r="Z260" i="16"/>
  <c r="AE260" i="16"/>
  <c r="AF260" i="16"/>
  <c r="Y261" i="16"/>
  <c r="Z261" i="16"/>
  <c r="AE261" i="16"/>
  <c r="AF261" i="16"/>
  <c r="Y262" i="16"/>
  <c r="Z262" i="16"/>
  <c r="AE262" i="16"/>
  <c r="AF262" i="16"/>
  <c r="Y263" i="16"/>
  <c r="Z263" i="16"/>
  <c r="AE263" i="16"/>
  <c r="AF263" i="16"/>
  <c r="Y264" i="16"/>
  <c r="Z264" i="16"/>
  <c r="AE264" i="16"/>
  <c r="AF264" i="16"/>
  <c r="Y265" i="16"/>
  <c r="Z265" i="16"/>
  <c r="AE265" i="16"/>
  <c r="AF265" i="16"/>
  <c r="Y266" i="16"/>
  <c r="Z266" i="16"/>
  <c r="AE266" i="16"/>
  <c r="AF266" i="16"/>
  <c r="Y267" i="16"/>
  <c r="Z267" i="16"/>
  <c r="AE267" i="16"/>
  <c r="AF267" i="16"/>
  <c r="Z268" i="16"/>
  <c r="AF268" i="16"/>
  <c r="Z269" i="16"/>
  <c r="AF269" i="16"/>
  <c r="Z270" i="16"/>
  <c r="AF270" i="16"/>
  <c r="Z271" i="16"/>
  <c r="AF271" i="16"/>
  <c r="Z272" i="16"/>
  <c r="AF272" i="16"/>
  <c r="Z273" i="16"/>
  <c r="AF273" i="16"/>
  <c r="Z274" i="16"/>
  <c r="AF274" i="16"/>
  <c r="Z275" i="16"/>
  <c r="AF275" i="16"/>
  <c r="Z276" i="16"/>
  <c r="AF276" i="16"/>
  <c r="Z277" i="16"/>
  <c r="AF277" i="16"/>
  <c r="Z278" i="16"/>
  <c r="AF278" i="16"/>
  <c r="Z279" i="16"/>
  <c r="AF279" i="16"/>
  <c r="Z280" i="16"/>
  <c r="AF280" i="16"/>
  <c r="Z281" i="16"/>
  <c r="AF281" i="16"/>
  <c r="Z282" i="16"/>
  <c r="AF282" i="16"/>
  <c r="Z283" i="16"/>
  <c r="AF283" i="16"/>
  <c r="Z284" i="16"/>
  <c r="AF284" i="16"/>
  <c r="Z285" i="16"/>
  <c r="AF285" i="16"/>
  <c r="Z286" i="16"/>
  <c r="AF286" i="16"/>
  <c r="Z287" i="16"/>
  <c r="AF287" i="16"/>
  <c r="Z288" i="16"/>
  <c r="AF288" i="16"/>
  <c r="Z289" i="16"/>
  <c r="AF289" i="16"/>
  <c r="Z290" i="16"/>
  <c r="AF290" i="16"/>
  <c r="Z291" i="16"/>
  <c r="AF291" i="16"/>
  <c r="Z292" i="16"/>
  <c r="AF292" i="16"/>
  <c r="Z293" i="16"/>
  <c r="AF293" i="16"/>
  <c r="Z294" i="16"/>
  <c r="AF294" i="16"/>
  <c r="Z295" i="16"/>
  <c r="AF295" i="16"/>
  <c r="Z296" i="16"/>
  <c r="AF296" i="16"/>
  <c r="Z297" i="16"/>
  <c r="AF297" i="16"/>
  <c r="Y298" i="16"/>
  <c r="AE298" i="16"/>
  <c r="Y299" i="16"/>
  <c r="AE299" i="16"/>
  <c r="Y300" i="16"/>
  <c r="AE300" i="16"/>
  <c r="Y301" i="16"/>
  <c r="AE301" i="16"/>
  <c r="Y302" i="16"/>
  <c r="AE302" i="16"/>
  <c r="Y303" i="16"/>
  <c r="AE303" i="16"/>
  <c r="Y304" i="16"/>
  <c r="AE304" i="16"/>
  <c r="Y305" i="16"/>
  <c r="AE305" i="16"/>
  <c r="Y306" i="16"/>
  <c r="AE306" i="16"/>
  <c r="Y307" i="16"/>
  <c r="AE307" i="16"/>
  <c r="Y308" i="16"/>
  <c r="AE308" i="16"/>
  <c r="Y309" i="16"/>
  <c r="AE309" i="16"/>
  <c r="Y310" i="16"/>
  <c r="AE310" i="16"/>
  <c r="Y311" i="16"/>
  <c r="AE311" i="16"/>
  <c r="Y312" i="16"/>
  <c r="AE312" i="16"/>
  <c r="Y313" i="16"/>
  <c r="AE313" i="16"/>
  <c r="Y314" i="16"/>
  <c r="AE314" i="16"/>
  <c r="Y315" i="16"/>
  <c r="AE315" i="16"/>
  <c r="Y316" i="16"/>
  <c r="AE316" i="16"/>
  <c r="Y317" i="16"/>
  <c r="AE317" i="16"/>
  <c r="Y318" i="16"/>
  <c r="AE318" i="16"/>
  <c r="Y319" i="16"/>
  <c r="AE319" i="16"/>
  <c r="Y320" i="16"/>
  <c r="AE320" i="16"/>
  <c r="Y321" i="16"/>
  <c r="AE321" i="16"/>
  <c r="Y322" i="16"/>
  <c r="AE322" i="16"/>
  <c r="Y323" i="16"/>
  <c r="AE323" i="16"/>
  <c r="Y324" i="16"/>
  <c r="AE324" i="16"/>
  <c r="Y325" i="16"/>
  <c r="AE325" i="16"/>
  <c r="Y326" i="16"/>
  <c r="AE326" i="16"/>
  <c r="Y327" i="16"/>
  <c r="AE327" i="16"/>
  <c r="Y328" i="16"/>
  <c r="AE328" i="16"/>
  <c r="Z329" i="16"/>
  <c r="AF329" i="16"/>
  <c r="Z330" i="16"/>
  <c r="AF330" i="16"/>
  <c r="Z331" i="16"/>
  <c r="AF331" i="16"/>
  <c r="Z332" i="16"/>
  <c r="AF332" i="16"/>
  <c r="Z333" i="16"/>
  <c r="AF333" i="16"/>
  <c r="Z334" i="16"/>
  <c r="AF334" i="16"/>
  <c r="Z335" i="16"/>
  <c r="AF335" i="16"/>
  <c r="Z336" i="16"/>
  <c r="AF336" i="16"/>
  <c r="Z337" i="16"/>
  <c r="AF337" i="16"/>
  <c r="Z338" i="16"/>
  <c r="AF338" i="16"/>
  <c r="Z339" i="16"/>
  <c r="AF339" i="16"/>
  <c r="Z340" i="16"/>
  <c r="AF340" i="16"/>
  <c r="Z341" i="16"/>
  <c r="AF341" i="16"/>
  <c r="Z342" i="16"/>
  <c r="AF342" i="16"/>
  <c r="Z343" i="16"/>
  <c r="AF343" i="16"/>
  <c r="Z344" i="16"/>
  <c r="AF344" i="16"/>
  <c r="Z345" i="16"/>
  <c r="AF345" i="16"/>
  <c r="Z346" i="16"/>
  <c r="AF346" i="16"/>
  <c r="Z347" i="16"/>
  <c r="AF347" i="16"/>
  <c r="Z348" i="16"/>
  <c r="AF348" i="16"/>
  <c r="Z349" i="16"/>
  <c r="AF349" i="16"/>
  <c r="Z350" i="16"/>
  <c r="AF350" i="16"/>
  <c r="Z351" i="16"/>
  <c r="AF351" i="16"/>
  <c r="Z352" i="16"/>
  <c r="AF352" i="16"/>
  <c r="Z353" i="16"/>
  <c r="AF353" i="16"/>
  <c r="Z354" i="16"/>
  <c r="AF354" i="16"/>
  <c r="Z355" i="16"/>
  <c r="AF355" i="16"/>
  <c r="Z356" i="16"/>
  <c r="AF356" i="16"/>
  <c r="Z357" i="16"/>
  <c r="AF357" i="16"/>
  <c r="Z358" i="16"/>
  <c r="AF358" i="16"/>
  <c r="Z359" i="16"/>
  <c r="AF359" i="16"/>
  <c r="Z360" i="16"/>
  <c r="AF360" i="16"/>
  <c r="Z361" i="16"/>
  <c r="AF361" i="16"/>
  <c r="Z362" i="16"/>
  <c r="AF362" i="16"/>
  <c r="Z363" i="16"/>
  <c r="AF363" i="16"/>
  <c r="Z364" i="16"/>
  <c r="AF364" i="16"/>
  <c r="Z365" i="16"/>
  <c r="AF365" i="16"/>
  <c r="Z366" i="16"/>
  <c r="AF366" i="16"/>
  <c r="Z367" i="16"/>
  <c r="AF367" i="16"/>
  <c r="Z368" i="16"/>
  <c r="AF368" i="16"/>
  <c r="Z369" i="16"/>
  <c r="AF369" i="16"/>
  <c r="Z370" i="16"/>
  <c r="AF370" i="16"/>
  <c r="Y371" i="16"/>
  <c r="AE371" i="16"/>
  <c r="Y372" i="16"/>
  <c r="AE372" i="16"/>
  <c r="Y373" i="16"/>
  <c r="AE373" i="16"/>
  <c r="Y374" i="16"/>
  <c r="AE374" i="16"/>
  <c r="Y375" i="16"/>
  <c r="AE375" i="16"/>
  <c r="Y376" i="16"/>
  <c r="AE376" i="16"/>
  <c r="Y377" i="16"/>
  <c r="AE377" i="16"/>
  <c r="Y378" i="16"/>
  <c r="AE378" i="16"/>
  <c r="Y379" i="16"/>
  <c r="AE379" i="16"/>
  <c r="Y380" i="16"/>
  <c r="AE380" i="16"/>
  <c r="Y381" i="16"/>
  <c r="AE381" i="16"/>
  <c r="Y382" i="16"/>
  <c r="AE382" i="16"/>
  <c r="Z383" i="16"/>
  <c r="AF383" i="16"/>
  <c r="Z384" i="16"/>
  <c r="AF384" i="16"/>
  <c r="Z385" i="16"/>
  <c r="AF385" i="16"/>
  <c r="Z386" i="16"/>
  <c r="AF386" i="16"/>
  <c r="Z387" i="16"/>
  <c r="AF387" i="16"/>
  <c r="Z388" i="16"/>
  <c r="AF388" i="16"/>
  <c r="Z389" i="16"/>
  <c r="AF389" i="16"/>
  <c r="Z390" i="16"/>
  <c r="AF390" i="16"/>
  <c r="Z391" i="16"/>
  <c r="AF391" i="16"/>
  <c r="Z392" i="16"/>
  <c r="AF392" i="16"/>
  <c r="Z393" i="16"/>
  <c r="AF393" i="16"/>
  <c r="Z394" i="16"/>
  <c r="AF394" i="16"/>
  <c r="Z395" i="16"/>
  <c r="AF395" i="16"/>
  <c r="Z396" i="16"/>
  <c r="AF396" i="16"/>
  <c r="Z397" i="16"/>
  <c r="AF397" i="16"/>
  <c r="Z398" i="16"/>
  <c r="AF398" i="16"/>
  <c r="Z399" i="16"/>
  <c r="AF399" i="16"/>
  <c r="Z400" i="16"/>
  <c r="AF400" i="16"/>
  <c r="Z401" i="16"/>
  <c r="AF401" i="16"/>
  <c r="Z402" i="16"/>
  <c r="AF402" i="16"/>
  <c r="Z403" i="16"/>
  <c r="AF403" i="16"/>
  <c r="Z404" i="16"/>
  <c r="AF404" i="16"/>
  <c r="Z405" i="16"/>
  <c r="AF405" i="16"/>
  <c r="Z406" i="16"/>
  <c r="AF406" i="16"/>
  <c r="Y407" i="16"/>
  <c r="AE407" i="16"/>
  <c r="Y408" i="16"/>
  <c r="AE408" i="16"/>
  <c r="Y409" i="16"/>
  <c r="AE409" i="16"/>
  <c r="Y410" i="16"/>
  <c r="AE410" i="16"/>
  <c r="Y411" i="16"/>
  <c r="AE411" i="16"/>
  <c r="Y412" i="16"/>
  <c r="AE412" i="16"/>
  <c r="Y413" i="16"/>
  <c r="AE413" i="16"/>
  <c r="Y414" i="16"/>
  <c r="AE414" i="16"/>
  <c r="Y415" i="16"/>
  <c r="AE415" i="16"/>
  <c r="Y416" i="16"/>
  <c r="AE416" i="16"/>
  <c r="Y417" i="16"/>
  <c r="AE417" i="16"/>
  <c r="Y418" i="16"/>
  <c r="AE418" i="16"/>
  <c r="Z419" i="16"/>
  <c r="AF419" i="16"/>
  <c r="Z420" i="16"/>
  <c r="AF420" i="16"/>
  <c r="Z421" i="16"/>
  <c r="AF421" i="16"/>
  <c r="Z422" i="16"/>
  <c r="AF422" i="16"/>
  <c r="Z423" i="16"/>
  <c r="AF423" i="16"/>
  <c r="Z424" i="16"/>
  <c r="AF424" i="16"/>
  <c r="Z425" i="16"/>
  <c r="AF425" i="16"/>
  <c r="Z426" i="16"/>
  <c r="AF426" i="16"/>
  <c r="Z427" i="16"/>
  <c r="AF427" i="16"/>
  <c r="Z428" i="16"/>
  <c r="AF428" i="16"/>
  <c r="Z429" i="16"/>
  <c r="AF429" i="16"/>
  <c r="Z430" i="16"/>
  <c r="AF430" i="16"/>
  <c r="Z431" i="16"/>
  <c r="AF431" i="16"/>
  <c r="Z432" i="16"/>
  <c r="AF432" i="16"/>
  <c r="Z433" i="16"/>
  <c r="AF433" i="16"/>
  <c r="Z434" i="16"/>
  <c r="AF434" i="16"/>
  <c r="Z435" i="16"/>
  <c r="AF435" i="16"/>
  <c r="Z436" i="16"/>
  <c r="AF436" i="16"/>
  <c r="Z437" i="16"/>
  <c r="AF437" i="16"/>
  <c r="Z438" i="16"/>
  <c r="AF438" i="16"/>
  <c r="Z439" i="16"/>
  <c r="AF439" i="16"/>
  <c r="Z440" i="16"/>
  <c r="AF440" i="16"/>
  <c r="Z441" i="16"/>
  <c r="AF441" i="16"/>
  <c r="Z442" i="16"/>
  <c r="AF442" i="16"/>
  <c r="Z443" i="16"/>
  <c r="AF443" i="16"/>
  <c r="Z444" i="16"/>
  <c r="AF444" i="16"/>
  <c r="Z445" i="16"/>
  <c r="AF445" i="16"/>
  <c r="Z446" i="16"/>
  <c r="AF446" i="16"/>
  <c r="Z447" i="16"/>
  <c r="AF447" i="16"/>
  <c r="Z448" i="16"/>
  <c r="AF448" i="16"/>
  <c r="Z449" i="16"/>
  <c r="AF449" i="16"/>
  <c r="Z450" i="16"/>
  <c r="AF450" i="16"/>
  <c r="Z451" i="16"/>
  <c r="AF451" i="16"/>
  <c r="Z452" i="16"/>
  <c r="AF452" i="16"/>
  <c r="Z453" i="16"/>
  <c r="AF453" i="16"/>
  <c r="Z454" i="16"/>
  <c r="AF454" i="16"/>
  <c r="Z455" i="16"/>
  <c r="AF455" i="16"/>
  <c r="Z456" i="16"/>
  <c r="AF456" i="16"/>
  <c r="Z457" i="16"/>
  <c r="AF457" i="16"/>
  <c r="Z458" i="16"/>
  <c r="AF458" i="16"/>
  <c r="Z459" i="16"/>
  <c r="AF459" i="16"/>
  <c r="Z460" i="16"/>
  <c r="AF460" i="16"/>
  <c r="Z461" i="16"/>
  <c r="AF461" i="16"/>
  <c r="Z462" i="16"/>
  <c r="AF462" i="16"/>
  <c r="Z463" i="16"/>
  <c r="AF463" i="16"/>
  <c r="Z464" i="16"/>
  <c r="AF464" i="16"/>
  <c r="Z465" i="16"/>
  <c r="AF465" i="16"/>
  <c r="Z466" i="16"/>
  <c r="AF466" i="16"/>
  <c r="Z467" i="16"/>
  <c r="AF467" i="16"/>
  <c r="Z468" i="16"/>
  <c r="AF468" i="16"/>
  <c r="Y469" i="16"/>
  <c r="AE469" i="16"/>
  <c r="Y470" i="16"/>
  <c r="AE470" i="16"/>
  <c r="Y471" i="16"/>
  <c r="AE471" i="16"/>
  <c r="Y472" i="16"/>
  <c r="AE472" i="16"/>
  <c r="Y473" i="16"/>
  <c r="AE473" i="16"/>
  <c r="Y474" i="16"/>
  <c r="AE474" i="16"/>
  <c r="Y475" i="16"/>
  <c r="AE475" i="16"/>
  <c r="Y476" i="16"/>
  <c r="AE476" i="16"/>
  <c r="Y477" i="16"/>
  <c r="AE477" i="16"/>
  <c r="Y478" i="16"/>
  <c r="AE478" i="16"/>
  <c r="Y479" i="16"/>
  <c r="AE479" i="16"/>
  <c r="Y480" i="16"/>
  <c r="AE480" i="16"/>
  <c r="Y481" i="16"/>
  <c r="AE481" i="16"/>
  <c r="Y482" i="16"/>
  <c r="AE482" i="16"/>
  <c r="Y483" i="16"/>
  <c r="AE483" i="16"/>
  <c r="Y484" i="16"/>
  <c r="AE484" i="16"/>
  <c r="Y485" i="16"/>
  <c r="AE485" i="16"/>
  <c r="Y486" i="16"/>
  <c r="AE486" i="16"/>
  <c r="Y487" i="16"/>
  <c r="AE487" i="16"/>
  <c r="Y488" i="16"/>
  <c r="AE488" i="16"/>
  <c r="Y489" i="16"/>
  <c r="AE489" i="16"/>
  <c r="Y490" i="16"/>
  <c r="AE490" i="16"/>
  <c r="Y491" i="16"/>
  <c r="AE491" i="16"/>
  <c r="Y492" i="16"/>
  <c r="AE492" i="16"/>
  <c r="Y493" i="16"/>
  <c r="AE493" i="16"/>
  <c r="Y494" i="16"/>
  <c r="AE494" i="16"/>
  <c r="Y495" i="16"/>
  <c r="AE495" i="16"/>
  <c r="Y496" i="16"/>
  <c r="AE496" i="16"/>
  <c r="Y497" i="16"/>
  <c r="AE497" i="16"/>
  <c r="Y498" i="16"/>
  <c r="AE498" i="16"/>
  <c r="Y499" i="16"/>
  <c r="AE499" i="16"/>
  <c r="Y500" i="16"/>
  <c r="AE500" i="16"/>
  <c r="Y501" i="16"/>
  <c r="AE501" i="16"/>
  <c r="Y502" i="16"/>
  <c r="AE502" i="16"/>
  <c r="Y503" i="16"/>
  <c r="AE503" i="16"/>
  <c r="Y504" i="16"/>
  <c r="AE504" i="16"/>
  <c r="Y505" i="16"/>
  <c r="AE505" i="16"/>
  <c r="Z506" i="16"/>
  <c r="AF506" i="16"/>
  <c r="Z507" i="16"/>
  <c r="AF507" i="16"/>
  <c r="Z508" i="16"/>
  <c r="AF508" i="16"/>
  <c r="Z509" i="16"/>
  <c r="AF509" i="16"/>
  <c r="Z510" i="16"/>
  <c r="AF510" i="16"/>
  <c r="Z511" i="16"/>
  <c r="AF511" i="16"/>
  <c r="Z512" i="16"/>
  <c r="AF512" i="16"/>
  <c r="Z513" i="16"/>
  <c r="AF513" i="16"/>
  <c r="Z514" i="16"/>
  <c r="AF514" i="16"/>
  <c r="Z515" i="16"/>
  <c r="AF515" i="16"/>
  <c r="Z516" i="16"/>
  <c r="AF516" i="16"/>
  <c r="Z517" i="16"/>
  <c r="AF517" i="16"/>
  <c r="Z518" i="16"/>
  <c r="AF518" i="16"/>
  <c r="Z519" i="16"/>
  <c r="AF519" i="16"/>
  <c r="Z520" i="16"/>
  <c r="AF520" i="16"/>
  <c r="Z521" i="16"/>
  <c r="AF521" i="16"/>
  <c r="Z522" i="16"/>
  <c r="AF522" i="16"/>
  <c r="Z523" i="16"/>
  <c r="AF523" i="16"/>
  <c r="Z524" i="16"/>
  <c r="AF524" i="16"/>
  <c r="Z525" i="16"/>
  <c r="AF525" i="16"/>
  <c r="Z526" i="16"/>
  <c r="AF526" i="16"/>
  <c r="Z527" i="16"/>
  <c r="AF527" i="16"/>
  <c r="Z528" i="16"/>
  <c r="AF528" i="16"/>
  <c r="Z529" i="16"/>
  <c r="AF529" i="16"/>
  <c r="Z530" i="16"/>
  <c r="AF530" i="16"/>
  <c r="Z531" i="16"/>
  <c r="AF531" i="16"/>
  <c r="Z532" i="16"/>
  <c r="AF532" i="16"/>
  <c r="Z533" i="16"/>
  <c r="AF533" i="16"/>
  <c r="Z534" i="16"/>
  <c r="AF534" i="16"/>
  <c r="Z535" i="16"/>
  <c r="AF535" i="16"/>
  <c r="Z536" i="16"/>
  <c r="AF536" i="16"/>
  <c r="Z537" i="16"/>
  <c r="AF537" i="16"/>
  <c r="Z538" i="16"/>
  <c r="AF538" i="16"/>
  <c r="Z539" i="16"/>
  <c r="AF539" i="16"/>
  <c r="Z540" i="16"/>
  <c r="AF540" i="16"/>
  <c r="Z541" i="16"/>
  <c r="AF541" i="16"/>
  <c r="Z542" i="16"/>
  <c r="AF542" i="16"/>
  <c r="Z543" i="16"/>
  <c r="AF543" i="16"/>
  <c r="Z544" i="16"/>
  <c r="AF544" i="16"/>
  <c r="Z545" i="16"/>
  <c r="AF545" i="16"/>
  <c r="Z546" i="16"/>
  <c r="AF546" i="16"/>
  <c r="Z547" i="16"/>
  <c r="AF547" i="16"/>
  <c r="Z548" i="16"/>
  <c r="AF548" i="16"/>
  <c r="Z549" i="16"/>
  <c r="AF549" i="16"/>
  <c r="Z550" i="16"/>
  <c r="AF550" i="16"/>
  <c r="Z551" i="16"/>
  <c r="AF551" i="16"/>
  <c r="Z552" i="16"/>
  <c r="AF552" i="16"/>
  <c r="Z553" i="16"/>
  <c r="AF553" i="16"/>
  <c r="Z554" i="16"/>
  <c r="AF554" i="16"/>
  <c r="Z555" i="16"/>
  <c r="AF555" i="16"/>
  <c r="Z556" i="16"/>
  <c r="AF556" i="16"/>
  <c r="Z557" i="16"/>
  <c r="AF557" i="16"/>
  <c r="Z558" i="16"/>
  <c r="AF558" i="16"/>
  <c r="Z559" i="16"/>
  <c r="AF559" i="16"/>
  <c r="Z560" i="16"/>
  <c r="AF560" i="16"/>
  <c r="Z561" i="16"/>
  <c r="AF561" i="16"/>
  <c r="Z562" i="16"/>
  <c r="AF562" i="16"/>
  <c r="Z563" i="16"/>
  <c r="AF563" i="16"/>
  <c r="Z564" i="16"/>
  <c r="AF564" i="16"/>
  <c r="Z565" i="16"/>
  <c r="AF565" i="16"/>
  <c r="Z566" i="16"/>
  <c r="AF566" i="16"/>
  <c r="Z567" i="16"/>
  <c r="AF567" i="16"/>
  <c r="Y568" i="16"/>
  <c r="AE568" i="16"/>
  <c r="Y569" i="16"/>
  <c r="AE569" i="16"/>
  <c r="Y570" i="16"/>
  <c r="AE570" i="16"/>
  <c r="Y571" i="16"/>
  <c r="AE571" i="16"/>
  <c r="Y572" i="16"/>
  <c r="AE572" i="16"/>
  <c r="Y573" i="16"/>
  <c r="AE573" i="16"/>
  <c r="Y574" i="16"/>
  <c r="AE574" i="16"/>
  <c r="Y575" i="16"/>
  <c r="AE575" i="16"/>
  <c r="Y576" i="16"/>
  <c r="AE576" i="16"/>
  <c r="Y577" i="16"/>
  <c r="AE577" i="16"/>
  <c r="Y578" i="16"/>
  <c r="AE578" i="16"/>
  <c r="Y579" i="16"/>
  <c r="AE579" i="16"/>
  <c r="Y580" i="16"/>
  <c r="AE580" i="16"/>
  <c r="Y581" i="16"/>
  <c r="AE581" i="16"/>
  <c r="Y582" i="16"/>
  <c r="AE582" i="16"/>
  <c r="Y583" i="16"/>
  <c r="AE583" i="16"/>
  <c r="Y584" i="16"/>
  <c r="AE584" i="16"/>
  <c r="Y585" i="16"/>
  <c r="AE585" i="16"/>
  <c r="Y586" i="16"/>
  <c r="AE586" i="16"/>
  <c r="Y587" i="16"/>
  <c r="AE587" i="16"/>
  <c r="Y588" i="16"/>
  <c r="AE588" i="16"/>
  <c r="Y589" i="16"/>
  <c r="AE589" i="16"/>
  <c r="Y590" i="16"/>
  <c r="AE590" i="16"/>
  <c r="Y591" i="16"/>
  <c r="AE591" i="16"/>
  <c r="Y592" i="16"/>
  <c r="AE592" i="16"/>
  <c r="Z593" i="16"/>
  <c r="AF593" i="16"/>
  <c r="Z594" i="16"/>
  <c r="AF594" i="16"/>
  <c r="Z595" i="16"/>
  <c r="AF595" i="16"/>
  <c r="Z596" i="16"/>
  <c r="AF596" i="16"/>
  <c r="Z597" i="16"/>
  <c r="AF597" i="16"/>
  <c r="Z598" i="16"/>
  <c r="AF598" i="16"/>
  <c r="Z599" i="16"/>
  <c r="AF599" i="16"/>
  <c r="Z600" i="16"/>
  <c r="AF600" i="16"/>
  <c r="Z601" i="16"/>
  <c r="AF601" i="16"/>
  <c r="Z602" i="16"/>
  <c r="AF602" i="16"/>
  <c r="Z603" i="16"/>
  <c r="AF603" i="16"/>
  <c r="Z604" i="16"/>
  <c r="AF604" i="16"/>
  <c r="Z605" i="16"/>
  <c r="AF605" i="16"/>
  <c r="Z606" i="16"/>
  <c r="AF606" i="16"/>
  <c r="Z607" i="16"/>
  <c r="AF607" i="16"/>
  <c r="Z608" i="16"/>
  <c r="AF608" i="16"/>
  <c r="Z609" i="16"/>
  <c r="AF609" i="16"/>
  <c r="Z610" i="16"/>
  <c r="AF610" i="16"/>
  <c r="Z611" i="16"/>
  <c r="AF611" i="16"/>
  <c r="Z612" i="16"/>
  <c r="AF612" i="16"/>
  <c r="Z613" i="16"/>
  <c r="AF613" i="16"/>
  <c r="Z614" i="16"/>
  <c r="AF614" i="16"/>
  <c r="Z615" i="16"/>
  <c r="AF615" i="16"/>
  <c r="Z616" i="16"/>
  <c r="AF616" i="16"/>
  <c r="Z617" i="16"/>
  <c r="AF617" i="16"/>
  <c r="Z618" i="16"/>
  <c r="AF618" i="16"/>
  <c r="Z619" i="16"/>
  <c r="AF619" i="16"/>
  <c r="Z620" i="16"/>
  <c r="AF620" i="16"/>
  <c r="Z621" i="16"/>
  <c r="AF621" i="16"/>
  <c r="Z622" i="16"/>
  <c r="AF622" i="16"/>
  <c r="Z623" i="16"/>
  <c r="AF623" i="16"/>
  <c r="Z624" i="16"/>
  <c r="AF624" i="16"/>
  <c r="Z625" i="16"/>
  <c r="AF625" i="16"/>
  <c r="Z626" i="16"/>
  <c r="AF626" i="16"/>
  <c r="Z627" i="16"/>
  <c r="AF627" i="16"/>
  <c r="Z628" i="16"/>
  <c r="AF628" i="16"/>
  <c r="Y629" i="16"/>
  <c r="AE629" i="16"/>
  <c r="Y630" i="16"/>
  <c r="AE630" i="16"/>
  <c r="Y631" i="16"/>
  <c r="AE631" i="16"/>
  <c r="Y632" i="16"/>
  <c r="AE632" i="16"/>
  <c r="Y633" i="16"/>
  <c r="AE633" i="16"/>
  <c r="Y634" i="16"/>
  <c r="AE634" i="16"/>
  <c r="Y635" i="16"/>
  <c r="AE635" i="16"/>
  <c r="Y636" i="16"/>
  <c r="AE636" i="16"/>
  <c r="Y637" i="16"/>
  <c r="AE637" i="16"/>
  <c r="Y638" i="16"/>
  <c r="AE638" i="16"/>
  <c r="Y639" i="16"/>
  <c r="AE639" i="16"/>
  <c r="Y640" i="16"/>
  <c r="AE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Y665" i="16"/>
  <c r="AE665" i="16"/>
  <c r="Y666" i="16"/>
  <c r="AE666" i="16"/>
  <c r="Y667" i="16"/>
  <c r="AE667" i="16"/>
  <c r="Y668" i="16"/>
  <c r="AE668" i="16"/>
  <c r="Y669" i="16"/>
  <c r="AE669" i="16"/>
  <c r="Y670" i="16"/>
  <c r="AE670" i="16"/>
  <c r="Y671" i="16"/>
  <c r="AE671" i="16"/>
  <c r="Y672" i="16"/>
  <c r="AE672" i="16"/>
  <c r="Y673" i="16"/>
  <c r="AE673" i="16"/>
  <c r="Y674" i="16"/>
  <c r="AE674" i="16"/>
  <c r="Y675" i="16"/>
  <c r="AE675" i="16"/>
  <c r="Y676" i="16"/>
  <c r="AE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Z684" i="16"/>
  <c r="AF684" i="16"/>
  <c r="Z685" i="16"/>
  <c r="AF685" i="16"/>
  <c r="Z686" i="16"/>
  <c r="AF686" i="16"/>
  <c r="Z687" i="16"/>
  <c r="AF687" i="16"/>
  <c r="Z688" i="16"/>
  <c r="AF688" i="16"/>
  <c r="Z689" i="16"/>
  <c r="AF689" i="16"/>
  <c r="Z690" i="16"/>
  <c r="AF690" i="16"/>
  <c r="Z691" i="16"/>
  <c r="AF691" i="16"/>
  <c r="Z692" i="16"/>
  <c r="AF692" i="16"/>
  <c r="Z693" i="16"/>
  <c r="AF693" i="16"/>
  <c r="Z694" i="16"/>
  <c r="AF694" i="16"/>
  <c r="Z695" i="16"/>
  <c r="AF695" i="16"/>
  <c r="Z696" i="16"/>
  <c r="AF696" i="16"/>
  <c r="Z697" i="16"/>
  <c r="AF697" i="16"/>
  <c r="Z698" i="16"/>
  <c r="AF698" i="16"/>
  <c r="Z699" i="16"/>
  <c r="AF699" i="16"/>
  <c r="Z700" i="16"/>
  <c r="AF700" i="16"/>
  <c r="Z701" i="16"/>
  <c r="AF701" i="16"/>
  <c r="Z702" i="16"/>
  <c r="AF702" i="16"/>
  <c r="Z703" i="16"/>
  <c r="AF703" i="16"/>
  <c r="Z704" i="16"/>
  <c r="AF704" i="16"/>
  <c r="Z705" i="16"/>
  <c r="AF705" i="16"/>
  <c r="Z706" i="16"/>
  <c r="AF706" i="16"/>
  <c r="Z707" i="16"/>
  <c r="AF707" i="16"/>
  <c r="Z708" i="16"/>
  <c r="AF708" i="16"/>
  <c r="Z709" i="16"/>
  <c r="AF709" i="16"/>
  <c r="Z710" i="16"/>
  <c r="AF710" i="16"/>
  <c r="Z711" i="16"/>
  <c r="AF711" i="16"/>
  <c r="Z712" i="16"/>
  <c r="AF712" i="16"/>
  <c r="Z713" i="16"/>
  <c r="AF713" i="16"/>
  <c r="Z714" i="16"/>
  <c r="AF714" i="16"/>
  <c r="Z715" i="16"/>
  <c r="AF715" i="16"/>
  <c r="Z716" i="16"/>
  <c r="AF716" i="16"/>
  <c r="Z717" i="16"/>
  <c r="AF717" i="16"/>
  <c r="Z718" i="16"/>
  <c r="AF718" i="16"/>
  <c r="Z719" i="16"/>
  <c r="AF719" i="16"/>
  <c r="Z720" i="16"/>
  <c r="AF720" i="16"/>
  <c r="Z721" i="16"/>
  <c r="AF721" i="16"/>
  <c r="Z722" i="16"/>
  <c r="AF722" i="16"/>
  <c r="Z723" i="16"/>
  <c r="AF723" i="16"/>
  <c r="Z724" i="16"/>
  <c r="AF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Z781" i="16"/>
  <c r="AF781" i="16"/>
  <c r="Z782" i="16"/>
  <c r="AF782" i="16"/>
  <c r="Z783" i="16"/>
  <c r="AF783" i="16"/>
  <c r="Z784" i="16"/>
  <c r="AF784" i="16"/>
  <c r="Z785" i="16"/>
  <c r="AF785" i="16"/>
  <c r="Z786" i="16"/>
  <c r="AF786" i="16"/>
  <c r="Z787" i="16"/>
  <c r="AF787" i="16"/>
  <c r="Z788" i="16"/>
  <c r="AF788" i="16"/>
  <c r="Z789" i="16"/>
  <c r="AF789" i="16"/>
  <c r="Z790" i="16"/>
  <c r="AF790" i="16"/>
  <c r="Z791" i="16"/>
  <c r="AF791" i="16"/>
  <c r="Z792" i="16"/>
  <c r="AF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Z817" i="16"/>
  <c r="AF817" i="16"/>
  <c r="Z818" i="16"/>
  <c r="AF818" i="16"/>
  <c r="Z819" i="16"/>
  <c r="AF819" i="16"/>
  <c r="Z820" i="16"/>
  <c r="AF820" i="16"/>
  <c r="Z821" i="16"/>
  <c r="AF821" i="16"/>
  <c r="Z822" i="16"/>
  <c r="AF822" i="16"/>
  <c r="Z823" i="16"/>
  <c r="AF823" i="16"/>
  <c r="Z824" i="16"/>
  <c r="AF824" i="16"/>
  <c r="Z825" i="16"/>
  <c r="AF825" i="16"/>
  <c r="Z826" i="16"/>
  <c r="AF826" i="16"/>
  <c r="Z827" i="16"/>
  <c r="AF827" i="16"/>
  <c r="Z828" i="16"/>
  <c r="AF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Z886" i="16"/>
  <c r="AF886" i="16"/>
  <c r="Z887" i="16"/>
  <c r="AF887" i="16"/>
  <c r="Z888" i="16"/>
  <c r="AF888" i="16"/>
  <c r="Z889" i="16"/>
  <c r="AF889" i="16"/>
  <c r="Z890" i="16"/>
  <c r="AF890" i="16"/>
  <c r="Z891" i="16"/>
  <c r="AF891" i="16"/>
  <c r="Z892" i="16"/>
  <c r="AF892" i="16"/>
  <c r="Z893" i="16"/>
  <c r="AF893" i="16"/>
  <c r="Z894" i="16"/>
  <c r="AF894" i="16"/>
  <c r="Z895" i="16"/>
  <c r="AF895" i="16"/>
  <c r="Z896" i="16"/>
  <c r="AF896" i="16"/>
  <c r="Z897" i="16"/>
  <c r="AF897" i="16"/>
  <c r="Z898" i="16"/>
  <c r="AF898" i="16"/>
  <c r="Z899" i="16"/>
  <c r="AF899" i="16"/>
  <c r="Z900" i="16"/>
  <c r="AF900" i="16"/>
  <c r="Z901" i="16"/>
  <c r="AF901" i="16"/>
  <c r="Z902" i="16"/>
  <c r="AF902" i="16"/>
  <c r="Z903" i="16"/>
  <c r="AF903" i="16"/>
  <c r="Z904" i="16"/>
  <c r="AF904" i="16"/>
  <c r="Z905" i="16"/>
  <c r="AF905" i="16"/>
  <c r="Z906" i="16"/>
  <c r="AF906" i="16"/>
  <c r="Z907" i="16"/>
  <c r="AF907" i="16"/>
  <c r="Z908" i="16"/>
  <c r="AF908" i="16"/>
  <c r="Z909" i="16"/>
  <c r="AF909" i="16"/>
  <c r="Z910" i="16"/>
  <c r="AF910" i="16"/>
  <c r="Z911" i="16"/>
  <c r="AF911" i="16"/>
  <c r="Z912" i="16"/>
  <c r="AF912" i="16"/>
  <c r="Z913" i="16"/>
  <c r="AF913" i="16"/>
  <c r="Z914" i="16"/>
  <c r="AF914" i="16"/>
  <c r="Z915" i="16"/>
  <c r="AF915" i="16"/>
  <c r="Z916" i="16"/>
  <c r="AF916" i="16"/>
  <c r="Z917" i="16"/>
  <c r="AF917" i="16"/>
  <c r="Z918" i="16"/>
  <c r="AF918" i="16"/>
  <c r="Z919" i="16"/>
  <c r="AF919" i="16"/>
  <c r="Z920" i="16"/>
  <c r="AF920" i="16"/>
  <c r="Z921" i="16"/>
  <c r="AF921" i="16"/>
  <c r="Z922" i="16"/>
  <c r="AF922" i="16"/>
  <c r="Z923" i="16"/>
  <c r="AF923" i="16"/>
  <c r="Z924" i="16"/>
  <c r="AF924" i="16"/>
  <c r="Z925" i="16"/>
  <c r="AF925" i="16"/>
  <c r="Z926" i="16"/>
  <c r="AF926" i="16"/>
  <c r="Z927" i="16"/>
  <c r="AF927" i="16"/>
  <c r="Z928" i="16"/>
  <c r="AF928" i="16"/>
  <c r="Z929" i="16"/>
  <c r="AF929" i="16"/>
  <c r="Z930" i="16"/>
  <c r="AF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988" i="16"/>
  <c r="AF988" i="16"/>
  <c r="Z989" i="16"/>
  <c r="AF989" i="16"/>
  <c r="Z990" i="16"/>
  <c r="AF990" i="16"/>
  <c r="Z991" i="16"/>
  <c r="AF991" i="16"/>
  <c r="Z992" i="16"/>
  <c r="AF992" i="16"/>
  <c r="Z993" i="16"/>
  <c r="AF993" i="16"/>
  <c r="Z994" i="16"/>
  <c r="AF994" i="16"/>
  <c r="Z995" i="16"/>
  <c r="AF995" i="16"/>
  <c r="Z996" i="16"/>
  <c r="AF996" i="16"/>
  <c r="Z997" i="16"/>
  <c r="AF997" i="16"/>
  <c r="Z998" i="16"/>
  <c r="AF998" i="16"/>
  <c r="Z999" i="16"/>
  <c r="AF999" i="16"/>
  <c r="Z1000" i="16"/>
  <c r="AF1000" i="16"/>
  <c r="Z1001" i="16"/>
  <c r="AF1001" i="16"/>
  <c r="Z1002" i="16"/>
  <c r="AF1002" i="16"/>
  <c r="Z1003" i="16"/>
  <c r="AF1003" i="16"/>
  <c r="Z1004" i="16"/>
  <c r="AF1004" i="16"/>
  <c r="Z1005" i="16"/>
  <c r="AF1005" i="16"/>
  <c r="Z1006" i="16"/>
  <c r="AF1006" i="16"/>
  <c r="Z1007" i="16"/>
  <c r="AF1007" i="16"/>
  <c r="Z1008" i="16"/>
  <c r="AF1008" i="16"/>
  <c r="Z1009" i="16"/>
  <c r="AF1009" i="16"/>
  <c r="Z1010" i="16"/>
  <c r="AF1010" i="16"/>
  <c r="Z1011" i="16"/>
  <c r="AF1011" i="16"/>
  <c r="Z1012" i="16"/>
  <c r="AF1012" i="16"/>
  <c r="Z1013" i="16"/>
  <c r="AF1013" i="16"/>
  <c r="Z1014" i="16"/>
  <c r="AF1014" i="16"/>
  <c r="Z1015" i="16"/>
  <c r="AF1015" i="16"/>
  <c r="Z1016" i="16"/>
  <c r="AF1016" i="16"/>
  <c r="Z1017" i="16"/>
  <c r="AF1017" i="16"/>
  <c r="Z1018" i="16"/>
  <c r="AF1018" i="16"/>
  <c r="Z1019" i="16"/>
  <c r="AF1019" i="16"/>
  <c r="Z1020" i="16"/>
  <c r="AF1020" i="16"/>
  <c r="Z1021" i="16"/>
  <c r="AF1021" i="16"/>
  <c r="Z1022" i="16"/>
  <c r="AF1022" i="16"/>
  <c r="Z1023" i="16"/>
  <c r="AF1023" i="16"/>
  <c r="Z1024" i="16"/>
  <c r="AF1024" i="16"/>
  <c r="Z1025" i="16"/>
  <c r="AF1025" i="16"/>
  <c r="Z1026" i="16"/>
  <c r="AF1026" i="16"/>
  <c r="Z1027" i="16"/>
  <c r="AF1027" i="16"/>
  <c r="Z1028" i="16"/>
  <c r="AF1028" i="16"/>
  <c r="Z1029" i="16"/>
  <c r="AF1029" i="16"/>
  <c r="Z1030" i="16"/>
  <c r="AF1030" i="16"/>
  <c r="Z1031" i="16"/>
  <c r="AF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Z1040" i="16"/>
  <c r="AF1040" i="16"/>
  <c r="Z1041" i="16"/>
  <c r="AF1041" i="16"/>
  <c r="Z1042" i="16"/>
  <c r="AF1042" i="16"/>
  <c r="Z1043" i="16"/>
  <c r="AF1043" i="16"/>
  <c r="Z1044" i="16"/>
  <c r="AF1044" i="16"/>
  <c r="Z1045" i="16"/>
  <c r="AF1045" i="16"/>
  <c r="Z1046" i="16"/>
  <c r="AF1046" i="16"/>
  <c r="Z1047" i="16"/>
  <c r="AF1047" i="16"/>
  <c r="Z1048" i="16"/>
  <c r="AF1048" i="16"/>
  <c r="Z1049" i="16"/>
  <c r="AF1049" i="16"/>
  <c r="Z1050" i="16"/>
  <c r="AF1050" i="16"/>
  <c r="Z1051" i="16"/>
  <c r="AF1051" i="16"/>
  <c r="Z1052" i="16"/>
  <c r="AF1052" i="16"/>
  <c r="Z1053" i="16"/>
  <c r="AF1053" i="16"/>
  <c r="Z1054" i="16"/>
  <c r="AF1054" i="16"/>
  <c r="Z1055" i="16"/>
  <c r="AF1055" i="16"/>
  <c r="Z1056" i="16"/>
  <c r="AF1056" i="16"/>
  <c r="Z1057" i="16"/>
  <c r="AF1057" i="16"/>
  <c r="Z1058" i="16"/>
  <c r="AF1058" i="16"/>
  <c r="Z1059" i="16"/>
  <c r="AF1059" i="16"/>
  <c r="Z1060" i="16"/>
  <c r="AF1060" i="16"/>
  <c r="Z1061" i="16"/>
  <c r="AF1061" i="16"/>
  <c r="Z1062" i="16"/>
  <c r="AF1062" i="16"/>
  <c r="Z1063" i="16"/>
  <c r="AF1063" i="16"/>
  <c r="Z1064" i="16"/>
  <c r="AF1064" i="16"/>
  <c r="Z1065" i="16"/>
  <c r="AF1065" i="16"/>
  <c r="Z1066" i="16"/>
  <c r="AF1066" i="16"/>
  <c r="Z1067" i="16"/>
  <c r="AF1067" i="16"/>
  <c r="Z1068" i="16"/>
  <c r="AF1068" i="16"/>
  <c r="Z1069" i="16"/>
  <c r="AF1069" i="16"/>
  <c r="Z1070" i="16"/>
  <c r="AF1070" i="16"/>
  <c r="Z1071" i="16"/>
  <c r="AF1071" i="16"/>
  <c r="Z1072" i="16"/>
  <c r="AF1072" i="16"/>
  <c r="Z1073" i="16"/>
  <c r="AF1073" i="16"/>
  <c r="Z1074" i="16"/>
  <c r="AF1074" i="16"/>
  <c r="Z1075" i="16"/>
  <c r="AF1075" i="16"/>
  <c r="Z1076" i="16"/>
  <c r="AF1076" i="16"/>
  <c r="Z1077" i="16"/>
  <c r="AF1077" i="16"/>
  <c r="Z1078" i="16"/>
  <c r="AF1078" i="16"/>
  <c r="Z1079" i="16"/>
  <c r="AF1079" i="16"/>
  <c r="Z1080" i="16"/>
  <c r="AF1080" i="16"/>
  <c r="Z1081" i="16"/>
  <c r="AF1081" i="16"/>
  <c r="Z1082" i="16"/>
  <c r="AF1082" i="16"/>
  <c r="Z1083" i="16"/>
  <c r="AF1083" i="16"/>
  <c r="Z1084" i="16"/>
  <c r="AF1084" i="16"/>
  <c r="Z1085" i="16"/>
  <c r="AF1085" i="16"/>
  <c r="Z1086" i="16"/>
  <c r="AF1086" i="16"/>
  <c r="Z1087" i="16"/>
  <c r="AF1087" i="16"/>
  <c r="Z1088" i="16"/>
  <c r="AF1088" i="16"/>
  <c r="Z1089" i="16"/>
  <c r="AF1089" i="16"/>
  <c r="Z1090" i="16"/>
  <c r="AF1090" i="16"/>
  <c r="Z1091" i="16"/>
  <c r="AF1091" i="16"/>
  <c r="Z1092" i="16"/>
  <c r="AF1092" i="16"/>
  <c r="Z1093" i="16"/>
  <c r="AF1093" i="16"/>
  <c r="Z1094" i="16"/>
  <c r="AF1094" i="16"/>
  <c r="Z1095" i="16"/>
  <c r="AF1095" i="16"/>
  <c r="Z1096" i="16"/>
  <c r="AF1096" i="16"/>
  <c r="Z1097" i="16"/>
  <c r="AF1097" i="16"/>
  <c r="Z1098" i="16"/>
  <c r="AF1098" i="16"/>
  <c r="Z1099" i="16"/>
  <c r="AF1099" i="16"/>
  <c r="Z1100" i="16"/>
  <c r="AF1100" i="16"/>
  <c r="Z1101" i="16"/>
  <c r="AF1101" i="16"/>
  <c r="Z1102" i="16"/>
  <c r="AF1102" i="16"/>
  <c r="Z1103" i="16"/>
  <c r="AF1103" i="16"/>
  <c r="Z1104" i="16"/>
  <c r="AF1104" i="16"/>
  <c r="Z1105" i="16"/>
  <c r="AF1105" i="16"/>
  <c r="Z1106" i="16"/>
  <c r="AF1106" i="16"/>
  <c r="Z1107" i="16"/>
  <c r="AF1107" i="16"/>
  <c r="Z1108" i="16"/>
  <c r="AF1108" i="16"/>
  <c r="Z1109" i="16"/>
  <c r="AF1109" i="16"/>
  <c r="Z1110" i="16"/>
  <c r="AF1110" i="16"/>
  <c r="Z1111" i="16"/>
  <c r="AF1111" i="16"/>
  <c r="Z1112" i="16"/>
  <c r="AF1112" i="16"/>
  <c r="Z1113" i="16"/>
  <c r="AF1113" i="16"/>
  <c r="Z1114" i="16"/>
  <c r="AF1114" i="16"/>
  <c r="Z1115" i="16"/>
  <c r="AF1115" i="16"/>
  <c r="Z1116" i="16"/>
  <c r="AF1116" i="16"/>
  <c r="Z1117" i="16"/>
  <c r="AF1117" i="16"/>
  <c r="Z1118" i="16"/>
  <c r="AF1118" i="16"/>
  <c r="Z1119" i="16"/>
  <c r="AF1119" i="16"/>
  <c r="Z1120" i="16"/>
  <c r="AF1120" i="16"/>
  <c r="Z1121" i="16"/>
  <c r="AF1121" i="16"/>
  <c r="Z1122" i="16"/>
  <c r="AF1122" i="16"/>
  <c r="Z1123" i="16"/>
  <c r="AF1123" i="16"/>
  <c r="Z1124" i="16"/>
  <c r="AF1124" i="16"/>
  <c r="Z1125" i="16"/>
  <c r="AF1125" i="16"/>
  <c r="Z1126" i="16"/>
  <c r="AF1126" i="16"/>
  <c r="Z1127" i="16"/>
  <c r="AF1127" i="16"/>
  <c r="Z1128" i="16"/>
  <c r="AF1128" i="16"/>
  <c r="Z1129" i="16"/>
  <c r="AF1129" i="16"/>
  <c r="Z1130" i="16"/>
  <c r="AF1130" i="16"/>
  <c r="Z1131" i="16"/>
  <c r="AF1131" i="16"/>
  <c r="Z1132" i="16"/>
  <c r="AF1132" i="16"/>
  <c r="Z1133" i="16"/>
  <c r="AF1133" i="16"/>
  <c r="Z1134" i="16"/>
  <c r="AF1134" i="16"/>
  <c r="Z1135" i="16"/>
  <c r="AF1135" i="16"/>
  <c r="Z1136" i="16"/>
  <c r="AF1136" i="16"/>
  <c r="Z1137" i="16"/>
  <c r="AF1137" i="16"/>
  <c r="Z1138" i="16"/>
  <c r="AF1138" i="16"/>
  <c r="Z1139" i="16"/>
  <c r="AF1139" i="16"/>
  <c r="Z1140" i="16"/>
  <c r="AF1140" i="16"/>
  <c r="Z1141" i="16"/>
  <c r="AF1141" i="16"/>
  <c r="Z1142" i="16"/>
  <c r="AF1142" i="16"/>
  <c r="Z1143" i="16"/>
  <c r="AF1143" i="16"/>
  <c r="Z1144" i="16"/>
  <c r="AF1144" i="16"/>
  <c r="Z1145" i="16"/>
  <c r="AF1145" i="16"/>
  <c r="Z1146" i="16"/>
  <c r="AF1146" i="16"/>
  <c r="Z1147" i="16"/>
  <c r="AF1147" i="16"/>
  <c r="Z1148" i="16"/>
  <c r="AF1148" i="16"/>
  <c r="Z1149" i="16"/>
  <c r="AF1149" i="16"/>
  <c r="Z1150" i="16"/>
  <c r="AF1150" i="16"/>
  <c r="Z1151" i="16"/>
  <c r="AF1151" i="16"/>
  <c r="Z1152" i="16"/>
  <c r="AF1152" i="16"/>
  <c r="Z1153" i="16"/>
  <c r="AF1153" i="16"/>
  <c r="Z1154" i="16"/>
  <c r="AF1154" i="16"/>
  <c r="Z1155" i="16"/>
  <c r="AF1155" i="16"/>
  <c r="Z1156" i="16"/>
  <c r="AF1156" i="16"/>
  <c r="Z1157" i="16"/>
  <c r="AF1157" i="16"/>
  <c r="Z1158" i="16"/>
  <c r="AF1158" i="16"/>
  <c r="Z1159" i="16"/>
  <c r="AF1159" i="16"/>
  <c r="Z1160" i="16"/>
  <c r="AF1160" i="16"/>
  <c r="Z1161" i="16"/>
  <c r="AF1161" i="16"/>
  <c r="Z1162" i="16"/>
  <c r="AF1162" i="16"/>
  <c r="Z1163" i="16"/>
  <c r="AF1163" i="16"/>
  <c r="Z1164" i="16"/>
  <c r="AF1164" i="16"/>
  <c r="Z1165" i="16"/>
  <c r="AF1165" i="16"/>
  <c r="Z1166" i="16"/>
  <c r="AF1166" i="16"/>
  <c r="Z1167" i="16"/>
  <c r="AF1167" i="16"/>
  <c r="Z1168" i="16"/>
  <c r="AF1168" i="16"/>
  <c r="Z1169" i="16"/>
  <c r="AF1169" i="16"/>
  <c r="Z1170" i="16"/>
  <c r="AF1170" i="16"/>
  <c r="Z1171" i="16"/>
  <c r="AF1171" i="16"/>
  <c r="Z1172" i="16"/>
  <c r="AF1172" i="16"/>
  <c r="Z1173" i="16"/>
  <c r="AF1173" i="16"/>
  <c r="Z1174" i="16"/>
  <c r="AF1174" i="16"/>
  <c r="Z1175" i="16"/>
  <c r="AF1175" i="16"/>
  <c r="Z1176" i="16"/>
  <c r="AF1176" i="16"/>
  <c r="Z1177" i="16"/>
  <c r="AF1177" i="16"/>
  <c r="Z1178" i="16"/>
  <c r="AF1178" i="16"/>
  <c r="Z1179" i="16"/>
  <c r="AF1179" i="16"/>
  <c r="Z1180" i="16"/>
  <c r="AF1180" i="16"/>
  <c r="Z1181" i="16"/>
  <c r="AF1181" i="16"/>
  <c r="Z1182" i="16"/>
  <c r="AF1182" i="16"/>
  <c r="Z1183" i="16"/>
  <c r="AF1183" i="16"/>
  <c r="Z1184" i="16"/>
  <c r="AF1184" i="16"/>
  <c r="Z1185" i="16"/>
  <c r="AF1185" i="16"/>
  <c r="Z1186" i="16"/>
  <c r="AF1186" i="16"/>
  <c r="Z1187" i="16"/>
  <c r="AF1187" i="16"/>
  <c r="Z1188" i="16"/>
  <c r="AF1188" i="16"/>
  <c r="Z1189" i="16"/>
  <c r="AF1189" i="16"/>
  <c r="Z1190" i="16"/>
  <c r="AF1190" i="16"/>
  <c r="Z1191" i="16"/>
  <c r="AF1191" i="16"/>
  <c r="Z1192" i="16"/>
  <c r="AF1192" i="16"/>
  <c r="Z1193" i="16"/>
  <c r="AF1193" i="16"/>
  <c r="Z1194" i="16"/>
  <c r="AF1194" i="16"/>
  <c r="Z1195" i="16"/>
  <c r="AF1195" i="16"/>
  <c r="Z1196" i="16"/>
  <c r="AF1196" i="16"/>
  <c r="Z1197" i="16"/>
  <c r="AF1197" i="16"/>
  <c r="Z1198" i="16"/>
  <c r="AF1198" i="16"/>
  <c r="Z1199" i="16"/>
  <c r="AF1199" i="16"/>
  <c r="Z1200" i="16"/>
  <c r="AF1200" i="16"/>
  <c r="Z1201" i="16"/>
  <c r="AF1201" i="16"/>
  <c r="Z1202" i="16"/>
  <c r="AF1202" i="16"/>
  <c r="Z1203" i="16"/>
  <c r="AF1203" i="16"/>
  <c r="Z1204" i="16"/>
  <c r="AF1204" i="16"/>
  <c r="Z1205" i="16"/>
  <c r="AF1205" i="16"/>
  <c r="Z1206" i="16"/>
  <c r="AF1206" i="16"/>
  <c r="Z1207" i="16"/>
  <c r="AF1207" i="16"/>
  <c r="Z1208" i="16"/>
  <c r="AF1208" i="16"/>
  <c r="Z1209" i="16"/>
  <c r="AF1209" i="16"/>
  <c r="Z1210" i="16"/>
  <c r="AF1210" i="16"/>
  <c r="Z1211" i="16"/>
  <c r="AF1211" i="16"/>
  <c r="Z1212" i="16"/>
  <c r="AF1212" i="16"/>
  <c r="Z1213" i="16"/>
  <c r="AF1213" i="16"/>
  <c r="Z1214" i="16"/>
  <c r="AF1214" i="16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Y2" i="17"/>
  <c r="Z2" i="17"/>
  <c r="AD2" i="17"/>
  <c r="AE2" i="17"/>
  <c r="AJ2" i="17"/>
  <c r="Y3" i="17"/>
  <c r="Z3" i="17"/>
  <c r="AD3" i="17"/>
  <c r="AE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Y12" i="17"/>
  <c r="Z12" i="17"/>
  <c r="AD12" i="17"/>
  <c r="AE12" i="17"/>
  <c r="Y13" i="17"/>
  <c r="Z13" i="17"/>
  <c r="AD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Y26" i="17"/>
  <c r="Z26" i="17"/>
  <c r="AD26" i="17"/>
  <c r="AE26" i="17"/>
  <c r="Y27" i="17"/>
  <c r="Z27" i="17"/>
  <c r="AD27" i="17"/>
  <c r="AE27" i="17"/>
  <c r="Y28" i="17"/>
  <c r="Z28" i="17"/>
  <c r="AD28" i="17"/>
  <c r="AE28" i="17"/>
  <c r="Y29" i="17"/>
  <c r="Z29" i="17"/>
  <c r="AD29" i="17"/>
  <c r="AE29" i="17"/>
  <c r="Y30" i="17"/>
  <c r="Z30" i="17"/>
  <c r="AD30" i="17"/>
  <c r="AE30" i="17"/>
  <c r="Y31" i="17"/>
  <c r="Z31" i="17"/>
  <c r="AD31" i="17"/>
  <c r="AE31" i="17"/>
  <c r="Y32" i="17"/>
  <c r="Z32" i="17"/>
  <c r="AD32" i="17"/>
  <c r="AE32" i="17"/>
  <c r="Y33" i="17"/>
  <c r="Z33" i="17"/>
  <c r="AD33" i="17"/>
  <c r="AE33" i="17"/>
  <c r="Y34" i="17"/>
  <c r="Z34" i="17"/>
  <c r="AD34" i="17"/>
  <c r="AE34" i="17"/>
  <c r="Y35" i="17"/>
  <c r="Z35" i="17"/>
  <c r="AD35" i="17"/>
  <c r="AE35" i="17"/>
  <c r="Y36" i="17"/>
  <c r="Z36" i="17"/>
  <c r="AD36" i="17"/>
  <c r="AE36" i="17"/>
  <c r="Y37" i="17"/>
  <c r="Z37" i="17"/>
  <c r="AD37" i="17"/>
  <c r="AE37" i="17"/>
  <c r="Y38" i="17"/>
  <c r="Z38" i="17"/>
  <c r="AD38" i="17"/>
  <c r="AE38" i="17"/>
  <c r="Y39" i="17"/>
  <c r="Z39" i="17"/>
  <c r="AD39" i="17"/>
  <c r="AE39" i="17"/>
  <c r="Y40" i="17"/>
  <c r="Z40" i="17"/>
  <c r="AD40" i="17"/>
  <c r="AE40" i="17"/>
  <c r="Y41" i="17"/>
  <c r="Z41" i="17"/>
  <c r="AD41" i="17"/>
  <c r="AE41" i="17"/>
  <c r="Y42" i="17"/>
  <c r="Z42" i="17"/>
  <c r="AD42" i="17"/>
  <c r="AE42" i="17"/>
  <c r="Y43" i="17"/>
  <c r="Z43" i="17"/>
  <c r="AD43" i="17"/>
  <c r="AE43" i="17"/>
  <c r="Y44" i="17"/>
  <c r="Z44" i="17"/>
  <c r="AD44" i="17"/>
  <c r="AE44" i="17"/>
  <c r="Y45" i="17"/>
  <c r="Z45" i="17"/>
  <c r="AD45" i="17"/>
  <c r="AE45" i="17"/>
  <c r="Y46" i="17"/>
  <c r="Z46" i="17"/>
  <c r="AD46" i="17"/>
  <c r="AE46" i="17"/>
  <c r="Y47" i="17"/>
  <c r="Z47" i="17"/>
  <c r="AD47" i="17"/>
  <c r="AE47" i="17"/>
  <c r="Y48" i="17"/>
  <c r="Z48" i="17"/>
  <c r="AD48" i="17"/>
  <c r="AE48" i="17"/>
  <c r="Y49" i="17"/>
  <c r="Z49" i="17"/>
  <c r="AD49" i="17"/>
  <c r="AE49" i="17"/>
  <c r="Y50" i="17"/>
  <c r="Z50" i="17"/>
  <c r="AD50" i="17"/>
  <c r="AE50" i="17"/>
  <c r="Y51" i="17"/>
  <c r="Z51" i="17"/>
  <c r="AD51" i="17"/>
  <c r="AE51" i="17"/>
  <c r="Y52" i="17"/>
  <c r="Z52" i="17"/>
  <c r="AD52" i="17"/>
  <c r="AE52" i="17"/>
  <c r="Y53" i="17"/>
  <c r="Z53" i="17"/>
  <c r="AD53" i="17"/>
  <c r="AE53" i="17"/>
  <c r="Y54" i="17"/>
  <c r="Z54" i="17"/>
  <c r="AD54" i="17"/>
  <c r="AE54" i="17"/>
  <c r="Y55" i="17"/>
  <c r="Z55" i="17"/>
  <c r="AD55" i="17"/>
  <c r="AE55" i="17"/>
  <c r="Y56" i="17"/>
  <c r="Z56" i="17"/>
  <c r="AD56" i="17"/>
  <c r="AE56" i="17"/>
  <c r="Y57" i="17"/>
  <c r="Z57" i="17"/>
  <c r="AD57" i="17"/>
  <c r="AE57" i="17"/>
  <c r="Y58" i="17"/>
  <c r="Z58" i="17"/>
  <c r="AD58" i="17"/>
  <c r="AE58" i="17"/>
  <c r="Y59" i="17"/>
  <c r="Z59" i="17"/>
  <c r="AD59" i="17"/>
  <c r="AE59" i="17"/>
  <c r="Y60" i="17"/>
  <c r="Z60" i="17"/>
  <c r="AD60" i="17"/>
  <c r="AE60" i="17"/>
  <c r="Y61" i="17"/>
  <c r="Z61" i="17"/>
  <c r="AD61" i="17"/>
  <c r="AE61" i="17"/>
  <c r="Z62" i="17"/>
  <c r="AE62" i="17"/>
  <c r="Z63" i="17"/>
  <c r="AE63" i="17"/>
  <c r="Z64" i="17"/>
  <c r="AE64" i="17"/>
  <c r="Z65" i="17"/>
  <c r="AE65" i="17"/>
  <c r="Z66" i="17"/>
  <c r="AE66" i="17"/>
  <c r="Z67" i="17"/>
  <c r="AE67" i="17"/>
  <c r="Z68" i="17"/>
  <c r="AE68" i="17"/>
  <c r="Z69" i="17"/>
  <c r="AE69" i="17"/>
  <c r="Z70" i="17"/>
  <c r="AE70" i="17"/>
  <c r="Z71" i="17"/>
  <c r="AE71" i="17"/>
  <c r="Z72" i="17"/>
  <c r="AE72" i="17"/>
  <c r="Z73" i="17"/>
  <c r="AE73" i="17"/>
  <c r="Y74" i="17"/>
  <c r="AD74" i="17"/>
  <c r="Y75" i="17"/>
  <c r="AD75" i="17"/>
  <c r="Y76" i="17"/>
  <c r="AD76" i="17"/>
  <c r="Y77" i="17"/>
  <c r="AD77" i="17"/>
  <c r="Y78" i="17"/>
  <c r="AD78" i="17"/>
  <c r="Y79" i="17"/>
  <c r="AD79" i="17"/>
  <c r="Y80" i="17"/>
  <c r="AD80" i="17"/>
  <c r="Y81" i="17"/>
  <c r="AD81" i="17"/>
  <c r="Y82" i="17"/>
  <c r="AD82" i="17"/>
  <c r="Y83" i="17"/>
  <c r="AD83" i="17"/>
  <c r="Y84" i="17"/>
  <c r="AD84" i="17"/>
  <c r="Y85" i="17"/>
  <c r="AD85" i="17"/>
  <c r="Z86" i="17"/>
  <c r="AE86" i="17"/>
  <c r="Z87" i="17"/>
  <c r="AE87" i="17"/>
  <c r="Z88" i="17"/>
  <c r="AE88" i="17"/>
  <c r="Z89" i="17"/>
  <c r="AE89" i="17"/>
  <c r="Z90" i="17"/>
  <c r="AE90" i="17"/>
  <c r="Z91" i="17"/>
  <c r="AE91" i="17"/>
  <c r="Z92" i="17"/>
  <c r="AE92" i="17"/>
  <c r="Z93" i="17"/>
  <c r="AE93" i="17"/>
  <c r="Z94" i="17"/>
  <c r="AE94" i="17"/>
  <c r="Z95" i="17"/>
  <c r="AE95" i="17"/>
  <c r="Z96" i="17"/>
  <c r="AE96" i="17"/>
  <c r="Z97" i="17"/>
  <c r="AE97" i="17"/>
  <c r="Z98" i="17"/>
  <c r="AE98" i="17"/>
  <c r="Z99" i="17"/>
  <c r="AE99" i="17"/>
  <c r="Z100" i="17"/>
  <c r="AE100" i="17"/>
  <c r="Z101" i="17"/>
  <c r="AE101" i="17"/>
  <c r="Z102" i="17"/>
  <c r="AE102" i="17"/>
  <c r="Z103" i="17"/>
  <c r="AE103" i="17"/>
  <c r="Z104" i="17"/>
  <c r="AE104" i="17"/>
  <c r="Z105" i="17"/>
  <c r="AE105" i="17"/>
  <c r="Z106" i="17"/>
  <c r="AE106" i="17"/>
  <c r="Z107" i="17"/>
  <c r="AE107" i="17"/>
  <c r="Z108" i="17"/>
  <c r="AE108" i="17"/>
  <c r="Z109" i="17"/>
  <c r="AE109" i="17"/>
  <c r="Y110" i="17"/>
  <c r="AD110" i="17"/>
  <c r="Y111" i="17"/>
  <c r="AD111" i="17"/>
  <c r="Y112" i="17"/>
  <c r="AD112" i="17"/>
  <c r="Y113" i="17"/>
  <c r="AD113" i="17"/>
  <c r="Y114" i="17"/>
  <c r="AD114" i="17"/>
  <c r="Y115" i="17"/>
  <c r="AD115" i="17"/>
  <c r="Y116" i="17"/>
  <c r="AD116" i="17"/>
  <c r="Y117" i="17"/>
  <c r="AD117" i="17"/>
  <c r="Y118" i="17"/>
  <c r="AD118" i="17"/>
  <c r="Y119" i="17"/>
  <c r="AD119" i="17"/>
  <c r="Y120" i="17"/>
  <c r="AD120" i="17"/>
  <c r="Y121" i="17"/>
  <c r="AD121" i="17"/>
  <c r="Z122" i="17"/>
  <c r="AE122" i="17"/>
  <c r="Z123" i="17"/>
  <c r="AE123" i="17"/>
  <c r="Z124" i="17"/>
  <c r="AE124" i="17"/>
  <c r="Z125" i="17"/>
  <c r="AE125" i="17"/>
  <c r="Z126" i="17"/>
  <c r="AE126" i="17"/>
  <c r="Z127" i="17"/>
  <c r="AE127" i="17"/>
  <c r="Z128" i="17"/>
  <c r="AE128" i="17"/>
  <c r="Z129" i="17"/>
  <c r="AE129" i="17"/>
  <c r="Z130" i="17"/>
  <c r="AE130" i="17"/>
  <c r="Z131" i="17"/>
  <c r="AE131" i="17"/>
  <c r="Z132" i="17"/>
  <c r="AE132" i="17"/>
  <c r="Z133" i="17"/>
  <c r="AE133" i="17"/>
  <c r="Z134" i="17"/>
  <c r="AE134" i="17"/>
  <c r="Z135" i="17"/>
  <c r="AE135" i="17"/>
  <c r="Z136" i="17"/>
  <c r="AE136" i="17"/>
  <c r="Z137" i="17"/>
  <c r="AE137" i="17"/>
  <c r="Z138" i="17"/>
  <c r="AE138" i="17"/>
  <c r="Z139" i="17"/>
  <c r="AE139" i="17"/>
  <c r="Z140" i="17"/>
  <c r="AE140" i="17"/>
  <c r="Z141" i="17"/>
  <c r="AE141" i="17"/>
  <c r="Z142" i="17"/>
  <c r="AE142" i="17"/>
  <c r="Z143" i="17"/>
  <c r="AE143" i="17"/>
  <c r="Z144" i="17"/>
  <c r="AE144" i="17"/>
  <c r="Z145" i="17"/>
  <c r="AE145" i="17"/>
  <c r="Y146" i="17"/>
  <c r="AD146" i="17"/>
  <c r="Y147" i="17"/>
  <c r="AD147" i="17"/>
  <c r="Y148" i="17"/>
  <c r="AD148" i="17"/>
  <c r="Y149" i="17"/>
  <c r="AD149" i="17"/>
  <c r="Y150" i="17"/>
  <c r="AD150" i="17"/>
  <c r="Y151" i="17"/>
  <c r="AD151" i="17"/>
  <c r="Y152" i="17"/>
  <c r="AD152" i="17"/>
  <c r="Y153" i="17"/>
  <c r="AD153" i="17"/>
  <c r="Y154" i="17"/>
  <c r="AD154" i="17"/>
  <c r="Y155" i="17"/>
  <c r="AD155" i="17"/>
  <c r="Y156" i="17"/>
  <c r="AD156" i="17"/>
  <c r="Y157" i="17"/>
  <c r="AD157" i="17"/>
  <c r="Z158" i="17"/>
  <c r="AE158" i="17"/>
  <c r="Z159" i="17"/>
  <c r="AE159" i="17"/>
  <c r="Z160" i="17"/>
  <c r="AE160" i="17"/>
  <c r="Z161" i="17"/>
  <c r="AE161" i="17"/>
  <c r="Z162" i="17"/>
  <c r="AE162" i="17"/>
  <c r="Z163" i="17"/>
  <c r="AE163" i="17"/>
  <c r="Z164" i="17"/>
  <c r="AE164" i="17"/>
  <c r="Z165" i="17"/>
  <c r="AE165" i="17"/>
  <c r="Z166" i="17"/>
  <c r="AE166" i="17"/>
  <c r="Z167" i="17"/>
  <c r="AE167" i="17"/>
  <c r="Z168" i="17"/>
  <c r="AE168" i="17"/>
  <c r="Z169" i="17"/>
  <c r="AE169" i="17"/>
  <c r="Z170" i="17"/>
  <c r="AE170" i="17"/>
  <c r="Z171" i="17"/>
  <c r="AE171" i="17"/>
  <c r="Z172" i="17"/>
  <c r="AE172" i="17"/>
  <c r="Z173" i="17"/>
  <c r="AE173" i="17"/>
  <c r="Z174" i="17"/>
  <c r="AE174" i="17"/>
  <c r="Z175" i="17"/>
  <c r="AE175" i="17"/>
  <c r="Z176" i="17"/>
  <c r="AE176" i="17"/>
  <c r="Z177" i="17"/>
  <c r="AE177" i="17"/>
  <c r="Z178" i="17"/>
  <c r="AE178" i="17"/>
  <c r="Z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Z192" i="17"/>
  <c r="AE192" i="17"/>
  <c r="Z193" i="17"/>
  <c r="AE193" i="17"/>
  <c r="Z194" i="17"/>
  <c r="AE194" i="17"/>
  <c r="Z195" i="17"/>
  <c r="AE195" i="17"/>
  <c r="Z196" i="17"/>
  <c r="AE196" i="17"/>
  <c r="Z197" i="17"/>
  <c r="AE197" i="17"/>
  <c r="Z198" i="17"/>
  <c r="AE198" i="17"/>
  <c r="Z199" i="17"/>
  <c r="AE199" i="17"/>
  <c r="Z200" i="17"/>
  <c r="AE200" i="17"/>
  <c r="Z201" i="17"/>
  <c r="AE201" i="17"/>
  <c r="Z202" i="17"/>
  <c r="AE202" i="17"/>
  <c r="Z203" i="17"/>
  <c r="AE203" i="17"/>
  <c r="Z204" i="17"/>
  <c r="AE204" i="17"/>
  <c r="Z205" i="17"/>
  <c r="AE205" i="17"/>
  <c r="Z206" i="17"/>
  <c r="AE206" i="17"/>
  <c r="Z207" i="17"/>
  <c r="AE207" i="17"/>
  <c r="Z208" i="17"/>
  <c r="AE208" i="17"/>
  <c r="Z209" i="17"/>
  <c r="AE209" i="17"/>
  <c r="Z210" i="17"/>
  <c r="AE210" i="17"/>
  <c r="Z211" i="17"/>
  <c r="AE211" i="17"/>
  <c r="Z212" i="17"/>
  <c r="AE212" i="17"/>
  <c r="Z213" i="17"/>
  <c r="AE213" i="17"/>
  <c r="Z214" i="17"/>
  <c r="AE214" i="17"/>
  <c r="Z215" i="17"/>
  <c r="AE215" i="17"/>
  <c r="Z216" i="17"/>
  <c r="AE216" i="17"/>
  <c r="Z217" i="17"/>
  <c r="AE217" i="17"/>
  <c r="Z218" i="17"/>
  <c r="AE218" i="17"/>
  <c r="Z219" i="17"/>
  <c r="AE219" i="17"/>
  <c r="Z220" i="17"/>
  <c r="AE220" i="17"/>
  <c r="Z221" i="17"/>
  <c r="AE221" i="17"/>
  <c r="Z222" i="17"/>
  <c r="AE222" i="17"/>
  <c r="Z223" i="17"/>
  <c r="AE223" i="17"/>
  <c r="Z224" i="17"/>
  <c r="AE224" i="17"/>
  <c r="Z225" i="17"/>
  <c r="AE225" i="17"/>
  <c r="Z226" i="17"/>
  <c r="AE226" i="17"/>
  <c r="Z227" i="17"/>
  <c r="AE227" i="17"/>
  <c r="Z228" i="17"/>
  <c r="AE228" i="17"/>
  <c r="Z229" i="17"/>
  <c r="AE229" i="17"/>
  <c r="Z230" i="17"/>
  <c r="AE230" i="17"/>
  <c r="Z231" i="17"/>
  <c r="AE231" i="17"/>
  <c r="Z232" i="17"/>
  <c r="AE232" i="17"/>
  <c r="Z233" i="17"/>
  <c r="AE233" i="17"/>
  <c r="Z234" i="17"/>
  <c r="AE234" i="17"/>
  <c r="Z235" i="17"/>
  <c r="AE235" i="17"/>
  <c r="Z236" i="17"/>
  <c r="AE236" i="17"/>
  <c r="Z237" i="17"/>
  <c r="AE237" i="17"/>
  <c r="Z238" i="17"/>
  <c r="AE238" i="17"/>
  <c r="Z239" i="17"/>
  <c r="AE239" i="17"/>
  <c r="Z240" i="17"/>
  <c r="AE240" i="17"/>
  <c r="Z241" i="17"/>
  <c r="AE241" i="17"/>
  <c r="Z242" i="17"/>
  <c r="AE242" i="17"/>
  <c r="Z243" i="17"/>
  <c r="AE243" i="17"/>
  <c r="Z244" i="17"/>
  <c r="AE244" i="17"/>
  <c r="Z245" i="17"/>
  <c r="AE245" i="17"/>
  <c r="Z246" i="17"/>
  <c r="AE246" i="17"/>
  <c r="Z247" i="17"/>
  <c r="AE247" i="17"/>
  <c r="Z248" i="17"/>
  <c r="AE248" i="17"/>
  <c r="Z249" i="17"/>
  <c r="AE249" i="17"/>
  <c r="Z250" i="17"/>
  <c r="AE250" i="17"/>
  <c r="Z251" i="17"/>
  <c r="AE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Z264" i="17"/>
  <c r="AE264" i="17"/>
  <c r="Z265" i="17"/>
  <c r="AE265" i="17"/>
  <c r="Z266" i="17"/>
  <c r="AE266" i="17"/>
  <c r="Z267" i="17"/>
  <c r="AE267" i="17"/>
  <c r="Z268" i="17"/>
  <c r="AE268" i="17"/>
  <c r="Z269" i="17"/>
  <c r="AE269" i="17"/>
  <c r="Z270" i="17"/>
  <c r="AE270" i="17"/>
  <c r="Z271" i="17"/>
  <c r="AE271" i="17"/>
  <c r="Z272" i="17"/>
  <c r="AE272" i="17"/>
  <c r="Z273" i="17"/>
  <c r="AE273" i="17"/>
  <c r="Z274" i="17"/>
  <c r="AE274" i="17"/>
  <c r="Z275" i="17"/>
  <c r="AE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Z325" i="17"/>
  <c r="AE325" i="17"/>
  <c r="Z326" i="17"/>
  <c r="AE326" i="17"/>
  <c r="Z327" i="17"/>
  <c r="AE327" i="17"/>
  <c r="Z328" i="17"/>
  <c r="AE328" i="17"/>
  <c r="Z329" i="17"/>
  <c r="AE329" i="17"/>
  <c r="Z330" i="17"/>
  <c r="AE330" i="17"/>
  <c r="Z331" i="17"/>
  <c r="AE331" i="17"/>
  <c r="Z332" i="17"/>
  <c r="AE332" i="17"/>
  <c r="Z333" i="17"/>
  <c r="AE333" i="17"/>
  <c r="Z334" i="17"/>
  <c r="AE334" i="17"/>
  <c r="Z335" i="17"/>
  <c r="AE335" i="17"/>
  <c r="Z336" i="17"/>
  <c r="AE336" i="17"/>
  <c r="Z337" i="17"/>
  <c r="AE337" i="17"/>
  <c r="Z338" i="17"/>
  <c r="AE338" i="17"/>
  <c r="Z339" i="17"/>
  <c r="AE339" i="17"/>
  <c r="Z340" i="17"/>
  <c r="AE340" i="17"/>
  <c r="Z341" i="17"/>
  <c r="AE341" i="17"/>
  <c r="Z342" i="17"/>
  <c r="AE342" i="17"/>
  <c r="Z343" i="17"/>
  <c r="AE343" i="17"/>
  <c r="Z344" i="17"/>
  <c r="AE344" i="17"/>
  <c r="Z345" i="17"/>
  <c r="AE345" i="17"/>
  <c r="Z346" i="17"/>
  <c r="AE346" i="17"/>
  <c r="Z347" i="17"/>
  <c r="AE347" i="17"/>
  <c r="Z348" i="17"/>
  <c r="AE348" i="17"/>
  <c r="Z349" i="17"/>
  <c r="AE349" i="17"/>
  <c r="Z350" i="17"/>
  <c r="AE350" i="17"/>
  <c r="Z351" i="17"/>
  <c r="AE351" i="17"/>
  <c r="Z352" i="17"/>
  <c r="AE352" i="17"/>
  <c r="Z353" i="17"/>
  <c r="AE353" i="17"/>
  <c r="Z354" i="17"/>
  <c r="AE354" i="17"/>
  <c r="Z355" i="17"/>
  <c r="AE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Z384" i="17"/>
  <c r="AE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Z397" i="17"/>
  <c r="AE397" i="17"/>
  <c r="Z398" i="17"/>
  <c r="AE398" i="17"/>
  <c r="Z399" i="17"/>
  <c r="AE399" i="17"/>
  <c r="Z400" i="17"/>
  <c r="AE400" i="17"/>
  <c r="Z401" i="17"/>
  <c r="AE401" i="17"/>
  <c r="Z402" i="17"/>
  <c r="AE402" i="17"/>
  <c r="Z403" i="17"/>
  <c r="AE403" i="17"/>
  <c r="Z404" i="17"/>
  <c r="AE404" i="17"/>
  <c r="Z405" i="17"/>
  <c r="AE405" i="17"/>
  <c r="Z406" i="17"/>
  <c r="AE406" i="17"/>
  <c r="Z407" i="17"/>
  <c r="AE407" i="17"/>
  <c r="Z408" i="17"/>
  <c r="AE408" i="17"/>
  <c r="Z409" i="17"/>
  <c r="AE409" i="17"/>
  <c r="Z410" i="17"/>
  <c r="AE410" i="17"/>
  <c r="Z411" i="17"/>
  <c r="AE411" i="17"/>
  <c r="Z412" i="17"/>
  <c r="AE412" i="17"/>
  <c r="Z413" i="17"/>
  <c r="AE413" i="17"/>
  <c r="Z414" i="17"/>
  <c r="AE414" i="17"/>
  <c r="Z415" i="17"/>
  <c r="AE415" i="17"/>
  <c r="Z416" i="17"/>
  <c r="AE416" i="17"/>
  <c r="Z417" i="17"/>
  <c r="AE417" i="17"/>
  <c r="Z418" i="17"/>
  <c r="AE418" i="17"/>
  <c r="Z419" i="17"/>
  <c r="AE419" i="17"/>
  <c r="Z420" i="17"/>
  <c r="AE420" i="17"/>
  <c r="Z421" i="17"/>
  <c r="AE421" i="17"/>
  <c r="Z422" i="17"/>
  <c r="AE422" i="17"/>
  <c r="Z423" i="17"/>
  <c r="AE423" i="17"/>
  <c r="Z424" i="17"/>
  <c r="AE424" i="17"/>
  <c r="Z425" i="17"/>
  <c r="AE425" i="17"/>
  <c r="Z426" i="17"/>
  <c r="AE426" i="17"/>
  <c r="Z427" i="17"/>
  <c r="AE427" i="17"/>
  <c r="Z428" i="17"/>
  <c r="AE428" i="17"/>
  <c r="Z429" i="17"/>
  <c r="AE429" i="17"/>
  <c r="Z430" i="17"/>
  <c r="AE430" i="17"/>
  <c r="Z431" i="17"/>
  <c r="AE431" i="17"/>
  <c r="Z432" i="17"/>
  <c r="AE432" i="17"/>
  <c r="Z433" i="17"/>
  <c r="AE433" i="17"/>
  <c r="Z434" i="17"/>
  <c r="AE434" i="17"/>
  <c r="Z435" i="17"/>
  <c r="AE435" i="17"/>
  <c r="Z436" i="17"/>
  <c r="AE436" i="17"/>
  <c r="Z437" i="17"/>
  <c r="AE437" i="17"/>
  <c r="Z438" i="17"/>
  <c r="AE438" i="17"/>
  <c r="Z439" i="17"/>
  <c r="AE439" i="17"/>
  <c r="Z440" i="17"/>
  <c r="AE440" i="17"/>
  <c r="Z441" i="17"/>
  <c r="AE441" i="17"/>
  <c r="Z442" i="17"/>
  <c r="AE442" i="17"/>
  <c r="Z443" i="17"/>
  <c r="AE443" i="17"/>
  <c r="Z444" i="17"/>
  <c r="AE444" i="17"/>
  <c r="Z445" i="17"/>
  <c r="AE445" i="17"/>
  <c r="Z446" i="17"/>
  <c r="AE446" i="17"/>
  <c r="Z447" i="17"/>
  <c r="AE447" i="17"/>
  <c r="Z448" i="17"/>
  <c r="AE448" i="17"/>
  <c r="Z449" i="17"/>
  <c r="AE449" i="17"/>
  <c r="Z450" i="17"/>
  <c r="AE450" i="17"/>
  <c r="Z451" i="17"/>
  <c r="AE451" i="17"/>
  <c r="E5" i="28"/>
  <c r="F5" i="28"/>
  <c r="H5" i="28"/>
  <c r="I5" i="28"/>
  <c r="R5" i="28"/>
  <c r="U5" i="28"/>
  <c r="E6" i="28"/>
  <c r="F6" i="28"/>
  <c r="H6" i="28"/>
  <c r="I6" i="28"/>
  <c r="R6" i="28"/>
  <c r="U6" i="28"/>
  <c r="E7" i="28"/>
  <c r="F7" i="28"/>
  <c r="H7" i="28"/>
  <c r="I7" i="28"/>
  <c r="R7" i="28"/>
  <c r="U7" i="28"/>
  <c r="E8" i="28"/>
  <c r="F8" i="28"/>
  <c r="H8" i="28"/>
  <c r="I8" i="28"/>
  <c r="R8" i="28"/>
  <c r="U8" i="28"/>
  <c r="E9" i="28"/>
  <c r="F9" i="28"/>
  <c r="H9" i="28"/>
  <c r="I9" i="28"/>
  <c r="R9" i="28"/>
  <c r="U9" i="28"/>
  <c r="E10" i="28"/>
  <c r="F10" i="28"/>
  <c r="H10" i="28"/>
  <c r="I10" i="28"/>
  <c r="R10" i="28"/>
  <c r="U10" i="28"/>
  <c r="R11" i="28"/>
  <c r="U11" i="28"/>
  <c r="E12" i="28"/>
  <c r="F12" i="28"/>
  <c r="H12" i="28"/>
  <c r="I12" i="28"/>
  <c r="R12" i="28"/>
  <c r="U12" i="28"/>
  <c r="E13" i="28"/>
  <c r="F13" i="28"/>
  <c r="H13" i="28"/>
  <c r="I13" i="28"/>
  <c r="R13" i="28"/>
  <c r="U13" i="28"/>
  <c r="E14" i="28"/>
  <c r="F14" i="28"/>
  <c r="H14" i="28"/>
  <c r="I14" i="28"/>
  <c r="R14" i="28"/>
  <c r="U14" i="28"/>
  <c r="E15" i="28"/>
  <c r="F15" i="28"/>
  <c r="H15" i="28"/>
  <c r="I15" i="28"/>
  <c r="R15" i="28"/>
  <c r="U15" i="28"/>
  <c r="E16" i="28"/>
  <c r="H16" i="28"/>
  <c r="R16" i="28"/>
  <c r="U16" i="28"/>
  <c r="F17" i="28"/>
  <c r="I17" i="28"/>
  <c r="R17" i="28"/>
  <c r="U17" i="28"/>
  <c r="F18" i="28"/>
  <c r="I18" i="28"/>
  <c r="R18" i="28"/>
  <c r="U18" i="28"/>
  <c r="E19" i="28"/>
  <c r="H19" i="28"/>
  <c r="R19" i="28"/>
  <c r="U19" i="28"/>
  <c r="F20" i="28"/>
  <c r="I20" i="28"/>
  <c r="R20" i="28"/>
  <c r="U20" i="28"/>
  <c r="F21" i="28"/>
  <c r="I21" i="28"/>
  <c r="R21" i="28"/>
  <c r="U21" i="28"/>
  <c r="E22" i="28"/>
  <c r="F22" i="28"/>
  <c r="H22" i="28"/>
  <c r="I22" i="28"/>
  <c r="R22" i="28"/>
  <c r="U22" i="28"/>
  <c r="E23" i="28"/>
  <c r="F23" i="28"/>
  <c r="H23" i="28"/>
  <c r="I23" i="28"/>
  <c r="R23" i="28"/>
  <c r="U23" i="28"/>
  <c r="R24" i="28"/>
  <c r="U24" i="28"/>
  <c r="E25" i="28"/>
  <c r="H25" i="28"/>
  <c r="R25" i="28"/>
  <c r="U25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N7" i="6"/>
  <c r="AJ7" i="6"/>
  <c r="AK7" i="6"/>
  <c r="N8" i="6"/>
  <c r="AJ8" i="6"/>
  <c r="AK8" i="6"/>
  <c r="N14" i="6"/>
  <c r="AJ14" i="6"/>
  <c r="AK14" i="6"/>
  <c r="N15" i="6"/>
  <c r="AJ15" i="6"/>
  <c r="AK15" i="6"/>
  <c r="N21" i="6"/>
  <c r="AJ21" i="6"/>
  <c r="AK21" i="6"/>
  <c r="N22" i="6"/>
  <c r="AJ22" i="6"/>
  <c r="AK22" i="6"/>
  <c r="N23" i="6"/>
  <c r="AJ23" i="6"/>
  <c r="AK23" i="6"/>
  <c r="N24" i="6"/>
  <c r="AJ24" i="6"/>
  <c r="AK24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5" i="6"/>
  <c r="AJ65" i="6"/>
  <c r="AK65" i="6"/>
  <c r="N70" i="6"/>
  <c r="AJ70" i="6"/>
  <c r="AK70" i="6"/>
  <c r="L73" i="6"/>
  <c r="N73" i="6"/>
  <c r="L74" i="6"/>
  <c r="N74" i="6"/>
  <c r="L75" i="6"/>
  <c r="N75" i="6"/>
  <c r="N76" i="6"/>
  <c r="L77" i="6"/>
  <c r="L78" i="6"/>
  <c r="L79" i="6"/>
  <c r="L80" i="6"/>
  <c r="L81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C9" i="23"/>
  <c r="AF9" i="23"/>
  <c r="AG9" i="23"/>
  <c r="N10" i="23"/>
  <c r="AC10" i="23"/>
  <c r="AF10" i="23"/>
  <c r="AG10" i="23"/>
  <c r="N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C16" i="23"/>
  <c r="AF16" i="23"/>
  <c r="AG16" i="23"/>
  <c r="N17" i="23"/>
  <c r="AC17" i="23"/>
  <c r="AF17" i="23"/>
  <c r="AG17" i="23"/>
  <c r="N18" i="23"/>
  <c r="AC18" i="23"/>
  <c r="AF18" i="23"/>
  <c r="AG18" i="23"/>
  <c r="N19" i="23"/>
  <c r="AB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2" i="23"/>
  <c r="AB52" i="23"/>
  <c r="AC52" i="23"/>
  <c r="AF52" i="23"/>
  <c r="AG52" i="23"/>
  <c r="N53" i="23"/>
  <c r="AB53" i="23"/>
  <c r="AC53" i="23"/>
  <c r="AF53" i="23"/>
  <c r="AG53" i="23"/>
  <c r="N54" i="23"/>
  <c r="AB54" i="23"/>
  <c r="AC54" i="23"/>
  <c r="AF54" i="23"/>
  <c r="AG54" i="23"/>
  <c r="N55" i="23"/>
  <c r="AB55" i="23"/>
  <c r="AC55" i="23"/>
  <c r="AF55" i="23"/>
  <c r="AG55" i="23"/>
  <c r="N56" i="23"/>
  <c r="AB56" i="23"/>
  <c r="AC56" i="23"/>
  <c r="AF56" i="23"/>
  <c r="AG56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7" i="23"/>
  <c r="AB67" i="23"/>
  <c r="AC67" i="23"/>
  <c r="AF67" i="23"/>
  <c r="AG67" i="23"/>
  <c r="N68" i="23"/>
  <c r="AB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C71" i="23"/>
  <c r="AF71" i="23"/>
  <c r="AG71" i="23"/>
  <c r="N72" i="23"/>
  <c r="AC72" i="23"/>
  <c r="AF72" i="23"/>
  <c r="AG72" i="23"/>
  <c r="N73" i="23"/>
  <c r="AC73" i="23"/>
  <c r="AF73" i="23"/>
  <c r="AG73" i="23"/>
  <c r="N74" i="23"/>
  <c r="AB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C78" i="23"/>
  <c r="AF78" i="23"/>
  <c r="AG78" i="23"/>
  <c r="N79" i="23"/>
  <c r="AC79" i="23"/>
  <c r="AF79" i="23"/>
  <c r="AG79" i="23"/>
  <c r="N80" i="23"/>
  <c r="AC80" i="23"/>
  <c r="AF80" i="23"/>
  <c r="AG80" i="23"/>
  <c r="N81" i="23"/>
  <c r="AB81" i="23"/>
  <c r="AC81" i="23"/>
  <c r="AF81" i="23"/>
  <c r="AG81" i="23"/>
  <c r="N82" i="23"/>
  <c r="AB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104" i="23"/>
  <c r="AB104" i="23"/>
  <c r="AC104" i="23"/>
  <c r="AF104" i="23"/>
  <c r="AG104" i="23"/>
  <c r="N105" i="23"/>
  <c r="AB105" i="23"/>
  <c r="AC105" i="23"/>
  <c r="AF105" i="23"/>
  <c r="AG105" i="23"/>
  <c r="N106" i="23"/>
  <c r="AB106" i="23"/>
  <c r="AC106" i="23"/>
  <c r="AF106" i="23"/>
  <c r="AG106" i="23"/>
  <c r="N107" i="23"/>
  <c r="AB107" i="23"/>
  <c r="AC107" i="23"/>
  <c r="AF107" i="23"/>
  <c r="AG107" i="23"/>
  <c r="N108" i="23"/>
  <c r="AB108" i="23"/>
  <c r="AC108" i="23"/>
  <c r="AF108" i="23"/>
  <c r="AG108" i="23"/>
  <c r="N109" i="23"/>
  <c r="AB109" i="23"/>
  <c r="AC109" i="23"/>
  <c r="AF109" i="23"/>
  <c r="AG109" i="23"/>
  <c r="N110" i="23"/>
  <c r="AB110" i="23"/>
  <c r="AC110" i="23"/>
  <c r="AF110" i="23"/>
  <c r="AG110" i="23"/>
  <c r="N111" i="23"/>
  <c r="AB111" i="23"/>
  <c r="AC111" i="23"/>
  <c r="AF111" i="23"/>
  <c r="AG111" i="23"/>
  <c r="N112" i="23"/>
  <c r="AB112" i="23"/>
  <c r="AC112" i="23"/>
  <c r="AF112" i="23"/>
  <c r="AG112" i="23"/>
  <c r="N113" i="23"/>
  <c r="AB113" i="23"/>
  <c r="AC113" i="23"/>
  <c r="AF113" i="23"/>
  <c r="AG113" i="23"/>
  <c r="N114" i="23"/>
  <c r="AB114" i="23"/>
  <c r="AC114" i="23"/>
  <c r="AF114" i="23"/>
  <c r="AG114" i="23"/>
  <c r="N115" i="23"/>
  <c r="AB115" i="23"/>
  <c r="AC115" i="23"/>
  <c r="AF115" i="23"/>
  <c r="AG115" i="23"/>
  <c r="N116" i="23"/>
  <c r="AB116" i="23"/>
  <c r="AC116" i="23"/>
  <c r="AF116" i="23"/>
  <c r="AG116" i="23"/>
  <c r="N117" i="23"/>
  <c r="AB117" i="23"/>
  <c r="AC117" i="23"/>
  <c r="AF117" i="23"/>
  <c r="AG117" i="23"/>
  <c r="N118" i="23"/>
  <c r="AB118" i="23"/>
  <c r="AC118" i="23"/>
  <c r="AF118" i="23"/>
  <c r="AG118" i="23"/>
  <c r="N119" i="23"/>
  <c r="AB119" i="23"/>
  <c r="AC119" i="23"/>
  <c r="AF119" i="23"/>
  <c r="AG119" i="23"/>
  <c r="N120" i="23"/>
  <c r="AB120" i="23"/>
  <c r="AC120" i="23"/>
  <c r="AF120" i="23"/>
  <c r="AG120" i="23"/>
  <c r="N121" i="23"/>
  <c r="AB121" i="23"/>
  <c r="AC121" i="23"/>
  <c r="AF121" i="23"/>
  <c r="AG121" i="23"/>
  <c r="N122" i="23"/>
  <c r="AB122" i="23"/>
  <c r="AC122" i="23"/>
  <c r="AF122" i="23"/>
  <c r="AG122" i="23"/>
  <c r="N123" i="23"/>
  <c r="AB123" i="23"/>
  <c r="AC123" i="23"/>
  <c r="AF123" i="23"/>
  <c r="AG123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3" i="7"/>
  <c r="T63" i="7"/>
  <c r="AJ63" i="7"/>
  <c r="AK63" i="7"/>
  <c r="AL63" i="7"/>
  <c r="AM63" i="7"/>
  <c r="N68" i="7"/>
  <c r="AE68" i="7"/>
  <c r="AF68" i="7"/>
  <c r="AJ68" i="7"/>
  <c r="AK68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F9" i="8"/>
  <c r="AG9" i="8"/>
  <c r="AJ9" i="8"/>
  <c r="AK9" i="8"/>
  <c r="AL9" i="8"/>
  <c r="AM9" i="8"/>
  <c r="AP9" i="8"/>
  <c r="N10" i="8"/>
  <c r="T10" i="8"/>
  <c r="AF10" i="8"/>
  <c r="AG10" i="8"/>
  <c r="AJ10" i="8"/>
  <c r="AK10" i="8"/>
  <c r="AL10" i="8"/>
  <c r="AM10" i="8"/>
  <c r="AP10" i="8"/>
  <c r="N11" i="8"/>
  <c r="T11" i="8"/>
  <c r="AF11" i="8"/>
  <c r="AG11" i="8"/>
  <c r="AJ11" i="8"/>
  <c r="AK11" i="8"/>
  <c r="AL11" i="8"/>
  <c r="AM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F16" i="8"/>
  <c r="AG16" i="8"/>
  <c r="AJ16" i="8"/>
  <c r="AK16" i="8"/>
  <c r="AL16" i="8"/>
  <c r="AM16" i="8"/>
  <c r="AP16" i="8"/>
  <c r="N17" i="8"/>
  <c r="T17" i="8"/>
  <c r="AF17" i="8"/>
  <c r="AG17" i="8"/>
  <c r="AJ17" i="8"/>
  <c r="AK17" i="8"/>
  <c r="AL17" i="8"/>
  <c r="AM17" i="8"/>
  <c r="AP17" i="8"/>
  <c r="N18" i="8"/>
  <c r="T18" i="8"/>
  <c r="AF18" i="8"/>
  <c r="AG18" i="8"/>
  <c r="AJ18" i="8"/>
  <c r="AK18" i="8"/>
  <c r="AL18" i="8"/>
  <c r="AM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3" i="8"/>
  <c r="T63" i="8"/>
  <c r="AE63" i="8"/>
  <c r="AF63" i="8"/>
  <c r="AG63" i="8"/>
  <c r="AJ63" i="8"/>
  <c r="AK63" i="8"/>
  <c r="AL63" i="8"/>
  <c r="AM63" i="8"/>
  <c r="AO63" i="8"/>
  <c r="AP63" i="8"/>
  <c r="AO65" i="8"/>
  <c r="AP65" i="8"/>
  <c r="AE68" i="8"/>
  <c r="AF68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F9" i="9"/>
  <c r="AG9" i="9"/>
  <c r="AJ9" i="9"/>
  <c r="AK9" i="9"/>
  <c r="AL9" i="9"/>
  <c r="AM9" i="9"/>
  <c r="AP9" i="9"/>
  <c r="N10" i="9"/>
  <c r="T10" i="9"/>
  <c r="AF10" i="9"/>
  <c r="AG10" i="9"/>
  <c r="AJ10" i="9"/>
  <c r="AK10" i="9"/>
  <c r="AL10" i="9"/>
  <c r="AM10" i="9"/>
  <c r="AP10" i="9"/>
  <c r="N11" i="9"/>
  <c r="T11" i="9"/>
  <c r="AF11" i="9"/>
  <c r="AG11" i="9"/>
  <c r="AJ11" i="9"/>
  <c r="AK11" i="9"/>
  <c r="AL11" i="9"/>
  <c r="AM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F16" i="9"/>
  <c r="AG16" i="9"/>
  <c r="AJ16" i="9"/>
  <c r="AK16" i="9"/>
  <c r="AL16" i="9"/>
  <c r="AM16" i="9"/>
  <c r="AP16" i="9"/>
  <c r="N17" i="9"/>
  <c r="T17" i="9"/>
  <c r="AF17" i="9"/>
  <c r="AG17" i="9"/>
  <c r="AJ17" i="9"/>
  <c r="AK17" i="9"/>
  <c r="AL17" i="9"/>
  <c r="AM17" i="9"/>
  <c r="AP17" i="9"/>
  <c r="N18" i="9"/>
  <c r="T18" i="9"/>
  <c r="AF18" i="9"/>
  <c r="AG18" i="9"/>
  <c r="AJ18" i="9"/>
  <c r="AK18" i="9"/>
  <c r="AL18" i="9"/>
  <c r="AM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3" i="9"/>
  <c r="T63" i="9"/>
  <c r="AE63" i="9"/>
  <c r="AF63" i="9"/>
  <c r="AG63" i="9"/>
  <c r="AJ63" i="9"/>
  <c r="AK63" i="9"/>
  <c r="AL63" i="9"/>
  <c r="AM63" i="9"/>
  <c r="AO63" i="9"/>
  <c r="AP63" i="9"/>
  <c r="AO65" i="9"/>
  <c r="AP6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C95AA167-1EAD-4D14-8ED1-9F914BE4623D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A7022D-5293-4113-9AA8-4AB14EE18C6F}" name="Conexão" type="7" refreshedVersion="8" background="1" saveData="1"/>
  <connection id="2" xr16:uid="{9FF8E614-042C-4E67-85C3-85F05F343E6F}" name="Conexão1" type="7" refreshedVersion="8" background="1" saveData="1"/>
  <connection id="3" xr16:uid="{217024D5-2CC3-459D-94F0-2FF0ED79CB19}" name="Conexão2" type="7" refreshedVersion="8" background="1" saveData="1"/>
</connections>
</file>

<file path=xl/sharedStrings.xml><?xml version="1.0" encoding="utf-8"?>
<sst xmlns="http://schemas.openxmlformats.org/spreadsheetml/2006/main" count="46961" uniqueCount="1432">
  <si>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</si>
  <si>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</si>
  <si>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</si>
  <si>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</si>
  <si>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</si>
  <si>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</si>
  <si>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</si>
  <si>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</si>
  <si>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</si>
  <si>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</si>
  <si>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</si>
  <si>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</si>
  <si>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</si>
  <si>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</si>
  <si>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</si>
  <si>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</si>
  <si>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</si>
  <si>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</si>
  <si>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</si>
  <si>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</si>
  <si>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</si>
  <si>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</si>
  <si>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</si>
  <si>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</si>
  <si>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</si>
  <si>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</si>
  <si>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</si>
  <si>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</si>
  <si>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</si>
  <si>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</si>
  <si>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</si>
  <si>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</si>
  <si>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</si>
  <si>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</si>
  <si>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</si>
  <si>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</si>
  <si>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</si>
  <si>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</si>
  <si>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</si>
  <si>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</si>
  <si>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</si>
  <si>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</si>
  <si>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</si>
  <si>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</si>
  <si>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</si>
  <si>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</si>
  <si>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</si>
  <si>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</si>
  <si>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</si>
  <si>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</si>
  <si>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</si>
  <si>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</si>
  <si>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</si>
  <si>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</si>
  <si>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</si>
  <si>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</si>
  <si>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A3</t>
  </si>
  <si>
    <t>LIVRE</t>
  </si>
  <si>
    <t>Fonte incentivada</t>
  </si>
  <si>
    <t>Distribuição</t>
  </si>
  <si>
    <t>EPB</t>
  </si>
  <si>
    <t>DISTRIBUIÇÃO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</si>
  <si>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</si>
  <si>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</si>
  <si>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</si>
  <si>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</si>
  <si>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</si>
  <si>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</si>
  <si>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</si>
  <si>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</si>
  <si>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</si>
  <si>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</si>
  <si>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</si>
  <si>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</si>
  <si>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</si>
  <si>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</si>
  <si>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</si>
  <si>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</si>
  <si>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</si>
  <si>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</si>
  <si>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</si>
  <si>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</si>
  <si>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</si>
  <si>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</si>
  <si>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</si>
  <si>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</si>
  <si>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Energia convencional</t>
  </si>
  <si>
    <t>Geração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</si>
  <si>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</si>
  <si>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</si>
  <si>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</si>
  <si>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</si>
  <si>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</si>
  <si>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</si>
  <si>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</si>
  <si>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</si>
  <si>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</si>
  <si>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</si>
  <si>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44228A3AzulNão se aplicaNão se aplicaNão se aplicaNão se aplicaFora ponta</t>
  </si>
  <si>
    <t>44256A3AzulNão se aplicaNão se aplicaNão se aplicaNão se aplicaFora ponta</t>
  </si>
  <si>
    <t>44287A3AzulNão se aplicaNão se aplicaNão se aplicaNão se aplicaFora ponta</t>
  </si>
  <si>
    <t>44317A3AzulNão se aplicaNão se aplicaNão se aplicaNão se aplicaFora ponta</t>
  </si>
  <si>
    <t>44348A3AzulNão se aplicaNão se aplicaNão se aplicaNão se aplicaFora ponta</t>
  </si>
  <si>
    <t>44378A3AzulNão se aplicaNão se aplicaNão se aplicaNão se aplicaFora ponta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</si>
  <si>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</si>
  <si>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</si>
  <si>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</si>
  <si>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44501A3AzulNão se aplicaNão se aplicaNão se aplicaNão se aplicaFora ponta</t>
  </si>
  <si>
    <t>44531A3AzulNão se aplicaNão se aplicaNão se aplicaNão se aplicaFora ponta</t>
  </si>
  <si>
    <t>44562A3AzulNão se aplicaNão se aplicaNão se aplicaNão se aplicaFora ponta</t>
  </si>
  <si>
    <t>44228A3AzulNão se aplicaNão se aplicaNão se aplicaNão se aplicaNão se aplica</t>
  </si>
  <si>
    <t>44256A3AzulNão se aplicaNão se aplicaNão se aplicaNão se aplicaNão se aplica</t>
  </si>
  <si>
    <t>44287A3AzulNão se aplicaNão se aplicaNão se aplicaNão se aplicaNão se aplica</t>
  </si>
  <si>
    <t>44317A3AzulNão se aplicaNão se aplicaNão se aplicaNão se aplicaNão se aplica</t>
  </si>
  <si>
    <t>44348A3AzulNão se aplicaNão se aplicaNão se aplicaNão se aplicaNão se aplica</t>
  </si>
  <si>
    <t>44378A3AzulNão se aplicaNão se aplicaNão se aplicaNão se aplicaNão se aplica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</si>
  <si>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</si>
  <si>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</si>
  <si>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</si>
  <si>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44501A3AzulNão se aplicaNão se aplicaNão se aplicaNão se aplicaNão se aplica</t>
  </si>
  <si>
    <t>44531A3AzulNão se aplicaNão se aplicaNão se aplicaNão se aplicaNão se aplica</t>
  </si>
  <si>
    <t>44562A3AzulNão se aplicaNão se aplicaNão se aplicaNão se aplicaNão se aplica</t>
  </si>
  <si>
    <t>44228A3AzulNão se aplicaNão se aplicaNão se aplicaNão se aplicaPonta</t>
  </si>
  <si>
    <t>44256A3AzulNão se aplicaNão se aplicaNão se aplicaNão se aplicaPonta</t>
  </si>
  <si>
    <t>44287A3AzulNão se aplicaNão se aplicaNão se aplicaNão se aplicaPonta</t>
  </si>
  <si>
    <t>44317A3AzulNão se aplicaNão se aplicaNão se aplicaNão se aplicaPonta</t>
  </si>
  <si>
    <t>44348A3AzulNão se aplicaNão se aplicaNão se aplicaNão se aplicaPonta</t>
  </si>
  <si>
    <t>44378A3AzulNão se aplicaNão se aplicaNão se aplicaNão se aplicaPonta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</si>
  <si>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</si>
  <si>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</si>
  <si>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</si>
  <si>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44501A3AzulNão se aplicaNão se aplicaNão se aplicaNão se aplicaPonta</t>
  </si>
  <si>
    <t>44531A3AzulNão se aplicaNão se aplicaNão se aplicaNão se aplicaPonta</t>
  </si>
  <si>
    <t>44562A3AzulNão se aplicaNão se aplicaNão se aplicaNão se aplicaPonta</t>
  </si>
  <si>
    <t>44228A3DistribuiçãoNão se aplicaNão se aplicaNão se aplicaEPBFora ponta</t>
  </si>
  <si>
    <t>44256A3DistribuiçãoNão se aplicaNão se aplicaNão se aplicaEPBFora ponta</t>
  </si>
  <si>
    <t>44287A3DistribuiçãoNão se aplicaNão se aplicaNão se aplicaEPBFora ponta</t>
  </si>
  <si>
    <t>44317A3DistribuiçãoNão se aplicaNão se aplicaNão se aplicaEPBFora ponta</t>
  </si>
  <si>
    <t>44348A3DistribuiçãoNão se aplicaNão se aplicaNão se aplicaEPBFora ponta</t>
  </si>
  <si>
    <t>44378A3DistribuiçãoNão se aplicaNão se aplicaNão se aplicaEPBFora ponta</t>
  </si>
  <si>
    <t>44409A3DistribuiçãoNão se aplicaNão se aplicaNão se aplicaEPBFora ponta</t>
  </si>
  <si>
    <t>44440A3DistribuiçãoNão se aplicaNão se aplicaNão se aplicaEPBFora ponta</t>
  </si>
  <si>
    <t>44470A3DistribuiçãoNão se aplicaNão se aplicaNão se aplicaEPBFora ponta</t>
  </si>
  <si>
    <t>44501A3DistribuiçãoNão se aplicaNão se aplicaNão se aplicaEPBFora ponta</t>
  </si>
  <si>
    <t>44531A3DistribuiçãoNão se aplicaNão se aplicaNão se aplicaEPBFora ponta</t>
  </si>
  <si>
    <t>44562A3DistribuiçãoNão se aplicaNão se aplicaNão se aplicaEPBFora ponta</t>
  </si>
  <si>
    <t>44228A3DistribuiçãoNão se aplicaNão se aplicaNão se aplicaEPBNão se aplica</t>
  </si>
  <si>
    <t>44256A3DistribuiçãoNão se aplicaNão se aplicaNão se aplicaEPBNão se aplica</t>
  </si>
  <si>
    <t>44287A3DistribuiçãoNão se aplicaNão se aplicaNão se aplicaEPBNão se aplica</t>
  </si>
  <si>
    <t>44317A3DistribuiçãoNão se aplicaNão se aplicaNão se aplicaEPBNão se aplica</t>
  </si>
  <si>
    <t>44348A3DistribuiçãoNão se aplicaNão se aplicaNão se aplicaEPBNão se aplica</t>
  </si>
  <si>
    <t>44378A3DistribuiçãoNão se aplicaNão se aplicaNão se aplicaEPBNão se aplica</t>
  </si>
  <si>
    <t>44409A3DistribuiçãoNão se aplicaNão se aplicaNão se aplicaEPBNão se aplica</t>
  </si>
  <si>
    <t>44440A3DistribuiçãoNão se aplicaNão se aplicaNão se aplicaEPBNão se aplica</t>
  </si>
  <si>
    <t>44470A3DistribuiçãoNão se aplicaNão se aplicaNão se aplicaEPBNão se aplica</t>
  </si>
  <si>
    <t>44501A3DistribuiçãoNão se aplicaNão se aplicaNão se aplicaEPBNão se aplica</t>
  </si>
  <si>
    <t>44531A3DistribuiçãoNão se aplicaNão se aplicaNão se aplicaEPBNão se aplica</t>
  </si>
  <si>
    <t>44562A3DistribuiçãoNão se aplicaNão se aplicaNão se aplicaEPBNão se aplica</t>
  </si>
  <si>
    <t>44228A3DistribuiçãoNão se aplicaNão se aplicaNão se aplicaEPBPonta</t>
  </si>
  <si>
    <t>44256A3DistribuiçãoNão se aplicaNão se aplicaNão se aplicaEPBPonta</t>
  </si>
  <si>
    <t>44287A3DistribuiçãoNão se aplicaNão se aplicaNão se aplicaEPBPonta</t>
  </si>
  <si>
    <t>44317A3DistribuiçãoNão se aplicaNão se aplicaNão se aplicaEPBPonta</t>
  </si>
  <si>
    <t>44348A3DistribuiçãoNão se aplicaNão se aplicaNão se aplicaEPBPonta</t>
  </si>
  <si>
    <t>44378A3DistribuiçãoNão se aplicaNão se aplicaNão se aplicaEPBPonta</t>
  </si>
  <si>
    <t>44409A3DistribuiçãoNão se aplicaNão se aplicaNão se aplicaEPBPonta</t>
  </si>
  <si>
    <t>44440A3DistribuiçãoNão se aplicaNão se aplicaNão se aplicaEPBPonta</t>
  </si>
  <si>
    <t>44470A3DistribuiçãoNão se aplicaNão se aplicaNão se aplicaEPBPonta</t>
  </si>
  <si>
    <t>44501A3DistribuiçãoNão se aplicaNão se aplicaNão se aplicaEPBPonta</t>
  </si>
  <si>
    <t>44531A3DistribuiçãoNão se aplicaNão se aplicaNão se aplicaEPBPonta</t>
  </si>
  <si>
    <t>44562A3DistribuiçãoNão se aplicaNão se aplicaNão se aplicaEPBPonta</t>
  </si>
  <si>
    <t>44228A4AzulNão se aplicaNão se aplicaNão se aplicaNão se aplicaFora ponta</t>
  </si>
  <si>
    <t>44256A4AzulNão se aplicaNão se aplicaNão se aplicaNão se aplicaFora ponta</t>
  </si>
  <si>
    <t>44287A4AzulNão se aplicaNão se aplicaNão se aplicaNão se aplicaFora ponta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</si>
  <si>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</si>
  <si>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</si>
  <si>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</si>
  <si>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</si>
  <si>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</si>
  <si>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</si>
  <si>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</si>
  <si>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</si>
  <si>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</si>
  <si>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44228A4AzulNão se aplicaNão se aplicaNão se aplicaNão se aplicaPonta</t>
  </si>
  <si>
    <t>44256A4AzulNão se aplicaNão se aplicaNão se aplicaNão se aplicaPonta</t>
  </si>
  <si>
    <t>44287A4AzulNão se aplicaNão se aplicaNão se aplicaNão se aplicaPonta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</si>
  <si>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</si>
  <si>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</si>
  <si>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</si>
  <si>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</si>
  <si>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</si>
  <si>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</si>
  <si>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</si>
  <si>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</si>
  <si>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</si>
  <si>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44228A4AzulNão se aplicaNão se aplicaNão se aplicaNão se aplicaNão se aplica</t>
  </si>
  <si>
    <t>44256A4AzulNão se aplicaNão se aplicaNão se aplicaNão se aplicaNão se aplica</t>
  </si>
  <si>
    <t>44287A4AzulNão se aplicaNão se aplicaNão se aplicaNão se aplicaNão se aplica</t>
  </si>
  <si>
    <t>44317A4AzulNão se aplicaNão se aplicaNão se aplicaNão se aplicaNão se aplica</t>
  </si>
  <si>
    <t>44348A4AzulNão se aplicaNão se aplicaNão se aplicaNão se aplicaNão se aplica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</si>
  <si>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</si>
  <si>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</si>
  <si>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</si>
  <si>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</si>
  <si>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</si>
  <si>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</si>
  <si>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</si>
  <si>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44228A4DistribuiçãoNão se aplicaNão se aplicaNão se aplicaEPBFora ponta</t>
  </si>
  <si>
    <t>44256A4DistribuiçãoNão se aplicaNão se aplicaNão se aplicaEPBFora ponta</t>
  </si>
  <si>
    <t>44287A4DistribuiçãoNão se aplicaNão se aplicaNão se aplicaEPBFora ponta</t>
  </si>
  <si>
    <t>44317A4DistribuiçãoNão se aplicaNão se aplicaNão se aplicaEPBFora ponta</t>
  </si>
  <si>
    <t>44348A4DistribuiçãoNão se aplicaNão se aplicaNão se aplicaEPBFora ponta</t>
  </si>
  <si>
    <t>44378A4DistribuiçãoNão se aplicaNão se aplicaNão se aplicaEPBFora ponta</t>
  </si>
  <si>
    <t>44409A4DistribuiçãoNão se aplicaNão se aplicaNão se aplicaEPBFora ponta</t>
  </si>
  <si>
    <t>44440A4DistribuiçãoNão se aplicaNão se aplicaNão se aplicaEPBFora ponta</t>
  </si>
  <si>
    <t>44470A4DistribuiçãoNão se aplicaNão se aplicaNão se aplicaEPBFora ponta</t>
  </si>
  <si>
    <t>44501A4DistribuiçãoNão se aplicaNão se aplicaNão se aplicaEPBFora ponta</t>
  </si>
  <si>
    <t>44531A4DistribuiçãoNão se aplicaNão se aplicaNão se aplicaEPBFora ponta</t>
  </si>
  <si>
    <t>44562A4DistribuiçãoNão se aplicaNão se aplicaNão se aplicaEPBFora ponta</t>
  </si>
  <si>
    <t>44228A4DistribuiçãoNão se aplicaNão se aplicaNão se aplicaEPBNão se aplica</t>
  </si>
  <si>
    <t>44256A4DistribuiçãoNão se aplicaNão se aplicaNão se aplicaEPBNão se aplica</t>
  </si>
  <si>
    <t>44287A4DistribuiçãoNão se aplicaNão se aplicaNão se aplicaEPBNão se aplica</t>
  </si>
  <si>
    <t>44317A4DistribuiçãoNão se aplicaNão se aplicaNão se aplicaEPBNão se aplica</t>
  </si>
  <si>
    <t>44348A4DistribuiçãoNão se aplicaNão se aplicaNão se aplicaEPBNão se aplica</t>
  </si>
  <si>
    <t>44378A4DistribuiçãoNão se aplicaNão se aplicaNão se aplicaEPBNão se aplica</t>
  </si>
  <si>
    <t>44409A4DistribuiçãoNão se aplicaNão se aplicaNão se aplicaEPBNão se aplica</t>
  </si>
  <si>
    <t>44440A4DistribuiçãoNão se aplicaNão se aplicaNão se aplicaEPBNão se aplica</t>
  </si>
  <si>
    <t>44470A4DistribuiçãoNão se aplicaNão se aplicaNão se aplicaEPBNão se aplica</t>
  </si>
  <si>
    <t>44501A4DistribuiçãoNão se aplicaNão se aplicaNão se aplicaEPBNão se aplica</t>
  </si>
  <si>
    <t>44531A4DistribuiçãoNão se aplicaNão se aplicaNão se aplicaEPBNão se aplica</t>
  </si>
  <si>
    <t>44562A4DistribuiçãoNão se aplicaNão se aplicaNão se aplicaEPBNão se aplica</t>
  </si>
  <si>
    <t>44228A4DistribuiçãoNão se aplicaNão se aplicaNão se aplicaEPBPonta</t>
  </si>
  <si>
    <t>44256A4DistribuiçãoNão se aplicaNão se aplicaNão se aplicaEPBPonta</t>
  </si>
  <si>
    <t>44287A4DistribuiçãoNão se aplicaNão se aplicaNão se aplicaEPBPonta</t>
  </si>
  <si>
    <t>44317A4DistribuiçãoNão se aplicaNão se aplicaNão se aplicaEPBPonta</t>
  </si>
  <si>
    <t>44348A4DistribuiçãoNão se aplicaNão se aplicaNão se aplicaEPBPonta</t>
  </si>
  <si>
    <t>44378A4DistribuiçãoNão se aplicaNão se aplicaNão se aplicaEPBPonta</t>
  </si>
  <si>
    <t>44409A4DistribuiçãoNão se aplicaNão se aplicaNão se aplicaEPBPonta</t>
  </si>
  <si>
    <t>44440A4DistribuiçãoNão se aplicaNão se aplicaNão se aplicaEPBPonta</t>
  </si>
  <si>
    <t>44470A4DistribuiçãoNão se aplicaNão se aplicaNão se aplicaEPBPonta</t>
  </si>
  <si>
    <t>44501A4DistribuiçãoNão se aplicaNão se aplicaNão se aplicaEPBPonta</t>
  </si>
  <si>
    <t>44531A4DistribuiçãoNão se aplicaNão se aplicaNão se aplicaEPBPonta</t>
  </si>
  <si>
    <t>44562A4DistribuiçãoNão se aplicaNão se aplicaNão se aplicaEPBPonta</t>
  </si>
  <si>
    <t>44228A4VerdeNão se aplicaNão se aplicaNão se aplicaNão se aplicaFora ponta</t>
  </si>
  <si>
    <t>44256A4VerdeNão se aplicaNão se aplicaNão se aplicaNão se aplicaFora ponta</t>
  </si>
  <si>
    <t>44287A4VerdeNão se aplicaNão se aplicaNão se aplicaNão se aplicaFora ponta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</si>
  <si>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</si>
  <si>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</si>
  <si>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</si>
  <si>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</si>
  <si>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</si>
  <si>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</si>
  <si>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</si>
  <si>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</si>
  <si>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</si>
  <si>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44228A4VerdeNão se aplicaNão se aplicaNão se aplicaNão se aplicaNão se aplica</t>
  </si>
  <si>
    <t>44256A4VerdeNão se aplicaNão se aplicaNão se aplicaNão se aplicaNão se aplica</t>
  </si>
  <si>
    <t>44287A4VerdeNão se aplicaNão se aplicaNão se aplicaNão se aplicaNão se aplica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</si>
  <si>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</si>
  <si>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</si>
  <si>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</si>
  <si>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</si>
  <si>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</si>
  <si>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</si>
  <si>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</si>
  <si>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</si>
  <si>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</si>
  <si>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44228A4VerdeNão se aplicaNão se aplicaNão se aplicaNão se aplicaPonta</t>
  </si>
  <si>
    <t>44256A4VerdeNão se aplicaNão se aplicaNão se aplicaNão se aplicaPonta</t>
  </si>
  <si>
    <t>44287A4VerdeNão se aplicaNão se aplicaNão se aplicaNão se aplicaPonta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</si>
  <si>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</si>
  <si>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</si>
  <si>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</si>
  <si>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</si>
  <si>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</si>
  <si>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</si>
  <si>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</si>
  <si>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</si>
  <si>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</si>
  <si>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44228B1BrancaResidencialResidencialNão se aplicaNão se aplicaFora ponta</t>
  </si>
  <si>
    <t>44256B1BrancaResidencialResidencialNão se aplicaNão se aplicaFora ponta</t>
  </si>
  <si>
    <t>44287B1BrancaResidencialResidencialNão se aplicaNão se aplicaFora 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</si>
  <si>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</si>
  <si>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</si>
  <si>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</si>
  <si>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</si>
  <si>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</si>
  <si>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</si>
  <si>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</si>
  <si>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</si>
  <si>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</si>
  <si>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44228B1BrancaResidencialResidencialNão se aplicaNão se aplicaIntermediário</t>
  </si>
  <si>
    <t>44256B1BrancaResidencialResidencialNão se aplicaNão se aplicaIntermediário</t>
  </si>
  <si>
    <t>44287B1BrancaResidencialResidencialNão se aplicaNão se aplicaIntermediário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</si>
  <si>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</si>
  <si>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</si>
  <si>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</si>
  <si>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</si>
  <si>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</si>
  <si>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</si>
  <si>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</si>
  <si>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</si>
  <si>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</si>
  <si>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44228B1BrancaResidencialResidencialNão se aplicaNão se aplicaPonta</t>
  </si>
  <si>
    <t>44256B1BrancaResidencialResidencialNão se aplicaNão se aplicaPonta</t>
  </si>
  <si>
    <t>44287B1BrancaResidencialResidencialNão se aplicaNão se aplicaPonta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</si>
  <si>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</si>
  <si>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</si>
  <si>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</si>
  <si>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</si>
  <si>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</si>
  <si>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</si>
  <si>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</si>
  <si>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</si>
  <si>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</si>
  <si>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44228B1ConvencionalResidencialResidencialNão se aplicaNão se aplicaNão se aplica</t>
  </si>
  <si>
    <t>44256B1ConvencionalResidencialResidencialNão se aplicaNão se aplicaNão se aplica</t>
  </si>
  <si>
    <t>44287B1ConvencionalResidencialResidencialNão se aplicaNão se aplicaNão se aplica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</si>
  <si>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</si>
  <si>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</si>
  <si>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</si>
  <si>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</si>
  <si>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</si>
  <si>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</si>
  <si>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</si>
  <si>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</si>
  <si>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</si>
  <si>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44228B1ConvencionalResidencialResidencial baixa renda – faixa 01Não se aplicaNão se aplicaNão se aplica</t>
  </si>
  <si>
    <t>44256B1ConvencionalResidencialResidencial baixa renda – faixa 01Não se aplicaNão se aplicaNão se aplica</t>
  </si>
  <si>
    <t>44287B1ConvencionalResidencialResidencial baixa renda – faixa 01Não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</si>
  <si>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</si>
  <si>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</si>
  <si>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</si>
  <si>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</si>
  <si>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</si>
  <si>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</si>
  <si>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</si>
  <si>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</si>
  <si>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</si>
  <si>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44228B1ConvencionalResidencialResidencial baixa renda – faixa 02Não se aplicaNão se aplicaNão se aplica</t>
  </si>
  <si>
    <t>44256B1ConvencionalResidencialResidencial baixa renda – faixa 02Não se aplicaNão se aplicaNão se aplica</t>
  </si>
  <si>
    <t>44287B1ConvencionalResidencialResidencial baixa renda – faixa 02Não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</si>
  <si>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</si>
  <si>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</si>
  <si>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</si>
  <si>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</si>
  <si>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</si>
  <si>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</si>
  <si>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</si>
  <si>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</si>
  <si>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</si>
  <si>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44228B1ConvencionalResidencialResidencial baixa renda – faixa 03Não se aplicaNão se aplicaNão se aplica</t>
  </si>
  <si>
    <t>44256B1ConvencionalResidencialResidencial baixa renda – faixa 03Não se aplicaNão se aplicaNão se aplica</t>
  </si>
  <si>
    <t>44287B1ConvencionalResidencialResidencial baixa renda – faixa 03Não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</si>
  <si>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</si>
  <si>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</si>
  <si>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</si>
  <si>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</si>
  <si>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</si>
  <si>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</si>
  <si>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</si>
  <si>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</si>
  <si>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</si>
  <si>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44228B1ConvencionalResidencialResidencial baixa renda – faixa 04Não se aplicaNão se aplicaNão se aplica</t>
  </si>
  <si>
    <t>44256B1ConvencionalResidencialResidencial baixa renda – faixa 04Não se aplicaNão se aplicaNão se aplica</t>
  </si>
  <si>
    <t>44287B1ConvencionalResidencialResidencial baixa renda – faixa 04Não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</si>
  <si>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</si>
  <si>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</si>
  <si>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</si>
  <si>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</si>
  <si>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</si>
  <si>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</si>
  <si>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</si>
  <si>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</si>
  <si>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</si>
  <si>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44228B2BrancaRuralNão se aplicaNão se aplicaNão se aplicaFora ponta</t>
  </si>
  <si>
    <t>44256B2BrancaRuralNão se aplicaNão se aplicaNão se aplicaFora ponta</t>
  </si>
  <si>
    <t>44287B2BrancaRuralNão se aplicaNão se aplicaNão se aplicaFora ponta</t>
  </si>
  <si>
    <t>44317B2BrancaRuralNão se aplicaNão se aplicaNão se aplicaFora ponta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</si>
  <si>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</si>
  <si>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</si>
  <si>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</si>
  <si>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44440B2BrancaRuralNão se aplicaNão se aplicaNão se aplicaFora ponta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</si>
  <si>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</si>
  <si>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</si>
  <si>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</si>
  <si>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</si>
  <si>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44228B2BrancaRuralNão se aplicaNão se aplicaNão se aplicaIntermediário</t>
  </si>
  <si>
    <t>44256B2BrancaRuralNão se aplicaNão se aplicaNão se aplicaIntermediário</t>
  </si>
  <si>
    <t>44287B2BrancaRuralNão se aplicaNão se aplicaNão se aplicaIntermediário</t>
  </si>
  <si>
    <t>44317B2BrancaRuralNão se aplicaNão se aplicaNão se aplicaIntermediário</t>
  </si>
  <si>
    <t>44348B2BrancaRuralNão se aplicaNão se aplicaNão se aplicaIntermediário</t>
  </si>
  <si>
    <t>44378B2BrancaRuralNão se aplicaNão se aplicaNão se aplicaIntermediário</t>
  </si>
  <si>
    <t>44409B2BrancaRuralNão se aplicaNão se aplicaNão se aplicaIntermediário</t>
  </si>
  <si>
    <t>44440B2BrancaRuralNão se aplicaNão se aplicaNão se aplicaIntermediário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</si>
  <si>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</si>
  <si>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</si>
  <si>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</si>
  <si>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44562B2BrancaRuralNão se aplicaNão se aplicaNão se aplicaIntermediário</t>
  </si>
  <si>
    <t>44228B2BrancaRuralNão se aplicaNão se aplicaNão se aplicaPonta</t>
  </si>
  <si>
    <t>44256B2BrancaRuralNão se aplicaNão se aplicaNão se aplicaPonta</t>
  </si>
  <si>
    <t>44287B2BrancaRuralNão se aplicaNão se aplicaNão se aplicaPonta</t>
  </si>
  <si>
    <t>44317B2BrancaRuralNão se aplicaNão se aplicaNão se aplicaPonta</t>
  </si>
  <si>
    <t>44348B2BrancaRuralNão se aplicaNão se aplicaNão se aplicaPonta</t>
  </si>
  <si>
    <t>44378B2BrancaRuralNão se aplicaNão se aplicaNão se aplicaPonta</t>
  </si>
  <si>
    <t>44409B2BrancaRuralNão se aplicaNão se aplicaNão se aplicaPonta</t>
  </si>
  <si>
    <t>44440B2BrancaRuralNão se aplicaNão se aplicaNão se aplicaPonta</t>
  </si>
  <si>
    <t>44470B2BrancaRuralNão se aplicaNão se aplicaNão se aplicaPonta</t>
  </si>
  <si>
    <t>44501B2BrancaRuralNão se aplicaNão se aplicaNão se aplicaPonta</t>
  </si>
  <si>
    <t>44531B2BrancaRuralNão se aplicaNão se aplicaNão se aplicaPonta</t>
  </si>
  <si>
    <t>44562B2BrancaRuralNão se aplicaNão se aplicaNão se aplicaPonta</t>
  </si>
  <si>
    <t>44228B2ConvencionalRuralNão se aplicaNão se aplicaNão se aplicaNão se aplica</t>
  </si>
  <si>
    <t>44256B2ConvencionalRuralNão se aplicaNão se aplicaNão se aplicaNão se aplica</t>
  </si>
  <si>
    <t>44287B2ConvencionalRuralNão se aplicaNão se aplicaNão se aplicaNão se aplica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</si>
  <si>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</si>
  <si>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</si>
  <si>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</si>
  <si>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</si>
  <si>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</si>
  <si>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</si>
  <si>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</si>
  <si>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</si>
  <si>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</si>
  <si>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44228B3BrancaNão se aplicaNão se aplicaNão se aplicaNão se aplicaFora ponta</t>
  </si>
  <si>
    <t>44256B3BrancaNão se aplicaNão se aplicaNão se aplicaNão se aplicaFora ponta</t>
  </si>
  <si>
    <t>44287B3BrancaNão se aplicaNão se aplicaNão se aplicaNão se aplicaFora ponta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</si>
  <si>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</si>
  <si>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</si>
  <si>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</si>
  <si>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</si>
  <si>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</si>
  <si>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</si>
  <si>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</si>
  <si>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</si>
  <si>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</si>
  <si>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44228B3BrancaNão se aplicaNão se aplicaNão se aplicaNão se aplicaIntermediário</t>
  </si>
  <si>
    <t>44256B3BrancaNão se aplicaNão se aplicaNão se aplicaNão se aplicaIntermediário</t>
  </si>
  <si>
    <t>44287B3BrancaNão se aplicaNão se aplicaNão se aplicaNão se aplicaIntermediário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</si>
  <si>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</si>
  <si>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</si>
  <si>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</si>
  <si>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</si>
  <si>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</si>
  <si>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</si>
  <si>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</si>
  <si>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</si>
  <si>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</si>
  <si>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44228B3BrancaNão se aplicaNão se aplicaNão se aplicaNão se aplicaPonta</t>
  </si>
  <si>
    <t>44256B3BrancaNão se aplicaNão se aplicaNão se aplicaNão se aplicaPonta</t>
  </si>
  <si>
    <t>44287B3BrancaNão se aplicaNão se aplicaNão se aplicaNão se aplicaPonta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</si>
  <si>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</si>
  <si>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</si>
  <si>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</si>
  <si>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</si>
  <si>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</si>
  <si>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</si>
  <si>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</si>
  <si>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</si>
  <si>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</si>
  <si>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44228B3ConvencionalNão se aplicaNão se aplicaNão se aplicaNão se aplicaNão se aplica</t>
  </si>
  <si>
    <t>44256B3ConvencionalNão se aplicaNão se aplicaNão se aplicaNão se aplicaNão se aplica</t>
  </si>
  <si>
    <t>44287B3ConvencionalNão se aplicaNão se aplicaNão se aplicaNão se aplicaNão se aplica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</si>
  <si>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</si>
  <si>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</si>
  <si>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</si>
  <si>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</si>
  <si>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</si>
  <si>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</si>
  <si>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</si>
  <si>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</si>
  <si>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</si>
  <si>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44228B4ConvencionalIluminação públicaIluminação pública – B4aNão se aplicaNão se aplicaNão se aplica</t>
  </si>
  <si>
    <t>44256B4ConvencionalIluminação públicaIluminação pública – B4aNão se aplicaNão se aplicaNão se aplica</t>
  </si>
  <si>
    <t>44287B4ConvencionalIluminação públicaIluminação pública – B4aNão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</si>
  <si>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</si>
  <si>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</si>
  <si>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</si>
  <si>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</si>
  <si>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</si>
  <si>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</si>
  <si>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</si>
  <si>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</si>
  <si>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</si>
  <si>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CHAVE TE</t>
  </si>
  <si>
    <t>44228A4Energia horáriaNão se aplicaNão se aplicaNão se aplicaNão se aplicaFora ponta</t>
  </si>
  <si>
    <t>44256A4Energia horáriaNão se aplicaNão se aplicaNão se aplicaNão se aplicaFora ponta</t>
  </si>
  <si>
    <t>44287A4Energia horáriaNão se aplicaNão se aplicaNão se aplicaNão se aplicaFora ponta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</si>
  <si>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</si>
  <si>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</si>
  <si>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</si>
  <si>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</si>
  <si>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</si>
  <si>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</si>
  <si>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</si>
  <si>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</si>
  <si>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</si>
  <si>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44228A4Energia horáriaNão se aplicaNão se aplicaNão se aplicaNão se aplicaPonta</t>
  </si>
  <si>
    <t>44256A4Energia horáriaNão se aplicaNão se aplicaNão se aplicaNão se aplicaPonta</t>
  </si>
  <si>
    <t>44287A4Energia horáriaNão se aplicaNão se aplicaNão se aplicaNão se aplicaPonta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</si>
  <si>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</si>
  <si>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</si>
  <si>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</si>
  <si>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</si>
  <si>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</si>
  <si>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</si>
  <si>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</si>
  <si>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</si>
  <si>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</si>
  <si>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</si>
  <si>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</si>
  <si>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</si>
  <si>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</si>
  <si>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44228B1Energia horáriaResidencialResidencialNão se aplicaNão se aplicaFora ponta</t>
  </si>
  <si>
    <t>44256B1Energia horáriaResidencialResidencialNão se aplicaNão se aplicaFora ponta</t>
  </si>
  <si>
    <t>44287B1Energia horáriaResidencialResidencialNão se aplicaNão se aplicaFora ponta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</si>
  <si>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</si>
  <si>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</si>
  <si>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</si>
  <si>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</si>
  <si>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</si>
  <si>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</si>
  <si>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</si>
  <si>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</si>
  <si>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</si>
  <si>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44228B1Energia horáriaResidencialResidencialNão se aplicaNão se aplicaIntermediário</t>
  </si>
  <si>
    <t>44256B1Energia horáriaResidencialResidencialNão se aplicaNão se aplicaIntermediário</t>
  </si>
  <si>
    <t>44287B1Energia horáriaResidencialResidencialNão se aplicaNão se aplicaIntermediário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</si>
  <si>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</si>
  <si>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</si>
  <si>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</si>
  <si>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</si>
  <si>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</si>
  <si>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</si>
  <si>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</si>
  <si>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</si>
  <si>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</si>
  <si>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44228B1Energia horáriaResidencialResidencialNão se aplicaNão se aplicaPonta</t>
  </si>
  <si>
    <t>44256B1Energia horáriaResidencialResidencialNão se aplicaNão se aplicaPonta</t>
  </si>
  <si>
    <t>44287B1Energia horáriaResidencialResidencialNão se aplicaNão se aplicaPonta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</si>
  <si>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</si>
  <si>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</si>
  <si>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</si>
  <si>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</si>
  <si>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</si>
  <si>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</si>
  <si>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</si>
  <si>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</si>
  <si>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</si>
  <si>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44228B1Energia convencionalResidencialResidencialNão se aplicaNão se aplicaNão se aplica</t>
  </si>
  <si>
    <t>44256B1Energia convencionalResidencialResidencialNão se aplicaNão se aplicaNão se aplica</t>
  </si>
  <si>
    <t>44287B1Energia convencionalResidencialResidencialNão se aplicaNão se aplicaNão se aplica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</si>
  <si>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</si>
  <si>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</si>
  <si>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</si>
  <si>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</si>
  <si>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</si>
  <si>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</si>
  <si>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</si>
  <si>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</si>
  <si>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</si>
  <si>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44228B1Energia convencionalResidencialResidencial baixa renda – faixa 01Não se aplicaNão se aplicaNão se aplica</t>
  </si>
  <si>
    <t>44256B1Energia convencionalResidencialResidencial baixa renda – faixa 01Não se aplicaNão se aplicaNão se aplica</t>
  </si>
  <si>
    <t>44287B1Energia convencionalResidencialResidencial baixa renda – faixa 01Não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</si>
  <si>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</si>
  <si>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</si>
  <si>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</si>
  <si>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</si>
  <si>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</si>
  <si>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</si>
  <si>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</si>
  <si>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</si>
  <si>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</si>
  <si>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44228B1Energia convencionalResidencialResidencial baixa renda – faixa 02Não se aplicaNão se aplicaNão se aplica</t>
  </si>
  <si>
    <t>44256B1Energia convencionalResidencialResidencial baixa renda – faixa 02Não se aplicaNão se aplicaNão se aplica</t>
  </si>
  <si>
    <t>44287B1Energia convencionalResidencialResidencial baixa renda – faixa 02Não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</si>
  <si>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</si>
  <si>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</si>
  <si>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</si>
  <si>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</si>
  <si>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</si>
  <si>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</si>
  <si>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</si>
  <si>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</si>
  <si>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</si>
  <si>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44228B1Energia convencionalResidencialResidencial baixa renda – faixa 03Não se aplicaNão se aplicaNão se aplica</t>
  </si>
  <si>
    <t>44256B1Energia convencionalResidencialResidencial baixa renda – faixa 03Não se aplicaNão se aplicaNão se aplica</t>
  </si>
  <si>
    <t>44287B1Energia convencionalResidencialResidencial baixa renda – faixa 03Não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</si>
  <si>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</si>
  <si>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</si>
  <si>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</si>
  <si>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</si>
  <si>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</si>
  <si>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</si>
  <si>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</si>
  <si>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</si>
  <si>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</si>
  <si>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44228B1Energia convencionalResidencialResidencial baixa renda – faixa 04Não se aplicaNão se aplicaNão se aplica</t>
  </si>
  <si>
    <t>44256B1Energia convencionalResidencialResidencial baixa renda – faixa 04Não se aplicaNão se aplicaNão se aplica</t>
  </si>
  <si>
    <t>44287B1Energia convencionalResidencialResidencial baixa renda – faixa 04Não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</si>
  <si>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</si>
  <si>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</si>
  <si>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</si>
  <si>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</si>
  <si>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</si>
  <si>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</si>
  <si>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</si>
  <si>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</si>
  <si>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</si>
  <si>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44228B2Energia horáriaRuralNão se aplicaNão se aplicaNão se aplicaFora ponta</t>
  </si>
  <si>
    <t>44256B2Energia horáriaRuralNão se aplicaNão se aplicaNão se aplicaFora ponta</t>
  </si>
  <si>
    <t>44287B2Energia horáriaRuralNão se aplicaNão se aplicaNão se aplicaFora ponta</t>
  </si>
  <si>
    <t>44317B2Energia horáriaRuralNão se aplicaNão se aplicaNão se aplicaFora ponta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</si>
  <si>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</si>
  <si>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</si>
  <si>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</si>
  <si>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44440B2Energia horáriaRuralNão se aplicaNão se aplicaNão se aplicaFora ponta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</si>
  <si>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</si>
  <si>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</si>
  <si>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</si>
  <si>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</si>
  <si>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44228B2Energia horáriaRuralNão se aplicaNão se aplicaNão se aplicaIntermediário</t>
  </si>
  <si>
    <t>44256B2Energia horáriaRuralNão se aplicaNão se aplicaNão se aplicaIntermediário</t>
  </si>
  <si>
    <t>44287B2Energia horáriaRuralNão se aplicaNão se aplicaNão se aplicaIntermediário</t>
  </si>
  <si>
    <t>44317B2Energia horáriaRuralNão se aplicaNão se aplicaNão se aplicaIntermediário</t>
  </si>
  <si>
    <t>44348B2Energia horáriaRuralNão se aplicaNão se aplicaNão se aplicaIntermediário</t>
  </si>
  <si>
    <t>44378B2Energia horáriaRuralNão se aplicaNão se aplicaNão se aplicaIntermediário</t>
  </si>
  <si>
    <t>44409B2Energia horáriaRuralNão se aplicaNão se aplicaNão se aplicaIntermediário</t>
  </si>
  <si>
    <t>44440B2Energia horáriaRuralNão se aplicaNão se aplicaNão se aplicaIntermediário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</si>
  <si>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</si>
  <si>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</si>
  <si>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</si>
  <si>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44562B2Energia horáriaRuralNão se aplicaNão se aplicaNão se aplicaIntermediário</t>
  </si>
  <si>
    <t>44228B2Energia horáriaRuralNão se aplicaNão se aplicaNão se aplicaPonta</t>
  </si>
  <si>
    <t>44256B2Energia horáriaRuralNão se aplicaNão se aplicaNão se aplicaPonta</t>
  </si>
  <si>
    <t>44287B2Energia horáriaRuralNão se aplicaNão se aplicaNão se aplicaPonta</t>
  </si>
  <si>
    <t>44317B2Energia horáriaRuralNão se aplicaNão se aplicaNão se aplicaPonta</t>
  </si>
  <si>
    <t>44348B2Energia horáriaRuralNão se aplicaNão se aplicaNão se aplicaPonta</t>
  </si>
  <si>
    <t>44378B2Energia horáriaRuralNão se aplicaNão se aplicaNão se aplicaPonta</t>
  </si>
  <si>
    <t>44409B2Energia horáriaRuralNão se aplicaNão se aplicaNão se aplicaPonta</t>
  </si>
  <si>
    <t>44440B2Energia horáriaRuralNão se aplicaNão se aplicaNão se aplicaPonta</t>
  </si>
  <si>
    <t>44470B2Energia horáriaRuralNão se aplicaNão se aplicaNão se aplicaPonta</t>
  </si>
  <si>
    <t>44501B2Energia horáriaRuralNão se aplicaNão se aplicaNão se aplicaPonta</t>
  </si>
  <si>
    <t>44531B2Energia horáriaRuralNão se aplicaNão se aplicaNão se aplicaPonta</t>
  </si>
  <si>
    <t>44562B2Energia horáriaRuralNão se aplicaNão se aplicaNão se aplicaPonta</t>
  </si>
  <si>
    <t>44228B2Energia convencionalRuralNão se aplicaNão se aplicaNão se aplicaNão se aplica</t>
  </si>
  <si>
    <t>44256B2Energia convencionalRuralNão se aplicaNão se aplicaNão se aplicaNão se aplica</t>
  </si>
  <si>
    <t>44287B2Energia convencionalRuralNão se aplicaNão se aplicaNão se aplicaNão se aplica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</si>
  <si>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</si>
  <si>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</si>
  <si>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</si>
  <si>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</si>
  <si>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</si>
  <si>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</si>
  <si>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</si>
  <si>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</si>
  <si>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</si>
  <si>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44228B3Energia horáriaNão se aplicaNão se aplicaNão se aplicaNão se aplicaFora ponta</t>
  </si>
  <si>
    <t>44256B3Energia horáriaNão se aplicaNão se aplicaNão se aplicaNão se aplicaFora ponta</t>
  </si>
  <si>
    <t>44287B3Energia horáriaNão se aplicaNão se aplicaNão se aplicaNão se aplicaFora ponta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</si>
  <si>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</si>
  <si>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</si>
  <si>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</si>
  <si>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</si>
  <si>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</si>
  <si>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</si>
  <si>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</si>
  <si>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</si>
  <si>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</si>
  <si>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44228B3Energia horáriaNão se aplicaNão se aplicaNão se aplicaNão se aplicaIntermediário</t>
  </si>
  <si>
    <t>44256B3Energia horáriaNão se aplicaNão se aplicaNão se aplicaNão se aplicaIntermediário</t>
  </si>
  <si>
    <t>44287B3Energia horáriaNão se aplicaNão se aplicaNão se aplicaNão se aplicaIntermediário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</si>
  <si>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</si>
  <si>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</si>
  <si>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</si>
  <si>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</si>
  <si>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</si>
  <si>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</si>
  <si>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</si>
  <si>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</si>
  <si>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</si>
  <si>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44228B3Energia horáriaNão se aplicaNão se aplicaNão se aplicaNão se aplicaPonta</t>
  </si>
  <si>
    <t>44256B3Energia horáriaNão se aplicaNão se aplicaNão se aplicaNão se aplicaPonta</t>
  </si>
  <si>
    <t>44287B3Energia horáriaNão se aplicaNão se aplicaNão se aplicaNão se aplicaPonta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</si>
  <si>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</si>
  <si>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</si>
  <si>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</si>
  <si>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</si>
  <si>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</si>
  <si>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</si>
  <si>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</si>
  <si>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</si>
  <si>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</si>
  <si>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44228B3Energia convencionalNão se aplicaNão se aplicaNão se aplicaNão se aplicaNão se aplica</t>
  </si>
  <si>
    <t>44256B3Energia convencionalNão se aplicaNão se aplicaNão se aplicaNão se aplicaNão se aplica</t>
  </si>
  <si>
    <t>44287B3Energia convencionalNão se aplicaNão se aplicaNão se aplicaNão se aplicaNão se aplica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</si>
  <si>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</si>
  <si>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</si>
  <si>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</si>
  <si>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</si>
  <si>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</si>
  <si>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</si>
  <si>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</si>
  <si>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</si>
  <si>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</si>
  <si>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44228B4Energia convencionalIluminação públicaIluminação pública – B4aNão se aplicaNão se aplicaNão se aplica</t>
  </si>
  <si>
    <t>44256B4Energia convencionalIluminação públicaIluminação pública – B4aNão se aplicaNão se aplicaNão se aplica</t>
  </si>
  <si>
    <t>44287B4Energia convencionalIluminação públicaIluminação pública – B4aNão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</si>
  <si>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</si>
  <si>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</si>
  <si>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</si>
  <si>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</si>
  <si>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</si>
  <si>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</si>
  <si>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</si>
  <si>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</si>
  <si>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</si>
  <si>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</si>
  <si>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</si>
  <si>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</si>
  <si>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</si>
  <si>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</si>
  <si>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</si>
  <si>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</si>
  <si>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</si>
  <si>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</si>
  <si>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</si>
  <si>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</si>
  <si>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</si>
  <si>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</si>
  <si>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</si>
  <si>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</si>
  <si>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</si>
  <si>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</si>
  <si>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</si>
  <si>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</si>
  <si>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</si>
  <si>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</si>
  <si>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</si>
  <si>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</si>
  <si>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</si>
  <si>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</si>
  <si>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</si>
  <si>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</si>
  <si>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</si>
  <si>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</si>
  <si>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</si>
  <si>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</si>
  <si>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</si>
  <si>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</si>
  <si>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</si>
  <si>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</si>
  <si>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</si>
  <si>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</si>
  <si>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</si>
  <si>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</si>
  <si>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</si>
  <si>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</si>
  <si>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</si>
  <si>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</si>
  <si>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</si>
  <si>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</si>
  <si>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</si>
  <si>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</si>
  <si>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</si>
  <si>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</si>
  <si>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</si>
  <si>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</si>
  <si>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</si>
  <si>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</si>
  <si>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</si>
  <si>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</si>
  <si>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</si>
  <si>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</si>
  <si>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</si>
  <si>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</si>
  <si>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</si>
  <si>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</si>
  <si>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</si>
  <si>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</si>
  <si>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</si>
  <si>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</si>
  <si>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</si>
  <si>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</si>
  <si>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</si>
  <si>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</si>
  <si>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</si>
  <si>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</si>
  <si>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</si>
  <si>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</si>
  <si>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</si>
  <si>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</si>
  <si>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</si>
  <si>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</si>
  <si>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</si>
  <si>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</si>
  <si>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</si>
  <si>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</si>
  <si>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</si>
  <si>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</si>
  <si>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</si>
  <si>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</si>
  <si>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</si>
  <si>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</si>
  <si>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</si>
  <si>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</si>
  <si>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</si>
  <si>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</si>
  <si>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</si>
  <si>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</si>
  <si>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</si>
  <si>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</si>
  <si>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</si>
  <si>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</si>
  <si>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</si>
  <si>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</si>
  <si>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</si>
  <si>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2.832, DE 2 DE FEVEREIRO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</si>
  <si>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</si>
  <si>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</si>
  <si>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</si>
  <si>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</si>
  <si>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</si>
  <si>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</si>
  <si>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</si>
  <si>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</si>
  <si>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</si>
  <si>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</si>
  <si>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</si>
  <si>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</si>
  <si>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</si>
  <si>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</si>
  <si>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</si>
  <si>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</si>
  <si>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</si>
  <si>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</si>
  <si>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</si>
  <si>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</si>
  <si>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</si>
  <si>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</si>
  <si>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</si>
  <si>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</si>
  <si>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</si>
  <si>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</si>
  <si>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</si>
  <si>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</si>
  <si>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</si>
  <si>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</si>
  <si>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</si>
  <si>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</si>
  <si>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</si>
  <si>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</si>
  <si>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</si>
  <si>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</si>
  <si>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</si>
  <si>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</si>
  <si>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</si>
  <si>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</si>
  <si>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</si>
  <si>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</si>
  <si>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</si>
  <si>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</si>
  <si>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</si>
  <si>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</si>
  <si>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</si>
  <si>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</si>
  <si>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</si>
  <si>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</si>
  <si>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</si>
  <si>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</si>
  <si>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</si>
  <si>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</si>
  <si>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</si>
  <si>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</si>
  <si>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</si>
  <si>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</si>
  <si>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</si>
  <si>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</si>
  <si>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</si>
  <si>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</si>
  <si>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</si>
  <si>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</si>
  <si>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</si>
  <si>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Planilha CUSTO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</si>
  <si>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</si>
  <si>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</si>
  <si>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</si>
  <si>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</si>
  <si>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</si>
  <si>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</si>
  <si>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</si>
  <si>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</si>
  <si>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</si>
  <si>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</si>
  <si>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</si>
  <si>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</si>
  <si>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</si>
  <si>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</si>
  <si>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</si>
  <si>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</si>
  <si>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</si>
  <si>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</si>
  <si>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</si>
  <si>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</si>
  <si>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</si>
  <si>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</si>
  <si>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</si>
  <si>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</si>
  <si>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</si>
  <si>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</si>
  <si>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</si>
  <si>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</si>
  <si>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</si>
  <si>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</si>
  <si>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</si>
  <si>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</si>
  <si>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RURAL</t>
  </si>
  <si>
    <t>SUBSIDIO BAIXA RENDA</t>
  </si>
  <si>
    <t>SUBSIDIO IRRIGANTE/AQUICULTOR</t>
  </si>
  <si>
    <t>R$ (TV)</t>
  </si>
  <si>
    <t>R$ (TN)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</si>
  <si>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</si>
  <si>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</si>
  <si>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</si>
  <si>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</si>
  <si>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</si>
  <si>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</si>
  <si>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</si>
  <si>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</si>
  <si>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</si>
  <si>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</si>
  <si>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Verde1Serviço públicoÁgua, esgoto e saneamentoPlanilha CUSTOA4</t>
  </si>
  <si>
    <t>2021</t>
  </si>
  <si>
    <t>Convencional1Serviço públicoÁgua, esgoto e saneamentoPlanilha CUSTOB3</t>
  </si>
  <si>
    <t>Azul1Serviço públicoÁgua, esgoto e saneamentoPlanilha CUSTOA4</t>
  </si>
  <si>
    <t>Branca1Serviço públicoÁgua, esgoto e saneamentoPlanilha CUSTOB3</t>
  </si>
  <si>
    <t>Verde1RuralCooperativa de eletrificação ruralPlanilha CUSTOA4</t>
  </si>
  <si>
    <t>Azul1RuralCooperativa de eletrificação ruralPlanilha CUSTOA4</t>
  </si>
  <si>
    <t>Convencional1RuralCooperativa de eletrificação ruralPlanilha CUSTOB2</t>
  </si>
  <si>
    <t>Branca1RuralCooperativa de eletrificação ruralPlanilha CUSTOB2</t>
  </si>
  <si>
    <t>Convencional1RuralNão se aplicaRuralB2</t>
  </si>
  <si>
    <t>Verde1RuralNão se aplicaPlanilha CUSTOA4</t>
  </si>
  <si>
    <t>Azul1RuralNão se aplicaPlanilha CUSTOA4</t>
  </si>
  <si>
    <t>Branca1RuralNão se aplicaRuralB2</t>
  </si>
  <si>
    <t>Convencional1RuralServiço público de irrigação ruralPlanilha CUSTOB2</t>
  </si>
  <si>
    <t>Branca1RuralServiço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</si>
  <si>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</si>
  <si>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</si>
  <si>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</si>
  <si>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</si>
  <si>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</si>
  <si>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</si>
  <si>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</si>
  <si>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</si>
  <si>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</si>
  <si>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</si>
  <si>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</si>
  <si>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</si>
  <si>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</si>
  <si>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</si>
  <si>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</si>
  <si>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</si>
  <si>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</si>
  <si>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</si>
  <si>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</si>
  <si>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</si>
  <si>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</si>
  <si>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</si>
  <si>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</si>
  <si>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</si>
  <si>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</si>
  <si>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</si>
  <si>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</si>
  <si>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</si>
  <si>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</si>
  <si>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</si>
  <si>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</si>
  <si>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</si>
  <si>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</si>
  <si>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</si>
  <si>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</si>
  <si>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</si>
  <si>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</si>
  <si>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</si>
  <si>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</si>
  <si>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</si>
  <si>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</si>
  <si>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</si>
  <si>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</si>
  <si>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</si>
  <si>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</si>
  <si>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</si>
  <si>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</si>
  <si>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</si>
  <si>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</si>
  <si>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</si>
  <si>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</si>
  <si>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</si>
  <si>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</si>
  <si>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</si>
  <si>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</si>
  <si>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</si>
  <si>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</si>
  <si>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</si>
  <si>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</si>
  <si>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</si>
  <si>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</si>
  <si>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</si>
  <si>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</si>
  <si>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</si>
  <si>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</si>
  <si>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</si>
  <si>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</si>
  <si>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</si>
  <si>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</si>
  <si>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</si>
  <si>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</si>
  <si>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</si>
  <si>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</si>
  <si>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</si>
  <si>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</si>
  <si>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</si>
  <si>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</si>
  <si>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</si>
  <si>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</si>
  <si>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</si>
  <si>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</si>
  <si>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</si>
  <si>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A3Distribuição</t>
  </si>
  <si>
    <t>A3DistribuiçãoNão se aplica</t>
  </si>
  <si>
    <t>A3DistribuiçãoNão se aplicaNão se aplica</t>
  </si>
  <si>
    <t>A3DistribuiçãoNão se aplicaNão se aplicaNão se aplica</t>
  </si>
  <si>
    <t>A3DistribuiçãoNão se aplicaNão se aplicaNão se aplicaEPB</t>
  </si>
  <si>
    <t>A3DistribuiçãoNão se aplicaNão se aplicaNão se aplicaEPBDP</t>
  </si>
  <si>
    <t>A3DistribuiçãoNão se aplicaNão se aplicaNão se aplicaEPBDFP</t>
  </si>
  <si>
    <t>A3DistribuiçãoNão se aplicaNão se aplicaNão se aplicaEPBE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</si>
  <si>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</si>
  <si>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</si>
  <si>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</si>
  <si>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</si>
  <si>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</si>
  <si>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</si>
  <si>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</si>
  <si>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</si>
  <si>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</si>
  <si>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</si>
  <si>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</si>
  <si>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</si>
  <si>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</si>
  <si>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</si>
  <si>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</si>
  <si>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aplicaEPB</t>
  </si>
  <si>
    <t>A4DistribuiçãoNão se aplicaNão se aplicaNão se aplicaEPBDP</t>
  </si>
  <si>
    <t>A4DistribuiçãoNão se aplicaNão se aplicaNão se aplicaEPBDFP</t>
  </si>
  <si>
    <t>A4DistribuiçãoNão se aplicaNão se aplicaNão se aplicaEPBE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</si>
  <si>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</si>
  <si>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</si>
  <si>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</si>
  <si>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</si>
  <si>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</si>
  <si>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</si>
  <si>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</si>
  <si>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</si>
  <si>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</si>
  <si>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</si>
  <si>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</si>
  <si>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</si>
  <si>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</si>
  <si>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</si>
  <si>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</si>
  <si>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</si>
  <si>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</si>
  <si>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</si>
  <si>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</si>
  <si>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</si>
  <si>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</si>
  <si>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</si>
  <si>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</si>
  <si>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</si>
  <si>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</si>
  <si>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</si>
  <si>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</si>
  <si>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</si>
  <si>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</si>
  <si>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</si>
  <si>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</si>
  <si>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</si>
  <si>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</si>
  <si>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</si>
  <si>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</si>
  <si>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</si>
  <si>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</si>
  <si>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</si>
  <si>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</si>
  <si>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</si>
  <si>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</si>
  <si>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</si>
  <si>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</si>
  <si>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</si>
  <si>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</si>
  <si>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</si>
  <si>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</si>
  <si>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</si>
  <si>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</si>
  <si>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</si>
  <si>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</si>
  <si>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</si>
  <si>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</si>
  <si>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</si>
  <si>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</si>
  <si>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</si>
  <si>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</si>
  <si>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</si>
  <si>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</si>
  <si>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</si>
  <si>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</si>
  <si>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</si>
  <si>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</si>
  <si>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</si>
  <si>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</si>
  <si>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</si>
  <si>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</si>
  <si>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</si>
  <si>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</si>
  <si>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</si>
  <si>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</si>
  <si>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</si>
  <si>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</si>
  <si>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</si>
  <si>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</si>
  <si>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</si>
  <si>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</si>
  <si>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</si>
  <si>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</si>
  <si>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</si>
  <si>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</si>
  <si>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</si>
  <si>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</si>
  <si>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</si>
  <si>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</si>
  <si>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</si>
  <si>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</si>
  <si>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</si>
  <si>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</si>
  <si>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</si>
  <si>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</si>
  <si>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</si>
  <si>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</si>
  <si>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</si>
  <si>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</si>
  <si>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</si>
  <si>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</si>
  <si>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</si>
  <si>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</si>
  <si>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</si>
  <si>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</si>
  <si>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</si>
  <si>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</si>
  <si>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</si>
  <si>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</si>
  <si>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</si>
  <si>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</si>
  <si>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</si>
  <si>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</si>
  <si>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</si>
  <si>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</si>
  <si>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</si>
  <si>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</si>
  <si>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</si>
  <si>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</si>
  <si>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</si>
  <si>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</si>
  <si>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</si>
  <si>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</si>
  <si>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</si>
  <si>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</si>
  <si>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</si>
  <si>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</si>
  <si>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</si>
  <si>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</si>
  <si>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</si>
  <si>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</si>
  <si>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</si>
  <si>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</si>
  <si>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</si>
  <si>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</si>
  <si>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</si>
  <si>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</si>
  <si>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</si>
  <si>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</si>
  <si>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</si>
  <si>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</si>
  <si>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</si>
  <si>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</si>
  <si>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</si>
  <si>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</si>
  <si>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</si>
  <si>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</si>
  <si>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</si>
  <si>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</si>
  <si>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</si>
  <si>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</si>
  <si>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</si>
  <si>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</si>
  <si>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</si>
  <si>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</si>
  <si>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</si>
  <si>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</si>
  <si>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</si>
  <si>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</si>
  <si>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</si>
  <si>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</si>
  <si>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</si>
  <si>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</si>
  <si>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</si>
  <si>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</si>
  <si>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</si>
  <si>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</si>
  <si>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</si>
  <si>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</si>
  <si>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</si>
  <si>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</si>
  <si>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</si>
  <si>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</si>
  <si>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</si>
  <si>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</si>
  <si>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</si>
  <si>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</si>
  <si>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</si>
  <si>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</si>
  <si>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</si>
  <si>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</si>
  <si>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</si>
  <si>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</si>
  <si>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</si>
  <si>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</si>
  <si>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</si>
  <si>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</si>
  <si>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</si>
  <si>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</si>
  <si>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</si>
  <si>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</si>
  <si>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</si>
  <si>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</si>
  <si>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</si>
  <si>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</si>
  <si>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</si>
  <si>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</si>
  <si>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</si>
  <si>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</si>
  <si>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</si>
  <si>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</si>
  <si>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</si>
  <si>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</si>
  <si>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</si>
  <si>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</si>
  <si>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</si>
  <si>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</si>
  <si>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</si>
  <si>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</si>
  <si>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</si>
  <si>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</si>
  <si>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</si>
  <si>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</si>
  <si>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</si>
  <si>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</si>
  <si>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</si>
  <si>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</si>
  <si>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</si>
  <si>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</si>
  <si>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</si>
  <si>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</si>
  <si>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</si>
  <si>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</si>
  <si>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</si>
  <si>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</si>
  <si>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</si>
  <si>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</si>
  <si>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</si>
  <si>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</si>
  <si>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</si>
  <si>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</si>
  <si>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</si>
  <si>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</si>
  <si>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</si>
  <si>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</si>
  <si>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</si>
  <si>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</si>
  <si>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</si>
  <si>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</si>
  <si>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</si>
  <si>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</si>
  <si>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</si>
  <si>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</si>
  <si>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</si>
  <si>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</si>
  <si>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</si>
  <si>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</si>
  <si>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</si>
  <si>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</si>
  <si>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</si>
  <si>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</si>
  <si>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</si>
  <si>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</si>
  <si>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</si>
  <si>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</si>
  <si>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</si>
  <si>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</si>
  <si>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</si>
  <si>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</si>
  <si>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</si>
  <si>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</si>
  <si>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</si>
  <si>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</si>
  <si>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</si>
  <si>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</si>
  <si>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</si>
  <si>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</si>
  <si>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</si>
  <si>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</si>
  <si>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</si>
  <si>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</si>
  <si>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</si>
  <si>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</si>
  <si>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</si>
  <si>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</si>
  <si>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</si>
  <si>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</si>
  <si>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</si>
  <si>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</si>
  <si>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</si>
  <si>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</si>
  <si>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</si>
  <si>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</si>
  <si>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</si>
  <si>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</si>
  <si>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</si>
  <si>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</si>
  <si>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</si>
  <si>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</si>
  <si>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</si>
  <si>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</si>
  <si>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</si>
  <si>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</si>
  <si>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</si>
  <si>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</si>
  <si>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</si>
  <si>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</si>
  <si>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</si>
  <si>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</si>
  <si>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</si>
  <si>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</si>
  <si>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</si>
  <si>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</si>
  <si>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</si>
  <si>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</si>
  <si>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</si>
  <si>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</si>
  <si>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</si>
  <si>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</si>
  <si>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</si>
  <si>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</si>
  <si>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</si>
  <si>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</si>
  <si>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</si>
  <si>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</si>
  <si>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</si>
  <si>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</si>
  <si>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</si>
  <si>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</si>
  <si>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</si>
  <si>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</si>
  <si>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</si>
  <si>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</si>
  <si>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</si>
  <si>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Var Mercado</t>
  </si>
  <si>
    <t>FIN - SPARTA</t>
  </si>
  <si>
    <t>Delta</t>
  </si>
  <si>
    <t>Proret 3.1 - Eq.9</t>
  </si>
  <si>
    <t>VARIAÇÃO pré transição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</si>
  <si>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</si>
  <si>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</si>
  <si>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</si>
  <si>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</si>
  <si>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</si>
  <si>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</si>
  <si>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</si>
  <si>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</si>
  <si>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</si>
  <si>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</si>
  <si>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</si>
  <si>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</si>
  <si>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</si>
  <si>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</si>
  <si>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</si>
  <si>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</si>
  <si>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</si>
  <si>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</si>
  <si>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</si>
  <si>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</si>
  <si>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</si>
  <si>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</si>
  <si>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</si>
  <si>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</si>
  <si>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</si>
  <si>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</si>
  <si>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</si>
  <si>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</si>
  <si>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</si>
  <si>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</si>
  <si>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</si>
  <si>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</si>
  <si>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</si>
  <si>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</si>
  <si>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</si>
  <si>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</si>
  <si>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</si>
  <si>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</si>
  <si>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</si>
  <si>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</si>
  <si>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TE_CDE_ELET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</si>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</sst>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#,##0.00%_);[Red]\(#,##0.00%\)"/>
    <numFmt numFmtId="166" formatCode="#0.00%;[Red]#0.00%"/>
    <numFmt numFmtId="167" formatCode="0.00%_);[Red]\(0.00%\)"/>
    <numFmt numFmtId="168" formatCode="#,##0.00_ ;[Red]\-#,##0.00\ "/>
    <numFmt numFmtId="169" formatCode="_(* #,##0_);_(* \(#,##0\);_(* &quot;-&quot;??_);_(@_)"/>
    <numFmt numFmtId="170" formatCode="#,##0.00_);[Red]\(#,##0.00\)"/>
    <numFmt numFmtId="171" formatCode="#,##0.00;[Red]#,##0.00"/>
  </numFmts>
  <fonts count="17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0"/>
      <name val="Calibri"/>
      <family val="2"/>
    </font>
    <font>
      <sz val="10"/>
      <name val="Calibri"/>
      <family val="2"/>
    </font>
    <font>
      <sz val="8"/>
      <color theme="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140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6" fontId="1" fillId="0" borderId="13" xfId="0" applyNumberFormat="1" applyFont="1" applyBorder="1" applyAlignment="1">
      <alignment horizontal="center" vertical="center"/>
    </xf>
    <xf numFmtId="40" fontId="3" fillId="0" borderId="0" xfId="0" applyNumberFormat="1" applyFont="1"/>
    <xf numFmtId="167" fontId="3" fillId="0" borderId="0" xfId="0" applyNumberFormat="1" applyFont="1"/>
    <xf numFmtId="0" fontId="3" fillId="0" borderId="13" xfId="0" applyFont="1" applyBorder="1"/>
    <xf numFmtId="0" fontId="4" fillId="0" borderId="13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165" fontId="3" fillId="0" borderId="0" xfId="0" applyNumberFormat="1" applyFont="1"/>
    <xf numFmtId="168" fontId="3" fillId="0" borderId="0" xfId="0" applyNumberFormat="1" applyFont="1"/>
    <xf numFmtId="0" fontId="9" fillId="0" borderId="0" xfId="0" applyFont="1"/>
    <xf numFmtId="10" fontId="10" fillId="0" borderId="14" xfId="0" applyNumberFormat="1" applyFont="1" applyBorder="1" applyAlignment="1">
      <alignment vertical="center"/>
    </xf>
    <xf numFmtId="169" fontId="11" fillId="0" borderId="6" xfId="1" applyNumberFormat="1" applyFont="1" applyFill="1" applyBorder="1" applyAlignment="1">
      <alignment vertical="center"/>
    </xf>
    <xf numFmtId="164" fontId="3" fillId="0" borderId="0" xfId="1" applyFont="1"/>
    <xf numFmtId="164" fontId="3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65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40" fontId="3" fillId="3" borderId="13" xfId="0" applyNumberFormat="1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10" fontId="1" fillId="4" borderId="13" xfId="2" applyNumberFormat="1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3" fillId="0" borderId="0" xfId="0" pivotButton="1" applyFont="1"/>
    <xf numFmtId="170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 applyAlignment="1">
      <alignment vertical="center"/>
    </xf>
    <xf numFmtId="0" fontId="12" fillId="5" borderId="0" xfId="0" applyFont="1" applyFill="1" applyAlignment="1">
      <alignment horizontal="center" vertical="center"/>
    </xf>
    <xf numFmtId="164" fontId="12" fillId="5" borderId="0" xfId="1" applyFont="1" applyFill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8" fontId="1" fillId="5" borderId="0" xfId="0" applyNumberFormat="1" applyFont="1" applyFill="1" applyAlignment="1">
      <alignment horizontal="center" vertical="center"/>
    </xf>
    <xf numFmtId="10" fontId="3" fillId="0" borderId="0" xfId="0" applyNumberFormat="1" applyFont="1"/>
    <xf numFmtId="2" fontId="13" fillId="6" borderId="16" xfId="0" applyNumberFormat="1" applyFont="1" applyFill="1" applyBorder="1" applyAlignment="1">
      <alignment horizontal="center" vertical="center"/>
    </xf>
    <xf numFmtId="0" fontId="13" fillId="6" borderId="16" xfId="0" applyFont="1" applyFill="1" applyBorder="1" applyAlignment="1">
      <alignment horizontal="left" vertical="center" indent="1"/>
    </xf>
    <xf numFmtId="4" fontId="13" fillId="7" borderId="0" xfId="0" applyNumberFormat="1" applyFont="1" applyFill="1" applyAlignment="1">
      <alignment vertical="center"/>
    </xf>
    <xf numFmtId="0" fontId="13" fillId="7" borderId="0" xfId="0" applyFont="1" applyFill="1" applyAlignment="1">
      <alignment horizontal="left" vertical="center" indent="1"/>
    </xf>
    <xf numFmtId="10" fontId="13" fillId="6" borderId="0" xfId="0" applyNumberFormat="1" applyFont="1" applyFill="1" applyAlignment="1">
      <alignment vertical="center"/>
    </xf>
    <xf numFmtId="0" fontId="13" fillId="6" borderId="0" xfId="0" applyFont="1" applyFill="1" applyAlignment="1">
      <alignment horizontal="left" vertical="center" indent="1"/>
    </xf>
    <xf numFmtId="10" fontId="13" fillId="7" borderId="0" xfId="0" applyNumberFormat="1" applyFont="1" applyFill="1" applyAlignment="1">
      <alignment vertical="center"/>
    </xf>
    <xf numFmtId="0" fontId="14" fillId="8" borderId="17" xfId="0" applyFont="1" applyFill="1" applyBorder="1" applyAlignment="1">
      <alignment horizontal="center" vertical="center"/>
    </xf>
    <xf numFmtId="40" fontId="13" fillId="6" borderId="16" xfId="0" applyNumberFormat="1" applyFont="1" applyFill="1" applyBorder="1" applyAlignment="1">
      <alignment horizontal="center" vertical="center"/>
    </xf>
    <xf numFmtId="171" fontId="13" fillId="7" borderId="0" xfId="0" applyNumberFormat="1" applyFont="1" applyFill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5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" fontId="16" fillId="9" borderId="14" xfId="0" applyNumberFormat="1" applyFont="1" applyFill="1" applyBorder="1"/>
    <xf numFmtId="4" fontId="16" fillId="9" borderId="12" xfId="0" applyNumberFormat="1" applyFont="1" applyFill="1" applyBorder="1"/>
    <xf numFmtId="4" fontId="16" fillId="9" borderId="19" xfId="0" applyNumberFormat="1" applyFont="1" applyFill="1" applyBorder="1"/>
    <xf numFmtId="4" fontId="16" fillId="9" borderId="6" xfId="0" applyNumberFormat="1" applyFont="1" applyFill="1" applyBorder="1"/>
    <xf numFmtId="4" fontId="16" fillId="9" borderId="13" xfId="0" applyNumberFormat="1" applyFont="1" applyFill="1" applyBorder="1"/>
    <xf numFmtId="4" fontId="16" fillId="9" borderId="5" xfId="0" applyNumberFormat="1" applyFont="1" applyFill="1" applyBorder="1"/>
    <xf numFmtId="4" fontId="16" fillId="9" borderId="20" xfId="0" applyNumberFormat="1" applyFont="1" applyFill="1" applyBorder="1"/>
    <xf numFmtId="4" fontId="16" fillId="9" borderId="10" xfId="0" applyNumberFormat="1" applyFont="1" applyFill="1" applyBorder="1"/>
    <xf numFmtId="4" fontId="16" fillId="9" borderId="18" xfId="0" applyNumberFormat="1" applyFont="1" applyFill="1" applyBorder="1"/>
    <xf numFmtId="4" fontId="16" fillId="9" borderId="13" xfId="0" applyNumberFormat="1" applyFont="1" applyFill="1" applyBorder="1" applyAlignment="1">
      <alignment horizontal="center"/>
    </xf>
    <xf numFmtId="4" fontId="16" fillId="9" borderId="5" xfId="0" applyNumberFormat="1" applyFont="1" applyFill="1" applyBorder="1" applyAlignment="1">
      <alignment horizontal="center"/>
    </xf>
    <xf numFmtId="4" fontId="16" fillId="9" borderId="12" xfId="0" applyNumberFormat="1" applyFont="1" applyFill="1" applyBorder="1" applyAlignment="1">
      <alignment horizontal="center"/>
    </xf>
    <xf numFmtId="4" fontId="16" fillId="9" borderId="19" xfId="0" applyNumberFormat="1" applyFont="1" applyFill="1" applyBorder="1" applyAlignment="1">
      <alignment horizontal="center"/>
    </xf>
    <xf numFmtId="4" fontId="16" fillId="9" borderId="19" xfId="0" applyNumberFormat="1" applyFont="1" applyFill="1" applyBorder="1" applyAlignment="1">
      <alignment horizontal="center"/>
    </xf>
    <xf numFmtId="4" fontId="16" fillId="9" borderId="12" xfId="0" applyNumberFormat="1" applyFont="1" applyFill="1" applyBorder="1" applyAlignment="1">
      <alignment horizontal="center"/>
    </xf>
  </cellXfs>
  <cellStyles count="3">
    <cellStyle name="Normal" xfId="0" builtinId="0"/>
    <cellStyle name="Porcentagem" xfId="2" builtinId="5"/>
    <cellStyle name="Vírgula" xfId="1" builtinId="3"/>
  </cellStyles>
  <dxfs count="1163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7" formatCode="0.00%_);[Red]\(0.00%\)"/>
    </dxf>
    <dxf>
      <numFmt numFmtId="167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2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2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General</c:formatCode>
                <c:ptCount val="22"/>
                <c:pt idx="0">
                  <c:v>7.0478172946312522E-3</c:v>
                </c:pt>
                <c:pt idx="1">
                  <c:v>1.8596247315827143E-4</c:v>
                </c:pt>
                <c:pt idx="2">
                  <c:v>-5.3409400564219519E-4</c:v>
                </c:pt>
                <c:pt idx="3">
                  <c:v>-3.6644665723251126E-5</c:v>
                </c:pt>
                <c:pt idx="4">
                  <c:v>0</c:v>
                </c:pt>
                <c:pt idx="5">
                  <c:v>2.3455264878593774E-2</c:v>
                </c:pt>
                <c:pt idx="6">
                  <c:v>1.939933452441938E-2</c:v>
                </c:pt>
                <c:pt idx="7">
                  <c:v>0</c:v>
                </c:pt>
                <c:pt idx="8">
                  <c:v>-3.9899698268620149E-3</c:v>
                </c:pt>
                <c:pt idx="9">
                  <c:v>-1.0515953216110499E-2</c:v>
                </c:pt>
                <c:pt idx="10">
                  <c:v>-7.8597261374674593E-4</c:v>
                </c:pt>
                <c:pt idx="11">
                  <c:v>0</c:v>
                </c:pt>
                <c:pt idx="12">
                  <c:v>-1.4385452664952289E-2</c:v>
                </c:pt>
                <c:pt idx="13">
                  <c:v>0</c:v>
                </c:pt>
                <c:pt idx="14">
                  <c:v>0</c:v>
                </c:pt>
                <c:pt idx="15">
                  <c:v>7.1913269284085563E-2</c:v>
                </c:pt>
                <c:pt idx="16">
                  <c:v>-9.03545471842475E-2</c:v>
                </c:pt>
                <c:pt idx="17">
                  <c:v>0</c:v>
                </c:pt>
                <c:pt idx="18">
                  <c:v>4.8522716550331814E-3</c:v>
                </c:pt>
                <c:pt idx="19">
                  <c:v>6.945695058650794E-5</c:v>
                </c:pt>
                <c:pt idx="20">
                  <c:v>6.3769756702871001E-4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8-4585-9EC1-613356FBAE94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General</c:formatCode>
                <c:ptCount val="22"/>
                <c:pt idx="0">
                  <c:v>9.2237955845664021E-3</c:v>
                </c:pt>
                <c:pt idx="1">
                  <c:v>-1.473184733906085E-5</c:v>
                </c:pt>
                <c:pt idx="2">
                  <c:v>-6.8534745000582443E-5</c:v>
                </c:pt>
                <c:pt idx="3">
                  <c:v>-6.6460343093564271E-5</c:v>
                </c:pt>
                <c:pt idx="4">
                  <c:v>0</c:v>
                </c:pt>
                <c:pt idx="5">
                  <c:v>2.1917168725744295E-2</c:v>
                </c:pt>
                <c:pt idx="6">
                  <c:v>3.6941102333565796E-2</c:v>
                </c:pt>
                <c:pt idx="7">
                  <c:v>0</c:v>
                </c:pt>
                <c:pt idx="8">
                  <c:v>-2.5239035697534745E-3</c:v>
                </c:pt>
                <c:pt idx="9">
                  <c:v>-2.7410117994083348E-2</c:v>
                </c:pt>
                <c:pt idx="10">
                  <c:v>-2.0280359264088651E-3</c:v>
                </c:pt>
                <c:pt idx="11">
                  <c:v>0</c:v>
                </c:pt>
                <c:pt idx="12">
                  <c:v>-3.0533854509302141E-2</c:v>
                </c:pt>
                <c:pt idx="13">
                  <c:v>0</c:v>
                </c:pt>
                <c:pt idx="14">
                  <c:v>0</c:v>
                </c:pt>
                <c:pt idx="15">
                  <c:v>1.6474734586235294E-2</c:v>
                </c:pt>
                <c:pt idx="16">
                  <c:v>-4.6931177745339718E-2</c:v>
                </c:pt>
                <c:pt idx="17">
                  <c:v>0</c:v>
                </c:pt>
                <c:pt idx="18">
                  <c:v>3.0897599324981673E-3</c:v>
                </c:pt>
                <c:pt idx="19">
                  <c:v>4.3199597900366923E-5</c:v>
                </c:pt>
                <c:pt idx="20">
                  <c:v>-6.4613348923485726E-5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58-4585-9EC1-613356FBAE94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General</c:formatCode>
                <c:ptCount val="22"/>
                <c:pt idx="0">
                  <c:v>9.2237955845664021E-3</c:v>
                </c:pt>
                <c:pt idx="1">
                  <c:v>-1.473184733906085E-5</c:v>
                </c:pt>
                <c:pt idx="2">
                  <c:v>-6.8534745000582443E-5</c:v>
                </c:pt>
                <c:pt idx="3">
                  <c:v>-6.6460343093564271E-5</c:v>
                </c:pt>
                <c:pt idx="4">
                  <c:v>0</c:v>
                </c:pt>
                <c:pt idx="5">
                  <c:v>2.1917168725744295E-2</c:v>
                </c:pt>
                <c:pt idx="6">
                  <c:v>3.6941102333565796E-2</c:v>
                </c:pt>
                <c:pt idx="7">
                  <c:v>0</c:v>
                </c:pt>
                <c:pt idx="8">
                  <c:v>-2.5239035697534745E-3</c:v>
                </c:pt>
                <c:pt idx="9">
                  <c:v>-2.7410117994083348E-2</c:v>
                </c:pt>
                <c:pt idx="10">
                  <c:v>-2.0280359264088651E-3</c:v>
                </c:pt>
                <c:pt idx="11">
                  <c:v>0</c:v>
                </c:pt>
                <c:pt idx="12">
                  <c:v>-3.0533854509302141E-2</c:v>
                </c:pt>
                <c:pt idx="13">
                  <c:v>0</c:v>
                </c:pt>
                <c:pt idx="14">
                  <c:v>0</c:v>
                </c:pt>
                <c:pt idx="15">
                  <c:v>1.6474734586235294E-2</c:v>
                </c:pt>
                <c:pt idx="16">
                  <c:v>-4.6931177745339718E-2</c:v>
                </c:pt>
                <c:pt idx="17">
                  <c:v>0</c:v>
                </c:pt>
                <c:pt idx="18">
                  <c:v>3.0897599324981673E-3</c:v>
                </c:pt>
                <c:pt idx="19">
                  <c:v>4.3199597900366923E-5</c:v>
                </c:pt>
                <c:pt idx="20">
                  <c:v>-6.4613348923485726E-5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58-4585-9EC1-613356FBAE94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8D58-4585-9EC1-613356FBAE94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8D58-4585-9EC1-613356FBAE94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8D58-4585-9EC1-613356FBA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832904"/>
        <c:axId val="830834544"/>
      </c:radarChart>
      <c:catAx>
        <c:axId val="8308329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830834544"/>
        <c:crosses val="autoZero"/>
        <c:auto val="1"/>
        <c:lblAlgn val="ctr"/>
        <c:lblOffset val="100"/>
        <c:noMultiLvlLbl val="0"/>
      </c:catAx>
      <c:valAx>
        <c:axId val="830834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083290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General</c:formatCode>
                <c:ptCount val="10"/>
                <c:pt idx="0">
                  <c:v>8.8161594405181988E-4</c:v>
                </c:pt>
                <c:pt idx="1">
                  <c:v>6.5582742731332674E-2</c:v>
                </c:pt>
                <c:pt idx="2">
                  <c:v>0</c:v>
                </c:pt>
                <c:pt idx="3">
                  <c:v>3.6262734429485952E-2</c:v>
                </c:pt>
                <c:pt idx="4">
                  <c:v>7.4355335078159931E-2</c:v>
                </c:pt>
                <c:pt idx="5">
                  <c:v>0</c:v>
                </c:pt>
                <c:pt idx="6">
                  <c:v>0</c:v>
                </c:pt>
                <c:pt idx="7">
                  <c:v>-9.4060512245453494E-17</c:v>
                </c:pt>
                <c:pt idx="8">
                  <c:v>-8.616711127478334E-2</c:v>
                </c:pt>
                <c:pt idx="9">
                  <c:v>8.6907437687542481E-4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C-4B02-ADB3-EB44C7308124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C-4B02-ADB3-EB44C7308124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C-4B02-ADB3-EB44C7308124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639C-4B02-ADB3-EB44C7308124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639C-4B02-ADB3-EB44C7308124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639C-4B02-ADB3-EB44C7308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491272"/>
        <c:axId val="1086490944"/>
      </c:radarChart>
      <c:catAx>
        <c:axId val="108649127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86490944"/>
        <c:crosses val="autoZero"/>
        <c:auto val="1"/>
        <c:lblAlgn val="ctr"/>
        <c:lblOffset val="100"/>
        <c:noMultiLvlLbl val="0"/>
      </c:catAx>
      <c:valAx>
        <c:axId val="1086490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649127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228601</xdr:colOff>
      <xdr:row>16</xdr:row>
      <xdr:rowOff>0</xdr:rowOff>
    </xdr:from>
    <xdr:to>
      <xdr:col>15</xdr:col>
      <xdr:colOff>533401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C36DAE-A877-4925-B78C-4B09B6977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352426</xdr:colOff>
      <xdr:row>16</xdr:row>
      <xdr:rowOff>0</xdr:rowOff>
    </xdr:from>
    <xdr:to>
      <xdr:col>15</xdr:col>
      <xdr:colOff>581026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2DC4C8-87A6-43DB-A3D2-F2C8BA72D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580.879807060184" createdVersion="5" refreshedVersion="7" minRefreshableVersion="3" recordCount="450" xr:uid="{8BA77A15-D51B-4D84-A5B8-F365EA54984E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Verde"/>
        <s v="Convencional"/>
        <s v="Branca"/>
      </sharedItems>
    </cacheField>
    <cacheField name="Classe" numFmtId="0">
      <sharedItems count="4">
        <s v="Industrial"/>
        <s v="Serviço público"/>
        <s v="Rural"/>
        <s v="Residencial"/>
      </sharedItems>
    </cacheField>
    <cacheField name="Subclasse" numFmtId="0">
      <sharedItems count="8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2-01T00:00:00" maxDate="2022-01-02T00:00:00" count="12"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</sharedItems>
    </cacheField>
    <cacheField name="D" numFmtId="40">
      <sharedItems containsSemiMixedTypes="0" containsString="0" containsNumber="1" containsInteger="1" minValue="0" maxValue="14125"/>
    </cacheField>
    <cacheField name="Daj" numFmtId="40">
      <sharedItems containsSemiMixedTypes="0" containsString="0" containsNumber="1" minValue="0" maxValue="7714.3517191199999"/>
    </cacheField>
    <cacheField name="TUSD_E" numFmtId="40">
      <sharedItems containsSemiMixedTypes="0" containsString="0" containsNumber="1" minValue="-18.689" maxValue="17718.171999999999"/>
    </cacheField>
    <cacheField name="TUSD_Eaj" numFmtId="40">
      <sharedItems containsSemiMixedTypes="0" containsString="0" containsNumber="1" minValue="-18.689" maxValue="17718.171999999999"/>
    </cacheField>
    <cacheField name="TE_E" numFmtId="40">
      <sharedItems containsSemiMixedTypes="0" containsString="0" containsNumber="1" minValue="-18.689" maxValue="17718.171999999999"/>
    </cacheField>
    <cacheField name="TE_Eaj" numFmtId="40">
      <sharedItems containsSemiMixedTypes="0" containsString="0" containsNumber="1" minValue="-18.689" maxValue="17718.171999999999"/>
    </cacheField>
    <cacheField name="UC" numFmtId="40">
      <sharedItems containsSemiMixedTypes="0" containsString="0" containsNumber="1" containsInteger="1" minValue="-10" maxValue="136517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23"/>
    </cacheField>
    <cacheField name="CóD. AUX. TUSD R$/MWh" numFmtId="0">
      <sharedItems containsSemiMixedTypes="0" containsString="0" containsNumber="1" containsInteger="1" minValue="0" maxValue="61"/>
    </cacheField>
    <cacheField name="CóD. AUX. TE R$/MWh" numFmtId="0">
      <sharedItems containsSemiMixedTypes="0" containsString="0" containsNumber="1" containsInteger="1" minValue="0" maxValue="99"/>
    </cacheField>
    <cacheField name="TUSD (R$/kW)" numFmtId="40">
      <sharedItems containsSemiMixedTypes="0" containsString="0" containsNumber="1" minValue="0" maxValue="37.01"/>
    </cacheField>
    <cacheField name="TUSD (R$/MWh)" numFmtId="40">
      <sharedItems containsSemiMixedTypes="0" containsString="0" containsNumber="1" minValue="0" maxValue="943.81"/>
    </cacheField>
    <cacheField name="TE (R$/MWh)" numFmtId="40">
      <sharedItems containsSemiMixedTypes="0" containsString="0" containsNumber="1" minValue="0" maxValue="351.93600000000004"/>
    </cacheField>
    <cacheField name="TUSD (R$/kW) NOVA" numFmtId="40">
      <sharedItems containsString="0" containsBlank="1" containsNumber="1" minValue="18.957158995966029" maxValue="39.711322323272405"/>
    </cacheField>
    <cacheField name="TUSD (R$/MWh) NOVA" numFmtId="40">
      <sharedItems containsString="0" containsBlank="1" containsNumber="1" minValue="51.296287121598944" maxValue="1019.176668187089"/>
    </cacheField>
    <cacheField name="TE (R$/MWh) NOVA" numFmtId="40">
      <sharedItems containsString="0" containsBlank="1" containsNumber="1" minValue="92.876364997803634" maxValue="399.42590391673639"/>
    </cacheField>
    <cacheField name="SUBSIDIO kW - TV" numFmtId="40">
      <sharedItems containsSemiMixedTypes="0" containsString="0" containsNumber="1" minValue="0" maxValue="160359.45676581599"/>
    </cacheField>
    <cacheField name="SUBSIDIO MWh - TV" numFmtId="40">
      <sharedItems containsSemiMixedTypes="0" containsString="0" containsNumber="1" minValue="-2950.3566995999995" maxValue="541915.47612000012"/>
    </cacheField>
    <cacheField name="SUBSIDIO kW - TN" numFmtId="40">
      <sharedItems containsSemiMixedTypes="0" containsString="0" containsNumber="1" minValue="0" maxValue="169587.61315751297"/>
    </cacheField>
    <cacheField name="SUBSIDIO MWh - TN" numFmtId="40">
      <sharedItems containsSemiMixedTypes="0" containsString="0" containsNumber="1" minValue="-3232.0848577516749" maxValue="599844.13421189273"/>
    </cacheField>
    <cacheField name="TIPO" numFmtId="0">
      <sharedItems containsBlank="1" count="6">
        <s v="SUBSIDIO CARGA FONTE INCENTIVADA"/>
        <s v="SUBSIDIO ÁGUA, ESGOTO E SANEAMENTO"/>
        <s v="SUBSIDIO RURAL"/>
        <m/>
        <s v="SUBSIDIO BAIXA RENDA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580.879807523146" createdVersion="5" refreshedVersion="7" minRefreshableVersion="3" recordCount="1213" xr:uid="{6C02BF98-D585-4816-8D7C-EA3020AB5D5D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Azul"/>
        <s v="Distribuição"/>
        <s v="Verde"/>
        <s v="Branca"/>
        <s v="Convencional"/>
      </sharedItems>
    </cacheField>
    <cacheField name="Classe" numFmtId="0">
      <sharedItems count="9">
        <s v="Industrial"/>
        <s v="Não se aplica"/>
        <s v="Comercial"/>
        <s v="Poder público"/>
        <s v="Serviço público"/>
        <s v="Consumo próprio"/>
        <s v="Rural"/>
        <s v="Residencial"/>
        <s v="Iluminação pública"/>
      </sharedItems>
    </cacheField>
    <cacheField name="Subclasse" numFmtId="0">
      <sharedItems count="9">
        <s v="Não se aplica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Agropecuária rural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2">
        <s v="Não se aplica"/>
        <s v="EPB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2-01T00:00:00" maxDate="2022-01-02T00:00:00" count="12"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</sharedItems>
    </cacheField>
    <cacheField name="D" numFmtId="40">
      <sharedItems containsSemiMixedTypes="0" containsString="0" containsNumber="1" containsInteger="1" minValue="-237" maxValue="19960"/>
    </cacheField>
    <cacheField name="Daj" numFmtId="40">
      <sharedItems containsSemiMixedTypes="0" containsString="0" containsNumber="1" minValue="-237" maxValue="19960"/>
    </cacheField>
    <cacheField name="TUSD_E" numFmtId="40">
      <sharedItems containsSemiMixedTypes="0" containsString="0" containsNumber="1" minValue="-85.05" maxValue="19542.993999999999"/>
    </cacheField>
    <cacheField name="TUSD_Eaj" numFmtId="40">
      <sharedItems containsSemiMixedTypes="0" containsString="0" containsNumber="1" minValue="-85.05" maxValue="19542.993999999999"/>
    </cacheField>
    <cacheField name="TE_E" numFmtId="40">
      <sharedItems containsSemiMixedTypes="0" containsString="0" containsNumber="1" minValue="-85.05" maxValue="19542.993999999999"/>
    </cacheField>
    <cacheField name="TE_Eaj" numFmtId="40">
      <sharedItems containsSemiMixedTypes="0" containsString="0" containsNumber="1" minValue="-85.05" maxValue="19542.993999999999"/>
    </cacheField>
    <cacheField name="UC" numFmtId="40">
      <sharedItems containsSemiMixedTypes="0" containsString="0" containsNumber="1" containsInteger="1" minValue="-15" maxValue="137147"/>
    </cacheField>
    <cacheField name="OPÇÃO" numFmtId="0">
      <sharedItems count="3">
        <s v="LIVRE"/>
        <s v="DISTRIBUIÇÃO"/>
        <s v="CATIVO"/>
      </sharedItems>
    </cacheField>
    <cacheField name="CóD. AUX." numFmtId="0">
      <sharedItems containsSemiMixedTypes="0" containsString="0" containsNumber="1" containsInteger="1" minValue="0" maxValue="6600"/>
    </cacheField>
    <cacheField name="CóD. AUX. TUSD R$/kW" numFmtId="40">
      <sharedItems containsSemiMixedTypes="0" containsString="0" containsNumber="1" containsInteger="1" minValue="0" maxValue="78"/>
    </cacheField>
    <cacheField name="CóD. AUX. TUSD R$/MWh" numFmtId="40">
      <sharedItems containsSemiMixedTypes="0" containsString="0" containsNumber="1" containsInteger="1" minValue="0" maxValue="63"/>
    </cacheField>
    <cacheField name="CóD. AUX. TE R$/MWh" numFmtId="40">
      <sharedItems containsSemiMixedTypes="0" containsString="0" containsNumber="1" containsInteger="1" minValue="0" maxValue="99"/>
    </cacheField>
    <cacheField name="TUSD (R$/kW)" numFmtId="40">
      <sharedItems containsSemiMixedTypes="0" containsString="0" containsNumber="1" minValue="0" maxValue="37.01"/>
    </cacheField>
    <cacheField name="TUSD (R$/MWh)" numFmtId="40">
      <sharedItems containsSemiMixedTypes="0" containsString="0" containsNumber="1" minValue="0" maxValue="943.81"/>
    </cacheField>
    <cacheField name="TE (R$/MWh)" numFmtId="40">
      <sharedItems containsSemiMixedTypes="0" containsString="0" containsNumber="1" minValue="0" maxValue="366.6"/>
    </cacheField>
    <cacheField name="TUSD (R$/kW) NOVA" numFmtId="40">
      <sharedItems containsString="0" containsBlank="1" containsNumber="1" minValue="6.019358888517333" maxValue="39.711322323272405"/>
    </cacheField>
    <cacheField name="TUSD (R$/MWh) NOVA" numFmtId="40">
      <sharedItems containsString="0" containsBlank="1" containsNumber="1" minValue="3.1306976142693781" maxValue="1019.176668187089"/>
    </cacheField>
    <cacheField name="TE (R$/MWh) NOVA" numFmtId="40">
      <sharedItems containsString="0" containsBlank="1" containsNumber="1" minValue="92.876364997803634" maxValue="407.57745297626161"/>
    </cacheField>
    <cacheField name="RA0 ou RV - TUSD (kW)" numFmtId="40">
      <sharedItems containsSemiMixedTypes="0" containsString="0" containsNumber="1" minValue="-8697.35" maxValue="344633.52"/>
    </cacheField>
    <cacheField name="RA0 ou RV - TUSD (MWh)" numFmtId="40">
      <sharedItems containsSemiMixedTypes="0" containsString="0" containsNumber="1" minValue="-8126.204099999999" maxValue="5584410.5354999993"/>
    </cacheField>
    <cacheField name="RA0 ou RV - TE (MWh)" numFmtId="40">
      <sharedItems containsSemiMixedTypes="0" containsString="0" containsNumber="1" minValue="-18628.501499999998" maxValue="4520880.8020200003"/>
    </cacheField>
    <cacheField name="RA1 ou RRD - TUSD (kW)" numFmtId="40">
      <sharedItems containsSemiMixedTypes="0" containsString="0" containsNumber="1" minValue="-9332.1607459690149" maxValue="364466.03929460881"/>
    </cacheField>
    <cacheField name="RA1 ou RRD - TUSD (MWh)" numFmtId="40">
      <sharedItems containsSemiMixedTypes="0" containsString="0" containsNumber="1" minValue="-8775.1111130908357" maxValue="6124629.5300737536"/>
    </cacheField>
    <cacheField name="RA1 ou RRD - TE (MWh)" numFmtId="40">
      <sharedItems containsSemiMixedTypes="0" containsString="0" containsNumber="1" minValue="-21469.365268905851" maxValue="5185949.2682682471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0">
  <r>
    <s v="Regular"/>
    <x v="0"/>
    <x v="0"/>
    <x v="0"/>
    <x v="0"/>
    <x v="0"/>
    <x v="0"/>
    <x v="0"/>
    <x v="0"/>
    <n v="4352"/>
    <n v="2191.5733708799999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9924.684106137604"/>
    <n v="0"/>
    <n v="42222.217636439978"/>
    <n v="0"/>
    <x v="0"/>
  </r>
  <r>
    <s v="Regular"/>
    <x v="0"/>
    <x v="0"/>
    <x v="0"/>
    <x v="0"/>
    <x v="0"/>
    <x v="0"/>
    <x v="0"/>
    <x v="1"/>
    <n v="4395"/>
    <n v="2211.1419921000002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40357.695985991995"/>
    <n v="0"/>
    <n v="42680.147917911279"/>
    <n v="0"/>
    <x v="0"/>
  </r>
  <r>
    <s v="Regular"/>
    <x v="0"/>
    <x v="0"/>
    <x v="0"/>
    <x v="0"/>
    <x v="0"/>
    <x v="0"/>
    <x v="0"/>
    <x v="2"/>
    <n v="4292"/>
    <n v="2157.1214304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9452.555966207998"/>
    <n v="0"/>
    <n v="41722.920083492507"/>
    <n v="0"/>
    <x v="0"/>
  </r>
  <r>
    <s v="Regular"/>
    <x v="0"/>
    <x v="0"/>
    <x v="0"/>
    <x v="0"/>
    <x v="0"/>
    <x v="0"/>
    <x v="0"/>
    <x v="3"/>
    <n v="4274"/>
    <n v="2162.4691934000002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9021.089305967995"/>
    <n v="0"/>
    <n v="41266.623943914019"/>
    <n v="0"/>
    <x v="0"/>
  </r>
  <r>
    <s v="Regular"/>
    <x v="0"/>
    <x v="0"/>
    <x v="0"/>
    <x v="0"/>
    <x v="0"/>
    <x v="0"/>
    <x v="0"/>
    <x v="4"/>
    <n v="4301"/>
    <n v="2168.7002406299998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9404.899553157607"/>
    <n v="0"/>
    <n v="41672.52120148165"/>
    <n v="0"/>
    <x v="0"/>
  </r>
  <r>
    <s v="Regular"/>
    <x v="0"/>
    <x v="0"/>
    <x v="0"/>
    <x v="0"/>
    <x v="0"/>
    <x v="0"/>
    <x v="0"/>
    <x v="5"/>
    <n v="4273"/>
    <n v="2150.35229686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9226.529554027198"/>
    <n v="0"/>
    <n v="41483.886598811427"/>
    <n v="0"/>
    <x v="0"/>
  </r>
  <r>
    <s v="Regular"/>
    <x v="0"/>
    <x v="0"/>
    <x v="0"/>
    <x v="0"/>
    <x v="0"/>
    <x v="0"/>
    <x v="0"/>
    <x v="6"/>
    <n v="4273"/>
    <n v="2157.3046815100001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9098.049485695199"/>
    <n v="0"/>
    <n v="41348.012927459713"/>
    <n v="0"/>
    <x v="0"/>
  </r>
  <r>
    <s v="Regular"/>
    <x v="0"/>
    <x v="0"/>
    <x v="0"/>
    <x v="0"/>
    <x v="0"/>
    <x v="0"/>
    <x v="0"/>
    <x v="7"/>
    <n v="3869"/>
    <n v="1955.4475011100001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5362.450179487198"/>
    <n v="0"/>
    <n v="37397.442235655508"/>
    <n v="0"/>
    <x v="0"/>
  </r>
  <r>
    <s v="Regular"/>
    <x v="0"/>
    <x v="0"/>
    <x v="0"/>
    <x v="0"/>
    <x v="0"/>
    <x v="0"/>
    <x v="0"/>
    <x v="8"/>
    <n v="3907"/>
    <n v="1996.1270500099999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5312.932115815202"/>
    <n v="0"/>
    <n v="37345.074571186677"/>
    <n v="0"/>
    <x v="0"/>
  </r>
  <r>
    <s v="Regular"/>
    <x v="0"/>
    <x v="0"/>
    <x v="0"/>
    <x v="0"/>
    <x v="0"/>
    <x v="0"/>
    <x v="0"/>
    <x v="9"/>
    <n v="4018"/>
    <n v="2032.73545104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6687.688864780801"/>
    <n v="0"/>
    <n v="38798.944024422177"/>
    <n v="0"/>
    <x v="0"/>
  </r>
  <r>
    <s v="Regular"/>
    <x v="0"/>
    <x v="0"/>
    <x v="0"/>
    <x v="0"/>
    <x v="0"/>
    <x v="0"/>
    <x v="0"/>
    <x v="10"/>
    <n v="3929"/>
    <n v="2000.29480089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5642.472079552797"/>
    <n v="0"/>
    <n v="37693.578469973807"/>
    <n v="0"/>
    <x v="0"/>
  </r>
  <r>
    <s v="PROJETADO"/>
    <x v="0"/>
    <x v="0"/>
    <x v="0"/>
    <x v="0"/>
    <x v="0"/>
    <x v="0"/>
    <x v="0"/>
    <x v="11"/>
    <n v="3929"/>
    <n v="2000.29480089"/>
    <n v="0"/>
    <n v="0"/>
    <n v="0"/>
    <n v="0"/>
    <n v="0"/>
    <s v="LIVRE"/>
    <n v="0"/>
    <n v="10"/>
    <n v="0"/>
    <n v="0"/>
    <n v="18.48"/>
    <n v="0"/>
    <n v="0"/>
    <n v="19.543462882439208"/>
    <n v="52.882770228452522"/>
    <m/>
    <n v="35642.472079552797"/>
    <n v="0"/>
    <n v="37693.578469973807"/>
    <n v="0"/>
    <x v="0"/>
  </r>
  <r>
    <s v="Regular"/>
    <x v="0"/>
    <x v="0"/>
    <x v="0"/>
    <x v="0"/>
    <x v="0"/>
    <x v="0"/>
    <x v="1"/>
    <x v="0"/>
    <n v="0"/>
    <n v="0"/>
    <n v="1755.146"/>
    <n v="1755.146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1701.3219999999999"/>
    <n v="1701.3219999999999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1674.5419999999999"/>
    <n v="1674.5419999999999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1683.701"/>
    <n v="1683.701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1695.1780000000001"/>
    <n v="1695.1780000000001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1473.6510000000001"/>
    <n v="1473.6510000000001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1617.5"/>
    <n v="1617.5"/>
    <n v="0"/>
    <n v="0"/>
    <n v="9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1539.8150000000001"/>
    <n v="1539.8150000000001"/>
    <n v="0"/>
    <n v="0"/>
    <n v="8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1584.8879999999999"/>
    <n v="1584.8879999999999"/>
    <n v="0"/>
    <n v="0"/>
    <n v="8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1784.5709999999999"/>
    <n v="1784.5709999999999"/>
    <n v="0"/>
    <n v="0"/>
    <n v="8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1738.9190000000001"/>
    <n v="1738.9190000000001"/>
    <n v="0"/>
    <n v="0"/>
    <n v="8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1738.9190000000001"/>
    <n v="1738.9190000000001"/>
    <n v="0"/>
    <n v="0"/>
    <n v="8"/>
    <s v="LIVRE"/>
    <n v="0"/>
    <n v="0"/>
    <n v="11"/>
    <n v="0"/>
    <n v="0"/>
    <n v="43.65"/>
    <n v="0"/>
    <m/>
    <n v="52.882770228452522"/>
    <m/>
    <n v="0"/>
    <n v="0"/>
    <n v="0"/>
    <n v="0"/>
    <x v="0"/>
  </r>
  <r>
    <s v="Regular"/>
    <x v="0"/>
    <x v="0"/>
    <x v="0"/>
    <x v="0"/>
    <x v="0"/>
    <x v="0"/>
    <x v="2"/>
    <x v="0"/>
    <n v="4030"/>
    <n v="2029.3389414999999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4044.465775085002"/>
    <n v="0"/>
    <n v="79448.896153712849"/>
    <n v="0"/>
    <x v="0"/>
  </r>
  <r>
    <s v="Regular"/>
    <x v="0"/>
    <x v="0"/>
    <x v="0"/>
    <x v="0"/>
    <x v="0"/>
    <x v="0"/>
    <x v="2"/>
    <x v="1"/>
    <n v="3977"/>
    <n v="2006.71692689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2920.176535801103"/>
    <n v="0"/>
    <n v="78242.5461843589"/>
    <n v="0"/>
    <x v="0"/>
  </r>
  <r>
    <s v="Regular"/>
    <x v="0"/>
    <x v="0"/>
    <x v="0"/>
    <x v="0"/>
    <x v="0"/>
    <x v="0"/>
    <x v="2"/>
    <x v="2"/>
    <n v="3935"/>
    <n v="1982.83064195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2249.787941430492"/>
    <n v="0"/>
    <n v="77523.226607139324"/>
    <n v="0"/>
    <x v="0"/>
  </r>
  <r>
    <s v="Regular"/>
    <x v="0"/>
    <x v="0"/>
    <x v="0"/>
    <x v="0"/>
    <x v="0"/>
    <x v="0"/>
    <x v="2"/>
    <x v="3"/>
    <n v="3934"/>
    <n v="2002.9792231399999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1467.078951588599"/>
    <n v="0"/>
    <n v="76683.388482823342"/>
    <n v="0"/>
    <x v="0"/>
  </r>
  <r>
    <s v="Regular"/>
    <x v="0"/>
    <x v="0"/>
    <x v="0"/>
    <x v="0"/>
    <x v="0"/>
    <x v="0"/>
    <x v="2"/>
    <x v="4"/>
    <n v="3934"/>
    <n v="1984.1832005799999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2162.719746534203"/>
    <n v="0"/>
    <n v="77429.803393099006"/>
    <n v="0"/>
    <x v="0"/>
  </r>
  <r>
    <s v="Regular"/>
    <x v="0"/>
    <x v="0"/>
    <x v="0"/>
    <x v="0"/>
    <x v="0"/>
    <x v="0"/>
    <x v="2"/>
    <x v="5"/>
    <n v="3934"/>
    <n v="1979.71956616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2327.918856418386"/>
    <n v="0"/>
    <n v="77607.060218284867"/>
    <n v="0"/>
    <x v="0"/>
  </r>
  <r>
    <s v="Regular"/>
    <x v="0"/>
    <x v="0"/>
    <x v="0"/>
    <x v="0"/>
    <x v="0"/>
    <x v="0"/>
    <x v="2"/>
    <x v="6"/>
    <n v="3934"/>
    <n v="1986.38207054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72081.339569314587"/>
    <n v="0"/>
    <n v="77342.483359370483"/>
    <n v="0"/>
    <x v="0"/>
  </r>
  <r>
    <s v="Regular"/>
    <x v="0"/>
    <x v="0"/>
    <x v="0"/>
    <x v="0"/>
    <x v="0"/>
    <x v="0"/>
    <x v="2"/>
    <x v="7"/>
    <n v="3511"/>
    <n v="1774.80267047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64256.663165905295"/>
    <n v="0"/>
    <n v="68946.691769770623"/>
    <n v="0"/>
    <x v="0"/>
  </r>
  <r>
    <s v="Regular"/>
    <x v="0"/>
    <x v="0"/>
    <x v="0"/>
    <x v="0"/>
    <x v="0"/>
    <x v="0"/>
    <x v="2"/>
    <x v="8"/>
    <n v="3680"/>
    <n v="1879.73693440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66627.736057855989"/>
    <n v="0"/>
    <n v="71490.826864724091"/>
    <n v="0"/>
    <x v="0"/>
  </r>
  <r>
    <s v="Regular"/>
    <x v="0"/>
    <x v="0"/>
    <x v="0"/>
    <x v="0"/>
    <x v="0"/>
    <x v="0"/>
    <x v="2"/>
    <x v="9"/>
    <n v="3698"/>
    <n v="1870.63799646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67630.667751015397"/>
    <n v="0"/>
    <n v="72566.961523877791"/>
    <n v="0"/>
    <x v="0"/>
  </r>
  <r>
    <s v="Regular"/>
    <x v="0"/>
    <x v="0"/>
    <x v="0"/>
    <x v="0"/>
    <x v="0"/>
    <x v="0"/>
    <x v="2"/>
    <x v="10"/>
    <n v="3726"/>
    <n v="1896.89344722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67695.233518387788"/>
    <n v="0"/>
    <n v="72636.239881056244"/>
    <n v="0"/>
    <x v="0"/>
  </r>
  <r>
    <s v="PROJETADO"/>
    <x v="0"/>
    <x v="0"/>
    <x v="0"/>
    <x v="0"/>
    <x v="0"/>
    <x v="0"/>
    <x v="2"/>
    <x v="11"/>
    <n v="3726"/>
    <n v="1896.8934472200001"/>
    <n v="0"/>
    <n v="0"/>
    <n v="0"/>
    <n v="0"/>
    <n v="0"/>
    <s v="LIVRE"/>
    <n v="0"/>
    <n v="9"/>
    <n v="0"/>
    <n v="0"/>
    <n v="37.01"/>
    <n v="0"/>
    <n v="0"/>
    <n v="39.711322323272405"/>
    <n v="52.882770228452522"/>
    <m/>
    <n v="67695.233518387788"/>
    <n v="0"/>
    <n v="72636.239881056244"/>
    <n v="0"/>
    <x v="0"/>
  </r>
  <r>
    <s v="Regular"/>
    <x v="0"/>
    <x v="0"/>
    <x v="1"/>
    <x v="1"/>
    <x v="1"/>
    <x v="0"/>
    <x v="0"/>
    <x v="0"/>
    <n v="1414"/>
    <n v="1414"/>
    <n v="678.25300000000004"/>
    <n v="678.25300000000004"/>
    <n v="678.25300000000004"/>
    <n v="678.25300000000004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67.8431999999998"/>
    <n v="10689.809882400001"/>
    <n v="829.03369547307102"/>
    <n v="6212.4254281652466"/>
    <x v="1"/>
  </r>
  <r>
    <s v="Regular"/>
    <x v="0"/>
    <x v="0"/>
    <x v="1"/>
    <x v="1"/>
    <x v="1"/>
    <x v="0"/>
    <x v="0"/>
    <x v="1"/>
    <n v="1427"/>
    <n v="1427"/>
    <n v="716.32799999999997"/>
    <n v="716.32799999999997"/>
    <n v="716.32799999999997"/>
    <n v="716.32799999999997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2.2575999999999"/>
    <n v="11289.902342399999"/>
    <n v="836.65564599722234"/>
    <n v="6561.1715423400319"/>
    <x v="1"/>
  </r>
  <r>
    <s v="Regular"/>
    <x v="0"/>
    <x v="0"/>
    <x v="1"/>
    <x v="1"/>
    <x v="1"/>
    <x v="0"/>
    <x v="0"/>
    <x v="2"/>
    <n v="1426"/>
    <n v="1426"/>
    <n v="698.07299999999998"/>
    <n v="698.07299999999998"/>
    <n v="698.07299999999998"/>
    <n v="698.07299999999998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1.1487999999999"/>
    <n v="11002.188938399999"/>
    <n v="836.06934211074929"/>
    <n v="6393.9657560167034"/>
    <x v="1"/>
  </r>
  <r>
    <s v="Regular"/>
    <x v="0"/>
    <x v="0"/>
    <x v="1"/>
    <x v="1"/>
    <x v="1"/>
    <x v="0"/>
    <x v="0"/>
    <x v="3"/>
    <n v="1394"/>
    <n v="1394"/>
    <n v="692.47199999999998"/>
    <n v="692.47199999999998"/>
    <n v="692.47199999999998"/>
    <n v="692.47199999999998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45.6672000000001"/>
    <n v="10913.912697600001"/>
    <n v="817.30761774360758"/>
    <n v="6342.6636684134737"/>
    <x v="1"/>
  </r>
  <r>
    <s v="Regular"/>
    <x v="0"/>
    <x v="0"/>
    <x v="1"/>
    <x v="1"/>
    <x v="1"/>
    <x v="0"/>
    <x v="0"/>
    <x v="4"/>
    <n v="1406"/>
    <n v="1406"/>
    <n v="738.70799999999997"/>
    <n v="738.70799999999997"/>
    <n v="738.70799999999997"/>
    <n v="738.70799999999997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58.9727999999998"/>
    <n v="11642.629046399998"/>
    <n v="824.34326438128562"/>
    <n v="6766.1600659180158"/>
    <x v="1"/>
  </r>
  <r>
    <s v="Regular"/>
    <x v="0"/>
    <x v="0"/>
    <x v="1"/>
    <x v="1"/>
    <x v="1"/>
    <x v="0"/>
    <x v="0"/>
    <x v="5"/>
    <n v="1425"/>
    <n v="1425"/>
    <n v="693.28700000000003"/>
    <n v="693.28700000000003"/>
    <n v="693.28700000000003"/>
    <n v="693.28700000000003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0.04"/>
    <n v="10926.757749599999"/>
    <n v="835.48303822427602"/>
    <n v="6350.1286213498479"/>
    <x v="1"/>
  </r>
  <r>
    <s v="Regular"/>
    <x v="0"/>
    <x v="0"/>
    <x v="1"/>
    <x v="1"/>
    <x v="1"/>
    <x v="0"/>
    <x v="0"/>
    <x v="6"/>
    <n v="1396"/>
    <n v="1396"/>
    <n v="709.65800000000002"/>
    <n v="709.65800000000002"/>
    <n v="709.65800000000002"/>
    <n v="709.65800000000002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47.8847999999998"/>
    <n v="11184.777806400001"/>
    <n v="818.48022551655401"/>
    <n v="6500.078001130687"/>
    <x v="1"/>
  </r>
  <r>
    <s v="Regular"/>
    <x v="0"/>
    <x v="0"/>
    <x v="1"/>
    <x v="1"/>
    <x v="1"/>
    <x v="0"/>
    <x v="0"/>
    <x v="7"/>
    <n v="1412"/>
    <n v="1412"/>
    <n v="700.89499999999998"/>
    <n v="700.89499999999998"/>
    <n v="700.89499999999998"/>
    <n v="700.89499999999998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65.6256000000001"/>
    <n v="11046.665915999998"/>
    <n v="827.8610877001247"/>
    <n v="6419.8137280246156"/>
    <x v="1"/>
  </r>
  <r>
    <s v="Regular"/>
    <x v="0"/>
    <x v="0"/>
    <x v="1"/>
    <x v="1"/>
    <x v="1"/>
    <x v="0"/>
    <x v="0"/>
    <x v="8"/>
    <n v="1430"/>
    <n v="1430"/>
    <n v="723.44799999999998"/>
    <n v="723.44799999999998"/>
    <n v="723.44799999999998"/>
    <n v="723.44799999999998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5.5840000000001"/>
    <n v="11402.119238399999"/>
    <n v="838.41455765664193"/>
    <n v="6626.3868367044306"/>
    <x v="1"/>
  </r>
  <r>
    <s v="Regular"/>
    <x v="0"/>
    <x v="0"/>
    <x v="1"/>
    <x v="1"/>
    <x v="1"/>
    <x v="0"/>
    <x v="0"/>
    <x v="9"/>
    <n v="1427"/>
    <n v="1427"/>
    <n v="752.68200000000002"/>
    <n v="752.68200000000002"/>
    <n v="752.68200000000002"/>
    <n v="752.68200000000002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2.2575999999999"/>
    <n v="11862.870465599999"/>
    <n v="836.65564599722234"/>
    <n v="6894.1542405596037"/>
    <x v="1"/>
  </r>
  <r>
    <s v="Regular"/>
    <x v="0"/>
    <x v="0"/>
    <x v="1"/>
    <x v="1"/>
    <x v="1"/>
    <x v="0"/>
    <x v="0"/>
    <x v="10"/>
    <n v="1427"/>
    <n v="1427"/>
    <n v="766.65099999999995"/>
    <n v="766.65099999999995"/>
    <n v="766.65099999999995"/>
    <n v="766.65099999999995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2.2575999999999"/>
    <n v="12083.0330808"/>
    <n v="836.65564599722234"/>
    <n v="7022.1026179439123"/>
    <x v="1"/>
  </r>
  <r>
    <s v="PROJETADO"/>
    <x v="0"/>
    <x v="0"/>
    <x v="1"/>
    <x v="1"/>
    <x v="1"/>
    <x v="0"/>
    <x v="0"/>
    <x v="11"/>
    <n v="1427"/>
    <n v="1427"/>
    <n v="766.65099999999995"/>
    <n v="766.65099999999995"/>
    <n v="766.65099999999995"/>
    <n v="766.65099999999995"/>
    <n v="0"/>
    <s v="CATIVO"/>
    <n v="0"/>
    <n v="10"/>
    <n v="11"/>
    <n v="68"/>
    <n v="17.371199999999998"/>
    <n v="41.030999999999999"/>
    <n v="205.88819999999998"/>
    <n v="18.957158995966029"/>
    <n v="51.296287121598944"/>
    <n v="244.85930994519313"/>
    <n v="1582.2575999999999"/>
    <n v="12083.0330808"/>
    <n v="836.65564599722234"/>
    <n v="7022.1026179439123"/>
    <x v="1"/>
  </r>
  <r>
    <s v="Regular"/>
    <x v="0"/>
    <x v="0"/>
    <x v="1"/>
    <x v="1"/>
    <x v="1"/>
    <x v="0"/>
    <x v="2"/>
    <x v="0"/>
    <n v="1365"/>
    <n v="1365"/>
    <n v="70.594999999999999"/>
    <n v="70.594999999999999"/>
    <n v="70.594999999999999"/>
    <n v="70.594999999999999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031.1189999999997"/>
    <n v="1737.695925"/>
    <n v="1626.1786491380051"/>
    <n v="975.18568371410379"/>
    <x v="1"/>
  </r>
  <r>
    <s v="Regular"/>
    <x v="0"/>
    <x v="0"/>
    <x v="1"/>
    <x v="1"/>
    <x v="1"/>
    <x v="0"/>
    <x v="2"/>
    <x v="1"/>
    <n v="1361"/>
    <n v="1361"/>
    <n v="77.448999999999998"/>
    <n v="77.448999999999998"/>
    <n v="77.448999999999998"/>
    <n v="77.448999999999998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022.2365999999997"/>
    <n v="1906.4071349999999"/>
    <n v="1621.4132904592122"/>
    <n v="1069.8655148094574"/>
    <x v="1"/>
  </r>
  <r>
    <s v="Regular"/>
    <x v="0"/>
    <x v="0"/>
    <x v="1"/>
    <x v="1"/>
    <x v="1"/>
    <x v="0"/>
    <x v="2"/>
    <x v="2"/>
    <n v="1359"/>
    <n v="1359"/>
    <n v="66.813000000000002"/>
    <n v="66.813000000000002"/>
    <n v="66.813000000000002"/>
    <n v="66.813000000000002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017.7953999999995"/>
    <n v="1644.6019950000002"/>
    <n v="1619.0306111198161"/>
    <n v="922.94186678929702"/>
    <x v="1"/>
  </r>
  <r>
    <s v="Regular"/>
    <x v="0"/>
    <x v="0"/>
    <x v="1"/>
    <x v="1"/>
    <x v="1"/>
    <x v="0"/>
    <x v="2"/>
    <x v="3"/>
    <n v="1345"/>
    <n v="1345"/>
    <n v="64.272000000000006"/>
    <n v="64.272000000000006"/>
    <n v="64.272000000000006"/>
    <n v="64.272000000000006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2986.7069999999994"/>
    <n v="1582.0552800000003"/>
    <n v="1602.3518557440414"/>
    <n v="887.84098397440175"/>
    <x v="1"/>
  </r>
  <r>
    <s v="Regular"/>
    <x v="0"/>
    <x v="0"/>
    <x v="1"/>
    <x v="1"/>
    <x v="1"/>
    <x v="0"/>
    <x v="2"/>
    <x v="4"/>
    <n v="1378"/>
    <n v="1378"/>
    <n v="67.081000000000003"/>
    <n v="67.081000000000003"/>
    <n v="67.081000000000003"/>
    <n v="67.081000000000003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059.9867999999997"/>
    <n v="1651.1988150000002"/>
    <n v="1641.6660648440813"/>
    <n v="926.64396698386304"/>
    <x v="1"/>
  </r>
  <r>
    <s v="Regular"/>
    <x v="0"/>
    <x v="0"/>
    <x v="1"/>
    <x v="1"/>
    <x v="1"/>
    <x v="0"/>
    <x v="2"/>
    <x v="5"/>
    <n v="1403"/>
    <n v="1403"/>
    <n v="71.475999999999999"/>
    <n v="71.475999999999999"/>
    <n v="71.475999999999999"/>
    <n v="71.475999999999999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115.5017999999995"/>
    <n v="1759.3817399999998"/>
    <n v="1671.4495565865354"/>
    <n v="987.35564741340454"/>
    <x v="1"/>
  </r>
  <r>
    <s v="Regular"/>
    <x v="0"/>
    <x v="0"/>
    <x v="1"/>
    <x v="1"/>
    <x v="1"/>
    <x v="0"/>
    <x v="2"/>
    <x v="6"/>
    <n v="1207"/>
    <n v="1207"/>
    <n v="70.837999999999994"/>
    <n v="70.837999999999994"/>
    <n v="70.837999999999994"/>
    <n v="70.837999999999994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2680.2641999999996"/>
    <n v="1743.6773699999999"/>
    <n v="1437.9469813256937"/>
    <n v="978.54243874126621"/>
    <x v="1"/>
  </r>
  <r>
    <s v="Regular"/>
    <x v="0"/>
    <x v="0"/>
    <x v="1"/>
    <x v="1"/>
    <x v="1"/>
    <x v="0"/>
    <x v="2"/>
    <x v="7"/>
    <n v="1342"/>
    <n v="1342"/>
    <n v="71.135000000000005"/>
    <n v="71.135000000000005"/>
    <n v="71.135000000000005"/>
    <n v="71.135000000000005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2980.0451999999996"/>
    <n v="1750.9880249999999"/>
    <n v="1598.777836734947"/>
    <n v="982.64513933002024"/>
    <x v="1"/>
  </r>
  <r>
    <s v="Regular"/>
    <x v="0"/>
    <x v="0"/>
    <x v="1"/>
    <x v="1"/>
    <x v="1"/>
    <x v="0"/>
    <x v="2"/>
    <x v="8"/>
    <n v="1407"/>
    <n v="1407"/>
    <n v="70.917000000000002"/>
    <n v="70.917000000000002"/>
    <n v="70.917000000000002"/>
    <n v="70.917000000000002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124.3841999999995"/>
    <n v="1745.6219550000001"/>
    <n v="1676.214915265328"/>
    <n v="979.63372947026141"/>
    <x v="1"/>
  </r>
  <r>
    <s v="Regular"/>
    <x v="0"/>
    <x v="0"/>
    <x v="1"/>
    <x v="1"/>
    <x v="1"/>
    <x v="0"/>
    <x v="2"/>
    <x v="9"/>
    <n v="1408"/>
    <n v="1408"/>
    <n v="72.337999999999994"/>
    <n v="72.337999999999994"/>
    <n v="72.337999999999994"/>
    <n v="72.337999999999994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126.6047999999996"/>
    <n v="1780.59987"/>
    <n v="1677.4062549350265"/>
    <n v="999.26314878547817"/>
    <x v="1"/>
  </r>
  <r>
    <s v="Regular"/>
    <x v="0"/>
    <x v="0"/>
    <x v="1"/>
    <x v="1"/>
    <x v="1"/>
    <x v="0"/>
    <x v="2"/>
    <x v="10"/>
    <n v="1412"/>
    <n v="1412"/>
    <n v="80.700999999999993"/>
    <n v="80.700999999999993"/>
    <n v="80.700999999999993"/>
    <n v="80.700999999999993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135.4871999999996"/>
    <n v="1986.4551149999998"/>
    <n v="1682.1716136138189"/>
    <n v="1114.7880141853091"/>
    <x v="1"/>
  </r>
  <r>
    <s v="PROJETADO"/>
    <x v="0"/>
    <x v="0"/>
    <x v="1"/>
    <x v="1"/>
    <x v="1"/>
    <x v="0"/>
    <x v="2"/>
    <x v="11"/>
    <n v="1412"/>
    <n v="1412"/>
    <n v="80.700999999999993"/>
    <n v="80.700999999999993"/>
    <n v="80.700999999999993"/>
    <n v="80.700999999999993"/>
    <n v="0"/>
    <s v="CATIVO"/>
    <n v="0"/>
    <n v="9"/>
    <n v="11"/>
    <n v="67"/>
    <n v="34.789399999999993"/>
    <n v="41.030999999999999"/>
    <n v="344.60399999999998"/>
    <n v="38.519982653574232"/>
    <n v="51.296287121598944"/>
    <n v="395.35012938697378"/>
    <n v="3135.4871999999996"/>
    <n v="1986.4551149999998"/>
    <n v="1682.1716136138189"/>
    <n v="1114.7880141853091"/>
    <x v="1"/>
  </r>
  <r>
    <s v="Regular"/>
    <x v="0"/>
    <x v="1"/>
    <x v="0"/>
    <x v="0"/>
    <x v="0"/>
    <x v="0"/>
    <x v="0"/>
    <x v="0"/>
    <n v="0"/>
    <n v="0"/>
    <n v="3771.5549999999998"/>
    <n v="3771.5549999999998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1"/>
    <n v="0"/>
    <n v="0"/>
    <n v="3462.8890000000001"/>
    <n v="3462.8890000000001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2"/>
    <n v="0"/>
    <n v="0"/>
    <n v="3515.2710000000002"/>
    <n v="3515.2710000000002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3"/>
    <n v="0"/>
    <n v="0"/>
    <n v="3651.1619999999998"/>
    <n v="3651.1619999999998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4"/>
    <n v="0"/>
    <n v="0"/>
    <n v="3664.721"/>
    <n v="3664.721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5"/>
    <n v="0"/>
    <n v="0"/>
    <n v="3867.5659999999998"/>
    <n v="3867.5659999999998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6"/>
    <n v="0"/>
    <n v="0"/>
    <n v="3906.3690000000001"/>
    <n v="3906.3690000000001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7"/>
    <n v="0"/>
    <n v="0"/>
    <n v="3932.1239999999998"/>
    <n v="3932.1239999999998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8"/>
    <n v="0"/>
    <n v="0"/>
    <n v="4174.8879999999999"/>
    <n v="4174.8879999999999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9"/>
    <n v="0"/>
    <n v="0"/>
    <n v="4378.2280000000001"/>
    <n v="4378.2280000000001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0"/>
    <x v="10"/>
    <n v="0"/>
    <n v="0"/>
    <n v="4499.5730000000003"/>
    <n v="4499.5730000000003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PROJETADO"/>
    <x v="0"/>
    <x v="1"/>
    <x v="0"/>
    <x v="0"/>
    <x v="0"/>
    <x v="0"/>
    <x v="0"/>
    <x v="11"/>
    <n v="0"/>
    <n v="0"/>
    <n v="4499.5730000000003"/>
    <n v="4499.5730000000003"/>
    <n v="0"/>
    <n v="0"/>
    <n v="0"/>
    <s v="LIVRE"/>
    <n v="0"/>
    <n v="0"/>
    <n v="25"/>
    <n v="0"/>
    <n v="0"/>
    <n v="43.65"/>
    <n v="0"/>
    <m/>
    <n v="52.882770228452522"/>
    <m/>
    <n v="0"/>
    <n v="0"/>
    <n v="0"/>
    <n v="0"/>
    <x v="0"/>
  </r>
  <r>
    <s v="Regular"/>
    <x v="0"/>
    <x v="1"/>
    <x v="0"/>
    <x v="0"/>
    <x v="0"/>
    <x v="0"/>
    <x v="1"/>
    <x v="0"/>
    <n v="12638"/>
    <n v="5883.4054220999997"/>
    <n v="0"/>
    <n v="0"/>
    <n v="0"/>
    <n v="0"/>
    <n v="17"/>
    <s v="LIVRE"/>
    <n v="0"/>
    <n v="23"/>
    <n v="0"/>
    <n v="0"/>
    <n v="18.48"/>
    <n v="0"/>
    <n v="0"/>
    <n v="19.543462882439208"/>
    <m/>
    <m/>
    <n v="124824.90779959201"/>
    <n v="0"/>
    <n v="132008.16841911379"/>
    <n v="0"/>
    <x v="0"/>
  </r>
  <r>
    <s v="Regular"/>
    <x v="0"/>
    <x v="1"/>
    <x v="0"/>
    <x v="0"/>
    <x v="0"/>
    <x v="0"/>
    <x v="1"/>
    <x v="1"/>
    <n v="12227"/>
    <n v="5603.72078943"/>
    <n v="0"/>
    <n v="0"/>
    <n v="0"/>
    <n v="0"/>
    <n v="16"/>
    <s v="LIVRE"/>
    <n v="0"/>
    <n v="23"/>
    <n v="0"/>
    <n v="0"/>
    <n v="18.48"/>
    <n v="0"/>
    <n v="0"/>
    <n v="19.543462882439208"/>
    <m/>
    <m/>
    <n v="122398.1998113336"/>
    <n v="0"/>
    <n v="129441.81141180605"/>
    <n v="0"/>
    <x v="0"/>
  </r>
  <r>
    <s v="Regular"/>
    <x v="0"/>
    <x v="1"/>
    <x v="0"/>
    <x v="0"/>
    <x v="0"/>
    <x v="0"/>
    <x v="1"/>
    <x v="2"/>
    <n v="12336"/>
    <n v="5574.4267142400004"/>
    <n v="0"/>
    <n v="0"/>
    <n v="0"/>
    <n v="0"/>
    <n v="17"/>
    <s v="LIVRE"/>
    <n v="0"/>
    <n v="23"/>
    <n v="0"/>
    <n v="0"/>
    <n v="18.48"/>
    <n v="0"/>
    <n v="0"/>
    <n v="19.543462882439208"/>
    <m/>
    <m/>
    <n v="124953.8743208448"/>
    <n v="0"/>
    <n v="132144.55653714307"/>
    <n v="0"/>
    <x v="0"/>
  </r>
  <r>
    <s v="Regular"/>
    <x v="0"/>
    <x v="1"/>
    <x v="0"/>
    <x v="0"/>
    <x v="0"/>
    <x v="0"/>
    <x v="1"/>
    <x v="3"/>
    <n v="12822"/>
    <n v="5666.2982400000001"/>
    <n v="0"/>
    <n v="0"/>
    <n v="0"/>
    <n v="0"/>
    <n v="18"/>
    <s v="LIVRE"/>
    <n v="0"/>
    <n v="23"/>
    <n v="0"/>
    <n v="0"/>
    <n v="18.48"/>
    <n v="0"/>
    <n v="0"/>
    <n v="19.543462882439208"/>
    <m/>
    <m/>
    <n v="132237.3685248"/>
    <n v="0"/>
    <n v="139847.19174436491"/>
    <n v="0"/>
    <x v="0"/>
  </r>
  <r>
    <s v="Regular"/>
    <x v="0"/>
    <x v="1"/>
    <x v="0"/>
    <x v="0"/>
    <x v="0"/>
    <x v="0"/>
    <x v="1"/>
    <x v="4"/>
    <n v="12803"/>
    <n v="5693.5665649800003"/>
    <n v="0"/>
    <n v="0"/>
    <n v="0"/>
    <n v="0"/>
    <n v="19"/>
    <s v="LIVRE"/>
    <n v="0"/>
    <n v="23"/>
    <n v="0"/>
    <n v="0"/>
    <n v="18.48"/>
    <n v="0"/>
    <n v="0"/>
    <n v="19.543462882439208"/>
    <m/>
    <m/>
    <n v="131382.32987916959"/>
    <n v="0"/>
    <n v="138942.94845248564"/>
    <n v="0"/>
    <x v="0"/>
  </r>
  <r>
    <s v="Regular"/>
    <x v="0"/>
    <x v="1"/>
    <x v="0"/>
    <x v="0"/>
    <x v="0"/>
    <x v="0"/>
    <x v="1"/>
    <x v="5"/>
    <n v="13457"/>
    <n v="6167.46461671"/>
    <n v="0"/>
    <n v="0"/>
    <n v="0"/>
    <n v="0"/>
    <n v="19"/>
    <s v="LIVRE"/>
    <n v="0"/>
    <n v="23"/>
    <n v="0"/>
    <n v="0"/>
    <n v="18.48"/>
    <n v="0"/>
    <n v="0"/>
    <n v="19.543462882439208"/>
    <m/>
    <m/>
    <n v="134710.6138831992"/>
    <n v="0"/>
    <n v="142462.76419355537"/>
    <n v="0"/>
    <x v="0"/>
  </r>
  <r>
    <s v="Regular"/>
    <x v="0"/>
    <x v="1"/>
    <x v="0"/>
    <x v="0"/>
    <x v="0"/>
    <x v="0"/>
    <x v="1"/>
    <x v="6"/>
    <n v="12931"/>
    <n v="5909.1049320000002"/>
    <n v="0"/>
    <n v="0"/>
    <n v="0"/>
    <n v="0"/>
    <n v="18"/>
    <s v="LIVRE"/>
    <n v="0"/>
    <n v="23"/>
    <n v="0"/>
    <n v="0"/>
    <n v="18.48"/>
    <n v="0"/>
    <n v="0"/>
    <n v="19.543462882439208"/>
    <m/>
    <m/>
    <n v="129764.62085664"/>
    <n v="0"/>
    <n v="137232.14562584093"/>
    <n v="0"/>
    <x v="0"/>
  </r>
  <r>
    <s v="Regular"/>
    <x v="0"/>
    <x v="1"/>
    <x v="0"/>
    <x v="0"/>
    <x v="0"/>
    <x v="0"/>
    <x v="1"/>
    <x v="7"/>
    <n v="13298"/>
    <n v="5922.5875743799998"/>
    <n v="0"/>
    <n v="0"/>
    <n v="0"/>
    <n v="0"/>
    <n v="19"/>
    <s v="LIVRE"/>
    <n v="0"/>
    <n v="23"/>
    <n v="0"/>
    <n v="0"/>
    <n v="18.48"/>
    <n v="0"/>
    <n v="0"/>
    <n v="19.543462882439208"/>
    <m/>
    <m/>
    <n v="136297.6216254576"/>
    <n v="0"/>
    <n v="144141.09898278539"/>
    <n v="0"/>
    <x v="0"/>
  </r>
  <r>
    <s v="Regular"/>
    <x v="0"/>
    <x v="1"/>
    <x v="0"/>
    <x v="0"/>
    <x v="0"/>
    <x v="0"/>
    <x v="1"/>
    <x v="8"/>
    <n v="14086"/>
    <n v="7714.3517191199999"/>
    <n v="0"/>
    <n v="0"/>
    <n v="0"/>
    <n v="0"/>
    <n v="21"/>
    <s v="LIVRE"/>
    <n v="0"/>
    <n v="23"/>
    <n v="0"/>
    <n v="0"/>
    <n v="18.48"/>
    <n v="0"/>
    <n v="0"/>
    <n v="19.543462882439208"/>
    <m/>
    <m/>
    <n v="117748.06023066241"/>
    <n v="0"/>
    <n v="124524.07167733587"/>
    <n v="0"/>
    <x v="0"/>
  </r>
  <r>
    <s v="Regular"/>
    <x v="0"/>
    <x v="1"/>
    <x v="0"/>
    <x v="0"/>
    <x v="0"/>
    <x v="0"/>
    <x v="1"/>
    <x v="9"/>
    <n v="14029"/>
    <n v="5351.5402182999997"/>
    <n v="0"/>
    <n v="0"/>
    <n v="0"/>
    <n v="0"/>
    <n v="21"/>
    <s v="LIVRE"/>
    <n v="0"/>
    <n v="23"/>
    <n v="0"/>
    <n v="0"/>
    <n v="18.48"/>
    <n v="0"/>
    <n v="0"/>
    <n v="19.543462882439208"/>
    <m/>
    <m/>
    <n v="160359.45676581599"/>
    <n v="0"/>
    <n v="169587.61315751297"/>
    <n v="0"/>
    <x v="0"/>
  </r>
  <r>
    <s v="Regular"/>
    <x v="0"/>
    <x v="1"/>
    <x v="0"/>
    <x v="0"/>
    <x v="0"/>
    <x v="0"/>
    <x v="1"/>
    <x v="10"/>
    <n v="14125"/>
    <n v="6051.2837637499997"/>
    <n v="0"/>
    <n v="0"/>
    <n v="0"/>
    <n v="0"/>
    <n v="22"/>
    <s v="LIVRE"/>
    <n v="0"/>
    <n v="23"/>
    <n v="0"/>
    <n v="0"/>
    <n v="18.48"/>
    <n v="0"/>
    <n v="0"/>
    <n v="19.543462882439208"/>
    <m/>
    <m/>
    <n v="149202.27604590001"/>
    <n v="0"/>
    <n v="157788.37358649867"/>
    <n v="0"/>
    <x v="0"/>
  </r>
  <r>
    <s v="PROJETADO"/>
    <x v="0"/>
    <x v="1"/>
    <x v="0"/>
    <x v="0"/>
    <x v="0"/>
    <x v="0"/>
    <x v="1"/>
    <x v="11"/>
    <n v="14125"/>
    <n v="6051.2837637499997"/>
    <n v="0"/>
    <n v="0"/>
    <n v="0"/>
    <n v="0"/>
    <n v="22"/>
    <s v="LIVRE"/>
    <n v="0"/>
    <n v="23"/>
    <n v="0"/>
    <n v="0"/>
    <n v="18.48"/>
    <n v="0"/>
    <n v="0"/>
    <n v="19.543462882439208"/>
    <m/>
    <m/>
    <n v="149202.27604590001"/>
    <n v="0"/>
    <n v="157788.37358649867"/>
    <n v="0"/>
    <x v="0"/>
  </r>
  <r>
    <s v="Regular"/>
    <x v="0"/>
    <x v="1"/>
    <x v="0"/>
    <x v="0"/>
    <x v="0"/>
    <x v="0"/>
    <x v="2"/>
    <x v="0"/>
    <n v="0"/>
    <n v="0"/>
    <n v="319.24799999999999"/>
    <n v="162.45768675023999"/>
    <n v="0"/>
    <n v="0"/>
    <n v="0"/>
    <s v="LIVRE"/>
    <n v="0"/>
    <n v="0"/>
    <n v="24"/>
    <n v="0"/>
    <n v="0"/>
    <n v="943.81"/>
    <n v="0"/>
    <m/>
    <n v="1019.176668187089"/>
    <m/>
    <n v="0"/>
    <n v="147980.26554825599"/>
    <n v="0"/>
    <n v="159797.02906190039"/>
    <x v="0"/>
  </r>
  <r>
    <s v="Regular"/>
    <x v="0"/>
    <x v="1"/>
    <x v="0"/>
    <x v="0"/>
    <x v="0"/>
    <x v="0"/>
    <x v="2"/>
    <x v="1"/>
    <n v="0"/>
    <n v="0"/>
    <n v="246.649"/>
    <n v="126.17443300188999"/>
    <n v="0"/>
    <n v="0"/>
    <n v="0"/>
    <s v="LIVRE"/>
    <n v="0"/>
    <n v="0"/>
    <n v="24"/>
    <n v="0"/>
    <n v="0"/>
    <n v="943.81"/>
    <n v="0"/>
    <m/>
    <n v="1019.176668187089"/>
    <m/>
    <n v="0"/>
    <n v="113705.1010784862"/>
    <n v="0"/>
    <n v="122784.86779441599"/>
    <x v="0"/>
  </r>
  <r>
    <s v="Regular"/>
    <x v="0"/>
    <x v="1"/>
    <x v="0"/>
    <x v="0"/>
    <x v="0"/>
    <x v="0"/>
    <x v="2"/>
    <x v="2"/>
    <n v="0"/>
    <n v="0"/>
    <n v="307.983"/>
    <n v="155.59023667317001"/>
    <n v="0"/>
    <n v="0"/>
    <n v="0"/>
    <s v="LIVRE"/>
    <n v="0"/>
    <n v="0"/>
    <n v="24"/>
    <n v="0"/>
    <n v="0"/>
    <n v="943.81"/>
    <n v="0"/>
    <m/>
    <n v="1019.176668187089"/>
    <m/>
    <n v="0"/>
    <n v="143829.8139554954"/>
    <n v="0"/>
    <n v="155315.14878326221"/>
    <x v="0"/>
  </r>
  <r>
    <s v="Regular"/>
    <x v="0"/>
    <x v="1"/>
    <x v="0"/>
    <x v="0"/>
    <x v="0"/>
    <x v="0"/>
    <x v="2"/>
    <x v="3"/>
    <n v="0"/>
    <n v="0"/>
    <n v="282.05099999999999"/>
    <n v="141.56884586691001"/>
    <n v="0"/>
    <n v="0"/>
    <n v="0"/>
    <s v="LIVRE"/>
    <n v="0"/>
    <n v="0"/>
    <n v="24"/>
    <n v="0"/>
    <n v="0"/>
    <n v="943.81"/>
    <n v="0"/>
    <m/>
    <n v="1019.176668187089"/>
    <m/>
    <n v="0"/>
    <n v="132588.46189235165"/>
    <n v="0"/>
    <n v="143176.13378910776"/>
    <x v="0"/>
  </r>
  <r>
    <s v="Regular"/>
    <x v="0"/>
    <x v="1"/>
    <x v="0"/>
    <x v="0"/>
    <x v="0"/>
    <x v="0"/>
    <x v="2"/>
    <x v="4"/>
    <n v="0"/>
    <n v="0"/>
    <n v="295.66399999999999"/>
    <n v="146.53186782288"/>
    <n v="0"/>
    <n v="0"/>
    <n v="0"/>
    <s v="LIVRE"/>
    <n v="0"/>
    <n v="0"/>
    <n v="24"/>
    <n v="0"/>
    <n v="0"/>
    <n v="943.81"/>
    <n v="0"/>
    <m/>
    <n v="1019.176668187089"/>
    <m/>
    <n v="0"/>
    <n v="140752.39767008761"/>
    <n v="0"/>
    <n v="151991.98959191371"/>
    <x v="0"/>
  </r>
  <r>
    <s v="Regular"/>
    <x v="0"/>
    <x v="1"/>
    <x v="0"/>
    <x v="0"/>
    <x v="0"/>
    <x v="0"/>
    <x v="2"/>
    <x v="5"/>
    <n v="0"/>
    <n v="0"/>
    <n v="314.65300000000002"/>
    <n v="158.83230968986001"/>
    <n v="0"/>
    <n v="0"/>
    <n v="0"/>
    <s v="LIVRE"/>
    <n v="0"/>
    <n v="0"/>
    <n v="24"/>
    <n v="0"/>
    <n v="0"/>
    <n v="943.81"/>
    <n v="0"/>
    <m/>
    <n v="1019.176668187089"/>
    <m/>
    <n v="0"/>
    <n v="147065.12572161324"/>
    <n v="0"/>
    <n v="158808.81198490073"/>
    <x v="0"/>
  </r>
  <r>
    <s v="Regular"/>
    <x v="0"/>
    <x v="1"/>
    <x v="0"/>
    <x v="0"/>
    <x v="0"/>
    <x v="0"/>
    <x v="2"/>
    <x v="6"/>
    <n v="0"/>
    <n v="0"/>
    <n v="320.17700000000002"/>
    <n v="161.80249392879"/>
    <n v="0"/>
    <n v="0"/>
    <n v="0"/>
    <s v="LIVRE"/>
    <n v="0"/>
    <n v="0"/>
    <n v="24"/>
    <n v="0"/>
    <n v="0"/>
    <n v="943.81"/>
    <n v="0"/>
    <m/>
    <n v="1019.176668187089"/>
    <m/>
    <n v="0"/>
    <n v="149475.44257506871"/>
    <n v="0"/>
    <n v="161411.60142343174"/>
    <x v="0"/>
  </r>
  <r>
    <s v="Regular"/>
    <x v="0"/>
    <x v="1"/>
    <x v="0"/>
    <x v="0"/>
    <x v="0"/>
    <x v="0"/>
    <x v="2"/>
    <x v="7"/>
    <n v="0"/>
    <n v="0"/>
    <n v="336.60399999999998"/>
    <n v="170.07936000308001"/>
    <n v="0"/>
    <n v="0"/>
    <n v="0"/>
    <s v="LIVRE"/>
    <n v="0"/>
    <n v="0"/>
    <n v="24"/>
    <n v="0"/>
    <n v="0"/>
    <n v="943.81"/>
    <n v="0"/>
    <m/>
    <n v="1019.176668187089"/>
    <m/>
    <n v="0"/>
    <n v="157167.62047549302"/>
    <n v="0"/>
    <n v="169718.02776311536"/>
    <x v="0"/>
  </r>
  <r>
    <s v="Regular"/>
    <x v="0"/>
    <x v="1"/>
    <x v="0"/>
    <x v="0"/>
    <x v="0"/>
    <x v="0"/>
    <x v="2"/>
    <x v="8"/>
    <n v="0"/>
    <n v="0"/>
    <n v="364.46199999999999"/>
    <n v="217.80432808847999"/>
    <n v="0"/>
    <n v="0"/>
    <n v="0"/>
    <s v="LIVRE"/>
    <n v="0"/>
    <n v="0"/>
    <n v="24"/>
    <n v="0"/>
    <n v="0"/>
    <n v="943.81"/>
    <n v="0"/>
    <m/>
    <n v="1019.176668187089"/>
    <m/>
    <n v="0"/>
    <n v="138416.97732681167"/>
    <n v="0"/>
    <n v="149470.07742285819"/>
    <x v="0"/>
  </r>
  <r>
    <s v="Regular"/>
    <x v="0"/>
    <x v="1"/>
    <x v="0"/>
    <x v="0"/>
    <x v="0"/>
    <x v="0"/>
    <x v="2"/>
    <x v="9"/>
    <n v="0"/>
    <n v="0"/>
    <n v="369.31900000000002"/>
    <n v="160.29784858651001"/>
    <n v="0"/>
    <n v="0"/>
    <n v="0"/>
    <s v="LIVRE"/>
    <n v="0"/>
    <n v="0"/>
    <n v="24"/>
    <n v="0"/>
    <n v="0"/>
    <n v="943.81"/>
    <n v="0"/>
    <m/>
    <n v="1019.176668187089"/>
    <m/>
    <n v="0"/>
    <n v="197276.252915566"/>
    <n v="0"/>
    <n v="213029.4806782298"/>
    <x v="0"/>
  </r>
  <r>
    <s v="Regular"/>
    <x v="0"/>
    <x v="1"/>
    <x v="0"/>
    <x v="0"/>
    <x v="0"/>
    <x v="0"/>
    <x v="2"/>
    <x v="10"/>
    <n v="0"/>
    <n v="0"/>
    <n v="404.59399999999999"/>
    <n v="198.21775786786"/>
    <n v="0"/>
    <n v="0"/>
    <n v="0"/>
    <s v="LIVRE"/>
    <n v="0"/>
    <n v="0"/>
    <n v="24"/>
    <n v="0"/>
    <n v="0"/>
    <n v="943.81"/>
    <n v="0"/>
    <m/>
    <n v="1019.176668187089"/>
    <m/>
    <n v="0"/>
    <n v="194779.96108673504"/>
    <n v="0"/>
    <n v="210333.85084920638"/>
    <x v="0"/>
  </r>
  <r>
    <s v="PROJETADO"/>
    <x v="0"/>
    <x v="1"/>
    <x v="0"/>
    <x v="0"/>
    <x v="0"/>
    <x v="0"/>
    <x v="2"/>
    <x v="11"/>
    <n v="0"/>
    <n v="0"/>
    <n v="404.59399999999999"/>
    <n v="198.21775786786"/>
    <n v="0"/>
    <n v="0"/>
    <n v="0"/>
    <s v="LIVRE"/>
    <n v="0"/>
    <n v="0"/>
    <n v="24"/>
    <n v="0"/>
    <n v="0"/>
    <n v="943.81"/>
    <n v="0"/>
    <m/>
    <n v="1019.176668187089"/>
    <m/>
    <n v="0"/>
    <n v="194779.96108673504"/>
    <n v="0"/>
    <n v="210333.85084920638"/>
    <x v="0"/>
  </r>
  <r>
    <s v="Regular"/>
    <x v="0"/>
    <x v="1"/>
    <x v="2"/>
    <x v="0"/>
    <x v="1"/>
    <x v="0"/>
    <x v="0"/>
    <x v="0"/>
    <n v="0"/>
    <n v="0"/>
    <n v="98.512"/>
    <n v="98.512"/>
    <n v="98.512"/>
    <n v="98.512"/>
    <n v="0"/>
    <s v="CATIVO"/>
    <n v="0"/>
    <n v="0"/>
    <n v="25"/>
    <n v="68"/>
    <n v="0"/>
    <n v="41.903999999999996"/>
    <n v="210.2688"/>
    <m/>
    <n v="51.825114823883467"/>
    <n v="247.38363272813328"/>
    <n v="0"/>
    <n v="1035.0852863999999"/>
    <n v="0"/>
    <n v="601.54392120090358"/>
    <x v="2"/>
  </r>
  <r>
    <s v="Regular"/>
    <x v="0"/>
    <x v="1"/>
    <x v="2"/>
    <x v="0"/>
    <x v="1"/>
    <x v="0"/>
    <x v="0"/>
    <x v="1"/>
    <n v="0"/>
    <n v="0"/>
    <n v="109.238"/>
    <n v="109.238"/>
    <n v="109.238"/>
    <n v="109.238"/>
    <n v="0"/>
    <s v="CATIVO"/>
    <n v="0"/>
    <n v="0"/>
    <n v="25"/>
    <n v="68"/>
    <n v="0"/>
    <n v="41.903999999999996"/>
    <n v="210.2688"/>
    <m/>
    <n v="51.825114823883467"/>
    <n v="247.38363272813328"/>
    <n v="0"/>
    <n v="1147.7855136000001"/>
    <n v="0"/>
    <n v="667.04010540994307"/>
    <x v="2"/>
  </r>
  <r>
    <s v="Regular"/>
    <x v="0"/>
    <x v="1"/>
    <x v="2"/>
    <x v="0"/>
    <x v="1"/>
    <x v="0"/>
    <x v="0"/>
    <x v="2"/>
    <n v="0"/>
    <n v="0"/>
    <n v="116.056"/>
    <n v="116.056"/>
    <n v="116.056"/>
    <n v="116.056"/>
    <n v="0"/>
    <s v="CATIVO"/>
    <n v="0"/>
    <n v="0"/>
    <n v="25"/>
    <n v="68"/>
    <n v="0"/>
    <n v="41.903999999999996"/>
    <n v="210.2688"/>
    <m/>
    <n v="51.825114823883467"/>
    <n v="247.38363272813328"/>
    <n v="0"/>
    <n v="1219.4236031999999"/>
    <n v="0"/>
    <n v="708.6728654264665"/>
    <x v="2"/>
  </r>
  <r>
    <s v="Regular"/>
    <x v="0"/>
    <x v="1"/>
    <x v="2"/>
    <x v="0"/>
    <x v="1"/>
    <x v="0"/>
    <x v="0"/>
    <x v="3"/>
    <n v="0"/>
    <n v="0"/>
    <n v="109.06"/>
    <n v="109.06"/>
    <n v="109.06"/>
    <n v="109.06"/>
    <n v="0"/>
    <s v="CATIVO"/>
    <n v="0"/>
    <n v="0"/>
    <n v="25"/>
    <n v="68"/>
    <n v="0"/>
    <n v="41.903999999999996"/>
    <n v="210.2688"/>
    <m/>
    <n v="51.825114823883467"/>
    <n v="247.38363272813328"/>
    <n v="0"/>
    <n v="1145.9152320000001"/>
    <n v="0"/>
    <n v="665.95318383720314"/>
    <x v="2"/>
  </r>
  <r>
    <s v="Regular"/>
    <x v="0"/>
    <x v="1"/>
    <x v="2"/>
    <x v="0"/>
    <x v="1"/>
    <x v="0"/>
    <x v="0"/>
    <x v="4"/>
    <n v="0"/>
    <n v="0"/>
    <n v="105.22799999999999"/>
    <n v="105.22799999999999"/>
    <n v="105.22799999999999"/>
    <n v="105.22799999999999"/>
    <n v="0"/>
    <s v="CATIVO"/>
    <n v="0"/>
    <n v="0"/>
    <n v="25"/>
    <n v="68"/>
    <n v="0"/>
    <n v="41.903999999999996"/>
    <n v="210.2688"/>
    <m/>
    <n v="51.825114823883467"/>
    <n v="247.38363272813328"/>
    <n v="0"/>
    <n v="1105.6516415999999"/>
    <n v="0"/>
    <n v="642.55383851844124"/>
    <x v="2"/>
  </r>
  <r>
    <s v="Regular"/>
    <x v="0"/>
    <x v="1"/>
    <x v="2"/>
    <x v="0"/>
    <x v="1"/>
    <x v="0"/>
    <x v="0"/>
    <x v="5"/>
    <n v="0"/>
    <n v="0"/>
    <n v="110.968"/>
    <n v="110.968"/>
    <n v="110.968"/>
    <n v="110.968"/>
    <n v="0"/>
    <s v="CATIVO"/>
    <n v="0"/>
    <n v="0"/>
    <n v="25"/>
    <n v="68"/>
    <n v="0"/>
    <n v="41.903999999999996"/>
    <n v="210.2688"/>
    <m/>
    <n v="51.825114823883467"/>
    <n v="247.38363272813328"/>
    <n v="0"/>
    <n v="1165.9629696000002"/>
    <n v="0"/>
    <n v="677.60400608882037"/>
    <x v="2"/>
  </r>
  <r>
    <s v="Regular"/>
    <x v="0"/>
    <x v="1"/>
    <x v="2"/>
    <x v="0"/>
    <x v="1"/>
    <x v="0"/>
    <x v="0"/>
    <x v="6"/>
    <n v="0"/>
    <n v="0"/>
    <n v="107.146"/>
    <n v="107.146"/>
    <n v="107.146"/>
    <n v="107.146"/>
    <n v="0"/>
    <s v="CATIVO"/>
    <n v="0"/>
    <n v="0"/>
    <n v="25"/>
    <n v="68"/>
    <n v="0"/>
    <n v="41.903999999999996"/>
    <n v="210.2688"/>
    <m/>
    <n v="51.825114823883467"/>
    <n v="247.38363272813328"/>
    <n v="0"/>
    <n v="1125.8044512000001"/>
    <n v="0"/>
    <n v="654.26572377976311"/>
    <x v="2"/>
  </r>
  <r>
    <s v="Regular"/>
    <x v="0"/>
    <x v="1"/>
    <x v="2"/>
    <x v="0"/>
    <x v="1"/>
    <x v="0"/>
    <x v="0"/>
    <x v="7"/>
    <n v="0"/>
    <n v="0"/>
    <n v="105.88"/>
    <n v="105.88"/>
    <n v="105.88"/>
    <n v="105.88"/>
    <n v="0"/>
    <s v="CATIVO"/>
    <n v="0"/>
    <n v="0"/>
    <n v="25"/>
    <n v="68"/>
    <n v="0"/>
    <n v="41.903999999999996"/>
    <n v="210.2688"/>
    <m/>
    <n v="51.825114823883467"/>
    <n v="247.38363272813328"/>
    <n v="0"/>
    <n v="1112.502336"/>
    <n v="0"/>
    <n v="646.53514675117412"/>
    <x v="2"/>
  </r>
  <r>
    <s v="Regular"/>
    <x v="0"/>
    <x v="1"/>
    <x v="2"/>
    <x v="0"/>
    <x v="1"/>
    <x v="0"/>
    <x v="0"/>
    <x v="8"/>
    <n v="0"/>
    <n v="0"/>
    <n v="101.968"/>
    <n v="101.968"/>
    <n v="101.968"/>
    <n v="101.968"/>
    <n v="0"/>
    <s v="CATIVO"/>
    <n v="0"/>
    <n v="0"/>
    <n v="25"/>
    <n v="68"/>
    <n v="0"/>
    <n v="41.903999999999996"/>
    <n v="210.2688"/>
    <m/>
    <n v="51.825114823883467"/>
    <n v="247.38363272813328"/>
    <n v="0"/>
    <n v="1071.3981696000001"/>
    <n v="0"/>
    <n v="622.64729735477636"/>
    <x v="2"/>
  </r>
  <r>
    <s v="Regular"/>
    <x v="0"/>
    <x v="1"/>
    <x v="2"/>
    <x v="0"/>
    <x v="1"/>
    <x v="0"/>
    <x v="0"/>
    <x v="9"/>
    <n v="0"/>
    <n v="0"/>
    <n v="98.575999999999993"/>
    <n v="98.575999999999993"/>
    <n v="98.575999999999993"/>
    <n v="98.575999999999993"/>
    <n v="0"/>
    <s v="CATIVO"/>
    <n v="0"/>
    <n v="0"/>
    <n v="25"/>
    <n v="68"/>
    <n v="0"/>
    <n v="41.903999999999996"/>
    <n v="210.2688"/>
    <m/>
    <n v="51.825114823883467"/>
    <n v="247.38363272813328"/>
    <n v="0"/>
    <n v="1035.7577472"/>
    <n v="0"/>
    <n v="601.93472446301223"/>
    <x v="2"/>
  </r>
  <r>
    <s v="Regular"/>
    <x v="0"/>
    <x v="1"/>
    <x v="2"/>
    <x v="0"/>
    <x v="1"/>
    <x v="0"/>
    <x v="0"/>
    <x v="10"/>
    <n v="0"/>
    <n v="0"/>
    <n v="113.104"/>
    <n v="113.104"/>
    <n v="113.104"/>
    <n v="113.104"/>
    <n v="0"/>
    <s v="CATIVO"/>
    <n v="0"/>
    <n v="0"/>
    <n v="25"/>
    <n v="68"/>
    <n v="0"/>
    <n v="41.903999999999996"/>
    <n v="210.2688"/>
    <m/>
    <n v="51.825114823883467"/>
    <n v="247.38363272813328"/>
    <n v="0"/>
    <n v="1188.4063488000002"/>
    <n v="0"/>
    <n v="690.64706496170004"/>
    <x v="2"/>
  </r>
  <r>
    <s v="PROJETADO"/>
    <x v="0"/>
    <x v="1"/>
    <x v="2"/>
    <x v="0"/>
    <x v="1"/>
    <x v="0"/>
    <x v="0"/>
    <x v="11"/>
    <n v="0"/>
    <n v="0"/>
    <n v="113.104"/>
    <n v="113.104"/>
    <n v="113.104"/>
    <n v="113.104"/>
    <n v="0"/>
    <s v="CATIVO"/>
    <n v="0"/>
    <n v="0"/>
    <n v="25"/>
    <n v="68"/>
    <n v="0"/>
    <n v="41.903999999999996"/>
    <n v="210.2688"/>
    <m/>
    <n v="51.825114823883467"/>
    <n v="247.38363272813328"/>
    <n v="0"/>
    <n v="1188.4063488000002"/>
    <n v="0"/>
    <n v="690.64706496170004"/>
    <x v="2"/>
  </r>
  <r>
    <s v="Regular"/>
    <x v="0"/>
    <x v="1"/>
    <x v="2"/>
    <x v="0"/>
    <x v="1"/>
    <x v="0"/>
    <x v="1"/>
    <x v="0"/>
    <n v="374"/>
    <n v="374"/>
    <n v="0"/>
    <n v="0"/>
    <n v="0"/>
    <n v="0"/>
    <n v="3"/>
    <s v="CATIVO"/>
    <n v="0"/>
    <n v="23"/>
    <n v="0"/>
    <n v="0"/>
    <n v="17.7408"/>
    <n v="0"/>
    <n v="0"/>
    <n v="19.152593624790423"/>
    <m/>
    <m/>
    <n v="276.46079999999995"/>
    <n v="0"/>
    <n v="146.18510236064529"/>
    <n v="0"/>
    <x v="2"/>
  </r>
  <r>
    <s v="Regular"/>
    <x v="0"/>
    <x v="1"/>
    <x v="2"/>
    <x v="0"/>
    <x v="1"/>
    <x v="0"/>
    <x v="1"/>
    <x v="1"/>
    <n v="367"/>
    <n v="367"/>
    <n v="0"/>
    <n v="0"/>
    <n v="0"/>
    <n v="0"/>
    <n v="3"/>
    <s v="CATIVO"/>
    <n v="0"/>
    <n v="23"/>
    <n v="0"/>
    <n v="0"/>
    <n v="17.7408"/>
    <n v="0"/>
    <n v="0"/>
    <n v="19.152593624790423"/>
    <m/>
    <m/>
    <n v="271.28639999999996"/>
    <n v="0"/>
    <n v="143.44901755710379"/>
    <n v="0"/>
    <x v="2"/>
  </r>
  <r>
    <s v="Regular"/>
    <x v="0"/>
    <x v="1"/>
    <x v="2"/>
    <x v="0"/>
    <x v="1"/>
    <x v="0"/>
    <x v="1"/>
    <x v="2"/>
    <n v="402"/>
    <n v="402"/>
    <n v="0"/>
    <n v="0"/>
    <n v="0"/>
    <n v="0"/>
    <n v="3"/>
    <s v="CATIVO"/>
    <n v="0"/>
    <n v="23"/>
    <n v="0"/>
    <n v="0"/>
    <n v="17.7408"/>
    <n v="0"/>
    <n v="0"/>
    <n v="19.152593624790423"/>
    <m/>
    <m/>
    <n v="297.15840000000003"/>
    <n v="0"/>
    <n v="157.12944157481124"/>
    <n v="0"/>
    <x v="2"/>
  </r>
  <r>
    <s v="Regular"/>
    <x v="0"/>
    <x v="1"/>
    <x v="2"/>
    <x v="0"/>
    <x v="1"/>
    <x v="0"/>
    <x v="1"/>
    <x v="3"/>
    <n v="371"/>
    <n v="371"/>
    <n v="0"/>
    <n v="0"/>
    <n v="0"/>
    <n v="0"/>
    <n v="3"/>
    <s v="CATIVO"/>
    <n v="0"/>
    <n v="23"/>
    <n v="0"/>
    <n v="0"/>
    <n v="17.7408"/>
    <n v="0"/>
    <n v="0"/>
    <n v="19.152593624790423"/>
    <m/>
    <m/>
    <n v="274.24320000000006"/>
    <n v="0"/>
    <n v="145.01249458769894"/>
    <n v="0"/>
    <x v="2"/>
  </r>
  <r>
    <s v="Regular"/>
    <x v="0"/>
    <x v="1"/>
    <x v="2"/>
    <x v="0"/>
    <x v="1"/>
    <x v="0"/>
    <x v="1"/>
    <x v="4"/>
    <n v="367"/>
    <n v="367"/>
    <n v="0"/>
    <n v="0"/>
    <n v="0"/>
    <n v="0"/>
    <n v="3"/>
    <s v="CATIVO"/>
    <n v="0"/>
    <n v="23"/>
    <n v="0"/>
    <n v="0"/>
    <n v="17.7408"/>
    <n v="0"/>
    <n v="0"/>
    <n v="19.152593624790423"/>
    <m/>
    <m/>
    <n v="271.28639999999996"/>
    <n v="0"/>
    <n v="143.44901755710379"/>
    <n v="0"/>
    <x v="2"/>
  </r>
  <r>
    <s v="Regular"/>
    <x v="0"/>
    <x v="1"/>
    <x v="2"/>
    <x v="0"/>
    <x v="1"/>
    <x v="0"/>
    <x v="1"/>
    <x v="5"/>
    <n v="377"/>
    <n v="377"/>
    <n v="0"/>
    <n v="0"/>
    <n v="0"/>
    <n v="0"/>
    <n v="3"/>
    <s v="CATIVO"/>
    <n v="0"/>
    <n v="23"/>
    <n v="0"/>
    <n v="0"/>
    <n v="17.7408"/>
    <n v="0"/>
    <n v="0"/>
    <n v="19.152593624790423"/>
    <m/>
    <m/>
    <n v="278.67840000000001"/>
    <n v="0"/>
    <n v="147.35771013359164"/>
    <n v="0"/>
    <x v="2"/>
  </r>
  <r>
    <s v="Regular"/>
    <x v="0"/>
    <x v="1"/>
    <x v="2"/>
    <x v="0"/>
    <x v="1"/>
    <x v="0"/>
    <x v="1"/>
    <x v="6"/>
    <n v="374"/>
    <n v="374"/>
    <n v="0"/>
    <n v="0"/>
    <n v="0"/>
    <n v="0"/>
    <n v="3"/>
    <s v="CATIVO"/>
    <n v="0"/>
    <n v="23"/>
    <n v="0"/>
    <n v="0"/>
    <n v="17.7408"/>
    <n v="0"/>
    <n v="0"/>
    <n v="19.152593624790423"/>
    <m/>
    <m/>
    <n v="276.46079999999995"/>
    <n v="0"/>
    <n v="146.18510236064529"/>
    <n v="0"/>
    <x v="2"/>
  </r>
  <r>
    <s v="Regular"/>
    <x v="0"/>
    <x v="1"/>
    <x v="2"/>
    <x v="0"/>
    <x v="1"/>
    <x v="0"/>
    <x v="1"/>
    <x v="7"/>
    <n v="382"/>
    <n v="382"/>
    <n v="0"/>
    <n v="0"/>
    <n v="0"/>
    <n v="0"/>
    <n v="3"/>
    <s v="CATIVO"/>
    <n v="0"/>
    <n v="23"/>
    <n v="0"/>
    <n v="0"/>
    <n v="17.7408"/>
    <n v="0"/>
    <n v="0"/>
    <n v="19.152593624790423"/>
    <m/>
    <m/>
    <n v="282.37440000000004"/>
    <n v="0"/>
    <n v="149.31205642183554"/>
    <n v="0"/>
    <x v="2"/>
  </r>
  <r>
    <s v="Regular"/>
    <x v="0"/>
    <x v="1"/>
    <x v="2"/>
    <x v="0"/>
    <x v="1"/>
    <x v="0"/>
    <x v="1"/>
    <x v="8"/>
    <n v="426"/>
    <n v="426"/>
    <n v="0"/>
    <n v="0"/>
    <n v="0"/>
    <n v="0"/>
    <n v="3"/>
    <s v="CATIVO"/>
    <n v="0"/>
    <n v="23"/>
    <n v="0"/>
    <n v="0"/>
    <n v="17.7408"/>
    <n v="0"/>
    <n v="0"/>
    <n v="19.152593624790423"/>
    <m/>
    <m/>
    <n v="314.89920000000001"/>
    <n v="0"/>
    <n v="166.51030375838204"/>
    <n v="0"/>
    <x v="2"/>
  </r>
  <r>
    <s v="Regular"/>
    <x v="0"/>
    <x v="1"/>
    <x v="2"/>
    <x v="0"/>
    <x v="1"/>
    <x v="0"/>
    <x v="1"/>
    <x v="9"/>
    <n v="399"/>
    <n v="399"/>
    <n v="0"/>
    <n v="0"/>
    <n v="0"/>
    <n v="0"/>
    <n v="3"/>
    <s v="CATIVO"/>
    <n v="0"/>
    <n v="23"/>
    <n v="0"/>
    <n v="0"/>
    <n v="17.7408"/>
    <n v="0"/>
    <n v="0"/>
    <n v="19.152593624790423"/>
    <m/>
    <m/>
    <n v="294.94080000000002"/>
    <n v="0"/>
    <n v="155.95683380186489"/>
    <n v="0"/>
    <x v="2"/>
  </r>
  <r>
    <s v="Regular"/>
    <x v="0"/>
    <x v="1"/>
    <x v="2"/>
    <x v="0"/>
    <x v="1"/>
    <x v="0"/>
    <x v="1"/>
    <x v="10"/>
    <n v="408"/>
    <n v="408"/>
    <n v="0"/>
    <n v="0"/>
    <n v="0"/>
    <n v="0"/>
    <n v="3"/>
    <s v="CATIVO"/>
    <n v="0"/>
    <n v="23"/>
    <n v="0"/>
    <n v="0"/>
    <n v="17.7408"/>
    <n v="0"/>
    <n v="0"/>
    <n v="19.152593624790423"/>
    <m/>
    <m/>
    <n v="301.59359999999998"/>
    <n v="0"/>
    <n v="159.47465712070394"/>
    <n v="0"/>
    <x v="2"/>
  </r>
  <r>
    <s v="PROJETADO"/>
    <x v="0"/>
    <x v="1"/>
    <x v="2"/>
    <x v="0"/>
    <x v="1"/>
    <x v="0"/>
    <x v="1"/>
    <x v="11"/>
    <n v="408"/>
    <n v="408"/>
    <n v="0"/>
    <n v="0"/>
    <n v="0"/>
    <n v="0"/>
    <n v="3"/>
    <s v="CATIVO"/>
    <n v="0"/>
    <n v="23"/>
    <n v="0"/>
    <n v="0"/>
    <n v="17.7408"/>
    <n v="0"/>
    <n v="0"/>
    <n v="19.152593624790423"/>
    <m/>
    <m/>
    <n v="301.59359999999998"/>
    <n v="0"/>
    <n v="159.47465712070394"/>
    <n v="0"/>
    <x v="2"/>
  </r>
  <r>
    <s v="Regular"/>
    <x v="0"/>
    <x v="1"/>
    <x v="2"/>
    <x v="0"/>
    <x v="1"/>
    <x v="0"/>
    <x v="2"/>
    <x v="0"/>
    <n v="0"/>
    <n v="0"/>
    <n v="7.9859999999999998"/>
    <n v="7.9859999999999998"/>
    <n v="7.9859999999999998"/>
    <n v="7.9859999999999998"/>
    <n v="0"/>
    <s v="CATIVO"/>
    <n v="0"/>
    <n v="0"/>
    <n v="24"/>
    <n v="67"/>
    <n v="0"/>
    <n v="906.05759999999987"/>
    <n v="351.93600000000004"/>
    <m/>
    <n v="998.79313482334726"/>
    <n v="399.42590391673639"/>
    <n v="0"/>
    <n v="418.59737039999999"/>
    <n v="0"/>
    <n v="227.88116823221037"/>
    <x v="2"/>
  </r>
  <r>
    <s v="Regular"/>
    <x v="0"/>
    <x v="1"/>
    <x v="2"/>
    <x v="0"/>
    <x v="1"/>
    <x v="0"/>
    <x v="2"/>
    <x v="1"/>
    <n v="0"/>
    <n v="0"/>
    <n v="9.5820000000000007"/>
    <n v="9.5820000000000007"/>
    <n v="9.5820000000000007"/>
    <n v="9.5820000000000007"/>
    <n v="0"/>
    <s v="CATIVO"/>
    <n v="0"/>
    <n v="0"/>
    <n v="24"/>
    <n v="67"/>
    <n v="0"/>
    <n v="906.05759999999987"/>
    <n v="351.93600000000004"/>
    <m/>
    <n v="998.79313482334726"/>
    <n v="399.42590391673639"/>
    <n v="0"/>
    <n v="502.2539448"/>
    <n v="0"/>
    <n v="273.42315977974454"/>
    <x v="2"/>
  </r>
  <r>
    <s v="Regular"/>
    <x v="0"/>
    <x v="1"/>
    <x v="2"/>
    <x v="0"/>
    <x v="1"/>
    <x v="0"/>
    <x v="2"/>
    <x v="2"/>
    <n v="0"/>
    <n v="0"/>
    <n v="8.8819999999999997"/>
    <n v="8.8819999999999997"/>
    <n v="8.8819999999999997"/>
    <n v="8.8819999999999997"/>
    <n v="0"/>
    <s v="CATIVO"/>
    <n v="0"/>
    <n v="0"/>
    <n v="24"/>
    <n v="67"/>
    <n v="0"/>
    <n v="906.05759999999987"/>
    <n v="351.93600000000004"/>
    <m/>
    <n v="998.79313482334726"/>
    <n v="399.42590391673639"/>
    <n v="0"/>
    <n v="465.56246479999999"/>
    <n v="0"/>
    <n v="253.44860208345762"/>
    <x v="2"/>
  </r>
  <r>
    <s v="Regular"/>
    <x v="0"/>
    <x v="1"/>
    <x v="2"/>
    <x v="0"/>
    <x v="1"/>
    <x v="0"/>
    <x v="2"/>
    <x v="3"/>
    <n v="0"/>
    <n v="0"/>
    <n v="8.9239999999999995"/>
    <n v="8.9239999999999995"/>
    <n v="8.9239999999999995"/>
    <n v="8.9239999999999995"/>
    <n v="0"/>
    <s v="CATIVO"/>
    <n v="0"/>
    <n v="0"/>
    <n v="24"/>
    <n v="67"/>
    <n v="0"/>
    <n v="906.05759999999987"/>
    <n v="351.93600000000004"/>
    <m/>
    <n v="998.79313482334726"/>
    <n v="399.42590391673639"/>
    <n v="0"/>
    <n v="467.76395359999992"/>
    <n v="0"/>
    <n v="254.64707554523483"/>
    <x v="2"/>
  </r>
  <r>
    <s v="Regular"/>
    <x v="0"/>
    <x v="1"/>
    <x v="2"/>
    <x v="0"/>
    <x v="1"/>
    <x v="0"/>
    <x v="2"/>
    <x v="4"/>
    <n v="0"/>
    <n v="0"/>
    <n v="8.3420000000000005"/>
    <n v="8.3420000000000005"/>
    <n v="8.3420000000000005"/>
    <n v="8.3420000000000005"/>
    <n v="0"/>
    <s v="CATIVO"/>
    <n v="0"/>
    <n v="0"/>
    <n v="24"/>
    <n v="67"/>
    <n v="0"/>
    <n v="906.05759999999987"/>
    <n v="351.93600000000004"/>
    <m/>
    <n v="998.79313482334726"/>
    <n v="399.42590391673639"/>
    <n v="0"/>
    <n v="437.25760880000001"/>
    <n v="0"/>
    <n v="238.03965757489345"/>
    <x v="2"/>
  </r>
  <r>
    <s v="Regular"/>
    <x v="0"/>
    <x v="1"/>
    <x v="2"/>
    <x v="0"/>
    <x v="1"/>
    <x v="0"/>
    <x v="2"/>
    <x v="5"/>
    <n v="0"/>
    <n v="0"/>
    <n v="8.1620000000000008"/>
    <n v="8.1620000000000008"/>
    <n v="8.1620000000000008"/>
    <n v="8.1620000000000008"/>
    <n v="0"/>
    <s v="CATIVO"/>
    <n v="0"/>
    <n v="0"/>
    <n v="24"/>
    <n v="67"/>
    <n v="0"/>
    <n v="906.05759999999987"/>
    <n v="351.93600000000004"/>
    <m/>
    <n v="998.79313482334726"/>
    <n v="399.42590391673639"/>
    <n v="0"/>
    <n v="427.82265680000006"/>
    <n v="0"/>
    <n v="232.90334273870542"/>
    <x v="2"/>
  </r>
  <r>
    <s v="Regular"/>
    <x v="0"/>
    <x v="1"/>
    <x v="2"/>
    <x v="0"/>
    <x v="1"/>
    <x v="0"/>
    <x v="2"/>
    <x v="6"/>
    <n v="0"/>
    <n v="0"/>
    <n v="7.782"/>
    <n v="7.782"/>
    <n v="7.782"/>
    <n v="7.782"/>
    <n v="0"/>
    <s v="CATIVO"/>
    <n v="0"/>
    <n v="0"/>
    <n v="24"/>
    <n v="67"/>
    <n v="0"/>
    <n v="906.05759999999987"/>
    <n v="351.93600000000004"/>
    <m/>
    <n v="998.79313482334726"/>
    <n v="399.42590391673639"/>
    <n v="0"/>
    <n v="407.90442479999996"/>
    <n v="0"/>
    <n v="222.0600114178639"/>
    <x v="2"/>
  </r>
  <r>
    <s v="Regular"/>
    <x v="0"/>
    <x v="1"/>
    <x v="2"/>
    <x v="0"/>
    <x v="1"/>
    <x v="0"/>
    <x v="2"/>
    <x v="7"/>
    <n v="0"/>
    <n v="0"/>
    <n v="8.4819999999999993"/>
    <n v="8.4819999999999993"/>
    <n v="8.4819999999999993"/>
    <n v="8.4819999999999993"/>
    <n v="0"/>
    <s v="CATIVO"/>
    <n v="0"/>
    <n v="0"/>
    <n v="24"/>
    <n v="67"/>
    <n v="0"/>
    <n v="906.05759999999987"/>
    <n v="351.93600000000004"/>
    <m/>
    <n v="998.79313482334726"/>
    <n v="399.42590391673639"/>
    <n v="0"/>
    <n v="444.59590480000003"/>
    <n v="0"/>
    <n v="242.03456911415077"/>
    <x v="2"/>
  </r>
  <r>
    <s v="Regular"/>
    <x v="0"/>
    <x v="1"/>
    <x v="2"/>
    <x v="0"/>
    <x v="1"/>
    <x v="0"/>
    <x v="2"/>
    <x v="8"/>
    <n v="0"/>
    <n v="0"/>
    <n v="7.4420000000000002"/>
    <n v="7.4420000000000002"/>
    <n v="7.4420000000000002"/>
    <n v="7.4420000000000002"/>
    <n v="0"/>
    <s v="CATIVO"/>
    <n v="0"/>
    <n v="0"/>
    <n v="24"/>
    <n v="67"/>
    <n v="0"/>
    <n v="906.05759999999987"/>
    <n v="351.93600000000004"/>
    <m/>
    <n v="998.79313482334726"/>
    <n v="399.42590391673639"/>
    <n v="0"/>
    <n v="390.08284879999997"/>
    <n v="0"/>
    <n v="212.35808339395311"/>
    <x v="2"/>
  </r>
  <r>
    <s v="Regular"/>
    <x v="0"/>
    <x v="1"/>
    <x v="2"/>
    <x v="0"/>
    <x v="1"/>
    <x v="0"/>
    <x v="2"/>
    <x v="9"/>
    <n v="0"/>
    <n v="0"/>
    <n v="6.782"/>
    <n v="6.782"/>
    <n v="6.782"/>
    <n v="6.782"/>
    <n v="0"/>
    <s v="CATIVO"/>
    <n v="0"/>
    <n v="0"/>
    <n v="24"/>
    <n v="67"/>
    <n v="0"/>
    <n v="906.05759999999987"/>
    <n v="351.93600000000004"/>
    <m/>
    <n v="998.79313482334726"/>
    <n v="399.42590391673639"/>
    <n v="0"/>
    <n v="355.48802479999995"/>
    <n v="0"/>
    <n v="193.52492899459691"/>
    <x v="2"/>
  </r>
  <r>
    <s v="Regular"/>
    <x v="0"/>
    <x v="1"/>
    <x v="2"/>
    <x v="0"/>
    <x v="1"/>
    <x v="0"/>
    <x v="2"/>
    <x v="10"/>
    <n v="0"/>
    <n v="0"/>
    <n v="9.6020000000000003"/>
    <n v="9.6020000000000003"/>
    <n v="9.6020000000000003"/>
    <n v="9.6020000000000003"/>
    <n v="0"/>
    <s v="CATIVO"/>
    <n v="0"/>
    <n v="0"/>
    <n v="24"/>
    <n v="67"/>
    <n v="0"/>
    <n v="906.05759999999987"/>
    <n v="351.93600000000004"/>
    <m/>
    <n v="998.79313482334726"/>
    <n v="399.42590391673639"/>
    <n v="0"/>
    <n v="503.30227280000003"/>
    <n v="0"/>
    <n v="273.99386142820987"/>
    <x v="2"/>
  </r>
  <r>
    <s v="PROJETADO"/>
    <x v="0"/>
    <x v="1"/>
    <x v="2"/>
    <x v="0"/>
    <x v="1"/>
    <x v="0"/>
    <x v="2"/>
    <x v="11"/>
    <n v="0"/>
    <n v="0"/>
    <n v="9.6020000000000003"/>
    <n v="9.6020000000000003"/>
    <n v="9.6020000000000003"/>
    <n v="9.6020000000000003"/>
    <n v="0"/>
    <s v="CATIVO"/>
    <n v="0"/>
    <n v="0"/>
    <n v="24"/>
    <n v="67"/>
    <n v="0"/>
    <n v="906.05759999999987"/>
    <n v="351.93600000000004"/>
    <m/>
    <n v="998.79313482334726"/>
    <n v="399.42590391673639"/>
    <n v="0"/>
    <n v="503.30227280000003"/>
    <n v="0"/>
    <n v="273.99386142820987"/>
    <x v="2"/>
  </r>
  <r>
    <s v="Regular"/>
    <x v="0"/>
    <x v="1"/>
    <x v="1"/>
    <x v="1"/>
    <x v="1"/>
    <x v="0"/>
    <x v="0"/>
    <x v="0"/>
    <n v="0"/>
    <n v="0"/>
    <n v="165.36600000000001"/>
    <n v="165.36600000000001"/>
    <n v="165.36600000000001"/>
    <n v="165.36600000000001"/>
    <n v="0"/>
    <s v="CATIVO"/>
    <n v="0"/>
    <n v="0"/>
    <n v="25"/>
    <n v="68"/>
    <n v="0"/>
    <n v="41.030999999999999"/>
    <n v="205.88819999999998"/>
    <m/>
    <n v="51.296287121598944"/>
    <n v="244.85930994519313"/>
    <n v="0"/>
    <n v="2606.3004528000001"/>
    <n v="0"/>
    <n v="1514.6618494189838"/>
    <x v="1"/>
  </r>
  <r>
    <s v="Regular"/>
    <x v="0"/>
    <x v="1"/>
    <x v="1"/>
    <x v="1"/>
    <x v="1"/>
    <x v="0"/>
    <x v="0"/>
    <x v="1"/>
    <n v="0"/>
    <n v="0"/>
    <n v="182.43700000000001"/>
    <n v="182.43700000000001"/>
    <n v="182.43700000000001"/>
    <n v="182.43700000000001"/>
    <n v="0"/>
    <s v="CATIVO"/>
    <n v="0"/>
    <n v="0"/>
    <n v="25"/>
    <n v="68"/>
    <n v="0"/>
    <n v="41.030999999999999"/>
    <n v="205.88819999999998"/>
    <m/>
    <n v="51.296287121598944"/>
    <n v="244.85930994519313"/>
    <n v="0"/>
    <n v="2875.3530696000003"/>
    <n v="0"/>
    <n v="1671.0228452187941"/>
    <x v="1"/>
  </r>
  <r>
    <s v="Regular"/>
    <x v="0"/>
    <x v="1"/>
    <x v="1"/>
    <x v="1"/>
    <x v="1"/>
    <x v="0"/>
    <x v="0"/>
    <x v="2"/>
    <n v="0"/>
    <n v="0"/>
    <n v="187.5"/>
    <n v="187.5"/>
    <n v="187.5"/>
    <n v="187.5"/>
    <n v="0"/>
    <s v="CATIVO"/>
    <n v="0"/>
    <n v="0"/>
    <n v="25"/>
    <n v="68"/>
    <n v="0"/>
    <n v="41.030999999999999"/>
    <n v="205.88819999999998"/>
    <m/>
    <n v="51.296287121598944"/>
    <n v="244.85930994519313"/>
    <n v="0"/>
    <n v="2955.15"/>
    <n v="0"/>
    <n v="1717.3971479388717"/>
    <x v="1"/>
  </r>
  <r>
    <s v="Regular"/>
    <x v="0"/>
    <x v="1"/>
    <x v="1"/>
    <x v="1"/>
    <x v="1"/>
    <x v="0"/>
    <x v="0"/>
    <x v="3"/>
    <n v="0"/>
    <n v="0"/>
    <n v="178.53899999999999"/>
    <n v="178.53899999999999"/>
    <n v="178.53899999999999"/>
    <n v="178.53899999999999"/>
    <n v="0"/>
    <s v="CATIVO"/>
    <n v="0"/>
    <n v="0"/>
    <n v="25"/>
    <n v="68"/>
    <n v="0"/>
    <n v="41.030999999999999"/>
    <n v="205.88819999999998"/>
    <m/>
    <n v="51.296287121598944"/>
    <n v="244.85930994519313"/>
    <n v="0"/>
    <n v="2813.9174711999999"/>
    <n v="0"/>
    <n v="1635.3193034445769"/>
    <x v="1"/>
  </r>
  <r>
    <s v="Regular"/>
    <x v="0"/>
    <x v="1"/>
    <x v="1"/>
    <x v="1"/>
    <x v="1"/>
    <x v="0"/>
    <x v="0"/>
    <x v="4"/>
    <n v="0"/>
    <n v="0"/>
    <n v="155.35400000000001"/>
    <n v="155.35400000000001"/>
    <n v="155.35400000000001"/>
    <n v="155.35400000000001"/>
    <n v="0"/>
    <s v="CATIVO"/>
    <n v="0"/>
    <n v="0"/>
    <n v="25"/>
    <n v="68"/>
    <n v="0"/>
    <n v="41.030999999999999"/>
    <n v="205.88819999999998"/>
    <m/>
    <n v="51.296287121598944"/>
    <n v="244.85930994519313"/>
    <n v="0"/>
    <n v="2448.5033232000005"/>
    <n v="0"/>
    <n v="1422.9574214447759"/>
    <x v="1"/>
  </r>
  <r>
    <s v="Regular"/>
    <x v="0"/>
    <x v="1"/>
    <x v="1"/>
    <x v="1"/>
    <x v="1"/>
    <x v="0"/>
    <x v="0"/>
    <x v="5"/>
    <n v="0"/>
    <n v="0"/>
    <n v="177.529"/>
    <n v="177.529"/>
    <n v="177.529"/>
    <n v="177.529"/>
    <n v="0"/>
    <s v="CATIVO"/>
    <n v="0"/>
    <n v="0"/>
    <n v="25"/>
    <n v="68"/>
    <n v="0"/>
    <n v="41.030999999999999"/>
    <n v="205.88819999999998"/>
    <m/>
    <n v="51.296287121598944"/>
    <n v="244.85930994519313"/>
    <n v="0"/>
    <n v="2797.9990631999999"/>
    <n v="0"/>
    <n v="1626.0682574743466"/>
    <x v="1"/>
  </r>
  <r>
    <s v="Regular"/>
    <x v="0"/>
    <x v="1"/>
    <x v="1"/>
    <x v="1"/>
    <x v="1"/>
    <x v="0"/>
    <x v="0"/>
    <x v="6"/>
    <n v="0"/>
    <n v="0"/>
    <n v="175.899"/>
    <n v="175.899"/>
    <n v="175.899"/>
    <n v="175.899"/>
    <n v="0"/>
    <s v="CATIVO"/>
    <n v="0"/>
    <n v="0"/>
    <n v="25"/>
    <n v="68"/>
    <n v="0"/>
    <n v="41.030999999999999"/>
    <n v="205.88819999999998"/>
    <m/>
    <n v="51.296287121598944"/>
    <n v="244.85930994519313"/>
    <n v="0"/>
    <n v="2772.3089591999997"/>
    <n v="0"/>
    <n v="1611.1383516015978"/>
    <x v="1"/>
  </r>
  <r>
    <s v="Regular"/>
    <x v="0"/>
    <x v="1"/>
    <x v="1"/>
    <x v="1"/>
    <x v="1"/>
    <x v="0"/>
    <x v="0"/>
    <x v="7"/>
    <n v="0"/>
    <n v="0"/>
    <n v="169.065"/>
    <n v="169.065"/>
    <n v="169.065"/>
    <n v="169.065"/>
    <n v="0"/>
    <s v="CATIVO"/>
    <n v="0"/>
    <n v="0"/>
    <n v="25"/>
    <n v="68"/>
    <n v="0"/>
    <n v="41.030999999999999"/>
    <n v="205.88819999999998"/>
    <m/>
    <n v="51.296287121598944"/>
    <n v="244.85930994519313"/>
    <n v="0"/>
    <n v="2664.5996519999999"/>
    <n v="0"/>
    <n v="1548.5426603535218"/>
    <x v="1"/>
  </r>
  <r>
    <s v="Regular"/>
    <x v="0"/>
    <x v="1"/>
    <x v="1"/>
    <x v="1"/>
    <x v="1"/>
    <x v="0"/>
    <x v="0"/>
    <x v="8"/>
    <n v="0"/>
    <n v="0"/>
    <n v="150.64099999999999"/>
    <n v="150.64099999999999"/>
    <n v="150.64099999999999"/>
    <n v="150.64099999999999"/>
    <n v="0"/>
    <s v="CATIVO"/>
    <n v="0"/>
    <n v="0"/>
    <n v="25"/>
    <n v="68"/>
    <n v="0"/>
    <n v="41.030999999999999"/>
    <n v="205.88819999999998"/>
    <m/>
    <n v="51.296287121598944"/>
    <n v="244.85930994519313"/>
    <n v="0"/>
    <n v="2374.2226728000001"/>
    <n v="0"/>
    <n v="1379.7889267341843"/>
    <x v="1"/>
  </r>
  <r>
    <s v="Regular"/>
    <x v="0"/>
    <x v="1"/>
    <x v="1"/>
    <x v="1"/>
    <x v="1"/>
    <x v="0"/>
    <x v="0"/>
    <x v="9"/>
    <n v="0"/>
    <n v="0"/>
    <n v="152.87100000000001"/>
    <n v="152.87100000000001"/>
    <n v="152.87100000000001"/>
    <n v="152.87100000000001"/>
    <n v="0"/>
    <s v="CATIVO"/>
    <n v="0"/>
    <n v="0"/>
    <n v="25"/>
    <n v="68"/>
    <n v="0"/>
    <n v="41.030999999999999"/>
    <n v="205.88819999999998"/>
    <m/>
    <n v="51.296287121598944"/>
    <n v="244.85930994519313"/>
    <n v="0"/>
    <n v="2409.3692568000001"/>
    <n v="0"/>
    <n v="1400.2145034803375"/>
    <x v="1"/>
  </r>
  <r>
    <s v="Regular"/>
    <x v="0"/>
    <x v="1"/>
    <x v="1"/>
    <x v="1"/>
    <x v="1"/>
    <x v="0"/>
    <x v="0"/>
    <x v="10"/>
    <n v="0"/>
    <n v="0"/>
    <n v="174.13800000000001"/>
    <n v="174.13800000000001"/>
    <n v="174.13800000000001"/>
    <n v="174.13800000000001"/>
    <n v="0"/>
    <s v="CATIVO"/>
    <n v="0"/>
    <n v="0"/>
    <n v="25"/>
    <n v="68"/>
    <n v="0"/>
    <n v="41.030999999999999"/>
    <n v="205.88819999999998"/>
    <m/>
    <n v="51.296287121598944"/>
    <n v="244.85930994519313"/>
    <n v="0"/>
    <n v="2744.5541904000002"/>
    <n v="0"/>
    <n v="1595.008557588156"/>
    <x v="1"/>
  </r>
  <r>
    <s v="PROJETADO"/>
    <x v="0"/>
    <x v="1"/>
    <x v="1"/>
    <x v="1"/>
    <x v="1"/>
    <x v="0"/>
    <x v="0"/>
    <x v="11"/>
    <n v="0"/>
    <n v="0"/>
    <n v="174.13800000000001"/>
    <n v="174.13800000000001"/>
    <n v="174.13800000000001"/>
    <n v="174.13800000000001"/>
    <n v="0"/>
    <s v="CATIVO"/>
    <n v="0"/>
    <n v="0"/>
    <n v="25"/>
    <n v="68"/>
    <n v="0"/>
    <n v="41.030999999999999"/>
    <n v="205.88819999999998"/>
    <m/>
    <n v="51.296287121598944"/>
    <n v="244.85930994519313"/>
    <n v="0"/>
    <n v="2744.5541904000002"/>
    <n v="0"/>
    <n v="1595.008557588156"/>
    <x v="1"/>
  </r>
  <r>
    <s v="Regular"/>
    <x v="0"/>
    <x v="1"/>
    <x v="1"/>
    <x v="1"/>
    <x v="1"/>
    <x v="0"/>
    <x v="1"/>
    <x v="0"/>
    <n v="700"/>
    <n v="700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76.15999999999985"/>
    <n v="0"/>
    <n v="410.41272053122333"/>
    <n v="0"/>
    <x v="1"/>
  </r>
  <r>
    <s v="Regular"/>
    <x v="0"/>
    <x v="1"/>
    <x v="1"/>
    <x v="1"/>
    <x v="1"/>
    <x v="0"/>
    <x v="1"/>
    <x v="1"/>
    <n v="700"/>
    <n v="700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76.15999999999985"/>
    <n v="0"/>
    <n v="410.41272053122333"/>
    <n v="0"/>
    <x v="1"/>
  </r>
  <r>
    <s v="Regular"/>
    <x v="0"/>
    <x v="1"/>
    <x v="1"/>
    <x v="1"/>
    <x v="1"/>
    <x v="0"/>
    <x v="1"/>
    <x v="2"/>
    <n v="710"/>
    <n v="710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87.24799999999993"/>
    <n v="0"/>
    <n v="416.27575939595505"/>
    <n v="0"/>
    <x v="1"/>
  </r>
  <r>
    <s v="Regular"/>
    <x v="0"/>
    <x v="1"/>
    <x v="1"/>
    <x v="1"/>
    <x v="1"/>
    <x v="0"/>
    <x v="1"/>
    <x v="3"/>
    <n v="703"/>
    <n v="703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79.48639999999989"/>
    <n v="0"/>
    <n v="412.17163219064281"/>
    <n v="0"/>
    <x v="1"/>
  </r>
  <r>
    <s v="Regular"/>
    <x v="0"/>
    <x v="1"/>
    <x v="1"/>
    <x v="1"/>
    <x v="1"/>
    <x v="0"/>
    <x v="1"/>
    <x v="4"/>
    <n v="709"/>
    <n v="709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86.13919999999985"/>
    <n v="0"/>
    <n v="415.68945550948195"/>
    <n v="0"/>
    <x v="1"/>
  </r>
  <r>
    <s v="Regular"/>
    <x v="0"/>
    <x v="1"/>
    <x v="1"/>
    <x v="1"/>
    <x v="1"/>
    <x v="0"/>
    <x v="1"/>
    <x v="5"/>
    <n v="713"/>
    <n v="713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90.57439999999997"/>
    <n v="0"/>
    <n v="418.03467105537464"/>
    <n v="0"/>
    <x v="1"/>
  </r>
  <r>
    <s v="Regular"/>
    <x v="0"/>
    <x v="1"/>
    <x v="1"/>
    <x v="1"/>
    <x v="1"/>
    <x v="0"/>
    <x v="1"/>
    <x v="6"/>
    <n v="710"/>
    <n v="710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87.24799999999993"/>
    <n v="0"/>
    <n v="416.27575939595505"/>
    <n v="0"/>
    <x v="1"/>
  </r>
  <r>
    <s v="Regular"/>
    <x v="0"/>
    <x v="1"/>
    <x v="1"/>
    <x v="1"/>
    <x v="1"/>
    <x v="0"/>
    <x v="1"/>
    <x v="7"/>
    <n v="771"/>
    <n v="771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854.88479999999993"/>
    <n v="0"/>
    <n v="452.04029647081876"/>
    <n v="0"/>
    <x v="1"/>
  </r>
  <r>
    <s v="Regular"/>
    <x v="0"/>
    <x v="1"/>
    <x v="1"/>
    <x v="1"/>
    <x v="1"/>
    <x v="0"/>
    <x v="1"/>
    <x v="8"/>
    <n v="747"/>
    <n v="747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828.27359999999987"/>
    <n v="0"/>
    <n v="437.96900319546256"/>
    <n v="0"/>
    <x v="1"/>
  </r>
  <r>
    <s v="Regular"/>
    <x v="0"/>
    <x v="1"/>
    <x v="1"/>
    <x v="1"/>
    <x v="1"/>
    <x v="0"/>
    <x v="1"/>
    <x v="9"/>
    <n v="711"/>
    <n v="711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788.35680000000002"/>
    <n v="0"/>
    <n v="416.86206328242827"/>
    <n v="0"/>
    <x v="1"/>
  </r>
  <r>
    <s v="Regular"/>
    <x v="0"/>
    <x v="1"/>
    <x v="1"/>
    <x v="1"/>
    <x v="1"/>
    <x v="0"/>
    <x v="1"/>
    <x v="10"/>
    <n v="740"/>
    <n v="740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820.51199999999994"/>
    <n v="0"/>
    <n v="433.86487599015038"/>
    <n v="0"/>
    <x v="1"/>
  </r>
  <r>
    <s v="PROJETADO"/>
    <x v="0"/>
    <x v="1"/>
    <x v="1"/>
    <x v="1"/>
    <x v="1"/>
    <x v="0"/>
    <x v="1"/>
    <x v="11"/>
    <n v="740"/>
    <n v="740"/>
    <n v="0"/>
    <n v="0"/>
    <n v="0"/>
    <n v="0"/>
    <n v="7"/>
    <s v="CATIVO"/>
    <n v="0"/>
    <n v="23"/>
    <n v="0"/>
    <n v="0"/>
    <n v="17.371199999999998"/>
    <n v="0"/>
    <n v="0"/>
    <n v="18.957158995966029"/>
    <m/>
    <m/>
    <n v="820.51199999999994"/>
    <n v="0"/>
    <n v="433.86487599015038"/>
    <n v="0"/>
    <x v="1"/>
  </r>
  <r>
    <s v="Regular"/>
    <x v="0"/>
    <x v="1"/>
    <x v="1"/>
    <x v="1"/>
    <x v="1"/>
    <x v="0"/>
    <x v="2"/>
    <x v="0"/>
    <n v="0"/>
    <n v="0"/>
    <n v="16.684999999999999"/>
    <n v="16.684999999999999"/>
    <n v="16.684999999999999"/>
    <n v="16.684999999999999"/>
    <n v="0"/>
    <s v="CATIVO"/>
    <n v="0"/>
    <n v="0"/>
    <n v="24"/>
    <n v="67"/>
    <n v="0"/>
    <n v="887.18139999999994"/>
    <n v="344.60399999999998"/>
    <m/>
    <n v="988.60136814147631"/>
    <n v="395.35012938697378"/>
    <n v="0"/>
    <n v="1311.8514509999998"/>
    <n v="0"/>
    <n v="714.16177534831502"/>
    <x v="1"/>
  </r>
  <r>
    <s v="Regular"/>
    <x v="0"/>
    <x v="1"/>
    <x v="1"/>
    <x v="1"/>
    <x v="1"/>
    <x v="0"/>
    <x v="2"/>
    <x v="1"/>
    <n v="0"/>
    <n v="0"/>
    <n v="18.707999999999998"/>
    <n v="18.707999999999998"/>
    <n v="18.707999999999998"/>
    <n v="18.707999999999998"/>
    <n v="0"/>
    <s v="CATIVO"/>
    <n v="0"/>
    <n v="0"/>
    <n v="24"/>
    <n v="67"/>
    <n v="0"/>
    <n v="887.18139999999994"/>
    <n v="344.60399999999998"/>
    <m/>
    <n v="988.60136814147631"/>
    <n v="395.35012938697378"/>
    <n v="0"/>
    <n v="1470.9090167999998"/>
    <n v="0"/>
    <n v="800.75148296171881"/>
    <x v="1"/>
  </r>
  <r>
    <s v="Regular"/>
    <x v="0"/>
    <x v="1"/>
    <x v="1"/>
    <x v="1"/>
    <x v="1"/>
    <x v="0"/>
    <x v="2"/>
    <x v="2"/>
    <n v="0"/>
    <n v="0"/>
    <n v="18.599"/>
    <n v="18.599"/>
    <n v="18.599"/>
    <n v="18.599"/>
    <n v="0"/>
    <s v="CATIVO"/>
    <n v="0"/>
    <n v="0"/>
    <n v="24"/>
    <n v="67"/>
    <n v="0"/>
    <n v="887.18139999999994"/>
    <n v="344.60399999999998"/>
    <m/>
    <n v="988.60136814147631"/>
    <n v="395.35012938697378"/>
    <n v="0"/>
    <n v="1462.3389354000001"/>
    <n v="0"/>
    <n v="796.08599698551484"/>
    <x v="1"/>
  </r>
  <r>
    <s v="Regular"/>
    <x v="0"/>
    <x v="1"/>
    <x v="1"/>
    <x v="1"/>
    <x v="1"/>
    <x v="0"/>
    <x v="2"/>
    <x v="3"/>
    <n v="0"/>
    <n v="0"/>
    <n v="18.626000000000001"/>
    <n v="18.626000000000001"/>
    <n v="18.626000000000001"/>
    <n v="18.626000000000001"/>
    <n v="0"/>
    <s v="CATIVO"/>
    <n v="0"/>
    <n v="0"/>
    <n v="24"/>
    <n v="67"/>
    <n v="0"/>
    <n v="887.18139999999994"/>
    <n v="344.60399999999998"/>
    <m/>
    <n v="988.60136814147631"/>
    <n v="395.35012938697378"/>
    <n v="0"/>
    <n v="1464.4617995999999"/>
    <n v="0"/>
    <n v="797.24166782365717"/>
    <x v="1"/>
  </r>
  <r>
    <s v="Regular"/>
    <x v="0"/>
    <x v="1"/>
    <x v="1"/>
    <x v="1"/>
    <x v="1"/>
    <x v="0"/>
    <x v="2"/>
    <x v="4"/>
    <n v="0"/>
    <n v="0"/>
    <n v="18.396000000000001"/>
    <n v="18.396000000000001"/>
    <n v="18.396000000000001"/>
    <n v="18.396000000000001"/>
    <n v="0"/>
    <s v="CATIVO"/>
    <n v="0"/>
    <n v="0"/>
    <n v="24"/>
    <n v="67"/>
    <n v="0"/>
    <n v="887.18139999999994"/>
    <n v="344.60399999999998"/>
    <m/>
    <n v="988.60136814147631"/>
    <n v="395.35012938697378"/>
    <n v="0"/>
    <n v="1446.3781415999999"/>
    <n v="0"/>
    <n v="787.39706438763005"/>
    <x v="1"/>
  </r>
  <r>
    <s v="Regular"/>
    <x v="0"/>
    <x v="1"/>
    <x v="1"/>
    <x v="1"/>
    <x v="1"/>
    <x v="0"/>
    <x v="2"/>
    <x v="5"/>
    <n v="0"/>
    <n v="0"/>
    <n v="18.393999999999998"/>
    <n v="18.393999999999998"/>
    <n v="18.393999999999998"/>
    <n v="18.393999999999998"/>
    <n v="0"/>
    <s v="CATIVO"/>
    <n v="0"/>
    <n v="0"/>
    <n v="24"/>
    <n v="67"/>
    <n v="0"/>
    <n v="887.18139999999994"/>
    <n v="344.60399999999998"/>
    <m/>
    <n v="988.60136814147631"/>
    <n v="395.35012938697378"/>
    <n v="0"/>
    <n v="1446.2208923999997"/>
    <n v="0"/>
    <n v="787.31145914035994"/>
    <x v="1"/>
  </r>
  <r>
    <s v="Regular"/>
    <x v="0"/>
    <x v="1"/>
    <x v="1"/>
    <x v="1"/>
    <x v="1"/>
    <x v="0"/>
    <x v="2"/>
    <x v="6"/>
    <n v="0"/>
    <n v="0"/>
    <n v="19.405999999999999"/>
    <n v="19.405999999999999"/>
    <n v="19.405999999999999"/>
    <n v="19.405999999999999"/>
    <n v="0"/>
    <s v="CATIVO"/>
    <n v="0"/>
    <n v="0"/>
    <n v="24"/>
    <n v="67"/>
    <n v="0"/>
    <n v="887.18139999999994"/>
    <n v="344.60399999999998"/>
    <m/>
    <n v="988.60136814147631"/>
    <n v="395.35012938697378"/>
    <n v="0"/>
    <n v="1525.7889875999997"/>
    <n v="0"/>
    <n v="830.62771425887956"/>
    <x v="1"/>
  </r>
  <r>
    <s v="Regular"/>
    <x v="0"/>
    <x v="1"/>
    <x v="1"/>
    <x v="1"/>
    <x v="1"/>
    <x v="0"/>
    <x v="2"/>
    <x v="7"/>
    <n v="0"/>
    <n v="0"/>
    <n v="18.053999999999998"/>
    <n v="18.053999999999998"/>
    <n v="18.053999999999998"/>
    <n v="18.053999999999998"/>
    <n v="0"/>
    <s v="CATIVO"/>
    <n v="0"/>
    <n v="0"/>
    <n v="24"/>
    <n v="67"/>
    <n v="0"/>
    <n v="887.18139999999994"/>
    <n v="344.60399999999998"/>
    <m/>
    <n v="988.60136814147631"/>
    <n v="395.35012938697378"/>
    <n v="0"/>
    <n v="1419.4885284"/>
    <n v="0"/>
    <n v="772.75856710449386"/>
    <x v="1"/>
  </r>
  <r>
    <s v="Regular"/>
    <x v="0"/>
    <x v="1"/>
    <x v="1"/>
    <x v="1"/>
    <x v="1"/>
    <x v="0"/>
    <x v="2"/>
    <x v="8"/>
    <n v="0"/>
    <n v="0"/>
    <n v="14.632999999999999"/>
    <n v="14.632999999999999"/>
    <n v="14.632999999999999"/>
    <n v="14.632999999999999"/>
    <n v="0"/>
    <s v="CATIVO"/>
    <n v="0"/>
    <n v="0"/>
    <n v="24"/>
    <n v="67"/>
    <n v="0"/>
    <n v="887.18139999999994"/>
    <n v="344.60399999999998"/>
    <m/>
    <n v="988.60136814147631"/>
    <n v="395.35012938697378"/>
    <n v="0"/>
    <n v="1150.5137718000001"/>
    <n v="0"/>
    <n v="626.33079164949925"/>
    <x v="1"/>
  </r>
  <r>
    <s v="Regular"/>
    <x v="0"/>
    <x v="1"/>
    <x v="1"/>
    <x v="1"/>
    <x v="1"/>
    <x v="0"/>
    <x v="2"/>
    <x v="9"/>
    <n v="0"/>
    <n v="0"/>
    <n v="14.364000000000001"/>
    <n v="14.364000000000001"/>
    <n v="14.364000000000001"/>
    <n v="14.364000000000001"/>
    <n v="0"/>
    <s v="CATIVO"/>
    <n v="0"/>
    <n v="0"/>
    <n v="24"/>
    <n v="67"/>
    <n v="0"/>
    <n v="887.18139999999994"/>
    <n v="344.60399999999998"/>
    <m/>
    <n v="988.60136814147631"/>
    <n v="395.35012938697378"/>
    <n v="0"/>
    <n v="1129.3637543999998"/>
    <n v="0"/>
    <n v="614.81688589171108"/>
    <x v="1"/>
  </r>
  <r>
    <s v="Regular"/>
    <x v="0"/>
    <x v="1"/>
    <x v="1"/>
    <x v="1"/>
    <x v="1"/>
    <x v="0"/>
    <x v="2"/>
    <x v="10"/>
    <n v="0"/>
    <n v="0"/>
    <n v="19.558"/>
    <n v="19.558"/>
    <n v="19.558"/>
    <n v="19.558"/>
    <n v="0"/>
    <s v="CATIVO"/>
    <n v="0"/>
    <n v="0"/>
    <n v="24"/>
    <n v="67"/>
    <n v="0"/>
    <n v="887.18139999999994"/>
    <n v="344.60399999999998"/>
    <m/>
    <n v="988.60136814147631"/>
    <n v="395.35012938697378"/>
    <n v="0"/>
    <n v="1537.7399267999999"/>
    <n v="0"/>
    <n v="837.13371305138435"/>
    <x v="1"/>
  </r>
  <r>
    <s v="PROJETADO"/>
    <x v="0"/>
    <x v="1"/>
    <x v="1"/>
    <x v="1"/>
    <x v="1"/>
    <x v="0"/>
    <x v="2"/>
    <x v="11"/>
    <n v="0"/>
    <n v="0"/>
    <n v="19.558"/>
    <n v="19.558"/>
    <n v="19.558"/>
    <n v="19.558"/>
    <n v="0"/>
    <s v="CATIVO"/>
    <n v="0"/>
    <n v="0"/>
    <n v="24"/>
    <n v="67"/>
    <n v="0"/>
    <n v="887.18139999999994"/>
    <n v="344.60399999999998"/>
    <m/>
    <n v="988.60136814147631"/>
    <n v="395.35012938697378"/>
    <n v="0"/>
    <n v="1537.7399267999999"/>
    <n v="0"/>
    <n v="837.13371305138435"/>
    <x v="1"/>
  </r>
  <r>
    <s v="Regular"/>
    <x v="1"/>
    <x v="2"/>
    <x v="3"/>
    <x v="2"/>
    <x v="1"/>
    <x v="0"/>
    <x v="1"/>
    <x v="0"/>
    <n v="0"/>
    <n v="0"/>
    <n v="17718.171999999999"/>
    <n v="17718.171999999999"/>
    <n v="17718.171999999999"/>
    <n v="17718.171999999999"/>
    <n v="136517"/>
    <s v="CATIVO"/>
    <n v="0"/>
    <n v="0"/>
    <n v="17"/>
    <n v="73"/>
    <n v="0"/>
    <n v="285.75"/>
    <n v="231.33"/>
    <m/>
    <n v="313.39259123109559"/>
    <n v="265.36104285086753"/>
    <n v="0"/>
    <n v="0"/>
    <n v="0"/>
    <n v="0"/>
    <x v="3"/>
  </r>
  <r>
    <s v="Regular"/>
    <x v="1"/>
    <x v="2"/>
    <x v="3"/>
    <x v="3"/>
    <x v="1"/>
    <x v="0"/>
    <x v="1"/>
    <x v="0"/>
    <n v="0"/>
    <n v="0"/>
    <n v="1664.172"/>
    <n v="1664.172"/>
    <n v="1664.172"/>
    <n v="1664.172"/>
    <n v="5102"/>
    <s v="CATIVO"/>
    <n v="0"/>
    <n v="0"/>
    <n v="34"/>
    <n v="74"/>
    <n v="0"/>
    <n v="86.27"/>
    <n v="80.959999999999994"/>
    <m/>
    <n v="92.239557357245033"/>
    <n v="92.876364997803634"/>
    <n v="0"/>
    <n v="516891.82320000016"/>
    <n v="0"/>
    <n v="572120.22165525705"/>
    <x v="4"/>
  </r>
  <r>
    <s v="Sistema de Compensação"/>
    <x v="1"/>
    <x v="2"/>
    <x v="3"/>
    <x v="3"/>
    <x v="1"/>
    <x v="0"/>
    <x v="1"/>
    <x v="0"/>
    <n v="0"/>
    <n v="0"/>
    <n v="0.42"/>
    <n v="0.42"/>
    <n v="0.42"/>
    <n v="0.42"/>
    <n v="1"/>
    <s v="CATIVO"/>
    <n v="0"/>
    <n v="0"/>
    <n v="34"/>
    <n v="74"/>
    <n v="0"/>
    <n v="86.27"/>
    <n v="80.959999999999994"/>
    <m/>
    <n v="92.239557357245033"/>
    <n v="92.876364997803634"/>
    <n v="0"/>
    <n v="130.45200000000003"/>
    <n v="0"/>
    <n v="144.39041943693798"/>
    <x v="4"/>
  </r>
  <r>
    <s v="Regular"/>
    <x v="1"/>
    <x v="2"/>
    <x v="3"/>
    <x v="3"/>
    <x v="1"/>
    <x v="0"/>
    <x v="1"/>
    <x v="1"/>
    <n v="0"/>
    <n v="0"/>
    <n v="1672.7059999999999"/>
    <n v="1672.7059999999999"/>
    <n v="1672.7059999999999"/>
    <n v="1672.7059999999999"/>
    <n v="4873"/>
    <s v="CATIVO"/>
    <n v="0"/>
    <n v="0"/>
    <n v="34"/>
    <n v="74"/>
    <n v="0"/>
    <n v="86.27"/>
    <n v="80.959999999999994"/>
    <m/>
    <n v="92.239557357245033"/>
    <n v="92.876364997803634"/>
    <n v="0"/>
    <n v="519542.48360000009"/>
    <n v="0"/>
    <n v="575054.09746353037"/>
    <x v="4"/>
  </r>
  <r>
    <s v="Refaturamento - Regular"/>
    <x v="1"/>
    <x v="2"/>
    <x v="3"/>
    <x v="3"/>
    <x v="1"/>
    <x v="0"/>
    <x v="1"/>
    <x v="1"/>
    <n v="0"/>
    <n v="0"/>
    <n v="0.56599999999999995"/>
    <n v="0.56599999999999995"/>
    <n v="0.56599999999999995"/>
    <n v="0.56599999999999995"/>
    <n v="10"/>
    <s v="CATIVO"/>
    <n v="0"/>
    <n v="0"/>
    <n v="34"/>
    <n v="74"/>
    <n v="0"/>
    <n v="86.27"/>
    <n v="80.959999999999994"/>
    <m/>
    <n v="92.239557357245033"/>
    <n v="92.876364997803634"/>
    <n v="0"/>
    <n v="175.79960000000003"/>
    <n v="0"/>
    <n v="194.58327952692116"/>
    <x v="4"/>
  </r>
  <r>
    <s v="Sistema de Compensação"/>
    <x v="1"/>
    <x v="2"/>
    <x v="3"/>
    <x v="3"/>
    <x v="1"/>
    <x v="0"/>
    <x v="1"/>
    <x v="1"/>
    <n v="0"/>
    <n v="0"/>
    <n v="0.45"/>
    <n v="0.45"/>
    <n v="0.45"/>
    <n v="0.45"/>
    <n v="0"/>
    <s v="CATIVO"/>
    <n v="0"/>
    <n v="0"/>
    <n v="34"/>
    <n v="74"/>
    <n v="0"/>
    <n v="86.27"/>
    <n v="80.959999999999994"/>
    <m/>
    <n v="92.239557357245033"/>
    <n v="92.876364997803634"/>
    <n v="0"/>
    <n v="139.77000000000004"/>
    <n v="0"/>
    <n v="154.70402082529068"/>
    <x v="4"/>
  </r>
  <r>
    <s v="Regular"/>
    <x v="1"/>
    <x v="2"/>
    <x v="3"/>
    <x v="3"/>
    <x v="1"/>
    <x v="0"/>
    <x v="1"/>
    <x v="2"/>
    <n v="0"/>
    <n v="0"/>
    <n v="1672.297"/>
    <n v="1672.297"/>
    <n v="1672.297"/>
    <n v="1672.297"/>
    <n v="4813"/>
    <s v="CATIVO"/>
    <n v="0"/>
    <n v="0"/>
    <n v="34"/>
    <n v="74"/>
    <n v="0"/>
    <n v="86.27"/>
    <n v="80.959999999999994"/>
    <m/>
    <n v="92.239557357245033"/>
    <n v="92.876364997803634"/>
    <n v="0"/>
    <n v="519415.44820000016"/>
    <n v="0"/>
    <n v="574913.48869793583"/>
    <x v="4"/>
  </r>
  <r>
    <s v="Refaturamento - Regular"/>
    <x v="1"/>
    <x v="2"/>
    <x v="3"/>
    <x v="3"/>
    <x v="1"/>
    <x v="0"/>
    <x v="1"/>
    <x v="2"/>
    <n v="0"/>
    <n v="0"/>
    <n v="3.3000000000000002E-2"/>
    <n v="3.3000000000000002E-2"/>
    <n v="3.3000000000000002E-2"/>
    <n v="3.3000000000000002E-2"/>
    <n v="1"/>
    <s v="CATIVO"/>
    <n v="0"/>
    <n v="0"/>
    <n v="34"/>
    <n v="74"/>
    <n v="0"/>
    <n v="86.27"/>
    <n v="80.959999999999994"/>
    <m/>
    <n v="92.239557357245033"/>
    <n v="92.876364997803634"/>
    <n v="0"/>
    <n v="10.249800000000002"/>
    <n v="0"/>
    <n v="11.344961527187984"/>
    <x v="4"/>
  </r>
  <r>
    <s v="Sistema de Compensação"/>
    <x v="1"/>
    <x v="2"/>
    <x v="3"/>
    <x v="3"/>
    <x v="1"/>
    <x v="0"/>
    <x v="1"/>
    <x v="2"/>
    <n v="0"/>
    <n v="0"/>
    <n v="0.45"/>
    <n v="0.45"/>
    <n v="0.45"/>
    <n v="0.45"/>
    <n v="0"/>
    <s v="CATIVO"/>
    <n v="0"/>
    <n v="0"/>
    <n v="34"/>
    <n v="74"/>
    <n v="0"/>
    <n v="86.27"/>
    <n v="80.959999999999994"/>
    <m/>
    <n v="92.239557357245033"/>
    <n v="92.876364997803634"/>
    <n v="0"/>
    <n v="139.77000000000004"/>
    <n v="0"/>
    <n v="154.70402082529068"/>
    <x v="4"/>
  </r>
  <r>
    <s v="Regular"/>
    <x v="1"/>
    <x v="2"/>
    <x v="3"/>
    <x v="3"/>
    <x v="1"/>
    <x v="0"/>
    <x v="1"/>
    <x v="3"/>
    <n v="0"/>
    <n v="0"/>
    <n v="1676.741"/>
    <n v="1676.741"/>
    <n v="1676.741"/>
    <n v="1676.741"/>
    <n v="5077"/>
    <s v="CATIVO"/>
    <n v="0"/>
    <n v="0"/>
    <n v="34"/>
    <n v="74"/>
    <n v="0"/>
    <n v="86.27"/>
    <n v="80.959999999999994"/>
    <m/>
    <n v="92.239557357245033"/>
    <n v="92.876364997803634"/>
    <n v="0"/>
    <n v="520795.7546000001"/>
    <n v="0"/>
    <n v="576441.27685026382"/>
    <x v="4"/>
  </r>
  <r>
    <s v="Refaturamento - Regular"/>
    <x v="1"/>
    <x v="2"/>
    <x v="3"/>
    <x v="3"/>
    <x v="1"/>
    <x v="0"/>
    <x v="1"/>
    <x v="3"/>
    <n v="0"/>
    <n v="0"/>
    <n v="4.2000000000000003E-2"/>
    <n v="4.2000000000000003E-2"/>
    <n v="4.2000000000000003E-2"/>
    <n v="4.2000000000000003E-2"/>
    <n v="3"/>
    <s v="CATIVO"/>
    <n v="0"/>
    <n v="0"/>
    <n v="34"/>
    <n v="74"/>
    <n v="0"/>
    <n v="86.27"/>
    <n v="80.959999999999994"/>
    <m/>
    <n v="92.239557357245033"/>
    <n v="92.876364997803634"/>
    <n v="0"/>
    <n v="13.045200000000005"/>
    <n v="0"/>
    <n v="14.439041943693798"/>
    <x v="4"/>
  </r>
  <r>
    <s v="Sistema de Compensação"/>
    <x v="1"/>
    <x v="2"/>
    <x v="3"/>
    <x v="3"/>
    <x v="1"/>
    <x v="0"/>
    <x v="1"/>
    <x v="3"/>
    <n v="0"/>
    <n v="0"/>
    <n v="0.48"/>
    <n v="0.48"/>
    <n v="0.48"/>
    <n v="0.48"/>
    <n v="1"/>
    <s v="CATIVO"/>
    <n v="0"/>
    <n v="0"/>
    <n v="34"/>
    <n v="74"/>
    <n v="0"/>
    <n v="86.27"/>
    <n v="80.959999999999994"/>
    <m/>
    <n v="92.239557357245033"/>
    <n v="92.876364997803634"/>
    <n v="0"/>
    <n v="149.08800000000002"/>
    <n v="0"/>
    <n v="165.01762221364339"/>
    <x v="4"/>
  </r>
  <r>
    <s v="Regular"/>
    <x v="1"/>
    <x v="2"/>
    <x v="3"/>
    <x v="3"/>
    <x v="1"/>
    <x v="0"/>
    <x v="1"/>
    <x v="4"/>
    <n v="0"/>
    <n v="0"/>
    <n v="1685.271"/>
    <n v="1685.271"/>
    <n v="1685.271"/>
    <n v="1685.271"/>
    <n v="5372"/>
    <s v="CATIVO"/>
    <n v="0"/>
    <n v="0"/>
    <n v="34"/>
    <n v="74"/>
    <n v="0"/>
    <n v="86.27"/>
    <n v="80.959999999999994"/>
    <m/>
    <n v="92.239557357245033"/>
    <n v="92.876364997803634"/>
    <n v="0"/>
    <n v="523445.17260000011"/>
    <n v="0"/>
    <n v="579373.7775116855"/>
    <x v="4"/>
  </r>
  <r>
    <s v="Refaturamento - Regular"/>
    <x v="1"/>
    <x v="2"/>
    <x v="3"/>
    <x v="3"/>
    <x v="1"/>
    <x v="0"/>
    <x v="1"/>
    <x v="4"/>
    <n v="0"/>
    <n v="0"/>
    <n v="0.70599999999999996"/>
    <n v="0.70599999999999996"/>
    <n v="0.70599999999999996"/>
    <n v="0.70599999999999996"/>
    <n v="6"/>
    <s v="CATIVO"/>
    <n v="0"/>
    <n v="0"/>
    <n v="34"/>
    <n v="74"/>
    <n v="0"/>
    <n v="86.27"/>
    <n v="80.959999999999994"/>
    <m/>
    <n v="92.239557357245033"/>
    <n v="92.876364997803634"/>
    <n v="0"/>
    <n v="219.28360000000004"/>
    <n v="0"/>
    <n v="242.71341933923381"/>
    <x v="4"/>
  </r>
  <r>
    <s v="Sistema de Compensação"/>
    <x v="1"/>
    <x v="2"/>
    <x v="3"/>
    <x v="3"/>
    <x v="1"/>
    <x v="0"/>
    <x v="1"/>
    <x v="4"/>
    <n v="0"/>
    <n v="0"/>
    <n v="0.54"/>
    <n v="0.54"/>
    <n v="0.54"/>
    <n v="0.54"/>
    <n v="1"/>
    <s v="CATIVO"/>
    <n v="0"/>
    <n v="0"/>
    <n v="34"/>
    <n v="74"/>
    <n v="0"/>
    <n v="86.27"/>
    <n v="80.959999999999994"/>
    <m/>
    <n v="92.239557357245033"/>
    <n v="92.876364997803634"/>
    <n v="0"/>
    <n v="167.72400000000005"/>
    <n v="0"/>
    <n v="185.64482499034884"/>
    <x v="4"/>
  </r>
  <r>
    <s v="Regular"/>
    <x v="1"/>
    <x v="2"/>
    <x v="3"/>
    <x v="3"/>
    <x v="1"/>
    <x v="0"/>
    <x v="1"/>
    <x v="5"/>
    <n v="0"/>
    <n v="0"/>
    <n v="1704.3109999999999"/>
    <n v="1704.3109999999999"/>
    <n v="1704.3109999999999"/>
    <n v="1704.3109999999999"/>
    <n v="5324"/>
    <s v="CATIVO"/>
    <n v="0"/>
    <n v="0"/>
    <n v="34"/>
    <n v="74"/>
    <n v="0"/>
    <n v="86.27"/>
    <n v="80.959999999999994"/>
    <m/>
    <n v="92.239557357245033"/>
    <n v="92.876364997803634"/>
    <n v="0"/>
    <n v="529358.99660000007"/>
    <n v="0"/>
    <n v="585919.47652615991"/>
    <x v="4"/>
  </r>
  <r>
    <s v="Refaturamento - Regular"/>
    <x v="1"/>
    <x v="2"/>
    <x v="3"/>
    <x v="3"/>
    <x v="1"/>
    <x v="0"/>
    <x v="1"/>
    <x v="5"/>
    <n v="0"/>
    <n v="0"/>
    <n v="0.877"/>
    <n v="0.877"/>
    <n v="0.877"/>
    <n v="0.877"/>
    <n v="15"/>
    <s v="CATIVO"/>
    <n v="0"/>
    <n v="0"/>
    <n v="34"/>
    <n v="74"/>
    <n v="0"/>
    <n v="86.27"/>
    <n v="80.959999999999994"/>
    <m/>
    <n v="92.239557357245033"/>
    <n v="92.876364997803634"/>
    <n v="0"/>
    <n v="272.39620000000008"/>
    <n v="0"/>
    <n v="301.5009472528443"/>
    <x v="4"/>
  </r>
  <r>
    <s v="Sistema de Compensação"/>
    <x v="1"/>
    <x v="2"/>
    <x v="3"/>
    <x v="3"/>
    <x v="1"/>
    <x v="0"/>
    <x v="1"/>
    <x v="5"/>
    <n v="0"/>
    <n v="0"/>
    <n v="0.75"/>
    <n v="0.75"/>
    <n v="0.75"/>
    <n v="0.75"/>
    <n v="1"/>
    <s v="CATIVO"/>
    <n v="0"/>
    <n v="0"/>
    <n v="34"/>
    <n v="74"/>
    <n v="0"/>
    <n v="86.27"/>
    <n v="80.959999999999994"/>
    <m/>
    <n v="92.239557357245033"/>
    <n v="92.876364997803634"/>
    <n v="0"/>
    <n v="232.95000000000005"/>
    <n v="0"/>
    <n v="257.84003470881783"/>
    <x v="4"/>
  </r>
  <r>
    <s v="Regular"/>
    <x v="1"/>
    <x v="2"/>
    <x v="3"/>
    <x v="3"/>
    <x v="1"/>
    <x v="0"/>
    <x v="1"/>
    <x v="6"/>
    <n v="0"/>
    <n v="0"/>
    <n v="1720.7809999999999"/>
    <n v="1720.7809999999999"/>
    <n v="1720.7809999999999"/>
    <n v="1720.7809999999999"/>
    <n v="5751"/>
    <s v="CATIVO"/>
    <n v="0"/>
    <n v="0"/>
    <n v="34"/>
    <n v="74"/>
    <n v="0"/>
    <n v="86.27"/>
    <n v="80.959999999999994"/>
    <m/>
    <n v="92.239557357245033"/>
    <n v="92.876364997803634"/>
    <n v="0"/>
    <n v="534474.57860000012"/>
    <n v="0"/>
    <n v="591581.64368836558"/>
    <x v="4"/>
  </r>
  <r>
    <s v="Refaturamento - Regular"/>
    <x v="1"/>
    <x v="2"/>
    <x v="3"/>
    <x v="3"/>
    <x v="1"/>
    <x v="0"/>
    <x v="1"/>
    <x v="6"/>
    <n v="0"/>
    <n v="0"/>
    <n v="0.33500000000000002"/>
    <n v="0.33500000000000002"/>
    <n v="0.33500000000000002"/>
    <n v="0.33500000000000002"/>
    <n v="8"/>
    <s v="CATIVO"/>
    <n v="0"/>
    <n v="0"/>
    <n v="34"/>
    <n v="74"/>
    <n v="0"/>
    <n v="86.27"/>
    <n v="80.959999999999994"/>
    <m/>
    <n v="92.239557357245033"/>
    <n v="92.876364997803634"/>
    <n v="0"/>
    <n v="104.05100000000003"/>
    <n v="0"/>
    <n v="115.1685488366053"/>
    <x v="4"/>
  </r>
  <r>
    <s v="Sistema de Compensação"/>
    <x v="1"/>
    <x v="2"/>
    <x v="3"/>
    <x v="3"/>
    <x v="1"/>
    <x v="0"/>
    <x v="1"/>
    <x v="6"/>
    <n v="0"/>
    <n v="0"/>
    <n v="0.87"/>
    <n v="0.87"/>
    <n v="0.87"/>
    <n v="0.87"/>
    <n v="2"/>
    <s v="CATIVO"/>
    <n v="0"/>
    <n v="0"/>
    <n v="34"/>
    <n v="74"/>
    <n v="0"/>
    <n v="86.27"/>
    <n v="80.959999999999994"/>
    <m/>
    <n v="92.239557357245033"/>
    <n v="92.876364997803634"/>
    <n v="0"/>
    <n v="270.22200000000009"/>
    <n v="0"/>
    <n v="299.09444026222866"/>
    <x v="4"/>
  </r>
  <r>
    <s v="Sistema de Compensação"/>
    <x v="1"/>
    <x v="2"/>
    <x v="3"/>
    <x v="3"/>
    <x v="1"/>
    <x v="0"/>
    <x v="1"/>
    <x v="6"/>
    <n v="0"/>
    <n v="0"/>
    <n v="6.9000000000000006E-2"/>
    <n v="6.9000000000000006E-2"/>
    <n v="6.9000000000000006E-2"/>
    <n v="6.9000000000000006E-2"/>
    <n v="1"/>
    <s v="CATIVO"/>
    <n v="0"/>
    <n v="0"/>
    <n v="34"/>
    <n v="74"/>
    <n v="0"/>
    <n v="86.27"/>
    <n v="80.959999999999994"/>
    <m/>
    <n v="92.239557357245033"/>
    <n v="92.876364997803634"/>
    <n v="0"/>
    <n v="21.431400000000007"/>
    <n v="0"/>
    <n v="23.721283193211242"/>
    <x v="4"/>
  </r>
  <r>
    <s v="Regular"/>
    <x v="1"/>
    <x v="2"/>
    <x v="3"/>
    <x v="3"/>
    <x v="1"/>
    <x v="0"/>
    <x v="1"/>
    <x v="7"/>
    <n v="0"/>
    <n v="0"/>
    <n v="1696.527"/>
    <n v="1696.527"/>
    <n v="1696.527"/>
    <n v="1696.527"/>
    <n v="5382"/>
    <s v="CATIVO"/>
    <n v="0"/>
    <n v="0"/>
    <n v="34"/>
    <n v="74"/>
    <n v="0"/>
    <n v="86.27"/>
    <n v="80.959999999999994"/>
    <m/>
    <n v="92.239557357245033"/>
    <n v="92.876364997803634"/>
    <n v="0"/>
    <n v="526941.28620000021"/>
    <n v="0"/>
    <n v="583243.44075259543"/>
    <x v="4"/>
  </r>
  <r>
    <s v="Refaturamento - Regular"/>
    <x v="1"/>
    <x v="2"/>
    <x v="3"/>
    <x v="3"/>
    <x v="1"/>
    <x v="0"/>
    <x v="1"/>
    <x v="7"/>
    <n v="0"/>
    <n v="0"/>
    <n v="2.5000000000000001E-2"/>
    <n v="2.5000000000000001E-2"/>
    <n v="2.5000000000000001E-2"/>
    <n v="2.5000000000000001E-2"/>
    <n v="2"/>
    <s v="CATIVO"/>
    <n v="0"/>
    <n v="0"/>
    <n v="34"/>
    <n v="74"/>
    <n v="0"/>
    <n v="86.27"/>
    <n v="80.959999999999994"/>
    <m/>
    <n v="92.239557357245033"/>
    <n v="92.876364997803634"/>
    <n v="0"/>
    <n v="7.7650000000000023"/>
    <n v="0"/>
    <n v="8.59466782362726"/>
    <x v="4"/>
  </r>
  <r>
    <s v="Sistema de Compensação"/>
    <x v="1"/>
    <x v="2"/>
    <x v="3"/>
    <x v="3"/>
    <x v="1"/>
    <x v="0"/>
    <x v="1"/>
    <x v="7"/>
    <n v="0"/>
    <n v="0"/>
    <n v="0.96"/>
    <n v="0.96"/>
    <n v="0.96"/>
    <n v="0.96"/>
    <n v="6"/>
    <s v="CATIVO"/>
    <n v="0"/>
    <n v="0"/>
    <n v="34"/>
    <n v="74"/>
    <n v="0"/>
    <n v="86.27"/>
    <n v="80.959999999999994"/>
    <m/>
    <n v="92.239557357245033"/>
    <n v="92.876364997803634"/>
    <n v="0"/>
    <n v="298.17600000000004"/>
    <n v="0"/>
    <n v="330.03524442728678"/>
    <x v="4"/>
  </r>
  <r>
    <s v="Regular"/>
    <x v="1"/>
    <x v="2"/>
    <x v="3"/>
    <x v="3"/>
    <x v="1"/>
    <x v="0"/>
    <x v="1"/>
    <x v="8"/>
    <n v="0"/>
    <n v="0"/>
    <n v="1721.364"/>
    <n v="1721.364"/>
    <n v="1721.364"/>
    <n v="1721.364"/>
    <n v="5232"/>
    <s v="CATIVO"/>
    <n v="0"/>
    <n v="0"/>
    <n v="34"/>
    <n v="74"/>
    <n v="0"/>
    <n v="86.27"/>
    <n v="80.959999999999994"/>
    <m/>
    <n v="92.239557357245033"/>
    <n v="92.876364997803634"/>
    <n v="0"/>
    <n v="534655.65840000019"/>
    <n v="0"/>
    <n v="591782.07134201261"/>
    <x v="4"/>
  </r>
  <r>
    <s v="Sistema de Compensação"/>
    <x v="1"/>
    <x v="2"/>
    <x v="3"/>
    <x v="3"/>
    <x v="1"/>
    <x v="0"/>
    <x v="1"/>
    <x v="8"/>
    <n v="0"/>
    <n v="0"/>
    <n v="1.08"/>
    <n v="1.08"/>
    <n v="1.08"/>
    <n v="1.08"/>
    <n v="2"/>
    <s v="CATIVO"/>
    <n v="0"/>
    <n v="0"/>
    <n v="34"/>
    <n v="74"/>
    <n v="0"/>
    <n v="86.27"/>
    <n v="80.959999999999994"/>
    <m/>
    <n v="92.239557357245033"/>
    <n v="92.876364997803634"/>
    <n v="0"/>
    <n v="335.44800000000009"/>
    <n v="0"/>
    <n v="371.28964998069767"/>
    <x v="4"/>
  </r>
  <r>
    <s v="Regular"/>
    <x v="1"/>
    <x v="2"/>
    <x v="3"/>
    <x v="3"/>
    <x v="1"/>
    <x v="0"/>
    <x v="1"/>
    <x v="9"/>
    <n v="0"/>
    <n v="0"/>
    <n v="1726.7349999999999"/>
    <n v="1726.7349999999999"/>
    <n v="1726.7349999999999"/>
    <n v="1726.7349999999999"/>
    <n v="5311"/>
    <s v="CATIVO"/>
    <n v="0"/>
    <n v="0"/>
    <n v="34"/>
    <n v="74"/>
    <n v="0"/>
    <n v="86.27"/>
    <n v="80.959999999999994"/>
    <m/>
    <n v="92.239557357245033"/>
    <n v="92.876364997803634"/>
    <n v="0"/>
    <n v="536323.89100000006"/>
    <n v="0"/>
    <n v="593628.54977724061"/>
    <x v="4"/>
  </r>
  <r>
    <s v="Refaturamento - Regular"/>
    <x v="1"/>
    <x v="2"/>
    <x v="3"/>
    <x v="3"/>
    <x v="1"/>
    <x v="0"/>
    <x v="1"/>
    <x v="9"/>
    <n v="0"/>
    <n v="0"/>
    <n v="0.46300000000000002"/>
    <n v="0.46300000000000002"/>
    <n v="0.46300000000000002"/>
    <n v="0.46300000000000002"/>
    <n v="4"/>
    <s v="CATIVO"/>
    <n v="0"/>
    <n v="0"/>
    <n v="34"/>
    <n v="74"/>
    <n v="0"/>
    <n v="86.27"/>
    <n v="80.959999999999994"/>
    <m/>
    <n v="92.239557357245033"/>
    <n v="92.876364997803634"/>
    <n v="0"/>
    <n v="143.80780000000004"/>
    <n v="0"/>
    <n v="159.17324809357686"/>
    <x v="4"/>
  </r>
  <r>
    <s v="Sistema de Compensação"/>
    <x v="1"/>
    <x v="2"/>
    <x v="3"/>
    <x v="3"/>
    <x v="1"/>
    <x v="0"/>
    <x v="1"/>
    <x v="9"/>
    <n v="0"/>
    <n v="0"/>
    <n v="1.2"/>
    <n v="1.2"/>
    <n v="1.2"/>
    <n v="1.2"/>
    <n v="3"/>
    <s v="CATIVO"/>
    <n v="0"/>
    <n v="0"/>
    <n v="34"/>
    <n v="74"/>
    <n v="0"/>
    <n v="86.27"/>
    <n v="80.959999999999994"/>
    <m/>
    <n v="92.239557357245033"/>
    <n v="92.876364997803634"/>
    <n v="0"/>
    <n v="372.72000000000008"/>
    <n v="0"/>
    <n v="412.54405553410851"/>
    <x v="4"/>
  </r>
  <r>
    <s v="Regular"/>
    <x v="1"/>
    <x v="2"/>
    <x v="3"/>
    <x v="3"/>
    <x v="1"/>
    <x v="0"/>
    <x v="1"/>
    <x v="10"/>
    <n v="0"/>
    <n v="0"/>
    <n v="1723.4369999999999"/>
    <n v="1723.4369999999999"/>
    <n v="1723.4369999999999"/>
    <n v="1723.4369999999999"/>
    <n v="5075"/>
    <s v="CATIVO"/>
    <n v="0"/>
    <n v="0"/>
    <n v="34"/>
    <n v="74"/>
    <n v="0"/>
    <n v="86.27"/>
    <n v="80.959999999999994"/>
    <m/>
    <n v="92.239557357245033"/>
    <n v="92.876364997803634"/>
    <n v="0"/>
    <n v="535299.53220000013"/>
    <n v="0"/>
    <n v="592494.74119794776"/>
    <x v="4"/>
  </r>
  <r>
    <s v="Refaturamento - Regular"/>
    <x v="1"/>
    <x v="2"/>
    <x v="3"/>
    <x v="3"/>
    <x v="1"/>
    <x v="0"/>
    <x v="1"/>
    <x v="10"/>
    <n v="0"/>
    <n v="0"/>
    <n v="0.56299999999999994"/>
    <n v="0.56299999999999994"/>
    <n v="0.56299999999999994"/>
    <n v="0.56299999999999994"/>
    <n v="6"/>
    <s v="CATIVO"/>
    <n v="0"/>
    <n v="0"/>
    <n v="34"/>
    <n v="74"/>
    <n v="0"/>
    <n v="86.27"/>
    <n v="80.959999999999994"/>
    <m/>
    <n v="92.239557357245033"/>
    <n v="92.876364997803634"/>
    <n v="0"/>
    <n v="174.86780000000002"/>
    <n v="0"/>
    <n v="193.55191938808588"/>
    <x v="4"/>
  </r>
  <r>
    <s v="Sistema de Compensação"/>
    <x v="1"/>
    <x v="2"/>
    <x v="3"/>
    <x v="3"/>
    <x v="1"/>
    <x v="0"/>
    <x v="1"/>
    <x v="10"/>
    <n v="0"/>
    <n v="0"/>
    <n v="1.38"/>
    <n v="1.38"/>
    <n v="1.38"/>
    <n v="1.38"/>
    <n v="7"/>
    <s v="CATIVO"/>
    <n v="0"/>
    <n v="0"/>
    <n v="34"/>
    <n v="74"/>
    <n v="0"/>
    <n v="86.27"/>
    <n v="80.959999999999994"/>
    <m/>
    <n v="92.239557357245033"/>
    <n v="92.876364997803634"/>
    <n v="0"/>
    <n v="428.6280000000001"/>
    <n v="0"/>
    <n v="474.42566386422476"/>
    <x v="4"/>
  </r>
  <r>
    <s v="PROJETADO"/>
    <x v="1"/>
    <x v="2"/>
    <x v="3"/>
    <x v="3"/>
    <x v="1"/>
    <x v="0"/>
    <x v="1"/>
    <x v="11"/>
    <n v="0"/>
    <n v="0"/>
    <n v="1723.4369999999999"/>
    <n v="1723.4369999999999"/>
    <n v="1723.4369999999999"/>
    <n v="1723.4369999999999"/>
    <n v="5075"/>
    <s v="CATIVO"/>
    <n v="0"/>
    <n v="0"/>
    <n v="34"/>
    <n v="74"/>
    <n v="0"/>
    <n v="86.27"/>
    <n v="80.959999999999994"/>
    <m/>
    <n v="92.239557357245033"/>
    <n v="92.876364997803634"/>
    <n v="0"/>
    <n v="535299.53220000013"/>
    <n v="0"/>
    <n v="592494.74119794776"/>
    <x v="4"/>
  </r>
  <r>
    <s v="PROJETADO"/>
    <x v="1"/>
    <x v="2"/>
    <x v="3"/>
    <x v="3"/>
    <x v="1"/>
    <x v="0"/>
    <x v="1"/>
    <x v="11"/>
    <n v="0"/>
    <n v="0"/>
    <n v="0.56299999999999994"/>
    <n v="0.56299999999999994"/>
    <n v="0.56299999999999994"/>
    <n v="0.56299999999999994"/>
    <n v="6"/>
    <s v="CATIVO"/>
    <n v="0"/>
    <n v="0"/>
    <n v="34"/>
    <n v="74"/>
    <n v="0"/>
    <n v="86.27"/>
    <n v="80.959999999999994"/>
    <m/>
    <n v="92.239557357245033"/>
    <n v="92.876364997803634"/>
    <n v="0"/>
    <n v="174.86780000000002"/>
    <n v="0"/>
    <n v="193.55191938808588"/>
    <x v="4"/>
  </r>
  <r>
    <s v="PROJETADO"/>
    <x v="1"/>
    <x v="2"/>
    <x v="3"/>
    <x v="3"/>
    <x v="1"/>
    <x v="0"/>
    <x v="1"/>
    <x v="11"/>
    <n v="0"/>
    <n v="0"/>
    <n v="1.38"/>
    <n v="1.38"/>
    <n v="1.38"/>
    <n v="1.38"/>
    <n v="7"/>
    <s v="CATIVO"/>
    <n v="0"/>
    <n v="0"/>
    <n v="34"/>
    <n v="74"/>
    <n v="0"/>
    <n v="86.27"/>
    <n v="80.959999999999994"/>
    <m/>
    <n v="92.239557357245033"/>
    <n v="92.876364997803634"/>
    <n v="0"/>
    <n v="428.6280000000001"/>
    <n v="0"/>
    <n v="474.42566386422476"/>
    <x v="4"/>
  </r>
  <r>
    <s v="Regular"/>
    <x v="1"/>
    <x v="2"/>
    <x v="3"/>
    <x v="4"/>
    <x v="1"/>
    <x v="0"/>
    <x v="1"/>
    <x v="0"/>
    <n v="0"/>
    <n v="0"/>
    <n v="2680.0149999999999"/>
    <n v="2680.0149999999999"/>
    <n v="2680.0149999999999"/>
    <n v="2680.0149999999999"/>
    <n v="28218"/>
    <s v="CATIVO"/>
    <n v="0"/>
    <n v="0"/>
    <n v="35"/>
    <n v="75"/>
    <n v="0"/>
    <n v="147.9"/>
    <n v="138.80000000000001"/>
    <m/>
    <n v="158.12495546956293"/>
    <n v="159.2166257105205"/>
    <n v="0"/>
    <n v="512231.26695000014"/>
    <n v="0"/>
    <n v="566986.79845756094"/>
    <x v="4"/>
  </r>
  <r>
    <s v="Refaturamento - Regular"/>
    <x v="1"/>
    <x v="2"/>
    <x v="3"/>
    <x v="4"/>
    <x v="1"/>
    <x v="0"/>
    <x v="1"/>
    <x v="0"/>
    <n v="0"/>
    <n v="0"/>
    <n v="-0.19600000000000001"/>
    <n v="-0.19600000000000001"/>
    <n v="-0.19600000000000001"/>
    <n v="-0.19600000000000001"/>
    <n v="-2"/>
    <s v="CATIVO"/>
    <n v="0"/>
    <n v="0"/>
    <n v="35"/>
    <n v="75"/>
    <n v="0"/>
    <n v="147.9"/>
    <n v="138.80000000000001"/>
    <m/>
    <n v="158.12495546956293"/>
    <n v="159.2166257105205"/>
    <n v="0"/>
    <n v="-37.461480000000009"/>
    <n v="0"/>
    <n v="-41.465966607530916"/>
    <x v="4"/>
  </r>
  <r>
    <s v="Sistema de Compensação"/>
    <x v="1"/>
    <x v="2"/>
    <x v="3"/>
    <x v="4"/>
    <x v="1"/>
    <x v="0"/>
    <x v="1"/>
    <x v="0"/>
    <n v="0"/>
    <n v="0"/>
    <n v="0.55200000000000005"/>
    <n v="0.55200000000000005"/>
    <n v="0.55200000000000005"/>
    <n v="0.55200000000000005"/>
    <n v="2"/>
    <s v="CATIVO"/>
    <n v="0"/>
    <n v="0"/>
    <n v="35"/>
    <n v="75"/>
    <n v="0"/>
    <n v="147.9"/>
    <n v="138.80000000000001"/>
    <m/>
    <n v="158.12495546956293"/>
    <n v="159.2166257105205"/>
    <n v="0"/>
    <n v="105.50376000000004"/>
    <n v="0"/>
    <n v="116.78170187427074"/>
    <x v="4"/>
  </r>
  <r>
    <s v="Regular"/>
    <x v="1"/>
    <x v="2"/>
    <x v="3"/>
    <x v="4"/>
    <x v="1"/>
    <x v="0"/>
    <x v="1"/>
    <x v="1"/>
    <n v="0"/>
    <n v="0"/>
    <n v="2801.6529999999998"/>
    <n v="2801.6529999999998"/>
    <n v="2801.6529999999998"/>
    <n v="2801.6529999999998"/>
    <n v="26252"/>
    <s v="CATIVO"/>
    <n v="0"/>
    <n v="0"/>
    <n v="35"/>
    <n v="75"/>
    <n v="0"/>
    <n v="147.9"/>
    <n v="138.80000000000001"/>
    <m/>
    <n v="158.12495546956293"/>
    <n v="159.2166257105205"/>
    <n v="0"/>
    <n v="535479.93789000006"/>
    <n v="0"/>
    <n v="592720.66195861634"/>
    <x v="4"/>
  </r>
  <r>
    <s v="Refaturamento - Regular"/>
    <x v="1"/>
    <x v="2"/>
    <x v="3"/>
    <x v="4"/>
    <x v="1"/>
    <x v="0"/>
    <x v="1"/>
    <x v="1"/>
    <n v="0"/>
    <n v="0"/>
    <n v="-0.52700000000000002"/>
    <n v="-0.52700000000000002"/>
    <n v="-0.52700000000000002"/>
    <n v="-0.52700000000000002"/>
    <n v="-4"/>
    <s v="CATIVO"/>
    <n v="0"/>
    <n v="0"/>
    <n v="35"/>
    <n v="75"/>
    <n v="0"/>
    <n v="147.9"/>
    <n v="138.80000000000001"/>
    <m/>
    <n v="158.12495546956293"/>
    <n v="159.2166257105205"/>
    <n v="0"/>
    <n v="-100.72551000000003"/>
    <n v="0"/>
    <n v="-111.49267552126935"/>
    <x v="4"/>
  </r>
  <r>
    <s v="Sistema de Compensação"/>
    <x v="1"/>
    <x v="2"/>
    <x v="3"/>
    <x v="4"/>
    <x v="1"/>
    <x v="0"/>
    <x v="1"/>
    <x v="1"/>
    <n v="0"/>
    <n v="0"/>
    <n v="0.35399999999999998"/>
    <n v="0.35399999999999998"/>
    <n v="0.35399999999999998"/>
    <n v="0.35399999999999998"/>
    <n v="1"/>
    <s v="CATIVO"/>
    <n v="0"/>
    <n v="0"/>
    <n v="35"/>
    <n v="75"/>
    <n v="0"/>
    <n v="147.9"/>
    <n v="138.80000000000001"/>
    <m/>
    <n v="158.12495546956293"/>
    <n v="159.2166257105205"/>
    <n v="0"/>
    <n v="67.660020000000017"/>
    <n v="0"/>
    <n v="74.892613158499699"/>
    <x v="4"/>
  </r>
  <r>
    <s v="Regular"/>
    <x v="1"/>
    <x v="2"/>
    <x v="3"/>
    <x v="4"/>
    <x v="1"/>
    <x v="0"/>
    <x v="1"/>
    <x v="2"/>
    <n v="0"/>
    <n v="0"/>
    <n v="2819.8029999999999"/>
    <n v="2819.8029999999999"/>
    <n v="2819.8029999999999"/>
    <n v="2819.8029999999999"/>
    <n v="25869"/>
    <s v="CATIVO"/>
    <n v="0"/>
    <n v="0"/>
    <n v="35"/>
    <n v="75"/>
    <n v="0"/>
    <n v="147.9"/>
    <n v="138.80000000000001"/>
    <m/>
    <n v="158.12495546956293"/>
    <n v="159.2166257105205"/>
    <n v="0"/>
    <n v="538948.9473900001"/>
    <n v="0"/>
    <n v="596560.49509089533"/>
    <x v="4"/>
  </r>
  <r>
    <s v="Refaturamento - Regular"/>
    <x v="1"/>
    <x v="2"/>
    <x v="3"/>
    <x v="4"/>
    <x v="1"/>
    <x v="0"/>
    <x v="1"/>
    <x v="2"/>
    <n v="0"/>
    <n v="0"/>
    <n v="-7.0000000000000007E-2"/>
    <n v="-7.0000000000000007E-2"/>
    <n v="-7.0000000000000007E-2"/>
    <n v="-7.0000000000000007E-2"/>
    <n v="0"/>
    <s v="CATIVO"/>
    <n v="0"/>
    <n v="0"/>
    <n v="35"/>
    <n v="75"/>
    <n v="0"/>
    <n v="147.9"/>
    <n v="138.80000000000001"/>
    <m/>
    <n v="158.12495546956293"/>
    <n v="159.2166257105205"/>
    <n v="0"/>
    <n v="-13.379100000000005"/>
    <n v="0"/>
    <n v="-14.809273788403898"/>
    <x v="4"/>
  </r>
  <r>
    <s v="Sistema de Compensação"/>
    <x v="1"/>
    <x v="2"/>
    <x v="3"/>
    <x v="4"/>
    <x v="1"/>
    <x v="0"/>
    <x v="1"/>
    <x v="2"/>
    <n v="0"/>
    <n v="0"/>
    <n v="0.35"/>
    <n v="0.35"/>
    <n v="0.35"/>
    <n v="0.35"/>
    <n v="1"/>
    <s v="CATIVO"/>
    <n v="0"/>
    <n v="0"/>
    <n v="35"/>
    <n v="75"/>
    <n v="0"/>
    <n v="147.9"/>
    <n v="138.80000000000001"/>
    <m/>
    <n v="158.12495546956293"/>
    <n v="159.2166257105205"/>
    <n v="0"/>
    <n v="66.895500000000013"/>
    <n v="0"/>
    <n v="74.046368942019484"/>
    <x v="4"/>
  </r>
  <r>
    <s v="Regular"/>
    <x v="1"/>
    <x v="2"/>
    <x v="3"/>
    <x v="4"/>
    <x v="1"/>
    <x v="0"/>
    <x v="1"/>
    <x v="3"/>
    <n v="0"/>
    <n v="0"/>
    <n v="2696.9549999999999"/>
    <n v="2696.9549999999999"/>
    <n v="2696.9549999999999"/>
    <n v="2696.9549999999999"/>
    <n v="28492"/>
    <s v="CATIVO"/>
    <n v="0"/>
    <n v="0"/>
    <n v="35"/>
    <n v="75"/>
    <n v="0"/>
    <n v="147.9"/>
    <n v="138.80000000000001"/>
    <m/>
    <n v="158.12495546956293"/>
    <n v="159.2166257105205"/>
    <n v="0"/>
    <n v="515469.00915000011"/>
    <n v="0"/>
    <n v="570570.64271435468"/>
    <x v="4"/>
  </r>
  <r>
    <s v="Refaturamento - Regular"/>
    <x v="1"/>
    <x v="2"/>
    <x v="3"/>
    <x v="4"/>
    <x v="1"/>
    <x v="0"/>
    <x v="1"/>
    <x v="3"/>
    <n v="0"/>
    <n v="0"/>
    <n v="-0.21"/>
    <n v="-0.21"/>
    <n v="-0.21"/>
    <n v="-0.21"/>
    <n v="0"/>
    <s v="CATIVO"/>
    <n v="0"/>
    <n v="0"/>
    <n v="35"/>
    <n v="75"/>
    <n v="0"/>
    <n v="147.9"/>
    <n v="138.80000000000001"/>
    <m/>
    <n v="158.12495546956293"/>
    <n v="159.2166257105205"/>
    <n v="0"/>
    <n v="-40.13730000000001"/>
    <n v="0"/>
    <n v="-44.427821365211692"/>
    <x v="4"/>
  </r>
  <r>
    <s v="Sistema de Compensação"/>
    <x v="1"/>
    <x v="2"/>
    <x v="3"/>
    <x v="4"/>
    <x v="1"/>
    <x v="0"/>
    <x v="1"/>
    <x v="3"/>
    <n v="0"/>
    <n v="0"/>
    <n v="0.42399999999999999"/>
    <n v="0.42399999999999999"/>
    <n v="0.42399999999999999"/>
    <n v="0.42399999999999999"/>
    <n v="1"/>
    <s v="CATIVO"/>
    <n v="0"/>
    <n v="0"/>
    <n v="35"/>
    <n v="75"/>
    <n v="0"/>
    <n v="147.9"/>
    <n v="138.80000000000001"/>
    <m/>
    <n v="158.12495546956293"/>
    <n v="159.2166257105205"/>
    <n v="0"/>
    <n v="81.039120000000025"/>
    <n v="0"/>
    <n v="89.701886946903599"/>
    <x v="4"/>
  </r>
  <r>
    <s v="Regular"/>
    <x v="1"/>
    <x v="2"/>
    <x v="3"/>
    <x v="4"/>
    <x v="1"/>
    <x v="0"/>
    <x v="1"/>
    <x v="4"/>
    <n v="0"/>
    <n v="0"/>
    <n v="2604.1880000000001"/>
    <n v="2604.1880000000001"/>
    <n v="2604.1880000000001"/>
    <n v="2604.1880000000001"/>
    <n v="30535"/>
    <s v="CATIVO"/>
    <n v="0"/>
    <n v="0"/>
    <n v="35"/>
    <n v="75"/>
    <n v="0"/>
    <n v="147.9"/>
    <n v="138.80000000000001"/>
    <m/>
    <n v="158.12495546956293"/>
    <n v="159.2166257105205"/>
    <n v="0"/>
    <n v="497738.45244000014"/>
    <n v="0"/>
    <n v="550944.75840679952"/>
    <x v="4"/>
  </r>
  <r>
    <s v="Refaturamento - Regular"/>
    <x v="1"/>
    <x v="2"/>
    <x v="3"/>
    <x v="4"/>
    <x v="1"/>
    <x v="0"/>
    <x v="1"/>
    <x v="4"/>
    <n v="0"/>
    <n v="0"/>
    <n v="-0.42"/>
    <n v="-0.42"/>
    <n v="-0.42"/>
    <n v="-0.42"/>
    <n v="0"/>
    <s v="CATIVO"/>
    <n v="0"/>
    <n v="0"/>
    <n v="35"/>
    <n v="75"/>
    <n v="0"/>
    <n v="147.9"/>
    <n v="138.80000000000001"/>
    <m/>
    <n v="158.12495546956293"/>
    <n v="159.2166257105205"/>
    <n v="0"/>
    <n v="-80.274600000000021"/>
    <n v="0"/>
    <n v="-88.855642730423384"/>
    <x v="4"/>
  </r>
  <r>
    <s v="Sistema de Compensação"/>
    <x v="1"/>
    <x v="2"/>
    <x v="3"/>
    <x v="4"/>
    <x v="1"/>
    <x v="0"/>
    <x v="1"/>
    <x v="4"/>
    <n v="0"/>
    <n v="0"/>
    <n v="0.56000000000000005"/>
    <n v="0.56000000000000005"/>
    <n v="0.56000000000000005"/>
    <n v="0.56000000000000005"/>
    <n v="2"/>
    <s v="CATIVO"/>
    <n v="0"/>
    <n v="0"/>
    <n v="35"/>
    <n v="75"/>
    <n v="0"/>
    <n v="147.9"/>
    <n v="138.80000000000001"/>
    <m/>
    <n v="158.12495546956293"/>
    <n v="159.2166257105205"/>
    <n v="0"/>
    <n v="107.03280000000004"/>
    <n v="0"/>
    <n v="118.47419030723118"/>
    <x v="4"/>
  </r>
  <r>
    <s v="Regular"/>
    <x v="1"/>
    <x v="2"/>
    <x v="3"/>
    <x v="4"/>
    <x v="1"/>
    <x v="0"/>
    <x v="1"/>
    <x v="5"/>
    <n v="0"/>
    <n v="0"/>
    <n v="2703.8040000000001"/>
    <n v="2703.8040000000001"/>
    <n v="2703.8040000000001"/>
    <n v="2703.8040000000001"/>
    <n v="29593"/>
    <s v="CATIVO"/>
    <n v="0"/>
    <n v="0"/>
    <n v="35"/>
    <n v="75"/>
    <n v="0"/>
    <n v="147.9"/>
    <n v="138.80000000000001"/>
    <m/>
    <n v="158.12495546956293"/>
    <n v="159.2166257105205"/>
    <n v="0"/>
    <n v="516778.05852000014"/>
    <n v="0"/>
    <n v="572019.62437402306"/>
    <x v="4"/>
  </r>
  <r>
    <s v="Refaturamento - Regular"/>
    <x v="1"/>
    <x v="2"/>
    <x v="3"/>
    <x v="4"/>
    <x v="1"/>
    <x v="0"/>
    <x v="1"/>
    <x v="5"/>
    <n v="0"/>
    <n v="0"/>
    <n v="-1.1200000000000001"/>
    <n v="-1.1200000000000001"/>
    <n v="-1.1200000000000001"/>
    <n v="-1.1200000000000001"/>
    <n v="0"/>
    <s v="CATIVO"/>
    <n v="0"/>
    <n v="0"/>
    <n v="35"/>
    <n v="75"/>
    <n v="0"/>
    <n v="147.9"/>
    <n v="138.80000000000001"/>
    <m/>
    <n v="158.12495546956293"/>
    <n v="159.2166257105205"/>
    <n v="0"/>
    <n v="-214.06560000000007"/>
    <n v="0"/>
    <n v="-236.94838061446237"/>
    <x v="4"/>
  </r>
  <r>
    <s v="Sistema de Compensação"/>
    <x v="1"/>
    <x v="2"/>
    <x v="3"/>
    <x v="4"/>
    <x v="1"/>
    <x v="0"/>
    <x v="1"/>
    <x v="5"/>
    <n v="0"/>
    <n v="0"/>
    <n v="1.0329999999999999"/>
    <n v="1.0329999999999999"/>
    <n v="1.0329999999999999"/>
    <n v="1.0329999999999999"/>
    <n v="4"/>
    <s v="CATIVO"/>
    <n v="0"/>
    <n v="0"/>
    <n v="35"/>
    <n v="75"/>
    <n v="0"/>
    <n v="147.9"/>
    <n v="138.80000000000001"/>
    <m/>
    <n v="158.12495546956293"/>
    <n v="159.2166257105205"/>
    <n v="0"/>
    <n v="197.43729000000005"/>
    <n v="0"/>
    <n v="218.54256890601749"/>
    <x v="4"/>
  </r>
  <r>
    <s v="Regular"/>
    <x v="1"/>
    <x v="2"/>
    <x v="3"/>
    <x v="4"/>
    <x v="1"/>
    <x v="0"/>
    <x v="1"/>
    <x v="6"/>
    <n v="0"/>
    <n v="0"/>
    <n v="2601.038"/>
    <n v="2601.038"/>
    <n v="2601.038"/>
    <n v="2601.038"/>
    <n v="31913"/>
    <s v="CATIVO"/>
    <n v="0"/>
    <n v="0"/>
    <n v="35"/>
    <n v="75"/>
    <n v="0"/>
    <n v="147.9"/>
    <n v="138.80000000000001"/>
    <m/>
    <n v="158.12495546956293"/>
    <n v="159.2166257105205"/>
    <n v="0"/>
    <n v="497136.39294000017"/>
    <n v="0"/>
    <n v="550278.34108632139"/>
    <x v="4"/>
  </r>
  <r>
    <s v="Refaturamento - Regular"/>
    <x v="1"/>
    <x v="2"/>
    <x v="3"/>
    <x v="4"/>
    <x v="1"/>
    <x v="0"/>
    <x v="1"/>
    <x v="6"/>
    <n v="0"/>
    <n v="0"/>
    <n v="-0.55600000000000005"/>
    <n v="-0.55600000000000005"/>
    <n v="-0.55600000000000005"/>
    <n v="-0.55600000000000005"/>
    <n v="-2"/>
    <s v="CATIVO"/>
    <n v="0"/>
    <n v="0"/>
    <n v="35"/>
    <n v="75"/>
    <n v="0"/>
    <n v="147.9"/>
    <n v="138.80000000000001"/>
    <m/>
    <n v="158.12495546956293"/>
    <n v="159.2166257105205"/>
    <n v="0"/>
    <n v="-106.26828000000003"/>
    <n v="0"/>
    <n v="-117.62794609075097"/>
    <x v="4"/>
  </r>
  <r>
    <s v="Sistema de Compensação"/>
    <x v="1"/>
    <x v="2"/>
    <x v="3"/>
    <x v="4"/>
    <x v="1"/>
    <x v="0"/>
    <x v="1"/>
    <x v="6"/>
    <n v="0"/>
    <n v="0"/>
    <n v="0.94599999999999995"/>
    <n v="0.94599999999999995"/>
    <n v="0.94599999999999995"/>
    <n v="0.94599999999999995"/>
    <n v="7"/>
    <s v="CATIVO"/>
    <n v="0"/>
    <n v="0"/>
    <n v="35"/>
    <n v="75"/>
    <n v="0"/>
    <n v="147.9"/>
    <n v="138.80000000000001"/>
    <m/>
    <n v="158.12495546956293"/>
    <n v="159.2166257105205"/>
    <n v="0"/>
    <n v="180.80898000000005"/>
    <n v="0"/>
    <n v="200.13675719757265"/>
    <x v="4"/>
  </r>
  <r>
    <s v="Regular"/>
    <x v="1"/>
    <x v="2"/>
    <x v="3"/>
    <x v="4"/>
    <x v="1"/>
    <x v="0"/>
    <x v="1"/>
    <x v="7"/>
    <n v="0"/>
    <n v="0"/>
    <n v="2602.3040000000001"/>
    <n v="2602.3040000000001"/>
    <n v="2602.3040000000001"/>
    <n v="2602.3040000000001"/>
    <n v="31308"/>
    <s v="CATIVO"/>
    <n v="0"/>
    <n v="0"/>
    <n v="35"/>
    <n v="75"/>
    <n v="0"/>
    <n v="147.9"/>
    <n v="138.80000000000001"/>
    <m/>
    <n v="158.12495546956293"/>
    <n v="159.2166257105205"/>
    <n v="0"/>
    <n v="497378.36352000013"/>
    <n v="0"/>
    <n v="550546.17738083738"/>
    <x v="4"/>
  </r>
  <r>
    <s v="Refaturamento - Regular"/>
    <x v="1"/>
    <x v="2"/>
    <x v="3"/>
    <x v="4"/>
    <x v="1"/>
    <x v="0"/>
    <x v="1"/>
    <x v="7"/>
    <n v="0"/>
    <n v="0"/>
    <n v="-9.5000000000000001E-2"/>
    <n v="-9.5000000000000001E-2"/>
    <n v="-9.5000000000000001E-2"/>
    <n v="-9.5000000000000001E-2"/>
    <n v="-1"/>
    <s v="CATIVO"/>
    <n v="0"/>
    <n v="0"/>
    <n v="35"/>
    <n v="75"/>
    <n v="0"/>
    <n v="147.9"/>
    <n v="138.80000000000001"/>
    <m/>
    <n v="158.12495546956293"/>
    <n v="159.2166257105205"/>
    <n v="0"/>
    <n v="-18.157350000000005"/>
    <n v="0"/>
    <n v="-20.098300141405289"/>
    <x v="4"/>
  </r>
  <r>
    <s v="Sistema de Compensação"/>
    <x v="1"/>
    <x v="2"/>
    <x v="3"/>
    <x v="4"/>
    <x v="1"/>
    <x v="0"/>
    <x v="1"/>
    <x v="7"/>
    <n v="0"/>
    <n v="0"/>
    <n v="1.323"/>
    <n v="1.323"/>
    <n v="1.323"/>
    <n v="1.323"/>
    <n v="12"/>
    <s v="CATIVO"/>
    <n v="0"/>
    <n v="0"/>
    <n v="35"/>
    <n v="75"/>
    <n v="0"/>
    <n v="147.9"/>
    <n v="138.80000000000001"/>
    <m/>
    <n v="158.12495546956293"/>
    <n v="159.2166257105205"/>
    <n v="0"/>
    <n v="252.86499000000006"/>
    <n v="0"/>
    <n v="279.89527460083366"/>
    <x v="4"/>
  </r>
  <r>
    <s v="Regular"/>
    <x v="1"/>
    <x v="2"/>
    <x v="3"/>
    <x v="4"/>
    <x v="1"/>
    <x v="0"/>
    <x v="1"/>
    <x v="8"/>
    <n v="0"/>
    <n v="0"/>
    <n v="2749.038"/>
    <n v="2749.038"/>
    <n v="2749.038"/>
    <n v="2749.038"/>
    <n v="29929"/>
    <s v="CATIVO"/>
    <n v="0"/>
    <n v="0"/>
    <n v="35"/>
    <n v="75"/>
    <n v="0"/>
    <n v="147.9"/>
    <n v="138.80000000000001"/>
    <m/>
    <n v="158.12495546956293"/>
    <n v="159.2166257105205"/>
    <n v="0"/>
    <n v="525423.63294000016"/>
    <n v="0"/>
    <n v="581589.37709608965"/>
    <x v="4"/>
  </r>
  <r>
    <s v="Sistema de Compensação"/>
    <x v="1"/>
    <x v="2"/>
    <x v="3"/>
    <x v="4"/>
    <x v="1"/>
    <x v="0"/>
    <x v="1"/>
    <x v="8"/>
    <n v="0"/>
    <n v="0"/>
    <n v="1.3640000000000001"/>
    <n v="1.3640000000000001"/>
    <n v="1.3640000000000001"/>
    <n v="1.3640000000000001"/>
    <n v="11"/>
    <s v="CATIVO"/>
    <n v="0"/>
    <n v="0"/>
    <n v="35"/>
    <n v="75"/>
    <n v="0"/>
    <n v="147.9"/>
    <n v="138.80000000000001"/>
    <m/>
    <n v="158.12495546956293"/>
    <n v="159.2166257105205"/>
    <n v="0"/>
    <n v="260.70132000000007"/>
    <n v="0"/>
    <n v="288.56927781975594"/>
    <x v="4"/>
  </r>
  <r>
    <s v="Regular"/>
    <x v="1"/>
    <x v="2"/>
    <x v="3"/>
    <x v="4"/>
    <x v="1"/>
    <x v="0"/>
    <x v="1"/>
    <x v="9"/>
    <n v="0"/>
    <n v="0"/>
    <n v="2769.5880000000002"/>
    <n v="2769.5880000000002"/>
    <n v="2769.5880000000002"/>
    <n v="2769.5880000000002"/>
    <n v="29731"/>
    <s v="CATIVO"/>
    <n v="0"/>
    <n v="0"/>
    <n v="35"/>
    <n v="75"/>
    <n v="0"/>
    <n v="147.9"/>
    <n v="138.80000000000001"/>
    <m/>
    <n v="158.12495546956293"/>
    <n v="159.2166257105205"/>
    <n v="0"/>
    <n v="529351.35444000014"/>
    <n v="0"/>
    <n v="585936.95675825677"/>
    <x v="4"/>
  </r>
  <r>
    <s v="Refaturamento - Regular"/>
    <x v="1"/>
    <x v="2"/>
    <x v="3"/>
    <x v="4"/>
    <x v="1"/>
    <x v="0"/>
    <x v="1"/>
    <x v="9"/>
    <n v="0"/>
    <n v="0"/>
    <n v="-0.33100000000000002"/>
    <n v="-0.33100000000000002"/>
    <n v="-0.33100000000000002"/>
    <n v="-0.33100000000000002"/>
    <n v="-1"/>
    <s v="CATIVO"/>
    <n v="0"/>
    <n v="0"/>
    <n v="35"/>
    <n v="75"/>
    <n v="0"/>
    <n v="147.9"/>
    <n v="138.80000000000001"/>
    <m/>
    <n v="158.12495546956293"/>
    <n v="159.2166257105205"/>
    <n v="0"/>
    <n v="-63.26403000000002"/>
    <n v="0"/>
    <n v="-70.026708913738432"/>
    <x v="4"/>
  </r>
  <r>
    <s v="Sistema de Compensação"/>
    <x v="1"/>
    <x v="2"/>
    <x v="3"/>
    <x v="4"/>
    <x v="1"/>
    <x v="0"/>
    <x v="1"/>
    <x v="9"/>
    <n v="0"/>
    <n v="0"/>
    <n v="1.4750000000000001"/>
    <n v="1.4750000000000001"/>
    <n v="1.4750000000000001"/>
    <n v="1.4750000000000001"/>
    <n v="11"/>
    <s v="CATIVO"/>
    <n v="0"/>
    <n v="0"/>
    <n v="35"/>
    <n v="75"/>
    <n v="0"/>
    <n v="147.9"/>
    <n v="138.80000000000001"/>
    <m/>
    <n v="158.12495546956293"/>
    <n v="159.2166257105205"/>
    <n v="0"/>
    <n v="281.91675000000009"/>
    <n v="0"/>
    <n v="312.05255482708213"/>
    <x v="4"/>
  </r>
  <r>
    <s v="Regular"/>
    <x v="1"/>
    <x v="2"/>
    <x v="3"/>
    <x v="4"/>
    <x v="1"/>
    <x v="0"/>
    <x v="1"/>
    <x v="10"/>
    <n v="0"/>
    <n v="0"/>
    <n v="2835.3240000000001"/>
    <n v="2835.3240000000001"/>
    <n v="2835.3240000000001"/>
    <n v="2835.3240000000001"/>
    <n v="28527"/>
    <s v="CATIVO"/>
    <n v="0"/>
    <n v="0"/>
    <n v="35"/>
    <n v="75"/>
    <n v="0"/>
    <n v="147.9"/>
    <n v="138.80000000000001"/>
    <m/>
    <n v="158.12495546956293"/>
    <n v="159.2166257105205"/>
    <n v="0"/>
    <n v="541915.47612000012"/>
    <n v="0"/>
    <n v="599844.13421189273"/>
    <x v="4"/>
  </r>
  <r>
    <s v="Refaturamento - Regular"/>
    <x v="1"/>
    <x v="2"/>
    <x v="3"/>
    <x v="4"/>
    <x v="1"/>
    <x v="0"/>
    <x v="1"/>
    <x v="10"/>
    <n v="0"/>
    <n v="0"/>
    <n v="-0.27100000000000002"/>
    <n v="-0.27100000000000002"/>
    <n v="-0.27100000000000002"/>
    <n v="-0.27100000000000002"/>
    <n v="-4"/>
    <s v="CATIVO"/>
    <n v="0"/>
    <n v="0"/>
    <n v="35"/>
    <n v="75"/>
    <n v="0"/>
    <n v="147.9"/>
    <n v="138.80000000000001"/>
    <m/>
    <n v="158.12495546956293"/>
    <n v="159.2166257105205"/>
    <n v="0"/>
    <n v="-51.796230000000016"/>
    <n v="0"/>
    <n v="-57.333045666535092"/>
    <x v="4"/>
  </r>
  <r>
    <s v="Sistema de Compensação"/>
    <x v="1"/>
    <x v="2"/>
    <x v="3"/>
    <x v="4"/>
    <x v="1"/>
    <x v="0"/>
    <x v="1"/>
    <x v="10"/>
    <n v="0"/>
    <n v="0"/>
    <n v="1.7030000000000001"/>
    <n v="1.7030000000000001"/>
    <n v="1.7030000000000001"/>
    <n v="1.7030000000000001"/>
    <n v="8"/>
    <s v="CATIVO"/>
    <n v="0"/>
    <n v="0"/>
    <n v="35"/>
    <n v="75"/>
    <n v="0"/>
    <n v="147.9"/>
    <n v="138.80000000000001"/>
    <m/>
    <n v="158.12495546956293"/>
    <n v="159.2166257105205"/>
    <n v="0"/>
    <n v="325.49439000000012"/>
    <n v="0"/>
    <n v="360.28847516645482"/>
    <x v="4"/>
  </r>
  <r>
    <s v="PROJETADO"/>
    <x v="1"/>
    <x v="2"/>
    <x v="3"/>
    <x v="4"/>
    <x v="1"/>
    <x v="0"/>
    <x v="1"/>
    <x v="11"/>
    <n v="0"/>
    <n v="0"/>
    <n v="2835.3240000000001"/>
    <n v="2835.3240000000001"/>
    <n v="2835.3240000000001"/>
    <n v="2835.3240000000001"/>
    <n v="28527"/>
    <s v="CATIVO"/>
    <n v="0"/>
    <n v="0"/>
    <n v="35"/>
    <n v="75"/>
    <n v="0"/>
    <n v="147.9"/>
    <n v="138.80000000000001"/>
    <m/>
    <n v="158.12495546956293"/>
    <n v="159.2166257105205"/>
    <n v="0"/>
    <n v="541915.47612000012"/>
    <n v="0"/>
    <n v="599844.13421189273"/>
    <x v="4"/>
  </r>
  <r>
    <s v="PROJETADO"/>
    <x v="1"/>
    <x v="2"/>
    <x v="3"/>
    <x v="4"/>
    <x v="1"/>
    <x v="0"/>
    <x v="1"/>
    <x v="11"/>
    <n v="0"/>
    <n v="0"/>
    <n v="-0.27100000000000002"/>
    <n v="-0.27100000000000002"/>
    <n v="-0.27100000000000002"/>
    <n v="-0.27100000000000002"/>
    <n v="-4"/>
    <s v="CATIVO"/>
    <n v="0"/>
    <n v="0"/>
    <n v="35"/>
    <n v="75"/>
    <n v="0"/>
    <n v="147.9"/>
    <n v="138.80000000000001"/>
    <m/>
    <n v="158.12495546956293"/>
    <n v="159.2166257105205"/>
    <n v="0"/>
    <n v="-51.796230000000016"/>
    <n v="0"/>
    <n v="-57.333045666535092"/>
    <x v="4"/>
  </r>
  <r>
    <s v="PROJETADO"/>
    <x v="1"/>
    <x v="2"/>
    <x v="3"/>
    <x v="4"/>
    <x v="1"/>
    <x v="0"/>
    <x v="1"/>
    <x v="11"/>
    <n v="0"/>
    <n v="0"/>
    <n v="1.7030000000000001"/>
    <n v="1.7030000000000001"/>
    <n v="1.7030000000000001"/>
    <n v="1.7030000000000001"/>
    <n v="8"/>
    <s v="CATIVO"/>
    <n v="0"/>
    <n v="0"/>
    <n v="35"/>
    <n v="75"/>
    <n v="0"/>
    <n v="147.9"/>
    <n v="138.80000000000001"/>
    <m/>
    <n v="158.12495546956293"/>
    <n v="159.2166257105205"/>
    <n v="0"/>
    <n v="325.49439000000012"/>
    <n v="0"/>
    <n v="360.28847516645482"/>
    <x v="4"/>
  </r>
  <r>
    <s v="Regular"/>
    <x v="1"/>
    <x v="2"/>
    <x v="3"/>
    <x v="5"/>
    <x v="1"/>
    <x v="0"/>
    <x v="1"/>
    <x v="0"/>
    <n v="0"/>
    <n v="0"/>
    <n v="1090.69"/>
    <n v="1090.69"/>
    <n v="1090.69"/>
    <n v="1090.69"/>
    <n v="19553"/>
    <s v="CATIVO"/>
    <n v="0"/>
    <n v="0"/>
    <n v="36"/>
    <n v="76"/>
    <n v="0"/>
    <n v="221.85"/>
    <n v="208.2"/>
    <m/>
    <n v="237.18743320434439"/>
    <n v="238.8249385657808"/>
    <n v="0"/>
    <n v="52113.168200000066"/>
    <n v="0"/>
    <n v="57686.881529550832"/>
    <x v="4"/>
  </r>
  <r>
    <s v="Refaturamento - Regular"/>
    <x v="1"/>
    <x v="2"/>
    <x v="3"/>
    <x v="5"/>
    <x v="1"/>
    <x v="0"/>
    <x v="1"/>
    <x v="0"/>
    <n v="0"/>
    <n v="0"/>
    <n v="-4.9000000000000002E-2"/>
    <n v="-4.9000000000000002E-2"/>
    <n v="-4.9000000000000002E-2"/>
    <n v="-4.9000000000000002E-2"/>
    <n v="-1"/>
    <s v="CATIVO"/>
    <n v="0"/>
    <n v="0"/>
    <n v="36"/>
    <n v="76"/>
    <n v="0"/>
    <n v="221.85"/>
    <n v="208.2"/>
    <m/>
    <n v="237.18743320434439"/>
    <n v="238.8249385657808"/>
    <n v="0"/>
    <n v="-2.341220000000003"/>
    <n v="0"/>
    <n v="-2.5916229129706796"/>
    <x v="4"/>
  </r>
  <r>
    <s v="Sistema de Compensação"/>
    <x v="1"/>
    <x v="2"/>
    <x v="3"/>
    <x v="5"/>
    <x v="1"/>
    <x v="0"/>
    <x v="1"/>
    <x v="0"/>
    <n v="0"/>
    <n v="0"/>
    <n v="0.187"/>
    <n v="0.187"/>
    <n v="0.187"/>
    <n v="0.187"/>
    <n v="5"/>
    <s v="CATIVO"/>
    <n v="0"/>
    <n v="0"/>
    <n v="36"/>
    <n v="76"/>
    <n v="0"/>
    <n v="221.85"/>
    <n v="208.2"/>
    <m/>
    <n v="237.18743320434439"/>
    <n v="238.8249385657808"/>
    <n v="0"/>
    <n v="8.9348600000000111"/>
    <n v="0"/>
    <n v="9.8904792801125936"/>
    <x v="4"/>
  </r>
  <r>
    <s v="Regular"/>
    <x v="1"/>
    <x v="2"/>
    <x v="3"/>
    <x v="5"/>
    <x v="1"/>
    <x v="0"/>
    <x v="1"/>
    <x v="1"/>
    <n v="0"/>
    <n v="0"/>
    <n v="1264.3520000000001"/>
    <n v="1264.3520000000001"/>
    <n v="1264.3520000000001"/>
    <n v="1264.3520000000001"/>
    <n v="21419"/>
    <s v="CATIVO"/>
    <n v="0"/>
    <n v="0"/>
    <n v="36"/>
    <n v="76"/>
    <n v="0"/>
    <n v="221.85"/>
    <n v="208.2"/>
    <m/>
    <n v="237.18743320434439"/>
    <n v="238.8249385657808"/>
    <n v="0"/>
    <n v="60410.738560000078"/>
    <n v="0"/>
    <n v="66871.910474700097"/>
    <x v="4"/>
  </r>
  <r>
    <s v="Refaturamento - Regular"/>
    <x v="1"/>
    <x v="2"/>
    <x v="3"/>
    <x v="5"/>
    <x v="1"/>
    <x v="0"/>
    <x v="1"/>
    <x v="1"/>
    <n v="0"/>
    <n v="0"/>
    <n v="-0.39400000000000002"/>
    <n v="-0.39400000000000002"/>
    <n v="-0.39400000000000002"/>
    <n v="-0.39400000000000002"/>
    <n v="-3"/>
    <s v="CATIVO"/>
    <n v="0"/>
    <n v="0"/>
    <n v="36"/>
    <n v="76"/>
    <n v="0"/>
    <n v="221.85"/>
    <n v="208.2"/>
    <m/>
    <n v="237.18743320434439"/>
    <n v="238.8249385657808"/>
    <n v="0"/>
    <n v="-18.825320000000023"/>
    <n v="0"/>
    <n v="-20.838763830825464"/>
    <x v="4"/>
  </r>
  <r>
    <s v="Sistema de Compensação"/>
    <x v="1"/>
    <x v="2"/>
    <x v="3"/>
    <x v="5"/>
    <x v="1"/>
    <x v="0"/>
    <x v="1"/>
    <x v="1"/>
    <n v="0"/>
    <n v="0"/>
    <n v="7.0000000000000007E-2"/>
    <n v="7.0000000000000007E-2"/>
    <n v="7.0000000000000007E-2"/>
    <n v="7.0000000000000007E-2"/>
    <n v="8"/>
    <s v="CATIVO"/>
    <n v="0"/>
    <n v="0"/>
    <n v="36"/>
    <n v="76"/>
    <n v="0"/>
    <n v="221.85"/>
    <n v="208.2"/>
    <m/>
    <n v="237.18743320434439"/>
    <n v="238.8249385657808"/>
    <n v="0"/>
    <n v="3.3446000000000042"/>
    <n v="0"/>
    <n v="3.7023184471009714"/>
    <x v="4"/>
  </r>
  <r>
    <s v="Regular"/>
    <x v="1"/>
    <x v="2"/>
    <x v="3"/>
    <x v="5"/>
    <x v="1"/>
    <x v="0"/>
    <x v="1"/>
    <x v="2"/>
    <n v="0"/>
    <n v="0"/>
    <n v="1304.2639999999999"/>
    <n v="1304.2639999999999"/>
    <n v="1304.2639999999999"/>
    <n v="1304.2639999999999"/>
    <n v="21669"/>
    <s v="CATIVO"/>
    <n v="0"/>
    <n v="0"/>
    <n v="36"/>
    <n v="76"/>
    <n v="0"/>
    <n v="221.85"/>
    <n v="208.2"/>
    <m/>
    <n v="237.18743320434439"/>
    <n v="238.8249385657808"/>
    <n v="0"/>
    <n v="62317.733920000072"/>
    <n v="0"/>
    <n v="68982.866672710006"/>
    <x v="4"/>
  </r>
  <r>
    <s v="Refaturamento - Regular"/>
    <x v="1"/>
    <x v="2"/>
    <x v="3"/>
    <x v="5"/>
    <x v="1"/>
    <x v="0"/>
    <x v="1"/>
    <x v="2"/>
    <n v="0"/>
    <n v="0"/>
    <n v="-6.8000000000000005E-2"/>
    <n v="-6.8000000000000005E-2"/>
    <n v="-6.8000000000000005E-2"/>
    <n v="-6.8000000000000005E-2"/>
    <n v="-1"/>
    <s v="CATIVO"/>
    <n v="0"/>
    <n v="0"/>
    <n v="36"/>
    <n v="76"/>
    <n v="0"/>
    <n v="221.85"/>
    <n v="208.2"/>
    <m/>
    <n v="237.18743320434439"/>
    <n v="238.8249385657808"/>
    <n v="0"/>
    <n v="-3.2490400000000044"/>
    <n v="0"/>
    <n v="-3.5965379200409435"/>
    <x v="4"/>
  </r>
  <r>
    <s v="Sistema de Compensação"/>
    <x v="1"/>
    <x v="2"/>
    <x v="3"/>
    <x v="5"/>
    <x v="1"/>
    <x v="0"/>
    <x v="1"/>
    <x v="2"/>
    <n v="0"/>
    <n v="0"/>
    <n v="0.14199999999999999"/>
    <n v="0.14199999999999999"/>
    <n v="0.14199999999999999"/>
    <n v="0.14199999999999999"/>
    <n v="7"/>
    <s v="CATIVO"/>
    <n v="0"/>
    <n v="0"/>
    <n v="36"/>
    <n v="76"/>
    <n v="0"/>
    <n v="221.85"/>
    <n v="208.2"/>
    <m/>
    <n v="237.18743320434439"/>
    <n v="238.8249385657808"/>
    <n v="0"/>
    <n v="6.7847600000000075"/>
    <n v="0"/>
    <n v="7.5104174212619688"/>
    <x v="4"/>
  </r>
  <r>
    <s v="Regular"/>
    <x v="1"/>
    <x v="2"/>
    <x v="3"/>
    <x v="5"/>
    <x v="1"/>
    <x v="0"/>
    <x v="1"/>
    <x v="3"/>
    <n v="0"/>
    <n v="0"/>
    <n v="1105.57"/>
    <n v="1105.57"/>
    <n v="1105.57"/>
    <n v="1105.57"/>
    <n v="19659"/>
    <s v="CATIVO"/>
    <n v="0"/>
    <n v="0"/>
    <n v="36"/>
    <n v="76"/>
    <n v="0"/>
    <n v="221.85"/>
    <n v="208.2"/>
    <m/>
    <n v="237.18743320434439"/>
    <n v="238.8249385657808"/>
    <n v="0"/>
    <n v="52824.134600000063"/>
    <n v="0"/>
    <n v="58473.88865087743"/>
    <x v="4"/>
  </r>
  <r>
    <s v="Refaturamento - Regular"/>
    <x v="1"/>
    <x v="2"/>
    <x v="3"/>
    <x v="5"/>
    <x v="1"/>
    <x v="0"/>
    <x v="1"/>
    <x v="3"/>
    <n v="0"/>
    <n v="0"/>
    <n v="-0.28499999999999998"/>
    <n v="-0.28499999999999998"/>
    <n v="-0.28499999999999998"/>
    <n v="-0.28499999999999998"/>
    <n v="-2"/>
    <s v="CATIVO"/>
    <n v="0"/>
    <n v="0"/>
    <n v="36"/>
    <n v="76"/>
    <n v="0"/>
    <n v="221.85"/>
    <n v="208.2"/>
    <m/>
    <n v="237.18743320434439"/>
    <n v="238.8249385657808"/>
    <n v="0"/>
    <n v="-13.617300000000016"/>
    <n v="0"/>
    <n v="-15.073725106053951"/>
    <x v="4"/>
  </r>
  <r>
    <s v="Sistema de Compensação"/>
    <x v="1"/>
    <x v="2"/>
    <x v="3"/>
    <x v="5"/>
    <x v="1"/>
    <x v="0"/>
    <x v="1"/>
    <x v="3"/>
    <n v="0"/>
    <n v="0"/>
    <n v="0.20399999999999999"/>
    <n v="0.20399999999999999"/>
    <n v="0.20399999999999999"/>
    <n v="0.20399999999999999"/>
    <n v="8"/>
    <s v="CATIVO"/>
    <n v="0"/>
    <n v="0"/>
    <n v="36"/>
    <n v="76"/>
    <n v="0"/>
    <n v="221.85"/>
    <n v="208.2"/>
    <m/>
    <n v="237.18743320434439"/>
    <n v="238.8249385657808"/>
    <n v="0"/>
    <n v="9.7471200000000113"/>
    <n v="0"/>
    <n v="10.789613760122828"/>
    <x v="4"/>
  </r>
  <r>
    <s v="Regular"/>
    <x v="1"/>
    <x v="2"/>
    <x v="3"/>
    <x v="5"/>
    <x v="1"/>
    <x v="0"/>
    <x v="1"/>
    <x v="4"/>
    <n v="0"/>
    <n v="0"/>
    <n v="966.56200000000001"/>
    <n v="966.56200000000001"/>
    <n v="966.56200000000001"/>
    <n v="966.56200000000001"/>
    <n v="18081"/>
    <s v="CATIVO"/>
    <n v="0"/>
    <n v="0"/>
    <n v="36"/>
    <n v="76"/>
    <n v="0"/>
    <n v="221.85"/>
    <n v="208.2"/>
    <m/>
    <n v="237.18743320434439"/>
    <n v="238.8249385657808"/>
    <n v="0"/>
    <n v="46182.332360000059"/>
    <n v="0"/>
    <n v="51121.718898097264"/>
    <x v="4"/>
  </r>
  <r>
    <s v="Refaturamento - Regular"/>
    <x v="1"/>
    <x v="2"/>
    <x v="3"/>
    <x v="5"/>
    <x v="1"/>
    <x v="0"/>
    <x v="1"/>
    <x v="4"/>
    <n v="0"/>
    <n v="0"/>
    <n v="-0.505"/>
    <n v="-0.505"/>
    <n v="-0.505"/>
    <n v="-0.505"/>
    <n v="-2"/>
    <s v="CATIVO"/>
    <n v="0"/>
    <n v="0"/>
    <n v="36"/>
    <n v="76"/>
    <n v="0"/>
    <n v="221.85"/>
    <n v="208.2"/>
    <m/>
    <n v="237.18743320434439"/>
    <n v="238.8249385657808"/>
    <n v="0"/>
    <n v="-24.12890000000003"/>
    <n v="0"/>
    <n v="-26.709583082657005"/>
    <x v="4"/>
  </r>
  <r>
    <s v="Sistema de Compensação"/>
    <x v="1"/>
    <x v="2"/>
    <x v="3"/>
    <x v="5"/>
    <x v="1"/>
    <x v="0"/>
    <x v="1"/>
    <x v="4"/>
    <n v="0"/>
    <n v="0"/>
    <n v="0.34200000000000003"/>
    <n v="0.34200000000000003"/>
    <n v="0.34200000000000003"/>
    <n v="0.34200000000000003"/>
    <n v="8"/>
    <s v="CATIVO"/>
    <n v="0"/>
    <n v="0"/>
    <n v="36"/>
    <n v="76"/>
    <n v="0"/>
    <n v="221.85"/>
    <n v="208.2"/>
    <m/>
    <n v="237.18743320434439"/>
    <n v="238.8249385657808"/>
    <n v="0"/>
    <n v="16.340760000000021"/>
    <n v="0"/>
    <n v="18.088470127264745"/>
    <x v="4"/>
  </r>
  <r>
    <s v="Regular"/>
    <x v="1"/>
    <x v="2"/>
    <x v="3"/>
    <x v="5"/>
    <x v="1"/>
    <x v="0"/>
    <x v="1"/>
    <x v="5"/>
    <n v="0"/>
    <n v="0"/>
    <n v="1072.556"/>
    <n v="1072.556"/>
    <n v="1072.556"/>
    <n v="1072.556"/>
    <n v="19325"/>
    <s v="CATIVO"/>
    <n v="0"/>
    <n v="0"/>
    <n v="36"/>
    <n v="76"/>
    <n v="0"/>
    <n v="221.85"/>
    <n v="208.2"/>
    <m/>
    <n v="237.18743320434439"/>
    <n v="238.8249385657808"/>
    <n v="0"/>
    <n v="51246.725680000061"/>
    <n v="0"/>
    <n v="56727.769490697559"/>
    <x v="4"/>
  </r>
  <r>
    <s v="Refaturamento - Regular"/>
    <x v="1"/>
    <x v="2"/>
    <x v="3"/>
    <x v="5"/>
    <x v="1"/>
    <x v="0"/>
    <x v="1"/>
    <x v="5"/>
    <n v="0"/>
    <n v="0"/>
    <n v="-1.5"/>
    <n v="-1.5"/>
    <n v="-1.5"/>
    <n v="-1.5"/>
    <n v="-6"/>
    <s v="CATIVO"/>
    <n v="0"/>
    <n v="0"/>
    <n v="36"/>
    <n v="76"/>
    <n v="0"/>
    <n v="221.85"/>
    <n v="208.2"/>
    <m/>
    <n v="237.18743320434439"/>
    <n v="238.8249385657808"/>
    <n v="0"/>
    <n v="-71.670000000000087"/>
    <n v="0"/>
    <n v="-79.335395295020803"/>
    <x v="4"/>
  </r>
  <r>
    <s v="Sistema de Compensação"/>
    <x v="1"/>
    <x v="2"/>
    <x v="3"/>
    <x v="5"/>
    <x v="1"/>
    <x v="0"/>
    <x v="1"/>
    <x v="5"/>
    <n v="0"/>
    <n v="0"/>
    <n v="0.46500000000000002"/>
    <n v="0.46500000000000002"/>
    <n v="0.46500000000000002"/>
    <n v="0.46500000000000002"/>
    <n v="12"/>
    <s v="CATIVO"/>
    <n v="0"/>
    <n v="0"/>
    <n v="36"/>
    <n v="76"/>
    <n v="0"/>
    <n v="221.85"/>
    <n v="208.2"/>
    <m/>
    <n v="237.18743320434439"/>
    <n v="238.8249385657808"/>
    <n v="0"/>
    <n v="22.217700000000029"/>
    <n v="0"/>
    <n v="24.593972541456449"/>
    <x v="4"/>
  </r>
  <r>
    <s v="Regular"/>
    <x v="1"/>
    <x v="2"/>
    <x v="3"/>
    <x v="5"/>
    <x v="1"/>
    <x v="0"/>
    <x v="1"/>
    <x v="6"/>
    <n v="0"/>
    <n v="0"/>
    <n v="913.09900000000005"/>
    <n v="913.09900000000005"/>
    <n v="913.09900000000005"/>
    <n v="913.09900000000005"/>
    <n v="17686"/>
    <s v="CATIVO"/>
    <n v="0"/>
    <n v="0"/>
    <n v="36"/>
    <n v="76"/>
    <n v="0"/>
    <n v="221.85"/>
    <n v="208.2"/>
    <m/>
    <n v="237.18743320434439"/>
    <n v="238.8249385657808"/>
    <n v="0"/>
    <n v="43627.870220000055"/>
    <n v="0"/>
    <n v="48294.046738992132"/>
    <x v="4"/>
  </r>
  <r>
    <s v="Refaturamento - Regular"/>
    <x v="1"/>
    <x v="2"/>
    <x v="3"/>
    <x v="5"/>
    <x v="1"/>
    <x v="0"/>
    <x v="1"/>
    <x v="6"/>
    <n v="0"/>
    <n v="0"/>
    <n v="-0.48"/>
    <n v="-0.48"/>
    <n v="-0.48"/>
    <n v="-0.48"/>
    <n v="-3"/>
    <s v="CATIVO"/>
    <n v="0"/>
    <n v="0"/>
    <n v="36"/>
    <n v="76"/>
    <n v="0"/>
    <n v="221.85"/>
    <n v="208.2"/>
    <m/>
    <n v="237.18743320434439"/>
    <n v="238.8249385657808"/>
    <n v="0"/>
    <n v="-22.934400000000029"/>
    <n v="0"/>
    <n v="-25.387326494406654"/>
    <x v="4"/>
  </r>
  <r>
    <s v="Sistema de Compensação"/>
    <x v="1"/>
    <x v="2"/>
    <x v="3"/>
    <x v="5"/>
    <x v="1"/>
    <x v="0"/>
    <x v="1"/>
    <x v="6"/>
    <n v="0"/>
    <n v="0"/>
    <n v="0.64700000000000002"/>
    <n v="0.64700000000000002"/>
    <n v="0.64700000000000002"/>
    <n v="0.64700000000000002"/>
    <n v="13"/>
    <s v="CATIVO"/>
    <n v="0"/>
    <n v="0"/>
    <n v="36"/>
    <n v="76"/>
    <n v="0"/>
    <n v="221.85"/>
    <n v="208.2"/>
    <m/>
    <n v="237.18743320434439"/>
    <n v="238.8249385657808"/>
    <n v="0"/>
    <n v="30.913660000000039"/>
    <n v="0"/>
    <n v="34.220000503918975"/>
    <x v="4"/>
  </r>
  <r>
    <s v="Regular"/>
    <x v="1"/>
    <x v="2"/>
    <x v="3"/>
    <x v="5"/>
    <x v="1"/>
    <x v="0"/>
    <x v="1"/>
    <x v="7"/>
    <n v="0"/>
    <n v="0"/>
    <n v="929.56600000000003"/>
    <n v="929.56600000000003"/>
    <n v="929.56600000000003"/>
    <n v="929.56600000000003"/>
    <n v="17764"/>
    <s v="CATIVO"/>
    <n v="0"/>
    <n v="0"/>
    <n v="36"/>
    <n v="76"/>
    <n v="0"/>
    <n v="221.85"/>
    <n v="208.2"/>
    <m/>
    <n v="237.18743320434439"/>
    <n v="238.8249385657808"/>
    <n v="0"/>
    <n v="44414.663480000054"/>
    <n v="0"/>
    <n v="49164.99070854087"/>
    <x v="4"/>
  </r>
  <r>
    <s v="Refaturamento - Regular"/>
    <x v="1"/>
    <x v="2"/>
    <x v="3"/>
    <x v="5"/>
    <x v="1"/>
    <x v="0"/>
    <x v="1"/>
    <x v="7"/>
    <n v="0"/>
    <n v="0"/>
    <n v="-0.12"/>
    <n v="-0.12"/>
    <n v="-0.12"/>
    <n v="-0.12"/>
    <n v="0"/>
    <s v="CATIVO"/>
    <n v="0"/>
    <n v="0"/>
    <n v="36"/>
    <n v="76"/>
    <n v="0"/>
    <n v="221.85"/>
    <n v="208.2"/>
    <m/>
    <n v="237.18743320434439"/>
    <n v="238.8249385657808"/>
    <n v="0"/>
    <n v="-5.7336000000000071"/>
    <n v="0"/>
    <n v="-6.3468316236016635"/>
    <x v="4"/>
  </r>
  <r>
    <s v="Sistema de Compensação"/>
    <x v="1"/>
    <x v="2"/>
    <x v="3"/>
    <x v="5"/>
    <x v="1"/>
    <x v="0"/>
    <x v="1"/>
    <x v="7"/>
    <n v="0"/>
    <n v="0"/>
    <n v="0.47599999999999998"/>
    <n v="0.47599999999999998"/>
    <n v="0.47599999999999998"/>
    <n v="0.47599999999999998"/>
    <n v="8"/>
    <s v="CATIVO"/>
    <n v="0"/>
    <n v="0"/>
    <n v="36"/>
    <n v="76"/>
    <n v="0"/>
    <n v="221.85"/>
    <n v="208.2"/>
    <m/>
    <n v="237.18743320434439"/>
    <n v="238.8249385657808"/>
    <n v="0"/>
    <n v="22.743280000000027"/>
    <n v="0"/>
    <n v="25.1757654402866"/>
    <x v="4"/>
  </r>
  <r>
    <s v="Regular"/>
    <x v="1"/>
    <x v="2"/>
    <x v="3"/>
    <x v="5"/>
    <x v="1"/>
    <x v="0"/>
    <x v="1"/>
    <x v="8"/>
    <n v="0"/>
    <n v="0"/>
    <n v="1069.4159999999999"/>
    <n v="1069.4159999999999"/>
    <n v="1069.4159999999999"/>
    <n v="1069.4159999999999"/>
    <n v="19709"/>
    <s v="CATIVO"/>
    <n v="0"/>
    <n v="0"/>
    <n v="36"/>
    <n v="76"/>
    <n v="0"/>
    <n v="221.85"/>
    <n v="208.2"/>
    <m/>
    <n v="237.18743320434439"/>
    <n v="238.8249385657808"/>
    <n v="0"/>
    <n v="51096.696480000057"/>
    <n v="0"/>
    <n v="56561.694063213305"/>
    <x v="4"/>
  </r>
  <r>
    <s v="Sistema de Compensação"/>
    <x v="1"/>
    <x v="2"/>
    <x v="3"/>
    <x v="5"/>
    <x v="1"/>
    <x v="0"/>
    <x v="1"/>
    <x v="8"/>
    <n v="0"/>
    <n v="0"/>
    <n v="0.67600000000000005"/>
    <n v="0.67600000000000005"/>
    <n v="0.67600000000000005"/>
    <n v="0.67600000000000005"/>
    <n v="14"/>
    <s v="CATIVO"/>
    <n v="0"/>
    <n v="0"/>
    <n v="36"/>
    <n v="76"/>
    <n v="0"/>
    <n v="221.85"/>
    <n v="208.2"/>
    <m/>
    <n v="237.18743320434439"/>
    <n v="238.8249385657808"/>
    <n v="0"/>
    <n v="32.299280000000039"/>
    <n v="0"/>
    <n v="35.753818146289376"/>
    <x v="4"/>
  </r>
  <r>
    <s v="Regular"/>
    <x v="1"/>
    <x v="2"/>
    <x v="3"/>
    <x v="5"/>
    <x v="1"/>
    <x v="0"/>
    <x v="1"/>
    <x v="9"/>
    <n v="0"/>
    <n v="0"/>
    <n v="1095.4280000000001"/>
    <n v="1095.4280000000001"/>
    <n v="1095.4280000000001"/>
    <n v="1095.4280000000001"/>
    <n v="19840"/>
    <s v="CATIVO"/>
    <n v="0"/>
    <n v="0"/>
    <n v="36"/>
    <n v="76"/>
    <n v="0"/>
    <n v="221.85"/>
    <n v="208.2"/>
    <m/>
    <n v="237.18743320434439"/>
    <n v="238.8249385657808"/>
    <n v="0"/>
    <n v="52339.549840000072"/>
    <n v="0"/>
    <n v="57937.475598156037"/>
    <x v="4"/>
  </r>
  <r>
    <s v="Refaturamento - Regular"/>
    <x v="1"/>
    <x v="2"/>
    <x v="3"/>
    <x v="5"/>
    <x v="1"/>
    <x v="0"/>
    <x v="1"/>
    <x v="9"/>
    <n v="0"/>
    <n v="0"/>
    <n v="-0.33200000000000002"/>
    <n v="-0.33200000000000002"/>
    <n v="-0.33200000000000002"/>
    <n v="-0.33200000000000002"/>
    <n v="-3"/>
    <s v="CATIVO"/>
    <n v="0"/>
    <n v="0"/>
    <n v="36"/>
    <n v="76"/>
    <n v="0"/>
    <n v="221.85"/>
    <n v="208.2"/>
    <m/>
    <n v="237.18743320434439"/>
    <n v="238.8249385657808"/>
    <n v="0"/>
    <n v="-15.862960000000021"/>
    <n v="0"/>
    <n v="-17.559567491964604"/>
    <x v="4"/>
  </r>
  <r>
    <s v="Sistema de Compensação"/>
    <x v="1"/>
    <x v="2"/>
    <x v="3"/>
    <x v="5"/>
    <x v="1"/>
    <x v="0"/>
    <x v="1"/>
    <x v="9"/>
    <n v="0"/>
    <n v="0"/>
    <n v="1.2170000000000001"/>
    <n v="1.2170000000000001"/>
    <n v="1.2170000000000001"/>
    <n v="1.2170000000000001"/>
    <n v="14"/>
    <s v="CATIVO"/>
    <n v="0"/>
    <n v="0"/>
    <n v="36"/>
    <n v="76"/>
    <n v="0"/>
    <n v="221.85"/>
    <n v="208.2"/>
    <m/>
    <n v="237.18743320434439"/>
    <n v="238.8249385657808"/>
    <n v="0"/>
    <n v="58.148260000000072"/>
    <n v="0"/>
    <n v="64.36745071602688"/>
    <x v="4"/>
  </r>
  <r>
    <s v="Regular"/>
    <x v="1"/>
    <x v="2"/>
    <x v="3"/>
    <x v="5"/>
    <x v="1"/>
    <x v="0"/>
    <x v="1"/>
    <x v="10"/>
    <n v="0"/>
    <n v="0"/>
    <n v="1199.095"/>
    <n v="1199.095"/>
    <n v="1199.095"/>
    <n v="1199.095"/>
    <n v="20824"/>
    <s v="CATIVO"/>
    <n v="0"/>
    <n v="0"/>
    <n v="36"/>
    <n v="76"/>
    <n v="0"/>
    <n v="221.85"/>
    <n v="208.2"/>
    <m/>
    <n v="237.18743320434439"/>
    <n v="238.8249385657808"/>
    <n v="0"/>
    <n v="57292.759100000068"/>
    <n v="0"/>
    <n v="63420.450547521978"/>
    <x v="4"/>
  </r>
  <r>
    <s v="Refaturamento - Regular"/>
    <x v="1"/>
    <x v="2"/>
    <x v="3"/>
    <x v="5"/>
    <x v="1"/>
    <x v="0"/>
    <x v="1"/>
    <x v="10"/>
    <n v="0"/>
    <n v="0"/>
    <n v="-0.155"/>
    <n v="-0.155"/>
    <n v="-0.155"/>
    <n v="-0.155"/>
    <n v="-1"/>
    <s v="CATIVO"/>
    <n v="0"/>
    <n v="0"/>
    <n v="36"/>
    <n v="76"/>
    <n v="0"/>
    <n v="221.85"/>
    <n v="208.2"/>
    <m/>
    <n v="237.18743320434439"/>
    <n v="238.8249385657808"/>
    <n v="0"/>
    <n v="-7.4059000000000088"/>
    <n v="0"/>
    <n v="-8.1979908471521501"/>
    <x v="4"/>
  </r>
  <r>
    <s v="Sistema de Compensação"/>
    <x v="1"/>
    <x v="2"/>
    <x v="3"/>
    <x v="5"/>
    <x v="1"/>
    <x v="0"/>
    <x v="1"/>
    <x v="10"/>
    <n v="0"/>
    <n v="0"/>
    <n v="1.5429999999999999"/>
    <n v="1.5429999999999999"/>
    <n v="1.5429999999999999"/>
    <n v="1.5429999999999999"/>
    <n v="16"/>
    <s v="CATIVO"/>
    <n v="0"/>
    <n v="0"/>
    <n v="36"/>
    <n v="76"/>
    <n v="0"/>
    <n v="221.85"/>
    <n v="208.2"/>
    <m/>
    <n v="237.18743320434439"/>
    <n v="238.8249385657808"/>
    <n v="0"/>
    <n v="73.72454000000009"/>
    <n v="0"/>
    <n v="81.609676626811392"/>
    <x v="4"/>
  </r>
  <r>
    <s v="PROJETADO"/>
    <x v="1"/>
    <x v="2"/>
    <x v="3"/>
    <x v="5"/>
    <x v="1"/>
    <x v="0"/>
    <x v="1"/>
    <x v="11"/>
    <n v="0"/>
    <n v="0"/>
    <n v="1199.095"/>
    <n v="1199.095"/>
    <n v="1199.095"/>
    <n v="1199.095"/>
    <n v="20824"/>
    <s v="CATIVO"/>
    <n v="0"/>
    <n v="0"/>
    <n v="36"/>
    <n v="76"/>
    <n v="0"/>
    <n v="221.85"/>
    <n v="208.2"/>
    <m/>
    <n v="237.18743320434439"/>
    <n v="238.8249385657808"/>
    <n v="0"/>
    <n v="57292.759100000068"/>
    <n v="0"/>
    <n v="63420.450547521978"/>
    <x v="4"/>
  </r>
  <r>
    <s v="PROJETADO"/>
    <x v="1"/>
    <x v="2"/>
    <x v="3"/>
    <x v="5"/>
    <x v="1"/>
    <x v="0"/>
    <x v="1"/>
    <x v="11"/>
    <n v="0"/>
    <n v="0"/>
    <n v="-0.155"/>
    <n v="-0.155"/>
    <n v="-0.155"/>
    <n v="-0.155"/>
    <n v="-1"/>
    <s v="CATIVO"/>
    <n v="0"/>
    <n v="0"/>
    <n v="36"/>
    <n v="76"/>
    <n v="0"/>
    <n v="221.85"/>
    <n v="208.2"/>
    <m/>
    <n v="237.18743320434439"/>
    <n v="238.8249385657808"/>
    <n v="0"/>
    <n v="-7.4059000000000088"/>
    <n v="0"/>
    <n v="-8.1979908471521501"/>
    <x v="4"/>
  </r>
  <r>
    <s v="PROJETADO"/>
    <x v="1"/>
    <x v="2"/>
    <x v="3"/>
    <x v="5"/>
    <x v="1"/>
    <x v="0"/>
    <x v="1"/>
    <x v="11"/>
    <n v="0"/>
    <n v="0"/>
    <n v="1.5429999999999999"/>
    <n v="1.5429999999999999"/>
    <n v="1.5429999999999999"/>
    <n v="1.5429999999999999"/>
    <n v="16"/>
    <s v="CATIVO"/>
    <n v="0"/>
    <n v="0"/>
    <n v="36"/>
    <n v="76"/>
    <n v="0"/>
    <n v="221.85"/>
    <n v="208.2"/>
    <m/>
    <n v="237.18743320434439"/>
    <n v="238.8249385657808"/>
    <n v="0"/>
    <n v="73.72454000000009"/>
    <n v="0"/>
    <n v="81.609676626811392"/>
    <x v="4"/>
  </r>
  <r>
    <s v="Regular"/>
    <x v="1"/>
    <x v="2"/>
    <x v="3"/>
    <x v="6"/>
    <x v="1"/>
    <x v="0"/>
    <x v="1"/>
    <x v="0"/>
    <n v="0"/>
    <n v="0"/>
    <n v="229.078"/>
    <n v="229.078"/>
    <n v="229.078"/>
    <n v="229.078"/>
    <n v="2614"/>
    <s v="CATIVO"/>
    <n v="0"/>
    <n v="0"/>
    <n v="37"/>
    <n v="77"/>
    <n v="0"/>
    <n v="246.5"/>
    <n v="231.33"/>
    <m/>
    <n v="263.54159244927155"/>
    <n v="265.36104285086753"/>
    <n v="0"/>
    <n v="6.5107883528980893E-12"/>
    <n v="0"/>
    <n v="0"/>
    <x v="4"/>
  </r>
  <r>
    <s v="Sistema de Compensação"/>
    <x v="1"/>
    <x v="2"/>
    <x v="3"/>
    <x v="6"/>
    <x v="1"/>
    <x v="0"/>
    <x v="1"/>
    <x v="0"/>
    <n v="0"/>
    <n v="0"/>
    <n v="1.423"/>
    <n v="1.423"/>
    <n v="1.423"/>
    <n v="1.423"/>
    <n v="6"/>
    <s v="CATIVO"/>
    <n v="0"/>
    <n v="0"/>
    <n v="37"/>
    <n v="77"/>
    <n v="0"/>
    <n v="246.5"/>
    <n v="231.33"/>
    <m/>
    <n v="263.54159244927155"/>
    <n v="265.36104285086753"/>
    <n v="0"/>
    <n v="4.0444092519464904E-14"/>
    <n v="0"/>
    <n v="0"/>
    <x v="4"/>
  </r>
  <r>
    <s v="Regular"/>
    <x v="1"/>
    <x v="2"/>
    <x v="3"/>
    <x v="6"/>
    <x v="1"/>
    <x v="0"/>
    <x v="1"/>
    <x v="1"/>
    <n v="0"/>
    <n v="0"/>
    <n v="288.39699999999999"/>
    <n v="288.39699999999999"/>
    <n v="288.39699999999999"/>
    <n v="288.39699999999999"/>
    <n v="3227"/>
    <s v="CATIVO"/>
    <n v="0"/>
    <n v="0"/>
    <n v="37"/>
    <n v="77"/>
    <n v="0"/>
    <n v="246.5"/>
    <n v="231.33"/>
    <m/>
    <n v="263.54159244927155"/>
    <n v="265.36104285086753"/>
    <n v="0"/>
    <n v="8.1967357346002243E-12"/>
    <n v="0"/>
    <n v="0"/>
    <x v="4"/>
  </r>
  <r>
    <s v="Refaturamento - Regular"/>
    <x v="1"/>
    <x v="2"/>
    <x v="3"/>
    <x v="6"/>
    <x v="1"/>
    <x v="0"/>
    <x v="1"/>
    <x v="1"/>
    <n v="0"/>
    <n v="0"/>
    <n v="-0.627"/>
    <n v="-0.627"/>
    <n v="-0.627"/>
    <n v="-0.627"/>
    <n v="-3"/>
    <s v="CATIVO"/>
    <n v="0"/>
    <n v="0"/>
    <n v="37"/>
    <n v="77"/>
    <n v="0"/>
    <n v="246.5"/>
    <n v="231.33"/>
    <m/>
    <n v="263.54159244927155"/>
    <n v="265.36104285086753"/>
    <n v="0"/>
    <n v="-1.7820411812863313E-14"/>
    <n v="0"/>
    <n v="0"/>
    <x v="4"/>
  </r>
  <r>
    <s v="Sistema de Compensação"/>
    <x v="1"/>
    <x v="2"/>
    <x v="3"/>
    <x v="6"/>
    <x v="1"/>
    <x v="0"/>
    <x v="1"/>
    <x v="1"/>
    <n v="0"/>
    <n v="0"/>
    <n v="1.5620000000000001"/>
    <n v="1.5620000000000001"/>
    <n v="1.5620000000000001"/>
    <n v="1.5620000000000001"/>
    <n v="6"/>
    <s v="CATIVO"/>
    <n v="0"/>
    <n v="0"/>
    <n v="37"/>
    <n v="77"/>
    <n v="0"/>
    <n v="246.5"/>
    <n v="231.33"/>
    <m/>
    <n v="263.54159244927155"/>
    <n v="265.36104285086753"/>
    <n v="0"/>
    <n v="4.4394710130291061E-14"/>
    <n v="0"/>
    <n v="0"/>
    <x v="4"/>
  </r>
  <r>
    <s v="Regular"/>
    <x v="1"/>
    <x v="2"/>
    <x v="3"/>
    <x v="6"/>
    <x v="1"/>
    <x v="0"/>
    <x v="1"/>
    <x v="2"/>
    <n v="0"/>
    <n v="0"/>
    <n v="290.33600000000001"/>
    <n v="290.33600000000001"/>
    <n v="290.33600000000001"/>
    <n v="290.33600000000001"/>
    <n v="3403"/>
    <s v="CATIVO"/>
    <n v="0"/>
    <n v="0"/>
    <n v="37"/>
    <n v="77"/>
    <n v="0"/>
    <n v="246.5"/>
    <n v="231.33"/>
    <m/>
    <n v="263.54159244927155"/>
    <n v="265.36104285086753"/>
    <n v="0"/>
    <n v="8.2518454291857783E-12"/>
    <n v="0"/>
    <n v="0"/>
    <x v="4"/>
  </r>
  <r>
    <s v="Sistema de Compensação"/>
    <x v="1"/>
    <x v="2"/>
    <x v="3"/>
    <x v="6"/>
    <x v="1"/>
    <x v="0"/>
    <x v="1"/>
    <x v="2"/>
    <n v="0"/>
    <n v="0"/>
    <n v="1.69"/>
    <n v="1.69"/>
    <n v="1.69"/>
    <n v="1.69"/>
    <n v="7"/>
    <s v="CATIVO"/>
    <n v="0"/>
    <n v="0"/>
    <n v="37"/>
    <n v="77"/>
    <n v="0"/>
    <n v="246.5"/>
    <n v="231.33"/>
    <m/>
    <n v="263.54159244927155"/>
    <n v="265.36104285086753"/>
    <n v="0"/>
    <n v="4.8032688937382771E-14"/>
    <n v="0"/>
    <n v="0"/>
    <x v="4"/>
  </r>
  <r>
    <s v="Regular"/>
    <x v="1"/>
    <x v="2"/>
    <x v="3"/>
    <x v="6"/>
    <x v="1"/>
    <x v="0"/>
    <x v="1"/>
    <x v="3"/>
    <n v="0"/>
    <n v="0"/>
    <n v="239.893"/>
    <n v="239.893"/>
    <n v="239.893"/>
    <n v="239.893"/>
    <n v="2683"/>
    <s v="CATIVO"/>
    <n v="0"/>
    <n v="0"/>
    <n v="37"/>
    <n v="77"/>
    <n v="0"/>
    <n v="246.5"/>
    <n v="231.33"/>
    <m/>
    <n v="263.54159244927155"/>
    <n v="265.36104285086753"/>
    <n v="0"/>
    <n v="6.8181691403879086E-12"/>
    <n v="0"/>
    <n v="0"/>
    <x v="4"/>
  </r>
  <r>
    <s v="Refaturamento - Regular"/>
    <x v="1"/>
    <x v="2"/>
    <x v="3"/>
    <x v="6"/>
    <x v="1"/>
    <x v="0"/>
    <x v="1"/>
    <x v="3"/>
    <n v="0"/>
    <n v="0"/>
    <n v="-7.0000000000000001E-3"/>
    <n v="-7.0000000000000001E-3"/>
    <n v="-7.0000000000000001E-3"/>
    <n v="-7.0000000000000001E-3"/>
    <n v="-1"/>
    <s v="CATIVO"/>
    <n v="0"/>
    <n v="0"/>
    <n v="37"/>
    <n v="77"/>
    <n v="0"/>
    <n v="246.5"/>
    <n v="231.33"/>
    <m/>
    <n v="263.54159244927155"/>
    <n v="265.36104285086753"/>
    <n v="0"/>
    <n v="-1.9895196601282806E-16"/>
    <n v="0"/>
    <n v="0"/>
    <x v="4"/>
  </r>
  <r>
    <s v="Sistema de Compensação"/>
    <x v="1"/>
    <x v="2"/>
    <x v="3"/>
    <x v="6"/>
    <x v="1"/>
    <x v="0"/>
    <x v="1"/>
    <x v="3"/>
    <n v="0"/>
    <n v="0"/>
    <n v="1.52"/>
    <n v="1.52"/>
    <n v="1.52"/>
    <n v="1.52"/>
    <n v="6"/>
    <s v="CATIVO"/>
    <n v="0"/>
    <n v="0"/>
    <n v="37"/>
    <n v="77"/>
    <n v="0"/>
    <n v="246.5"/>
    <n v="231.33"/>
    <m/>
    <n v="263.54159244927155"/>
    <n v="265.36104285086753"/>
    <n v="0"/>
    <n v="4.3200998334214092E-14"/>
    <n v="0"/>
    <n v="0"/>
    <x v="4"/>
  </r>
  <r>
    <s v="Regular"/>
    <x v="1"/>
    <x v="2"/>
    <x v="3"/>
    <x v="6"/>
    <x v="1"/>
    <x v="0"/>
    <x v="1"/>
    <x v="4"/>
    <n v="0"/>
    <n v="0"/>
    <n v="202.10900000000001"/>
    <n v="202.10900000000001"/>
    <n v="202.10900000000001"/>
    <n v="202.10900000000001"/>
    <n v="2204"/>
    <s v="CATIVO"/>
    <n v="0"/>
    <n v="0"/>
    <n v="37"/>
    <n v="77"/>
    <n v="0"/>
    <n v="246.5"/>
    <n v="231.33"/>
    <m/>
    <n v="263.54159244927155"/>
    <n v="265.36104285086753"/>
    <n v="0"/>
    <n v="5.7442832712695238E-12"/>
    <n v="0"/>
    <n v="0"/>
    <x v="4"/>
  </r>
  <r>
    <s v="Refaturamento - Regular"/>
    <x v="1"/>
    <x v="2"/>
    <x v="3"/>
    <x v="6"/>
    <x v="1"/>
    <x v="0"/>
    <x v="1"/>
    <x v="4"/>
    <n v="0"/>
    <n v="0"/>
    <n v="-2.0379999999999998"/>
    <n v="-2.0379999999999998"/>
    <n v="-2.0379999999999998"/>
    <n v="-2.0379999999999998"/>
    <n v="-4"/>
    <s v="CATIVO"/>
    <n v="0"/>
    <n v="0"/>
    <n v="37"/>
    <n v="77"/>
    <n v="0"/>
    <n v="246.5"/>
    <n v="231.33"/>
    <m/>
    <n v="263.54159244927155"/>
    <n v="265.36104285086753"/>
    <n v="0"/>
    <n v="-5.7923443819163362E-14"/>
    <n v="0"/>
    <n v="0"/>
    <x v="4"/>
  </r>
  <r>
    <s v="Sistema de Compensação"/>
    <x v="1"/>
    <x v="2"/>
    <x v="3"/>
    <x v="6"/>
    <x v="1"/>
    <x v="0"/>
    <x v="1"/>
    <x v="4"/>
    <n v="0"/>
    <n v="0"/>
    <n v="1.4"/>
    <n v="1.4"/>
    <n v="1.4"/>
    <n v="1.4"/>
    <n v="7"/>
    <s v="CATIVO"/>
    <n v="0"/>
    <n v="0"/>
    <n v="37"/>
    <n v="77"/>
    <n v="0"/>
    <n v="246.5"/>
    <n v="231.33"/>
    <m/>
    <n v="263.54159244927155"/>
    <n v="265.36104285086753"/>
    <n v="0"/>
    <n v="3.9790393202565608E-14"/>
    <n v="0"/>
    <n v="0"/>
    <x v="4"/>
  </r>
  <r>
    <s v="Regular"/>
    <x v="1"/>
    <x v="2"/>
    <x v="3"/>
    <x v="6"/>
    <x v="1"/>
    <x v="0"/>
    <x v="1"/>
    <x v="5"/>
    <n v="0"/>
    <n v="0"/>
    <n v="232.24299999999999"/>
    <n v="232.24299999999999"/>
    <n v="232.24299999999999"/>
    <n v="232.24299999999999"/>
    <n v="2584"/>
    <s v="CATIVO"/>
    <n v="0"/>
    <n v="0"/>
    <n v="37"/>
    <n v="77"/>
    <n v="0"/>
    <n v="246.5"/>
    <n v="231.33"/>
    <m/>
    <n v="263.54159244927155"/>
    <n v="265.36104285086753"/>
    <n v="0"/>
    <n v="6.6007430632453178E-12"/>
    <n v="0"/>
    <n v="0"/>
    <x v="4"/>
  </r>
  <r>
    <s v="Refaturamento - Regular"/>
    <x v="1"/>
    <x v="2"/>
    <x v="3"/>
    <x v="6"/>
    <x v="1"/>
    <x v="0"/>
    <x v="1"/>
    <x v="5"/>
    <n v="0"/>
    <n v="0"/>
    <n v="-18.689"/>
    <n v="-18.689"/>
    <n v="-18.689"/>
    <n v="-18.689"/>
    <n v="-10"/>
    <s v="CATIVO"/>
    <n v="0"/>
    <n v="0"/>
    <n v="37"/>
    <n v="77"/>
    <n v="0"/>
    <n v="246.5"/>
    <n v="231.33"/>
    <m/>
    <n v="263.54159244927155"/>
    <n v="265.36104285086753"/>
    <n v="0"/>
    <n v="-5.311733275448205E-13"/>
    <n v="0"/>
    <n v="0"/>
    <x v="4"/>
  </r>
  <r>
    <s v="Sistema de Compensação"/>
    <x v="1"/>
    <x v="2"/>
    <x v="3"/>
    <x v="6"/>
    <x v="1"/>
    <x v="0"/>
    <x v="1"/>
    <x v="5"/>
    <n v="0"/>
    <n v="0"/>
    <n v="1.3320000000000001"/>
    <n v="1.3320000000000001"/>
    <n v="1.3320000000000001"/>
    <n v="1.3320000000000001"/>
    <n v="8"/>
    <s v="CATIVO"/>
    <n v="0"/>
    <n v="0"/>
    <n v="37"/>
    <n v="77"/>
    <n v="0"/>
    <n v="246.5"/>
    <n v="231.33"/>
    <m/>
    <n v="263.54159244927155"/>
    <n v="265.36104285086753"/>
    <n v="0"/>
    <n v="3.785771696129814E-14"/>
    <n v="0"/>
    <n v="0"/>
    <x v="4"/>
  </r>
  <r>
    <s v="Regular"/>
    <x v="1"/>
    <x v="2"/>
    <x v="3"/>
    <x v="6"/>
    <x v="1"/>
    <x v="0"/>
    <x v="1"/>
    <x v="6"/>
    <n v="0"/>
    <n v="0"/>
    <n v="186.70699999999999"/>
    <n v="186.70699999999999"/>
    <n v="186.70699999999999"/>
    <n v="186.70699999999999"/>
    <n v="2019"/>
    <s v="CATIVO"/>
    <n v="0"/>
    <n v="0"/>
    <n v="37"/>
    <n v="77"/>
    <n v="0"/>
    <n v="246.5"/>
    <n v="231.33"/>
    <m/>
    <n v="263.54159244927155"/>
    <n v="265.36104285086753"/>
    <n v="0"/>
    <n v="5.3065321026224408E-12"/>
    <n v="0"/>
    <n v="0"/>
    <x v="4"/>
  </r>
  <r>
    <s v="Refaturamento - Regular"/>
    <x v="1"/>
    <x v="2"/>
    <x v="3"/>
    <x v="6"/>
    <x v="1"/>
    <x v="0"/>
    <x v="1"/>
    <x v="6"/>
    <n v="0"/>
    <n v="0"/>
    <n v="-0.22600000000000001"/>
    <n v="-0.22600000000000001"/>
    <n v="-0.22600000000000001"/>
    <n v="-0.22600000000000001"/>
    <n v="-3"/>
    <s v="CATIVO"/>
    <n v="0"/>
    <n v="0"/>
    <n v="37"/>
    <n v="77"/>
    <n v="0"/>
    <n v="246.5"/>
    <n v="231.33"/>
    <m/>
    <n v="263.54159244927155"/>
    <n v="265.36104285086753"/>
    <n v="0"/>
    <n v="-6.4233063312713059E-15"/>
    <n v="0"/>
    <n v="0"/>
    <x v="4"/>
  </r>
  <r>
    <s v="Sistema de Compensação"/>
    <x v="1"/>
    <x v="2"/>
    <x v="3"/>
    <x v="6"/>
    <x v="1"/>
    <x v="0"/>
    <x v="1"/>
    <x v="6"/>
    <n v="0"/>
    <n v="0"/>
    <n v="1.0740000000000001"/>
    <n v="1.0740000000000001"/>
    <n v="1.0740000000000001"/>
    <n v="1.0740000000000001"/>
    <n v="7"/>
    <s v="CATIVO"/>
    <n v="0"/>
    <n v="0"/>
    <n v="37"/>
    <n v="77"/>
    <n v="0"/>
    <n v="246.5"/>
    <n v="231.33"/>
    <m/>
    <n v="263.54159244927155"/>
    <n v="265.36104285086753"/>
    <n v="0"/>
    <n v="3.0524915928253906E-14"/>
    <n v="0"/>
    <n v="0"/>
    <x v="4"/>
  </r>
  <r>
    <s v="Regular"/>
    <x v="1"/>
    <x v="2"/>
    <x v="3"/>
    <x v="6"/>
    <x v="1"/>
    <x v="0"/>
    <x v="1"/>
    <x v="7"/>
    <n v="0"/>
    <n v="0"/>
    <n v="198.922"/>
    <n v="198.922"/>
    <n v="198.922"/>
    <n v="198.922"/>
    <n v="2109"/>
    <s v="CATIVO"/>
    <n v="0"/>
    <n v="0"/>
    <n v="37"/>
    <n v="77"/>
    <n v="0"/>
    <n v="246.5"/>
    <n v="231.33"/>
    <m/>
    <n v="263.54159244927155"/>
    <n v="265.36104285086753"/>
    <n v="0"/>
    <n v="5.6537032833148259E-12"/>
    <n v="0"/>
    <n v="0"/>
    <x v="4"/>
  </r>
  <r>
    <s v="Refaturamento - Regular"/>
    <x v="1"/>
    <x v="2"/>
    <x v="3"/>
    <x v="6"/>
    <x v="1"/>
    <x v="0"/>
    <x v="1"/>
    <x v="7"/>
    <n v="0"/>
    <n v="0"/>
    <n v="-3.7999999999999999E-2"/>
    <n v="-3.7999999999999999E-2"/>
    <n v="-3.7999999999999999E-2"/>
    <n v="-3.7999999999999999E-2"/>
    <n v="-1"/>
    <s v="CATIVO"/>
    <n v="0"/>
    <n v="0"/>
    <n v="37"/>
    <n v="77"/>
    <n v="0"/>
    <n v="246.5"/>
    <n v="231.33"/>
    <m/>
    <n v="263.54159244927155"/>
    <n v="265.36104285086753"/>
    <n v="0"/>
    <n v="-1.0800249583553523E-15"/>
    <n v="0"/>
    <n v="0"/>
    <x v="4"/>
  </r>
  <r>
    <s v="Sistema de Compensação"/>
    <x v="1"/>
    <x v="2"/>
    <x v="3"/>
    <x v="6"/>
    <x v="1"/>
    <x v="0"/>
    <x v="1"/>
    <x v="7"/>
    <n v="0"/>
    <n v="0"/>
    <n v="2.835"/>
    <n v="2.835"/>
    <n v="2.835"/>
    <n v="2.835"/>
    <n v="6"/>
    <s v="CATIVO"/>
    <n v="0"/>
    <n v="0"/>
    <n v="37"/>
    <n v="77"/>
    <n v="0"/>
    <n v="246.5"/>
    <n v="231.33"/>
    <m/>
    <n v="263.54159244927155"/>
    <n v="265.36104285086753"/>
    <n v="0"/>
    <n v="8.057554623519536E-14"/>
    <n v="0"/>
    <n v="0"/>
    <x v="4"/>
  </r>
  <r>
    <s v="Regular"/>
    <x v="1"/>
    <x v="2"/>
    <x v="3"/>
    <x v="6"/>
    <x v="1"/>
    <x v="0"/>
    <x v="1"/>
    <x v="8"/>
    <n v="0"/>
    <n v="0"/>
    <n v="232.042"/>
    <n v="232.042"/>
    <n v="232.042"/>
    <n v="232.042"/>
    <n v="2521"/>
    <s v="CATIVO"/>
    <n v="0"/>
    <n v="0"/>
    <n v="37"/>
    <n v="77"/>
    <n v="0"/>
    <n v="246.5"/>
    <n v="231.33"/>
    <m/>
    <n v="263.54159244927155"/>
    <n v="265.36104285086753"/>
    <n v="0"/>
    <n v="6.5950302996498067E-12"/>
    <n v="0"/>
    <n v="0"/>
    <x v="4"/>
  </r>
  <r>
    <s v="Sistema de Compensação"/>
    <x v="1"/>
    <x v="2"/>
    <x v="3"/>
    <x v="6"/>
    <x v="1"/>
    <x v="0"/>
    <x v="1"/>
    <x v="8"/>
    <n v="0"/>
    <n v="0"/>
    <n v="2.1280000000000001"/>
    <n v="2.1280000000000001"/>
    <n v="2.1280000000000001"/>
    <n v="2.1280000000000001"/>
    <n v="9"/>
    <s v="CATIVO"/>
    <n v="0"/>
    <n v="0"/>
    <n v="37"/>
    <n v="77"/>
    <n v="0"/>
    <n v="246.5"/>
    <n v="231.33"/>
    <m/>
    <n v="263.54159244927155"/>
    <n v="265.36104285086753"/>
    <n v="0"/>
    <n v="6.0481397667899731E-14"/>
    <n v="0"/>
    <n v="0"/>
    <x v="4"/>
  </r>
  <r>
    <s v="Regular"/>
    <x v="1"/>
    <x v="2"/>
    <x v="3"/>
    <x v="6"/>
    <x v="1"/>
    <x v="0"/>
    <x v="1"/>
    <x v="9"/>
    <n v="0"/>
    <n v="0"/>
    <n v="246.06800000000001"/>
    <n v="246.06800000000001"/>
    <n v="246.06800000000001"/>
    <n v="246.06800000000001"/>
    <n v="2683"/>
    <s v="CATIVO"/>
    <n v="0"/>
    <n v="0"/>
    <n v="37"/>
    <n v="77"/>
    <n v="0"/>
    <n v="246.5"/>
    <n v="231.33"/>
    <m/>
    <n v="263.54159244927155"/>
    <n v="265.36104285086753"/>
    <n v="0"/>
    <n v="6.9936731961206536E-12"/>
    <n v="0"/>
    <n v="0"/>
    <x v="4"/>
  </r>
  <r>
    <s v="Refaturamento - Regular"/>
    <x v="1"/>
    <x v="2"/>
    <x v="3"/>
    <x v="6"/>
    <x v="1"/>
    <x v="0"/>
    <x v="1"/>
    <x v="9"/>
    <n v="0"/>
    <n v="0"/>
    <n v="-1.1659999999999999"/>
    <n v="-1.1659999999999999"/>
    <n v="-1.1659999999999999"/>
    <n v="-1.1659999999999999"/>
    <n v="-1"/>
    <s v="CATIVO"/>
    <n v="0"/>
    <n v="0"/>
    <n v="37"/>
    <n v="77"/>
    <n v="0"/>
    <n v="246.5"/>
    <n v="231.33"/>
    <m/>
    <n v="263.54159244927155"/>
    <n v="265.36104285086753"/>
    <n v="0"/>
    <n v="-3.3139713195851071E-14"/>
    <n v="0"/>
    <n v="0"/>
    <x v="4"/>
  </r>
  <r>
    <s v="Sistema de Compensação"/>
    <x v="1"/>
    <x v="2"/>
    <x v="3"/>
    <x v="6"/>
    <x v="1"/>
    <x v="0"/>
    <x v="1"/>
    <x v="9"/>
    <n v="0"/>
    <n v="0"/>
    <n v="2.665"/>
    <n v="2.665"/>
    <n v="2.665"/>
    <n v="2.665"/>
    <n v="12"/>
    <s v="CATIVO"/>
    <n v="0"/>
    <n v="0"/>
    <n v="37"/>
    <n v="77"/>
    <n v="0"/>
    <n v="246.5"/>
    <n v="231.33"/>
    <m/>
    <n v="263.54159244927155"/>
    <n v="265.36104285086753"/>
    <n v="0"/>
    <n v="7.5743855632026681E-14"/>
    <n v="0"/>
    <n v="0"/>
    <x v="4"/>
  </r>
  <r>
    <s v="Regular"/>
    <x v="1"/>
    <x v="2"/>
    <x v="3"/>
    <x v="6"/>
    <x v="1"/>
    <x v="0"/>
    <x v="1"/>
    <x v="10"/>
    <n v="0"/>
    <n v="0"/>
    <n v="288.95600000000002"/>
    <n v="288.95600000000002"/>
    <n v="288.95600000000002"/>
    <n v="288.95600000000002"/>
    <n v="3028"/>
    <s v="CATIVO"/>
    <n v="0"/>
    <n v="0"/>
    <n v="37"/>
    <n v="77"/>
    <n v="0"/>
    <n v="246.5"/>
    <n v="231.33"/>
    <m/>
    <n v="263.54159244927155"/>
    <n v="265.36104285086753"/>
    <n v="0"/>
    <n v="8.2126234701718209E-12"/>
    <n v="0"/>
    <n v="0"/>
    <x v="4"/>
  </r>
  <r>
    <s v="Refaturamento - Regular"/>
    <x v="1"/>
    <x v="2"/>
    <x v="3"/>
    <x v="6"/>
    <x v="1"/>
    <x v="0"/>
    <x v="1"/>
    <x v="10"/>
    <n v="0"/>
    <n v="0"/>
    <n v="-0.86199999999999999"/>
    <n v="-0.86199999999999999"/>
    <n v="-0.86199999999999999"/>
    <n v="-0.86199999999999999"/>
    <n v="-1"/>
    <s v="CATIVO"/>
    <n v="0"/>
    <n v="0"/>
    <n v="37"/>
    <n v="77"/>
    <n v="0"/>
    <n v="246.5"/>
    <n v="231.33"/>
    <m/>
    <n v="263.54159244927155"/>
    <n v="265.36104285086753"/>
    <n v="0"/>
    <n v="-2.4499513529008254E-14"/>
    <n v="0"/>
    <n v="0"/>
    <x v="4"/>
  </r>
  <r>
    <s v="Sistema de Compensação"/>
    <x v="1"/>
    <x v="2"/>
    <x v="3"/>
    <x v="6"/>
    <x v="1"/>
    <x v="0"/>
    <x v="1"/>
    <x v="10"/>
    <n v="0"/>
    <n v="0"/>
    <n v="7.1210000000000004"/>
    <n v="7.1210000000000004"/>
    <n v="7.1210000000000004"/>
    <n v="7.1210000000000004"/>
    <n v="15"/>
    <s v="CATIVO"/>
    <n v="0"/>
    <n v="0"/>
    <n v="37"/>
    <n v="77"/>
    <n v="0"/>
    <n v="246.5"/>
    <n v="231.33"/>
    <m/>
    <n v="263.54159244927155"/>
    <n v="265.36104285086753"/>
    <n v="0"/>
    <n v="2.0239099285390695E-13"/>
    <n v="0"/>
    <n v="0"/>
    <x v="4"/>
  </r>
  <r>
    <s v="PROJETADO"/>
    <x v="1"/>
    <x v="2"/>
    <x v="3"/>
    <x v="6"/>
    <x v="1"/>
    <x v="0"/>
    <x v="1"/>
    <x v="11"/>
    <n v="0"/>
    <n v="0"/>
    <n v="288.95600000000002"/>
    <n v="288.95600000000002"/>
    <n v="288.95600000000002"/>
    <n v="288.95600000000002"/>
    <n v="3028"/>
    <s v="CATIVO"/>
    <n v="0"/>
    <n v="0"/>
    <n v="37"/>
    <n v="77"/>
    <n v="0"/>
    <n v="246.5"/>
    <n v="231.33"/>
    <m/>
    <n v="263.54159244927155"/>
    <n v="265.36104285086753"/>
    <n v="0"/>
    <n v="8.2126234701718209E-12"/>
    <n v="0"/>
    <n v="0"/>
    <x v="4"/>
  </r>
  <r>
    <s v="PROJETADO"/>
    <x v="1"/>
    <x v="2"/>
    <x v="3"/>
    <x v="6"/>
    <x v="1"/>
    <x v="0"/>
    <x v="1"/>
    <x v="11"/>
    <n v="0"/>
    <n v="0"/>
    <n v="-0.86199999999999999"/>
    <n v="-0.86199999999999999"/>
    <n v="-0.86199999999999999"/>
    <n v="-0.86199999999999999"/>
    <n v="-1"/>
    <s v="CATIVO"/>
    <n v="0"/>
    <n v="0"/>
    <n v="37"/>
    <n v="77"/>
    <n v="0"/>
    <n v="246.5"/>
    <n v="231.33"/>
    <m/>
    <n v="263.54159244927155"/>
    <n v="265.36104285086753"/>
    <n v="0"/>
    <n v="-2.4499513529008254E-14"/>
    <n v="0"/>
    <n v="0"/>
    <x v="4"/>
  </r>
  <r>
    <s v="PROJETADO"/>
    <x v="1"/>
    <x v="2"/>
    <x v="3"/>
    <x v="6"/>
    <x v="1"/>
    <x v="0"/>
    <x v="1"/>
    <x v="11"/>
    <n v="0"/>
    <n v="0"/>
    <n v="7.1210000000000004"/>
    <n v="7.1210000000000004"/>
    <n v="7.1210000000000004"/>
    <n v="7.1210000000000004"/>
    <n v="15"/>
    <s v="CATIVO"/>
    <n v="0"/>
    <n v="0"/>
    <n v="37"/>
    <n v="77"/>
    <n v="0"/>
    <n v="246.5"/>
    <n v="231.33"/>
    <m/>
    <n v="263.54159244927155"/>
    <n v="265.36104285086753"/>
    <n v="0"/>
    <n v="2.0239099285390695E-13"/>
    <n v="0"/>
    <n v="0"/>
    <x v="4"/>
  </r>
  <r>
    <s v="Regular"/>
    <x v="2"/>
    <x v="3"/>
    <x v="2"/>
    <x v="0"/>
    <x v="1"/>
    <x v="0"/>
    <x v="0"/>
    <x v="0"/>
    <n v="0"/>
    <n v="0"/>
    <n v="0.28799999999999998"/>
    <n v="0.28799999999999998"/>
    <n v="0.28799999999999998"/>
    <n v="0.28799999999999998"/>
    <n v="0"/>
    <s v="CATIVO"/>
    <n v="0"/>
    <n v="0"/>
    <n v="45"/>
    <n v="98"/>
    <n v="0"/>
    <n v="180.14"/>
    <n v="192.75"/>
    <m/>
    <n v="213.07750959943147"/>
    <n v="237.28634159637272"/>
    <n v="0"/>
    <n v="6.8548289361702119"/>
    <n v="0"/>
    <n v="8.279029094322869"/>
    <x v="2"/>
  </r>
  <r>
    <s v="Regular"/>
    <x v="2"/>
    <x v="3"/>
    <x v="2"/>
    <x v="0"/>
    <x v="1"/>
    <x v="0"/>
    <x v="0"/>
    <x v="1"/>
    <n v="0"/>
    <n v="0"/>
    <n v="0.34799999999999998"/>
    <n v="0.34799999999999998"/>
    <n v="0.34799999999999998"/>
    <n v="0.34799999999999998"/>
    <n v="0"/>
    <s v="CATIVO"/>
    <n v="0"/>
    <n v="0"/>
    <n v="45"/>
    <n v="98"/>
    <n v="0"/>
    <n v="180.14"/>
    <n v="192.75"/>
    <m/>
    <n v="213.07750959943147"/>
    <n v="237.28634159637272"/>
    <n v="0"/>
    <n v="8.2829182978723406"/>
    <n v="0"/>
    <n v="10.003826822306801"/>
    <x v="2"/>
  </r>
  <r>
    <s v="Regular"/>
    <x v="2"/>
    <x v="3"/>
    <x v="2"/>
    <x v="0"/>
    <x v="1"/>
    <x v="0"/>
    <x v="0"/>
    <x v="2"/>
    <n v="0"/>
    <n v="0"/>
    <n v="0.434"/>
    <n v="0.434"/>
    <n v="0.434"/>
    <n v="0.434"/>
    <n v="0"/>
    <s v="CATIVO"/>
    <n v="0"/>
    <n v="0"/>
    <n v="45"/>
    <n v="98"/>
    <n v="0"/>
    <n v="180.14"/>
    <n v="192.75"/>
    <m/>
    <n v="213.07750959943147"/>
    <n v="237.28634159637272"/>
    <n v="0"/>
    <n v="10.329846382978722"/>
    <n v="0"/>
    <n v="12.476036899083766"/>
    <x v="2"/>
  </r>
  <r>
    <s v="Regular"/>
    <x v="2"/>
    <x v="3"/>
    <x v="2"/>
    <x v="0"/>
    <x v="1"/>
    <x v="0"/>
    <x v="0"/>
    <x v="3"/>
    <n v="0"/>
    <n v="0"/>
    <n v="0.27800000000000002"/>
    <n v="0.27800000000000002"/>
    <n v="0.27800000000000002"/>
    <n v="0.27800000000000002"/>
    <n v="0"/>
    <s v="CATIVO"/>
    <n v="0"/>
    <n v="0"/>
    <n v="45"/>
    <n v="98"/>
    <n v="0"/>
    <n v="180.14"/>
    <n v="192.75"/>
    <m/>
    <n v="213.07750959943147"/>
    <n v="237.28634159637272"/>
    <n v="0"/>
    <n v="6.6168140425531918"/>
    <n v="0"/>
    <n v="7.9915628063255486"/>
    <x v="2"/>
  </r>
  <r>
    <s v="Regular"/>
    <x v="2"/>
    <x v="3"/>
    <x v="2"/>
    <x v="0"/>
    <x v="1"/>
    <x v="0"/>
    <x v="0"/>
    <x v="4"/>
    <n v="0"/>
    <n v="0"/>
    <n v="0.17799999999999999"/>
    <n v="0.17799999999999999"/>
    <n v="0.17799999999999999"/>
    <n v="0.17799999999999999"/>
    <n v="0"/>
    <s v="CATIVO"/>
    <n v="0"/>
    <n v="0"/>
    <n v="45"/>
    <n v="98"/>
    <n v="0"/>
    <n v="180.14"/>
    <n v="192.75"/>
    <m/>
    <n v="213.07750959943147"/>
    <n v="237.28634159637272"/>
    <n v="0"/>
    <n v="4.2366651063829783"/>
    <n v="0"/>
    <n v="5.1168999263523283"/>
    <x v="2"/>
  </r>
  <r>
    <s v="Regular"/>
    <x v="2"/>
    <x v="3"/>
    <x v="2"/>
    <x v="0"/>
    <x v="1"/>
    <x v="0"/>
    <x v="0"/>
    <x v="5"/>
    <n v="0"/>
    <n v="0"/>
    <n v="0.24199999999999999"/>
    <n v="0.24199999999999999"/>
    <n v="0.24199999999999999"/>
    <n v="0.24199999999999999"/>
    <n v="0"/>
    <s v="CATIVO"/>
    <n v="0"/>
    <n v="0"/>
    <n v="45"/>
    <n v="98"/>
    <n v="0"/>
    <n v="180.14"/>
    <n v="192.75"/>
    <m/>
    <n v="213.07750959943147"/>
    <n v="237.28634159637272"/>
    <n v="0"/>
    <n v="5.7599604255319141"/>
    <n v="0"/>
    <n v="6.9566841695351886"/>
    <x v="2"/>
  </r>
  <r>
    <s v="Regular"/>
    <x v="2"/>
    <x v="3"/>
    <x v="2"/>
    <x v="0"/>
    <x v="1"/>
    <x v="0"/>
    <x v="0"/>
    <x v="6"/>
    <n v="0"/>
    <n v="0"/>
    <n v="0.16900000000000001"/>
    <n v="0.16900000000000001"/>
    <n v="0.16900000000000001"/>
    <n v="0.16900000000000001"/>
    <n v="0"/>
    <s v="CATIVO"/>
    <n v="0"/>
    <n v="0"/>
    <n v="45"/>
    <n v="98"/>
    <n v="0"/>
    <n v="180.14"/>
    <n v="192.75"/>
    <m/>
    <n v="213.07750959943147"/>
    <n v="237.28634159637272"/>
    <n v="0"/>
    <n v="4.0224517021276602"/>
    <n v="0"/>
    <n v="4.8581802671547383"/>
    <x v="2"/>
  </r>
  <r>
    <s v="Regular"/>
    <x v="2"/>
    <x v="3"/>
    <x v="2"/>
    <x v="0"/>
    <x v="1"/>
    <x v="0"/>
    <x v="0"/>
    <x v="7"/>
    <n v="0"/>
    <n v="0"/>
    <n v="0.191"/>
    <n v="0.191"/>
    <n v="0.191"/>
    <n v="0.191"/>
    <n v="0"/>
    <s v="CATIVO"/>
    <n v="0"/>
    <n v="0"/>
    <n v="45"/>
    <n v="98"/>
    <n v="0"/>
    <n v="180.14"/>
    <n v="192.75"/>
    <m/>
    <n v="213.07750959943147"/>
    <n v="237.28634159637272"/>
    <n v="0"/>
    <n v="4.5460844680851071"/>
    <n v="0"/>
    <n v="5.4906061007488471"/>
    <x v="2"/>
  </r>
  <r>
    <s v="Regular"/>
    <x v="2"/>
    <x v="3"/>
    <x v="2"/>
    <x v="0"/>
    <x v="1"/>
    <x v="0"/>
    <x v="0"/>
    <x v="8"/>
    <n v="0"/>
    <n v="0"/>
    <n v="0.254"/>
    <n v="0.254"/>
    <n v="0.254"/>
    <n v="0.254"/>
    <n v="0"/>
    <s v="CATIVO"/>
    <n v="0"/>
    <n v="0"/>
    <n v="45"/>
    <n v="98"/>
    <n v="0"/>
    <n v="180.14"/>
    <n v="192.75"/>
    <m/>
    <n v="213.07750959943147"/>
    <n v="237.28634159637272"/>
    <n v="0"/>
    <n v="6.0455782978723391"/>
    <n v="0"/>
    <n v="7.3016437151319753"/>
    <x v="2"/>
  </r>
  <r>
    <s v="Regular"/>
    <x v="2"/>
    <x v="3"/>
    <x v="2"/>
    <x v="0"/>
    <x v="1"/>
    <x v="0"/>
    <x v="0"/>
    <x v="9"/>
    <n v="0"/>
    <n v="0"/>
    <n v="0.32200000000000001"/>
    <n v="0.32200000000000001"/>
    <n v="0.32200000000000001"/>
    <n v="0.32200000000000001"/>
    <n v="0"/>
    <s v="CATIVO"/>
    <n v="0"/>
    <n v="0"/>
    <n v="45"/>
    <n v="98"/>
    <n v="0"/>
    <n v="180.14"/>
    <n v="192.75"/>
    <m/>
    <n v="213.07750959943147"/>
    <n v="237.28634159637272"/>
    <n v="0"/>
    <n v="7.6640795744680856"/>
    <n v="0"/>
    <n v="9.256414473513761"/>
    <x v="2"/>
  </r>
  <r>
    <s v="Regular"/>
    <x v="2"/>
    <x v="3"/>
    <x v="2"/>
    <x v="0"/>
    <x v="1"/>
    <x v="0"/>
    <x v="0"/>
    <x v="10"/>
    <n v="0"/>
    <n v="0"/>
    <n v="0.33300000000000002"/>
    <n v="0.33300000000000002"/>
    <n v="0.33300000000000002"/>
    <n v="0.33300000000000002"/>
    <n v="0"/>
    <s v="CATIVO"/>
    <n v="0"/>
    <n v="0"/>
    <n v="45"/>
    <n v="98"/>
    <n v="0"/>
    <n v="180.14"/>
    <n v="192.75"/>
    <m/>
    <n v="213.07750959943147"/>
    <n v="237.28634159637272"/>
    <n v="0"/>
    <n v="7.9258959574468086"/>
    <n v="0"/>
    <n v="9.5726273903108172"/>
    <x v="2"/>
  </r>
  <r>
    <s v="PROJETADO"/>
    <x v="2"/>
    <x v="3"/>
    <x v="2"/>
    <x v="0"/>
    <x v="1"/>
    <x v="0"/>
    <x v="0"/>
    <x v="11"/>
    <n v="0"/>
    <n v="0"/>
    <n v="0.33300000000000002"/>
    <n v="0.33300000000000002"/>
    <n v="0.33300000000000002"/>
    <n v="0.33300000000000002"/>
    <n v="0"/>
    <s v="CATIVO"/>
    <n v="0"/>
    <n v="0"/>
    <n v="45"/>
    <n v="98"/>
    <n v="0"/>
    <n v="180.14"/>
    <n v="192.75"/>
    <m/>
    <n v="213.07750959943147"/>
    <n v="237.28634159637272"/>
    <n v="0"/>
    <n v="7.9258959574468086"/>
    <n v="0"/>
    <n v="9.5726273903108172"/>
    <x v="2"/>
  </r>
  <r>
    <s v="Regular"/>
    <x v="2"/>
    <x v="3"/>
    <x v="2"/>
    <x v="0"/>
    <x v="1"/>
    <x v="0"/>
    <x v="3"/>
    <x v="0"/>
    <n v="0"/>
    <n v="0"/>
    <n v="1.6E-2"/>
    <n v="1.6E-2"/>
    <n v="1.6E-2"/>
    <n v="1.6E-2"/>
    <n v="0"/>
    <s v="CATIVO"/>
    <n v="0"/>
    <n v="0"/>
    <n v="44"/>
    <n v="97"/>
    <n v="0"/>
    <n v="433.74"/>
    <n v="192.75"/>
    <m/>
    <n v="502.89678584558482"/>
    <n v="237.28634159637272"/>
    <n v="0"/>
    <n v="0.63981957446808513"/>
    <n v="0"/>
    <n v="0.75593170462157366"/>
    <x v="2"/>
  </r>
  <r>
    <s v="Regular"/>
    <x v="2"/>
    <x v="3"/>
    <x v="2"/>
    <x v="0"/>
    <x v="1"/>
    <x v="0"/>
    <x v="3"/>
    <x v="1"/>
    <n v="0"/>
    <n v="0"/>
    <n v="0.02"/>
    <n v="0.02"/>
    <n v="0.02"/>
    <n v="0.02"/>
    <n v="0"/>
    <s v="CATIVO"/>
    <n v="0"/>
    <n v="0"/>
    <n v="44"/>
    <n v="97"/>
    <n v="0"/>
    <n v="433.74"/>
    <n v="192.75"/>
    <m/>
    <n v="502.89678584558482"/>
    <n v="237.28634159637272"/>
    <n v="0"/>
    <n v="0.79977446808510655"/>
    <n v="0"/>
    <n v="0.94491463077696702"/>
    <x v="2"/>
  </r>
  <r>
    <s v="Regular"/>
    <x v="2"/>
    <x v="3"/>
    <x v="2"/>
    <x v="0"/>
    <x v="1"/>
    <x v="0"/>
    <x v="3"/>
    <x v="2"/>
    <n v="0"/>
    <n v="0"/>
    <n v="0.01"/>
    <n v="0.01"/>
    <n v="0.01"/>
    <n v="0.01"/>
    <n v="0"/>
    <s v="CATIVO"/>
    <n v="0"/>
    <n v="0"/>
    <n v="44"/>
    <n v="97"/>
    <n v="0"/>
    <n v="433.74"/>
    <n v="192.75"/>
    <m/>
    <n v="502.89678584558482"/>
    <n v="237.28634159637272"/>
    <n v="0"/>
    <n v="0.39988723404255327"/>
    <n v="0"/>
    <n v="0.47245731538848351"/>
    <x v="2"/>
  </r>
  <r>
    <s v="Regular"/>
    <x v="2"/>
    <x v="3"/>
    <x v="2"/>
    <x v="0"/>
    <x v="1"/>
    <x v="0"/>
    <x v="3"/>
    <x v="3"/>
    <n v="0"/>
    <n v="0"/>
    <n v="1.2999999999999999E-2"/>
    <n v="1.2999999999999999E-2"/>
    <n v="1.2999999999999999E-2"/>
    <n v="1.2999999999999999E-2"/>
    <n v="0"/>
    <s v="CATIVO"/>
    <n v="0"/>
    <n v="0"/>
    <n v="44"/>
    <n v="97"/>
    <n v="0"/>
    <n v="433.74"/>
    <n v="192.75"/>
    <m/>
    <n v="502.89678584558482"/>
    <n v="237.28634159637272"/>
    <n v="0"/>
    <n v="0.51985340425531912"/>
    <n v="0"/>
    <n v="0.61419451000502856"/>
    <x v="2"/>
  </r>
  <r>
    <s v="Regular"/>
    <x v="2"/>
    <x v="3"/>
    <x v="2"/>
    <x v="0"/>
    <x v="1"/>
    <x v="0"/>
    <x v="3"/>
    <x v="4"/>
    <n v="0"/>
    <n v="0"/>
    <n v="1.0999999999999999E-2"/>
    <n v="1.0999999999999999E-2"/>
    <n v="1.0999999999999999E-2"/>
    <n v="1.0999999999999999E-2"/>
    <n v="0"/>
    <s v="CATIVO"/>
    <n v="0"/>
    <n v="0"/>
    <n v="44"/>
    <n v="97"/>
    <n v="0"/>
    <n v="433.74"/>
    <n v="192.75"/>
    <m/>
    <n v="502.89678584558482"/>
    <n v="237.28634159637272"/>
    <n v="0"/>
    <n v="0.43987595744680846"/>
    <n v="0"/>
    <n v="0.51970304692733194"/>
    <x v="2"/>
  </r>
  <r>
    <s v="Regular"/>
    <x v="2"/>
    <x v="3"/>
    <x v="2"/>
    <x v="0"/>
    <x v="1"/>
    <x v="0"/>
    <x v="3"/>
    <x v="5"/>
    <n v="0"/>
    <n v="0"/>
    <n v="0.01"/>
    <n v="0.01"/>
    <n v="0.01"/>
    <n v="0.01"/>
    <n v="0"/>
    <s v="CATIVO"/>
    <n v="0"/>
    <n v="0"/>
    <n v="44"/>
    <n v="97"/>
    <n v="0"/>
    <n v="433.74"/>
    <n v="192.75"/>
    <m/>
    <n v="502.89678584558482"/>
    <n v="237.28634159637272"/>
    <n v="0"/>
    <n v="0.39988723404255327"/>
    <n v="0"/>
    <n v="0.47245731538848351"/>
    <x v="2"/>
  </r>
  <r>
    <s v="Regular"/>
    <x v="2"/>
    <x v="3"/>
    <x v="2"/>
    <x v="0"/>
    <x v="1"/>
    <x v="0"/>
    <x v="3"/>
    <x v="6"/>
    <n v="0"/>
    <n v="0"/>
    <n v="8.0000000000000002E-3"/>
    <n v="8.0000000000000002E-3"/>
    <n v="8.0000000000000002E-3"/>
    <n v="8.0000000000000002E-3"/>
    <n v="0"/>
    <s v="CATIVO"/>
    <n v="0"/>
    <n v="0"/>
    <n v="44"/>
    <n v="97"/>
    <n v="0"/>
    <n v="433.74"/>
    <n v="192.75"/>
    <m/>
    <n v="502.89678584558482"/>
    <n v="237.28634159637272"/>
    <n v="0"/>
    <n v="0.31990978723404256"/>
    <n v="0"/>
    <n v="0.37796585231078683"/>
    <x v="2"/>
  </r>
  <r>
    <s v="Regular"/>
    <x v="2"/>
    <x v="3"/>
    <x v="2"/>
    <x v="0"/>
    <x v="1"/>
    <x v="0"/>
    <x v="3"/>
    <x v="7"/>
    <n v="0"/>
    <n v="0"/>
    <n v="1.0999999999999999E-2"/>
    <n v="1.0999999999999999E-2"/>
    <n v="1.0999999999999999E-2"/>
    <n v="1.0999999999999999E-2"/>
    <n v="0"/>
    <s v="CATIVO"/>
    <n v="0"/>
    <n v="0"/>
    <n v="44"/>
    <n v="97"/>
    <n v="0"/>
    <n v="433.74"/>
    <n v="192.75"/>
    <m/>
    <n v="502.89678584558482"/>
    <n v="237.28634159637272"/>
    <n v="0"/>
    <n v="0.43987595744680846"/>
    <n v="0"/>
    <n v="0.51970304692733194"/>
    <x v="2"/>
  </r>
  <r>
    <s v="Regular"/>
    <x v="2"/>
    <x v="3"/>
    <x v="2"/>
    <x v="0"/>
    <x v="1"/>
    <x v="0"/>
    <x v="3"/>
    <x v="8"/>
    <n v="0"/>
    <n v="0"/>
    <n v="1.2E-2"/>
    <n v="1.2E-2"/>
    <n v="1.2E-2"/>
    <n v="1.2E-2"/>
    <n v="0"/>
    <s v="CATIVO"/>
    <n v="0"/>
    <n v="0"/>
    <n v="44"/>
    <n v="97"/>
    <n v="0"/>
    <n v="433.74"/>
    <n v="192.75"/>
    <m/>
    <n v="502.89678584558482"/>
    <n v="237.28634159637272"/>
    <n v="0"/>
    <n v="0.47986468085106382"/>
    <n v="0"/>
    <n v="0.5669487784661803"/>
    <x v="2"/>
  </r>
  <r>
    <s v="Regular"/>
    <x v="2"/>
    <x v="3"/>
    <x v="2"/>
    <x v="0"/>
    <x v="1"/>
    <x v="0"/>
    <x v="3"/>
    <x v="9"/>
    <n v="0"/>
    <n v="0"/>
    <n v="0.01"/>
    <n v="0.01"/>
    <n v="0.01"/>
    <n v="0.01"/>
    <n v="0"/>
    <s v="CATIVO"/>
    <n v="0"/>
    <n v="0"/>
    <n v="44"/>
    <n v="97"/>
    <n v="0"/>
    <n v="433.74"/>
    <n v="192.75"/>
    <m/>
    <n v="502.89678584558482"/>
    <n v="237.28634159637272"/>
    <n v="0"/>
    <n v="0.39988723404255327"/>
    <n v="0"/>
    <n v="0.47245731538848351"/>
    <x v="2"/>
  </r>
  <r>
    <s v="Regular"/>
    <x v="2"/>
    <x v="3"/>
    <x v="2"/>
    <x v="0"/>
    <x v="1"/>
    <x v="0"/>
    <x v="3"/>
    <x v="10"/>
    <n v="0"/>
    <n v="0"/>
    <n v="1.2E-2"/>
    <n v="1.2E-2"/>
    <n v="1.2E-2"/>
    <n v="1.2E-2"/>
    <n v="0"/>
    <s v="CATIVO"/>
    <n v="0"/>
    <n v="0"/>
    <n v="44"/>
    <n v="97"/>
    <n v="0"/>
    <n v="433.74"/>
    <n v="192.75"/>
    <m/>
    <n v="502.89678584558482"/>
    <n v="237.28634159637272"/>
    <n v="0"/>
    <n v="0.47986468085106382"/>
    <n v="0"/>
    <n v="0.5669487784661803"/>
    <x v="2"/>
  </r>
  <r>
    <s v="PROJETADO"/>
    <x v="2"/>
    <x v="3"/>
    <x v="2"/>
    <x v="0"/>
    <x v="1"/>
    <x v="0"/>
    <x v="3"/>
    <x v="11"/>
    <n v="0"/>
    <n v="0"/>
    <n v="1.2E-2"/>
    <n v="1.2E-2"/>
    <n v="1.2E-2"/>
    <n v="1.2E-2"/>
    <n v="0"/>
    <s v="CATIVO"/>
    <n v="0"/>
    <n v="0"/>
    <n v="44"/>
    <n v="97"/>
    <n v="0"/>
    <n v="433.74"/>
    <n v="192.75"/>
    <m/>
    <n v="502.89678584558482"/>
    <n v="237.28634159637272"/>
    <n v="0"/>
    <n v="0.47986468085106382"/>
    <n v="0"/>
    <n v="0.5669487784661803"/>
    <x v="2"/>
  </r>
  <r>
    <s v="Regular"/>
    <x v="2"/>
    <x v="3"/>
    <x v="2"/>
    <x v="0"/>
    <x v="1"/>
    <x v="0"/>
    <x v="2"/>
    <x v="0"/>
    <n v="0"/>
    <n v="0"/>
    <n v="1.0999999999999999E-2"/>
    <n v="1.0999999999999999E-2"/>
    <n v="1.0999999999999999E-2"/>
    <n v="1.0999999999999999E-2"/>
    <n v="0"/>
    <s v="CATIVO"/>
    <n v="0"/>
    <n v="0"/>
    <n v="43"/>
    <n v="96"/>
    <n v="0"/>
    <n v="687.34"/>
    <n v="322.61"/>
    <m/>
    <n v="792.71625174926999"/>
    <n v="383.12280579768588"/>
    <n v="0"/>
    <n v="0.70911382978723403"/>
    <n v="0"/>
    <n v="0.82558912551169239"/>
    <x v="2"/>
  </r>
  <r>
    <s v="Regular"/>
    <x v="2"/>
    <x v="3"/>
    <x v="2"/>
    <x v="0"/>
    <x v="1"/>
    <x v="0"/>
    <x v="2"/>
    <x v="1"/>
    <n v="0"/>
    <n v="0"/>
    <n v="1.4E-2"/>
    <n v="1.4E-2"/>
    <n v="1.4E-2"/>
    <n v="1.4E-2"/>
    <n v="0"/>
    <s v="CATIVO"/>
    <n v="0"/>
    <n v="0"/>
    <n v="43"/>
    <n v="96"/>
    <n v="0"/>
    <n v="687.34"/>
    <n v="322.61"/>
    <m/>
    <n v="792.71625174926999"/>
    <n v="383.12280579768588"/>
    <n v="0"/>
    <n v="0.90250851063829807"/>
    <n v="0"/>
    <n v="1.0507497961057906"/>
    <x v="2"/>
  </r>
  <r>
    <s v="Regular"/>
    <x v="2"/>
    <x v="3"/>
    <x v="2"/>
    <x v="0"/>
    <x v="1"/>
    <x v="0"/>
    <x v="2"/>
    <x v="2"/>
    <n v="0"/>
    <n v="0"/>
    <n v="1.2999999999999999E-2"/>
    <n v="1.2999999999999999E-2"/>
    <n v="1.2999999999999999E-2"/>
    <n v="1.2999999999999999E-2"/>
    <n v="0"/>
    <s v="CATIVO"/>
    <n v="0"/>
    <n v="0"/>
    <n v="43"/>
    <n v="96"/>
    <n v="0"/>
    <n v="687.34"/>
    <n v="322.61"/>
    <m/>
    <n v="792.71625174926999"/>
    <n v="383.12280579768588"/>
    <n v="0"/>
    <n v="0.83804361702127661"/>
    <n v="0"/>
    <n v="0.97569623924109095"/>
    <x v="2"/>
  </r>
  <r>
    <s v="Regular"/>
    <x v="2"/>
    <x v="3"/>
    <x v="2"/>
    <x v="0"/>
    <x v="1"/>
    <x v="0"/>
    <x v="2"/>
    <x v="3"/>
    <n v="0"/>
    <n v="0"/>
    <n v="1.4999999999999999E-2"/>
    <n v="1.4999999999999999E-2"/>
    <n v="1.4999999999999999E-2"/>
    <n v="1.4999999999999999E-2"/>
    <n v="0"/>
    <s v="CATIVO"/>
    <n v="0"/>
    <n v="0"/>
    <n v="43"/>
    <n v="96"/>
    <n v="0"/>
    <n v="687.34"/>
    <n v="322.61"/>
    <m/>
    <n v="792.71625174926999"/>
    <n v="383.12280579768588"/>
    <n v="0"/>
    <n v="0.96697340425531908"/>
    <n v="0"/>
    <n v="1.1258033529704894"/>
    <x v="2"/>
  </r>
  <r>
    <s v="Regular"/>
    <x v="2"/>
    <x v="3"/>
    <x v="2"/>
    <x v="0"/>
    <x v="1"/>
    <x v="0"/>
    <x v="2"/>
    <x v="4"/>
    <n v="0"/>
    <n v="0"/>
    <n v="1.2999999999999999E-2"/>
    <n v="1.2999999999999999E-2"/>
    <n v="1.2999999999999999E-2"/>
    <n v="1.2999999999999999E-2"/>
    <n v="0"/>
    <s v="CATIVO"/>
    <n v="0"/>
    <n v="0"/>
    <n v="43"/>
    <n v="96"/>
    <n v="0"/>
    <n v="687.34"/>
    <n v="322.61"/>
    <m/>
    <n v="792.71625174926999"/>
    <n v="383.12280579768588"/>
    <n v="0"/>
    <n v="0.83804361702127661"/>
    <n v="0"/>
    <n v="0.97569623924109095"/>
    <x v="2"/>
  </r>
  <r>
    <s v="Regular"/>
    <x v="2"/>
    <x v="3"/>
    <x v="2"/>
    <x v="0"/>
    <x v="1"/>
    <x v="0"/>
    <x v="2"/>
    <x v="5"/>
    <n v="0"/>
    <n v="0"/>
    <n v="1.2999999999999999E-2"/>
    <n v="1.2999999999999999E-2"/>
    <n v="1.2999999999999999E-2"/>
    <n v="1.2999999999999999E-2"/>
    <n v="0"/>
    <s v="CATIVO"/>
    <n v="0"/>
    <n v="0"/>
    <n v="43"/>
    <n v="96"/>
    <n v="0"/>
    <n v="687.34"/>
    <n v="322.61"/>
    <m/>
    <n v="792.71625174926999"/>
    <n v="383.12280579768588"/>
    <n v="0"/>
    <n v="0.83804361702127661"/>
    <n v="0"/>
    <n v="0.97569623924109095"/>
    <x v="2"/>
  </r>
  <r>
    <s v="Regular"/>
    <x v="2"/>
    <x v="3"/>
    <x v="2"/>
    <x v="0"/>
    <x v="1"/>
    <x v="0"/>
    <x v="2"/>
    <x v="6"/>
    <n v="0"/>
    <n v="0"/>
    <n v="1.2E-2"/>
    <n v="1.2E-2"/>
    <n v="1.2E-2"/>
    <n v="1.2E-2"/>
    <n v="0"/>
    <s v="CATIVO"/>
    <n v="0"/>
    <n v="0"/>
    <n v="43"/>
    <n v="96"/>
    <n v="0"/>
    <n v="687.34"/>
    <n v="322.61"/>
    <m/>
    <n v="792.71625174926999"/>
    <n v="383.12280579768588"/>
    <n v="0"/>
    <n v="0.77357872340425538"/>
    <n v="0"/>
    <n v="0.90064268237639178"/>
    <x v="2"/>
  </r>
  <r>
    <s v="Regular"/>
    <x v="2"/>
    <x v="3"/>
    <x v="2"/>
    <x v="0"/>
    <x v="1"/>
    <x v="0"/>
    <x v="2"/>
    <x v="7"/>
    <n v="0"/>
    <n v="0"/>
    <n v="1.2999999999999999E-2"/>
    <n v="1.2999999999999999E-2"/>
    <n v="1.2999999999999999E-2"/>
    <n v="1.2999999999999999E-2"/>
    <n v="0"/>
    <s v="CATIVO"/>
    <n v="0"/>
    <n v="0"/>
    <n v="43"/>
    <n v="96"/>
    <n v="0"/>
    <n v="687.34"/>
    <n v="322.61"/>
    <m/>
    <n v="792.71625174926999"/>
    <n v="383.12280579768588"/>
    <n v="0"/>
    <n v="0.83804361702127661"/>
    <n v="0"/>
    <n v="0.97569623924109095"/>
    <x v="2"/>
  </r>
  <r>
    <s v="Regular"/>
    <x v="2"/>
    <x v="3"/>
    <x v="2"/>
    <x v="0"/>
    <x v="1"/>
    <x v="0"/>
    <x v="2"/>
    <x v="8"/>
    <n v="0"/>
    <n v="0"/>
    <n v="1.4999999999999999E-2"/>
    <n v="1.4999999999999999E-2"/>
    <n v="1.4999999999999999E-2"/>
    <n v="1.4999999999999999E-2"/>
    <n v="0"/>
    <s v="CATIVO"/>
    <n v="0"/>
    <n v="0"/>
    <n v="43"/>
    <n v="96"/>
    <n v="0"/>
    <n v="687.34"/>
    <n v="322.61"/>
    <m/>
    <n v="792.71625174926999"/>
    <n v="383.12280579768588"/>
    <n v="0"/>
    <n v="0.96697340425531908"/>
    <n v="0"/>
    <n v="1.1258033529704894"/>
    <x v="2"/>
  </r>
  <r>
    <s v="Regular"/>
    <x v="2"/>
    <x v="3"/>
    <x v="2"/>
    <x v="0"/>
    <x v="1"/>
    <x v="0"/>
    <x v="2"/>
    <x v="9"/>
    <n v="0"/>
    <n v="0"/>
    <n v="1.4999999999999999E-2"/>
    <n v="1.4999999999999999E-2"/>
    <n v="1.4999999999999999E-2"/>
    <n v="1.4999999999999999E-2"/>
    <n v="0"/>
    <s v="CATIVO"/>
    <n v="0"/>
    <n v="0"/>
    <n v="43"/>
    <n v="96"/>
    <n v="0"/>
    <n v="687.34"/>
    <n v="322.61"/>
    <m/>
    <n v="792.71625174926999"/>
    <n v="383.12280579768588"/>
    <n v="0"/>
    <n v="0.96697340425531908"/>
    <n v="0"/>
    <n v="1.1258033529704894"/>
    <x v="2"/>
  </r>
  <r>
    <s v="Regular"/>
    <x v="2"/>
    <x v="3"/>
    <x v="2"/>
    <x v="0"/>
    <x v="1"/>
    <x v="0"/>
    <x v="2"/>
    <x v="10"/>
    <n v="0"/>
    <n v="0"/>
    <n v="1.6E-2"/>
    <n v="1.6E-2"/>
    <n v="1.6E-2"/>
    <n v="1.6E-2"/>
    <n v="0"/>
    <s v="CATIVO"/>
    <n v="0"/>
    <n v="0"/>
    <n v="43"/>
    <n v="96"/>
    <n v="0"/>
    <n v="687.34"/>
    <n v="322.61"/>
    <m/>
    <n v="792.71625174926999"/>
    <n v="383.12280579768588"/>
    <n v="0"/>
    <n v="1.0314382978723406"/>
    <n v="0"/>
    <n v="1.2008569098351889"/>
    <x v="2"/>
  </r>
  <r>
    <s v="PROJETADO"/>
    <x v="2"/>
    <x v="3"/>
    <x v="2"/>
    <x v="0"/>
    <x v="1"/>
    <x v="0"/>
    <x v="2"/>
    <x v="11"/>
    <n v="0"/>
    <n v="0"/>
    <n v="1.6E-2"/>
    <n v="1.6E-2"/>
    <n v="1.6E-2"/>
    <n v="1.6E-2"/>
    <n v="0"/>
    <s v="CATIVO"/>
    <n v="0"/>
    <n v="0"/>
    <n v="43"/>
    <n v="96"/>
    <n v="0"/>
    <n v="687.34"/>
    <n v="322.61"/>
    <m/>
    <n v="792.71625174926999"/>
    <n v="383.12280579768588"/>
    <n v="0"/>
    <n v="1.0314382978723406"/>
    <n v="0"/>
    <n v="1.2008569098351889"/>
    <x v="2"/>
  </r>
  <r>
    <s v="Regular"/>
    <x v="2"/>
    <x v="2"/>
    <x v="2"/>
    <x v="7"/>
    <x v="2"/>
    <x v="0"/>
    <x v="1"/>
    <x v="0"/>
    <n v="0"/>
    <n v="0"/>
    <n v="146.16200000000001"/>
    <n v="146.16200000000001"/>
    <n v="146.16200000000001"/>
    <n v="146.16200000000001"/>
    <n v="0"/>
    <s v="CATIVO"/>
    <n v="0"/>
    <n v="0"/>
    <n v="46"/>
    <n v="99"/>
    <n v="0"/>
    <n v="251.46"/>
    <n v="203.57"/>
    <m/>
    <n v="294.58903575722985"/>
    <n v="249.43938027981548"/>
    <n v="0"/>
    <n v="9069.3521000000019"/>
    <n v="0"/>
    <n v="5075.5073198812752"/>
    <x v="2"/>
  </r>
  <r>
    <s v="Refaturamento - Regular"/>
    <x v="2"/>
    <x v="2"/>
    <x v="2"/>
    <x v="7"/>
    <x v="2"/>
    <x v="0"/>
    <x v="1"/>
    <x v="0"/>
    <n v="0"/>
    <n v="0"/>
    <n v="-18.343"/>
    <n v="-18.343"/>
    <n v="-18.343"/>
    <n v="-18.343"/>
    <n v="0"/>
    <s v="CATIVO"/>
    <n v="0"/>
    <n v="0"/>
    <n v="46"/>
    <n v="99"/>
    <n v="0"/>
    <n v="251.46"/>
    <n v="203.57"/>
    <m/>
    <n v="294.58903575722985"/>
    <n v="249.43938027981548"/>
    <n v="0"/>
    <n v="-1138.1831500000003"/>
    <n v="0"/>
    <n v="-636.96467459792711"/>
    <x v="2"/>
  </r>
  <r>
    <s v="Sistema de Compensação"/>
    <x v="2"/>
    <x v="2"/>
    <x v="2"/>
    <x v="7"/>
    <x v="2"/>
    <x v="0"/>
    <x v="1"/>
    <x v="0"/>
    <n v="0"/>
    <n v="0"/>
    <n v="0.48299999999999998"/>
    <n v="0.48299999999999998"/>
    <n v="0.48299999999999998"/>
    <n v="0.48299999999999998"/>
    <n v="0"/>
    <s v="CATIVO"/>
    <n v="0"/>
    <n v="0"/>
    <n v="46"/>
    <n v="99"/>
    <n v="0"/>
    <n v="251.46"/>
    <n v="203.57"/>
    <m/>
    <n v="294.58903575722985"/>
    <n v="249.43938027981548"/>
    <n v="0"/>
    <n v="29.970150000000004"/>
    <n v="0"/>
    <n v="16.772280315695294"/>
    <x v="2"/>
  </r>
  <r>
    <s v="Regular"/>
    <x v="2"/>
    <x v="2"/>
    <x v="2"/>
    <x v="7"/>
    <x v="2"/>
    <x v="0"/>
    <x v="1"/>
    <x v="1"/>
    <n v="0"/>
    <n v="0"/>
    <n v="132.06899999999999"/>
    <n v="132.06899999999999"/>
    <n v="132.06899999999999"/>
    <n v="132.06899999999999"/>
    <n v="0"/>
    <s v="CATIVO"/>
    <n v="0"/>
    <n v="0"/>
    <n v="46"/>
    <n v="99"/>
    <n v="0"/>
    <n v="251.46"/>
    <n v="203.57"/>
    <m/>
    <n v="294.58903575722985"/>
    <n v="249.43938027981548"/>
    <n v="0"/>
    <n v="8194.8814500000008"/>
    <n v="0"/>
    <n v="4586.1248219742483"/>
    <x v="2"/>
  </r>
  <r>
    <s v="Sistema de Compensação"/>
    <x v="2"/>
    <x v="2"/>
    <x v="2"/>
    <x v="7"/>
    <x v="2"/>
    <x v="0"/>
    <x v="1"/>
    <x v="1"/>
    <n v="0"/>
    <n v="0"/>
    <n v="0.47399999999999998"/>
    <n v="0.47399999999999998"/>
    <n v="0.47399999999999998"/>
    <n v="0.47399999999999998"/>
    <n v="0"/>
    <s v="CATIVO"/>
    <n v="0"/>
    <n v="0"/>
    <n v="46"/>
    <n v="99"/>
    <n v="0"/>
    <n v="251.46"/>
    <n v="203.57"/>
    <m/>
    <n v="294.58903575722985"/>
    <n v="249.43938027981548"/>
    <n v="0"/>
    <n v="29.411700000000003"/>
    <n v="0"/>
    <n v="16.459753353291035"/>
    <x v="2"/>
  </r>
  <r>
    <s v="Sistema de Compensação"/>
    <x v="2"/>
    <x v="2"/>
    <x v="2"/>
    <x v="7"/>
    <x v="2"/>
    <x v="0"/>
    <x v="1"/>
    <x v="1"/>
    <n v="0"/>
    <n v="0"/>
    <n v="0.66500000000000004"/>
    <n v="0.66500000000000004"/>
    <n v="0.66500000000000004"/>
    <n v="0.66500000000000004"/>
    <n v="0"/>
    <s v="CATIVO"/>
    <n v="0"/>
    <n v="0"/>
    <n v="46"/>
    <n v="99"/>
    <n v="0"/>
    <n v="251.46"/>
    <n v="203.57"/>
    <m/>
    <n v="294.58903575722985"/>
    <n v="249.43938027981548"/>
    <n v="0"/>
    <n v="41.263250000000006"/>
    <n v="0"/>
    <n v="23.092269999870336"/>
    <x v="2"/>
  </r>
  <r>
    <s v="Regular"/>
    <x v="2"/>
    <x v="2"/>
    <x v="2"/>
    <x v="7"/>
    <x v="2"/>
    <x v="0"/>
    <x v="1"/>
    <x v="2"/>
    <n v="0"/>
    <n v="0"/>
    <n v="110.985"/>
    <n v="110.985"/>
    <n v="110.985"/>
    <n v="110.985"/>
    <n v="0"/>
    <s v="CATIVO"/>
    <n v="0"/>
    <n v="0"/>
    <n v="46"/>
    <n v="99"/>
    <n v="0"/>
    <n v="251.46"/>
    <n v="203.57"/>
    <m/>
    <n v="294.58903575722985"/>
    <n v="249.43938027981548"/>
    <n v="0"/>
    <n v="6886.6192500000016"/>
    <n v="0"/>
    <n v="3853.9783247152013"/>
    <x v="2"/>
  </r>
  <r>
    <s v="Refaturamento - Regular"/>
    <x v="2"/>
    <x v="2"/>
    <x v="2"/>
    <x v="7"/>
    <x v="2"/>
    <x v="0"/>
    <x v="1"/>
    <x v="2"/>
    <n v="0"/>
    <n v="0"/>
    <n v="-3.1419999999999999"/>
    <n v="-3.1419999999999999"/>
    <n v="-3.1419999999999999"/>
    <n v="-3.1419999999999999"/>
    <n v="0"/>
    <s v="CATIVO"/>
    <n v="0"/>
    <n v="0"/>
    <n v="46"/>
    <n v="99"/>
    <n v="0"/>
    <n v="251.46"/>
    <n v="203.57"/>
    <m/>
    <n v="294.58903575722985"/>
    <n v="249.43938027981548"/>
    <n v="0"/>
    <n v="-194.96110000000002"/>
    <n v="0"/>
    <n v="-109.10663509713171"/>
    <x v="2"/>
  </r>
  <r>
    <s v="Sistema de Compensação"/>
    <x v="2"/>
    <x v="2"/>
    <x v="2"/>
    <x v="7"/>
    <x v="2"/>
    <x v="0"/>
    <x v="1"/>
    <x v="2"/>
    <n v="0"/>
    <n v="0"/>
    <n v="0.16"/>
    <n v="0.16"/>
    <n v="0.16"/>
    <n v="0.16"/>
    <n v="0"/>
    <s v="CATIVO"/>
    <n v="0"/>
    <n v="0"/>
    <n v="46"/>
    <n v="99"/>
    <n v="0"/>
    <n v="251.46"/>
    <n v="203.57"/>
    <m/>
    <n v="294.58903575722985"/>
    <n v="249.43938027981548"/>
    <n v="0"/>
    <n v="9.9280000000000026"/>
    <n v="0"/>
    <n v="5.556034887186847"/>
    <x v="2"/>
  </r>
  <r>
    <s v="Sistema de Compensação"/>
    <x v="2"/>
    <x v="2"/>
    <x v="2"/>
    <x v="7"/>
    <x v="2"/>
    <x v="0"/>
    <x v="1"/>
    <x v="2"/>
    <n v="0"/>
    <n v="0"/>
    <n v="3.5270000000000001"/>
    <n v="3.5270000000000001"/>
    <n v="3.5270000000000001"/>
    <n v="3.5270000000000001"/>
    <n v="0"/>
    <s v="CATIVO"/>
    <n v="0"/>
    <n v="0"/>
    <n v="46"/>
    <n v="99"/>
    <n v="0"/>
    <n v="251.46"/>
    <n v="203.57"/>
    <m/>
    <n v="294.58903575722985"/>
    <n v="249.43938027981548"/>
    <n v="0"/>
    <n v="218.85035000000005"/>
    <n v="0"/>
    <n v="122.47584404442507"/>
    <x v="2"/>
  </r>
  <r>
    <s v="Regular"/>
    <x v="2"/>
    <x v="2"/>
    <x v="2"/>
    <x v="7"/>
    <x v="2"/>
    <x v="0"/>
    <x v="1"/>
    <x v="3"/>
    <n v="0"/>
    <n v="0"/>
    <n v="85.21"/>
    <n v="85.21"/>
    <n v="85.21"/>
    <n v="85.21"/>
    <n v="0"/>
    <s v="CATIVO"/>
    <n v="0"/>
    <n v="0"/>
    <n v="46"/>
    <n v="99"/>
    <n v="0"/>
    <n v="251.46"/>
    <n v="203.57"/>
    <m/>
    <n v="294.58903575722985"/>
    <n v="249.43938027981548"/>
    <n v="0"/>
    <n v="5287.2805000000008"/>
    <n v="0"/>
    <n v="2958.9358296074452"/>
    <x v="2"/>
  </r>
  <r>
    <s v="Refaturamento - Regular"/>
    <x v="2"/>
    <x v="2"/>
    <x v="2"/>
    <x v="7"/>
    <x v="2"/>
    <x v="0"/>
    <x v="1"/>
    <x v="3"/>
    <n v="0"/>
    <n v="0"/>
    <n v="-3.0110000000000001"/>
    <n v="-3.0110000000000001"/>
    <n v="-3.0110000000000001"/>
    <n v="-3.0110000000000001"/>
    <n v="0"/>
    <s v="CATIVO"/>
    <n v="0"/>
    <n v="0"/>
    <n v="46"/>
    <n v="99"/>
    <n v="0"/>
    <n v="251.46"/>
    <n v="203.57"/>
    <m/>
    <n v="294.58903575722985"/>
    <n v="249.43938027981548"/>
    <n v="0"/>
    <n v="-186.83255000000005"/>
    <n v="0"/>
    <n v="-104.55763153324749"/>
    <x v="2"/>
  </r>
  <r>
    <s v="Sistema de Compensação"/>
    <x v="2"/>
    <x v="2"/>
    <x v="2"/>
    <x v="7"/>
    <x v="2"/>
    <x v="0"/>
    <x v="1"/>
    <x v="3"/>
    <n v="0"/>
    <n v="0"/>
    <n v="0.20200000000000001"/>
    <n v="0.20200000000000001"/>
    <n v="0.20200000000000001"/>
    <n v="0.20200000000000001"/>
    <n v="0"/>
    <s v="CATIVO"/>
    <n v="0"/>
    <n v="0"/>
    <n v="46"/>
    <n v="99"/>
    <n v="0"/>
    <n v="251.46"/>
    <n v="203.57"/>
    <m/>
    <n v="294.58903575722985"/>
    <n v="249.43938027981548"/>
    <n v="0"/>
    <n v="12.534100000000002"/>
    <n v="0"/>
    <n v="7.0144940450733948"/>
    <x v="2"/>
  </r>
  <r>
    <s v="Regular"/>
    <x v="2"/>
    <x v="2"/>
    <x v="2"/>
    <x v="7"/>
    <x v="2"/>
    <x v="0"/>
    <x v="1"/>
    <x v="4"/>
    <n v="0"/>
    <n v="0"/>
    <n v="102.312"/>
    <n v="102.312"/>
    <n v="102.312"/>
    <n v="102.312"/>
    <n v="0"/>
    <s v="CATIVO"/>
    <n v="0"/>
    <n v="0"/>
    <n v="46"/>
    <n v="99"/>
    <n v="0"/>
    <n v="251.46"/>
    <n v="203.57"/>
    <m/>
    <n v="294.58903575722985"/>
    <n v="249.43938027981548"/>
    <n v="0"/>
    <n v="6348.459600000001"/>
    <n v="0"/>
    <n v="3552.8065086116294"/>
    <x v="2"/>
  </r>
  <r>
    <s v="Refaturamento - Regular"/>
    <x v="2"/>
    <x v="2"/>
    <x v="2"/>
    <x v="7"/>
    <x v="2"/>
    <x v="0"/>
    <x v="1"/>
    <x v="4"/>
    <n v="0"/>
    <n v="0"/>
    <n v="0.73299999999999998"/>
    <n v="0.73299999999999998"/>
    <n v="0.73299999999999998"/>
    <n v="0.73299999999999998"/>
    <n v="0"/>
    <s v="CATIVO"/>
    <n v="0"/>
    <n v="0"/>
    <n v="46"/>
    <n v="99"/>
    <n v="0"/>
    <n v="251.46"/>
    <n v="203.57"/>
    <m/>
    <n v="294.58903575722985"/>
    <n v="249.43938027981548"/>
    <n v="0"/>
    <n v="45.482650000000007"/>
    <n v="0"/>
    <n v="25.453584826924743"/>
    <x v="2"/>
  </r>
  <r>
    <s v="Sistema de Compensação"/>
    <x v="2"/>
    <x v="2"/>
    <x v="2"/>
    <x v="7"/>
    <x v="2"/>
    <x v="0"/>
    <x v="1"/>
    <x v="4"/>
    <n v="0"/>
    <n v="0"/>
    <n v="0.16200000000000001"/>
    <n v="0.16200000000000001"/>
    <n v="0.16200000000000001"/>
    <n v="0.16200000000000001"/>
    <n v="0"/>
    <s v="CATIVO"/>
    <n v="0"/>
    <n v="0"/>
    <n v="46"/>
    <n v="99"/>
    <n v="0"/>
    <n v="251.46"/>
    <n v="203.57"/>
    <m/>
    <n v="294.58903575722985"/>
    <n v="249.43938027981548"/>
    <n v="0"/>
    <n v="10.052100000000003"/>
    <n v="0"/>
    <n v="5.625485323276683"/>
    <x v="2"/>
  </r>
  <r>
    <s v="Regular"/>
    <x v="2"/>
    <x v="2"/>
    <x v="2"/>
    <x v="7"/>
    <x v="2"/>
    <x v="0"/>
    <x v="1"/>
    <x v="5"/>
    <n v="0"/>
    <n v="0"/>
    <n v="104.854"/>
    <n v="104.854"/>
    <n v="104.854"/>
    <n v="104.854"/>
    <n v="0"/>
    <s v="CATIVO"/>
    <n v="0"/>
    <n v="0"/>
    <n v="46"/>
    <n v="99"/>
    <n v="0"/>
    <n v="251.46"/>
    <n v="203.57"/>
    <m/>
    <n v="294.58903575722985"/>
    <n v="249.43938027981548"/>
    <n v="0"/>
    <n v="6506.190700000001"/>
    <n v="0"/>
    <n v="3641.0780128818105"/>
    <x v="2"/>
  </r>
  <r>
    <s v="Sistema de Compensação"/>
    <x v="2"/>
    <x v="2"/>
    <x v="2"/>
    <x v="7"/>
    <x v="2"/>
    <x v="0"/>
    <x v="1"/>
    <x v="5"/>
    <n v="0"/>
    <n v="0"/>
    <n v="0.57799999999999996"/>
    <n v="0.57799999999999996"/>
    <n v="0.57799999999999996"/>
    <n v="0.57799999999999996"/>
    <n v="0"/>
    <s v="CATIVO"/>
    <n v="0"/>
    <n v="0"/>
    <n v="46"/>
    <n v="99"/>
    <n v="0"/>
    <n v="251.46"/>
    <n v="203.57"/>
    <m/>
    <n v="294.58903575722985"/>
    <n v="249.43938027981548"/>
    <n v="0"/>
    <n v="35.864900000000006"/>
    <n v="0"/>
    <n v="20.071176029962484"/>
    <x v="2"/>
  </r>
  <r>
    <s v="Regular"/>
    <x v="2"/>
    <x v="2"/>
    <x v="2"/>
    <x v="7"/>
    <x v="2"/>
    <x v="0"/>
    <x v="1"/>
    <x v="6"/>
    <n v="0"/>
    <n v="0"/>
    <n v="100.452"/>
    <n v="100.452"/>
    <n v="100.452"/>
    <n v="100.452"/>
    <n v="0"/>
    <s v="CATIVO"/>
    <n v="0"/>
    <n v="0"/>
    <n v="46"/>
    <n v="99"/>
    <n v="0"/>
    <n v="251.46"/>
    <n v="203.57"/>
    <m/>
    <n v="294.58903575722985"/>
    <n v="249.43938027981548"/>
    <n v="0"/>
    <n v="6233.0466000000006"/>
    <n v="0"/>
    <n v="3488.2176030480823"/>
    <x v="2"/>
  </r>
  <r>
    <s v="Sistema de Compensação"/>
    <x v="2"/>
    <x v="2"/>
    <x v="2"/>
    <x v="7"/>
    <x v="2"/>
    <x v="0"/>
    <x v="1"/>
    <x v="6"/>
    <n v="0"/>
    <n v="0"/>
    <n v="0.219"/>
    <n v="0.219"/>
    <n v="0.219"/>
    <n v="0.219"/>
    <n v="0"/>
    <s v="CATIVO"/>
    <n v="0"/>
    <n v="0"/>
    <n v="46"/>
    <n v="99"/>
    <n v="0"/>
    <n v="251.46"/>
    <n v="203.57"/>
    <m/>
    <n v="294.58903575722985"/>
    <n v="249.43938027981548"/>
    <n v="0"/>
    <n v="13.588950000000002"/>
    <n v="0"/>
    <n v="7.6048227518369975"/>
    <x v="2"/>
  </r>
  <r>
    <s v="Regular"/>
    <x v="2"/>
    <x v="2"/>
    <x v="2"/>
    <x v="7"/>
    <x v="2"/>
    <x v="0"/>
    <x v="1"/>
    <x v="7"/>
    <n v="0"/>
    <n v="0"/>
    <n v="166.77600000000001"/>
    <n v="166.77600000000001"/>
    <n v="166.77600000000001"/>
    <n v="166.77600000000001"/>
    <n v="0"/>
    <s v="CATIVO"/>
    <n v="0"/>
    <n v="0"/>
    <n v="46"/>
    <n v="99"/>
    <n v="0"/>
    <n v="251.46"/>
    <n v="203.57"/>
    <m/>
    <n v="294.58903575722985"/>
    <n v="249.43938027981548"/>
    <n v="0"/>
    <n v="10348.450800000002"/>
    <n v="0"/>
    <n v="5791.332964659211"/>
    <x v="2"/>
  </r>
  <r>
    <s v="Sistema de Compensação"/>
    <x v="2"/>
    <x v="2"/>
    <x v="2"/>
    <x v="7"/>
    <x v="2"/>
    <x v="0"/>
    <x v="1"/>
    <x v="7"/>
    <n v="0"/>
    <n v="0"/>
    <n v="0.84199999999999997"/>
    <n v="0.84199999999999997"/>
    <n v="0.84199999999999997"/>
    <n v="0.84199999999999997"/>
    <n v="0"/>
    <s v="CATIVO"/>
    <n v="0"/>
    <n v="0"/>
    <n v="46"/>
    <n v="99"/>
    <n v="0"/>
    <n v="251.46"/>
    <n v="203.57"/>
    <m/>
    <n v="294.58903575722985"/>
    <n v="249.43938027981548"/>
    <n v="0"/>
    <n v="52.246100000000006"/>
    <n v="0"/>
    <n v="29.238633593820783"/>
    <x v="2"/>
  </r>
  <r>
    <s v="Regular"/>
    <x v="2"/>
    <x v="2"/>
    <x v="2"/>
    <x v="7"/>
    <x v="2"/>
    <x v="0"/>
    <x v="1"/>
    <x v="8"/>
    <n v="0"/>
    <n v="0"/>
    <n v="152.21600000000001"/>
    <n v="152.21600000000001"/>
    <n v="152.21600000000001"/>
    <n v="152.21600000000001"/>
    <n v="0"/>
    <s v="CATIVO"/>
    <n v="0"/>
    <n v="0"/>
    <n v="46"/>
    <n v="99"/>
    <n v="0"/>
    <n v="251.46"/>
    <n v="203.57"/>
    <m/>
    <n v="294.58903575722985"/>
    <n v="249.43938027981548"/>
    <n v="0"/>
    <n v="9445.002800000002"/>
    <n v="0"/>
    <n v="5285.733789925207"/>
    <x v="2"/>
  </r>
  <r>
    <s v="Refaturamento - Regular"/>
    <x v="2"/>
    <x v="2"/>
    <x v="2"/>
    <x v="7"/>
    <x v="2"/>
    <x v="0"/>
    <x v="1"/>
    <x v="8"/>
    <n v="0"/>
    <n v="0"/>
    <n v="-1.073"/>
    <n v="-1.073"/>
    <n v="-1.073"/>
    <n v="-1.073"/>
    <n v="0"/>
    <s v="CATIVO"/>
    <n v="0"/>
    <n v="0"/>
    <n v="46"/>
    <n v="99"/>
    <n v="0"/>
    <n v="251.46"/>
    <n v="203.57"/>
    <m/>
    <n v="294.58903575722985"/>
    <n v="249.43938027981548"/>
    <n v="0"/>
    <n v="-66.579650000000015"/>
    <n v="0"/>
    <n v="-37.26015896219679"/>
    <x v="2"/>
  </r>
  <r>
    <s v="Sistema de Compensação"/>
    <x v="2"/>
    <x v="2"/>
    <x v="2"/>
    <x v="7"/>
    <x v="2"/>
    <x v="0"/>
    <x v="1"/>
    <x v="8"/>
    <n v="0"/>
    <n v="0"/>
    <n v="1.256"/>
    <n v="1.256"/>
    <n v="1.256"/>
    <n v="1.256"/>
    <n v="0"/>
    <s v="CATIVO"/>
    <n v="0"/>
    <n v="0"/>
    <n v="46"/>
    <n v="99"/>
    <n v="0"/>
    <n v="251.46"/>
    <n v="203.57"/>
    <m/>
    <n v="294.58903575722985"/>
    <n v="249.43938027981548"/>
    <n v="0"/>
    <n v="77.93480000000001"/>
    <n v="0"/>
    <n v="43.614873864416751"/>
    <x v="2"/>
  </r>
  <r>
    <s v="Regular"/>
    <x v="2"/>
    <x v="2"/>
    <x v="2"/>
    <x v="7"/>
    <x v="2"/>
    <x v="0"/>
    <x v="1"/>
    <x v="9"/>
    <n v="0"/>
    <n v="0"/>
    <n v="135.41900000000001"/>
    <n v="135.41900000000001"/>
    <n v="135.41900000000001"/>
    <n v="135.41900000000001"/>
    <n v="0"/>
    <s v="CATIVO"/>
    <n v="0"/>
    <n v="0"/>
    <n v="46"/>
    <n v="99"/>
    <n v="0"/>
    <n v="251.46"/>
    <n v="203.57"/>
    <m/>
    <n v="294.58903575722985"/>
    <n v="249.43938027981548"/>
    <n v="0"/>
    <n v="8402.7489500000029"/>
    <n v="0"/>
    <n v="4702.4543024247232"/>
    <x v="2"/>
  </r>
  <r>
    <s v="Refaturamento - Regular"/>
    <x v="2"/>
    <x v="2"/>
    <x v="2"/>
    <x v="7"/>
    <x v="2"/>
    <x v="0"/>
    <x v="1"/>
    <x v="9"/>
    <n v="0"/>
    <n v="0"/>
    <n v="-2.5099999999999998"/>
    <n v="-2.5099999999999998"/>
    <n v="-2.5099999999999998"/>
    <n v="-2.5099999999999998"/>
    <n v="0"/>
    <s v="CATIVO"/>
    <n v="0"/>
    <n v="0"/>
    <n v="46"/>
    <n v="99"/>
    <n v="0"/>
    <n v="251.46"/>
    <n v="203.57"/>
    <m/>
    <n v="294.58903575722985"/>
    <n v="249.43938027981548"/>
    <n v="0"/>
    <n v="-155.74550000000002"/>
    <n v="0"/>
    <n v="-87.160297292743664"/>
    <x v="2"/>
  </r>
  <r>
    <s v="Sistema de Compensação"/>
    <x v="2"/>
    <x v="2"/>
    <x v="2"/>
    <x v="7"/>
    <x v="2"/>
    <x v="0"/>
    <x v="1"/>
    <x v="9"/>
    <n v="0"/>
    <n v="0"/>
    <n v="0.80700000000000005"/>
    <n v="0.80700000000000005"/>
    <n v="0.80700000000000005"/>
    <n v="0.80700000000000005"/>
    <n v="0"/>
    <s v="CATIVO"/>
    <n v="0"/>
    <n v="0"/>
    <n v="46"/>
    <n v="99"/>
    <n v="0"/>
    <n v="251.46"/>
    <n v="203.57"/>
    <m/>
    <n v="294.58903575722985"/>
    <n v="249.43938027981548"/>
    <n v="0"/>
    <n v="50.07435000000001"/>
    <n v="0"/>
    <n v="28.023250962248664"/>
    <x v="2"/>
  </r>
  <r>
    <s v="Regular"/>
    <x v="2"/>
    <x v="2"/>
    <x v="2"/>
    <x v="7"/>
    <x v="2"/>
    <x v="0"/>
    <x v="1"/>
    <x v="10"/>
    <n v="0"/>
    <n v="0"/>
    <n v="164.58699999999999"/>
    <n v="164.58699999999999"/>
    <n v="164.58699999999999"/>
    <n v="164.58699999999999"/>
    <n v="0"/>
    <s v="CATIVO"/>
    <n v="0"/>
    <n v="0"/>
    <n v="46"/>
    <n v="99"/>
    <n v="0"/>
    <n v="251.46"/>
    <n v="203.57"/>
    <m/>
    <n v="294.58903575722985"/>
    <n v="249.43938027981548"/>
    <n v="0"/>
    <n v="10212.623350000002"/>
    <n v="0"/>
    <n v="5715.3194623588852"/>
    <x v="2"/>
  </r>
  <r>
    <s v="Sistema de Compensação"/>
    <x v="2"/>
    <x v="2"/>
    <x v="2"/>
    <x v="7"/>
    <x v="2"/>
    <x v="0"/>
    <x v="1"/>
    <x v="10"/>
    <n v="0"/>
    <n v="0"/>
    <n v="1.4810000000000001"/>
    <n v="1.4810000000000001"/>
    <n v="1.4810000000000001"/>
    <n v="1.4810000000000001"/>
    <n v="0"/>
    <s v="CATIVO"/>
    <n v="0"/>
    <n v="0"/>
    <n v="46"/>
    <n v="99"/>
    <n v="0"/>
    <n v="251.46"/>
    <n v="203.57"/>
    <m/>
    <n v="294.58903575722985"/>
    <n v="249.43938027981548"/>
    <n v="0"/>
    <n v="91.896050000000017"/>
    <n v="0"/>
    <n v="51.428047924523256"/>
    <x v="2"/>
  </r>
  <r>
    <s v="PROJETADO"/>
    <x v="2"/>
    <x v="2"/>
    <x v="2"/>
    <x v="7"/>
    <x v="2"/>
    <x v="0"/>
    <x v="1"/>
    <x v="11"/>
    <n v="0"/>
    <n v="0"/>
    <n v="164.58699999999999"/>
    <n v="164.58699999999999"/>
    <n v="164.58699999999999"/>
    <n v="164.58699999999999"/>
    <n v="0"/>
    <s v="CATIVO"/>
    <n v="0"/>
    <n v="0"/>
    <n v="46"/>
    <n v="99"/>
    <n v="0"/>
    <n v="251.46"/>
    <n v="203.57"/>
    <m/>
    <n v="294.58903575722985"/>
    <n v="249.43938027981548"/>
    <n v="0"/>
    <n v="10212.623350000002"/>
    <n v="0"/>
    <n v="5715.3194623588852"/>
    <x v="2"/>
  </r>
  <r>
    <s v="PROJETADO"/>
    <x v="2"/>
    <x v="2"/>
    <x v="2"/>
    <x v="7"/>
    <x v="2"/>
    <x v="0"/>
    <x v="1"/>
    <x v="11"/>
    <n v="0"/>
    <n v="0"/>
    <n v="1.4810000000000001"/>
    <n v="1.4810000000000001"/>
    <n v="1.4810000000000001"/>
    <n v="1.4810000000000001"/>
    <n v="0"/>
    <s v="CATIVO"/>
    <n v="0"/>
    <n v="0"/>
    <n v="46"/>
    <n v="99"/>
    <n v="0"/>
    <n v="251.46"/>
    <n v="203.57"/>
    <m/>
    <n v="294.58903575722985"/>
    <n v="249.43938027981548"/>
    <n v="0"/>
    <n v="91.896050000000017"/>
    <n v="0"/>
    <n v="51.428047924523256"/>
    <x v="2"/>
  </r>
  <r>
    <s v="Regular"/>
    <x v="2"/>
    <x v="2"/>
    <x v="2"/>
    <x v="7"/>
    <x v="3"/>
    <x v="0"/>
    <x v="1"/>
    <x v="0"/>
    <n v="0"/>
    <n v="0"/>
    <n v="185.21"/>
    <n v="50.006700000000002"/>
    <n v="185.21"/>
    <n v="50.006700000000002"/>
    <n v="0"/>
    <s v="CATIVO"/>
    <n v="0"/>
    <n v="0"/>
    <n v="46"/>
    <n v="99"/>
    <n v="0"/>
    <n v="251.46"/>
    <n v="203.57"/>
    <m/>
    <n v="294.58903575722985"/>
    <n v="249.43938027981548"/>
    <n v="0"/>
    <n v="73013.838099000001"/>
    <n v="0"/>
    <n v="79985.894776080677"/>
    <x v="5"/>
  </r>
  <r>
    <s v="Refaturamento - Regular"/>
    <x v="2"/>
    <x v="2"/>
    <x v="2"/>
    <x v="7"/>
    <x v="3"/>
    <x v="0"/>
    <x v="1"/>
    <x v="0"/>
    <n v="0"/>
    <n v="0"/>
    <n v="-7.484"/>
    <n v="-2.02068"/>
    <n v="-7.484"/>
    <n v="-2.02068"/>
    <n v="0"/>
    <s v="CATIVO"/>
    <n v="0"/>
    <n v="0"/>
    <n v="46"/>
    <n v="99"/>
    <n v="0"/>
    <n v="251.46"/>
    <n v="203.57"/>
    <m/>
    <n v="294.58903575722985"/>
    <n v="249.43938027981548"/>
    <n v="0"/>
    <n v="-2950.3566995999995"/>
    <n v="0"/>
    <n v="-3232.0848577516749"/>
    <x v="5"/>
  </r>
  <r>
    <s v="Sistema de Compensação"/>
    <x v="2"/>
    <x v="2"/>
    <x v="2"/>
    <x v="7"/>
    <x v="3"/>
    <x v="0"/>
    <x v="1"/>
    <x v="0"/>
    <n v="0"/>
    <n v="0"/>
    <n v="0.84299999999999997"/>
    <n v="0.22761000000000001"/>
    <n v="0.84299999999999997"/>
    <n v="0.22761000000000001"/>
    <n v="0"/>
    <s v="CATIVO"/>
    <n v="0"/>
    <n v="0"/>
    <n v="46"/>
    <n v="99"/>
    <n v="0"/>
    <n v="251.46"/>
    <n v="203.57"/>
    <m/>
    <n v="294.58903575722985"/>
    <n v="249.43938027981548"/>
    <n v="0"/>
    <n v="332.32906170000001"/>
    <n v="0"/>
    <n v="364.06300575690301"/>
    <x v="5"/>
  </r>
  <r>
    <s v="Regular"/>
    <x v="2"/>
    <x v="2"/>
    <x v="2"/>
    <x v="7"/>
    <x v="3"/>
    <x v="0"/>
    <x v="1"/>
    <x v="1"/>
    <n v="0"/>
    <n v="0"/>
    <n v="153.54300000000001"/>
    <n v="41.456609999999998"/>
    <n v="153.54300000000001"/>
    <n v="41.456609999999998"/>
    <n v="0"/>
    <s v="CATIVO"/>
    <n v="0"/>
    <n v="0"/>
    <n v="46"/>
    <n v="99"/>
    <n v="0"/>
    <n v="251.46"/>
    <n v="203.57"/>
    <m/>
    <n v="294.58903575722985"/>
    <n v="249.43938027981548"/>
    <n v="0"/>
    <n v="60530.013191700004"/>
    <n v="0"/>
    <n v="66309.995365281327"/>
    <x v="5"/>
  </r>
  <r>
    <s v="Sistema de Compensação"/>
    <x v="2"/>
    <x v="2"/>
    <x v="2"/>
    <x v="7"/>
    <x v="3"/>
    <x v="0"/>
    <x v="1"/>
    <x v="1"/>
    <n v="0"/>
    <n v="0"/>
    <n v="0.498"/>
    <n v="0.13446"/>
    <n v="0.498"/>
    <n v="0.13446"/>
    <n v="0"/>
    <s v="CATIVO"/>
    <n v="0"/>
    <n v="0"/>
    <n v="46"/>
    <n v="99"/>
    <n v="0"/>
    <n v="251.46"/>
    <n v="203.57"/>
    <m/>
    <n v="294.58903575722985"/>
    <n v="249.43938027981548"/>
    <n v="0"/>
    <n v="196.32250619999999"/>
    <n v="0"/>
    <n v="215.0692489524765"/>
    <x v="5"/>
  </r>
  <r>
    <s v="Regular"/>
    <x v="2"/>
    <x v="2"/>
    <x v="2"/>
    <x v="7"/>
    <x v="3"/>
    <x v="0"/>
    <x v="1"/>
    <x v="2"/>
    <n v="0"/>
    <n v="0"/>
    <n v="114.893"/>
    <n v="31.02111"/>
    <n v="114.893"/>
    <n v="31.02111"/>
    <n v="0"/>
    <s v="CATIVO"/>
    <n v="0"/>
    <n v="0"/>
    <n v="46"/>
    <n v="99"/>
    <n v="0"/>
    <n v="251.46"/>
    <n v="203.57"/>
    <m/>
    <n v="294.58903575722985"/>
    <n v="249.43938027981548"/>
    <n v="0"/>
    <n v="45293.336756700002"/>
    <n v="0"/>
    <n v="49618.375943568048"/>
    <x v="5"/>
  </r>
  <r>
    <s v="Refaturamento - Regular"/>
    <x v="2"/>
    <x v="2"/>
    <x v="2"/>
    <x v="7"/>
    <x v="3"/>
    <x v="0"/>
    <x v="1"/>
    <x v="2"/>
    <n v="0"/>
    <n v="0"/>
    <n v="-3.7519999999999998"/>
    <n v="-1.0130399999999999"/>
    <n v="-3.7519999999999998"/>
    <n v="-1.0130399999999999"/>
    <n v="0"/>
    <s v="CATIVO"/>
    <n v="0"/>
    <n v="0"/>
    <n v="46"/>
    <n v="99"/>
    <n v="0"/>
    <n v="251.46"/>
    <n v="203.57"/>
    <m/>
    <n v="294.58903575722985"/>
    <n v="249.43938027981548"/>
    <n v="0"/>
    <n v="-1479.1205687999998"/>
    <n v="0"/>
    <n v="-1620.3610884933569"/>
    <x v="5"/>
  </r>
  <r>
    <s v="Sistema de Compensação"/>
    <x v="2"/>
    <x v="2"/>
    <x v="2"/>
    <x v="7"/>
    <x v="3"/>
    <x v="0"/>
    <x v="1"/>
    <x v="2"/>
    <n v="0"/>
    <n v="0"/>
    <n v="0.48399999999999999"/>
    <n v="0.13067999999999999"/>
    <n v="0.48399999999999999"/>
    <n v="0.13067999999999999"/>
    <n v="0"/>
    <s v="CATIVO"/>
    <n v="0"/>
    <n v="0"/>
    <n v="46"/>
    <n v="99"/>
    <n v="0"/>
    <n v="251.46"/>
    <n v="203.57"/>
    <m/>
    <n v="294.58903575722985"/>
    <n v="249.43938027981548"/>
    <n v="0"/>
    <n v="190.80339959999998"/>
    <n v="0"/>
    <n v="209.02312548794905"/>
    <x v="5"/>
  </r>
  <r>
    <s v="Regular"/>
    <x v="2"/>
    <x v="2"/>
    <x v="2"/>
    <x v="7"/>
    <x v="3"/>
    <x v="0"/>
    <x v="1"/>
    <x v="3"/>
    <n v="0"/>
    <n v="0"/>
    <n v="86.744"/>
    <n v="23.42088"/>
    <n v="86.744"/>
    <n v="23.42088"/>
    <n v="0"/>
    <s v="CATIVO"/>
    <n v="0"/>
    <n v="0"/>
    <n v="46"/>
    <n v="99"/>
    <n v="0"/>
    <n v="251.46"/>
    <n v="203.57"/>
    <m/>
    <n v="294.58903575722985"/>
    <n v="249.43938027981548"/>
    <n v="0"/>
    <n v="34196.384493600002"/>
    <n v="0"/>
    <n v="37461.780986212092"/>
    <x v="5"/>
  </r>
  <r>
    <s v="Refaturamento - Regular"/>
    <x v="2"/>
    <x v="2"/>
    <x v="2"/>
    <x v="7"/>
    <x v="3"/>
    <x v="0"/>
    <x v="1"/>
    <x v="3"/>
    <n v="0"/>
    <n v="0"/>
    <n v="-4.9210000000000003"/>
    <n v="-1.32867"/>
    <n v="-4.9210000000000003"/>
    <n v="-1.32867"/>
    <n v="0"/>
    <s v="CATIVO"/>
    <n v="0"/>
    <n v="0"/>
    <n v="46"/>
    <n v="99"/>
    <n v="0"/>
    <n v="251.46"/>
    <n v="203.57"/>
    <m/>
    <n v="294.58903575722985"/>
    <n v="249.43938027981548"/>
    <n v="0"/>
    <n v="-1939.9659699000001"/>
    <n v="0"/>
    <n v="-2125.2123977813999"/>
    <x v="5"/>
  </r>
  <r>
    <s v="Sistema de Compensação"/>
    <x v="2"/>
    <x v="2"/>
    <x v="2"/>
    <x v="7"/>
    <x v="3"/>
    <x v="0"/>
    <x v="1"/>
    <x v="3"/>
    <n v="0"/>
    <n v="0"/>
    <n v="0.59799999999999998"/>
    <n v="0.16145999999999999"/>
    <n v="0.59799999999999998"/>
    <n v="0.16145999999999999"/>
    <n v="0"/>
    <s v="CATIVO"/>
    <n v="0"/>
    <n v="0"/>
    <n v="46"/>
    <n v="99"/>
    <n v="0"/>
    <n v="251.46"/>
    <n v="203.57"/>
    <m/>
    <n v="294.58903575722985"/>
    <n v="249.43938027981548"/>
    <n v="0"/>
    <n v="235.74469619999996"/>
    <n v="0"/>
    <n v="258.25584512767261"/>
    <x v="5"/>
  </r>
  <r>
    <s v="Regular"/>
    <x v="2"/>
    <x v="2"/>
    <x v="2"/>
    <x v="7"/>
    <x v="3"/>
    <x v="0"/>
    <x v="1"/>
    <x v="4"/>
    <n v="0"/>
    <n v="0"/>
    <n v="118.303"/>
    <n v="31.94181"/>
    <n v="118.303"/>
    <n v="31.94181"/>
    <n v="0"/>
    <s v="CATIVO"/>
    <n v="0"/>
    <n v="0"/>
    <n v="46"/>
    <n v="99"/>
    <n v="0"/>
    <n v="251.46"/>
    <n v="203.57"/>
    <m/>
    <n v="294.58903575722985"/>
    <n v="249.43938027981548"/>
    <n v="0"/>
    <n v="46637.633435699994"/>
    <n v="0"/>
    <n v="51091.038873142221"/>
    <x v="5"/>
  </r>
  <r>
    <s v="Sistema de Compensação"/>
    <x v="2"/>
    <x v="2"/>
    <x v="2"/>
    <x v="7"/>
    <x v="3"/>
    <x v="0"/>
    <x v="1"/>
    <x v="4"/>
    <n v="0"/>
    <n v="0"/>
    <n v="0.68200000000000005"/>
    <n v="0.18414"/>
    <n v="0.68200000000000005"/>
    <n v="0.18414"/>
    <n v="0"/>
    <s v="CATIVO"/>
    <n v="0"/>
    <n v="0"/>
    <n v="46"/>
    <n v="99"/>
    <n v="0"/>
    <n v="251.46"/>
    <n v="203.57"/>
    <m/>
    <n v="294.58903575722985"/>
    <n v="249.43938027981548"/>
    <n v="0"/>
    <n v="268.8593358"/>
    <n v="0"/>
    <n v="294.53258591483734"/>
    <x v="5"/>
  </r>
  <r>
    <s v="Regular"/>
    <x v="2"/>
    <x v="2"/>
    <x v="2"/>
    <x v="7"/>
    <x v="3"/>
    <x v="0"/>
    <x v="1"/>
    <x v="5"/>
    <n v="0"/>
    <n v="0"/>
    <n v="144.03"/>
    <n v="38.888100000000001"/>
    <n v="144.03"/>
    <n v="38.888100000000001"/>
    <n v="0"/>
    <s v="CATIVO"/>
    <n v="0"/>
    <n v="0"/>
    <n v="46"/>
    <n v="99"/>
    <n v="0"/>
    <n v="251.46"/>
    <n v="203.57"/>
    <m/>
    <n v="294.58903575722985"/>
    <n v="249.43938027981548"/>
    <n v="0"/>
    <n v="56779.780256999999"/>
    <n v="0"/>
    <n v="62201.65447113492"/>
    <x v="5"/>
  </r>
  <r>
    <s v="Sistema de Compensação"/>
    <x v="2"/>
    <x v="2"/>
    <x v="2"/>
    <x v="7"/>
    <x v="3"/>
    <x v="0"/>
    <x v="1"/>
    <x v="5"/>
    <n v="0"/>
    <n v="0"/>
    <n v="0.91400000000000003"/>
    <n v="0.24678"/>
    <n v="0.91400000000000003"/>
    <n v="0.24678"/>
    <n v="0"/>
    <s v="CATIVO"/>
    <n v="0"/>
    <n v="0"/>
    <n v="46"/>
    <n v="99"/>
    <n v="0"/>
    <n v="251.46"/>
    <n v="203.57"/>
    <m/>
    <n v="294.58903575722985"/>
    <n v="249.43938027981548"/>
    <n v="0"/>
    <n v="360.31881659999999"/>
    <n v="0"/>
    <n v="394.72548904129224"/>
    <x v="5"/>
  </r>
  <r>
    <s v="Regular"/>
    <x v="2"/>
    <x v="2"/>
    <x v="2"/>
    <x v="7"/>
    <x v="3"/>
    <x v="0"/>
    <x v="1"/>
    <x v="6"/>
    <n v="0"/>
    <n v="0"/>
    <n v="131.072"/>
    <n v="35.38944"/>
    <n v="131.072"/>
    <n v="35.38944"/>
    <n v="0"/>
    <s v="CATIVO"/>
    <n v="0"/>
    <n v="0"/>
    <n v="46"/>
    <n v="99"/>
    <n v="0"/>
    <n v="251.46"/>
    <n v="203.57"/>
    <m/>
    <n v="294.58903575722985"/>
    <n v="249.43938027981548"/>
    <n v="0"/>
    <n v="51671.452876799995"/>
    <n v="0"/>
    <n v="56605.535338753012"/>
    <x v="5"/>
  </r>
  <r>
    <s v="Sistema de Compensação"/>
    <x v="2"/>
    <x v="2"/>
    <x v="2"/>
    <x v="7"/>
    <x v="3"/>
    <x v="0"/>
    <x v="1"/>
    <x v="6"/>
    <n v="0"/>
    <n v="0"/>
    <n v="0.72799999999999998"/>
    <n v="0.19656000000000001"/>
    <n v="0.72799999999999998"/>
    <n v="0.19656000000000001"/>
    <n v="0"/>
    <s v="CATIVO"/>
    <n v="0"/>
    <n v="0"/>
    <n v="46"/>
    <n v="99"/>
    <n v="0"/>
    <n v="251.46"/>
    <n v="203.57"/>
    <m/>
    <n v="294.58903575722985"/>
    <n v="249.43938027981548"/>
    <n v="0"/>
    <n v="286.99354319999998"/>
    <n v="0"/>
    <n v="314.39842015542746"/>
    <x v="5"/>
  </r>
  <r>
    <s v="Regular"/>
    <x v="2"/>
    <x v="2"/>
    <x v="2"/>
    <x v="7"/>
    <x v="3"/>
    <x v="0"/>
    <x v="1"/>
    <x v="7"/>
    <n v="0"/>
    <n v="0"/>
    <n v="193.536"/>
    <n v="52.254719999999999"/>
    <n v="193.536"/>
    <n v="52.254719999999999"/>
    <n v="0"/>
    <s v="CATIVO"/>
    <n v="0"/>
    <n v="0"/>
    <n v="46"/>
    <n v="99"/>
    <n v="0"/>
    <n v="251.46"/>
    <n v="203.57"/>
    <m/>
    <n v="294.58903575722985"/>
    <n v="249.43938027981548"/>
    <n v="0"/>
    <n v="76296.129638400002"/>
    <n v="0"/>
    <n v="83581.610773627501"/>
    <x v="5"/>
  </r>
  <r>
    <s v="Sistema de Compensação"/>
    <x v="2"/>
    <x v="2"/>
    <x v="2"/>
    <x v="7"/>
    <x v="3"/>
    <x v="0"/>
    <x v="1"/>
    <x v="7"/>
    <n v="0"/>
    <n v="0"/>
    <n v="1.4350000000000001"/>
    <n v="0.38745000000000002"/>
    <n v="1.4350000000000001"/>
    <n v="0.38745000000000002"/>
    <n v="0"/>
    <s v="CATIVO"/>
    <n v="0"/>
    <n v="0"/>
    <n v="46"/>
    <n v="99"/>
    <n v="0"/>
    <n v="251.46"/>
    <n v="203.57"/>
    <m/>
    <n v="294.58903575722985"/>
    <n v="249.43938027981548"/>
    <n v="0"/>
    <n v="565.70842649999997"/>
    <n v="0"/>
    <n v="619.72765511406385"/>
    <x v="5"/>
  </r>
  <r>
    <s v="Regular"/>
    <x v="2"/>
    <x v="2"/>
    <x v="2"/>
    <x v="7"/>
    <x v="3"/>
    <x v="0"/>
    <x v="1"/>
    <x v="8"/>
    <n v="0"/>
    <n v="0"/>
    <n v="194.28899999999999"/>
    <n v="52.458030000000001"/>
    <n v="194.28899999999999"/>
    <n v="52.458030000000001"/>
    <n v="0"/>
    <s v="CATIVO"/>
    <n v="0"/>
    <n v="0"/>
    <n v="46"/>
    <n v="99"/>
    <n v="0"/>
    <n v="251.46"/>
    <n v="203.57"/>
    <m/>
    <n v="294.58903575722985"/>
    <n v="249.43938027981548"/>
    <n v="0"/>
    <n v="76592.978729099981"/>
    <n v="0"/>
    <n v="83906.80584282671"/>
    <x v="5"/>
  </r>
  <r>
    <s v="Refaturamento - Regular"/>
    <x v="2"/>
    <x v="2"/>
    <x v="2"/>
    <x v="7"/>
    <x v="3"/>
    <x v="0"/>
    <x v="1"/>
    <x v="8"/>
    <n v="0"/>
    <n v="0"/>
    <n v="-1.8080000000000001"/>
    <n v="-0.48815999999999998"/>
    <n v="-1.8080000000000001"/>
    <n v="-0.48815999999999998"/>
    <n v="0"/>
    <s v="CATIVO"/>
    <n v="0"/>
    <n v="0"/>
    <n v="46"/>
    <n v="99"/>
    <n v="0"/>
    <n v="251.46"/>
    <n v="203.57"/>
    <m/>
    <n v="294.58903575722985"/>
    <n v="249.43938027981548"/>
    <n v="0"/>
    <n v="-712.75319520000005"/>
    <n v="0"/>
    <n v="-780.8136588475453"/>
    <x v="5"/>
  </r>
  <r>
    <s v="Sistema de Compensação"/>
    <x v="2"/>
    <x v="2"/>
    <x v="2"/>
    <x v="7"/>
    <x v="3"/>
    <x v="0"/>
    <x v="1"/>
    <x v="8"/>
    <n v="0"/>
    <n v="0"/>
    <n v="1.6679999999999999"/>
    <n v="0.45035999999999998"/>
    <n v="1.6679999999999999"/>
    <n v="0.45035999999999998"/>
    <n v="0"/>
    <s v="CATIVO"/>
    <n v="0"/>
    <n v="0"/>
    <n v="46"/>
    <n v="99"/>
    <n v="0"/>
    <n v="251.46"/>
    <n v="203.57"/>
    <m/>
    <n v="294.58903575722985"/>
    <n v="249.43938027981548"/>
    <n v="0"/>
    <n v="657.56212919999996"/>
    <n v="0"/>
    <n v="720.35242420227064"/>
    <x v="5"/>
  </r>
  <r>
    <s v="Regular"/>
    <x v="2"/>
    <x v="2"/>
    <x v="2"/>
    <x v="7"/>
    <x v="3"/>
    <x v="0"/>
    <x v="1"/>
    <x v="9"/>
    <n v="0"/>
    <n v="0"/>
    <n v="171.94200000000001"/>
    <n v="46.424340000000001"/>
    <n v="171.94200000000001"/>
    <n v="46.424340000000001"/>
    <n v="0"/>
    <s v="CATIVO"/>
    <n v="0"/>
    <n v="0"/>
    <n v="46"/>
    <n v="99"/>
    <n v="0"/>
    <n v="251.46"/>
    <n v="203.57"/>
    <m/>
    <n v="294.58903575722985"/>
    <n v="249.43938027981548"/>
    <n v="0"/>
    <n v="67783.3019298"/>
    <n v="0"/>
    <n v="74255.897195555663"/>
    <x v="5"/>
  </r>
  <r>
    <s v="Refaturamento - Regular"/>
    <x v="2"/>
    <x v="2"/>
    <x v="2"/>
    <x v="7"/>
    <x v="3"/>
    <x v="0"/>
    <x v="1"/>
    <x v="9"/>
    <n v="0"/>
    <n v="0"/>
    <n v="1.3939999999999999"/>
    <n v="0.37637999999999999"/>
    <n v="1.3939999999999999"/>
    <n v="0.37637999999999999"/>
    <n v="0"/>
    <s v="CATIVO"/>
    <n v="0"/>
    <n v="0"/>
    <n v="46"/>
    <n v="99"/>
    <n v="0"/>
    <n v="251.46"/>
    <n v="203.57"/>
    <m/>
    <n v="294.58903575722985"/>
    <n v="249.43938027981548"/>
    <n v="0"/>
    <n v="549.54532859999995"/>
    <n v="0"/>
    <n v="602.02115068223338"/>
    <x v="5"/>
  </r>
  <r>
    <s v="Sistema de Compensação"/>
    <x v="2"/>
    <x v="2"/>
    <x v="2"/>
    <x v="7"/>
    <x v="3"/>
    <x v="0"/>
    <x v="1"/>
    <x v="9"/>
    <n v="0"/>
    <n v="0"/>
    <n v="1.8109999999999999"/>
    <n v="0.48897000000000002"/>
    <n v="1.8109999999999999"/>
    <n v="0.48897000000000002"/>
    <n v="0"/>
    <s v="CATIVO"/>
    <n v="0"/>
    <n v="0"/>
    <n v="46"/>
    <n v="99"/>
    <n v="0"/>
    <n v="251.46"/>
    <n v="203.57"/>
    <m/>
    <n v="294.58903575722985"/>
    <n v="249.43938027981548"/>
    <n v="0"/>
    <n v="713.93586089999997"/>
    <n v="0"/>
    <n v="782.10925673280099"/>
    <x v="5"/>
  </r>
  <r>
    <s v="Regular"/>
    <x v="2"/>
    <x v="2"/>
    <x v="2"/>
    <x v="7"/>
    <x v="3"/>
    <x v="0"/>
    <x v="1"/>
    <x v="10"/>
    <n v="0"/>
    <n v="0"/>
    <n v="175.35499999999999"/>
    <n v="47.345849999999999"/>
    <n v="175.35499999999999"/>
    <n v="47.345849999999999"/>
    <n v="0"/>
    <s v="CATIVO"/>
    <n v="0"/>
    <n v="0"/>
    <n v="46"/>
    <n v="99"/>
    <n v="0"/>
    <n v="251.46"/>
    <n v="203.57"/>
    <m/>
    <n v="294.58903575722985"/>
    <n v="249.43938027981548"/>
    <n v="0"/>
    <n v="69128.781274499983"/>
    <n v="0"/>
    <n v="75729.855723015076"/>
    <x v="5"/>
  </r>
  <r>
    <s v="Sistema de Compensação"/>
    <x v="2"/>
    <x v="2"/>
    <x v="2"/>
    <x v="7"/>
    <x v="3"/>
    <x v="0"/>
    <x v="1"/>
    <x v="10"/>
    <n v="0"/>
    <n v="0"/>
    <n v="1.776"/>
    <n v="0.47952"/>
    <n v="1.776"/>
    <n v="0.47952"/>
    <n v="0"/>
    <s v="CATIVO"/>
    <n v="0"/>
    <n v="0"/>
    <n v="46"/>
    <n v="99"/>
    <n v="0"/>
    <n v="251.46"/>
    <n v="203.57"/>
    <m/>
    <n v="294.58903575722985"/>
    <n v="249.43938027981548"/>
    <n v="0"/>
    <n v="700.1380944"/>
    <n v="0"/>
    <n v="766.99394807148258"/>
    <x v="5"/>
  </r>
  <r>
    <s v="PROJETADO"/>
    <x v="2"/>
    <x v="2"/>
    <x v="2"/>
    <x v="7"/>
    <x v="3"/>
    <x v="0"/>
    <x v="1"/>
    <x v="11"/>
    <n v="0"/>
    <n v="0"/>
    <n v="175.35499999999999"/>
    <n v="47.345849999999999"/>
    <n v="175.35499999999999"/>
    <n v="47.345849999999999"/>
    <n v="0"/>
    <s v="CATIVO"/>
    <n v="0"/>
    <n v="0"/>
    <n v="46"/>
    <n v="99"/>
    <n v="0"/>
    <n v="251.46"/>
    <n v="203.57"/>
    <m/>
    <n v="294.58903575722985"/>
    <n v="249.43938027981548"/>
    <n v="0"/>
    <n v="69128.781274499983"/>
    <n v="0"/>
    <n v="75729.855723015076"/>
    <x v="5"/>
  </r>
  <r>
    <s v="PROJETADO"/>
    <x v="2"/>
    <x v="2"/>
    <x v="2"/>
    <x v="7"/>
    <x v="3"/>
    <x v="0"/>
    <x v="1"/>
    <x v="11"/>
    <n v="0"/>
    <n v="0"/>
    <n v="1.776"/>
    <n v="0.47952"/>
    <n v="1.776"/>
    <n v="0.47952"/>
    <n v="0"/>
    <s v="CATIVO"/>
    <n v="0"/>
    <n v="0"/>
    <n v="46"/>
    <n v="99"/>
    <n v="0"/>
    <n v="251.46"/>
    <n v="203.57"/>
    <m/>
    <n v="294.58903575722985"/>
    <n v="249.43938027981548"/>
    <n v="0"/>
    <n v="700.1380944"/>
    <n v="0"/>
    <n v="766.99394807148258"/>
    <x v="5"/>
  </r>
  <r>
    <s v="Regular"/>
    <x v="2"/>
    <x v="2"/>
    <x v="2"/>
    <x v="0"/>
    <x v="1"/>
    <x v="0"/>
    <x v="1"/>
    <x v="0"/>
    <n v="0"/>
    <n v="0"/>
    <n v="1720.0550000000001"/>
    <n v="1720.0550000000001"/>
    <n v="1720.0550000000001"/>
    <n v="1720.0550000000001"/>
    <n v="14642"/>
    <s v="CATIVO"/>
    <n v="0"/>
    <n v="0"/>
    <n v="46"/>
    <n v="99"/>
    <n v="0"/>
    <n v="251.46"/>
    <n v="203.57"/>
    <m/>
    <n v="294.58903575722985"/>
    <n v="249.43938027981548"/>
    <n v="0"/>
    <n v="106729.41275000002"/>
    <n v="0"/>
    <n v="59729.284924251078"/>
    <x v="2"/>
  </r>
  <r>
    <s v="Sistema de Compensação"/>
    <x v="2"/>
    <x v="2"/>
    <x v="2"/>
    <x v="0"/>
    <x v="1"/>
    <x v="0"/>
    <x v="1"/>
    <x v="0"/>
    <n v="0"/>
    <n v="0"/>
    <n v="4.5970000000000004"/>
    <n v="4.5970000000000004"/>
    <n v="4.5970000000000004"/>
    <n v="4.5970000000000004"/>
    <n v="22"/>
    <s v="CATIVO"/>
    <n v="0"/>
    <n v="0"/>
    <n v="46"/>
    <n v="99"/>
    <n v="0"/>
    <n v="251.46"/>
    <n v="203.57"/>
    <m/>
    <n v="294.58903575722985"/>
    <n v="249.43938027981548"/>
    <n v="0"/>
    <n v="285.24385000000007"/>
    <n v="0"/>
    <n v="159.63182735248711"/>
    <x v="2"/>
  </r>
  <r>
    <s v="Regular"/>
    <x v="2"/>
    <x v="2"/>
    <x v="2"/>
    <x v="0"/>
    <x v="1"/>
    <x v="0"/>
    <x v="1"/>
    <x v="1"/>
    <n v="0"/>
    <n v="0"/>
    <n v="1849.31"/>
    <n v="1849.31"/>
    <n v="1849.31"/>
    <n v="1849.31"/>
    <n v="14667"/>
    <s v="CATIVO"/>
    <n v="0"/>
    <n v="0"/>
    <n v="46"/>
    <n v="99"/>
    <n v="0"/>
    <n v="251.46"/>
    <n v="203.57"/>
    <m/>
    <n v="294.58903575722985"/>
    <n v="249.43938027981548"/>
    <n v="0"/>
    <n v="114749.68550000002"/>
    <n v="0"/>
    <n v="64217.692982646928"/>
    <x v="2"/>
  </r>
  <r>
    <s v="Sistema de Compensação"/>
    <x v="2"/>
    <x v="2"/>
    <x v="2"/>
    <x v="0"/>
    <x v="1"/>
    <x v="0"/>
    <x v="1"/>
    <x v="1"/>
    <n v="0"/>
    <n v="0"/>
    <n v="2.952"/>
    <n v="2.952"/>
    <n v="2.952"/>
    <n v="2.952"/>
    <n v="21"/>
    <s v="CATIVO"/>
    <n v="0"/>
    <n v="0"/>
    <n v="46"/>
    <n v="99"/>
    <n v="0"/>
    <n v="251.46"/>
    <n v="203.57"/>
    <m/>
    <n v="294.58903575722985"/>
    <n v="249.43938027981548"/>
    <n v="0"/>
    <n v="183.17160000000004"/>
    <n v="0"/>
    <n v="102.50884366859734"/>
    <x v="2"/>
  </r>
  <r>
    <s v="Sistema de Compensação"/>
    <x v="2"/>
    <x v="2"/>
    <x v="2"/>
    <x v="0"/>
    <x v="1"/>
    <x v="0"/>
    <x v="1"/>
    <x v="1"/>
    <n v="0"/>
    <n v="0"/>
    <n v="-0.66500000000000004"/>
    <n v="-0.66500000000000004"/>
    <n v="-0.66500000000000004"/>
    <n v="-0.66500000000000004"/>
    <n v="-1"/>
    <s v="CATIVO"/>
    <n v="0"/>
    <n v="0"/>
    <n v="46"/>
    <n v="99"/>
    <n v="0"/>
    <n v="251.46"/>
    <n v="203.57"/>
    <m/>
    <n v="294.58903575722985"/>
    <n v="249.43938027981548"/>
    <n v="0"/>
    <n v="-41.263250000000006"/>
    <n v="0"/>
    <n v="-23.092269999870336"/>
    <x v="2"/>
  </r>
  <r>
    <s v="Regular"/>
    <x v="2"/>
    <x v="2"/>
    <x v="2"/>
    <x v="0"/>
    <x v="1"/>
    <x v="0"/>
    <x v="1"/>
    <x v="2"/>
    <n v="0"/>
    <n v="0"/>
    <n v="1809.0909999999999"/>
    <n v="1809.0909999999999"/>
    <n v="1809.0909999999999"/>
    <n v="1809.0909999999999"/>
    <n v="14691"/>
    <s v="CATIVO"/>
    <n v="0"/>
    <n v="0"/>
    <n v="46"/>
    <n v="99"/>
    <n v="0"/>
    <n v="251.46"/>
    <n v="203.57"/>
    <m/>
    <n v="294.58903575722985"/>
    <n v="249.43938027981548"/>
    <n v="0"/>
    <n v="112254.09655000002"/>
    <n v="0"/>
    <n v="62821.079438098379"/>
    <x v="2"/>
  </r>
  <r>
    <s v="Refaturamento - Regular"/>
    <x v="2"/>
    <x v="2"/>
    <x v="2"/>
    <x v="0"/>
    <x v="1"/>
    <x v="0"/>
    <x v="1"/>
    <x v="2"/>
    <n v="0"/>
    <n v="0"/>
    <n v="-4.32"/>
    <n v="-4.32"/>
    <n v="-4.32"/>
    <n v="-4.32"/>
    <n v="0"/>
    <s v="CATIVO"/>
    <n v="0"/>
    <n v="0"/>
    <n v="46"/>
    <n v="99"/>
    <n v="0"/>
    <n v="251.46"/>
    <n v="203.57"/>
    <m/>
    <n v="294.58903575722985"/>
    <n v="249.43938027981548"/>
    <n v="0"/>
    <n v="-268.05600000000004"/>
    <n v="0"/>
    <n v="-150.01294195404489"/>
    <x v="2"/>
  </r>
  <r>
    <s v="Sistema de Compensação"/>
    <x v="2"/>
    <x v="2"/>
    <x v="2"/>
    <x v="0"/>
    <x v="1"/>
    <x v="0"/>
    <x v="1"/>
    <x v="2"/>
    <n v="0"/>
    <n v="0"/>
    <n v="5.0380000000000003"/>
    <n v="5.0380000000000003"/>
    <n v="5.0380000000000003"/>
    <n v="5.0380000000000003"/>
    <n v="25"/>
    <s v="CATIVO"/>
    <n v="0"/>
    <n v="0"/>
    <n v="46"/>
    <n v="99"/>
    <n v="0"/>
    <n v="251.46"/>
    <n v="203.57"/>
    <m/>
    <n v="294.58903575722985"/>
    <n v="249.43938027981548"/>
    <n v="0"/>
    <n v="312.60790000000009"/>
    <n v="0"/>
    <n v="174.94564851029585"/>
    <x v="2"/>
  </r>
  <r>
    <s v="Sistema de Compensação"/>
    <x v="2"/>
    <x v="2"/>
    <x v="2"/>
    <x v="0"/>
    <x v="1"/>
    <x v="0"/>
    <x v="1"/>
    <x v="2"/>
    <n v="0"/>
    <n v="0"/>
    <n v="-3.5270000000000001"/>
    <n v="-3.5270000000000001"/>
    <n v="-3.5270000000000001"/>
    <n v="-3.5270000000000001"/>
    <n v="-5"/>
    <s v="CATIVO"/>
    <n v="0"/>
    <n v="0"/>
    <n v="46"/>
    <n v="99"/>
    <n v="0"/>
    <n v="251.46"/>
    <n v="203.57"/>
    <m/>
    <n v="294.58903575722985"/>
    <n v="249.43938027981548"/>
    <n v="0"/>
    <n v="-218.85035000000005"/>
    <n v="0"/>
    <n v="-122.47584404442507"/>
    <x v="2"/>
  </r>
  <r>
    <s v="Regular"/>
    <x v="2"/>
    <x v="2"/>
    <x v="2"/>
    <x v="0"/>
    <x v="1"/>
    <x v="0"/>
    <x v="1"/>
    <x v="3"/>
    <n v="0"/>
    <n v="0"/>
    <n v="1653.0630000000001"/>
    <n v="1653.0630000000001"/>
    <n v="1653.0630000000001"/>
    <n v="1653.0630000000001"/>
    <n v="14658"/>
    <s v="CATIVO"/>
    <n v="0"/>
    <n v="0"/>
    <n v="46"/>
    <n v="99"/>
    <n v="0"/>
    <n v="251.46"/>
    <n v="203.57"/>
    <m/>
    <n v="294.58903575722985"/>
    <n v="249.43938027981548"/>
    <n v="0"/>
    <n v="102572.55915000003"/>
    <n v="0"/>
    <n v="57402.973116985951"/>
    <x v="2"/>
  </r>
  <r>
    <s v="Sistema de Compensação"/>
    <x v="2"/>
    <x v="2"/>
    <x v="2"/>
    <x v="0"/>
    <x v="1"/>
    <x v="0"/>
    <x v="1"/>
    <x v="3"/>
    <n v="0"/>
    <n v="0"/>
    <n v="13.893000000000001"/>
    <n v="13.893000000000001"/>
    <n v="13.893000000000001"/>
    <n v="13.893000000000001"/>
    <n v="26"/>
    <s v="CATIVO"/>
    <n v="0"/>
    <n v="0"/>
    <n v="46"/>
    <n v="99"/>
    <n v="0"/>
    <n v="251.46"/>
    <n v="203.57"/>
    <m/>
    <n v="294.58903575722985"/>
    <n v="249.43938027981548"/>
    <n v="0"/>
    <n v="862.06065000000024"/>
    <n v="0"/>
    <n v="482.43745429804295"/>
    <x v="2"/>
  </r>
  <r>
    <s v="Regular"/>
    <x v="2"/>
    <x v="2"/>
    <x v="2"/>
    <x v="0"/>
    <x v="1"/>
    <x v="0"/>
    <x v="1"/>
    <x v="4"/>
    <n v="0"/>
    <n v="0"/>
    <n v="1578.412"/>
    <n v="1578.412"/>
    <n v="1578.412"/>
    <n v="1578.412"/>
    <n v="14652"/>
    <s v="CATIVO"/>
    <n v="0"/>
    <n v="0"/>
    <n v="46"/>
    <n v="99"/>
    <n v="0"/>
    <n v="251.46"/>
    <n v="203.57"/>
    <m/>
    <n v="294.58903575722985"/>
    <n v="249.43938027981548"/>
    <n v="0"/>
    <n v="97940.464600000021"/>
    <n v="0"/>
    <n v="54810.700864714789"/>
    <x v="2"/>
  </r>
  <r>
    <s v="Refaturamento - Regular"/>
    <x v="2"/>
    <x v="2"/>
    <x v="2"/>
    <x v="0"/>
    <x v="1"/>
    <x v="0"/>
    <x v="1"/>
    <x v="4"/>
    <n v="0"/>
    <n v="0"/>
    <n v="-0.03"/>
    <n v="-0.03"/>
    <n v="-0.03"/>
    <n v="-0.03"/>
    <n v="-1"/>
    <s v="CATIVO"/>
    <n v="0"/>
    <n v="0"/>
    <n v="46"/>
    <n v="99"/>
    <n v="0"/>
    <n v="251.46"/>
    <n v="203.57"/>
    <m/>
    <n v="294.58903575722985"/>
    <n v="249.43938027981548"/>
    <n v="0"/>
    <n v="-1.8615000000000004"/>
    <n v="0"/>
    <n v="-1.0417565413475338"/>
    <x v="2"/>
  </r>
  <r>
    <s v="Sistema de Compensação"/>
    <x v="2"/>
    <x v="2"/>
    <x v="2"/>
    <x v="0"/>
    <x v="1"/>
    <x v="0"/>
    <x v="1"/>
    <x v="4"/>
    <n v="0"/>
    <n v="0"/>
    <n v="3.58"/>
    <n v="3.58"/>
    <n v="3.58"/>
    <n v="3.58"/>
    <n v="26"/>
    <s v="CATIVO"/>
    <n v="0"/>
    <n v="0"/>
    <n v="46"/>
    <n v="99"/>
    <n v="0"/>
    <n v="251.46"/>
    <n v="203.57"/>
    <m/>
    <n v="294.58903575722985"/>
    <n v="249.43938027981548"/>
    <n v="0"/>
    <n v="222.13900000000004"/>
    <n v="0"/>
    <n v="124.31628060080571"/>
    <x v="2"/>
  </r>
  <r>
    <s v="Regular"/>
    <x v="2"/>
    <x v="2"/>
    <x v="2"/>
    <x v="0"/>
    <x v="1"/>
    <x v="0"/>
    <x v="1"/>
    <x v="5"/>
    <n v="0"/>
    <n v="0"/>
    <n v="1682.258"/>
    <n v="1682.258"/>
    <n v="1682.258"/>
    <n v="1682.258"/>
    <n v="14577"/>
    <s v="CATIVO"/>
    <n v="0"/>
    <n v="0"/>
    <n v="46"/>
    <n v="99"/>
    <n v="0"/>
    <n v="251.46"/>
    <n v="203.57"/>
    <m/>
    <n v="294.58903575722985"/>
    <n v="249.43938027981548"/>
    <n v="0"/>
    <n v="104384.10890000002"/>
    <n v="0"/>
    <n v="58416.775857807319"/>
    <x v="2"/>
  </r>
  <r>
    <s v="Sistema de Compensação"/>
    <x v="2"/>
    <x v="2"/>
    <x v="2"/>
    <x v="0"/>
    <x v="1"/>
    <x v="0"/>
    <x v="1"/>
    <x v="5"/>
    <n v="0"/>
    <n v="0"/>
    <n v="3.7970000000000002"/>
    <n v="3.7970000000000002"/>
    <n v="3.7970000000000002"/>
    <n v="3.7970000000000002"/>
    <n v="26"/>
    <s v="CATIVO"/>
    <n v="0"/>
    <n v="0"/>
    <n v="46"/>
    <n v="99"/>
    <n v="0"/>
    <n v="251.46"/>
    <n v="203.57"/>
    <m/>
    <n v="294.58903575722985"/>
    <n v="249.43938027981548"/>
    <n v="0"/>
    <n v="235.60385000000005"/>
    <n v="0"/>
    <n v="131.85165291655287"/>
    <x v="2"/>
  </r>
  <r>
    <s v="Regular"/>
    <x v="2"/>
    <x v="2"/>
    <x v="2"/>
    <x v="0"/>
    <x v="1"/>
    <x v="0"/>
    <x v="1"/>
    <x v="6"/>
    <n v="0"/>
    <n v="0"/>
    <n v="1572.28"/>
    <n v="1572.28"/>
    <n v="1572.28"/>
    <n v="1572.28"/>
    <n v="14506"/>
    <s v="CATIVO"/>
    <n v="0"/>
    <n v="0"/>
    <n v="46"/>
    <n v="99"/>
    <n v="0"/>
    <n v="251.46"/>
    <n v="203.57"/>
    <m/>
    <n v="294.58903575722985"/>
    <n v="249.43938027981548"/>
    <n v="0"/>
    <n v="97559.974000000017"/>
    <n v="0"/>
    <n v="54597.765827663352"/>
    <x v="2"/>
  </r>
  <r>
    <s v="Refaturamento - Regular"/>
    <x v="2"/>
    <x v="2"/>
    <x v="2"/>
    <x v="0"/>
    <x v="1"/>
    <x v="0"/>
    <x v="1"/>
    <x v="6"/>
    <n v="0"/>
    <n v="0"/>
    <n v="-2.238"/>
    <n v="-2.238"/>
    <n v="-2.238"/>
    <n v="-2.238"/>
    <n v="-1"/>
    <s v="CATIVO"/>
    <n v="0"/>
    <n v="0"/>
    <n v="46"/>
    <n v="99"/>
    <n v="0"/>
    <n v="251.46"/>
    <n v="203.57"/>
    <m/>
    <n v="294.58903575722985"/>
    <n v="249.43938027981548"/>
    <n v="0"/>
    <n v="-138.86790000000002"/>
    <n v="0"/>
    <n v="-77.71503798452602"/>
    <x v="2"/>
  </r>
  <r>
    <s v="Sistema de Compensação"/>
    <x v="2"/>
    <x v="2"/>
    <x v="2"/>
    <x v="0"/>
    <x v="1"/>
    <x v="0"/>
    <x v="1"/>
    <x v="6"/>
    <n v="0"/>
    <n v="0"/>
    <n v="3.8889999999999998"/>
    <n v="3.8889999999999998"/>
    <n v="3.8889999999999998"/>
    <n v="3.8889999999999998"/>
    <n v="27"/>
    <s v="CATIVO"/>
    <n v="0"/>
    <n v="0"/>
    <n v="46"/>
    <n v="99"/>
    <n v="0"/>
    <n v="251.46"/>
    <n v="203.57"/>
    <m/>
    <n v="294.58903575722985"/>
    <n v="249.43938027981548"/>
    <n v="0"/>
    <n v="241.31245000000004"/>
    <n v="0"/>
    <n v="135.04637297668529"/>
    <x v="2"/>
  </r>
  <r>
    <s v="Regular"/>
    <x v="2"/>
    <x v="2"/>
    <x v="2"/>
    <x v="0"/>
    <x v="1"/>
    <x v="0"/>
    <x v="1"/>
    <x v="7"/>
    <n v="0"/>
    <n v="0"/>
    <n v="1613.2570000000001"/>
    <n v="1613.2570000000001"/>
    <n v="1613.2570000000001"/>
    <n v="1613.2570000000001"/>
    <n v="14408"/>
    <s v="CATIVO"/>
    <n v="0"/>
    <n v="0"/>
    <n v="46"/>
    <n v="99"/>
    <n v="0"/>
    <n v="251.46"/>
    <n v="203.57"/>
    <m/>
    <n v="294.58903575722985"/>
    <n v="249.43938027981548"/>
    <n v="0"/>
    <n v="100102.59685000002"/>
    <n v="0"/>
    <n v="56020.70108748995"/>
    <x v="2"/>
  </r>
  <r>
    <s v="Refaturamento - Regular"/>
    <x v="2"/>
    <x v="2"/>
    <x v="2"/>
    <x v="0"/>
    <x v="1"/>
    <x v="0"/>
    <x v="1"/>
    <x v="7"/>
    <n v="0"/>
    <n v="0"/>
    <n v="-5.9459999999999997"/>
    <n v="-5.9459999999999997"/>
    <n v="-5.9459999999999997"/>
    <n v="-5.9459999999999997"/>
    <n v="-2"/>
    <s v="CATIVO"/>
    <n v="0"/>
    <n v="0"/>
    <n v="46"/>
    <n v="99"/>
    <n v="0"/>
    <n v="251.46"/>
    <n v="203.57"/>
    <m/>
    <n v="294.58903575722985"/>
    <n v="249.43938027981548"/>
    <n v="0"/>
    <n v="-368.94930000000005"/>
    <n v="0"/>
    <n v="-206.4761464950812"/>
    <x v="2"/>
  </r>
  <r>
    <s v="Sistema de Compensação"/>
    <x v="2"/>
    <x v="2"/>
    <x v="2"/>
    <x v="0"/>
    <x v="1"/>
    <x v="0"/>
    <x v="1"/>
    <x v="7"/>
    <n v="0"/>
    <n v="0"/>
    <n v="4.9550000000000001"/>
    <n v="4.9550000000000001"/>
    <n v="4.9550000000000001"/>
    <n v="4.9550000000000001"/>
    <n v="31"/>
    <s v="CATIVO"/>
    <n v="0"/>
    <n v="0"/>
    <n v="46"/>
    <n v="99"/>
    <n v="0"/>
    <n v="251.46"/>
    <n v="203.57"/>
    <m/>
    <n v="294.58903575722985"/>
    <n v="249.43938027981548"/>
    <n v="0"/>
    <n v="307.45775000000003"/>
    <n v="0"/>
    <n v="172.06345541256769"/>
    <x v="2"/>
  </r>
  <r>
    <s v="Regular"/>
    <x v="2"/>
    <x v="2"/>
    <x v="2"/>
    <x v="0"/>
    <x v="1"/>
    <x v="0"/>
    <x v="1"/>
    <x v="8"/>
    <n v="0"/>
    <n v="0"/>
    <n v="1678.3979999999999"/>
    <n v="1678.3979999999999"/>
    <n v="1678.3979999999999"/>
    <n v="1678.3979999999999"/>
    <n v="14315"/>
    <s v="CATIVO"/>
    <n v="0"/>
    <n v="0"/>
    <n v="46"/>
    <n v="99"/>
    <n v="0"/>
    <n v="251.46"/>
    <n v="203.57"/>
    <m/>
    <n v="294.58903575722985"/>
    <n v="249.43938027981548"/>
    <n v="0"/>
    <n v="104144.59590000001"/>
    <n v="0"/>
    <n v="58282.736516153935"/>
    <x v="2"/>
  </r>
  <r>
    <s v="Refaturamento - Regular"/>
    <x v="2"/>
    <x v="2"/>
    <x v="2"/>
    <x v="0"/>
    <x v="1"/>
    <x v="0"/>
    <x v="1"/>
    <x v="8"/>
    <n v="0"/>
    <n v="0"/>
    <n v="-6.0999999999999999E-2"/>
    <n v="-6.0999999999999999E-2"/>
    <n v="-6.0999999999999999E-2"/>
    <n v="-6.0999999999999999E-2"/>
    <n v="0"/>
    <s v="CATIVO"/>
    <n v="0"/>
    <n v="0"/>
    <n v="46"/>
    <n v="99"/>
    <n v="0"/>
    <n v="251.46"/>
    <n v="203.57"/>
    <m/>
    <n v="294.58903575722985"/>
    <n v="249.43938027981548"/>
    <n v="0"/>
    <n v="-3.7850500000000005"/>
    <n v="0"/>
    <n v="-2.1182383007399856"/>
    <x v="2"/>
  </r>
  <r>
    <s v="Sistema de Compensação"/>
    <x v="2"/>
    <x v="2"/>
    <x v="2"/>
    <x v="0"/>
    <x v="1"/>
    <x v="0"/>
    <x v="1"/>
    <x v="8"/>
    <n v="0"/>
    <n v="0"/>
    <n v="4.7480000000000002"/>
    <n v="4.7480000000000002"/>
    <n v="4.7480000000000002"/>
    <n v="4.7480000000000002"/>
    <n v="33"/>
    <s v="CATIVO"/>
    <n v="0"/>
    <n v="0"/>
    <n v="46"/>
    <n v="99"/>
    <n v="0"/>
    <n v="251.46"/>
    <n v="203.57"/>
    <m/>
    <n v="294.58903575722985"/>
    <n v="249.43938027981548"/>
    <n v="0"/>
    <n v="294.61340000000007"/>
    <n v="0"/>
    <n v="164.8753352772697"/>
    <x v="2"/>
  </r>
  <r>
    <s v="Regular"/>
    <x v="2"/>
    <x v="2"/>
    <x v="2"/>
    <x v="0"/>
    <x v="1"/>
    <x v="0"/>
    <x v="1"/>
    <x v="9"/>
    <n v="0"/>
    <n v="0"/>
    <n v="1680.3589999999999"/>
    <n v="1680.3589999999999"/>
    <n v="1680.3589999999999"/>
    <n v="1680.3589999999999"/>
    <n v="14274"/>
    <s v="CATIVO"/>
    <n v="0"/>
    <n v="0"/>
    <n v="46"/>
    <n v="99"/>
    <n v="0"/>
    <n v="251.46"/>
    <n v="203.57"/>
    <m/>
    <n v="294.58903575722985"/>
    <n v="249.43938027981548"/>
    <n v="0"/>
    <n v="104266.27595000001"/>
    <n v="0"/>
    <n v="58350.832668740019"/>
    <x v="2"/>
  </r>
  <r>
    <s v="Sistema de Compensação"/>
    <x v="2"/>
    <x v="2"/>
    <x v="2"/>
    <x v="0"/>
    <x v="1"/>
    <x v="0"/>
    <x v="1"/>
    <x v="9"/>
    <n v="0"/>
    <n v="0"/>
    <n v="4.859"/>
    <n v="4.859"/>
    <n v="4.859"/>
    <n v="4.859"/>
    <n v="38"/>
    <s v="CATIVO"/>
    <n v="0"/>
    <n v="0"/>
    <n v="46"/>
    <n v="99"/>
    <n v="0"/>
    <n v="251.46"/>
    <n v="203.57"/>
    <m/>
    <n v="294.58903575722985"/>
    <n v="249.43938027981548"/>
    <n v="0"/>
    <n v="301.50095000000005"/>
    <n v="0"/>
    <n v="168.72983448025556"/>
    <x v="2"/>
  </r>
  <r>
    <s v="Regular"/>
    <x v="2"/>
    <x v="2"/>
    <x v="2"/>
    <x v="0"/>
    <x v="1"/>
    <x v="0"/>
    <x v="1"/>
    <x v="10"/>
    <n v="0"/>
    <n v="0"/>
    <n v="1733.576"/>
    <n v="1733.576"/>
    <n v="1733.576"/>
    <n v="1733.576"/>
    <n v="14293"/>
    <s v="CATIVO"/>
    <n v="0"/>
    <n v="0"/>
    <n v="46"/>
    <n v="99"/>
    <n v="0"/>
    <n v="251.46"/>
    <n v="203.57"/>
    <m/>
    <n v="294.58903575722985"/>
    <n v="249.43938027981548"/>
    <n v="0"/>
    <n v="107568.39080000002"/>
    <n v="0"/>
    <n v="60198.804597436414"/>
    <x v="2"/>
  </r>
  <r>
    <s v="Refaturamento - Regular"/>
    <x v="2"/>
    <x v="2"/>
    <x v="2"/>
    <x v="0"/>
    <x v="1"/>
    <x v="0"/>
    <x v="1"/>
    <x v="10"/>
    <n v="0"/>
    <n v="0"/>
    <n v="-0.97099999999999997"/>
    <n v="-0.97099999999999997"/>
    <n v="-0.97099999999999997"/>
    <n v="-0.97099999999999997"/>
    <n v="0"/>
    <s v="CATIVO"/>
    <n v="0"/>
    <n v="0"/>
    <n v="46"/>
    <n v="99"/>
    <n v="0"/>
    <n v="251.46"/>
    <n v="203.57"/>
    <m/>
    <n v="294.58903575722985"/>
    <n v="249.43938027981548"/>
    <n v="0"/>
    <n v="-60.250550000000011"/>
    <n v="0"/>
    <n v="-33.718186721615176"/>
    <x v="2"/>
  </r>
  <r>
    <s v="Sistema de Compensação"/>
    <x v="2"/>
    <x v="2"/>
    <x v="2"/>
    <x v="0"/>
    <x v="1"/>
    <x v="0"/>
    <x v="1"/>
    <x v="10"/>
    <n v="0"/>
    <n v="0"/>
    <n v="6.4180000000000001"/>
    <n v="6.4180000000000001"/>
    <n v="6.4180000000000001"/>
    <n v="6.4180000000000001"/>
    <n v="41"/>
    <s v="CATIVO"/>
    <n v="0"/>
    <n v="0"/>
    <n v="46"/>
    <n v="99"/>
    <n v="0"/>
    <n v="251.46"/>
    <n v="203.57"/>
    <m/>
    <n v="294.58903575722985"/>
    <n v="249.43938027981548"/>
    <n v="0"/>
    <n v="398.23690000000011"/>
    <n v="0"/>
    <n v="222.86644941228241"/>
    <x v="2"/>
  </r>
  <r>
    <s v="PROJETADO"/>
    <x v="2"/>
    <x v="2"/>
    <x v="2"/>
    <x v="0"/>
    <x v="1"/>
    <x v="0"/>
    <x v="1"/>
    <x v="11"/>
    <n v="0"/>
    <n v="0"/>
    <n v="1733.576"/>
    <n v="1733.576"/>
    <n v="1733.576"/>
    <n v="1733.576"/>
    <n v="14293"/>
    <s v="CATIVO"/>
    <n v="0"/>
    <n v="0"/>
    <n v="46"/>
    <n v="99"/>
    <n v="0"/>
    <n v="251.46"/>
    <n v="203.57"/>
    <m/>
    <n v="294.58903575722985"/>
    <n v="249.43938027981548"/>
    <n v="0"/>
    <n v="107568.39080000002"/>
    <n v="0"/>
    <n v="60198.804597436414"/>
    <x v="2"/>
  </r>
  <r>
    <s v="PROJETADO"/>
    <x v="2"/>
    <x v="2"/>
    <x v="2"/>
    <x v="0"/>
    <x v="1"/>
    <x v="0"/>
    <x v="1"/>
    <x v="11"/>
    <n v="0"/>
    <n v="0"/>
    <n v="-0.97099999999999997"/>
    <n v="-0.97099999999999997"/>
    <n v="-0.97099999999999997"/>
    <n v="-0.97099999999999997"/>
    <n v="0"/>
    <s v="CATIVO"/>
    <n v="0"/>
    <n v="0"/>
    <n v="46"/>
    <n v="99"/>
    <n v="0"/>
    <n v="251.46"/>
    <n v="203.57"/>
    <m/>
    <n v="294.58903575722985"/>
    <n v="249.43938027981548"/>
    <n v="0"/>
    <n v="-60.250550000000011"/>
    <n v="0"/>
    <n v="-33.718186721615176"/>
    <x v="2"/>
  </r>
  <r>
    <s v="PROJETADO"/>
    <x v="2"/>
    <x v="2"/>
    <x v="2"/>
    <x v="0"/>
    <x v="1"/>
    <x v="0"/>
    <x v="1"/>
    <x v="11"/>
    <n v="0"/>
    <n v="0"/>
    <n v="6.4180000000000001"/>
    <n v="6.4180000000000001"/>
    <n v="6.4180000000000001"/>
    <n v="6.4180000000000001"/>
    <n v="41"/>
    <s v="CATIVO"/>
    <n v="0"/>
    <n v="0"/>
    <n v="46"/>
    <n v="99"/>
    <n v="0"/>
    <n v="251.46"/>
    <n v="203.57"/>
    <m/>
    <n v="294.58903575722985"/>
    <n v="249.43938027981548"/>
    <n v="0"/>
    <n v="398.23690000000011"/>
    <n v="0"/>
    <n v="222.86644941228241"/>
    <x v="2"/>
  </r>
  <r>
    <s v="Regular"/>
    <x v="3"/>
    <x v="2"/>
    <x v="1"/>
    <x v="1"/>
    <x v="1"/>
    <x v="0"/>
    <x v="1"/>
    <x v="0"/>
    <n v="0"/>
    <n v="0"/>
    <n v="78.28"/>
    <n v="78.28"/>
    <n v="78.28"/>
    <n v="78.28"/>
    <n v="64"/>
    <s v="CATIVO"/>
    <n v="0"/>
    <n v="0"/>
    <n v="61"/>
    <n v="7"/>
    <n v="0"/>
    <n v="268.60499999999996"/>
    <n v="217.4502"/>
    <m/>
    <n v="303.99081349416269"/>
    <n v="257.40021156534152"/>
    <n v="0"/>
    <n v="2428.6213440000006"/>
    <n v="0"/>
    <n v="1359.1450342780822"/>
    <x v="1"/>
  </r>
  <r>
    <s v="Regular"/>
    <x v="3"/>
    <x v="2"/>
    <x v="1"/>
    <x v="1"/>
    <x v="1"/>
    <x v="0"/>
    <x v="1"/>
    <x v="1"/>
    <n v="0"/>
    <n v="0"/>
    <n v="88.935000000000002"/>
    <n v="88.935000000000002"/>
    <n v="88.935000000000002"/>
    <n v="88.935000000000002"/>
    <n v="66"/>
    <s v="CATIVO"/>
    <n v="0"/>
    <n v="0"/>
    <n v="61"/>
    <n v="7"/>
    <n v="0"/>
    <n v="268.60499999999996"/>
    <n v="217.4502"/>
    <m/>
    <n v="303.99081349416269"/>
    <n v="257.40021156534152"/>
    <n v="0"/>
    <n v="2759.1905879999999"/>
    <n v="0"/>
    <n v="1544.1436334123816"/>
    <x v="1"/>
  </r>
  <r>
    <s v="Regular"/>
    <x v="3"/>
    <x v="2"/>
    <x v="1"/>
    <x v="1"/>
    <x v="1"/>
    <x v="0"/>
    <x v="1"/>
    <x v="2"/>
    <n v="0"/>
    <n v="0"/>
    <n v="85.811000000000007"/>
    <n v="85.811000000000007"/>
    <n v="85.811000000000007"/>
    <n v="85.811000000000007"/>
    <n v="65"/>
    <s v="CATIVO"/>
    <n v="0"/>
    <n v="0"/>
    <n v="61"/>
    <n v="7"/>
    <n v="0"/>
    <n v="268.60499999999996"/>
    <n v="217.4502"/>
    <m/>
    <n v="303.99081349416269"/>
    <n v="257.40021156534152"/>
    <n v="0"/>
    <n v="2662.2691128000006"/>
    <n v="0"/>
    <n v="1489.9028428262202"/>
    <x v="1"/>
  </r>
  <r>
    <s v="Regular"/>
    <x v="3"/>
    <x v="2"/>
    <x v="1"/>
    <x v="1"/>
    <x v="1"/>
    <x v="0"/>
    <x v="1"/>
    <x v="3"/>
    <n v="0"/>
    <n v="0"/>
    <n v="97.037999999999997"/>
    <n v="97.037999999999997"/>
    <n v="97.037999999999997"/>
    <n v="97.037999999999997"/>
    <n v="64"/>
    <s v="CATIVO"/>
    <n v="0"/>
    <n v="0"/>
    <n v="61"/>
    <n v="7"/>
    <n v="0"/>
    <n v="268.60499999999996"/>
    <n v="217.4502"/>
    <m/>
    <n v="303.99081349416269"/>
    <n v="257.40021156534152"/>
    <n v="0"/>
    <n v="3010.5845423999999"/>
    <n v="0"/>
    <n v="1684.8328543213661"/>
    <x v="1"/>
  </r>
  <r>
    <s v="Regular"/>
    <x v="3"/>
    <x v="2"/>
    <x v="1"/>
    <x v="1"/>
    <x v="1"/>
    <x v="0"/>
    <x v="1"/>
    <x v="4"/>
    <n v="0"/>
    <n v="0"/>
    <n v="79.037999999999997"/>
    <n v="79.037999999999997"/>
    <n v="79.037999999999997"/>
    <n v="79.037999999999997"/>
    <n v="65"/>
    <s v="CATIVO"/>
    <n v="0"/>
    <n v="0"/>
    <n v="61"/>
    <n v="7"/>
    <n v="0"/>
    <n v="268.60499999999996"/>
    <n v="217.4502"/>
    <m/>
    <n v="303.99081349416269"/>
    <n v="257.40021156534152"/>
    <n v="0"/>
    <n v="2452.1381423999997"/>
    <n v="0"/>
    <n v="1372.305891917106"/>
    <x v="1"/>
  </r>
  <r>
    <s v="Regular"/>
    <x v="3"/>
    <x v="2"/>
    <x v="1"/>
    <x v="1"/>
    <x v="1"/>
    <x v="0"/>
    <x v="1"/>
    <x v="5"/>
    <n v="0"/>
    <n v="0"/>
    <n v="90.715000000000003"/>
    <n v="90.715000000000003"/>
    <n v="90.715000000000003"/>
    <n v="90.715000000000003"/>
    <n v="65"/>
    <s v="CATIVO"/>
    <n v="0"/>
    <n v="0"/>
    <n v="61"/>
    <n v="7"/>
    <n v="0"/>
    <n v="268.60499999999996"/>
    <n v="217.4502"/>
    <m/>
    <n v="303.99081349416269"/>
    <n v="257.40021156534152"/>
    <n v="0"/>
    <n v="2814.4147320000002"/>
    <n v="0"/>
    <n v="1575.0490774723585"/>
    <x v="1"/>
  </r>
  <r>
    <s v="Regular"/>
    <x v="3"/>
    <x v="2"/>
    <x v="1"/>
    <x v="1"/>
    <x v="1"/>
    <x v="0"/>
    <x v="1"/>
    <x v="6"/>
    <n v="0"/>
    <n v="0"/>
    <n v="80.218999999999994"/>
    <n v="80.218999999999994"/>
    <n v="80.218999999999994"/>
    <n v="80.218999999999994"/>
    <n v="65"/>
    <s v="CATIVO"/>
    <n v="0"/>
    <n v="0"/>
    <n v="61"/>
    <n v="7"/>
    <n v="0"/>
    <n v="268.60499999999996"/>
    <n v="217.4502"/>
    <m/>
    <n v="303.99081349416269"/>
    <n v="257.40021156534152"/>
    <n v="0"/>
    <n v="2488.7784311999999"/>
    <n v="0"/>
    <n v="1392.8111331726298"/>
    <x v="1"/>
  </r>
  <r>
    <s v="Regular"/>
    <x v="3"/>
    <x v="2"/>
    <x v="1"/>
    <x v="1"/>
    <x v="1"/>
    <x v="0"/>
    <x v="1"/>
    <x v="7"/>
    <n v="0"/>
    <n v="0"/>
    <n v="81.337000000000003"/>
    <n v="81.337000000000003"/>
    <n v="81.337000000000003"/>
    <n v="81.337000000000003"/>
    <n v="65"/>
    <s v="CATIVO"/>
    <n v="0"/>
    <n v="0"/>
    <n v="61"/>
    <n v="7"/>
    <n v="0"/>
    <n v="268.60499999999996"/>
    <n v="217.4502"/>
    <m/>
    <n v="303.99081349416269"/>
    <n v="257.40021156534152"/>
    <n v="0"/>
    <n v="2523.4641576000004"/>
    <n v="0"/>
    <n v="1412.222530059739"/>
    <x v="1"/>
  </r>
  <r>
    <s v="Regular"/>
    <x v="3"/>
    <x v="2"/>
    <x v="1"/>
    <x v="1"/>
    <x v="1"/>
    <x v="0"/>
    <x v="1"/>
    <x v="8"/>
    <n v="0"/>
    <n v="0"/>
    <n v="87.936000000000007"/>
    <n v="87.936000000000007"/>
    <n v="87.936000000000007"/>
    <n v="87.936000000000007"/>
    <n v="65"/>
    <s v="CATIVO"/>
    <n v="0"/>
    <n v="0"/>
    <n v="61"/>
    <n v="7"/>
    <n v="0"/>
    <n v="268.60499999999996"/>
    <n v="217.4502"/>
    <m/>
    <n v="303.99081349416269"/>
    <n v="257.40021156534152"/>
    <n v="0"/>
    <n v="2728.1968128000003"/>
    <n v="0"/>
    <n v="1526.7983869989453"/>
    <x v="1"/>
  </r>
  <r>
    <s v="Regular"/>
    <x v="3"/>
    <x v="2"/>
    <x v="1"/>
    <x v="1"/>
    <x v="1"/>
    <x v="0"/>
    <x v="1"/>
    <x v="9"/>
    <n v="0"/>
    <n v="0"/>
    <n v="87.006"/>
    <n v="87.006"/>
    <n v="87.006"/>
    <n v="87.006"/>
    <n v="67"/>
    <s v="CATIVO"/>
    <n v="0"/>
    <n v="0"/>
    <n v="61"/>
    <n v="7"/>
    <n v="0"/>
    <n v="268.60499999999996"/>
    <n v="217.4502"/>
    <m/>
    <n v="303.99081349416269"/>
    <n v="257.40021156534152"/>
    <n v="0"/>
    <n v="2699.3437488"/>
    <n v="0"/>
    <n v="1510.6511606080585"/>
    <x v="1"/>
  </r>
  <r>
    <s v="Refaturamento - Regular"/>
    <x v="3"/>
    <x v="2"/>
    <x v="1"/>
    <x v="1"/>
    <x v="1"/>
    <x v="0"/>
    <x v="1"/>
    <x v="9"/>
    <n v="0"/>
    <n v="0"/>
    <n v="-0.03"/>
    <n v="-0.03"/>
    <n v="-0.03"/>
    <n v="-0.03"/>
    <n v="-1"/>
    <s v="CATIVO"/>
    <n v="0"/>
    <n v="0"/>
    <n v="61"/>
    <n v="7"/>
    <n v="0"/>
    <n v="268.60499999999996"/>
    <n v="217.4502"/>
    <m/>
    <n v="303.99081349416269"/>
    <n v="257.40021156534152"/>
    <n v="0"/>
    <n v="-0.93074399999999979"/>
    <n v="0"/>
    <n v="-0.52087827067376691"/>
    <x v="1"/>
  </r>
  <r>
    <s v="Regular"/>
    <x v="3"/>
    <x v="2"/>
    <x v="1"/>
    <x v="1"/>
    <x v="1"/>
    <x v="0"/>
    <x v="1"/>
    <x v="10"/>
    <n v="0"/>
    <n v="0"/>
    <n v="92.775000000000006"/>
    <n v="92.775000000000006"/>
    <n v="92.775000000000006"/>
    <n v="92.775000000000006"/>
    <n v="67"/>
    <s v="CATIVO"/>
    <n v="0"/>
    <n v="0"/>
    <n v="61"/>
    <n v="7"/>
    <n v="0"/>
    <n v="268.60499999999996"/>
    <n v="217.4502"/>
    <m/>
    <n v="303.99081349416269"/>
    <n v="257.40021156534152"/>
    <n v="0"/>
    <n v="2878.3258199999996"/>
    <n v="0"/>
    <n v="1610.8160520586241"/>
    <x v="1"/>
  </r>
  <r>
    <s v="PROJETADO"/>
    <x v="3"/>
    <x v="2"/>
    <x v="1"/>
    <x v="1"/>
    <x v="1"/>
    <x v="0"/>
    <x v="1"/>
    <x v="11"/>
    <n v="0"/>
    <n v="0"/>
    <n v="92.775000000000006"/>
    <n v="92.775000000000006"/>
    <n v="92.775000000000006"/>
    <n v="92.775000000000006"/>
    <n v="67"/>
    <s v="CATIVO"/>
    <n v="0"/>
    <n v="0"/>
    <n v="61"/>
    <n v="7"/>
    <n v="0"/>
    <n v="268.60499999999996"/>
    <n v="217.4502"/>
    <m/>
    <n v="303.99081349416269"/>
    <n v="257.40021156534152"/>
    <n v="0"/>
    <n v="2878.3258199999996"/>
    <n v="0"/>
    <n v="1610.816052058624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3">
  <r>
    <s v="Regular"/>
    <x v="0"/>
    <x v="0"/>
    <x v="0"/>
    <x v="0"/>
    <x v="0"/>
    <x v="0"/>
    <x v="0"/>
    <x v="0"/>
    <n v="9989"/>
    <n v="9989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7126.080000000002"/>
    <n v="0"/>
    <n v="0"/>
    <n v="60127.375937399636"/>
    <n v="0"/>
    <n v="0"/>
  </r>
  <r>
    <s v="Regular"/>
    <x v="0"/>
    <x v="0"/>
    <x v="0"/>
    <x v="0"/>
    <x v="0"/>
    <x v="0"/>
    <x v="0"/>
    <x v="1"/>
    <n v="9976"/>
    <n v="9976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7038.720000000001"/>
    <n v="0"/>
    <n v="0"/>
    <n v="60049.124271848916"/>
    <n v="0"/>
    <n v="0"/>
  </r>
  <r>
    <s v="Regular"/>
    <x v="0"/>
    <x v="0"/>
    <x v="0"/>
    <x v="0"/>
    <x v="0"/>
    <x v="0"/>
    <x v="0"/>
    <x v="2"/>
    <n v="9903"/>
    <n v="9903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6548.160000000003"/>
    <n v="0"/>
    <n v="0"/>
    <n v="59609.711072987149"/>
    <n v="0"/>
    <n v="0"/>
  </r>
  <r>
    <s v="Regular"/>
    <x v="0"/>
    <x v="0"/>
    <x v="0"/>
    <x v="0"/>
    <x v="0"/>
    <x v="0"/>
    <x v="0"/>
    <x v="3"/>
    <n v="9799"/>
    <n v="9799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5849.279999999999"/>
    <n v="0"/>
    <n v="0"/>
    <n v="58983.697748581348"/>
    <n v="0"/>
    <n v="0"/>
  </r>
  <r>
    <s v="Regular"/>
    <x v="0"/>
    <x v="0"/>
    <x v="0"/>
    <x v="0"/>
    <x v="0"/>
    <x v="0"/>
    <x v="0"/>
    <x v="4"/>
    <n v="10067"/>
    <n v="10067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7650.239999999991"/>
    <n v="0"/>
    <n v="0"/>
    <n v="60596.885930703989"/>
    <n v="0"/>
    <n v="0"/>
  </r>
  <r>
    <s v="Regular"/>
    <x v="0"/>
    <x v="0"/>
    <x v="0"/>
    <x v="0"/>
    <x v="0"/>
    <x v="0"/>
    <x v="0"/>
    <x v="5"/>
    <n v="9594"/>
    <n v="9594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4471.68"/>
    <n v="0"/>
    <n v="0"/>
    <n v="57749.729176435292"/>
    <n v="0"/>
    <n v="0"/>
  </r>
  <r>
    <s v="Regular"/>
    <x v="0"/>
    <x v="0"/>
    <x v="0"/>
    <x v="0"/>
    <x v="0"/>
    <x v="0"/>
    <x v="0"/>
    <x v="6"/>
    <n v="9718"/>
    <n v="9718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5304.959999999999"/>
    <n v="0"/>
    <n v="0"/>
    <n v="58496.12967861144"/>
    <n v="0"/>
    <n v="0"/>
  </r>
  <r>
    <s v="Regular"/>
    <x v="0"/>
    <x v="0"/>
    <x v="0"/>
    <x v="0"/>
    <x v="0"/>
    <x v="0"/>
    <x v="0"/>
    <x v="7"/>
    <n v="9617"/>
    <n v="9617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4626.239999999998"/>
    <n v="0"/>
    <n v="0"/>
    <n v="57888.174430871193"/>
    <n v="0"/>
    <n v="0"/>
  </r>
  <r>
    <s v="Regular"/>
    <x v="0"/>
    <x v="0"/>
    <x v="0"/>
    <x v="0"/>
    <x v="0"/>
    <x v="0"/>
    <x v="0"/>
    <x v="8"/>
    <n v="9570"/>
    <n v="9570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4310.399999999994"/>
    <n v="0"/>
    <n v="0"/>
    <n v="57605.264563110875"/>
    <n v="0"/>
    <n v="0"/>
  </r>
  <r>
    <s v="Regular"/>
    <x v="0"/>
    <x v="0"/>
    <x v="0"/>
    <x v="0"/>
    <x v="0"/>
    <x v="0"/>
    <x v="0"/>
    <x v="9"/>
    <n v="9835"/>
    <n v="9835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6091.199999999997"/>
    <n v="0"/>
    <n v="0"/>
    <n v="59200.394668567969"/>
    <n v="0"/>
    <n v="0"/>
  </r>
  <r>
    <s v="Regular"/>
    <x v="0"/>
    <x v="0"/>
    <x v="0"/>
    <x v="0"/>
    <x v="0"/>
    <x v="0"/>
    <x v="0"/>
    <x v="10"/>
    <n v="9890"/>
    <n v="9890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6460.800000000003"/>
    <n v="0"/>
    <n v="0"/>
    <n v="59531.459407436421"/>
    <n v="0"/>
    <n v="0"/>
  </r>
  <r>
    <s v="PROJETADO"/>
    <x v="0"/>
    <x v="0"/>
    <x v="0"/>
    <x v="0"/>
    <x v="0"/>
    <x v="0"/>
    <x v="0"/>
    <x v="11"/>
    <n v="9890"/>
    <n v="9890"/>
    <n v="0"/>
    <n v="0"/>
    <n v="0"/>
    <n v="0"/>
    <n v="0"/>
    <x v="0"/>
    <n v="0"/>
    <n v="4"/>
    <n v="0"/>
    <n v="0"/>
    <n v="6.72"/>
    <n v="0"/>
    <n v="0"/>
    <n v="6.019358888517333"/>
    <n v="40.163366210698086"/>
    <m/>
    <n v="66460.800000000003"/>
    <n v="0"/>
    <n v="0"/>
    <n v="59531.459407436421"/>
    <n v="0"/>
    <n v="0"/>
  </r>
  <r>
    <s v="Regular"/>
    <x v="0"/>
    <x v="0"/>
    <x v="0"/>
    <x v="0"/>
    <x v="0"/>
    <x v="0"/>
    <x v="1"/>
    <x v="0"/>
    <n v="0"/>
    <n v="0"/>
    <n v="5486.0870000000004"/>
    <n v="5486.0870000000004"/>
    <n v="0"/>
    <n v="0"/>
    <n v="1"/>
    <x v="0"/>
    <n v="0"/>
    <n v="0"/>
    <n v="1"/>
    <n v="0"/>
    <n v="0"/>
    <n v="33.26"/>
    <n v="0"/>
    <m/>
    <n v="40.163366210698086"/>
    <m/>
    <n v="0"/>
    <n v="182467.25362"/>
    <n v="0"/>
    <n v="0"/>
    <n v="220339.72124475005"/>
    <n v="0"/>
  </r>
  <r>
    <s v="Regular"/>
    <x v="0"/>
    <x v="0"/>
    <x v="0"/>
    <x v="0"/>
    <x v="0"/>
    <x v="0"/>
    <x v="1"/>
    <x v="1"/>
    <n v="0"/>
    <n v="0"/>
    <n v="5492.0010000000002"/>
    <n v="5492.0010000000002"/>
    <n v="0"/>
    <n v="0"/>
    <n v="1"/>
    <x v="0"/>
    <n v="0"/>
    <n v="0"/>
    <n v="1"/>
    <n v="0"/>
    <n v="0"/>
    <n v="33.26"/>
    <n v="0"/>
    <m/>
    <n v="40.163366210698086"/>
    <m/>
    <n v="0"/>
    <n v="182663.95326000001"/>
    <n v="0"/>
    <n v="0"/>
    <n v="220577.2473925201"/>
    <n v="0"/>
  </r>
  <r>
    <s v="Regular"/>
    <x v="0"/>
    <x v="0"/>
    <x v="0"/>
    <x v="0"/>
    <x v="0"/>
    <x v="0"/>
    <x v="1"/>
    <x v="2"/>
    <n v="0"/>
    <n v="0"/>
    <n v="5592.4160000000002"/>
    <n v="5592.4160000000002"/>
    <n v="0"/>
    <n v="0"/>
    <n v="1"/>
    <x v="0"/>
    <n v="0"/>
    <n v="0"/>
    <n v="1"/>
    <n v="0"/>
    <n v="0"/>
    <n v="33.26"/>
    <n v="0"/>
    <m/>
    <n v="40.163366210698086"/>
    <m/>
    <n v="0"/>
    <n v="186003.75615999999"/>
    <n v="0"/>
    <n v="0"/>
    <n v="224610.25181056737"/>
    <n v="0"/>
  </r>
  <r>
    <s v="Regular"/>
    <x v="0"/>
    <x v="0"/>
    <x v="0"/>
    <x v="0"/>
    <x v="0"/>
    <x v="0"/>
    <x v="1"/>
    <x v="3"/>
    <n v="0"/>
    <n v="0"/>
    <n v="5484.3810000000003"/>
    <n v="5484.3810000000003"/>
    <n v="0"/>
    <n v="0"/>
    <n v="1"/>
    <x v="0"/>
    <n v="0"/>
    <n v="0"/>
    <n v="1"/>
    <n v="0"/>
    <n v="0"/>
    <n v="33.26"/>
    <n v="0"/>
    <m/>
    <n v="40.163366210698086"/>
    <m/>
    <n v="0"/>
    <n v="182410.51206000001"/>
    <n v="0"/>
    <n v="0"/>
    <n v="220271.2025419946"/>
    <n v="0"/>
  </r>
  <r>
    <s v="Regular"/>
    <x v="0"/>
    <x v="0"/>
    <x v="0"/>
    <x v="0"/>
    <x v="0"/>
    <x v="0"/>
    <x v="1"/>
    <x v="4"/>
    <n v="0"/>
    <n v="0"/>
    <n v="5812.6880000000001"/>
    <n v="5812.6880000000001"/>
    <n v="0"/>
    <n v="0"/>
    <n v="1"/>
    <x v="0"/>
    <n v="0"/>
    <n v="0"/>
    <n v="1"/>
    <n v="0"/>
    <n v="0"/>
    <n v="33.26"/>
    <n v="0"/>
    <m/>
    <n v="40.163366210698086"/>
    <m/>
    <n v="0"/>
    <n v="193330.00287999999"/>
    <n v="0"/>
    <n v="0"/>
    <n v="233457.11681253024"/>
    <n v="0"/>
  </r>
  <r>
    <s v="Regular"/>
    <x v="0"/>
    <x v="0"/>
    <x v="0"/>
    <x v="0"/>
    <x v="0"/>
    <x v="0"/>
    <x v="1"/>
    <x v="5"/>
    <n v="0"/>
    <n v="0"/>
    <n v="5507.1850000000004"/>
    <n v="5507.1850000000004"/>
    <n v="0"/>
    <n v="0"/>
    <n v="1"/>
    <x v="0"/>
    <n v="0"/>
    <n v="0"/>
    <n v="1"/>
    <n v="0"/>
    <n v="0"/>
    <n v="33.26"/>
    <n v="0"/>
    <m/>
    <n v="40.163366210698086"/>
    <m/>
    <n v="0"/>
    <n v="183168.9731"/>
    <n v="0"/>
    <n v="0"/>
    <n v="221187.08794506337"/>
    <n v="0"/>
  </r>
  <r>
    <s v="Regular"/>
    <x v="0"/>
    <x v="0"/>
    <x v="0"/>
    <x v="0"/>
    <x v="0"/>
    <x v="0"/>
    <x v="1"/>
    <x v="6"/>
    <n v="0"/>
    <n v="0"/>
    <n v="6117.5540000000001"/>
    <n v="6117.5540000000001"/>
    <n v="0"/>
    <n v="0"/>
    <n v="1"/>
    <x v="0"/>
    <n v="0"/>
    <n v="0"/>
    <n v="1"/>
    <n v="0"/>
    <n v="0"/>
    <n v="33.26"/>
    <n v="0"/>
    <m/>
    <n v="40.163366210698086"/>
    <m/>
    <n v="0"/>
    <n v="203469.84604"/>
    <n v="0"/>
    <n v="0"/>
    <n v="245701.56161572092"/>
    <n v="0"/>
  </r>
  <r>
    <s v="Regular"/>
    <x v="0"/>
    <x v="0"/>
    <x v="0"/>
    <x v="0"/>
    <x v="0"/>
    <x v="0"/>
    <x v="1"/>
    <x v="7"/>
    <n v="0"/>
    <n v="0"/>
    <n v="5970.9549999999999"/>
    <n v="5970.9549999999999"/>
    <n v="0"/>
    <n v="0"/>
    <n v="1"/>
    <x v="0"/>
    <n v="0"/>
    <n v="0"/>
    <n v="1"/>
    <n v="0"/>
    <n v="0"/>
    <n v="33.26"/>
    <n v="0"/>
    <m/>
    <n v="40.163366210698086"/>
    <m/>
    <n v="0"/>
    <n v="198593.96329999997"/>
    <n v="0"/>
    <n v="0"/>
    <n v="239813.6522925988"/>
    <n v="0"/>
  </r>
  <r>
    <s v="Regular"/>
    <x v="0"/>
    <x v="0"/>
    <x v="0"/>
    <x v="0"/>
    <x v="0"/>
    <x v="0"/>
    <x v="1"/>
    <x v="8"/>
    <n v="0"/>
    <n v="0"/>
    <n v="5870.5640000000003"/>
    <n v="5870.5640000000003"/>
    <n v="0"/>
    <n v="0"/>
    <n v="1"/>
    <x v="0"/>
    <n v="0"/>
    <n v="0"/>
    <n v="1"/>
    <n v="0"/>
    <n v="0"/>
    <n v="33.26"/>
    <n v="0"/>
    <m/>
    <n v="40.163366210698086"/>
    <m/>
    <n v="0"/>
    <n v="195254.95864"/>
    <n v="0"/>
    <n v="0"/>
    <n v="235781.61179534061"/>
    <n v="0"/>
  </r>
  <r>
    <s v="Regular"/>
    <x v="0"/>
    <x v="0"/>
    <x v="0"/>
    <x v="0"/>
    <x v="0"/>
    <x v="0"/>
    <x v="1"/>
    <x v="9"/>
    <n v="0"/>
    <n v="0"/>
    <n v="6109.4520000000002"/>
    <n v="6109.4520000000002"/>
    <n v="0"/>
    <n v="0"/>
    <n v="1"/>
    <x v="0"/>
    <n v="0"/>
    <n v="0"/>
    <n v="1"/>
    <n v="0"/>
    <n v="0"/>
    <n v="33.26"/>
    <n v="0"/>
    <m/>
    <n v="40.163366210698086"/>
    <m/>
    <n v="0"/>
    <n v="203200.37351999999"/>
    <n v="0"/>
    <n v="0"/>
    <n v="245376.15802268186"/>
    <n v="0"/>
  </r>
  <r>
    <s v="Regular"/>
    <x v="0"/>
    <x v="0"/>
    <x v="0"/>
    <x v="0"/>
    <x v="0"/>
    <x v="0"/>
    <x v="1"/>
    <x v="10"/>
    <n v="0"/>
    <n v="0"/>
    <n v="5940.8140000000003"/>
    <n v="5940.8140000000003"/>
    <n v="0"/>
    <n v="0"/>
    <n v="1"/>
    <x v="0"/>
    <n v="0"/>
    <n v="0"/>
    <n v="1"/>
    <n v="0"/>
    <n v="0"/>
    <n v="33.26"/>
    <n v="0"/>
    <m/>
    <n v="40.163366210698086"/>
    <m/>
    <n v="0"/>
    <n v="197591.47364000001"/>
    <n v="0"/>
    <n v="0"/>
    <n v="238603.08827164216"/>
    <n v="0"/>
  </r>
  <r>
    <s v="PROJETADO"/>
    <x v="0"/>
    <x v="0"/>
    <x v="0"/>
    <x v="0"/>
    <x v="0"/>
    <x v="0"/>
    <x v="1"/>
    <x v="11"/>
    <n v="0"/>
    <n v="0"/>
    <n v="5940.8140000000003"/>
    <n v="5940.8140000000003"/>
    <n v="0"/>
    <n v="0"/>
    <n v="1"/>
    <x v="0"/>
    <n v="0"/>
    <n v="0"/>
    <n v="1"/>
    <n v="0"/>
    <n v="0"/>
    <n v="33.26"/>
    <n v="0"/>
    <m/>
    <n v="40.163366210698086"/>
    <m/>
    <n v="0"/>
    <n v="197591.47364000001"/>
    <n v="0"/>
    <n v="0"/>
    <n v="238603.08827164216"/>
    <n v="0"/>
  </r>
  <r>
    <s v="Regular"/>
    <x v="0"/>
    <x v="0"/>
    <x v="0"/>
    <x v="0"/>
    <x v="0"/>
    <x v="0"/>
    <x v="2"/>
    <x v="0"/>
    <n v="9835"/>
    <n v="9835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2969.19999999998"/>
    <n v="0"/>
    <n v="0"/>
    <n v="123556.97039241491"/>
    <n v="0"/>
    <n v="0"/>
  </r>
  <r>
    <s v="Regular"/>
    <x v="0"/>
    <x v="0"/>
    <x v="0"/>
    <x v="0"/>
    <x v="0"/>
    <x v="0"/>
    <x v="2"/>
    <x v="1"/>
    <n v="9888"/>
    <n v="9888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3685.76000000001"/>
    <n v="0"/>
    <n v="0"/>
    <n v="124222.80866702579"/>
    <n v="0"/>
    <n v="0"/>
  </r>
  <r>
    <s v="Regular"/>
    <x v="0"/>
    <x v="0"/>
    <x v="0"/>
    <x v="0"/>
    <x v="0"/>
    <x v="0"/>
    <x v="2"/>
    <x v="2"/>
    <n v="9849"/>
    <n v="9849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3158.47999999998"/>
    <n v="0"/>
    <n v="0"/>
    <n v="123732.85220080269"/>
    <n v="0"/>
    <n v="0"/>
  </r>
  <r>
    <s v="Regular"/>
    <x v="0"/>
    <x v="0"/>
    <x v="0"/>
    <x v="0"/>
    <x v="0"/>
    <x v="0"/>
    <x v="2"/>
    <x v="3"/>
    <n v="9675"/>
    <n v="9675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0806"/>
    <n v="0"/>
    <n v="0"/>
    <n v="121546.89258226886"/>
    <n v="0"/>
    <n v="0"/>
  </r>
  <r>
    <s v="Regular"/>
    <x v="0"/>
    <x v="0"/>
    <x v="0"/>
    <x v="0"/>
    <x v="0"/>
    <x v="0"/>
    <x v="2"/>
    <x v="4"/>
    <n v="9775"/>
    <n v="9775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2158"/>
    <n v="0"/>
    <n v="0"/>
    <n v="122803.19121361015"/>
    <n v="0"/>
    <n v="0"/>
  </r>
  <r>
    <s v="Regular"/>
    <x v="0"/>
    <x v="0"/>
    <x v="0"/>
    <x v="0"/>
    <x v="0"/>
    <x v="0"/>
    <x v="2"/>
    <x v="5"/>
    <n v="9500"/>
    <n v="9500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28440"/>
    <n v="0"/>
    <n v="0"/>
    <n v="119348.36997742162"/>
    <n v="0"/>
    <n v="0"/>
  </r>
  <r>
    <s v="Regular"/>
    <x v="0"/>
    <x v="0"/>
    <x v="0"/>
    <x v="0"/>
    <x v="0"/>
    <x v="0"/>
    <x v="2"/>
    <x v="6"/>
    <n v="9539"/>
    <n v="9539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28967.28"/>
    <n v="0"/>
    <n v="0"/>
    <n v="119838.32644364472"/>
    <n v="0"/>
    <n v="0"/>
  </r>
  <r>
    <s v="Regular"/>
    <x v="0"/>
    <x v="0"/>
    <x v="0"/>
    <x v="0"/>
    <x v="0"/>
    <x v="0"/>
    <x v="2"/>
    <x v="7"/>
    <n v="9500"/>
    <n v="9500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28440"/>
    <n v="0"/>
    <n v="0"/>
    <n v="119348.36997742162"/>
    <n v="0"/>
    <n v="0"/>
  </r>
  <r>
    <s v="Regular"/>
    <x v="0"/>
    <x v="0"/>
    <x v="0"/>
    <x v="0"/>
    <x v="0"/>
    <x v="0"/>
    <x v="2"/>
    <x v="8"/>
    <n v="9524"/>
    <n v="9524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28764.48"/>
    <n v="0"/>
    <n v="0"/>
    <n v="119649.88164894353"/>
    <n v="0"/>
    <n v="0"/>
  </r>
  <r>
    <s v="Regular"/>
    <x v="0"/>
    <x v="0"/>
    <x v="0"/>
    <x v="0"/>
    <x v="0"/>
    <x v="0"/>
    <x v="2"/>
    <x v="9"/>
    <n v="9528"/>
    <n v="9528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28818.56"/>
    <n v="0"/>
    <n v="0"/>
    <n v="119700.13359419718"/>
    <n v="0"/>
    <n v="0"/>
  </r>
  <r>
    <s v="Regular"/>
    <x v="0"/>
    <x v="0"/>
    <x v="0"/>
    <x v="0"/>
    <x v="0"/>
    <x v="0"/>
    <x v="2"/>
    <x v="10"/>
    <n v="9656"/>
    <n v="9656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0549.12"/>
    <n v="0"/>
    <n v="0"/>
    <n v="121308.19584231402"/>
    <n v="0"/>
    <n v="0"/>
  </r>
  <r>
    <s v="PROJETADO"/>
    <x v="0"/>
    <x v="0"/>
    <x v="0"/>
    <x v="0"/>
    <x v="0"/>
    <x v="0"/>
    <x v="2"/>
    <x v="11"/>
    <n v="9656"/>
    <n v="9656"/>
    <n v="0"/>
    <n v="0"/>
    <n v="0"/>
    <n v="0"/>
    <n v="0"/>
    <x v="0"/>
    <n v="0"/>
    <n v="3"/>
    <n v="0"/>
    <n v="0"/>
    <n v="13.52"/>
    <n v="0"/>
    <n v="0"/>
    <n v="12.562986313412802"/>
    <n v="40.163366210698086"/>
    <m/>
    <n v="130549.12"/>
    <n v="0"/>
    <n v="0"/>
    <n v="121308.19584231402"/>
    <n v="0"/>
    <n v="0"/>
  </r>
  <r>
    <s v="Regular"/>
    <x v="0"/>
    <x v="1"/>
    <x v="1"/>
    <x v="0"/>
    <x v="0"/>
    <x v="1"/>
    <x v="0"/>
    <x v="0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1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2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3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4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5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6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7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8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9"/>
    <n v="18000"/>
    <n v="1800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20960"/>
    <n v="0"/>
    <n v="0"/>
    <n v="111506.58650343098"/>
    <n v="0"/>
    <n v="0"/>
  </r>
  <r>
    <s v="Regular"/>
    <x v="0"/>
    <x v="1"/>
    <x v="1"/>
    <x v="0"/>
    <x v="0"/>
    <x v="1"/>
    <x v="0"/>
    <x v="10"/>
    <n v="19960"/>
    <n v="1996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34131.19999999998"/>
    <n v="0"/>
    <n v="0"/>
    <n v="123648.41481158236"/>
    <n v="0"/>
    <n v="0"/>
  </r>
  <r>
    <s v="PROJETADO"/>
    <x v="0"/>
    <x v="1"/>
    <x v="1"/>
    <x v="0"/>
    <x v="0"/>
    <x v="1"/>
    <x v="0"/>
    <x v="11"/>
    <n v="19960"/>
    <n v="19960"/>
    <n v="0"/>
    <n v="0"/>
    <n v="0"/>
    <n v="0"/>
    <n v="0"/>
    <x v="1"/>
    <n v="6600"/>
    <n v="78"/>
    <n v="0"/>
    <n v="0"/>
    <n v="6.72"/>
    <n v="0"/>
    <n v="0"/>
    <n v="6.1948103613017214"/>
    <n v="3.1306976142693781"/>
    <m/>
    <n v="134131.19999999998"/>
    <n v="0"/>
    <n v="0"/>
    <n v="123648.41481158236"/>
    <n v="0"/>
    <n v="0"/>
  </r>
  <r>
    <s v="Regular"/>
    <x v="0"/>
    <x v="1"/>
    <x v="1"/>
    <x v="0"/>
    <x v="0"/>
    <x v="1"/>
    <x v="1"/>
    <x v="0"/>
    <n v="0"/>
    <n v="0"/>
    <n v="3631.2449999999999"/>
    <n v="3631.2449999999999"/>
    <n v="0"/>
    <n v="0"/>
    <n v="0"/>
    <x v="1"/>
    <n v="6600"/>
    <n v="0"/>
    <n v="8"/>
    <n v="0"/>
    <n v="0"/>
    <n v="2.86"/>
    <n v="0"/>
    <n v="15.508525965211719"/>
    <n v="3.1306976142693781"/>
    <m/>
    <n v="0"/>
    <n v="10385.360699999999"/>
    <n v="0"/>
    <n v="0"/>
    <n v="11368.330058327607"/>
    <n v="0"/>
  </r>
  <r>
    <s v="Regular"/>
    <x v="0"/>
    <x v="1"/>
    <x v="1"/>
    <x v="0"/>
    <x v="0"/>
    <x v="1"/>
    <x v="1"/>
    <x v="1"/>
    <n v="0"/>
    <n v="0"/>
    <n v="3521.2919999999999"/>
    <n v="3521.2919999999999"/>
    <n v="0"/>
    <n v="0"/>
    <n v="0"/>
    <x v="1"/>
    <n v="6600"/>
    <n v="0"/>
    <n v="8"/>
    <n v="0"/>
    <n v="0"/>
    <n v="2.86"/>
    <n v="0"/>
    <n v="15.508525965211719"/>
    <n v="3.1306976142693781"/>
    <m/>
    <n v="0"/>
    <n v="10070.895119999999"/>
    <n v="0"/>
    <n v="0"/>
    <n v="11024.100463545847"/>
    <n v="0"/>
  </r>
  <r>
    <s v="Regular"/>
    <x v="0"/>
    <x v="1"/>
    <x v="1"/>
    <x v="0"/>
    <x v="0"/>
    <x v="1"/>
    <x v="1"/>
    <x v="2"/>
    <n v="0"/>
    <n v="0"/>
    <n v="3705.5189999999998"/>
    <n v="3705.5189999999998"/>
    <n v="0"/>
    <n v="0"/>
    <n v="0"/>
    <x v="1"/>
    <n v="6600"/>
    <n v="0"/>
    <n v="8"/>
    <n v="0"/>
    <n v="0"/>
    <n v="2.86"/>
    <n v="0"/>
    <n v="15.508525965211719"/>
    <n v="3.1306976142693781"/>
    <m/>
    <n v="0"/>
    <n v="10597.784339999998"/>
    <n v="0"/>
    <n v="0"/>
    <n v="11600.859492929851"/>
    <n v="0"/>
  </r>
  <r>
    <s v="Regular"/>
    <x v="0"/>
    <x v="1"/>
    <x v="1"/>
    <x v="0"/>
    <x v="0"/>
    <x v="1"/>
    <x v="1"/>
    <x v="3"/>
    <n v="0"/>
    <n v="0"/>
    <n v="3171.585"/>
    <n v="3171.585"/>
    <n v="0"/>
    <n v="0"/>
    <n v="0"/>
    <x v="1"/>
    <n v="6600"/>
    <n v="0"/>
    <n v="8"/>
    <n v="0"/>
    <n v="0"/>
    <n v="2.86"/>
    <n v="0"/>
    <n v="15.508525965211719"/>
    <n v="3.1306976142693781"/>
    <m/>
    <n v="0"/>
    <n v="9070.7330999999995"/>
    <n v="0"/>
    <n v="0"/>
    <n v="9929.2735929525461"/>
    <n v="0"/>
  </r>
  <r>
    <s v="Regular"/>
    <x v="0"/>
    <x v="1"/>
    <x v="1"/>
    <x v="0"/>
    <x v="0"/>
    <x v="1"/>
    <x v="1"/>
    <x v="4"/>
    <n v="0"/>
    <n v="0"/>
    <n v="3439.7919999999999"/>
    <n v="3439.7919999999999"/>
    <n v="0"/>
    <n v="0"/>
    <n v="0"/>
    <x v="1"/>
    <n v="6600"/>
    <n v="0"/>
    <n v="8"/>
    <n v="0"/>
    <n v="0"/>
    <n v="2.86"/>
    <n v="0"/>
    <n v="15.508525965211719"/>
    <n v="3.1306976142693781"/>
    <m/>
    <n v="0"/>
    <n v="9837.8051199999991"/>
    <n v="0"/>
    <n v="0"/>
    <n v="10768.948607982893"/>
    <n v="0"/>
  </r>
  <r>
    <s v="Regular"/>
    <x v="0"/>
    <x v="1"/>
    <x v="1"/>
    <x v="0"/>
    <x v="0"/>
    <x v="1"/>
    <x v="1"/>
    <x v="5"/>
    <n v="0"/>
    <n v="0"/>
    <n v="3213.2269999999999"/>
    <n v="3213.2269999999999"/>
    <n v="0"/>
    <n v="0"/>
    <n v="0"/>
    <x v="1"/>
    <n v="6600"/>
    <n v="0"/>
    <n v="8"/>
    <n v="0"/>
    <n v="0"/>
    <n v="2.86"/>
    <n v="0"/>
    <n v="15.508525965211719"/>
    <n v="3.1306976142693781"/>
    <m/>
    <n v="0"/>
    <n v="9189.8292199999996"/>
    <n v="0"/>
    <n v="0"/>
    <n v="10059.64210300595"/>
    <n v="0"/>
  </r>
  <r>
    <s v="Regular"/>
    <x v="0"/>
    <x v="1"/>
    <x v="1"/>
    <x v="0"/>
    <x v="0"/>
    <x v="1"/>
    <x v="1"/>
    <x v="6"/>
    <n v="0"/>
    <n v="0"/>
    <n v="3284.6260000000002"/>
    <n v="3284.6260000000002"/>
    <n v="0"/>
    <n v="0"/>
    <n v="0"/>
    <x v="1"/>
    <n v="6600"/>
    <n v="0"/>
    <n v="8"/>
    <n v="0"/>
    <n v="0"/>
    <n v="2.86"/>
    <n v="0"/>
    <n v="15.508525965211719"/>
    <n v="3.1306976142693781"/>
    <m/>
    <n v="0"/>
    <n v="9394.0303600000007"/>
    <n v="0"/>
    <n v="0"/>
    <n v="10283.17078196717"/>
    <n v="0"/>
  </r>
  <r>
    <s v="Regular"/>
    <x v="0"/>
    <x v="1"/>
    <x v="1"/>
    <x v="0"/>
    <x v="0"/>
    <x v="1"/>
    <x v="1"/>
    <x v="7"/>
    <n v="0"/>
    <n v="0"/>
    <n v="3266.6419999999998"/>
    <n v="3266.6419999999998"/>
    <n v="0"/>
    <n v="0"/>
    <n v="0"/>
    <x v="1"/>
    <n v="6600"/>
    <n v="0"/>
    <n v="8"/>
    <n v="0"/>
    <n v="0"/>
    <n v="2.86"/>
    <n v="0"/>
    <n v="15.508525965211719"/>
    <n v="3.1306976142693781"/>
    <m/>
    <n v="0"/>
    <n v="9342.5961199999983"/>
    <n v="0"/>
    <n v="0"/>
    <n v="10226.868316072148"/>
    <n v="0"/>
  </r>
  <r>
    <s v="Regular"/>
    <x v="0"/>
    <x v="1"/>
    <x v="1"/>
    <x v="0"/>
    <x v="0"/>
    <x v="1"/>
    <x v="1"/>
    <x v="8"/>
    <n v="0"/>
    <n v="0"/>
    <n v="3490.26"/>
    <n v="3490.26"/>
    <n v="0"/>
    <n v="0"/>
    <n v="0"/>
    <x v="1"/>
    <n v="6600"/>
    <n v="0"/>
    <n v="8"/>
    <n v="0"/>
    <n v="0"/>
    <n v="2.86"/>
    <n v="0"/>
    <n v="15.508525965211719"/>
    <n v="3.1306976142693781"/>
    <m/>
    <n v="0"/>
    <n v="9982.1435999999994"/>
    <n v="0"/>
    <n v="0"/>
    <n v="10926.94865517984"/>
    <n v="0"/>
  </r>
  <r>
    <s v="Regular"/>
    <x v="0"/>
    <x v="1"/>
    <x v="1"/>
    <x v="0"/>
    <x v="0"/>
    <x v="1"/>
    <x v="1"/>
    <x v="9"/>
    <n v="0"/>
    <n v="0"/>
    <n v="3623.9630000000002"/>
    <n v="3623.9630000000002"/>
    <n v="0"/>
    <n v="0"/>
    <n v="0"/>
    <x v="1"/>
    <n v="6600"/>
    <n v="0"/>
    <n v="8"/>
    <n v="0"/>
    <n v="0"/>
    <n v="2.86"/>
    <n v="0"/>
    <n v="15.508525965211719"/>
    <n v="3.1306976142693781"/>
    <m/>
    <n v="0"/>
    <n v="10364.534180000001"/>
    <n v="0"/>
    <n v="0"/>
    <n v="11345.532318300498"/>
    <n v="0"/>
  </r>
  <r>
    <s v="Regular"/>
    <x v="0"/>
    <x v="1"/>
    <x v="1"/>
    <x v="0"/>
    <x v="0"/>
    <x v="1"/>
    <x v="1"/>
    <x v="10"/>
    <n v="0"/>
    <n v="0"/>
    <n v="3811.665"/>
    <n v="3811.665"/>
    <n v="0"/>
    <n v="0"/>
    <n v="0"/>
    <x v="1"/>
    <n v="6600"/>
    <n v="0"/>
    <n v="8"/>
    <n v="0"/>
    <n v="0"/>
    <n v="2.86"/>
    <n v="0"/>
    <n v="15.508525965211719"/>
    <n v="3.1306976142693781"/>
    <m/>
    <n v="0"/>
    <n v="10901.3619"/>
    <n v="0"/>
    <n v="0"/>
    <n v="11933.17052189409"/>
    <n v="0"/>
  </r>
  <r>
    <s v="PROJETADO"/>
    <x v="0"/>
    <x v="1"/>
    <x v="1"/>
    <x v="0"/>
    <x v="0"/>
    <x v="1"/>
    <x v="1"/>
    <x v="11"/>
    <n v="0"/>
    <n v="0"/>
    <n v="3811.665"/>
    <n v="3811.665"/>
    <n v="0"/>
    <n v="0"/>
    <n v="0"/>
    <x v="1"/>
    <n v="6600"/>
    <n v="0"/>
    <n v="8"/>
    <n v="0"/>
    <n v="0"/>
    <n v="2.86"/>
    <n v="0"/>
    <n v="15.508525965211719"/>
    <n v="3.1306976142693781"/>
    <m/>
    <n v="0"/>
    <n v="10901.3619"/>
    <n v="0"/>
    <n v="0"/>
    <n v="11933.17052189409"/>
    <n v="0"/>
  </r>
  <r>
    <s v="Regular"/>
    <x v="0"/>
    <x v="1"/>
    <x v="1"/>
    <x v="0"/>
    <x v="0"/>
    <x v="1"/>
    <x v="2"/>
    <x v="0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1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2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3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4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5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6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7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8"/>
    <n v="18624"/>
    <n v="18624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51796.47999999998"/>
    <n v="0"/>
    <n v="0"/>
    <n v="240914.77695447195"/>
    <n v="0"/>
    <n v="0"/>
  </r>
  <r>
    <s v="Regular"/>
    <x v="0"/>
    <x v="1"/>
    <x v="1"/>
    <x v="0"/>
    <x v="0"/>
    <x v="1"/>
    <x v="2"/>
    <x v="9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0"/>
    <x v="1"/>
    <x v="1"/>
    <x v="0"/>
    <x v="0"/>
    <x v="1"/>
    <x v="2"/>
    <x v="10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PROJETADO"/>
    <x v="0"/>
    <x v="1"/>
    <x v="1"/>
    <x v="0"/>
    <x v="0"/>
    <x v="1"/>
    <x v="2"/>
    <x v="11"/>
    <n v="18000"/>
    <n v="18000"/>
    <n v="0"/>
    <n v="0"/>
    <n v="0"/>
    <n v="0"/>
    <n v="0"/>
    <x v="1"/>
    <n v="6600"/>
    <n v="28"/>
    <n v="0"/>
    <n v="0"/>
    <n v="13.52"/>
    <n v="0"/>
    <n v="0"/>
    <n v="12.935716116541665"/>
    <n v="3.1306976142693781"/>
    <m/>
    <n v="243360"/>
    <n v="0"/>
    <n v="0"/>
    <n v="232842.89009774997"/>
    <n v="0"/>
    <n v="0"/>
  </r>
  <r>
    <s v="Regular"/>
    <x v="1"/>
    <x v="0"/>
    <x v="2"/>
    <x v="0"/>
    <x v="0"/>
    <x v="0"/>
    <x v="0"/>
    <x v="0"/>
    <n v="2248"/>
    <n v="2248"/>
    <n v="785.98"/>
    <n v="785.98"/>
    <n v="785.98"/>
    <n v="785.98"/>
    <n v="0"/>
    <x v="2"/>
    <n v="0"/>
    <n v="10"/>
    <n v="11"/>
    <n v="68"/>
    <n v="18.48"/>
    <n v="43.65"/>
    <n v="219.03"/>
    <n v="19.543462882439208"/>
    <n v="52.882770228452522"/>
    <n v="252.43227829401354"/>
    <n v="41543.040000000001"/>
    <n v="34308.027000000002"/>
    <n v="172153.19940000001"/>
    <n v="43933.704559723337"/>
    <n v="41564.799744159114"/>
    <n v="198406.72209352878"/>
  </r>
  <r>
    <s v="Sistema de Compensação"/>
    <x v="1"/>
    <x v="0"/>
    <x v="2"/>
    <x v="0"/>
    <x v="0"/>
    <x v="0"/>
    <x v="0"/>
    <x v="0"/>
    <n v="240"/>
    <n v="240"/>
    <n v="79.8"/>
    <n v="79.8"/>
    <n v="79.8"/>
    <n v="79.8"/>
    <n v="0"/>
    <x v="2"/>
    <n v="0"/>
    <n v="10"/>
    <n v="11"/>
    <n v="68"/>
    <n v="18.48"/>
    <n v="43.65"/>
    <n v="219.03"/>
    <n v="19.543462882439208"/>
    <n v="52.882770228452522"/>
    <n v="252.43227829401354"/>
    <n v="4435.2"/>
    <n v="3483.27"/>
    <n v="17478.594000000001"/>
    <n v="4690.43109178541"/>
    <n v="4220.0450642305113"/>
    <n v="20144.095807862279"/>
  </r>
  <r>
    <s v="Regular"/>
    <x v="1"/>
    <x v="0"/>
    <x v="2"/>
    <x v="0"/>
    <x v="0"/>
    <x v="0"/>
    <x v="0"/>
    <x v="1"/>
    <n v="2224"/>
    <n v="2224"/>
    <n v="828.03599999999994"/>
    <n v="828.03599999999994"/>
    <n v="828.03599999999994"/>
    <n v="828.03599999999994"/>
    <n v="0"/>
    <x v="2"/>
    <n v="0"/>
    <n v="10"/>
    <n v="11"/>
    <n v="68"/>
    <n v="18.48"/>
    <n v="43.65"/>
    <n v="219.03"/>
    <n v="19.543462882439208"/>
    <n v="52.882770228452522"/>
    <n v="252.43227829401354"/>
    <n v="41099.520000000004"/>
    <n v="36143.771399999998"/>
    <n v="181364.72507999997"/>
    <n v="43464.661450544801"/>
    <n v="43788.837528886907"/>
    <n v="209023.01398946179"/>
  </r>
  <r>
    <s v="Refaturamento - Regular"/>
    <x v="1"/>
    <x v="0"/>
    <x v="2"/>
    <x v="0"/>
    <x v="0"/>
    <x v="0"/>
    <x v="0"/>
    <x v="1"/>
    <n v="-237"/>
    <n v="-237"/>
    <n v="0"/>
    <n v="0"/>
    <n v="0"/>
    <n v="0"/>
    <n v="0"/>
    <x v="2"/>
    <n v="0"/>
    <n v="10"/>
    <n v="0"/>
    <n v="0"/>
    <n v="18.48"/>
    <n v="0"/>
    <n v="0"/>
    <n v="19.543462882439208"/>
    <n v="52.882770228452522"/>
    <n v="252.43227829401354"/>
    <n v="-4379.76"/>
    <n v="0"/>
    <n v="0"/>
    <n v="-4631.8007031380921"/>
    <n v="0"/>
    <n v="0"/>
  </r>
  <r>
    <s v="Sistema de Compensação"/>
    <x v="1"/>
    <x v="0"/>
    <x v="2"/>
    <x v="0"/>
    <x v="0"/>
    <x v="0"/>
    <x v="0"/>
    <x v="1"/>
    <n v="240"/>
    <n v="240"/>
    <n v="89.32"/>
    <n v="89.32"/>
    <n v="89.32"/>
    <n v="89.32"/>
    <n v="0"/>
    <x v="2"/>
    <n v="0"/>
    <n v="10"/>
    <n v="11"/>
    <n v="68"/>
    <n v="18.48"/>
    <n v="43.65"/>
    <n v="219.03"/>
    <n v="19.543462882439208"/>
    <n v="52.882770228452522"/>
    <n v="252.43227829401354"/>
    <n v="4435.2"/>
    <n v="3898.8179999999998"/>
    <n v="19563.759599999998"/>
    <n v="4690.43109178541"/>
    <n v="4723.4890368053784"/>
    <n v="22547.251097221288"/>
  </r>
  <r>
    <s v="Regular"/>
    <x v="1"/>
    <x v="0"/>
    <x v="2"/>
    <x v="0"/>
    <x v="0"/>
    <x v="0"/>
    <x v="0"/>
    <x v="2"/>
    <n v="2231"/>
    <n v="2231"/>
    <n v="821.19399999999996"/>
    <n v="821.19399999999996"/>
    <n v="821.19399999999996"/>
    <n v="821.19399999999996"/>
    <n v="0"/>
    <x v="2"/>
    <n v="0"/>
    <n v="10"/>
    <n v="11"/>
    <n v="68"/>
    <n v="18.48"/>
    <n v="43.65"/>
    <n v="219.03"/>
    <n v="19.543462882439208"/>
    <n v="52.882770228452522"/>
    <n v="252.43227829401354"/>
    <n v="41228.879999999997"/>
    <n v="35845.1181"/>
    <n v="179866.12182"/>
    <n v="43601.465690721874"/>
    <n v="43427.013614983836"/>
    <n v="207295.87234137414"/>
  </r>
  <r>
    <s v="Sistema de Compensação"/>
    <x v="1"/>
    <x v="0"/>
    <x v="2"/>
    <x v="0"/>
    <x v="0"/>
    <x v="0"/>
    <x v="0"/>
    <x v="2"/>
    <n v="235"/>
    <n v="235"/>
    <n v="93.24"/>
    <n v="93.24"/>
    <n v="93.24"/>
    <n v="93.24"/>
    <n v="0"/>
    <x v="2"/>
    <n v="0"/>
    <n v="10"/>
    <n v="11"/>
    <n v="68"/>
    <n v="18.48"/>
    <n v="43.65"/>
    <n v="219.03"/>
    <n v="19.543462882439208"/>
    <n v="52.882770228452522"/>
    <n v="252.43227829401354"/>
    <n v="4342.8"/>
    <n v="4069.9259999999995"/>
    <n v="20422.357199999999"/>
    <n v="4592.7137773732138"/>
    <n v="4930.7894961009124"/>
    <n v="23536.785628133821"/>
  </r>
  <r>
    <s v="Regular"/>
    <x v="1"/>
    <x v="0"/>
    <x v="2"/>
    <x v="0"/>
    <x v="0"/>
    <x v="0"/>
    <x v="0"/>
    <x v="3"/>
    <n v="2133"/>
    <n v="2133"/>
    <n v="806.96100000000001"/>
    <n v="806.96100000000001"/>
    <n v="806.96100000000001"/>
    <n v="806.96100000000001"/>
    <n v="0"/>
    <x v="2"/>
    <n v="0"/>
    <n v="10"/>
    <n v="11"/>
    <n v="68"/>
    <n v="18.48"/>
    <n v="43.65"/>
    <n v="219.03"/>
    <n v="19.543462882439208"/>
    <n v="52.882770228452522"/>
    <n v="252.43227829401354"/>
    <n v="39417.840000000004"/>
    <n v="35223.847649999996"/>
    <n v="176748.66782999999"/>
    <n v="41686.206328242828"/>
    <n v="42674.333146322278"/>
    <n v="203703.00372441547"/>
  </r>
  <r>
    <s v="Sistema de Compensação"/>
    <x v="1"/>
    <x v="0"/>
    <x v="2"/>
    <x v="0"/>
    <x v="0"/>
    <x v="0"/>
    <x v="0"/>
    <x v="3"/>
    <n v="243"/>
    <n v="243"/>
    <n v="98.56"/>
    <n v="98.56"/>
    <n v="98.56"/>
    <n v="98.56"/>
    <n v="0"/>
    <x v="2"/>
    <n v="0"/>
    <n v="10"/>
    <n v="11"/>
    <n v="68"/>
    <n v="18.48"/>
    <n v="43.65"/>
    <n v="219.03"/>
    <n v="19.543462882439208"/>
    <n v="52.882770228452522"/>
    <n v="252.43227829401354"/>
    <n v="4490.6400000000003"/>
    <n v="4302.1440000000002"/>
    <n v="21587.596799999999"/>
    <n v="4749.0614804327279"/>
    <n v="5212.1258337162808"/>
    <n v="24879.725348657976"/>
  </r>
  <r>
    <s v="Regular"/>
    <x v="1"/>
    <x v="0"/>
    <x v="2"/>
    <x v="0"/>
    <x v="0"/>
    <x v="0"/>
    <x v="0"/>
    <x v="4"/>
    <n v="2124"/>
    <n v="2124"/>
    <n v="767.54200000000003"/>
    <n v="767.54200000000003"/>
    <n v="767.54200000000003"/>
    <n v="767.54200000000003"/>
    <n v="0"/>
    <x v="2"/>
    <n v="0"/>
    <n v="10"/>
    <n v="11"/>
    <n v="68"/>
    <n v="18.48"/>
    <n v="43.65"/>
    <n v="219.03"/>
    <n v="19.543462882439208"/>
    <n v="52.882770228452522"/>
    <n v="252.43227829401354"/>
    <n v="39251.520000000004"/>
    <n v="33503.208299999998"/>
    <n v="168114.72426000002"/>
    <n v="41510.315162300874"/>
    <n v="40589.747226686908"/>
    <n v="193752.37574634375"/>
  </r>
  <r>
    <s v="Sistema de Compensação"/>
    <x v="1"/>
    <x v="0"/>
    <x v="2"/>
    <x v="0"/>
    <x v="0"/>
    <x v="0"/>
    <x v="0"/>
    <x v="4"/>
    <n v="246"/>
    <n v="246"/>
    <n v="91.28"/>
    <n v="91.28"/>
    <n v="91.28"/>
    <n v="91.28"/>
    <n v="0"/>
    <x v="2"/>
    <n v="0"/>
    <n v="10"/>
    <n v="11"/>
    <n v="68"/>
    <n v="18.48"/>
    <n v="43.65"/>
    <n v="219.03"/>
    <n v="19.543462882439208"/>
    <n v="52.882770228452522"/>
    <n v="252.43227829401354"/>
    <n v="4546.08"/>
    <n v="3984.3719999999998"/>
    <n v="19993.058400000002"/>
    <n v="4807.6918690800449"/>
    <n v="4827.1392664531459"/>
    <n v="23042.018362677558"/>
  </r>
  <r>
    <s v="Regular"/>
    <x v="1"/>
    <x v="0"/>
    <x v="2"/>
    <x v="0"/>
    <x v="0"/>
    <x v="0"/>
    <x v="0"/>
    <x v="5"/>
    <n v="2094"/>
    <n v="2094"/>
    <n v="764.072"/>
    <n v="764.072"/>
    <n v="764.072"/>
    <n v="764.072"/>
    <n v="0"/>
    <x v="2"/>
    <n v="0"/>
    <n v="10"/>
    <n v="11"/>
    <n v="68"/>
    <n v="18.48"/>
    <n v="43.65"/>
    <n v="219.03"/>
    <n v="19.543462882439208"/>
    <n v="52.882770228452522"/>
    <n v="252.43227829401354"/>
    <n v="38697.120000000003"/>
    <n v="33351.7428"/>
    <n v="167354.69016"/>
    <n v="40924.011275827703"/>
    <n v="40406.244013994175"/>
    <n v="192876.43574066352"/>
  </r>
  <r>
    <s v="Sistema de Compensação"/>
    <x v="1"/>
    <x v="0"/>
    <x v="2"/>
    <x v="0"/>
    <x v="0"/>
    <x v="0"/>
    <x v="0"/>
    <x v="5"/>
    <n v="226"/>
    <n v="226"/>
    <n v="88.76"/>
    <n v="88.76"/>
    <n v="88.76"/>
    <n v="88.76"/>
    <n v="0"/>
    <x v="2"/>
    <n v="0"/>
    <n v="10"/>
    <n v="11"/>
    <n v="68"/>
    <n v="18.48"/>
    <n v="43.65"/>
    <n v="219.03"/>
    <n v="19.543462882439208"/>
    <n v="52.882770228452522"/>
    <n v="252.43227829401354"/>
    <n v="4176.4800000000005"/>
    <n v="3874.3740000000003"/>
    <n v="19441.102800000001"/>
    <n v="4416.8226114312611"/>
    <n v="4693.8746854774463"/>
    <n v="22405.889021376643"/>
  </r>
  <r>
    <s v="Regular"/>
    <x v="1"/>
    <x v="0"/>
    <x v="2"/>
    <x v="0"/>
    <x v="0"/>
    <x v="0"/>
    <x v="0"/>
    <x v="6"/>
    <n v="2133"/>
    <n v="2133"/>
    <n v="756.49099999999999"/>
    <n v="756.49099999999999"/>
    <n v="756.49099999999999"/>
    <n v="756.49099999999999"/>
    <n v="0"/>
    <x v="2"/>
    <n v="0"/>
    <n v="10"/>
    <n v="11"/>
    <n v="68"/>
    <n v="18.48"/>
    <n v="43.65"/>
    <n v="219.03"/>
    <n v="19.543462882439208"/>
    <n v="52.882770228452522"/>
    <n v="252.43227829401354"/>
    <n v="39417.840000000004"/>
    <n v="33020.832149999995"/>
    <n v="165694.22373"/>
    <n v="41686.206328242828"/>
    <n v="40005.339732892273"/>
    <n v="190962.74663891661"/>
  </r>
  <r>
    <s v="Sistema de Compensação"/>
    <x v="1"/>
    <x v="0"/>
    <x v="2"/>
    <x v="0"/>
    <x v="0"/>
    <x v="0"/>
    <x v="0"/>
    <x v="6"/>
    <n v="420"/>
    <n v="420"/>
    <n v="185.57"/>
    <n v="185.57"/>
    <n v="185.57"/>
    <n v="185.57"/>
    <n v="0"/>
    <x v="2"/>
    <n v="0"/>
    <n v="10"/>
    <n v="11"/>
    <n v="68"/>
    <n v="18.48"/>
    <n v="43.65"/>
    <n v="219.03"/>
    <n v="19.543462882439208"/>
    <n v="52.882770228452522"/>
    <n v="252.43227829401354"/>
    <n v="7761.6"/>
    <n v="8100.1304999999993"/>
    <n v="40645.397100000002"/>
    <n v="8208.2544106244677"/>
    <n v="9813.4556712939338"/>
    <n v="46843.857883020093"/>
  </r>
  <r>
    <s v="Regular"/>
    <x v="1"/>
    <x v="0"/>
    <x v="2"/>
    <x v="0"/>
    <x v="0"/>
    <x v="0"/>
    <x v="0"/>
    <x v="7"/>
    <n v="2100"/>
    <n v="2100"/>
    <n v="775.72799999999995"/>
    <n v="775.72799999999995"/>
    <n v="775.72799999999995"/>
    <n v="775.72799999999995"/>
    <n v="0"/>
    <x v="2"/>
    <n v="0"/>
    <n v="10"/>
    <n v="11"/>
    <n v="68"/>
    <n v="18.48"/>
    <n v="43.65"/>
    <n v="219.03"/>
    <n v="19.543462882439208"/>
    <n v="52.882770228452522"/>
    <n v="252.43227829401354"/>
    <n v="38808"/>
    <n v="33860.527199999997"/>
    <n v="169907.70384"/>
    <n v="41041.272053122339"/>
    <n v="41022.645583777012"/>
    <n v="195818.78637645853"/>
  </r>
  <r>
    <s v="Sistema de Compensação"/>
    <x v="1"/>
    <x v="0"/>
    <x v="2"/>
    <x v="0"/>
    <x v="0"/>
    <x v="0"/>
    <x v="0"/>
    <x v="7"/>
    <n v="603"/>
    <n v="603"/>
    <n v="173.6"/>
    <n v="173.6"/>
    <n v="173.6"/>
    <n v="173.6"/>
    <n v="0"/>
    <x v="2"/>
    <n v="0"/>
    <n v="10"/>
    <n v="11"/>
    <n v="68"/>
    <n v="18.48"/>
    <n v="43.65"/>
    <n v="219.03"/>
    <n v="19.543462882439208"/>
    <n v="52.882770228452522"/>
    <n v="252.43227829401354"/>
    <n v="11143.44"/>
    <n v="7577.6399999999994"/>
    <n v="38023.608"/>
    <n v="11784.708118110842"/>
    <n v="9180.4489116593577"/>
    <n v="43822.243511840752"/>
  </r>
  <r>
    <s v="Regular"/>
    <x v="1"/>
    <x v="0"/>
    <x v="2"/>
    <x v="0"/>
    <x v="0"/>
    <x v="0"/>
    <x v="0"/>
    <x v="8"/>
    <n v="2116"/>
    <n v="2116"/>
    <n v="837.22500000000002"/>
    <n v="837.22500000000002"/>
    <n v="837.22500000000002"/>
    <n v="837.22500000000002"/>
    <n v="0"/>
    <x v="2"/>
    <n v="0"/>
    <n v="10"/>
    <n v="11"/>
    <n v="68"/>
    <n v="18.48"/>
    <n v="43.65"/>
    <n v="219.03"/>
    <n v="19.543462882439208"/>
    <n v="52.882770228452522"/>
    <n v="252.43227829401354"/>
    <n v="39103.68"/>
    <n v="36544.871249999997"/>
    <n v="183377.39175000001"/>
    <n v="41353.967459241365"/>
    <n v="44274.777304516167"/>
    <n v="211342.6141947055"/>
  </r>
  <r>
    <s v="Sistema de Compensação"/>
    <x v="1"/>
    <x v="0"/>
    <x v="2"/>
    <x v="0"/>
    <x v="0"/>
    <x v="0"/>
    <x v="0"/>
    <x v="8"/>
    <n v="606"/>
    <n v="606"/>
    <n v="166.32"/>
    <n v="166.32"/>
    <n v="166.32"/>
    <n v="166.32"/>
    <n v="0"/>
    <x v="2"/>
    <n v="0"/>
    <n v="10"/>
    <n v="11"/>
    <n v="68"/>
    <n v="18.48"/>
    <n v="43.65"/>
    <n v="219.03"/>
    <n v="19.543462882439208"/>
    <n v="52.882770228452522"/>
    <n v="252.43227829401354"/>
    <n v="11198.880000000001"/>
    <n v="7259.8679999999995"/>
    <n v="36429.069599999995"/>
    <n v="11843.33850675816"/>
    <n v="8795.4623443962228"/>
    <n v="41984.536525860334"/>
  </r>
  <r>
    <s v="Regular"/>
    <x v="1"/>
    <x v="0"/>
    <x v="2"/>
    <x v="0"/>
    <x v="0"/>
    <x v="0"/>
    <x v="0"/>
    <x v="9"/>
    <n v="2166"/>
    <n v="2166"/>
    <n v="844.43600000000004"/>
    <n v="844.43600000000004"/>
    <n v="844.43600000000004"/>
    <n v="844.43600000000004"/>
    <n v="0"/>
    <x v="2"/>
    <n v="0"/>
    <n v="10"/>
    <n v="11"/>
    <n v="68"/>
    <n v="18.48"/>
    <n v="43.65"/>
    <n v="219.03"/>
    <n v="19.543462882439208"/>
    <n v="52.882770228452522"/>
    <n v="252.43227829401354"/>
    <n v="40027.68"/>
    <n v="36859.631399999998"/>
    <n v="184956.81708000001"/>
    <n v="42331.140603363325"/>
    <n v="44656.114960633538"/>
    <n v="213162.90335348362"/>
  </r>
  <r>
    <s v="Sistema de Compensação"/>
    <x v="1"/>
    <x v="0"/>
    <x v="2"/>
    <x v="0"/>
    <x v="0"/>
    <x v="0"/>
    <x v="0"/>
    <x v="9"/>
    <n v="589"/>
    <n v="589"/>
    <n v="141.88999999999999"/>
    <n v="141.88999999999999"/>
    <n v="141.88999999999999"/>
    <n v="141.88999999999999"/>
    <n v="0"/>
    <x v="2"/>
    <n v="0"/>
    <n v="10"/>
    <n v="11"/>
    <n v="68"/>
    <n v="18.48"/>
    <n v="43.65"/>
    <n v="219.03"/>
    <n v="19.543462882439208"/>
    <n v="52.882770228452522"/>
    <n v="252.43227829401354"/>
    <n v="10884.72"/>
    <n v="6193.4984999999988"/>
    <n v="31078.166699999998"/>
    <n v="11511.099637756693"/>
    <n v="7503.5362677151279"/>
    <n v="35817.615967137579"/>
  </r>
  <r>
    <s v="Regular"/>
    <x v="1"/>
    <x v="0"/>
    <x v="2"/>
    <x v="0"/>
    <x v="0"/>
    <x v="0"/>
    <x v="0"/>
    <x v="10"/>
    <n v="2149"/>
    <n v="2149"/>
    <n v="860.60500000000002"/>
    <n v="860.60500000000002"/>
    <n v="860.60500000000002"/>
    <n v="860.60500000000002"/>
    <n v="0"/>
    <x v="2"/>
    <n v="0"/>
    <n v="10"/>
    <n v="11"/>
    <n v="68"/>
    <n v="18.48"/>
    <n v="43.65"/>
    <n v="219.03"/>
    <n v="19.543462882439208"/>
    <n v="52.882770228452522"/>
    <n v="252.43227829401354"/>
    <n v="39713.520000000004"/>
    <n v="37565.40825"/>
    <n v="188498.31315"/>
    <n v="41998.901734361854"/>
    <n v="45511.17647245738"/>
    <n v="217244.48086121952"/>
  </r>
  <r>
    <s v="Sistema de Compensação"/>
    <x v="1"/>
    <x v="0"/>
    <x v="2"/>
    <x v="0"/>
    <x v="0"/>
    <x v="0"/>
    <x v="0"/>
    <x v="10"/>
    <n v="606"/>
    <n v="606"/>
    <n v="123.69"/>
    <n v="123.69"/>
    <n v="123.69"/>
    <n v="123.69"/>
    <n v="0"/>
    <x v="2"/>
    <n v="0"/>
    <n v="10"/>
    <n v="11"/>
    <n v="68"/>
    <n v="18.48"/>
    <n v="43.65"/>
    <n v="219.03"/>
    <n v="19.543462882439208"/>
    <n v="52.882770228452522"/>
    <n v="252.43227829401354"/>
    <n v="11198.880000000001"/>
    <n v="5399.0684999999994"/>
    <n v="27091.8207"/>
    <n v="11843.33850675816"/>
    <n v="6541.0698495572924"/>
    <n v="31223.348502186534"/>
  </r>
  <r>
    <s v="PROJETADO"/>
    <x v="1"/>
    <x v="0"/>
    <x v="2"/>
    <x v="0"/>
    <x v="0"/>
    <x v="0"/>
    <x v="0"/>
    <x v="11"/>
    <n v="2149"/>
    <n v="2149"/>
    <n v="860.60500000000002"/>
    <n v="860.60500000000002"/>
    <n v="860.60500000000002"/>
    <n v="860.60500000000002"/>
    <n v="0"/>
    <x v="2"/>
    <n v="0"/>
    <n v="10"/>
    <n v="11"/>
    <n v="68"/>
    <n v="18.48"/>
    <n v="43.65"/>
    <n v="219.03"/>
    <n v="19.543462882439208"/>
    <n v="52.882770228452522"/>
    <n v="252.43227829401354"/>
    <n v="39713.520000000004"/>
    <n v="37565.40825"/>
    <n v="188498.31315"/>
    <n v="41998.901734361854"/>
    <n v="45511.17647245738"/>
    <n v="217244.48086121952"/>
  </r>
  <r>
    <s v="PROJETADO"/>
    <x v="1"/>
    <x v="0"/>
    <x v="2"/>
    <x v="0"/>
    <x v="0"/>
    <x v="0"/>
    <x v="0"/>
    <x v="11"/>
    <n v="606"/>
    <n v="606"/>
    <n v="123.69"/>
    <n v="123.69"/>
    <n v="123.69"/>
    <n v="123.69"/>
    <n v="0"/>
    <x v="2"/>
    <n v="0"/>
    <n v="10"/>
    <n v="11"/>
    <n v="68"/>
    <n v="18.48"/>
    <n v="43.65"/>
    <n v="219.03"/>
    <n v="19.543462882439208"/>
    <n v="52.882770228452522"/>
    <n v="252.43227829401354"/>
    <n v="11198.880000000001"/>
    <n v="5399.0684999999994"/>
    <n v="27091.8207"/>
    <n v="11843.33850675816"/>
    <n v="6541.0698495572924"/>
    <n v="31223.348502186534"/>
  </r>
  <r>
    <s v="Regular"/>
    <x v="1"/>
    <x v="0"/>
    <x v="2"/>
    <x v="0"/>
    <x v="0"/>
    <x v="0"/>
    <x v="2"/>
    <x v="0"/>
    <n v="2076"/>
    <n v="2076"/>
    <n v="84.090999999999994"/>
    <n v="84.090999999999994"/>
    <n v="84.090999999999994"/>
    <n v="84.090999999999994"/>
    <n v="0"/>
    <x v="2"/>
    <n v="0"/>
    <n v="9"/>
    <n v="11"/>
    <n v="67"/>
    <n v="37.01"/>
    <n v="43.65"/>
    <n v="366.6"/>
    <n v="39.711322323272405"/>
    <n v="52.882770228452522"/>
    <n v="407.57745297626161"/>
    <n v="76832.759999999995"/>
    <n v="3670.5721499999995"/>
    <n v="30827.760600000001"/>
    <n v="82440.705143113519"/>
    <n v="4446.9650312808008"/>
    <n v="34273.595598226813"/>
  </r>
  <r>
    <s v="Sistema de Compensação"/>
    <x v="1"/>
    <x v="0"/>
    <x v="2"/>
    <x v="0"/>
    <x v="0"/>
    <x v="0"/>
    <x v="2"/>
    <x v="0"/>
    <n v="225"/>
    <n v="225"/>
    <n v="10.36"/>
    <n v="10.36"/>
    <n v="10.36"/>
    <n v="10.36"/>
    <n v="0"/>
    <x v="2"/>
    <n v="0"/>
    <n v="9"/>
    <n v="11"/>
    <n v="67"/>
    <n v="37.01"/>
    <n v="43.65"/>
    <n v="366.6"/>
    <n v="39.711322323272405"/>
    <n v="52.882770228452522"/>
    <n v="407.57745297626161"/>
    <n v="8327.25"/>
    <n v="452.21399999999994"/>
    <n v="3797.9760000000001"/>
    <n v="8935.0475227362913"/>
    <n v="547.86549956676811"/>
    <n v="4222.5024128340701"/>
  </r>
  <r>
    <s v="Regular"/>
    <x v="1"/>
    <x v="0"/>
    <x v="2"/>
    <x v="0"/>
    <x v="0"/>
    <x v="0"/>
    <x v="2"/>
    <x v="1"/>
    <n v="2062"/>
    <n v="2062"/>
    <n v="96.058000000000007"/>
    <n v="96.058000000000007"/>
    <n v="96.058000000000007"/>
    <n v="96.058000000000007"/>
    <n v="0"/>
    <x v="2"/>
    <n v="0"/>
    <n v="9"/>
    <n v="11"/>
    <n v="67"/>
    <n v="37.01"/>
    <n v="43.65"/>
    <n v="366.6"/>
    <n v="39.711322323272405"/>
    <n v="52.882770228452522"/>
    <n v="407.57745297626161"/>
    <n v="76314.62"/>
    <n v="4192.9317000000001"/>
    <n v="35214.862800000003"/>
    <n v="81884.746630587702"/>
    <n v="5079.813142604693"/>
    <n v="39151.07497799374"/>
  </r>
  <r>
    <s v="Refaturamento - Regular"/>
    <x v="1"/>
    <x v="0"/>
    <x v="2"/>
    <x v="0"/>
    <x v="0"/>
    <x v="0"/>
    <x v="2"/>
    <x v="1"/>
    <n v="-235"/>
    <n v="-235"/>
    <n v="0"/>
    <n v="0"/>
    <n v="0"/>
    <n v="0"/>
    <n v="0"/>
    <x v="2"/>
    <n v="0"/>
    <n v="9"/>
    <n v="0"/>
    <n v="0"/>
    <n v="37.01"/>
    <n v="0"/>
    <n v="0"/>
    <n v="39.711322323272405"/>
    <n v="52.882770228452522"/>
    <n v="407.57745297626161"/>
    <n v="-8697.35"/>
    <n v="0"/>
    <n v="0"/>
    <n v="-9332.1607459690149"/>
    <n v="0"/>
    <n v="0"/>
  </r>
  <r>
    <s v="Sistema de Compensação"/>
    <x v="1"/>
    <x v="0"/>
    <x v="2"/>
    <x v="0"/>
    <x v="0"/>
    <x v="0"/>
    <x v="2"/>
    <x v="1"/>
    <n v="225"/>
    <n v="225"/>
    <n v="11.76"/>
    <n v="11.76"/>
    <n v="11.76"/>
    <n v="11.76"/>
    <n v="0"/>
    <x v="2"/>
    <n v="0"/>
    <n v="9"/>
    <n v="11"/>
    <n v="67"/>
    <n v="37.01"/>
    <n v="43.65"/>
    <n v="366.6"/>
    <n v="39.711322323272405"/>
    <n v="52.882770228452522"/>
    <n v="407.57745297626161"/>
    <n v="8327.25"/>
    <n v="513.32399999999996"/>
    <n v="4311.2160000000003"/>
    <n v="8935.0475227362913"/>
    <n v="621.90137788660161"/>
    <n v="4793.1108470008367"/>
  </r>
  <r>
    <s v="Regular"/>
    <x v="1"/>
    <x v="0"/>
    <x v="2"/>
    <x v="0"/>
    <x v="0"/>
    <x v="0"/>
    <x v="2"/>
    <x v="2"/>
    <n v="2071"/>
    <n v="2071"/>
    <n v="86.956999999999994"/>
    <n v="86.956999999999994"/>
    <n v="86.956999999999994"/>
    <n v="86.956999999999994"/>
    <n v="0"/>
    <x v="2"/>
    <n v="0"/>
    <n v="9"/>
    <n v="11"/>
    <n v="67"/>
    <n v="37.01"/>
    <n v="43.65"/>
    <n v="366.6"/>
    <n v="39.711322323272405"/>
    <n v="52.882770228452522"/>
    <n v="407.57745297626161"/>
    <n v="76647.709999999992"/>
    <n v="3795.6730499999994"/>
    <n v="31878.4362"/>
    <n v="82242.148531497151"/>
    <n v="4598.5270507555451"/>
    <n v="35441.712578456776"/>
  </r>
  <r>
    <s v="Sistema de Compensação"/>
    <x v="1"/>
    <x v="0"/>
    <x v="2"/>
    <x v="0"/>
    <x v="0"/>
    <x v="0"/>
    <x v="2"/>
    <x v="2"/>
    <n v="225"/>
    <n v="225"/>
    <n v="10.92"/>
    <n v="10.92"/>
    <n v="10.92"/>
    <n v="10.92"/>
    <n v="0"/>
    <x v="2"/>
    <n v="0"/>
    <n v="9"/>
    <n v="11"/>
    <n v="67"/>
    <n v="37.01"/>
    <n v="43.65"/>
    <n v="366.6"/>
    <n v="39.711322323272405"/>
    <n v="52.882770228452522"/>
    <n v="407.57745297626161"/>
    <n v="8327.25"/>
    <n v="476.65799999999996"/>
    <n v="4003.2720000000004"/>
    <n v="8935.0475227362913"/>
    <n v="577.47985089470149"/>
    <n v="4450.7457865007764"/>
  </r>
  <r>
    <s v="Regular"/>
    <x v="1"/>
    <x v="0"/>
    <x v="2"/>
    <x v="0"/>
    <x v="0"/>
    <x v="0"/>
    <x v="2"/>
    <x v="3"/>
    <n v="1970"/>
    <n v="1970"/>
    <n v="85.091999999999999"/>
    <n v="85.091999999999999"/>
    <n v="85.091999999999999"/>
    <n v="85.091999999999999"/>
    <n v="0"/>
    <x v="2"/>
    <n v="0"/>
    <n v="9"/>
    <n v="11"/>
    <n v="67"/>
    <n v="37.01"/>
    <n v="43.65"/>
    <n v="366.6"/>
    <n v="39.711322323272405"/>
    <n v="52.882770228452522"/>
    <n v="407.57745297626161"/>
    <n v="72909.7"/>
    <n v="3714.2657999999997"/>
    <n v="31194.727200000001"/>
    <n v="78231.304976846644"/>
    <n v="4499.9006842794815"/>
    <n v="34681.580628656055"/>
  </r>
  <r>
    <s v="Sistema de Compensação"/>
    <x v="1"/>
    <x v="0"/>
    <x v="2"/>
    <x v="0"/>
    <x v="0"/>
    <x v="0"/>
    <x v="2"/>
    <x v="3"/>
    <n v="225"/>
    <n v="225"/>
    <n v="10.92"/>
    <n v="10.92"/>
    <n v="10.92"/>
    <n v="10.92"/>
    <n v="0"/>
    <x v="2"/>
    <n v="0"/>
    <n v="9"/>
    <n v="11"/>
    <n v="67"/>
    <n v="37.01"/>
    <n v="43.65"/>
    <n v="366.6"/>
    <n v="39.711322323272405"/>
    <n v="52.882770228452522"/>
    <n v="407.57745297626161"/>
    <n v="8327.25"/>
    <n v="476.65799999999996"/>
    <n v="4003.2720000000004"/>
    <n v="8935.0475227362913"/>
    <n v="577.47985089470149"/>
    <n v="4450.7457865007764"/>
  </r>
  <r>
    <s v="Regular"/>
    <x v="1"/>
    <x v="0"/>
    <x v="2"/>
    <x v="0"/>
    <x v="0"/>
    <x v="0"/>
    <x v="2"/>
    <x v="4"/>
    <n v="1947"/>
    <n v="1947"/>
    <n v="83.697000000000003"/>
    <n v="83.697000000000003"/>
    <n v="83.697000000000003"/>
    <n v="83.697000000000003"/>
    <n v="0"/>
    <x v="2"/>
    <n v="0"/>
    <n v="9"/>
    <n v="11"/>
    <n v="67"/>
    <n v="37.01"/>
    <n v="43.65"/>
    <n v="366.6"/>
    <n v="39.711322323272405"/>
    <n v="52.882770228452522"/>
    <n v="407.57745297626161"/>
    <n v="72058.47"/>
    <n v="3653.3740499999999"/>
    <n v="30683.320200000002"/>
    <n v="77317.94456341138"/>
    <n v="4426.1292198107913"/>
    <n v="34113.010081754168"/>
  </r>
  <r>
    <s v="Sistema de Compensação"/>
    <x v="1"/>
    <x v="0"/>
    <x v="2"/>
    <x v="0"/>
    <x v="0"/>
    <x v="0"/>
    <x v="2"/>
    <x v="4"/>
    <n v="232"/>
    <n v="232"/>
    <n v="10.36"/>
    <n v="10.36"/>
    <n v="10.36"/>
    <n v="10.36"/>
    <n v="0"/>
    <x v="2"/>
    <n v="0"/>
    <n v="9"/>
    <n v="11"/>
    <n v="67"/>
    <n v="37.01"/>
    <n v="43.65"/>
    <n v="366.6"/>
    <n v="39.711322323272405"/>
    <n v="52.882770228452522"/>
    <n v="407.57745297626161"/>
    <n v="8586.32"/>
    <n v="452.21399999999994"/>
    <n v="3797.9760000000001"/>
    <n v="9213.0267789991976"/>
    <n v="547.86549956676811"/>
    <n v="4222.5024128340701"/>
  </r>
  <r>
    <s v="Regular"/>
    <x v="1"/>
    <x v="0"/>
    <x v="2"/>
    <x v="0"/>
    <x v="0"/>
    <x v="0"/>
    <x v="2"/>
    <x v="5"/>
    <n v="1941"/>
    <n v="1941"/>
    <n v="83.596999999999994"/>
    <n v="83.596999999999994"/>
    <n v="83.596999999999994"/>
    <n v="83.596999999999994"/>
    <n v="0"/>
    <x v="2"/>
    <n v="0"/>
    <n v="9"/>
    <n v="11"/>
    <n v="67"/>
    <n v="37.01"/>
    <n v="43.65"/>
    <n v="366.6"/>
    <n v="39.711322323272405"/>
    <n v="52.882770228452522"/>
    <n v="407.57745297626161"/>
    <n v="71836.409999999989"/>
    <n v="3649.0090499999997"/>
    <n v="30646.660199999998"/>
    <n v="77079.676629471738"/>
    <n v="4420.8409427879451"/>
    <n v="34072.252336456542"/>
  </r>
  <r>
    <s v="Sistema de Compensação"/>
    <x v="1"/>
    <x v="0"/>
    <x v="2"/>
    <x v="0"/>
    <x v="0"/>
    <x v="0"/>
    <x v="2"/>
    <x v="5"/>
    <n v="225"/>
    <n v="225"/>
    <n v="10.64"/>
    <n v="10.64"/>
    <n v="10.64"/>
    <n v="10.64"/>
    <n v="0"/>
    <x v="2"/>
    <n v="0"/>
    <n v="9"/>
    <n v="11"/>
    <n v="67"/>
    <n v="37.01"/>
    <n v="43.65"/>
    <n v="366.6"/>
    <n v="39.711322323272405"/>
    <n v="52.882770228452522"/>
    <n v="407.57745297626161"/>
    <n v="8327.25"/>
    <n v="464.43600000000004"/>
    <n v="3900.6240000000003"/>
    <n v="8935.0475227362913"/>
    <n v="562.67267523073485"/>
    <n v="4336.6240996674242"/>
  </r>
  <r>
    <s v="Regular"/>
    <x v="1"/>
    <x v="0"/>
    <x v="2"/>
    <x v="0"/>
    <x v="0"/>
    <x v="0"/>
    <x v="2"/>
    <x v="6"/>
    <n v="1903"/>
    <n v="1903"/>
    <n v="82.36"/>
    <n v="82.36"/>
    <n v="82.36"/>
    <n v="82.36"/>
    <n v="0"/>
    <x v="2"/>
    <n v="0"/>
    <n v="9"/>
    <n v="11"/>
    <n v="67"/>
    <n v="37.01"/>
    <n v="43.65"/>
    <n v="366.6"/>
    <n v="39.711322323272405"/>
    <n v="52.882770228452522"/>
    <n v="407.57745297626161"/>
    <n v="70430.03"/>
    <n v="3595.0139999999997"/>
    <n v="30193.176000000003"/>
    <n v="75570.646381187384"/>
    <n v="4355.4249560153494"/>
    <n v="33568.079027124906"/>
  </r>
  <r>
    <s v="Sistema de Compensação"/>
    <x v="1"/>
    <x v="0"/>
    <x v="2"/>
    <x v="0"/>
    <x v="0"/>
    <x v="0"/>
    <x v="2"/>
    <x v="6"/>
    <n v="420"/>
    <n v="420"/>
    <n v="22.12"/>
    <n v="22.12"/>
    <n v="22.12"/>
    <n v="22.12"/>
    <n v="0"/>
    <x v="2"/>
    <n v="0"/>
    <n v="9"/>
    <n v="11"/>
    <n v="67"/>
    <n v="37.01"/>
    <n v="43.65"/>
    <n v="366.6"/>
    <n v="39.711322323272405"/>
    <n v="52.882770228452522"/>
    <n v="407.57745297626161"/>
    <n v="15544.199999999999"/>
    <n v="965.53800000000001"/>
    <n v="8109.1920000000009"/>
    <n v="16678.75537577441"/>
    <n v="1169.7668774533699"/>
    <n v="9015.6132598349068"/>
  </r>
  <r>
    <s v="Regular"/>
    <x v="1"/>
    <x v="0"/>
    <x v="2"/>
    <x v="0"/>
    <x v="0"/>
    <x v="0"/>
    <x v="2"/>
    <x v="7"/>
    <n v="1896"/>
    <n v="1896"/>
    <n v="81.682000000000002"/>
    <n v="81.682000000000002"/>
    <n v="81.682000000000002"/>
    <n v="81.682000000000002"/>
    <n v="0"/>
    <x v="2"/>
    <n v="0"/>
    <n v="9"/>
    <n v="11"/>
    <n v="67"/>
    <n v="37.01"/>
    <n v="43.65"/>
    <n v="366.6"/>
    <n v="39.711322323272405"/>
    <n v="52.882770228452522"/>
    <n v="407.57745297626161"/>
    <n v="70170.959999999992"/>
    <n v="3565.4193"/>
    <n v="29944.621200000001"/>
    <n v="75292.667124924483"/>
    <n v="4319.5704378004593"/>
    <n v="33291.741514007001"/>
  </r>
  <r>
    <s v="Sistema de Compensação"/>
    <x v="1"/>
    <x v="0"/>
    <x v="2"/>
    <x v="0"/>
    <x v="0"/>
    <x v="0"/>
    <x v="2"/>
    <x v="7"/>
    <n v="643"/>
    <n v="643"/>
    <n v="20.86"/>
    <n v="20.86"/>
    <n v="20.86"/>
    <n v="20.86"/>
    <n v="0"/>
    <x v="2"/>
    <n v="0"/>
    <n v="9"/>
    <n v="11"/>
    <n v="67"/>
    <n v="37.01"/>
    <n v="43.65"/>
    <n v="366.6"/>
    <n v="39.711322323272405"/>
    <n v="52.882770228452522"/>
    <n v="407.57745297626161"/>
    <n v="23797.43"/>
    <n v="910.53899999999999"/>
    <n v="7647.2759999999998"/>
    <n v="25534.380253864158"/>
    <n v="1103.1345869655195"/>
    <n v="8502.0656690848173"/>
  </r>
  <r>
    <s v="Regular"/>
    <x v="1"/>
    <x v="0"/>
    <x v="2"/>
    <x v="0"/>
    <x v="0"/>
    <x v="0"/>
    <x v="2"/>
    <x v="8"/>
    <n v="1900"/>
    <n v="1900"/>
    <n v="81.308999999999997"/>
    <n v="81.308999999999997"/>
    <n v="81.308999999999997"/>
    <n v="81.308999999999997"/>
    <n v="0"/>
    <x v="2"/>
    <n v="0"/>
    <n v="9"/>
    <n v="11"/>
    <n v="67"/>
    <n v="37.01"/>
    <n v="43.65"/>
    <n v="366.6"/>
    <n v="39.711322323272405"/>
    <n v="52.882770228452522"/>
    <n v="407.57745297626161"/>
    <n v="70319"/>
    <n v="3549.1378499999996"/>
    <n v="29807.879400000002"/>
    <n v="75451.512414217577"/>
    <n v="4299.8451645052455"/>
    <n v="33139.715124046852"/>
  </r>
  <r>
    <s v="Sistema de Compensação"/>
    <x v="1"/>
    <x v="0"/>
    <x v="2"/>
    <x v="0"/>
    <x v="0"/>
    <x v="0"/>
    <x v="2"/>
    <x v="8"/>
    <n v="638"/>
    <n v="638"/>
    <n v="21.49"/>
    <n v="21.49"/>
    <n v="21.49"/>
    <n v="21.49"/>
    <n v="0"/>
    <x v="2"/>
    <n v="0"/>
    <n v="9"/>
    <n v="11"/>
    <n v="67"/>
    <n v="37.01"/>
    <n v="43.65"/>
    <n v="366.6"/>
    <n v="39.711322323272405"/>
    <n v="52.882770228452522"/>
    <n v="407.57745297626161"/>
    <n v="23612.379999999997"/>
    <n v="938.03849999999989"/>
    <n v="7878.2339999999995"/>
    <n v="25335.823642247793"/>
    <n v="1136.4507322094446"/>
    <n v="8758.8394644598611"/>
  </r>
  <r>
    <s v="Regular"/>
    <x v="1"/>
    <x v="0"/>
    <x v="2"/>
    <x v="0"/>
    <x v="0"/>
    <x v="0"/>
    <x v="2"/>
    <x v="9"/>
    <n v="1981"/>
    <n v="1981"/>
    <n v="82.853999999999999"/>
    <n v="82.853999999999999"/>
    <n v="82.853999999999999"/>
    <n v="82.853999999999999"/>
    <n v="0"/>
    <x v="2"/>
    <n v="0"/>
    <n v="9"/>
    <n v="11"/>
    <n v="67"/>
    <n v="37.01"/>
    <n v="43.65"/>
    <n v="366.6"/>
    <n v="39.711322323272405"/>
    <n v="52.882770228452522"/>
    <n v="407.57745297626161"/>
    <n v="73316.81"/>
    <n v="3616.5771"/>
    <n v="30374.276400000002"/>
    <n v="78668.12952240264"/>
    <n v="4381.549044508205"/>
    <n v="33769.422288895177"/>
  </r>
  <r>
    <s v="Sistema de Compensação"/>
    <x v="1"/>
    <x v="0"/>
    <x v="2"/>
    <x v="0"/>
    <x v="0"/>
    <x v="0"/>
    <x v="2"/>
    <x v="9"/>
    <n v="632"/>
    <n v="632"/>
    <n v="19.88"/>
    <n v="19.88"/>
    <n v="19.88"/>
    <n v="19.88"/>
    <n v="0"/>
    <x v="2"/>
    <n v="0"/>
    <n v="9"/>
    <n v="11"/>
    <n v="67"/>
    <n v="37.01"/>
    <n v="43.65"/>
    <n v="366.6"/>
    <n v="39.711322323272405"/>
    <n v="52.882770228452522"/>
    <n v="407.57745297626161"/>
    <n v="23390.32"/>
    <n v="867.76199999999994"/>
    <n v="7288.0079999999998"/>
    <n v="25097.555708308159"/>
    <n v="1051.309472141636"/>
    <n v="8102.63976516808"/>
  </r>
  <r>
    <s v="Regular"/>
    <x v="1"/>
    <x v="0"/>
    <x v="2"/>
    <x v="0"/>
    <x v="0"/>
    <x v="0"/>
    <x v="2"/>
    <x v="10"/>
    <n v="1997"/>
    <n v="1997"/>
    <n v="94.159000000000006"/>
    <n v="94.159000000000006"/>
    <n v="94.159000000000006"/>
    <n v="94.159000000000006"/>
    <n v="0"/>
    <x v="2"/>
    <n v="0"/>
    <n v="9"/>
    <n v="11"/>
    <n v="67"/>
    <n v="37.01"/>
    <n v="43.65"/>
    <n v="366.6"/>
    <n v="39.711322323272405"/>
    <n v="52.882770228452522"/>
    <n v="407.57745297626161"/>
    <n v="73908.97"/>
    <n v="4110.0403500000002"/>
    <n v="34518.689400000003"/>
    <n v="79303.510679574989"/>
    <n v="4979.3887619408615"/>
    <n v="38377.085394791822"/>
  </r>
  <r>
    <s v="Sistema de Compensação"/>
    <x v="1"/>
    <x v="0"/>
    <x v="2"/>
    <x v="0"/>
    <x v="0"/>
    <x v="0"/>
    <x v="2"/>
    <x v="10"/>
    <n v="640"/>
    <n v="640"/>
    <n v="21.42"/>
    <n v="21.42"/>
    <n v="21.42"/>
    <n v="21.42"/>
    <n v="0"/>
    <x v="2"/>
    <n v="0"/>
    <n v="9"/>
    <n v="11"/>
    <n v="67"/>
    <n v="37.01"/>
    <n v="43.65"/>
    <n v="366.6"/>
    <n v="39.711322323272405"/>
    <n v="52.882770228452522"/>
    <n v="407.57745297626161"/>
    <n v="23686.399999999998"/>
    <n v="934.98300000000006"/>
    <n v="7852.572000000001"/>
    <n v="25415.24628689434"/>
    <n v="1132.7489382934532"/>
    <n v="8730.3090427515235"/>
  </r>
  <r>
    <s v="PROJETADO"/>
    <x v="1"/>
    <x v="0"/>
    <x v="2"/>
    <x v="0"/>
    <x v="0"/>
    <x v="0"/>
    <x v="2"/>
    <x v="11"/>
    <n v="1997"/>
    <n v="1997"/>
    <n v="94.159000000000006"/>
    <n v="94.159000000000006"/>
    <n v="94.159000000000006"/>
    <n v="94.159000000000006"/>
    <n v="0"/>
    <x v="2"/>
    <n v="0"/>
    <n v="9"/>
    <n v="11"/>
    <n v="67"/>
    <n v="37.01"/>
    <n v="43.65"/>
    <n v="366.6"/>
    <n v="39.711322323272405"/>
    <n v="52.882770228452522"/>
    <n v="407.57745297626161"/>
    <n v="73908.97"/>
    <n v="4110.0403500000002"/>
    <n v="34518.689400000003"/>
    <n v="79303.510679574989"/>
    <n v="4979.3887619408615"/>
    <n v="38377.085394791822"/>
  </r>
  <r>
    <s v="PROJETADO"/>
    <x v="1"/>
    <x v="0"/>
    <x v="2"/>
    <x v="0"/>
    <x v="0"/>
    <x v="0"/>
    <x v="2"/>
    <x v="11"/>
    <n v="640"/>
    <n v="640"/>
    <n v="21.42"/>
    <n v="21.42"/>
    <n v="21.42"/>
    <n v="21.42"/>
    <n v="0"/>
    <x v="2"/>
    <n v="0"/>
    <n v="9"/>
    <n v="11"/>
    <n v="67"/>
    <n v="37.01"/>
    <n v="43.65"/>
    <n v="366.6"/>
    <n v="39.711322323272405"/>
    <n v="52.882770228452522"/>
    <n v="407.57745297626161"/>
    <n v="23686.399999999998"/>
    <n v="934.98300000000006"/>
    <n v="7852.572000000001"/>
    <n v="25415.24628689434"/>
    <n v="1132.7489382934532"/>
    <n v="8730.3090427515235"/>
  </r>
  <r>
    <s v="Regular"/>
    <x v="1"/>
    <x v="0"/>
    <x v="0"/>
    <x v="0"/>
    <x v="1"/>
    <x v="0"/>
    <x v="0"/>
    <x v="0"/>
    <n v="4352"/>
    <n v="2191.5733708799999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40500.275893862396"/>
    <n v="0"/>
    <n v="0"/>
    <n v="42830.932827935452"/>
    <n v="0"/>
    <n v="0"/>
  </r>
  <r>
    <s v="Regular"/>
    <x v="1"/>
    <x v="0"/>
    <x v="0"/>
    <x v="0"/>
    <x v="1"/>
    <x v="0"/>
    <x v="0"/>
    <x v="1"/>
    <n v="4395"/>
    <n v="2211.1419921000002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40861.904014008003"/>
    <n v="0"/>
    <n v="0"/>
    <n v="43213.371450409039"/>
    <n v="0"/>
    <n v="0"/>
  </r>
  <r>
    <s v="Regular"/>
    <x v="1"/>
    <x v="0"/>
    <x v="0"/>
    <x v="0"/>
    <x v="1"/>
    <x v="0"/>
    <x v="0"/>
    <x v="2"/>
    <n v="4292"/>
    <n v="2157.1214304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9863.604033791999"/>
    <n v="0"/>
    <n v="0"/>
    <n v="42157.622607936573"/>
    <n v="0"/>
    <n v="0"/>
  </r>
  <r>
    <s v="Regular"/>
    <x v="1"/>
    <x v="0"/>
    <x v="0"/>
    <x v="0"/>
    <x v="1"/>
    <x v="0"/>
    <x v="0"/>
    <x v="3"/>
    <n v="4274"/>
    <n v="2162.4691934000002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9962.430694032002"/>
    <n v="0"/>
    <n v="0"/>
    <n v="42262.136415631154"/>
    <n v="0"/>
    <n v="0"/>
  </r>
  <r>
    <s v="Regular"/>
    <x v="1"/>
    <x v="0"/>
    <x v="0"/>
    <x v="0"/>
    <x v="1"/>
    <x v="0"/>
    <x v="0"/>
    <x v="4"/>
    <n v="4301"/>
    <n v="2168.7002406299998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40077.580446842396"/>
    <n v="0"/>
    <n v="0"/>
    <n v="42383.912655889377"/>
    <n v="0"/>
    <n v="0"/>
  </r>
  <r>
    <s v="Regular"/>
    <x v="1"/>
    <x v="0"/>
    <x v="0"/>
    <x v="0"/>
    <x v="1"/>
    <x v="0"/>
    <x v="0"/>
    <x v="5"/>
    <n v="4273"/>
    <n v="2150.35229686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9738.510445972803"/>
    <n v="0"/>
    <n v="0"/>
    <n v="42025.330297851309"/>
    <n v="0"/>
    <n v="0"/>
  </r>
  <r>
    <s v="Regular"/>
    <x v="1"/>
    <x v="0"/>
    <x v="0"/>
    <x v="0"/>
    <x v="1"/>
    <x v="0"/>
    <x v="0"/>
    <x v="6"/>
    <n v="4273"/>
    <n v="2157.3046815100001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9866.990514304802"/>
    <n v="0"/>
    <n v="0"/>
    <n v="42161.203969203023"/>
    <n v="0"/>
    <n v="0"/>
  </r>
  <r>
    <s v="Regular"/>
    <x v="1"/>
    <x v="0"/>
    <x v="0"/>
    <x v="0"/>
    <x v="1"/>
    <x v="0"/>
    <x v="0"/>
    <x v="7"/>
    <n v="3869"/>
    <n v="1955.4475011100001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6136.669820512805"/>
    <n v="0"/>
    <n v="0"/>
    <n v="38216.215656501787"/>
    <n v="0"/>
    <n v="0"/>
  </r>
  <r>
    <s v="Regular"/>
    <x v="1"/>
    <x v="0"/>
    <x v="0"/>
    <x v="0"/>
    <x v="1"/>
    <x v="0"/>
    <x v="0"/>
    <x v="8"/>
    <n v="3907"/>
    <n v="1996.1270500099999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6888.427884184799"/>
    <n v="0"/>
    <n v="0"/>
    <n v="39011.234910503306"/>
    <n v="0"/>
    <n v="0"/>
  </r>
  <r>
    <s v="Regular"/>
    <x v="1"/>
    <x v="0"/>
    <x v="0"/>
    <x v="0"/>
    <x v="1"/>
    <x v="0"/>
    <x v="0"/>
    <x v="9"/>
    <n v="4018"/>
    <n v="2032.73545104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7564.951135219198"/>
    <n v="0"/>
    <n v="0"/>
    <n v="39726.689837218561"/>
    <n v="0"/>
    <n v="0"/>
  </r>
  <r>
    <s v="Regular"/>
    <x v="1"/>
    <x v="0"/>
    <x v="0"/>
    <x v="0"/>
    <x v="1"/>
    <x v="0"/>
    <x v="0"/>
    <x v="10"/>
    <n v="3929"/>
    <n v="2000.29480089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6965.447920447201"/>
    <n v="0"/>
    <n v="0"/>
    <n v="39092.687195129838"/>
    <n v="0"/>
    <n v="0"/>
  </r>
  <r>
    <s v="PROJETADO"/>
    <x v="1"/>
    <x v="0"/>
    <x v="0"/>
    <x v="0"/>
    <x v="1"/>
    <x v="0"/>
    <x v="0"/>
    <x v="11"/>
    <n v="3929"/>
    <n v="2000.29480089"/>
    <n v="0"/>
    <n v="0"/>
    <n v="0"/>
    <n v="0"/>
    <n v="0"/>
    <x v="0"/>
    <n v="0"/>
    <n v="10"/>
    <n v="0"/>
    <n v="0"/>
    <n v="18.48"/>
    <n v="0"/>
    <n v="0"/>
    <n v="19.543462882439208"/>
    <n v="52.882770228452522"/>
    <m/>
    <n v="36965.447920447201"/>
    <n v="0"/>
    <n v="0"/>
    <n v="39092.687195129838"/>
    <n v="0"/>
    <n v="0"/>
  </r>
  <r>
    <s v="Regular"/>
    <x v="1"/>
    <x v="0"/>
    <x v="0"/>
    <x v="0"/>
    <x v="1"/>
    <x v="0"/>
    <x v="1"/>
    <x v="0"/>
    <n v="0"/>
    <n v="0"/>
    <n v="1755.146"/>
    <n v="1755.146"/>
    <n v="0"/>
    <n v="0"/>
    <n v="9"/>
    <x v="0"/>
    <n v="0"/>
    <n v="0"/>
    <n v="11"/>
    <n v="0"/>
    <n v="0"/>
    <n v="43.65"/>
    <n v="0"/>
    <m/>
    <n v="52.882770228452522"/>
    <m/>
    <n v="0"/>
    <n v="76612.122900000002"/>
    <n v="0"/>
    <n v="0"/>
    <n v="92816.982635387525"/>
    <n v="0"/>
  </r>
  <r>
    <s v="Regular"/>
    <x v="1"/>
    <x v="0"/>
    <x v="0"/>
    <x v="0"/>
    <x v="1"/>
    <x v="0"/>
    <x v="1"/>
    <x v="1"/>
    <n v="0"/>
    <n v="0"/>
    <n v="1701.3219999999999"/>
    <n v="1701.3219999999999"/>
    <n v="0"/>
    <n v="0"/>
    <n v="9"/>
    <x v="0"/>
    <n v="0"/>
    <n v="0"/>
    <n v="11"/>
    <n v="0"/>
    <n v="0"/>
    <n v="43.65"/>
    <n v="0"/>
    <m/>
    <n v="52.882770228452522"/>
    <m/>
    <n v="0"/>
    <n v="74262.705299999987"/>
    <n v="0"/>
    <n v="0"/>
    <n v="89970.6204106113"/>
    <n v="0"/>
  </r>
  <r>
    <s v="Regular"/>
    <x v="1"/>
    <x v="0"/>
    <x v="0"/>
    <x v="0"/>
    <x v="1"/>
    <x v="0"/>
    <x v="1"/>
    <x v="2"/>
    <n v="0"/>
    <n v="0"/>
    <n v="1674.5419999999999"/>
    <n v="1674.5419999999999"/>
    <n v="0"/>
    <n v="0"/>
    <n v="9"/>
    <x v="0"/>
    <n v="0"/>
    <n v="0"/>
    <n v="11"/>
    <n v="0"/>
    <n v="0"/>
    <n v="43.65"/>
    <n v="0"/>
    <m/>
    <n v="52.882770228452522"/>
    <m/>
    <n v="0"/>
    <n v="73093.758299999987"/>
    <n v="0"/>
    <n v="0"/>
    <n v="88554.419823893331"/>
    <n v="0"/>
  </r>
  <r>
    <s v="Regular"/>
    <x v="1"/>
    <x v="0"/>
    <x v="0"/>
    <x v="0"/>
    <x v="1"/>
    <x v="0"/>
    <x v="1"/>
    <x v="3"/>
    <n v="0"/>
    <n v="0"/>
    <n v="1683.701"/>
    <n v="1683.701"/>
    <n v="0"/>
    <n v="0"/>
    <n v="9"/>
    <x v="0"/>
    <n v="0"/>
    <n v="0"/>
    <n v="11"/>
    <n v="0"/>
    <n v="0"/>
    <n v="43.65"/>
    <n v="0"/>
    <m/>
    <n v="52.882770228452522"/>
    <m/>
    <n v="0"/>
    <n v="73493.548649999997"/>
    <n v="0"/>
    <n v="0"/>
    <n v="89038.773116415745"/>
    <n v="0"/>
  </r>
  <r>
    <s v="Regular"/>
    <x v="1"/>
    <x v="0"/>
    <x v="0"/>
    <x v="0"/>
    <x v="1"/>
    <x v="0"/>
    <x v="1"/>
    <x v="4"/>
    <n v="0"/>
    <n v="0"/>
    <n v="1695.1780000000001"/>
    <n v="1695.1780000000001"/>
    <n v="0"/>
    <n v="0"/>
    <n v="9"/>
    <x v="0"/>
    <n v="0"/>
    <n v="0"/>
    <n v="11"/>
    <n v="0"/>
    <n v="0"/>
    <n v="43.65"/>
    <n v="0"/>
    <m/>
    <n v="52.882770228452522"/>
    <m/>
    <n v="0"/>
    <n v="73994.519700000004"/>
    <n v="0"/>
    <n v="0"/>
    <n v="89645.708670327702"/>
    <n v="0"/>
  </r>
  <r>
    <s v="Regular"/>
    <x v="1"/>
    <x v="0"/>
    <x v="0"/>
    <x v="0"/>
    <x v="1"/>
    <x v="0"/>
    <x v="1"/>
    <x v="5"/>
    <n v="0"/>
    <n v="0"/>
    <n v="1473.6510000000001"/>
    <n v="1473.6510000000001"/>
    <n v="0"/>
    <n v="0"/>
    <n v="9"/>
    <x v="0"/>
    <n v="0"/>
    <n v="0"/>
    <n v="11"/>
    <n v="0"/>
    <n v="0"/>
    <n v="43.65"/>
    <n v="0"/>
    <m/>
    <n v="52.882770228452522"/>
    <m/>
    <n v="0"/>
    <n v="64324.866150000002"/>
    <n v="0"/>
    <n v="0"/>
    <n v="77930.747229929286"/>
    <n v="0"/>
  </r>
  <r>
    <s v="Regular"/>
    <x v="1"/>
    <x v="0"/>
    <x v="0"/>
    <x v="0"/>
    <x v="1"/>
    <x v="0"/>
    <x v="1"/>
    <x v="6"/>
    <n v="0"/>
    <n v="0"/>
    <n v="1617.5"/>
    <n v="1617.5"/>
    <n v="0"/>
    <n v="0"/>
    <n v="9"/>
    <x v="0"/>
    <n v="0"/>
    <n v="0"/>
    <n v="11"/>
    <n v="0"/>
    <n v="0"/>
    <n v="43.65"/>
    <n v="0"/>
    <m/>
    <n v="52.882770228452522"/>
    <m/>
    <n v="0"/>
    <n v="70603.875"/>
    <n v="0"/>
    <n v="0"/>
    <n v="85537.880844521947"/>
    <n v="0"/>
  </r>
  <r>
    <s v="Regular"/>
    <x v="1"/>
    <x v="0"/>
    <x v="0"/>
    <x v="0"/>
    <x v="1"/>
    <x v="0"/>
    <x v="1"/>
    <x v="7"/>
    <n v="0"/>
    <n v="0"/>
    <n v="1539.8150000000001"/>
    <n v="1539.8150000000001"/>
    <n v="0"/>
    <n v="0"/>
    <n v="8"/>
    <x v="0"/>
    <n v="0"/>
    <n v="0"/>
    <n v="11"/>
    <n v="0"/>
    <n v="0"/>
    <n v="43.65"/>
    <n v="0"/>
    <m/>
    <n v="52.882770228452522"/>
    <m/>
    <n v="0"/>
    <n v="67212.924750000006"/>
    <n v="0"/>
    <n v="0"/>
    <n v="81429.682839324625"/>
    <n v="0"/>
  </r>
  <r>
    <s v="Regular"/>
    <x v="1"/>
    <x v="0"/>
    <x v="0"/>
    <x v="0"/>
    <x v="1"/>
    <x v="0"/>
    <x v="1"/>
    <x v="8"/>
    <n v="0"/>
    <n v="0"/>
    <n v="1584.8879999999999"/>
    <n v="1584.8879999999999"/>
    <n v="0"/>
    <n v="0"/>
    <n v="8"/>
    <x v="0"/>
    <n v="0"/>
    <n v="0"/>
    <n v="11"/>
    <n v="0"/>
    <n v="0"/>
    <n v="43.65"/>
    <n v="0"/>
    <m/>
    <n v="52.882770228452522"/>
    <m/>
    <n v="0"/>
    <n v="69180.361199999999"/>
    <n v="0"/>
    <n v="0"/>
    <n v="83813.267941831655"/>
    <n v="0"/>
  </r>
  <r>
    <s v="Regular"/>
    <x v="1"/>
    <x v="0"/>
    <x v="0"/>
    <x v="0"/>
    <x v="1"/>
    <x v="0"/>
    <x v="1"/>
    <x v="9"/>
    <n v="0"/>
    <n v="0"/>
    <n v="1784.5709999999999"/>
    <n v="1784.5709999999999"/>
    <n v="0"/>
    <n v="0"/>
    <n v="8"/>
    <x v="0"/>
    <n v="0"/>
    <n v="0"/>
    <n v="11"/>
    <n v="0"/>
    <n v="0"/>
    <n v="43.65"/>
    <n v="0"/>
    <m/>
    <n v="52.882770228452522"/>
    <m/>
    <n v="0"/>
    <n v="77896.524149999997"/>
    <n v="0"/>
    <n v="0"/>
    <n v="94373.058149359742"/>
    <n v="0"/>
  </r>
  <r>
    <s v="Regular"/>
    <x v="1"/>
    <x v="0"/>
    <x v="0"/>
    <x v="0"/>
    <x v="1"/>
    <x v="0"/>
    <x v="1"/>
    <x v="10"/>
    <n v="0"/>
    <n v="0"/>
    <n v="1738.9190000000001"/>
    <n v="1738.9190000000001"/>
    <n v="0"/>
    <n v="0"/>
    <n v="8"/>
    <x v="0"/>
    <n v="0"/>
    <n v="0"/>
    <n v="11"/>
    <n v="0"/>
    <n v="0"/>
    <n v="43.65"/>
    <n v="0"/>
    <m/>
    <n v="52.882770228452522"/>
    <m/>
    <n v="0"/>
    <n v="75903.814350000001"/>
    <n v="0"/>
    <n v="0"/>
    <n v="91958.853922890441"/>
    <n v="0"/>
  </r>
  <r>
    <s v="PROJETADO"/>
    <x v="1"/>
    <x v="0"/>
    <x v="0"/>
    <x v="0"/>
    <x v="1"/>
    <x v="0"/>
    <x v="1"/>
    <x v="11"/>
    <n v="0"/>
    <n v="0"/>
    <n v="1738.9190000000001"/>
    <n v="1738.9190000000001"/>
    <n v="0"/>
    <n v="0"/>
    <n v="8"/>
    <x v="0"/>
    <n v="0"/>
    <n v="0"/>
    <n v="11"/>
    <n v="0"/>
    <n v="0"/>
    <n v="43.65"/>
    <n v="0"/>
    <m/>
    <n v="52.882770228452522"/>
    <m/>
    <n v="0"/>
    <n v="75903.814350000001"/>
    <n v="0"/>
    <n v="0"/>
    <n v="91958.853922890441"/>
    <n v="0"/>
  </r>
  <r>
    <s v="Regular"/>
    <x v="1"/>
    <x v="0"/>
    <x v="0"/>
    <x v="0"/>
    <x v="1"/>
    <x v="0"/>
    <x v="2"/>
    <x v="0"/>
    <n v="4030"/>
    <n v="2029.3389414999999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5105.834224914986"/>
    <n v="0"/>
    <n v="0"/>
    <n v="80587.732809074936"/>
    <n v="0"/>
    <n v="0"/>
  </r>
  <r>
    <s v="Regular"/>
    <x v="1"/>
    <x v="0"/>
    <x v="0"/>
    <x v="0"/>
    <x v="1"/>
    <x v="0"/>
    <x v="2"/>
    <x v="1"/>
    <n v="3977"/>
    <n v="2006.71692689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4268.593464198901"/>
    <n v="0"/>
    <n v="0"/>
    <n v="79689.382695295455"/>
    <n v="0"/>
    <n v="0"/>
  </r>
  <r>
    <s v="Regular"/>
    <x v="1"/>
    <x v="0"/>
    <x v="0"/>
    <x v="0"/>
    <x v="1"/>
    <x v="0"/>
    <x v="2"/>
    <x v="2"/>
    <n v="3935"/>
    <n v="1982.83064195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3384.5620585695"/>
    <n v="0"/>
    <n v="0"/>
    <n v="78740.826734937582"/>
    <n v="0"/>
    <n v="0"/>
  </r>
  <r>
    <s v="Regular"/>
    <x v="1"/>
    <x v="0"/>
    <x v="0"/>
    <x v="0"/>
    <x v="1"/>
    <x v="0"/>
    <x v="2"/>
    <x v="3"/>
    <n v="3934"/>
    <n v="2002.9792231399999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4130.261048411397"/>
    <n v="0"/>
    <n v="0"/>
    <n v="79540.953536930305"/>
    <n v="0"/>
    <n v="0"/>
  </r>
  <r>
    <s v="Regular"/>
    <x v="1"/>
    <x v="0"/>
    <x v="0"/>
    <x v="0"/>
    <x v="1"/>
    <x v="0"/>
    <x v="2"/>
    <x v="4"/>
    <n v="3934"/>
    <n v="1984.1832005799999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3434.620253465793"/>
    <n v="0"/>
    <n v="0"/>
    <n v="78794.538626654641"/>
    <n v="0"/>
    <n v="0"/>
  </r>
  <r>
    <s v="Regular"/>
    <x v="1"/>
    <x v="0"/>
    <x v="0"/>
    <x v="0"/>
    <x v="1"/>
    <x v="0"/>
    <x v="2"/>
    <x v="5"/>
    <n v="3934"/>
    <n v="1979.71956616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3269.421143581596"/>
    <n v="0"/>
    <n v="0"/>
    <n v="78617.28180146878"/>
    <n v="0"/>
    <n v="0"/>
  </r>
  <r>
    <s v="Regular"/>
    <x v="1"/>
    <x v="0"/>
    <x v="0"/>
    <x v="0"/>
    <x v="1"/>
    <x v="0"/>
    <x v="2"/>
    <x v="6"/>
    <n v="3934"/>
    <n v="1986.38207054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3516.000430685395"/>
    <n v="0"/>
    <n v="0"/>
    <n v="78881.858660383165"/>
    <n v="0"/>
    <n v="0"/>
  </r>
  <r>
    <s v="Regular"/>
    <x v="1"/>
    <x v="0"/>
    <x v="0"/>
    <x v="0"/>
    <x v="1"/>
    <x v="0"/>
    <x v="2"/>
    <x v="7"/>
    <n v="3511"/>
    <n v="1774.80267047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65685.446834094706"/>
    <n v="0"/>
    <n v="0"/>
    <n v="70479.760907238786"/>
    <n v="0"/>
    <n v="0"/>
  </r>
  <r>
    <s v="Regular"/>
    <x v="1"/>
    <x v="0"/>
    <x v="0"/>
    <x v="0"/>
    <x v="1"/>
    <x v="0"/>
    <x v="2"/>
    <x v="8"/>
    <n v="3680"/>
    <n v="1879.73693440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69569.063942143999"/>
    <n v="0"/>
    <n v="0"/>
    <n v="74646.839284918358"/>
    <n v="0"/>
    <n v="0"/>
  </r>
  <r>
    <s v="Regular"/>
    <x v="1"/>
    <x v="0"/>
    <x v="0"/>
    <x v="0"/>
    <x v="1"/>
    <x v="0"/>
    <x v="2"/>
    <x v="9"/>
    <n v="3698"/>
    <n v="1870.63799646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69232.312248984599"/>
    <n v="0"/>
    <n v="0"/>
    <n v="74285.508427583569"/>
    <n v="0"/>
    <n v="0"/>
  </r>
  <r>
    <s v="Regular"/>
    <x v="1"/>
    <x v="0"/>
    <x v="0"/>
    <x v="0"/>
    <x v="1"/>
    <x v="0"/>
    <x v="2"/>
    <x v="10"/>
    <n v="3726"/>
    <n v="1896.89344722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0204.026481612207"/>
    <n v="0"/>
    <n v="0"/>
    <n v="75328.147095456734"/>
    <n v="0"/>
    <n v="0"/>
  </r>
  <r>
    <s v="PROJETADO"/>
    <x v="1"/>
    <x v="0"/>
    <x v="0"/>
    <x v="0"/>
    <x v="1"/>
    <x v="0"/>
    <x v="2"/>
    <x v="11"/>
    <n v="3726"/>
    <n v="1896.8934472200001"/>
    <n v="0"/>
    <n v="0"/>
    <n v="0"/>
    <n v="0"/>
    <n v="0"/>
    <x v="0"/>
    <n v="0"/>
    <n v="9"/>
    <n v="0"/>
    <n v="0"/>
    <n v="37.01"/>
    <n v="0"/>
    <n v="0"/>
    <n v="39.711322323272405"/>
    <n v="52.882770228452522"/>
    <m/>
    <n v="70204.026481612207"/>
    <n v="0"/>
    <n v="0"/>
    <n v="75328.147095456734"/>
    <n v="0"/>
    <n v="0"/>
  </r>
  <r>
    <s v="Regular"/>
    <x v="1"/>
    <x v="0"/>
    <x v="0"/>
    <x v="0"/>
    <x v="0"/>
    <x v="0"/>
    <x v="0"/>
    <x v="0"/>
    <n v="835"/>
    <n v="835"/>
    <n v="103.95399999999999"/>
    <n v="103.95399999999999"/>
    <n v="103.95399999999999"/>
    <n v="103.95399999999999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537.5920999999998"/>
    <n v="22769.044619999997"/>
    <n v="16318.791506836738"/>
    <n v="5497.3754963285528"/>
    <n v="26241.345057775881"/>
  </r>
  <r>
    <s v="Regular"/>
    <x v="1"/>
    <x v="0"/>
    <x v="0"/>
    <x v="0"/>
    <x v="0"/>
    <x v="0"/>
    <x v="0"/>
    <x v="1"/>
    <n v="835"/>
    <n v="835"/>
    <n v="97.451999999999998"/>
    <n v="97.451999999999998"/>
    <n v="97.451999999999998"/>
    <n v="97.451999999999998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253.7797999999993"/>
    <n v="21344.91156"/>
    <n v="16318.791506836738"/>
    <n v="5153.531724303155"/>
    <n v="24600.030384308207"/>
  </r>
  <r>
    <s v="Regular"/>
    <x v="1"/>
    <x v="0"/>
    <x v="0"/>
    <x v="0"/>
    <x v="0"/>
    <x v="0"/>
    <x v="0"/>
    <x v="2"/>
    <n v="835"/>
    <n v="835"/>
    <n v="62.758000000000003"/>
    <n v="62.758000000000003"/>
    <n v="62.758000000000003"/>
    <n v="62.758000000000003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2739.3867"/>
    <n v="13745.884740000001"/>
    <n v="16318.791506836738"/>
    <n v="3318.8168939972234"/>
    <n v="15842.144921175703"/>
  </r>
  <r>
    <s v="Regular"/>
    <x v="1"/>
    <x v="0"/>
    <x v="0"/>
    <x v="0"/>
    <x v="0"/>
    <x v="0"/>
    <x v="0"/>
    <x v="3"/>
    <n v="835"/>
    <n v="835"/>
    <n v="97.274000000000001"/>
    <n v="97.274000000000001"/>
    <n v="97.274000000000001"/>
    <n v="97.274000000000001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246.0100999999995"/>
    <n v="21305.924220000001"/>
    <n v="16318.791506836738"/>
    <n v="5144.1185912024903"/>
    <n v="24555.097438771874"/>
  </r>
  <r>
    <s v="Regular"/>
    <x v="1"/>
    <x v="0"/>
    <x v="0"/>
    <x v="0"/>
    <x v="0"/>
    <x v="0"/>
    <x v="0"/>
    <x v="4"/>
    <n v="835"/>
    <n v="835"/>
    <n v="110.58"/>
    <n v="110.58"/>
    <n v="110.58"/>
    <n v="110.58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826.817"/>
    <n v="24220.3374"/>
    <n v="16318.791506836738"/>
    <n v="5847.77673186228"/>
    <n v="27913.961333752017"/>
  </r>
  <r>
    <s v="Regular"/>
    <x v="1"/>
    <x v="0"/>
    <x v="0"/>
    <x v="0"/>
    <x v="0"/>
    <x v="0"/>
    <x v="0"/>
    <x v="5"/>
    <n v="835"/>
    <n v="835"/>
    <n v="101.02"/>
    <n v="101.02"/>
    <n v="101.02"/>
    <n v="101.02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409.5229999999992"/>
    <n v="22126.410599999999"/>
    <n v="16318.791506836738"/>
    <n v="5342.2174484782736"/>
    <n v="25500.708753261246"/>
  </r>
  <r>
    <s v="Regular"/>
    <x v="1"/>
    <x v="0"/>
    <x v="0"/>
    <x v="0"/>
    <x v="0"/>
    <x v="0"/>
    <x v="0"/>
    <x v="6"/>
    <n v="835"/>
    <n v="835"/>
    <n v="103.64400000000001"/>
    <n v="103.64400000000001"/>
    <n v="103.64400000000001"/>
    <n v="103.64400000000001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524.0605999999998"/>
    <n v="22701.14532"/>
    <n v="16318.791506836738"/>
    <n v="5480.9818375577333"/>
    <n v="26163.09105150474"/>
  </r>
  <r>
    <s v="Regular"/>
    <x v="1"/>
    <x v="0"/>
    <x v="0"/>
    <x v="0"/>
    <x v="0"/>
    <x v="0"/>
    <x v="0"/>
    <x v="7"/>
    <n v="835"/>
    <n v="835"/>
    <n v="112.166"/>
    <n v="112.166"/>
    <n v="112.166"/>
    <n v="112.166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4896.0459000000001"/>
    <n v="24567.718979999998"/>
    <n v="16318.791506836738"/>
    <n v="5931.6488054446054"/>
    <n v="28314.318927126322"/>
  </r>
  <r>
    <s v="Regular"/>
    <x v="1"/>
    <x v="0"/>
    <x v="0"/>
    <x v="0"/>
    <x v="0"/>
    <x v="0"/>
    <x v="0"/>
    <x v="8"/>
    <n v="835"/>
    <n v="835"/>
    <n v="74.494"/>
    <n v="74.494"/>
    <n v="74.494"/>
    <n v="74.494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3251.6630999999998"/>
    <n v="16316.420819999999"/>
    <n v="16318.791506836738"/>
    <n v="3939.449085398342"/>
    <n v="18804.690139234244"/>
  </r>
  <r>
    <s v="Regular"/>
    <x v="1"/>
    <x v="0"/>
    <x v="0"/>
    <x v="0"/>
    <x v="0"/>
    <x v="0"/>
    <x v="0"/>
    <x v="9"/>
    <n v="835"/>
    <n v="835"/>
    <n v="72.061999999999998"/>
    <n v="72.061999999999998"/>
    <n v="72.061999999999998"/>
    <n v="72.061999999999998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3145.5063"/>
    <n v="15783.73986"/>
    <n v="16318.791506836738"/>
    <n v="3810.8381882027456"/>
    <n v="18190.774838423204"/>
  </r>
  <r>
    <s v="Regular"/>
    <x v="1"/>
    <x v="0"/>
    <x v="0"/>
    <x v="0"/>
    <x v="0"/>
    <x v="0"/>
    <x v="0"/>
    <x v="10"/>
    <n v="835"/>
    <n v="835"/>
    <n v="77.415999999999997"/>
    <n v="77.415999999999997"/>
    <n v="77.415999999999997"/>
    <n v="77.415999999999997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3379.2083999999995"/>
    <n v="16956.426479999998"/>
    <n v="16318.791506836738"/>
    <n v="4093.9725400058801"/>
    <n v="19542.297256409351"/>
  </r>
  <r>
    <s v="PROJETADO"/>
    <x v="1"/>
    <x v="0"/>
    <x v="0"/>
    <x v="0"/>
    <x v="0"/>
    <x v="0"/>
    <x v="0"/>
    <x v="11"/>
    <n v="835"/>
    <n v="835"/>
    <n v="77.415999999999997"/>
    <n v="77.415999999999997"/>
    <n v="77.415999999999997"/>
    <n v="77.415999999999997"/>
    <n v="0"/>
    <x v="2"/>
    <n v="0"/>
    <n v="10"/>
    <n v="11"/>
    <n v="68"/>
    <n v="18.48"/>
    <n v="43.65"/>
    <n v="219.03"/>
    <n v="19.543462882439208"/>
    <n v="52.882770228452522"/>
    <n v="252.43227829401354"/>
    <n v="15430.800000000001"/>
    <n v="3379.2083999999995"/>
    <n v="16956.426479999998"/>
    <n v="16318.791506836738"/>
    <n v="4093.9725400058801"/>
    <n v="19542.297256409351"/>
  </r>
  <r>
    <s v="Regular"/>
    <x v="1"/>
    <x v="0"/>
    <x v="0"/>
    <x v="0"/>
    <x v="0"/>
    <x v="0"/>
    <x v="2"/>
    <x v="0"/>
    <n v="115"/>
    <n v="115"/>
    <n v="3.6760000000000002"/>
    <n v="3.6760000000000002"/>
    <n v="3.6760000000000002"/>
    <n v="3.6760000000000002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60.45740000000001"/>
    <n v="1347.6216000000002"/>
    <n v="4566.802067176327"/>
    <n v="194.39706335979147"/>
    <n v="1498.2547171407377"/>
  </r>
  <r>
    <s v="Regular"/>
    <x v="1"/>
    <x v="0"/>
    <x v="0"/>
    <x v="0"/>
    <x v="0"/>
    <x v="0"/>
    <x v="2"/>
    <x v="1"/>
    <n v="115"/>
    <n v="115"/>
    <n v="4.1680000000000001"/>
    <n v="4.1680000000000001"/>
    <n v="4.1680000000000001"/>
    <n v="4.1680000000000001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81.9332"/>
    <n v="1527.9888000000001"/>
    <n v="4566.802067176327"/>
    <n v="220.41538631219012"/>
    <n v="1698.7828240050585"/>
  </r>
  <r>
    <s v="Regular"/>
    <x v="1"/>
    <x v="0"/>
    <x v="0"/>
    <x v="0"/>
    <x v="0"/>
    <x v="0"/>
    <x v="2"/>
    <x v="2"/>
    <n v="115"/>
    <n v="115"/>
    <n v="3.3479999999999999"/>
    <n v="3.3479999999999999"/>
    <n v="3.3479999999999999"/>
    <n v="3.3479999999999999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46.14019999999999"/>
    <n v="1227.3768"/>
    <n v="4566.802067176327"/>
    <n v="177.05151472485903"/>
    <n v="1364.5693125645239"/>
  </r>
  <r>
    <s v="Regular"/>
    <x v="1"/>
    <x v="0"/>
    <x v="0"/>
    <x v="0"/>
    <x v="0"/>
    <x v="0"/>
    <x v="2"/>
    <x v="3"/>
    <n v="115"/>
    <n v="115"/>
    <n v="3.3479999999999999"/>
    <n v="3.3479999999999999"/>
    <n v="3.3479999999999999"/>
    <n v="3.3479999999999999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46.14019999999999"/>
    <n v="1227.3768"/>
    <n v="4566.802067176327"/>
    <n v="177.05151472485903"/>
    <n v="1364.5693125645239"/>
  </r>
  <r>
    <s v="Regular"/>
    <x v="1"/>
    <x v="0"/>
    <x v="0"/>
    <x v="0"/>
    <x v="0"/>
    <x v="0"/>
    <x v="2"/>
    <x v="4"/>
    <n v="115"/>
    <n v="115"/>
    <n v="4.0039999999999996"/>
    <n v="4.0039999999999996"/>
    <n v="4.0039999999999996"/>
    <n v="4.0039999999999996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74.77459999999996"/>
    <n v="1467.8663999999999"/>
    <n v="4566.802067176327"/>
    <n v="211.74261199472389"/>
    <n v="1631.9401217169514"/>
  </r>
  <r>
    <s v="Regular"/>
    <x v="1"/>
    <x v="0"/>
    <x v="0"/>
    <x v="0"/>
    <x v="0"/>
    <x v="0"/>
    <x v="2"/>
    <x v="5"/>
    <n v="115"/>
    <n v="115"/>
    <n v="3.6080000000000001"/>
    <n v="3.6080000000000001"/>
    <n v="3.6080000000000001"/>
    <n v="3.6080000000000001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57.48920000000001"/>
    <n v="1322.6928"/>
    <n v="4566.802067176327"/>
    <n v="190.80103498425672"/>
    <n v="1470.539450338352"/>
  </r>
  <r>
    <s v="Regular"/>
    <x v="1"/>
    <x v="0"/>
    <x v="0"/>
    <x v="0"/>
    <x v="0"/>
    <x v="0"/>
    <x v="2"/>
    <x v="6"/>
    <n v="115"/>
    <n v="115"/>
    <n v="4.1680000000000001"/>
    <n v="4.1680000000000001"/>
    <n v="4.1680000000000001"/>
    <n v="4.1680000000000001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81.9332"/>
    <n v="1527.9888000000001"/>
    <n v="4566.802067176327"/>
    <n v="220.41538631219012"/>
    <n v="1698.7828240050585"/>
  </r>
  <r>
    <s v="Regular"/>
    <x v="1"/>
    <x v="0"/>
    <x v="0"/>
    <x v="0"/>
    <x v="0"/>
    <x v="0"/>
    <x v="2"/>
    <x v="7"/>
    <n v="115"/>
    <n v="115"/>
    <n v="4.1680000000000001"/>
    <n v="4.1680000000000001"/>
    <n v="4.1680000000000001"/>
    <n v="4.1680000000000001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81.9332"/>
    <n v="1527.9888000000001"/>
    <n v="4566.802067176327"/>
    <n v="220.41538631219012"/>
    <n v="1698.7828240050585"/>
  </r>
  <r>
    <s v="Regular"/>
    <x v="1"/>
    <x v="0"/>
    <x v="0"/>
    <x v="0"/>
    <x v="0"/>
    <x v="0"/>
    <x v="2"/>
    <x v="8"/>
    <n v="115"/>
    <n v="115"/>
    <n v="3.758"/>
    <n v="3.758"/>
    <n v="3.758"/>
    <n v="3.758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64.0367"/>
    <n v="1377.6828"/>
    <n v="4566.802067176327"/>
    <n v="198.73345051852456"/>
    <n v="1531.6760682847912"/>
  </r>
  <r>
    <s v="Regular"/>
    <x v="1"/>
    <x v="0"/>
    <x v="0"/>
    <x v="0"/>
    <x v="0"/>
    <x v="0"/>
    <x v="2"/>
    <x v="9"/>
    <n v="115"/>
    <n v="115"/>
    <n v="3.84"/>
    <n v="3.84"/>
    <n v="3.84"/>
    <n v="3.84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67.61599999999999"/>
    <n v="1407.7440000000001"/>
    <n v="4566.802067176327"/>
    <n v="203.06983767725768"/>
    <n v="1565.0974194288444"/>
  </r>
  <r>
    <s v="Regular"/>
    <x v="1"/>
    <x v="0"/>
    <x v="0"/>
    <x v="0"/>
    <x v="0"/>
    <x v="0"/>
    <x v="2"/>
    <x v="10"/>
    <n v="115"/>
    <n v="115"/>
    <n v="4.0039999999999996"/>
    <n v="4.0039999999999996"/>
    <n v="4.0039999999999996"/>
    <n v="4.0039999999999996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74.77459999999996"/>
    <n v="1467.8663999999999"/>
    <n v="4566.802067176327"/>
    <n v="211.74261199472389"/>
    <n v="1631.9401217169514"/>
  </r>
  <r>
    <s v="PROJETADO"/>
    <x v="1"/>
    <x v="0"/>
    <x v="0"/>
    <x v="0"/>
    <x v="0"/>
    <x v="0"/>
    <x v="2"/>
    <x v="11"/>
    <n v="115"/>
    <n v="115"/>
    <n v="4.0039999999999996"/>
    <n v="4.0039999999999996"/>
    <n v="4.0039999999999996"/>
    <n v="4.0039999999999996"/>
    <n v="0"/>
    <x v="2"/>
    <n v="0"/>
    <n v="9"/>
    <n v="11"/>
    <n v="67"/>
    <n v="37.01"/>
    <n v="43.65"/>
    <n v="366.6"/>
    <n v="39.711322323272405"/>
    <n v="52.882770228452522"/>
    <n v="407.57745297626161"/>
    <n v="4256.1499999999996"/>
    <n v="174.77459999999996"/>
    <n v="1467.8663999999999"/>
    <n v="4566.802067176327"/>
    <n v="211.74261199472389"/>
    <n v="1631.9401217169514"/>
  </r>
  <r>
    <s v="Regular"/>
    <x v="1"/>
    <x v="0"/>
    <x v="3"/>
    <x v="0"/>
    <x v="0"/>
    <x v="0"/>
    <x v="0"/>
    <x v="0"/>
    <n v="469"/>
    <n v="469"/>
    <n v="55.271000000000001"/>
    <n v="55.271000000000001"/>
    <n v="55.271000000000001"/>
    <n v="55.271000000000001"/>
    <n v="0"/>
    <x v="2"/>
    <n v="0"/>
    <n v="10"/>
    <n v="11"/>
    <n v="68"/>
    <n v="18.48"/>
    <n v="43.65"/>
    <n v="219.03"/>
    <n v="19.543462882439208"/>
    <n v="52.882770228452522"/>
    <n v="252.43227829401354"/>
    <n v="8667.1200000000008"/>
    <n v="2412.57915"/>
    <n v="12106.00713"/>
    <n v="9165.8840918639889"/>
    <n v="2922.8835932967995"/>
    <n v="13952.184453588423"/>
  </r>
  <r>
    <s v="Regular"/>
    <x v="1"/>
    <x v="0"/>
    <x v="3"/>
    <x v="0"/>
    <x v="0"/>
    <x v="0"/>
    <x v="0"/>
    <x v="1"/>
    <n v="471"/>
    <n v="471"/>
    <n v="57.054000000000002"/>
    <n v="57.054000000000002"/>
    <n v="57.054000000000002"/>
    <n v="57.054000000000002"/>
    <n v="0"/>
    <x v="2"/>
    <n v="0"/>
    <n v="10"/>
    <n v="11"/>
    <n v="68"/>
    <n v="18.48"/>
    <n v="43.65"/>
    <n v="219.03"/>
    <n v="19.543462882439208"/>
    <n v="52.882770228452522"/>
    <n v="252.43227829401354"/>
    <n v="8704.08"/>
    <n v="2490.4070999999999"/>
    <n v="12496.537620000001"/>
    <n v="9204.9710176288663"/>
    <n v="3017.1735726141301"/>
    <n v="14402.271205786648"/>
  </r>
  <r>
    <s v="Regular"/>
    <x v="1"/>
    <x v="0"/>
    <x v="3"/>
    <x v="0"/>
    <x v="0"/>
    <x v="0"/>
    <x v="0"/>
    <x v="2"/>
    <n v="470"/>
    <n v="470"/>
    <n v="60.46"/>
    <n v="60.46"/>
    <n v="60.46"/>
    <n v="60.46"/>
    <n v="0"/>
    <x v="2"/>
    <n v="0"/>
    <n v="10"/>
    <n v="11"/>
    <n v="68"/>
    <n v="18.48"/>
    <n v="43.65"/>
    <n v="219.03"/>
    <n v="19.543462882439208"/>
    <n v="52.882770228452522"/>
    <n v="252.43227829401354"/>
    <n v="8685.6"/>
    <n v="2639.0790000000002"/>
    <n v="13242.5538"/>
    <n v="9185.4275547464276"/>
    <n v="3197.2922880122396"/>
    <n v="15262.05554565606"/>
  </r>
  <r>
    <s v="Regular"/>
    <x v="1"/>
    <x v="0"/>
    <x v="3"/>
    <x v="0"/>
    <x v="0"/>
    <x v="0"/>
    <x v="0"/>
    <x v="3"/>
    <n v="468"/>
    <n v="468"/>
    <n v="54.082999999999998"/>
    <n v="54.082999999999998"/>
    <n v="54.082999999999998"/>
    <n v="54.082999999999998"/>
    <n v="0"/>
    <x v="2"/>
    <n v="0"/>
    <n v="10"/>
    <n v="11"/>
    <n v="68"/>
    <n v="18.48"/>
    <n v="43.65"/>
    <n v="219.03"/>
    <n v="19.543462882439208"/>
    <n v="52.882770228452522"/>
    <n v="252.43227829401354"/>
    <n v="8648.64"/>
    <n v="2360.7229499999999"/>
    <n v="11845.799489999999"/>
    <n v="9146.3406289815484"/>
    <n v="2860.0588622653977"/>
    <n v="13652.294906975134"/>
  </r>
  <r>
    <s v="Regular"/>
    <x v="1"/>
    <x v="0"/>
    <x v="3"/>
    <x v="0"/>
    <x v="0"/>
    <x v="0"/>
    <x v="0"/>
    <x v="4"/>
    <n v="465"/>
    <n v="465"/>
    <n v="57.091000000000001"/>
    <n v="57.091000000000001"/>
    <n v="57.091000000000001"/>
    <n v="57.091000000000001"/>
    <n v="0"/>
    <x v="2"/>
    <n v="0"/>
    <n v="10"/>
    <n v="11"/>
    <n v="68"/>
    <n v="18.48"/>
    <n v="43.65"/>
    <n v="219.03"/>
    <n v="19.543462882439208"/>
    <n v="52.882770228452522"/>
    <n v="252.43227829401354"/>
    <n v="8593.2000000000007"/>
    <n v="2492.0221499999998"/>
    <n v="12504.641730000001"/>
    <n v="9087.7102403342324"/>
    <n v="3019.1302351125828"/>
    <n v="14411.611200083527"/>
  </r>
  <r>
    <s v="Regular"/>
    <x v="1"/>
    <x v="0"/>
    <x v="3"/>
    <x v="0"/>
    <x v="0"/>
    <x v="0"/>
    <x v="0"/>
    <x v="5"/>
    <n v="464"/>
    <n v="464"/>
    <n v="47.957000000000001"/>
    <n v="47.957000000000001"/>
    <n v="47.957000000000001"/>
    <n v="47.957000000000001"/>
    <n v="0"/>
    <x v="2"/>
    <n v="0"/>
    <n v="10"/>
    <n v="11"/>
    <n v="68"/>
    <n v="18.48"/>
    <n v="43.65"/>
    <n v="219.03"/>
    <n v="19.543462882439208"/>
    <n v="52.882770228452522"/>
    <n v="252.43227829401354"/>
    <n v="8574.7199999999993"/>
    <n v="2093.32305"/>
    <n v="10504.021710000001"/>
    <n v="9068.1667774517919"/>
    <n v="2536.0990118458976"/>
    <n v="12105.894770146007"/>
  </r>
  <r>
    <s v="Regular"/>
    <x v="1"/>
    <x v="0"/>
    <x v="3"/>
    <x v="0"/>
    <x v="0"/>
    <x v="0"/>
    <x v="0"/>
    <x v="6"/>
    <n v="470"/>
    <n v="470"/>
    <n v="44.831000000000003"/>
    <n v="44.831000000000003"/>
    <n v="44.831000000000003"/>
    <n v="44.831000000000003"/>
    <n v="0"/>
    <x v="2"/>
    <n v="0"/>
    <n v="10"/>
    <n v="11"/>
    <n v="68"/>
    <n v="18.48"/>
    <n v="43.65"/>
    <n v="219.03"/>
    <n v="19.543462882439208"/>
    <n v="52.882770228452522"/>
    <n v="252.43227829401354"/>
    <n v="8685.6"/>
    <n v="1956.8731500000001"/>
    <n v="9819.3339300000007"/>
    <n v="9185.4275547464276"/>
    <n v="2370.7874721117551"/>
    <n v="11316.791468198922"/>
  </r>
  <r>
    <s v="Regular"/>
    <x v="1"/>
    <x v="0"/>
    <x v="3"/>
    <x v="0"/>
    <x v="0"/>
    <x v="0"/>
    <x v="0"/>
    <x v="7"/>
    <n v="465"/>
    <n v="465"/>
    <n v="46.805999999999997"/>
    <n v="46.805999999999997"/>
    <n v="46.805999999999997"/>
    <n v="46.805999999999997"/>
    <n v="0"/>
    <x v="2"/>
    <n v="0"/>
    <n v="10"/>
    <n v="11"/>
    <n v="68"/>
    <n v="18.48"/>
    <n v="43.65"/>
    <n v="219.03"/>
    <n v="19.543462882439208"/>
    <n v="52.882770228452522"/>
    <n v="252.43227829401354"/>
    <n v="8593.2000000000007"/>
    <n v="2043.0818999999999"/>
    <n v="10251.918179999999"/>
    <n v="9087.7102403342324"/>
    <n v="2475.2309433129485"/>
    <n v="11815.345217829597"/>
  </r>
  <r>
    <s v="Regular"/>
    <x v="1"/>
    <x v="0"/>
    <x v="3"/>
    <x v="0"/>
    <x v="0"/>
    <x v="0"/>
    <x v="0"/>
    <x v="8"/>
    <n v="468"/>
    <n v="468"/>
    <n v="52.966000000000001"/>
    <n v="52.966000000000001"/>
    <n v="52.966000000000001"/>
    <n v="52.966000000000001"/>
    <n v="0"/>
    <x v="2"/>
    <n v="0"/>
    <n v="10"/>
    <n v="11"/>
    <n v="68"/>
    <n v="18.48"/>
    <n v="43.65"/>
    <n v="219.03"/>
    <n v="19.543462882439208"/>
    <n v="52.882770228452522"/>
    <n v="252.43227829401354"/>
    <n v="8648.64"/>
    <n v="2311.9659000000001"/>
    <n v="11601.142980000001"/>
    <n v="9146.3406289815484"/>
    <n v="2800.9888079202165"/>
    <n v="13370.328052120722"/>
  </r>
  <r>
    <s v="Regular"/>
    <x v="1"/>
    <x v="0"/>
    <x v="3"/>
    <x v="0"/>
    <x v="0"/>
    <x v="0"/>
    <x v="0"/>
    <x v="9"/>
    <n v="468"/>
    <n v="468"/>
    <n v="58.508000000000003"/>
    <n v="58.508000000000003"/>
    <n v="58.508000000000003"/>
    <n v="58.508000000000003"/>
    <n v="0"/>
    <x v="2"/>
    <n v="0"/>
    <n v="10"/>
    <n v="11"/>
    <n v="68"/>
    <n v="18.48"/>
    <n v="43.65"/>
    <n v="219.03"/>
    <n v="19.543462882439208"/>
    <n v="52.882770228452522"/>
    <n v="252.43227829401354"/>
    <n v="8648.64"/>
    <n v="2553.8742000000002"/>
    <n v="12815.007240000001"/>
    <n v="9146.3406289815484"/>
    <n v="3094.0651205263002"/>
    <n v="14769.307738426145"/>
  </r>
  <r>
    <s v="Regular"/>
    <x v="1"/>
    <x v="0"/>
    <x v="3"/>
    <x v="0"/>
    <x v="0"/>
    <x v="0"/>
    <x v="0"/>
    <x v="10"/>
    <n v="470"/>
    <n v="470"/>
    <n v="60.901000000000003"/>
    <n v="60.901000000000003"/>
    <n v="60.901000000000003"/>
    <n v="60.901000000000003"/>
    <n v="0"/>
    <x v="2"/>
    <n v="0"/>
    <n v="10"/>
    <n v="11"/>
    <n v="68"/>
    <n v="18.48"/>
    <n v="43.65"/>
    <n v="219.03"/>
    <n v="19.543462882439208"/>
    <n v="52.882770228452522"/>
    <n v="252.43227829401354"/>
    <n v="8685.6"/>
    <n v="2658.3286499999999"/>
    <n v="13339.146030000002"/>
    <n v="9185.4275547464276"/>
    <n v="3220.6135896829874"/>
    <n v="15373.378180383719"/>
  </r>
  <r>
    <s v="PROJETADO"/>
    <x v="1"/>
    <x v="0"/>
    <x v="3"/>
    <x v="0"/>
    <x v="0"/>
    <x v="0"/>
    <x v="0"/>
    <x v="11"/>
    <n v="470"/>
    <n v="470"/>
    <n v="60.901000000000003"/>
    <n v="60.901000000000003"/>
    <n v="60.901000000000003"/>
    <n v="60.901000000000003"/>
    <n v="0"/>
    <x v="2"/>
    <n v="0"/>
    <n v="10"/>
    <n v="11"/>
    <n v="68"/>
    <n v="18.48"/>
    <n v="43.65"/>
    <n v="219.03"/>
    <n v="19.543462882439208"/>
    <n v="52.882770228452522"/>
    <n v="252.43227829401354"/>
    <n v="8685.6"/>
    <n v="2658.3286499999999"/>
    <n v="13339.146030000002"/>
    <n v="9185.4275547464276"/>
    <n v="3220.6135896829874"/>
    <n v="15373.378180383719"/>
  </r>
  <r>
    <s v="Regular"/>
    <x v="1"/>
    <x v="0"/>
    <x v="3"/>
    <x v="0"/>
    <x v="0"/>
    <x v="0"/>
    <x v="2"/>
    <x v="0"/>
    <n v="337"/>
    <n v="337"/>
    <n v="5.6589999999999998"/>
    <n v="5.6589999999999998"/>
    <n v="5.6589999999999998"/>
    <n v="5.6589999999999998"/>
    <n v="0"/>
    <x v="2"/>
    <n v="0"/>
    <n v="9"/>
    <n v="11"/>
    <n v="67"/>
    <n v="37.01"/>
    <n v="43.65"/>
    <n v="366.6"/>
    <n v="39.711322323272405"/>
    <n v="52.882770228452522"/>
    <n v="407.57745297626161"/>
    <n v="12472.369999999999"/>
    <n v="247.01534999999998"/>
    <n v="2074.5893999999998"/>
    <n v="13382.7156229428"/>
    <n v="299.26359672281279"/>
    <n v="2306.4808063926644"/>
  </r>
  <r>
    <s v="Regular"/>
    <x v="1"/>
    <x v="0"/>
    <x v="3"/>
    <x v="0"/>
    <x v="0"/>
    <x v="0"/>
    <x v="2"/>
    <x v="1"/>
    <n v="340"/>
    <n v="340"/>
    <n v="6.0730000000000004"/>
    <n v="6.0730000000000004"/>
    <n v="6.0730000000000004"/>
    <n v="6.0730000000000004"/>
    <n v="0"/>
    <x v="2"/>
    <n v="0"/>
    <n v="9"/>
    <n v="11"/>
    <n v="67"/>
    <n v="37.01"/>
    <n v="43.65"/>
    <n v="366.6"/>
    <n v="39.711322323272405"/>
    <n v="52.882770228452522"/>
    <n v="407.57745297626161"/>
    <n v="12583.4"/>
    <n v="265.08645000000001"/>
    <n v="2226.3618000000001"/>
    <n v="13501.849589912617"/>
    <n v="321.15706359739221"/>
    <n v="2475.2178719248368"/>
  </r>
  <r>
    <s v="Regular"/>
    <x v="1"/>
    <x v="0"/>
    <x v="3"/>
    <x v="0"/>
    <x v="0"/>
    <x v="0"/>
    <x v="2"/>
    <x v="2"/>
    <n v="338"/>
    <n v="338"/>
    <n v="5.1970000000000001"/>
    <n v="5.1970000000000001"/>
    <n v="5.1970000000000001"/>
    <n v="5.1970000000000001"/>
    <n v="0"/>
    <x v="2"/>
    <n v="0"/>
    <n v="9"/>
    <n v="11"/>
    <n v="67"/>
    <n v="37.01"/>
    <n v="43.65"/>
    <n v="366.6"/>
    <n v="39.711322323272405"/>
    <n v="52.882770228452522"/>
    <n v="407.57745297626161"/>
    <n v="12509.38"/>
    <n v="226.84905000000001"/>
    <n v="1905.2202000000002"/>
    <n v="13422.426945266074"/>
    <n v="274.83175687726776"/>
    <n v="2118.1800231176317"/>
  </r>
  <r>
    <s v="Regular"/>
    <x v="1"/>
    <x v="0"/>
    <x v="3"/>
    <x v="0"/>
    <x v="0"/>
    <x v="0"/>
    <x v="2"/>
    <x v="3"/>
    <n v="337"/>
    <n v="337"/>
    <n v="5.585"/>
    <n v="5.585"/>
    <n v="5.585"/>
    <n v="5.585"/>
    <n v="0"/>
    <x v="2"/>
    <n v="0"/>
    <n v="9"/>
    <n v="11"/>
    <n v="67"/>
    <n v="37.01"/>
    <n v="43.65"/>
    <n v="366.6"/>
    <n v="39.711322323272405"/>
    <n v="52.882770228452522"/>
    <n v="407.57745297626161"/>
    <n v="12472.369999999999"/>
    <n v="243.78524999999999"/>
    <n v="2047.461"/>
    <n v="13382.7156229428"/>
    <n v="295.35027172590731"/>
    <n v="2276.3200748724212"/>
  </r>
  <r>
    <s v="Regular"/>
    <x v="1"/>
    <x v="0"/>
    <x v="3"/>
    <x v="0"/>
    <x v="0"/>
    <x v="0"/>
    <x v="2"/>
    <x v="4"/>
    <n v="336"/>
    <n v="336"/>
    <n v="5.4820000000000002"/>
    <n v="5.4820000000000002"/>
    <n v="5.4820000000000002"/>
    <n v="5.4820000000000002"/>
    <n v="0"/>
    <x v="2"/>
    <n v="0"/>
    <n v="9"/>
    <n v="11"/>
    <n v="67"/>
    <n v="37.01"/>
    <n v="43.65"/>
    <n v="366.6"/>
    <n v="39.711322323272405"/>
    <n v="52.882770228452522"/>
    <n v="407.57745297626161"/>
    <n v="12435.359999999999"/>
    <n v="239.2893"/>
    <n v="2009.7012000000002"/>
    <n v="13343.004300619528"/>
    <n v="289.90334639237676"/>
    <n v="2234.3395972158664"/>
  </r>
  <r>
    <s v="Regular"/>
    <x v="1"/>
    <x v="0"/>
    <x v="3"/>
    <x v="0"/>
    <x v="0"/>
    <x v="0"/>
    <x v="2"/>
    <x v="5"/>
    <n v="332"/>
    <n v="332"/>
    <n v="5.1219999999999999"/>
    <n v="5.1219999999999999"/>
    <n v="5.1219999999999999"/>
    <n v="5.1219999999999999"/>
    <n v="0"/>
    <x v="2"/>
    <n v="0"/>
    <n v="9"/>
    <n v="11"/>
    <n v="67"/>
    <n v="37.01"/>
    <n v="43.65"/>
    <n v="366.6"/>
    <n v="39.711322323272405"/>
    <n v="52.882770228452522"/>
    <n v="407.57745297626161"/>
    <n v="12287.32"/>
    <n v="223.5753"/>
    <n v="1877.7252000000001"/>
    <n v="13184.159011326439"/>
    <n v="270.86554911013383"/>
    <n v="2087.611714144412"/>
  </r>
  <r>
    <s v="Regular"/>
    <x v="1"/>
    <x v="0"/>
    <x v="3"/>
    <x v="0"/>
    <x v="0"/>
    <x v="0"/>
    <x v="2"/>
    <x v="6"/>
    <n v="332"/>
    <n v="332"/>
    <n v="5.165"/>
    <n v="5.165"/>
    <n v="5.165"/>
    <n v="5.165"/>
    <n v="0"/>
    <x v="2"/>
    <n v="0"/>
    <n v="9"/>
    <n v="11"/>
    <n v="67"/>
    <n v="37.01"/>
    <n v="43.65"/>
    <n v="366.6"/>
    <n v="39.711322323272405"/>
    <n v="52.882770228452522"/>
    <n v="407.57745297626161"/>
    <n v="12287.32"/>
    <n v="225.45224999999999"/>
    <n v="1893.489"/>
    <n v="13184.159011326439"/>
    <n v="273.1395082299573"/>
    <n v="2105.137544622391"/>
  </r>
  <r>
    <s v="Regular"/>
    <x v="1"/>
    <x v="0"/>
    <x v="3"/>
    <x v="0"/>
    <x v="0"/>
    <x v="0"/>
    <x v="2"/>
    <x v="7"/>
    <n v="332"/>
    <n v="332"/>
    <n v="5.2670000000000003"/>
    <n v="5.2670000000000003"/>
    <n v="5.2670000000000003"/>
    <n v="5.2670000000000003"/>
    <n v="0"/>
    <x v="2"/>
    <n v="0"/>
    <n v="9"/>
    <n v="11"/>
    <n v="67"/>
    <n v="37.01"/>
    <n v="43.65"/>
    <n v="366.6"/>
    <n v="39.711322323272405"/>
    <n v="52.882770228452522"/>
    <n v="407.57745297626161"/>
    <n v="12287.32"/>
    <n v="229.90455"/>
    <n v="1930.8822000000002"/>
    <n v="13184.159011326439"/>
    <n v="278.53355079325945"/>
    <n v="2146.7104448259702"/>
  </r>
  <r>
    <s v="Regular"/>
    <x v="1"/>
    <x v="0"/>
    <x v="3"/>
    <x v="0"/>
    <x v="0"/>
    <x v="0"/>
    <x v="2"/>
    <x v="8"/>
    <n v="339"/>
    <n v="339"/>
    <n v="5.7130000000000001"/>
    <n v="5.7130000000000001"/>
    <n v="5.7130000000000001"/>
    <n v="5.7130000000000001"/>
    <n v="0"/>
    <x v="2"/>
    <n v="0"/>
    <n v="9"/>
    <n v="11"/>
    <n v="67"/>
    <n v="37.01"/>
    <n v="43.65"/>
    <n v="366.6"/>
    <n v="39.711322323272405"/>
    <n v="52.882770228452522"/>
    <n v="407.57745297626161"/>
    <n v="12546.39"/>
    <n v="249.37244999999999"/>
    <n v="2094.3858"/>
    <n v="13462.138267589346"/>
    <n v="302.11926631514928"/>
    <n v="2328.4899888533828"/>
  </r>
  <r>
    <s v="Regular"/>
    <x v="1"/>
    <x v="0"/>
    <x v="3"/>
    <x v="0"/>
    <x v="0"/>
    <x v="0"/>
    <x v="2"/>
    <x v="9"/>
    <n v="339"/>
    <n v="339"/>
    <n v="5.726"/>
    <n v="5.726"/>
    <n v="5.726"/>
    <n v="5.726"/>
    <n v="0"/>
    <x v="2"/>
    <n v="0"/>
    <n v="9"/>
    <n v="11"/>
    <n v="67"/>
    <n v="37.01"/>
    <n v="43.65"/>
    <n v="366.6"/>
    <n v="39.711322323272405"/>
    <n v="52.882770228452522"/>
    <n v="407.57745297626161"/>
    <n v="12546.39"/>
    <n v="249.93989999999999"/>
    <n v="2099.1516000000001"/>
    <n v="13462.138267589346"/>
    <n v="302.80674232811913"/>
    <n v="2333.7884957420738"/>
  </r>
  <r>
    <s v="Regular"/>
    <x v="1"/>
    <x v="0"/>
    <x v="3"/>
    <x v="0"/>
    <x v="0"/>
    <x v="0"/>
    <x v="2"/>
    <x v="10"/>
    <n v="339"/>
    <n v="339"/>
    <n v="6.3410000000000002"/>
    <n v="6.3410000000000002"/>
    <n v="6.3410000000000002"/>
    <n v="6.3410000000000002"/>
    <n v="0"/>
    <x v="2"/>
    <n v="0"/>
    <n v="9"/>
    <n v="11"/>
    <n v="67"/>
    <n v="37.01"/>
    <n v="43.65"/>
    <n v="366.6"/>
    <n v="39.711322323272405"/>
    <n v="52.882770228452522"/>
    <n v="407.57745297626161"/>
    <n v="12546.39"/>
    <n v="276.78465"/>
    <n v="2324.6106000000004"/>
    <n v="13462.138267589346"/>
    <n v="335.32964601861744"/>
    <n v="2584.448629322475"/>
  </r>
  <r>
    <s v="PROJETADO"/>
    <x v="1"/>
    <x v="0"/>
    <x v="3"/>
    <x v="0"/>
    <x v="0"/>
    <x v="0"/>
    <x v="2"/>
    <x v="11"/>
    <n v="339"/>
    <n v="339"/>
    <n v="6.3410000000000002"/>
    <n v="6.3410000000000002"/>
    <n v="6.3410000000000002"/>
    <n v="6.3410000000000002"/>
    <n v="0"/>
    <x v="2"/>
    <n v="0"/>
    <n v="9"/>
    <n v="11"/>
    <n v="67"/>
    <n v="37.01"/>
    <n v="43.65"/>
    <n v="366.6"/>
    <n v="39.711322323272405"/>
    <n v="52.882770228452522"/>
    <n v="407.57745297626161"/>
    <n v="12546.39"/>
    <n v="276.78465"/>
    <n v="2324.6106000000004"/>
    <n v="13462.138267589346"/>
    <n v="335.32964601861744"/>
    <n v="2584.448629322475"/>
  </r>
  <r>
    <s v="Regular"/>
    <x v="1"/>
    <x v="0"/>
    <x v="4"/>
    <x v="1"/>
    <x v="0"/>
    <x v="0"/>
    <x v="0"/>
    <x v="0"/>
    <n v="1414"/>
    <n v="1414"/>
    <n v="678.25300000000004"/>
    <n v="678.25300000000004"/>
    <n v="678.25300000000004"/>
    <n v="678.25300000000004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562.876799999998"/>
    <n v="27829.398843000003"/>
    <n v="139644.2893146"/>
    <n v="26805.422820295964"/>
    <n v="34791.860629085852"/>
    <n v="166076.5615482571"/>
  </r>
  <r>
    <s v="Regular"/>
    <x v="1"/>
    <x v="0"/>
    <x v="4"/>
    <x v="1"/>
    <x v="0"/>
    <x v="0"/>
    <x v="0"/>
    <x v="1"/>
    <n v="1427"/>
    <n v="1427"/>
    <n v="716.32799999999997"/>
    <n v="716.32799999999997"/>
    <n v="716.32799999999997"/>
    <n v="716.32799999999997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788.702399999998"/>
    <n v="29391.654167999997"/>
    <n v="147483.48252959998"/>
    <n v="27051.865887243523"/>
    <n v="36744.966761240728"/>
    <n v="175399.5797744203"/>
  </r>
  <r>
    <s v="Regular"/>
    <x v="1"/>
    <x v="0"/>
    <x v="4"/>
    <x v="1"/>
    <x v="0"/>
    <x v="0"/>
    <x v="0"/>
    <x v="2"/>
    <n v="1426"/>
    <n v="1426"/>
    <n v="698.07299999999998"/>
    <n v="698.07299999999998"/>
    <n v="698.07299999999998"/>
    <n v="698.07299999999998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771.331199999997"/>
    <n v="28642.633263"/>
    <n v="143724.99343859998"/>
    <n v="27032.908728247559"/>
    <n v="35808.553039835941"/>
    <n v="170929.67307137081"/>
  </r>
  <r>
    <s v="Regular"/>
    <x v="1"/>
    <x v="0"/>
    <x v="4"/>
    <x v="1"/>
    <x v="0"/>
    <x v="0"/>
    <x v="0"/>
    <x v="3"/>
    <n v="1394"/>
    <n v="1394"/>
    <n v="692.47199999999998"/>
    <n v="692.47199999999998"/>
    <n v="692.47199999999998"/>
    <n v="692.47199999999998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215.452799999999"/>
    <n v="28412.818631999999"/>
    <n v="142571.81363039999"/>
    <n v="26426.279640376644"/>
    <n v="35521.242535667865"/>
    <n v="169558.21607636777"/>
  </r>
  <r>
    <s v="Regular"/>
    <x v="1"/>
    <x v="0"/>
    <x v="4"/>
    <x v="1"/>
    <x v="0"/>
    <x v="0"/>
    <x v="0"/>
    <x v="4"/>
    <n v="1406"/>
    <n v="1406"/>
    <n v="738.70799999999997"/>
    <n v="738.70799999999997"/>
    <n v="738.70799999999997"/>
    <n v="738.70799999999997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423.907199999998"/>
    <n v="30309.927947999997"/>
    <n v="152091.26044559997"/>
    <n v="26653.765548328236"/>
    <n v="37892.977667022111"/>
    <n v="180879.53113099371"/>
  </r>
  <r>
    <s v="Regular"/>
    <x v="1"/>
    <x v="0"/>
    <x v="4"/>
    <x v="1"/>
    <x v="0"/>
    <x v="0"/>
    <x v="0"/>
    <x v="5"/>
    <n v="1425"/>
    <n v="1425"/>
    <n v="693.28700000000003"/>
    <n v="693.28700000000003"/>
    <n v="693.28700000000003"/>
    <n v="693.28700000000003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753.96"/>
    <n v="28446.258897"/>
    <n v="142739.6125134"/>
    <n v="27013.951569251592"/>
    <n v="35563.049009671966"/>
    <n v="169757.77641397313"/>
  </r>
  <r>
    <s v="Regular"/>
    <x v="1"/>
    <x v="0"/>
    <x v="4"/>
    <x v="1"/>
    <x v="0"/>
    <x v="0"/>
    <x v="0"/>
    <x v="6"/>
    <n v="1396"/>
    <n v="1396"/>
    <n v="709.65800000000002"/>
    <n v="709.65800000000002"/>
    <n v="709.65800000000002"/>
    <n v="709.65800000000002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250.195199999998"/>
    <n v="29117.977397999999"/>
    <n v="146110.2082356"/>
    <n v="26464.193958368578"/>
    <n v="36402.820526139665"/>
    <n v="173766.36817708588"/>
  </r>
  <r>
    <s v="Regular"/>
    <x v="1"/>
    <x v="0"/>
    <x v="4"/>
    <x v="1"/>
    <x v="0"/>
    <x v="0"/>
    <x v="0"/>
    <x v="7"/>
    <n v="1412"/>
    <n v="1412"/>
    <n v="700.89499999999998"/>
    <n v="700.89499999999998"/>
    <n v="700.89499999999998"/>
    <n v="700.89499999999998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528.134399999999"/>
    <n v="28758.422745"/>
    <n v="144306.00993899998"/>
    <n v="26767.508502304034"/>
    <n v="35953.311162093094"/>
    <n v="171620.66604403613"/>
  </r>
  <r>
    <s v="Regular"/>
    <x v="1"/>
    <x v="0"/>
    <x v="4"/>
    <x v="1"/>
    <x v="0"/>
    <x v="0"/>
    <x v="0"/>
    <x v="8"/>
    <n v="1430"/>
    <n v="1430"/>
    <n v="723.44799999999998"/>
    <n v="723.44799999999998"/>
    <n v="723.44799999999998"/>
    <n v="723.44799999999998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840.815999999999"/>
    <n v="29683.794887999997"/>
    <n v="148949.40651359997"/>
    <n v="27108.737364231423"/>
    <n v="37110.196325546509"/>
    <n v="177142.97806123007"/>
  </r>
  <r>
    <s v="Regular"/>
    <x v="1"/>
    <x v="0"/>
    <x v="4"/>
    <x v="1"/>
    <x v="0"/>
    <x v="0"/>
    <x v="0"/>
    <x v="9"/>
    <n v="1427"/>
    <n v="1427"/>
    <n v="752.68200000000002"/>
    <n v="752.68200000000002"/>
    <n v="752.68200000000002"/>
    <n v="752.68200000000002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788.702399999998"/>
    <n v="30883.295141999999"/>
    <n v="154968.3421524"/>
    <n v="27051.865887243523"/>
    <n v="38609.79198325934"/>
    <n v="184301.19512816786"/>
  </r>
  <r>
    <s v="Regular"/>
    <x v="1"/>
    <x v="0"/>
    <x v="4"/>
    <x v="1"/>
    <x v="0"/>
    <x v="0"/>
    <x v="0"/>
    <x v="10"/>
    <n v="1427"/>
    <n v="1427"/>
    <n v="766.65099999999995"/>
    <n v="766.65099999999995"/>
    <n v="766.65099999999995"/>
    <n v="766.65099999999995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788.702399999998"/>
    <n v="31456.457180999998"/>
    <n v="157844.39441819998"/>
    <n v="27051.865887243523"/>
    <n v="39326.349818060946"/>
    <n v="187721.63482879224"/>
  </r>
  <r>
    <s v="PROJETADO"/>
    <x v="1"/>
    <x v="0"/>
    <x v="4"/>
    <x v="1"/>
    <x v="0"/>
    <x v="0"/>
    <x v="0"/>
    <x v="11"/>
    <n v="1427"/>
    <n v="1427"/>
    <n v="766.65099999999995"/>
    <n v="766.65099999999995"/>
    <n v="766.65099999999995"/>
    <n v="766.65099999999995"/>
    <n v="0"/>
    <x v="2"/>
    <n v="0"/>
    <n v="10"/>
    <n v="11"/>
    <n v="68"/>
    <n v="17.371199999999998"/>
    <n v="41.030999999999999"/>
    <n v="205.88819999999998"/>
    <n v="18.957158995966029"/>
    <n v="51.296287121598944"/>
    <n v="244.85930994519313"/>
    <n v="24788.702399999998"/>
    <n v="31456.457180999998"/>
    <n v="157844.39441819998"/>
    <n v="27051.865887243523"/>
    <n v="39326.349818060946"/>
    <n v="187721.63482879224"/>
  </r>
  <r>
    <s v="Regular"/>
    <x v="1"/>
    <x v="0"/>
    <x v="4"/>
    <x v="1"/>
    <x v="0"/>
    <x v="0"/>
    <x v="2"/>
    <x v="0"/>
    <n v="1365"/>
    <n v="1365"/>
    <n v="70.594999999999999"/>
    <n v="70.594999999999999"/>
    <n v="70.594999999999999"/>
    <n v="70.594999999999999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7487.530999999988"/>
    <n v="2896.5834449999998"/>
    <n v="24327.319379999997"/>
    <n v="52579.776322128826"/>
    <n v="3621.2613893492776"/>
    <n v="27909.742384073412"/>
  </r>
  <r>
    <s v="Regular"/>
    <x v="1"/>
    <x v="0"/>
    <x v="4"/>
    <x v="1"/>
    <x v="0"/>
    <x v="0"/>
    <x v="2"/>
    <x v="1"/>
    <n v="1361"/>
    <n v="1361"/>
    <n v="77.448999999999998"/>
    <n v="77.448999999999998"/>
    <n v="77.448999999999998"/>
    <n v="77.448999999999998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7348.373399999989"/>
    <n v="3177.8099189999998"/>
    <n v="26689.235195999998"/>
    <n v="52425.696391514532"/>
    <n v="3972.8461412807164"/>
    <n v="30619.472170891731"/>
  </r>
  <r>
    <s v="Regular"/>
    <x v="1"/>
    <x v="0"/>
    <x v="4"/>
    <x v="1"/>
    <x v="0"/>
    <x v="0"/>
    <x v="2"/>
    <x v="2"/>
    <n v="1359"/>
    <n v="1359"/>
    <n v="66.813000000000002"/>
    <n v="66.813000000000002"/>
    <n v="66.813000000000002"/>
    <n v="66.813000000000002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7278.794599999994"/>
    <n v="2741.4042030000001"/>
    <n v="23024.027052000001"/>
    <n v="52348.656426207381"/>
    <n v="3427.2588314553905"/>
    <n v="26414.52819473188"/>
  </r>
  <r>
    <s v="Regular"/>
    <x v="1"/>
    <x v="0"/>
    <x v="4"/>
    <x v="1"/>
    <x v="0"/>
    <x v="0"/>
    <x v="2"/>
    <x v="3"/>
    <n v="1345"/>
    <n v="1345"/>
    <n v="64.272000000000006"/>
    <n v="64.272000000000006"/>
    <n v="64.272000000000006"/>
    <n v="64.272000000000006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6791.742999999988"/>
    <n v="2637.1444320000001"/>
    <n v="22148.388288000002"/>
    <n v="51809.376669057339"/>
    <n v="3296.9149658794076"/>
    <n v="25409.943515959581"/>
  </r>
  <r>
    <s v="Regular"/>
    <x v="1"/>
    <x v="0"/>
    <x v="4"/>
    <x v="1"/>
    <x v="0"/>
    <x v="0"/>
    <x v="2"/>
    <x v="4"/>
    <n v="1378"/>
    <n v="1378"/>
    <n v="67.081000000000003"/>
    <n v="67.081000000000003"/>
    <n v="67.081000000000003"/>
    <n v="67.081000000000003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7939.793199999993"/>
    <n v="2752.4005109999998"/>
    <n v="23116.380924000001"/>
    <n v="53080.536096625292"/>
    <n v="3441.0062364039791"/>
    <n v="26520.482029407591"/>
  </r>
  <r>
    <s v="Regular"/>
    <x v="1"/>
    <x v="0"/>
    <x v="4"/>
    <x v="1"/>
    <x v="0"/>
    <x v="0"/>
    <x v="2"/>
    <x v="5"/>
    <n v="1403"/>
    <n v="1403"/>
    <n v="71.475999999999999"/>
    <n v="71.475999999999999"/>
    <n v="71.475999999999999"/>
    <n v="71.475999999999999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8809.528199999993"/>
    <n v="2932.7317559999997"/>
    <n v="24630.915503999997"/>
    <n v="54043.535662964649"/>
    <n v="3666.4534183034061"/>
    <n v="28258.045848063339"/>
  </r>
  <r>
    <s v="Regular"/>
    <x v="1"/>
    <x v="0"/>
    <x v="4"/>
    <x v="1"/>
    <x v="0"/>
    <x v="0"/>
    <x v="2"/>
    <x v="6"/>
    <n v="1207"/>
    <n v="1207"/>
    <n v="70.837999999999994"/>
    <n v="70.837999999999994"/>
    <n v="70.837999999999994"/>
    <n v="70.837999999999994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1990.805799999995"/>
    <n v="2906.5539779999995"/>
    <n v="24411.058151999998"/>
    <n v="46493.619062864098"/>
    <n v="3633.7263871198256"/>
    <n v="28005.812465514446"/>
  </r>
  <r>
    <s v="Regular"/>
    <x v="1"/>
    <x v="0"/>
    <x v="4"/>
    <x v="1"/>
    <x v="0"/>
    <x v="0"/>
    <x v="2"/>
    <x v="7"/>
    <n v="1342"/>
    <n v="1342"/>
    <n v="71.135000000000005"/>
    <n v="71.135000000000005"/>
    <n v="71.135000000000005"/>
    <n v="71.135000000000005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6687.374799999991"/>
    <n v="2918.7401850000001"/>
    <n v="24513.40554"/>
    <n v="51693.81672109662"/>
    <n v="3648.961384394941"/>
    <n v="28123.231453942382"/>
  </r>
  <r>
    <s v="Regular"/>
    <x v="1"/>
    <x v="0"/>
    <x v="4"/>
    <x v="1"/>
    <x v="0"/>
    <x v="0"/>
    <x v="2"/>
    <x v="8"/>
    <n v="1407"/>
    <n v="1407"/>
    <n v="70.917000000000002"/>
    <n v="70.917000000000002"/>
    <n v="70.917000000000002"/>
    <n v="70.917000000000002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8948.685799999992"/>
    <n v="2909.795427"/>
    <n v="24438.281867999998"/>
    <n v="54197.615593578943"/>
    <n v="3637.7787938024326"/>
    <n v="28037.045125736018"/>
  </r>
  <r>
    <s v="Regular"/>
    <x v="1"/>
    <x v="0"/>
    <x v="4"/>
    <x v="1"/>
    <x v="0"/>
    <x v="0"/>
    <x v="2"/>
    <x v="9"/>
    <n v="1408"/>
    <n v="1408"/>
    <n v="72.337999999999994"/>
    <n v="72.337999999999994"/>
    <n v="72.337999999999994"/>
    <n v="72.337999999999994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8983.475199999993"/>
    <n v="2968.1004779999998"/>
    <n v="24927.964151999997"/>
    <n v="54236.135576232518"/>
    <n v="3710.6708178022241"/>
    <n v="28598.837659594905"/>
  </r>
  <r>
    <s v="Regular"/>
    <x v="1"/>
    <x v="0"/>
    <x v="4"/>
    <x v="1"/>
    <x v="0"/>
    <x v="0"/>
    <x v="2"/>
    <x v="10"/>
    <n v="1412"/>
    <n v="1412"/>
    <n v="80.700999999999993"/>
    <n v="80.700999999999993"/>
    <n v="80.700999999999993"/>
    <n v="80.700999999999993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9122.632799999992"/>
    <n v="3311.2427309999998"/>
    <n v="27809.887403999997"/>
    <n v="54390.215506846813"/>
    <n v="4139.6616670001558"/>
    <n v="31905.150791658169"/>
  </r>
  <r>
    <s v="PROJETADO"/>
    <x v="1"/>
    <x v="0"/>
    <x v="4"/>
    <x v="1"/>
    <x v="0"/>
    <x v="0"/>
    <x v="2"/>
    <x v="11"/>
    <n v="1412"/>
    <n v="1412"/>
    <n v="80.700999999999993"/>
    <n v="80.700999999999993"/>
    <n v="80.700999999999993"/>
    <n v="80.700999999999993"/>
    <n v="0"/>
    <x v="2"/>
    <n v="0"/>
    <n v="9"/>
    <n v="11"/>
    <n v="67"/>
    <n v="34.789399999999993"/>
    <n v="41.030999999999999"/>
    <n v="344.60399999999998"/>
    <n v="38.519982653574232"/>
    <n v="51.296287121598944"/>
    <n v="395.35012938697378"/>
    <n v="49122.632799999992"/>
    <n v="3311.2427309999998"/>
    <n v="27809.887403999997"/>
    <n v="54390.215506846813"/>
    <n v="4139.6616670001558"/>
    <n v="31905.150791658169"/>
  </r>
  <r>
    <s v="Regular"/>
    <x v="1"/>
    <x v="1"/>
    <x v="1"/>
    <x v="0"/>
    <x v="0"/>
    <x v="1"/>
    <x v="0"/>
    <x v="0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1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2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3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4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5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6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7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8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9"/>
    <n v="150"/>
    <n v="150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73"/>
    <n v="0"/>
    <n v="0"/>
    <n v="1778.4946988391841"/>
    <n v="0"/>
    <n v="0"/>
  </r>
  <r>
    <s v="Regular"/>
    <x v="1"/>
    <x v="1"/>
    <x v="1"/>
    <x v="0"/>
    <x v="0"/>
    <x v="1"/>
    <x v="0"/>
    <x v="10"/>
    <n v="152"/>
    <n v="152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96.64"/>
    <n v="0"/>
    <n v="0"/>
    <n v="1802.2079614903732"/>
    <n v="0"/>
    <n v="0"/>
  </r>
  <r>
    <s v="PROJETADO"/>
    <x v="1"/>
    <x v="1"/>
    <x v="1"/>
    <x v="0"/>
    <x v="0"/>
    <x v="1"/>
    <x v="0"/>
    <x v="11"/>
    <n v="152"/>
    <n v="152"/>
    <n v="0"/>
    <n v="0"/>
    <n v="0"/>
    <n v="0"/>
    <n v="0"/>
    <x v="1"/>
    <n v="6600"/>
    <n v="20"/>
    <n v="0"/>
    <n v="0"/>
    <n v="11.82"/>
    <n v="0"/>
    <n v="0"/>
    <n v="11.856631325594561"/>
    <n v="6.2967928669188193"/>
    <m/>
    <n v="1796.64"/>
    <n v="0"/>
    <n v="0"/>
    <n v="1802.2079614903732"/>
    <n v="0"/>
    <n v="0"/>
  </r>
  <r>
    <s v="Regular"/>
    <x v="1"/>
    <x v="1"/>
    <x v="1"/>
    <x v="0"/>
    <x v="0"/>
    <x v="1"/>
    <x v="1"/>
    <x v="0"/>
    <n v="0"/>
    <n v="0"/>
    <n v="63.761000000000003"/>
    <n v="63.761000000000003"/>
    <n v="0"/>
    <n v="0"/>
    <n v="0"/>
    <x v="1"/>
    <n v="6600"/>
    <n v="0"/>
    <n v="21"/>
    <n v="0"/>
    <n v="0"/>
    <n v="5.76"/>
    <n v="0"/>
    <n v="28.240056107182752"/>
    <n v="6.2967928669188193"/>
    <m/>
    <n v="0"/>
    <n v="367.26335999999998"/>
    <n v="0"/>
    <n v="0"/>
    <n v="401.48980998761084"/>
    <n v="0"/>
  </r>
  <r>
    <s v="Regular"/>
    <x v="1"/>
    <x v="1"/>
    <x v="1"/>
    <x v="0"/>
    <x v="0"/>
    <x v="1"/>
    <x v="1"/>
    <x v="1"/>
    <n v="0"/>
    <n v="0"/>
    <n v="56.863"/>
    <n v="56.863"/>
    <n v="0"/>
    <n v="0"/>
    <n v="0"/>
    <x v="1"/>
    <n v="6600"/>
    <n v="0"/>
    <n v="21"/>
    <n v="0"/>
    <n v="0"/>
    <n v="5.76"/>
    <n v="0"/>
    <n v="28.240056107182752"/>
    <n v="6.2967928669188193"/>
    <m/>
    <n v="0"/>
    <n v="327.53087999999997"/>
    <n v="0"/>
    <n v="0"/>
    <n v="358.0545327916048"/>
    <n v="0"/>
  </r>
  <r>
    <s v="Regular"/>
    <x v="1"/>
    <x v="1"/>
    <x v="1"/>
    <x v="0"/>
    <x v="0"/>
    <x v="1"/>
    <x v="1"/>
    <x v="2"/>
    <n v="0"/>
    <n v="0"/>
    <n v="57.767000000000003"/>
    <n v="57.767000000000003"/>
    <n v="0"/>
    <n v="0"/>
    <n v="0"/>
    <x v="1"/>
    <n v="6600"/>
    <n v="0"/>
    <n v="21"/>
    <n v="0"/>
    <n v="0"/>
    <n v="5.76"/>
    <n v="0"/>
    <n v="28.240056107182752"/>
    <n v="6.2967928669188193"/>
    <m/>
    <n v="0"/>
    <n v="332.73792000000003"/>
    <n v="0"/>
    <n v="0"/>
    <n v="363.74683354329943"/>
    <n v="0"/>
  </r>
  <r>
    <s v="Regular"/>
    <x v="1"/>
    <x v="1"/>
    <x v="1"/>
    <x v="0"/>
    <x v="0"/>
    <x v="1"/>
    <x v="1"/>
    <x v="3"/>
    <n v="0"/>
    <n v="0"/>
    <n v="58.203000000000003"/>
    <n v="58.203000000000003"/>
    <n v="0"/>
    <n v="0"/>
    <n v="0"/>
    <x v="1"/>
    <n v="6600"/>
    <n v="0"/>
    <n v="21"/>
    <n v="0"/>
    <n v="0"/>
    <n v="5.76"/>
    <n v="0"/>
    <n v="28.240056107182752"/>
    <n v="6.2967928669188193"/>
    <m/>
    <n v="0"/>
    <n v="335.24928"/>
    <n v="0"/>
    <n v="0"/>
    <n v="366.49223523327606"/>
    <n v="0"/>
  </r>
  <r>
    <s v="Regular"/>
    <x v="1"/>
    <x v="1"/>
    <x v="1"/>
    <x v="0"/>
    <x v="0"/>
    <x v="1"/>
    <x v="1"/>
    <x v="4"/>
    <n v="0"/>
    <n v="0"/>
    <n v="55.857999999999997"/>
    <n v="55.857999999999997"/>
    <n v="0"/>
    <n v="0"/>
    <n v="0"/>
    <x v="1"/>
    <n v="6600"/>
    <n v="0"/>
    <n v="21"/>
    <n v="0"/>
    <n v="0"/>
    <n v="5.76"/>
    <n v="0"/>
    <n v="28.240056107182752"/>
    <n v="6.2967928669188193"/>
    <m/>
    <n v="0"/>
    <n v="321.74207999999999"/>
    <n v="0"/>
    <n v="0"/>
    <n v="351.72625596035141"/>
    <n v="0"/>
  </r>
  <r>
    <s v="Regular"/>
    <x v="1"/>
    <x v="1"/>
    <x v="1"/>
    <x v="0"/>
    <x v="0"/>
    <x v="1"/>
    <x v="1"/>
    <x v="5"/>
    <n v="0"/>
    <n v="0"/>
    <n v="56.055999999999997"/>
    <n v="56.055999999999997"/>
    <n v="0"/>
    <n v="0"/>
    <n v="0"/>
    <x v="1"/>
    <n v="6600"/>
    <n v="0"/>
    <n v="21"/>
    <n v="0"/>
    <n v="0"/>
    <n v="5.76"/>
    <n v="0"/>
    <n v="28.240056107182752"/>
    <n v="6.2967928669188193"/>
    <m/>
    <n v="0"/>
    <n v="322.88255999999996"/>
    <n v="0"/>
    <n v="0"/>
    <n v="352.97302094800131"/>
    <n v="0"/>
  </r>
  <r>
    <s v="Regular"/>
    <x v="1"/>
    <x v="1"/>
    <x v="1"/>
    <x v="0"/>
    <x v="0"/>
    <x v="1"/>
    <x v="1"/>
    <x v="6"/>
    <n v="0"/>
    <n v="0"/>
    <n v="58.896999999999998"/>
    <n v="58.896999999999998"/>
    <n v="0"/>
    <n v="0"/>
    <n v="0"/>
    <x v="1"/>
    <n v="6600"/>
    <n v="0"/>
    <n v="21"/>
    <n v="0"/>
    <n v="0"/>
    <n v="5.76"/>
    <n v="0"/>
    <n v="28.240056107182752"/>
    <n v="6.2967928669188193"/>
    <m/>
    <n v="0"/>
    <n v="339.24671999999998"/>
    <n v="0"/>
    <n v="0"/>
    <n v="370.86220948291771"/>
    <n v="0"/>
  </r>
  <r>
    <s v="Regular"/>
    <x v="1"/>
    <x v="1"/>
    <x v="1"/>
    <x v="0"/>
    <x v="0"/>
    <x v="1"/>
    <x v="1"/>
    <x v="7"/>
    <n v="0"/>
    <n v="0"/>
    <n v="55.802"/>
    <n v="55.802"/>
    <n v="0"/>
    <n v="0"/>
    <n v="0"/>
    <x v="1"/>
    <n v="6600"/>
    <n v="0"/>
    <n v="21"/>
    <n v="0"/>
    <n v="0"/>
    <n v="5.76"/>
    <n v="0"/>
    <n v="28.240056107182752"/>
    <n v="6.2967928669188193"/>
    <m/>
    <n v="0"/>
    <n v="321.41951999999998"/>
    <n v="0"/>
    <n v="0"/>
    <n v="351.37363555980397"/>
    <n v="0"/>
  </r>
  <r>
    <s v="Regular"/>
    <x v="1"/>
    <x v="1"/>
    <x v="1"/>
    <x v="0"/>
    <x v="0"/>
    <x v="1"/>
    <x v="1"/>
    <x v="8"/>
    <n v="0"/>
    <n v="0"/>
    <n v="58.435000000000002"/>
    <n v="58.435000000000002"/>
    <n v="0"/>
    <n v="0"/>
    <n v="0"/>
    <x v="1"/>
    <n v="6600"/>
    <n v="0"/>
    <n v="21"/>
    <n v="0"/>
    <n v="0"/>
    <n v="5.76"/>
    <n v="0"/>
    <n v="28.240056107182752"/>
    <n v="6.2967928669188193"/>
    <m/>
    <n v="0"/>
    <n v="336.5856"/>
    <n v="0"/>
    <n v="0"/>
    <n v="367.95309117840122"/>
    <n v="0"/>
  </r>
  <r>
    <s v="Regular"/>
    <x v="1"/>
    <x v="1"/>
    <x v="1"/>
    <x v="0"/>
    <x v="0"/>
    <x v="1"/>
    <x v="1"/>
    <x v="9"/>
    <n v="0"/>
    <n v="0"/>
    <n v="63.966999999999999"/>
    <n v="63.966999999999999"/>
    <n v="0"/>
    <n v="0"/>
    <n v="0"/>
    <x v="1"/>
    <n v="6600"/>
    <n v="0"/>
    <n v="21"/>
    <n v="0"/>
    <n v="0"/>
    <n v="5.76"/>
    <n v="0"/>
    <n v="28.240056107182752"/>
    <n v="6.2967928669188193"/>
    <m/>
    <n v="0"/>
    <n v="368.44991999999996"/>
    <n v="0"/>
    <n v="0"/>
    <n v="402.78694931819609"/>
    <n v="0"/>
  </r>
  <r>
    <s v="Regular"/>
    <x v="1"/>
    <x v="1"/>
    <x v="1"/>
    <x v="0"/>
    <x v="0"/>
    <x v="1"/>
    <x v="1"/>
    <x v="10"/>
    <n v="0"/>
    <n v="0"/>
    <n v="72.697000000000003"/>
    <n v="72.697000000000003"/>
    <n v="0"/>
    <n v="0"/>
    <n v="0"/>
    <x v="1"/>
    <n v="6600"/>
    <n v="0"/>
    <n v="21"/>
    <n v="0"/>
    <n v="0"/>
    <n v="5.76"/>
    <n v="0"/>
    <n v="28.240056107182752"/>
    <n v="6.2967928669188193"/>
    <m/>
    <n v="0"/>
    <n v="418.73471999999998"/>
    <n v="0"/>
    <n v="0"/>
    <n v="457.75795104639741"/>
    <n v="0"/>
  </r>
  <r>
    <s v="PROJETADO"/>
    <x v="1"/>
    <x v="1"/>
    <x v="1"/>
    <x v="0"/>
    <x v="0"/>
    <x v="1"/>
    <x v="1"/>
    <x v="11"/>
    <n v="0"/>
    <n v="0"/>
    <n v="72.697000000000003"/>
    <n v="72.697000000000003"/>
    <n v="0"/>
    <n v="0"/>
    <n v="0"/>
    <x v="1"/>
    <n v="6600"/>
    <n v="0"/>
    <n v="21"/>
    <n v="0"/>
    <n v="0"/>
    <n v="5.76"/>
    <n v="0"/>
    <n v="28.240056107182752"/>
    <n v="6.2967928669188193"/>
    <m/>
    <n v="0"/>
    <n v="418.73471999999998"/>
    <n v="0"/>
    <n v="0"/>
    <n v="457.75795104639741"/>
    <n v="0"/>
  </r>
  <r>
    <s v="Regular"/>
    <x v="1"/>
    <x v="1"/>
    <x v="1"/>
    <x v="0"/>
    <x v="0"/>
    <x v="1"/>
    <x v="2"/>
    <x v="0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1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2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3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4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5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6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7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8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9"/>
    <n v="150"/>
    <n v="150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358.5"/>
    <n v="0"/>
    <n v="0"/>
    <n v="3413.2134961642073"/>
    <n v="0"/>
    <n v="0"/>
  </r>
  <r>
    <s v="Regular"/>
    <x v="1"/>
    <x v="1"/>
    <x v="1"/>
    <x v="0"/>
    <x v="0"/>
    <x v="1"/>
    <x v="2"/>
    <x v="10"/>
    <n v="152"/>
    <n v="152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403.28"/>
    <n v="0"/>
    <n v="0"/>
    <n v="3458.7230094463966"/>
    <n v="0"/>
    <n v="0"/>
  </r>
  <r>
    <s v="PROJETADO"/>
    <x v="1"/>
    <x v="1"/>
    <x v="1"/>
    <x v="0"/>
    <x v="0"/>
    <x v="1"/>
    <x v="2"/>
    <x v="11"/>
    <n v="152"/>
    <n v="152"/>
    <n v="0"/>
    <n v="0"/>
    <n v="0"/>
    <n v="0"/>
    <n v="0"/>
    <x v="1"/>
    <n v="6600"/>
    <n v="30"/>
    <n v="0"/>
    <n v="0"/>
    <n v="22.39"/>
    <n v="0"/>
    <n v="0"/>
    <n v="22.754756641094716"/>
    <n v="6.2967928669188193"/>
    <m/>
    <n v="3403.28"/>
    <n v="0"/>
    <n v="0"/>
    <n v="3458.7230094463966"/>
    <n v="0"/>
    <n v="0"/>
  </r>
  <r>
    <s v="Regular"/>
    <x v="1"/>
    <x v="2"/>
    <x v="2"/>
    <x v="0"/>
    <x v="0"/>
    <x v="0"/>
    <x v="0"/>
    <x v="0"/>
    <n v="0"/>
    <n v="0"/>
    <n v="2306.8510000000001"/>
    <n v="2306.8510000000001"/>
    <n v="2306.8510000000001"/>
    <n v="2306.8510000000001"/>
    <n v="0"/>
    <x v="2"/>
    <n v="0"/>
    <n v="0"/>
    <n v="25"/>
    <n v="68"/>
    <n v="0"/>
    <n v="43.65"/>
    <n v="219.03"/>
    <m/>
    <n v="52.882770228452522"/>
    <n v="252.43227829401354"/>
    <n v="0"/>
    <n v="100694.04614999999"/>
    <n v="505269.57453000004"/>
    <n v="0"/>
    <n v="121992.67138427593"/>
    <n v="582323.65361482347"/>
  </r>
  <r>
    <s v="Refaturamento - Regular"/>
    <x v="1"/>
    <x v="2"/>
    <x v="2"/>
    <x v="0"/>
    <x v="0"/>
    <x v="0"/>
    <x v="0"/>
    <x v="0"/>
    <n v="0"/>
    <n v="0"/>
    <n v="-36.494999999999997"/>
    <n v="-36.494999999999997"/>
    <n v="-36.494999999999997"/>
    <n v="-36.494999999999997"/>
    <n v="0"/>
    <x v="2"/>
    <n v="0"/>
    <n v="0"/>
    <n v="25"/>
    <n v="68"/>
    <n v="0"/>
    <n v="43.65"/>
    <n v="219.03"/>
    <m/>
    <n v="52.882770228452522"/>
    <n v="252.43227829401354"/>
    <n v="0"/>
    <n v="-1593.0067499999998"/>
    <n v="-7993.4998499999992"/>
    <n v="0"/>
    <n v="-1929.9566994873746"/>
    <n v="-9212.5159963400238"/>
  </r>
  <r>
    <s v="Sistema de Compensação"/>
    <x v="1"/>
    <x v="2"/>
    <x v="2"/>
    <x v="0"/>
    <x v="0"/>
    <x v="0"/>
    <x v="0"/>
    <x v="0"/>
    <n v="0"/>
    <n v="0"/>
    <n v="69.009"/>
    <n v="69.009"/>
    <n v="69.009"/>
    <n v="69.009"/>
    <n v="0"/>
    <x v="2"/>
    <n v="0"/>
    <n v="0"/>
    <n v="25"/>
    <n v="68"/>
    <n v="0"/>
    <n v="43.65"/>
    <n v="219.03"/>
    <m/>
    <n v="52.882770228452522"/>
    <n v="252.43227829401354"/>
    <n v="0"/>
    <n v="3012.2428500000001"/>
    <n v="15115.04127"/>
    <n v="0"/>
    <n v="3649.3870906952802"/>
    <n v="17420.099092791581"/>
  </r>
  <r>
    <s v="Regular"/>
    <x v="1"/>
    <x v="2"/>
    <x v="2"/>
    <x v="0"/>
    <x v="0"/>
    <x v="0"/>
    <x v="0"/>
    <x v="0"/>
    <n v="0"/>
    <n v="0"/>
    <n v="19.748000000000001"/>
    <n v="19.748000000000001"/>
    <n v="0"/>
    <n v="0"/>
    <n v="0"/>
    <x v="0"/>
    <n v="0"/>
    <n v="0"/>
    <n v="25"/>
    <n v="0"/>
    <n v="0"/>
    <n v="43.65"/>
    <n v="0"/>
    <m/>
    <n v="52.882770228452522"/>
    <m/>
    <n v="0"/>
    <n v="862.00020000000006"/>
    <n v="0"/>
    <n v="0"/>
    <n v="1044.3289464714805"/>
    <n v="0"/>
  </r>
  <r>
    <s v="Regular"/>
    <x v="1"/>
    <x v="2"/>
    <x v="2"/>
    <x v="0"/>
    <x v="0"/>
    <x v="0"/>
    <x v="0"/>
    <x v="1"/>
    <n v="0"/>
    <n v="0"/>
    <n v="2294.0990000000002"/>
    <n v="2294.0990000000002"/>
    <n v="2294.0990000000002"/>
    <n v="2294.0990000000002"/>
    <n v="0"/>
    <x v="2"/>
    <n v="0"/>
    <n v="0"/>
    <n v="25"/>
    <n v="68"/>
    <n v="0"/>
    <n v="43.65"/>
    <n v="219.03"/>
    <m/>
    <n v="52.882770228452522"/>
    <n v="252.43227829401354"/>
    <n v="0"/>
    <n v="100137.42135"/>
    <n v="502476.50397000002"/>
    <n v="0"/>
    <n v="121318.31029832271"/>
    <n v="579104.63720201817"/>
  </r>
  <r>
    <s v="Sistema de Compensação"/>
    <x v="1"/>
    <x v="2"/>
    <x v="2"/>
    <x v="0"/>
    <x v="0"/>
    <x v="0"/>
    <x v="0"/>
    <x v="1"/>
    <n v="0"/>
    <n v="0"/>
    <n v="131.018"/>
    <n v="131.018"/>
    <n v="131.018"/>
    <n v="131.018"/>
    <n v="0"/>
    <x v="2"/>
    <n v="0"/>
    <n v="0"/>
    <n v="25"/>
    <n v="68"/>
    <n v="0"/>
    <n v="43.65"/>
    <n v="219.03"/>
    <m/>
    <n v="52.882770228452522"/>
    <n v="252.43227829401354"/>
    <n v="0"/>
    <n v="5718.9357"/>
    <n v="28696.87254"/>
    <n v="0"/>
    <n v="6928.5947897913929"/>
    <n v="33073.172237525068"/>
  </r>
  <r>
    <s v="Regular"/>
    <x v="1"/>
    <x v="2"/>
    <x v="2"/>
    <x v="0"/>
    <x v="0"/>
    <x v="0"/>
    <x v="0"/>
    <x v="1"/>
    <n v="0"/>
    <n v="0"/>
    <n v="17.541"/>
    <n v="17.541"/>
    <n v="0"/>
    <n v="0"/>
    <n v="0"/>
    <x v="0"/>
    <n v="0"/>
    <n v="0"/>
    <n v="25"/>
    <n v="0"/>
    <n v="0"/>
    <n v="43.65"/>
    <n v="0"/>
    <m/>
    <n v="52.882770228452522"/>
    <m/>
    <n v="0"/>
    <n v="765.66464999999994"/>
    <n v="0"/>
    <n v="0"/>
    <n v="927.61667257728573"/>
    <n v="0"/>
  </r>
  <r>
    <s v="Regular"/>
    <x v="1"/>
    <x v="2"/>
    <x v="2"/>
    <x v="0"/>
    <x v="0"/>
    <x v="0"/>
    <x v="0"/>
    <x v="2"/>
    <n v="0"/>
    <n v="0"/>
    <n v="2291.538"/>
    <n v="2291.538"/>
    <n v="2291.538"/>
    <n v="2291.538"/>
    <n v="0"/>
    <x v="2"/>
    <n v="0"/>
    <n v="0"/>
    <n v="25"/>
    <n v="68"/>
    <n v="0"/>
    <n v="43.65"/>
    <n v="219.03"/>
    <m/>
    <n v="52.882770228452522"/>
    <n v="252.43227829401354"/>
    <n v="0"/>
    <n v="100025.63369999999"/>
    <n v="501915.56813999999"/>
    <n v="0"/>
    <n v="121182.87752376763"/>
    <n v="578458.15813730715"/>
  </r>
  <r>
    <s v="Sistema de Compensação"/>
    <x v="1"/>
    <x v="2"/>
    <x v="2"/>
    <x v="0"/>
    <x v="0"/>
    <x v="0"/>
    <x v="0"/>
    <x v="2"/>
    <n v="0"/>
    <n v="0"/>
    <n v="124.126"/>
    <n v="124.126"/>
    <n v="124.126"/>
    <n v="124.126"/>
    <n v="0"/>
    <x v="2"/>
    <n v="0"/>
    <n v="0"/>
    <n v="25"/>
    <n v="68"/>
    <n v="0"/>
    <n v="43.65"/>
    <n v="219.03"/>
    <m/>
    <n v="52.882770228452522"/>
    <n v="252.43227829401354"/>
    <n v="0"/>
    <n v="5418.0999000000002"/>
    <n v="27187.317780000001"/>
    <n v="0"/>
    <n v="6564.1267373768978"/>
    <n v="31333.408975522725"/>
  </r>
  <r>
    <s v="Regular"/>
    <x v="1"/>
    <x v="2"/>
    <x v="2"/>
    <x v="0"/>
    <x v="0"/>
    <x v="0"/>
    <x v="0"/>
    <x v="3"/>
    <n v="0"/>
    <n v="0"/>
    <n v="2251.297"/>
    <n v="2251.297"/>
    <n v="2251.297"/>
    <n v="2251.297"/>
    <n v="0"/>
    <x v="2"/>
    <n v="0"/>
    <n v="0"/>
    <n v="25"/>
    <n v="68"/>
    <n v="0"/>
    <n v="43.65"/>
    <n v="219.03"/>
    <m/>
    <n v="52.882770228452522"/>
    <n v="252.43227829401354"/>
    <n v="0"/>
    <n v="98269.114050000004"/>
    <n v="493101.58191000001"/>
    <n v="0"/>
    <n v="119054.82196700448"/>
    <n v="568300.0308264778"/>
  </r>
  <r>
    <s v="Sistema de Compensação"/>
    <x v="1"/>
    <x v="2"/>
    <x v="2"/>
    <x v="0"/>
    <x v="0"/>
    <x v="0"/>
    <x v="0"/>
    <x v="3"/>
    <n v="0"/>
    <n v="0"/>
    <n v="143.03800000000001"/>
    <n v="143.03800000000001"/>
    <n v="143.03800000000001"/>
    <n v="143.03800000000001"/>
    <n v="0"/>
    <x v="2"/>
    <n v="0"/>
    <n v="0"/>
    <n v="25"/>
    <n v="68"/>
    <n v="0"/>
    <n v="43.65"/>
    <n v="219.03"/>
    <m/>
    <n v="52.882770228452522"/>
    <n v="252.43227829401354"/>
    <n v="0"/>
    <n v="6243.6087000000007"/>
    <n v="31329.613140000001"/>
    <n v="0"/>
    <n v="7564.2456879373922"/>
    <n v="36107.408222619109"/>
  </r>
  <r>
    <s v="Regular"/>
    <x v="1"/>
    <x v="2"/>
    <x v="2"/>
    <x v="0"/>
    <x v="0"/>
    <x v="0"/>
    <x v="0"/>
    <x v="4"/>
    <n v="0"/>
    <n v="0"/>
    <n v="1952.595"/>
    <n v="1952.595"/>
    <n v="1952.595"/>
    <n v="1952.595"/>
    <n v="0"/>
    <x v="2"/>
    <n v="0"/>
    <n v="0"/>
    <n v="25"/>
    <n v="68"/>
    <n v="0"/>
    <n v="43.65"/>
    <n v="219.03"/>
    <m/>
    <n v="52.882770228452522"/>
    <n v="252.43227829401354"/>
    <n v="0"/>
    <n v="85230.77175"/>
    <n v="427676.88284999999"/>
    <n v="0"/>
    <n v="103258.63273422525"/>
    <n v="492898.00443549937"/>
  </r>
  <r>
    <s v="Sistema de Compensação"/>
    <x v="1"/>
    <x v="2"/>
    <x v="2"/>
    <x v="0"/>
    <x v="0"/>
    <x v="0"/>
    <x v="0"/>
    <x v="4"/>
    <n v="0"/>
    <n v="0"/>
    <n v="132.74600000000001"/>
    <n v="132.74600000000001"/>
    <n v="132.74600000000001"/>
    <n v="132.74600000000001"/>
    <n v="0"/>
    <x v="2"/>
    <n v="0"/>
    <n v="0"/>
    <n v="25"/>
    <n v="68"/>
    <n v="0"/>
    <n v="43.65"/>
    <n v="219.03"/>
    <m/>
    <n v="52.882770228452522"/>
    <n v="252.43227829401354"/>
    <n v="0"/>
    <n v="5794.3629000000001"/>
    <n v="29075.356380000001"/>
    <n v="0"/>
    <n v="7019.9762167461586"/>
    <n v="33509.375214417123"/>
  </r>
  <r>
    <s v="Regular"/>
    <x v="1"/>
    <x v="2"/>
    <x v="2"/>
    <x v="0"/>
    <x v="0"/>
    <x v="0"/>
    <x v="0"/>
    <x v="5"/>
    <n v="0"/>
    <n v="0"/>
    <n v="1859.2339999999999"/>
    <n v="1859.2339999999999"/>
    <n v="1859.2339999999999"/>
    <n v="1859.2339999999999"/>
    <n v="0"/>
    <x v="2"/>
    <n v="0"/>
    <n v="0"/>
    <n v="25"/>
    <n v="68"/>
    <n v="0"/>
    <n v="43.65"/>
    <n v="219.03"/>
    <m/>
    <n v="52.882770228452522"/>
    <n v="252.43227829401354"/>
    <n v="0"/>
    <n v="81155.564099999989"/>
    <n v="407228.02301999996"/>
    <n v="0"/>
    <n v="98321.444422926696"/>
    <n v="469330.67450169194"/>
  </r>
  <r>
    <s v="Sistema de Compensação"/>
    <x v="1"/>
    <x v="2"/>
    <x v="2"/>
    <x v="0"/>
    <x v="0"/>
    <x v="0"/>
    <x v="0"/>
    <x v="5"/>
    <n v="0"/>
    <n v="0"/>
    <n v="239.047"/>
    <n v="239.047"/>
    <n v="239.047"/>
    <n v="239.047"/>
    <n v="0"/>
    <x v="2"/>
    <n v="0"/>
    <n v="0"/>
    <n v="25"/>
    <n v="68"/>
    <n v="0"/>
    <n v="43.65"/>
    <n v="219.03"/>
    <m/>
    <n v="52.882770228452522"/>
    <n v="252.43227829401354"/>
    <n v="0"/>
    <n v="10434.401549999999"/>
    <n v="52358.46441"/>
    <n v="0"/>
    <n v="12641.46757480089"/>
    <n v="60343.178829349054"/>
  </r>
  <r>
    <s v="Regular"/>
    <x v="1"/>
    <x v="2"/>
    <x v="2"/>
    <x v="0"/>
    <x v="0"/>
    <x v="0"/>
    <x v="0"/>
    <x v="6"/>
    <n v="0"/>
    <n v="0"/>
    <n v="1770.7670000000001"/>
    <n v="1770.7670000000001"/>
    <n v="1770.7670000000001"/>
    <n v="1770.7670000000001"/>
    <n v="0"/>
    <x v="2"/>
    <n v="0"/>
    <n v="0"/>
    <n v="25"/>
    <n v="68"/>
    <n v="0"/>
    <n v="43.65"/>
    <n v="219.03"/>
    <m/>
    <n v="52.882770228452522"/>
    <n v="252.43227829401354"/>
    <n v="0"/>
    <n v="77293.979550000004"/>
    <n v="387851.09601000004"/>
    <n v="0"/>
    <n v="93643.064389126186"/>
    <n v="446998.74813785549"/>
  </r>
  <r>
    <s v="Sistema de Compensação"/>
    <x v="1"/>
    <x v="2"/>
    <x v="2"/>
    <x v="0"/>
    <x v="0"/>
    <x v="0"/>
    <x v="0"/>
    <x v="6"/>
    <n v="0"/>
    <n v="0"/>
    <n v="229.97300000000001"/>
    <n v="229.97300000000001"/>
    <n v="229.97300000000001"/>
    <n v="229.97300000000001"/>
    <n v="0"/>
    <x v="2"/>
    <n v="0"/>
    <n v="0"/>
    <n v="25"/>
    <n v="68"/>
    <n v="0"/>
    <n v="43.65"/>
    <n v="219.03"/>
    <m/>
    <n v="52.882770228452522"/>
    <n v="252.43227829401354"/>
    <n v="0"/>
    <n v="10038.321449999999"/>
    <n v="50370.986190000003"/>
    <n v="0"/>
    <n v="12161.609317747912"/>
    <n v="58052.608336109181"/>
  </r>
  <r>
    <s v="Regular"/>
    <x v="1"/>
    <x v="2"/>
    <x v="2"/>
    <x v="0"/>
    <x v="0"/>
    <x v="0"/>
    <x v="0"/>
    <x v="6"/>
    <n v="0"/>
    <n v="0"/>
    <n v="225.64599999999999"/>
    <n v="225.64599999999999"/>
    <n v="0"/>
    <n v="0"/>
    <n v="0"/>
    <x v="0"/>
    <n v="0"/>
    <n v="0"/>
    <n v="25"/>
    <n v="0"/>
    <n v="0"/>
    <n v="43.65"/>
    <n v="0"/>
    <m/>
    <n v="52.882770228452522"/>
    <m/>
    <n v="0"/>
    <n v="9849.4478999999992"/>
    <n v="0"/>
    <n v="0"/>
    <n v="11932.785570969398"/>
    <n v="0"/>
  </r>
  <r>
    <s v="Regular"/>
    <x v="1"/>
    <x v="2"/>
    <x v="2"/>
    <x v="0"/>
    <x v="0"/>
    <x v="0"/>
    <x v="0"/>
    <x v="7"/>
    <n v="0"/>
    <n v="0"/>
    <n v="1871.1179999999999"/>
    <n v="1871.1179999999999"/>
    <n v="1871.1179999999999"/>
    <n v="1871.1179999999999"/>
    <n v="0"/>
    <x v="2"/>
    <n v="0"/>
    <n v="0"/>
    <n v="25"/>
    <n v="68"/>
    <n v="0"/>
    <n v="43.65"/>
    <n v="219.03"/>
    <m/>
    <n v="52.882770228452522"/>
    <n v="252.43227829401354"/>
    <n v="0"/>
    <n v="81674.300699999993"/>
    <n v="409830.97554000001"/>
    <n v="0"/>
    <n v="98949.90326432162"/>
    <n v="472330.57969693799"/>
  </r>
  <r>
    <s v="Sistema de Compensação"/>
    <x v="1"/>
    <x v="2"/>
    <x v="2"/>
    <x v="0"/>
    <x v="0"/>
    <x v="0"/>
    <x v="0"/>
    <x v="7"/>
    <n v="0"/>
    <n v="0"/>
    <n v="226.03399999999999"/>
    <n v="226.03399999999999"/>
    <n v="226.03399999999999"/>
    <n v="226.03399999999999"/>
    <n v="0"/>
    <x v="2"/>
    <n v="0"/>
    <n v="0"/>
    <n v="25"/>
    <n v="68"/>
    <n v="0"/>
    <n v="43.65"/>
    <n v="219.03"/>
    <m/>
    <n v="52.882770228452522"/>
    <n v="252.43227829401354"/>
    <n v="0"/>
    <n v="9866.3840999999993"/>
    <n v="49508.227019999998"/>
    <n v="0"/>
    <n v="11953.304085818037"/>
    <n v="57058.277591909056"/>
  </r>
  <r>
    <s v="Sistema de Compensação"/>
    <x v="1"/>
    <x v="2"/>
    <x v="2"/>
    <x v="0"/>
    <x v="0"/>
    <x v="0"/>
    <x v="0"/>
    <x v="7"/>
    <n v="0"/>
    <n v="0"/>
    <n v="-14.91"/>
    <n v="-14.91"/>
    <n v="-14.91"/>
    <n v="-14.91"/>
    <n v="0"/>
    <x v="2"/>
    <n v="0"/>
    <n v="0"/>
    <n v="25"/>
    <n v="68"/>
    <n v="0"/>
    <n v="43.65"/>
    <n v="219.03"/>
    <m/>
    <n v="52.882770228452522"/>
    <n v="252.43227829401354"/>
    <n v="0"/>
    <n v="-650.82150000000001"/>
    <n v="-3265.7373000000002"/>
    <n v="0"/>
    <n v="-788.4821041062271"/>
    <n v="-3763.7652693637419"/>
  </r>
  <r>
    <s v="Regular"/>
    <x v="1"/>
    <x v="2"/>
    <x v="2"/>
    <x v="0"/>
    <x v="0"/>
    <x v="0"/>
    <x v="0"/>
    <x v="7"/>
    <n v="0"/>
    <n v="0"/>
    <n v="229.39"/>
    <n v="229.39"/>
    <n v="0"/>
    <n v="0"/>
    <n v="0"/>
    <x v="0"/>
    <n v="0"/>
    <n v="0"/>
    <n v="25"/>
    <n v="0"/>
    <n v="0"/>
    <n v="43.65"/>
    <n v="0"/>
    <m/>
    <n v="52.882770228452522"/>
    <m/>
    <n v="0"/>
    <n v="10012.8735"/>
    <n v="0"/>
    <n v="0"/>
    <n v="12130.778662704723"/>
    <n v="0"/>
  </r>
  <r>
    <s v="Regular"/>
    <x v="1"/>
    <x v="2"/>
    <x v="2"/>
    <x v="0"/>
    <x v="0"/>
    <x v="0"/>
    <x v="0"/>
    <x v="8"/>
    <n v="0"/>
    <n v="0"/>
    <n v="2082.4140000000002"/>
    <n v="2082.4140000000002"/>
    <n v="2082.4140000000002"/>
    <n v="2082.4140000000002"/>
    <n v="0"/>
    <x v="2"/>
    <n v="0"/>
    <n v="0"/>
    <n v="25"/>
    <n v="68"/>
    <n v="0"/>
    <n v="43.65"/>
    <n v="219.03"/>
    <m/>
    <n v="52.882770228452522"/>
    <n v="252.43227829401354"/>
    <n v="0"/>
    <n v="90897.371100000004"/>
    <n v="456111.13842000003"/>
    <n v="0"/>
    <n v="110123.82108251275"/>
    <n v="525668.51037134998"/>
  </r>
  <r>
    <s v="Sistema de Compensação"/>
    <x v="1"/>
    <x v="2"/>
    <x v="2"/>
    <x v="0"/>
    <x v="0"/>
    <x v="0"/>
    <x v="0"/>
    <x v="8"/>
    <n v="0"/>
    <n v="0"/>
    <n v="247.19800000000001"/>
    <n v="247.19800000000001"/>
    <n v="247.19800000000001"/>
    <n v="247.19800000000001"/>
    <n v="0"/>
    <x v="2"/>
    <n v="0"/>
    <n v="0"/>
    <n v="25"/>
    <n v="68"/>
    <n v="0"/>
    <n v="43.65"/>
    <n v="219.03"/>
    <m/>
    <n v="52.882770228452522"/>
    <n v="252.43227829401354"/>
    <n v="0"/>
    <n v="10790.1927"/>
    <n v="54143.77794"/>
    <n v="0"/>
    <n v="13072.515034933007"/>
    <n v="62400.754329723561"/>
  </r>
  <r>
    <s v="Regular"/>
    <x v="1"/>
    <x v="2"/>
    <x v="2"/>
    <x v="0"/>
    <x v="0"/>
    <x v="0"/>
    <x v="0"/>
    <x v="9"/>
    <n v="0"/>
    <n v="0"/>
    <n v="2128.8130000000001"/>
    <n v="2128.8130000000001"/>
    <n v="2128.8130000000001"/>
    <n v="2128.8130000000001"/>
    <n v="0"/>
    <x v="2"/>
    <n v="0"/>
    <n v="0"/>
    <n v="25"/>
    <n v="68"/>
    <n v="0"/>
    <n v="43.65"/>
    <n v="219.03"/>
    <m/>
    <n v="52.882770228452522"/>
    <n v="252.43227829401354"/>
    <n v="0"/>
    <n v="92922.687449999998"/>
    <n v="466273.91139000002"/>
    <n v="0"/>
    <n v="112577.52873834271"/>
    <n v="537381.11565191392"/>
  </r>
  <r>
    <s v="Sistema de Compensação"/>
    <x v="1"/>
    <x v="2"/>
    <x v="2"/>
    <x v="0"/>
    <x v="0"/>
    <x v="0"/>
    <x v="0"/>
    <x v="9"/>
    <n v="0"/>
    <n v="0"/>
    <n v="184.01499999999999"/>
    <n v="184.01499999999999"/>
    <n v="184.01499999999999"/>
    <n v="184.01499999999999"/>
    <n v="0"/>
    <x v="2"/>
    <n v="0"/>
    <n v="0"/>
    <n v="25"/>
    <n v="68"/>
    <n v="0"/>
    <n v="43.65"/>
    <n v="219.03"/>
    <m/>
    <n v="52.882770228452522"/>
    <n v="252.43227829401354"/>
    <n v="0"/>
    <n v="8032.2547499999991"/>
    <n v="40304.80545"/>
    <n v="0"/>
    <n v="9731.2229635886906"/>
    <n v="46451.325690272897"/>
  </r>
  <r>
    <s v="Regular"/>
    <x v="1"/>
    <x v="2"/>
    <x v="2"/>
    <x v="0"/>
    <x v="0"/>
    <x v="0"/>
    <x v="0"/>
    <x v="10"/>
    <n v="0"/>
    <n v="0"/>
    <n v="2145.5210000000002"/>
    <n v="2145.5210000000002"/>
    <n v="2145.5210000000002"/>
    <n v="2145.5210000000002"/>
    <n v="0"/>
    <x v="2"/>
    <n v="0"/>
    <n v="0"/>
    <n v="25"/>
    <n v="68"/>
    <n v="0"/>
    <n v="43.65"/>
    <n v="219.03"/>
    <m/>
    <n v="52.882770228452522"/>
    <n v="252.43227829401354"/>
    <n v="0"/>
    <n v="93651.991650000011"/>
    <n v="469933.46463000006"/>
    <n v="0"/>
    <n v="113461.09406331969"/>
    <n v="541598.75415765028"/>
  </r>
  <r>
    <s v="Sistema de Compensação"/>
    <x v="1"/>
    <x v="2"/>
    <x v="2"/>
    <x v="0"/>
    <x v="0"/>
    <x v="0"/>
    <x v="0"/>
    <x v="10"/>
    <n v="0"/>
    <n v="0"/>
    <n v="157.102"/>
    <n v="157.102"/>
    <n v="157.102"/>
    <n v="157.102"/>
    <n v="0"/>
    <x v="2"/>
    <n v="0"/>
    <n v="0"/>
    <n v="25"/>
    <n v="68"/>
    <n v="0"/>
    <n v="43.65"/>
    <n v="219.03"/>
    <m/>
    <n v="52.882770228452522"/>
    <n v="252.43227829401354"/>
    <n v="0"/>
    <n v="6857.5023000000001"/>
    <n v="34410.051059999998"/>
    <n v="0"/>
    <n v="8307.9889684303489"/>
    <n v="39657.615784546113"/>
  </r>
  <r>
    <s v="PROJETADO"/>
    <x v="1"/>
    <x v="2"/>
    <x v="2"/>
    <x v="0"/>
    <x v="0"/>
    <x v="0"/>
    <x v="0"/>
    <x v="11"/>
    <n v="0"/>
    <n v="0"/>
    <n v="2145.5210000000002"/>
    <n v="2145.5210000000002"/>
    <n v="2145.5210000000002"/>
    <n v="2145.5210000000002"/>
    <n v="0"/>
    <x v="2"/>
    <n v="0"/>
    <n v="0"/>
    <n v="25"/>
    <n v="68"/>
    <n v="0"/>
    <n v="43.65"/>
    <n v="219.03"/>
    <m/>
    <n v="52.882770228452522"/>
    <n v="252.43227829401354"/>
    <n v="0"/>
    <n v="93651.991650000011"/>
    <n v="469933.46463000006"/>
    <n v="0"/>
    <n v="113461.09406331969"/>
    <n v="541598.75415765028"/>
  </r>
  <r>
    <s v="PROJETADO"/>
    <x v="1"/>
    <x v="2"/>
    <x v="2"/>
    <x v="0"/>
    <x v="0"/>
    <x v="0"/>
    <x v="0"/>
    <x v="11"/>
    <n v="0"/>
    <n v="0"/>
    <n v="157.102"/>
    <n v="157.102"/>
    <n v="157.102"/>
    <n v="157.102"/>
    <n v="0"/>
    <x v="2"/>
    <n v="0"/>
    <n v="0"/>
    <n v="25"/>
    <n v="68"/>
    <n v="0"/>
    <n v="43.65"/>
    <n v="219.03"/>
    <m/>
    <n v="52.882770228452522"/>
    <n v="252.43227829401354"/>
    <n v="0"/>
    <n v="6857.5023000000001"/>
    <n v="34410.051059999998"/>
    <n v="0"/>
    <n v="8307.9889684303489"/>
    <n v="39657.615784546113"/>
  </r>
  <r>
    <s v="Regular"/>
    <x v="1"/>
    <x v="2"/>
    <x v="2"/>
    <x v="0"/>
    <x v="0"/>
    <x v="0"/>
    <x v="1"/>
    <x v="0"/>
    <n v="14628"/>
    <n v="14628"/>
    <n v="0"/>
    <n v="0"/>
    <n v="0"/>
    <n v="0"/>
    <n v="140"/>
    <x v="2"/>
    <n v="0"/>
    <n v="23"/>
    <n v="0"/>
    <n v="0"/>
    <n v="18.48"/>
    <n v="0"/>
    <n v="0"/>
    <n v="19.543462882439208"/>
    <m/>
    <m/>
    <n v="270325.44"/>
    <n v="0"/>
    <n v="0"/>
    <n v="285881.77504432073"/>
    <n v="0"/>
    <n v="0"/>
  </r>
  <r>
    <s v="Sistema de Compensação"/>
    <x v="1"/>
    <x v="2"/>
    <x v="2"/>
    <x v="0"/>
    <x v="0"/>
    <x v="0"/>
    <x v="1"/>
    <x v="0"/>
    <n v="1020"/>
    <n v="1020"/>
    <n v="0"/>
    <n v="0"/>
    <n v="0"/>
    <n v="0"/>
    <n v="7"/>
    <x v="2"/>
    <n v="0"/>
    <n v="23"/>
    <n v="0"/>
    <n v="0"/>
    <n v="18.48"/>
    <n v="0"/>
    <n v="0"/>
    <n v="19.543462882439208"/>
    <m/>
    <m/>
    <n v="18849.600000000002"/>
    <n v="0"/>
    <n v="0"/>
    <n v="19934.33214008799"/>
    <n v="0"/>
    <n v="0"/>
  </r>
  <r>
    <s v="Regular"/>
    <x v="1"/>
    <x v="2"/>
    <x v="2"/>
    <x v="0"/>
    <x v="0"/>
    <x v="0"/>
    <x v="1"/>
    <x v="0"/>
    <n v="120"/>
    <n v="120"/>
    <n v="0"/>
    <n v="0"/>
    <n v="0"/>
    <n v="0"/>
    <n v="1"/>
    <x v="0"/>
    <n v="0"/>
    <n v="23"/>
    <n v="0"/>
    <n v="0"/>
    <n v="18.48"/>
    <n v="0"/>
    <n v="0"/>
    <n v="19.543462882439208"/>
    <m/>
    <m/>
    <n v="2217.6"/>
    <n v="0"/>
    <n v="0"/>
    <n v="2345.215545892705"/>
    <n v="0"/>
    <n v="0"/>
  </r>
  <r>
    <s v="Regular"/>
    <x v="1"/>
    <x v="2"/>
    <x v="2"/>
    <x v="0"/>
    <x v="0"/>
    <x v="0"/>
    <x v="1"/>
    <x v="1"/>
    <n v="14404"/>
    <n v="14404"/>
    <n v="0"/>
    <n v="0"/>
    <n v="0"/>
    <n v="0"/>
    <n v="140"/>
    <x v="2"/>
    <n v="0"/>
    <n v="23"/>
    <n v="0"/>
    <n v="0"/>
    <n v="18.48"/>
    <n v="0"/>
    <n v="0"/>
    <n v="19.543462882439208"/>
    <m/>
    <m/>
    <n v="266185.92"/>
    <n v="0"/>
    <n v="0"/>
    <n v="281504.03935865435"/>
    <n v="0"/>
    <n v="0"/>
  </r>
  <r>
    <s v="Refaturamento - Regular"/>
    <x v="1"/>
    <x v="2"/>
    <x v="2"/>
    <x v="0"/>
    <x v="0"/>
    <x v="0"/>
    <x v="1"/>
    <x v="1"/>
    <n v="-120"/>
    <n v="-120"/>
    <n v="0"/>
    <n v="0"/>
    <n v="0"/>
    <n v="0"/>
    <n v="0"/>
    <x v="2"/>
    <n v="0"/>
    <n v="23"/>
    <n v="0"/>
    <n v="0"/>
    <n v="18.48"/>
    <n v="0"/>
    <n v="0"/>
    <n v="19.543462882439208"/>
    <m/>
    <m/>
    <n v="-2217.6"/>
    <n v="0"/>
    <n v="0"/>
    <n v="-2345.215545892705"/>
    <n v="0"/>
    <n v="0"/>
  </r>
  <r>
    <s v="Sistema de Compensação"/>
    <x v="1"/>
    <x v="2"/>
    <x v="2"/>
    <x v="0"/>
    <x v="0"/>
    <x v="0"/>
    <x v="1"/>
    <x v="1"/>
    <n v="1222"/>
    <n v="1222"/>
    <n v="0"/>
    <n v="0"/>
    <n v="0"/>
    <n v="0"/>
    <n v="8"/>
    <x v="2"/>
    <n v="0"/>
    <n v="23"/>
    <n v="0"/>
    <n v="0"/>
    <n v="18.48"/>
    <n v="0"/>
    <n v="0"/>
    <n v="19.543462882439208"/>
    <m/>
    <m/>
    <n v="22582.560000000001"/>
    <n v="0"/>
    <n v="0"/>
    <n v="23882.111642340711"/>
    <n v="0"/>
    <n v="0"/>
  </r>
  <r>
    <s v="Regular"/>
    <x v="1"/>
    <x v="2"/>
    <x v="2"/>
    <x v="0"/>
    <x v="0"/>
    <x v="0"/>
    <x v="1"/>
    <x v="1"/>
    <n v="120"/>
    <n v="120"/>
    <n v="0"/>
    <n v="0"/>
    <n v="0"/>
    <n v="0"/>
    <n v="1"/>
    <x v="0"/>
    <n v="0"/>
    <n v="23"/>
    <n v="0"/>
    <n v="0"/>
    <n v="18.48"/>
    <n v="0"/>
    <n v="0"/>
    <n v="19.543462882439208"/>
    <m/>
    <m/>
    <n v="2217.6"/>
    <n v="0"/>
    <n v="0"/>
    <n v="2345.215545892705"/>
    <n v="0"/>
    <n v="0"/>
  </r>
  <r>
    <s v="Regular"/>
    <x v="1"/>
    <x v="2"/>
    <x v="2"/>
    <x v="0"/>
    <x v="0"/>
    <x v="0"/>
    <x v="1"/>
    <x v="2"/>
    <n v="14350"/>
    <n v="14350"/>
    <n v="0"/>
    <n v="0"/>
    <n v="0"/>
    <n v="0"/>
    <n v="145"/>
    <x v="2"/>
    <n v="0"/>
    <n v="23"/>
    <n v="0"/>
    <n v="0"/>
    <n v="18.48"/>
    <n v="0"/>
    <n v="0"/>
    <n v="19.543462882439208"/>
    <m/>
    <m/>
    <n v="265188"/>
    <n v="0"/>
    <n v="0"/>
    <n v="280448.69236300263"/>
    <n v="0"/>
    <n v="0"/>
  </r>
  <r>
    <s v="Sistema de Compensação"/>
    <x v="1"/>
    <x v="2"/>
    <x v="2"/>
    <x v="0"/>
    <x v="0"/>
    <x v="0"/>
    <x v="1"/>
    <x v="2"/>
    <n v="1450"/>
    <n v="1450"/>
    <n v="0"/>
    <n v="0"/>
    <n v="0"/>
    <n v="0"/>
    <n v="8"/>
    <x v="2"/>
    <n v="0"/>
    <n v="23"/>
    <n v="0"/>
    <n v="0"/>
    <n v="18.48"/>
    <n v="0"/>
    <n v="0"/>
    <n v="19.543462882439208"/>
    <m/>
    <m/>
    <n v="26796"/>
    <n v="0"/>
    <n v="0"/>
    <n v="28338.021179536852"/>
    <n v="0"/>
    <n v="0"/>
  </r>
  <r>
    <s v="Regular"/>
    <x v="1"/>
    <x v="2"/>
    <x v="2"/>
    <x v="0"/>
    <x v="0"/>
    <x v="0"/>
    <x v="1"/>
    <x v="3"/>
    <n v="14470"/>
    <n v="14470"/>
    <n v="0"/>
    <n v="0"/>
    <n v="0"/>
    <n v="0"/>
    <n v="145"/>
    <x v="2"/>
    <n v="0"/>
    <n v="23"/>
    <n v="0"/>
    <n v="0"/>
    <n v="18.48"/>
    <n v="0"/>
    <n v="0"/>
    <n v="19.543462882439208"/>
    <m/>
    <m/>
    <n v="267405.60000000003"/>
    <n v="0"/>
    <n v="0"/>
    <n v="282793.90790889534"/>
    <n v="0"/>
    <n v="0"/>
  </r>
  <r>
    <s v="Sistema de Compensação"/>
    <x v="1"/>
    <x v="2"/>
    <x v="2"/>
    <x v="0"/>
    <x v="0"/>
    <x v="0"/>
    <x v="1"/>
    <x v="3"/>
    <n v="1456"/>
    <n v="1456"/>
    <n v="0"/>
    <n v="0"/>
    <n v="0"/>
    <n v="0"/>
    <n v="8"/>
    <x v="2"/>
    <n v="0"/>
    <n v="23"/>
    <n v="0"/>
    <n v="0"/>
    <n v="18.48"/>
    <n v="0"/>
    <n v="0"/>
    <n v="19.543462882439208"/>
    <m/>
    <m/>
    <n v="26906.880000000001"/>
    <n v="0"/>
    <n v="0"/>
    <n v="28455.281956831488"/>
    <n v="0"/>
    <n v="0"/>
  </r>
  <r>
    <s v="Regular"/>
    <x v="1"/>
    <x v="2"/>
    <x v="2"/>
    <x v="0"/>
    <x v="0"/>
    <x v="0"/>
    <x v="1"/>
    <x v="4"/>
    <n v="13638"/>
    <n v="13638"/>
    <n v="0"/>
    <n v="0"/>
    <n v="0"/>
    <n v="0"/>
    <n v="141"/>
    <x v="2"/>
    <n v="0"/>
    <n v="23"/>
    <n v="0"/>
    <n v="0"/>
    <n v="18.48"/>
    <n v="0"/>
    <n v="0"/>
    <n v="19.543462882439208"/>
    <m/>
    <m/>
    <n v="252030.24000000002"/>
    <n v="0"/>
    <n v="0"/>
    <n v="266533.74679070589"/>
    <n v="0"/>
    <n v="0"/>
  </r>
  <r>
    <s v="Sistema de Compensação"/>
    <x v="1"/>
    <x v="2"/>
    <x v="2"/>
    <x v="0"/>
    <x v="0"/>
    <x v="0"/>
    <x v="1"/>
    <x v="4"/>
    <n v="1440"/>
    <n v="1440"/>
    <n v="0"/>
    <n v="0"/>
    <n v="0"/>
    <n v="0"/>
    <n v="8"/>
    <x v="2"/>
    <n v="0"/>
    <n v="23"/>
    <n v="0"/>
    <n v="0"/>
    <n v="18.48"/>
    <n v="0"/>
    <n v="0"/>
    <n v="19.543462882439208"/>
    <m/>
    <m/>
    <n v="26611.200000000001"/>
    <n v="0"/>
    <n v="0"/>
    <n v="28142.586550712458"/>
    <n v="0"/>
    <n v="0"/>
  </r>
  <r>
    <s v="Regular"/>
    <x v="1"/>
    <x v="2"/>
    <x v="2"/>
    <x v="0"/>
    <x v="0"/>
    <x v="0"/>
    <x v="1"/>
    <x v="5"/>
    <n v="13250"/>
    <n v="13250"/>
    <n v="0"/>
    <n v="0"/>
    <n v="0"/>
    <n v="0"/>
    <n v="138"/>
    <x v="2"/>
    <n v="0"/>
    <n v="23"/>
    <n v="0"/>
    <n v="0"/>
    <n v="18.48"/>
    <n v="0"/>
    <n v="0"/>
    <n v="19.543462882439208"/>
    <m/>
    <m/>
    <n v="244860"/>
    <n v="0"/>
    <n v="0"/>
    <n v="258950.88319231951"/>
    <n v="0"/>
    <n v="0"/>
  </r>
  <r>
    <s v="Sistema de Compensação"/>
    <x v="1"/>
    <x v="2"/>
    <x v="2"/>
    <x v="0"/>
    <x v="0"/>
    <x v="0"/>
    <x v="1"/>
    <x v="5"/>
    <n v="1786"/>
    <n v="1786"/>
    <n v="0"/>
    <n v="0"/>
    <n v="0"/>
    <n v="0"/>
    <n v="11"/>
    <x v="2"/>
    <n v="0"/>
    <n v="23"/>
    <n v="0"/>
    <n v="0"/>
    <n v="18.48"/>
    <n v="0"/>
    <n v="0"/>
    <n v="19.543462882439208"/>
    <m/>
    <m/>
    <n v="33005.279999999999"/>
    <n v="0"/>
    <n v="0"/>
    <n v="34904.624708036426"/>
    <n v="0"/>
    <n v="0"/>
  </r>
  <r>
    <s v="Regular"/>
    <x v="1"/>
    <x v="2"/>
    <x v="2"/>
    <x v="0"/>
    <x v="0"/>
    <x v="0"/>
    <x v="1"/>
    <x v="6"/>
    <n v="13126"/>
    <n v="13126"/>
    <n v="0"/>
    <n v="0"/>
    <n v="0"/>
    <n v="0"/>
    <n v="137"/>
    <x v="2"/>
    <n v="0"/>
    <n v="23"/>
    <n v="0"/>
    <n v="0"/>
    <n v="18.48"/>
    <n v="0"/>
    <n v="0"/>
    <n v="19.543462882439208"/>
    <m/>
    <m/>
    <n v="242568.48"/>
    <n v="0"/>
    <n v="0"/>
    <n v="256527.49379489705"/>
    <n v="0"/>
    <n v="0"/>
  </r>
  <r>
    <s v="Sistema de Compensação"/>
    <x v="1"/>
    <x v="2"/>
    <x v="2"/>
    <x v="0"/>
    <x v="0"/>
    <x v="0"/>
    <x v="1"/>
    <x v="6"/>
    <n v="1795"/>
    <n v="1795"/>
    <n v="0"/>
    <n v="0"/>
    <n v="0"/>
    <n v="0"/>
    <n v="11"/>
    <x v="2"/>
    <n v="0"/>
    <n v="23"/>
    <n v="0"/>
    <n v="0"/>
    <n v="18.48"/>
    <n v="0"/>
    <n v="0"/>
    <n v="19.543462882439208"/>
    <m/>
    <m/>
    <n v="33171.599999999999"/>
    <n v="0"/>
    <n v="0"/>
    <n v="35080.51587397838"/>
    <n v="0"/>
    <n v="0"/>
  </r>
  <r>
    <s v="Regular"/>
    <x v="1"/>
    <x v="2"/>
    <x v="2"/>
    <x v="0"/>
    <x v="0"/>
    <x v="0"/>
    <x v="1"/>
    <x v="6"/>
    <n v="650"/>
    <n v="650"/>
    <n v="0"/>
    <n v="0"/>
    <n v="0"/>
    <n v="0"/>
    <n v="1"/>
    <x v="0"/>
    <n v="0"/>
    <n v="23"/>
    <n v="0"/>
    <n v="0"/>
    <n v="18.48"/>
    <n v="0"/>
    <n v="0"/>
    <n v="19.543462882439208"/>
    <m/>
    <m/>
    <n v="12012"/>
    <n v="0"/>
    <n v="0"/>
    <n v="12703.250873585484"/>
    <n v="0"/>
    <n v="0"/>
  </r>
  <r>
    <s v="Regular"/>
    <x v="1"/>
    <x v="2"/>
    <x v="2"/>
    <x v="0"/>
    <x v="0"/>
    <x v="0"/>
    <x v="1"/>
    <x v="7"/>
    <n v="13168"/>
    <n v="13168"/>
    <n v="0"/>
    <n v="0"/>
    <n v="0"/>
    <n v="0"/>
    <n v="137"/>
    <x v="2"/>
    <n v="0"/>
    <n v="23"/>
    <n v="0"/>
    <n v="0"/>
    <n v="18.48"/>
    <n v="0"/>
    <n v="0"/>
    <n v="19.543462882439208"/>
    <m/>
    <m/>
    <n v="243344.64000000001"/>
    <n v="0"/>
    <n v="0"/>
    <n v="257348.3192359595"/>
    <n v="0"/>
    <n v="0"/>
  </r>
  <r>
    <s v="Sistema de Compensação"/>
    <x v="1"/>
    <x v="2"/>
    <x v="2"/>
    <x v="0"/>
    <x v="0"/>
    <x v="0"/>
    <x v="1"/>
    <x v="7"/>
    <n v="2516"/>
    <n v="2516"/>
    <n v="0"/>
    <n v="0"/>
    <n v="0"/>
    <n v="0"/>
    <n v="11"/>
    <x v="2"/>
    <n v="0"/>
    <n v="23"/>
    <n v="0"/>
    <n v="0"/>
    <n v="18.48"/>
    <n v="0"/>
    <n v="0"/>
    <n v="19.543462882439208"/>
    <m/>
    <m/>
    <n v="46495.68"/>
    <n v="0"/>
    <n v="0"/>
    <n v="49171.352612217044"/>
    <n v="0"/>
    <n v="0"/>
  </r>
  <r>
    <s v="Regular"/>
    <x v="1"/>
    <x v="2"/>
    <x v="2"/>
    <x v="0"/>
    <x v="0"/>
    <x v="0"/>
    <x v="1"/>
    <x v="7"/>
    <n v="650"/>
    <n v="650"/>
    <n v="0"/>
    <n v="0"/>
    <n v="0"/>
    <n v="0"/>
    <n v="1"/>
    <x v="0"/>
    <n v="0"/>
    <n v="23"/>
    <n v="0"/>
    <n v="0"/>
    <n v="18.48"/>
    <n v="0"/>
    <n v="0"/>
    <n v="19.543462882439208"/>
    <m/>
    <m/>
    <n v="12012"/>
    <n v="0"/>
    <n v="0"/>
    <n v="12703.250873585484"/>
    <n v="0"/>
    <n v="0"/>
  </r>
  <r>
    <s v="Regular"/>
    <x v="1"/>
    <x v="2"/>
    <x v="2"/>
    <x v="0"/>
    <x v="0"/>
    <x v="0"/>
    <x v="1"/>
    <x v="8"/>
    <n v="13164"/>
    <n v="13164"/>
    <n v="0"/>
    <n v="0"/>
    <n v="0"/>
    <n v="0"/>
    <n v="132"/>
    <x v="2"/>
    <n v="0"/>
    <n v="23"/>
    <n v="0"/>
    <n v="0"/>
    <n v="18.48"/>
    <n v="0"/>
    <n v="0"/>
    <n v="19.543462882439208"/>
    <m/>
    <m/>
    <n v="243270.72"/>
    <n v="0"/>
    <n v="0"/>
    <n v="257270.14538442972"/>
    <n v="0"/>
    <n v="0"/>
  </r>
  <r>
    <s v="Sistema de Compensação"/>
    <x v="1"/>
    <x v="2"/>
    <x v="2"/>
    <x v="0"/>
    <x v="0"/>
    <x v="0"/>
    <x v="1"/>
    <x v="8"/>
    <n v="3076"/>
    <n v="3076"/>
    <n v="0"/>
    <n v="0"/>
    <n v="0"/>
    <n v="0"/>
    <n v="14"/>
    <x v="2"/>
    <n v="0"/>
    <n v="23"/>
    <n v="0"/>
    <n v="0"/>
    <n v="18.48"/>
    <n v="0"/>
    <n v="0"/>
    <n v="19.543462882439208"/>
    <m/>
    <m/>
    <n v="56844.480000000003"/>
    <n v="0"/>
    <n v="0"/>
    <n v="60115.691826383001"/>
    <n v="0"/>
    <n v="0"/>
  </r>
  <r>
    <s v="Regular"/>
    <x v="1"/>
    <x v="2"/>
    <x v="2"/>
    <x v="0"/>
    <x v="0"/>
    <x v="0"/>
    <x v="1"/>
    <x v="9"/>
    <n v="13264"/>
    <n v="13264"/>
    <n v="0"/>
    <n v="0"/>
    <n v="0"/>
    <n v="0"/>
    <n v="132"/>
    <x v="2"/>
    <n v="0"/>
    <n v="23"/>
    <n v="0"/>
    <n v="0"/>
    <n v="18.48"/>
    <n v="0"/>
    <n v="0"/>
    <n v="19.543462882439208"/>
    <m/>
    <m/>
    <n v="245118.72"/>
    <n v="0"/>
    <n v="0"/>
    <n v="259224.49167267364"/>
    <n v="0"/>
    <n v="0"/>
  </r>
  <r>
    <s v="Sistema de Compensação"/>
    <x v="1"/>
    <x v="2"/>
    <x v="2"/>
    <x v="0"/>
    <x v="0"/>
    <x v="0"/>
    <x v="1"/>
    <x v="9"/>
    <n v="3304"/>
    <n v="3304"/>
    <n v="0"/>
    <n v="0"/>
    <n v="0"/>
    <n v="0"/>
    <n v="15"/>
    <x v="2"/>
    <n v="0"/>
    <n v="23"/>
    <n v="0"/>
    <n v="0"/>
    <n v="18.48"/>
    <n v="0"/>
    <n v="0"/>
    <n v="19.543462882439208"/>
    <m/>
    <m/>
    <n v="61057.919999999998"/>
    <n v="0"/>
    <n v="0"/>
    <n v="64571.601363579146"/>
    <n v="0"/>
    <n v="0"/>
  </r>
  <r>
    <s v="Regular"/>
    <x v="1"/>
    <x v="2"/>
    <x v="2"/>
    <x v="0"/>
    <x v="0"/>
    <x v="0"/>
    <x v="1"/>
    <x v="10"/>
    <n v="13228"/>
    <n v="13228"/>
    <n v="0"/>
    <n v="0"/>
    <n v="0"/>
    <n v="0"/>
    <n v="130"/>
    <x v="2"/>
    <n v="0"/>
    <n v="23"/>
    <n v="0"/>
    <n v="0"/>
    <n v="18.48"/>
    <n v="0"/>
    <n v="0"/>
    <n v="19.543462882439208"/>
    <m/>
    <m/>
    <n v="244453.44"/>
    <n v="0"/>
    <n v="0"/>
    <n v="258520.92700890586"/>
    <n v="0"/>
    <n v="0"/>
  </r>
  <r>
    <s v="Refaturamento - Regular"/>
    <x v="1"/>
    <x v="2"/>
    <x v="2"/>
    <x v="0"/>
    <x v="0"/>
    <x v="0"/>
    <x v="1"/>
    <x v="10"/>
    <n v="30"/>
    <n v="30"/>
    <n v="0"/>
    <n v="0"/>
    <n v="0"/>
    <n v="0"/>
    <n v="0"/>
    <x v="2"/>
    <n v="0"/>
    <n v="23"/>
    <n v="0"/>
    <n v="0"/>
    <n v="18.48"/>
    <n v="0"/>
    <n v="0"/>
    <n v="19.543462882439208"/>
    <m/>
    <m/>
    <n v="554.4"/>
    <n v="0"/>
    <n v="0"/>
    <n v="586.30388647317625"/>
    <n v="0"/>
    <n v="0"/>
  </r>
  <r>
    <s v="Sistema de Compensação"/>
    <x v="1"/>
    <x v="2"/>
    <x v="2"/>
    <x v="0"/>
    <x v="0"/>
    <x v="0"/>
    <x v="1"/>
    <x v="10"/>
    <n v="3353"/>
    <n v="3353"/>
    <n v="0"/>
    <n v="0"/>
    <n v="0"/>
    <n v="0"/>
    <n v="16"/>
    <x v="2"/>
    <n v="0"/>
    <n v="23"/>
    <n v="0"/>
    <n v="0"/>
    <n v="18.48"/>
    <n v="0"/>
    <n v="0"/>
    <n v="19.543462882439208"/>
    <m/>
    <m/>
    <n v="61963.44"/>
    <n v="0"/>
    <n v="0"/>
    <n v="65529.231044818662"/>
    <n v="0"/>
    <n v="0"/>
  </r>
  <r>
    <s v="PROJETADO"/>
    <x v="1"/>
    <x v="2"/>
    <x v="2"/>
    <x v="0"/>
    <x v="0"/>
    <x v="0"/>
    <x v="1"/>
    <x v="11"/>
    <n v="13228"/>
    <n v="13228"/>
    <n v="0"/>
    <n v="0"/>
    <n v="0"/>
    <n v="0"/>
    <n v="130"/>
    <x v="2"/>
    <n v="0"/>
    <n v="23"/>
    <n v="0"/>
    <n v="0"/>
    <n v="18.48"/>
    <n v="0"/>
    <n v="0"/>
    <n v="19.543462882439208"/>
    <m/>
    <m/>
    <n v="244453.44"/>
    <n v="0"/>
    <n v="0"/>
    <n v="258520.92700890586"/>
    <n v="0"/>
    <n v="0"/>
  </r>
  <r>
    <s v="PROJETADO"/>
    <x v="1"/>
    <x v="2"/>
    <x v="2"/>
    <x v="0"/>
    <x v="0"/>
    <x v="0"/>
    <x v="1"/>
    <x v="11"/>
    <n v="30"/>
    <n v="30"/>
    <n v="0"/>
    <n v="0"/>
    <n v="0"/>
    <n v="0"/>
    <n v="0"/>
    <x v="2"/>
    <n v="0"/>
    <n v="23"/>
    <n v="0"/>
    <n v="0"/>
    <n v="18.48"/>
    <n v="0"/>
    <n v="0"/>
    <n v="19.543462882439208"/>
    <m/>
    <m/>
    <n v="554.4"/>
    <n v="0"/>
    <n v="0"/>
    <n v="586.30388647317625"/>
    <n v="0"/>
    <n v="0"/>
  </r>
  <r>
    <s v="PROJETADO"/>
    <x v="1"/>
    <x v="2"/>
    <x v="2"/>
    <x v="0"/>
    <x v="0"/>
    <x v="0"/>
    <x v="1"/>
    <x v="11"/>
    <n v="3353"/>
    <n v="3353"/>
    <n v="0"/>
    <n v="0"/>
    <n v="0"/>
    <n v="0"/>
    <n v="16"/>
    <x v="2"/>
    <n v="0"/>
    <n v="23"/>
    <n v="0"/>
    <n v="0"/>
    <n v="18.48"/>
    <n v="0"/>
    <n v="0"/>
    <n v="19.543462882439208"/>
    <m/>
    <m/>
    <n v="61963.44"/>
    <n v="0"/>
    <n v="0"/>
    <n v="65529.231044818662"/>
    <n v="0"/>
    <n v="0"/>
  </r>
  <r>
    <s v="Regular"/>
    <x v="1"/>
    <x v="2"/>
    <x v="2"/>
    <x v="0"/>
    <x v="0"/>
    <x v="0"/>
    <x v="2"/>
    <x v="0"/>
    <n v="0"/>
    <n v="0"/>
    <n v="173.36600000000001"/>
    <n v="173.36600000000001"/>
    <n v="173.36600000000001"/>
    <n v="173.36600000000001"/>
    <n v="0"/>
    <x v="2"/>
    <n v="0"/>
    <n v="0"/>
    <n v="24"/>
    <n v="67"/>
    <n v="0"/>
    <n v="943.81"/>
    <n v="366.6"/>
    <m/>
    <n v="1019.176668187089"/>
    <n v="407.57745297626161"/>
    <n v="0"/>
    <n v="163624.56445999999"/>
    <n v="63555.975600000012"/>
    <n v="0"/>
    <n v="176690.58225692291"/>
    <n v="70660.07271268258"/>
  </r>
  <r>
    <s v="Refaturamento - Regular"/>
    <x v="1"/>
    <x v="2"/>
    <x v="2"/>
    <x v="0"/>
    <x v="0"/>
    <x v="0"/>
    <x v="2"/>
    <x v="0"/>
    <n v="0"/>
    <n v="0"/>
    <n v="-0.315"/>
    <n v="-0.315"/>
    <n v="-0.315"/>
    <n v="-0.315"/>
    <n v="0"/>
    <x v="2"/>
    <n v="0"/>
    <n v="0"/>
    <n v="24"/>
    <n v="67"/>
    <n v="0"/>
    <n v="943.81"/>
    <n v="366.6"/>
    <m/>
    <n v="1019.176668187089"/>
    <n v="407.57745297626161"/>
    <n v="0"/>
    <n v="-297.30014999999997"/>
    <n v="-115.47900000000001"/>
    <n v="0"/>
    <n v="-321.04065047893306"/>
    <n v="-128.38689768752241"/>
  </r>
  <r>
    <s v="Sistema de Compensação"/>
    <x v="1"/>
    <x v="2"/>
    <x v="2"/>
    <x v="0"/>
    <x v="0"/>
    <x v="0"/>
    <x v="2"/>
    <x v="0"/>
    <n v="0"/>
    <n v="0"/>
    <n v="10.997999999999999"/>
    <n v="10.997999999999999"/>
    <n v="10.997999999999999"/>
    <n v="10.997999999999999"/>
    <n v="0"/>
    <x v="2"/>
    <n v="0"/>
    <n v="0"/>
    <n v="24"/>
    <n v="67"/>
    <n v="0"/>
    <n v="943.81"/>
    <n v="366.6"/>
    <m/>
    <n v="1019.176668187089"/>
    <n v="407.57745297626161"/>
    <n v="0"/>
    <n v="10380.022379999999"/>
    <n v="4031.8667999999998"/>
    <n v="0"/>
    <n v="11208.904996721605"/>
    <n v="4482.5368278329252"/>
  </r>
  <r>
    <s v="Regular"/>
    <x v="1"/>
    <x v="2"/>
    <x v="2"/>
    <x v="0"/>
    <x v="0"/>
    <x v="0"/>
    <x v="2"/>
    <x v="0"/>
    <n v="0"/>
    <n v="0"/>
    <n v="3.1859999999999999"/>
    <n v="3.1859999999999999"/>
    <n v="0"/>
    <n v="0"/>
    <n v="0"/>
    <x v="0"/>
    <n v="0"/>
    <n v="0"/>
    <n v="24"/>
    <n v="0"/>
    <n v="0"/>
    <n v="943.81"/>
    <n v="0"/>
    <m/>
    <n v="1019.176668187089"/>
    <m/>
    <n v="0"/>
    <n v="3006.9786599999998"/>
    <n v="0"/>
    <n v="0"/>
    <n v="3247.0968648440657"/>
    <n v="0"/>
  </r>
  <r>
    <s v="Regular"/>
    <x v="1"/>
    <x v="2"/>
    <x v="2"/>
    <x v="0"/>
    <x v="0"/>
    <x v="0"/>
    <x v="2"/>
    <x v="1"/>
    <n v="0"/>
    <n v="0"/>
    <n v="173.99799999999999"/>
    <n v="173.99799999999999"/>
    <n v="173.99799999999999"/>
    <n v="173.99799999999999"/>
    <n v="0"/>
    <x v="2"/>
    <n v="0"/>
    <n v="0"/>
    <n v="24"/>
    <n v="67"/>
    <n v="0"/>
    <n v="943.81"/>
    <n v="366.6"/>
    <m/>
    <n v="1019.176668187089"/>
    <n v="407.57745297626161"/>
    <n v="0"/>
    <n v="164221.05237999998"/>
    <n v="63787.666799999999"/>
    <n v="0"/>
    <n v="177334.7019112171"/>
    <n v="70917.661662963568"/>
  </r>
  <r>
    <s v="Sistema de Compensação"/>
    <x v="1"/>
    <x v="2"/>
    <x v="2"/>
    <x v="0"/>
    <x v="0"/>
    <x v="0"/>
    <x v="2"/>
    <x v="1"/>
    <n v="0"/>
    <n v="0"/>
    <n v="21.936"/>
    <n v="21.936"/>
    <n v="21.936"/>
    <n v="21.936"/>
    <n v="0"/>
    <x v="2"/>
    <n v="0"/>
    <n v="0"/>
    <n v="24"/>
    <n v="67"/>
    <n v="0"/>
    <n v="943.81"/>
    <n v="366.6"/>
    <m/>
    <n v="1019.176668187089"/>
    <n v="407.57745297626161"/>
    <n v="0"/>
    <n v="20703.416159999997"/>
    <n v="8041.7376000000004"/>
    <n v="0"/>
    <n v="22356.659393351983"/>
    <n v="8940.6190084872742"/>
  </r>
  <r>
    <s v="Regular"/>
    <x v="1"/>
    <x v="2"/>
    <x v="2"/>
    <x v="0"/>
    <x v="0"/>
    <x v="0"/>
    <x v="2"/>
    <x v="1"/>
    <n v="0"/>
    <n v="0"/>
    <n v="2.875"/>
    <n v="2.875"/>
    <n v="0"/>
    <n v="0"/>
    <n v="0"/>
    <x v="0"/>
    <n v="0"/>
    <n v="0"/>
    <n v="24"/>
    <n v="0"/>
    <n v="0"/>
    <n v="943.81"/>
    <n v="0"/>
    <m/>
    <n v="1019.176668187089"/>
    <m/>
    <n v="0"/>
    <n v="2713.4537499999997"/>
    <n v="0"/>
    <n v="0"/>
    <n v="2930.1329210378808"/>
    <n v="0"/>
  </r>
  <r>
    <s v="Regular"/>
    <x v="1"/>
    <x v="2"/>
    <x v="2"/>
    <x v="0"/>
    <x v="0"/>
    <x v="0"/>
    <x v="2"/>
    <x v="2"/>
    <n v="0"/>
    <n v="0"/>
    <n v="171.767"/>
    <n v="171.767"/>
    <n v="171.767"/>
    <n v="171.767"/>
    <n v="0"/>
    <x v="2"/>
    <n v="0"/>
    <n v="0"/>
    <n v="24"/>
    <n v="67"/>
    <n v="0"/>
    <n v="943.81"/>
    <n v="366.6"/>
    <m/>
    <n v="1019.176668187089"/>
    <n v="407.57745297626161"/>
    <n v="0"/>
    <n v="162115.41227"/>
    <n v="62969.782200000001"/>
    <n v="0"/>
    <n v="175060.91876449171"/>
    <n v="70008.356365373533"/>
  </r>
  <r>
    <s v="Sistema de Compensação"/>
    <x v="1"/>
    <x v="2"/>
    <x v="2"/>
    <x v="0"/>
    <x v="0"/>
    <x v="0"/>
    <x v="2"/>
    <x v="2"/>
    <n v="0"/>
    <n v="0"/>
    <n v="19.146999999999998"/>
    <n v="19.146999999999998"/>
    <n v="19.146999999999998"/>
    <n v="19.146999999999998"/>
    <n v="0"/>
    <x v="2"/>
    <n v="0"/>
    <n v="0"/>
    <n v="24"/>
    <n v="67"/>
    <n v="0"/>
    <n v="943.81"/>
    <n v="366.6"/>
    <m/>
    <n v="1019.176668187089"/>
    <n v="407.57745297626161"/>
    <n v="0"/>
    <n v="18071.130069999999"/>
    <n v="7019.2901999999995"/>
    <n v="0"/>
    <n v="19514.175665778192"/>
    <n v="7803.88549213648"/>
  </r>
  <r>
    <s v="Regular"/>
    <x v="1"/>
    <x v="2"/>
    <x v="2"/>
    <x v="0"/>
    <x v="0"/>
    <x v="0"/>
    <x v="2"/>
    <x v="3"/>
    <n v="0"/>
    <n v="0"/>
    <n v="170.976"/>
    <n v="170.976"/>
    <n v="170.976"/>
    <n v="170.976"/>
    <n v="0"/>
    <x v="2"/>
    <n v="0"/>
    <n v="0"/>
    <n v="24"/>
    <n v="67"/>
    <n v="0"/>
    <n v="943.81"/>
    <n v="366.6"/>
    <m/>
    <n v="1019.176668187089"/>
    <n v="407.57745297626161"/>
    <n v="0"/>
    <n v="161368.85855999999"/>
    <n v="62679.801600000006"/>
    <n v="0"/>
    <n v="174254.75001995574"/>
    <n v="69685.96260006931"/>
  </r>
  <r>
    <s v="Sistema de Compensação"/>
    <x v="1"/>
    <x v="2"/>
    <x v="2"/>
    <x v="0"/>
    <x v="0"/>
    <x v="0"/>
    <x v="2"/>
    <x v="3"/>
    <n v="0"/>
    <n v="0"/>
    <n v="20.213999999999999"/>
    <n v="20.213999999999999"/>
    <n v="20.213999999999999"/>
    <n v="20.213999999999999"/>
    <n v="0"/>
    <x v="2"/>
    <n v="0"/>
    <n v="0"/>
    <n v="24"/>
    <n v="67"/>
    <n v="0"/>
    <n v="943.81"/>
    <n v="366.6"/>
    <m/>
    <n v="1019.176668187089"/>
    <n v="407.57745297626161"/>
    <n v="0"/>
    <n v="19078.175339999998"/>
    <n v="7410.4524000000001"/>
    <n v="0"/>
    <n v="20601.637170733815"/>
    <n v="8238.7706344621511"/>
  </r>
  <r>
    <s v="Regular"/>
    <x v="1"/>
    <x v="2"/>
    <x v="2"/>
    <x v="0"/>
    <x v="0"/>
    <x v="0"/>
    <x v="2"/>
    <x v="4"/>
    <n v="0"/>
    <n v="0"/>
    <n v="161.262"/>
    <n v="161.262"/>
    <n v="161.262"/>
    <n v="161.262"/>
    <n v="0"/>
    <x v="2"/>
    <n v="0"/>
    <n v="0"/>
    <n v="24"/>
    <n v="67"/>
    <n v="0"/>
    <n v="943.81"/>
    <n v="366.6"/>
    <m/>
    <n v="1019.176668187089"/>
    <n v="407.57745297626161"/>
    <n v="0"/>
    <n v="152200.68821999998"/>
    <n v="59118.649200000007"/>
    <n v="0"/>
    <n v="164354.46786518637"/>
    <n v="65726.755221857893"/>
  </r>
  <r>
    <s v="Sistema de Compensação"/>
    <x v="1"/>
    <x v="2"/>
    <x v="2"/>
    <x v="0"/>
    <x v="0"/>
    <x v="0"/>
    <x v="2"/>
    <x v="4"/>
    <n v="0"/>
    <n v="0"/>
    <n v="20.029"/>
    <n v="20.029"/>
    <n v="20.029"/>
    <n v="20.029"/>
    <n v="0"/>
    <x v="2"/>
    <n v="0"/>
    <n v="0"/>
    <n v="24"/>
    <n v="67"/>
    <n v="0"/>
    <n v="943.81"/>
    <n v="366.6"/>
    <m/>
    <n v="1019.176668187089"/>
    <n v="407.57745297626161"/>
    <n v="0"/>
    <n v="18903.570489999998"/>
    <n v="7342.6314000000002"/>
    <n v="0"/>
    <n v="20413.089487119207"/>
    <n v="8163.3688056615438"/>
  </r>
  <r>
    <s v="Regular"/>
    <x v="1"/>
    <x v="2"/>
    <x v="2"/>
    <x v="0"/>
    <x v="0"/>
    <x v="0"/>
    <x v="2"/>
    <x v="5"/>
    <n v="0"/>
    <n v="0"/>
    <n v="163.68700000000001"/>
    <n v="163.68700000000001"/>
    <n v="163.68700000000001"/>
    <n v="163.68700000000001"/>
    <n v="0"/>
    <x v="2"/>
    <n v="0"/>
    <n v="0"/>
    <n v="24"/>
    <n v="67"/>
    <n v="0"/>
    <n v="943.81"/>
    <n v="366.6"/>
    <m/>
    <n v="1019.176668187089"/>
    <n v="407.57745297626161"/>
    <n v="0"/>
    <n v="154489.42747"/>
    <n v="60007.654200000004"/>
    <n v="0"/>
    <n v="166825.97128554006"/>
    <n v="66715.130545325344"/>
  </r>
  <r>
    <s v="Sistema de Compensação"/>
    <x v="1"/>
    <x v="2"/>
    <x v="2"/>
    <x v="0"/>
    <x v="0"/>
    <x v="0"/>
    <x v="2"/>
    <x v="5"/>
    <n v="0"/>
    <n v="0"/>
    <n v="27.645"/>
    <n v="27.645"/>
    <n v="27.645"/>
    <n v="27.645"/>
    <n v="0"/>
    <x v="2"/>
    <n v="0"/>
    <n v="0"/>
    <n v="24"/>
    <n v="67"/>
    <n v="0"/>
    <n v="943.81"/>
    <n v="366.6"/>
    <m/>
    <n v="1019.176668187089"/>
    <n v="407.57745297626161"/>
    <n v="0"/>
    <n v="26091.627449999996"/>
    <n v="10134.657000000001"/>
    <n v="0"/>
    <n v="28175.138992032076"/>
    <n v="11267.478687528752"/>
  </r>
  <r>
    <s v="Regular"/>
    <x v="1"/>
    <x v="2"/>
    <x v="2"/>
    <x v="0"/>
    <x v="0"/>
    <x v="0"/>
    <x v="2"/>
    <x v="6"/>
    <n v="0"/>
    <n v="0"/>
    <n v="154.27000000000001"/>
    <n v="154.27000000000001"/>
    <n v="154.27000000000001"/>
    <n v="154.27000000000001"/>
    <n v="0"/>
    <x v="2"/>
    <n v="0"/>
    <n v="0"/>
    <n v="24"/>
    <n v="67"/>
    <n v="0"/>
    <n v="943.81"/>
    <n v="366.6"/>
    <m/>
    <n v="1019.176668187089"/>
    <n v="407.57745297626161"/>
    <n v="0"/>
    <n v="145601.5687"/>
    <n v="56555.382000000005"/>
    <n v="0"/>
    <n v="157228.38460122223"/>
    <n v="62876.97367064788"/>
  </r>
  <r>
    <s v="Sistema de Compensação"/>
    <x v="1"/>
    <x v="2"/>
    <x v="2"/>
    <x v="0"/>
    <x v="0"/>
    <x v="0"/>
    <x v="2"/>
    <x v="6"/>
    <n v="0"/>
    <n v="0"/>
    <n v="29.376000000000001"/>
    <n v="29.376000000000001"/>
    <n v="29.376000000000001"/>
    <n v="29.376000000000001"/>
    <n v="0"/>
    <x v="2"/>
    <n v="0"/>
    <n v="0"/>
    <n v="24"/>
    <n v="67"/>
    <n v="0"/>
    <n v="943.81"/>
    <n v="366.6"/>
    <m/>
    <n v="1019.176668187089"/>
    <n v="407.57745297626161"/>
    <n v="0"/>
    <n v="27725.362559999998"/>
    <n v="10769.241600000001"/>
    <n v="0"/>
    <n v="29939.333804663929"/>
    <n v="11972.995258630661"/>
  </r>
  <r>
    <s v="Regular"/>
    <x v="1"/>
    <x v="2"/>
    <x v="2"/>
    <x v="0"/>
    <x v="0"/>
    <x v="0"/>
    <x v="2"/>
    <x v="6"/>
    <n v="0"/>
    <n v="0"/>
    <n v="21.254999999999999"/>
    <n v="21.254999999999999"/>
    <n v="0"/>
    <n v="0"/>
    <n v="0"/>
    <x v="0"/>
    <n v="0"/>
    <n v="0"/>
    <n v="24"/>
    <n v="0"/>
    <n v="0"/>
    <n v="943.81"/>
    <n v="0"/>
    <m/>
    <n v="1019.176668187089"/>
    <m/>
    <n v="0"/>
    <n v="20060.681549999998"/>
    <n v="0"/>
    <n v="0"/>
    <n v="21662.600082316578"/>
    <n v="0"/>
  </r>
  <r>
    <s v="Regular"/>
    <x v="1"/>
    <x v="2"/>
    <x v="2"/>
    <x v="0"/>
    <x v="0"/>
    <x v="0"/>
    <x v="2"/>
    <x v="7"/>
    <n v="0"/>
    <n v="0"/>
    <n v="162.05799999999999"/>
    <n v="162.05799999999999"/>
    <n v="162.05799999999999"/>
    <n v="162.05799999999999"/>
    <n v="0"/>
    <x v="2"/>
    <n v="0"/>
    <n v="0"/>
    <n v="24"/>
    <n v="67"/>
    <n v="0"/>
    <n v="943.81"/>
    <n v="366.6"/>
    <m/>
    <n v="1019.176668187089"/>
    <n v="407.57745297626161"/>
    <n v="0"/>
    <n v="152951.96097999997"/>
    <n v="59410.462800000001"/>
    <n v="0"/>
    <n v="165165.73249306326"/>
    <n v="66051.186874427003"/>
  </r>
  <r>
    <s v="Sistema de Compensação"/>
    <x v="1"/>
    <x v="2"/>
    <x v="2"/>
    <x v="0"/>
    <x v="0"/>
    <x v="0"/>
    <x v="2"/>
    <x v="7"/>
    <n v="0"/>
    <n v="0"/>
    <n v="30.436"/>
    <n v="30.436"/>
    <n v="30.436"/>
    <n v="30.436"/>
    <n v="0"/>
    <x v="2"/>
    <n v="0"/>
    <n v="0"/>
    <n v="24"/>
    <n v="67"/>
    <n v="0"/>
    <n v="943.81"/>
    <n v="366.6"/>
    <m/>
    <n v="1019.176668187089"/>
    <n v="407.57745297626161"/>
    <n v="0"/>
    <n v="28725.801159999999"/>
    <n v="11157.837600000001"/>
    <n v="0"/>
    <n v="31019.661072942243"/>
    <n v="12405.027358785499"/>
  </r>
  <r>
    <s v="Sistema de Compensação"/>
    <x v="1"/>
    <x v="2"/>
    <x v="2"/>
    <x v="0"/>
    <x v="0"/>
    <x v="0"/>
    <x v="2"/>
    <x v="7"/>
    <n v="0"/>
    <n v="0"/>
    <n v="-1.68"/>
    <n v="-1.68"/>
    <n v="-1.68"/>
    <n v="-1.68"/>
    <n v="0"/>
    <x v="2"/>
    <n v="0"/>
    <n v="0"/>
    <n v="24"/>
    <n v="67"/>
    <n v="0"/>
    <n v="943.81"/>
    <n v="366.6"/>
    <m/>
    <n v="1019.176668187089"/>
    <n v="407.57745297626161"/>
    <n v="0"/>
    <n v="-1585.6007999999999"/>
    <n v="-615.88800000000003"/>
    <n v="0"/>
    <n v="-1712.2168025543094"/>
    <n v="-684.73012100011942"/>
  </r>
  <r>
    <s v="Regular"/>
    <x v="1"/>
    <x v="2"/>
    <x v="2"/>
    <x v="0"/>
    <x v="0"/>
    <x v="0"/>
    <x v="2"/>
    <x v="7"/>
    <n v="0"/>
    <n v="0"/>
    <n v="21.91"/>
    <n v="21.91"/>
    <n v="0"/>
    <n v="0"/>
    <n v="0"/>
    <x v="0"/>
    <n v="0"/>
    <n v="0"/>
    <n v="24"/>
    <n v="0"/>
    <n v="0"/>
    <n v="943.81"/>
    <n v="0"/>
    <m/>
    <n v="1019.176668187089"/>
    <m/>
    <n v="0"/>
    <n v="20678.877099999998"/>
    <n v="0"/>
    <n v="0"/>
    <n v="22330.160799979119"/>
    <n v="0"/>
  </r>
  <r>
    <s v="Regular"/>
    <x v="1"/>
    <x v="2"/>
    <x v="2"/>
    <x v="0"/>
    <x v="0"/>
    <x v="0"/>
    <x v="2"/>
    <x v="8"/>
    <n v="0"/>
    <n v="0"/>
    <n v="172.59"/>
    <n v="172.59"/>
    <n v="172.59"/>
    <n v="172.59"/>
    <n v="0"/>
    <x v="2"/>
    <n v="0"/>
    <n v="0"/>
    <n v="24"/>
    <n v="67"/>
    <n v="0"/>
    <n v="943.81"/>
    <n v="366.6"/>
    <m/>
    <n v="1019.176668187089"/>
    <n v="407.57745297626161"/>
    <n v="0"/>
    <n v="162892.1679"/>
    <n v="63271.494000000006"/>
    <n v="0"/>
    <n v="175899.70116240971"/>
    <n v="70343.79260917299"/>
  </r>
  <r>
    <s v="Sistema de Compensação"/>
    <x v="1"/>
    <x v="2"/>
    <x v="2"/>
    <x v="0"/>
    <x v="0"/>
    <x v="0"/>
    <x v="2"/>
    <x v="8"/>
    <n v="0"/>
    <n v="0"/>
    <n v="28.795000000000002"/>
    <n v="28.795000000000002"/>
    <n v="28.795000000000002"/>
    <n v="28.795000000000002"/>
    <n v="0"/>
    <x v="2"/>
    <n v="0"/>
    <n v="0"/>
    <n v="24"/>
    <n v="67"/>
    <n v="0"/>
    <n v="943.81"/>
    <n v="366.6"/>
    <m/>
    <n v="1019.176668187089"/>
    <n v="407.57745297626161"/>
    <n v="0"/>
    <n v="27177.008949999999"/>
    <n v="10556.247000000001"/>
    <n v="0"/>
    <n v="29347.19216044723"/>
    <n v="11736.192758451454"/>
  </r>
  <r>
    <s v="Regular"/>
    <x v="1"/>
    <x v="2"/>
    <x v="2"/>
    <x v="0"/>
    <x v="0"/>
    <x v="0"/>
    <x v="2"/>
    <x v="9"/>
    <n v="0"/>
    <n v="0"/>
    <n v="173.96100000000001"/>
    <n v="173.96100000000001"/>
    <n v="173.96100000000001"/>
    <n v="173.96100000000001"/>
    <n v="0"/>
    <x v="2"/>
    <n v="0"/>
    <n v="0"/>
    <n v="24"/>
    <n v="67"/>
    <n v="0"/>
    <n v="943.81"/>
    <n v="366.6"/>
    <m/>
    <n v="1019.176668187089"/>
    <n v="407.57745297626161"/>
    <n v="0"/>
    <n v="164186.13141"/>
    <n v="63774.102600000006"/>
    <n v="0"/>
    <n v="177296.99237449421"/>
    <n v="70902.581297203447"/>
  </r>
  <r>
    <s v="Sistema de Compensação"/>
    <x v="1"/>
    <x v="2"/>
    <x v="2"/>
    <x v="0"/>
    <x v="0"/>
    <x v="0"/>
    <x v="2"/>
    <x v="9"/>
    <n v="0"/>
    <n v="0"/>
    <n v="28.105"/>
    <n v="28.105"/>
    <n v="28.105"/>
    <n v="28.105"/>
    <n v="0"/>
    <x v="2"/>
    <n v="0"/>
    <n v="0"/>
    <n v="24"/>
    <n v="67"/>
    <n v="0"/>
    <n v="943.81"/>
    <n v="366.6"/>
    <m/>
    <n v="1019.176668187089"/>
    <n v="407.57745297626161"/>
    <n v="0"/>
    <n v="26525.780049999998"/>
    <n v="10303.293000000001"/>
    <n v="0"/>
    <n v="28643.960259398136"/>
    <n v="11454.964315897832"/>
  </r>
  <r>
    <s v="Regular"/>
    <x v="1"/>
    <x v="2"/>
    <x v="2"/>
    <x v="0"/>
    <x v="0"/>
    <x v="0"/>
    <x v="2"/>
    <x v="10"/>
    <n v="0"/>
    <n v="0"/>
    <n v="185.75700000000001"/>
    <n v="185.75700000000001"/>
    <n v="185.75700000000001"/>
    <n v="185.75700000000001"/>
    <n v="0"/>
    <x v="2"/>
    <n v="0"/>
    <n v="0"/>
    <n v="24"/>
    <n v="67"/>
    <n v="0"/>
    <n v="943.81"/>
    <n v="366.6"/>
    <m/>
    <n v="1019.176668187089"/>
    <n v="407.57745297626161"/>
    <n v="0"/>
    <n v="175319.31417"/>
    <n v="68098.516200000013"/>
    <n v="0"/>
    <n v="189319.20035242909"/>
    <n v="75710.364932511424"/>
  </r>
  <r>
    <s v="Sistema de Compensação"/>
    <x v="1"/>
    <x v="2"/>
    <x v="2"/>
    <x v="0"/>
    <x v="0"/>
    <x v="0"/>
    <x v="2"/>
    <x v="10"/>
    <n v="0"/>
    <n v="0"/>
    <n v="42.701000000000001"/>
    <n v="42.701000000000001"/>
    <n v="42.701000000000001"/>
    <n v="42.701000000000001"/>
    <n v="0"/>
    <x v="2"/>
    <n v="0"/>
    <n v="0"/>
    <n v="24"/>
    <n v="67"/>
    <n v="0"/>
    <n v="943.81"/>
    <n v="366.6"/>
    <m/>
    <n v="1019.176668187089"/>
    <n v="407.57745297626161"/>
    <n v="0"/>
    <n v="40301.630809999995"/>
    <n v="15654.186600000001"/>
    <n v="0"/>
    <n v="43519.862908256888"/>
    <n v="17403.964819539346"/>
  </r>
  <r>
    <s v="PROJETADO"/>
    <x v="1"/>
    <x v="2"/>
    <x v="2"/>
    <x v="0"/>
    <x v="0"/>
    <x v="0"/>
    <x v="2"/>
    <x v="11"/>
    <n v="0"/>
    <n v="0"/>
    <n v="185.75700000000001"/>
    <n v="185.75700000000001"/>
    <n v="185.75700000000001"/>
    <n v="185.75700000000001"/>
    <n v="0"/>
    <x v="2"/>
    <n v="0"/>
    <n v="0"/>
    <n v="24"/>
    <n v="67"/>
    <n v="0"/>
    <n v="943.81"/>
    <n v="366.6"/>
    <m/>
    <n v="1019.176668187089"/>
    <n v="407.57745297626161"/>
    <n v="0"/>
    <n v="175319.31417"/>
    <n v="68098.516200000013"/>
    <n v="0"/>
    <n v="189319.20035242909"/>
    <n v="75710.364932511424"/>
  </r>
  <r>
    <s v="PROJETADO"/>
    <x v="1"/>
    <x v="2"/>
    <x v="2"/>
    <x v="0"/>
    <x v="0"/>
    <x v="0"/>
    <x v="2"/>
    <x v="11"/>
    <n v="0"/>
    <n v="0"/>
    <n v="42.701000000000001"/>
    <n v="42.701000000000001"/>
    <n v="42.701000000000001"/>
    <n v="42.701000000000001"/>
    <n v="0"/>
    <x v="2"/>
    <n v="0"/>
    <n v="0"/>
    <n v="24"/>
    <n v="67"/>
    <n v="0"/>
    <n v="943.81"/>
    <n v="366.6"/>
    <m/>
    <n v="1019.176668187089"/>
    <n v="407.57745297626161"/>
    <n v="0"/>
    <n v="40301.630809999995"/>
    <n v="15654.186600000001"/>
    <n v="0"/>
    <n v="43519.862908256888"/>
    <n v="17403.964819539346"/>
  </r>
  <r>
    <s v="Regular"/>
    <x v="1"/>
    <x v="2"/>
    <x v="5"/>
    <x v="0"/>
    <x v="0"/>
    <x v="0"/>
    <x v="0"/>
    <x v="0"/>
    <n v="0"/>
    <n v="0"/>
    <n v="14.76"/>
    <n v="14.76"/>
    <n v="14.76"/>
    <n v="14.76"/>
    <n v="0"/>
    <x v="2"/>
    <n v="0"/>
    <n v="0"/>
    <n v="25"/>
    <n v="68"/>
    <n v="0"/>
    <n v="43.65"/>
    <n v="219.03"/>
    <m/>
    <n v="52.882770228452522"/>
    <n v="252.43227829401354"/>
    <n v="0"/>
    <n v="644.274"/>
    <n v="3232.8827999999999"/>
    <n v="0"/>
    <n v="780.54968857195922"/>
    <n v="3725.9004276196397"/>
  </r>
  <r>
    <s v="Regular"/>
    <x v="1"/>
    <x v="2"/>
    <x v="5"/>
    <x v="0"/>
    <x v="0"/>
    <x v="0"/>
    <x v="0"/>
    <x v="1"/>
    <n v="0"/>
    <n v="0"/>
    <n v="15.016"/>
    <n v="15.016"/>
    <n v="15.016"/>
    <n v="15.016"/>
    <n v="0"/>
    <x v="2"/>
    <n v="0"/>
    <n v="0"/>
    <n v="25"/>
    <n v="68"/>
    <n v="0"/>
    <n v="43.65"/>
    <n v="219.03"/>
    <m/>
    <n v="52.882770228452522"/>
    <n v="252.43227829401354"/>
    <n v="0"/>
    <n v="655.44839999999999"/>
    <n v="3288.9544799999999"/>
    <n v="0"/>
    <n v="794.08767775044305"/>
    <n v="3790.5230908629073"/>
  </r>
  <r>
    <s v="Regular"/>
    <x v="1"/>
    <x v="2"/>
    <x v="5"/>
    <x v="0"/>
    <x v="0"/>
    <x v="0"/>
    <x v="0"/>
    <x v="2"/>
    <n v="0"/>
    <n v="0"/>
    <n v="14.35"/>
    <n v="14.35"/>
    <n v="14.35"/>
    <n v="14.35"/>
    <n v="0"/>
    <x v="2"/>
    <n v="0"/>
    <n v="0"/>
    <n v="25"/>
    <n v="68"/>
    <n v="0"/>
    <n v="43.65"/>
    <n v="219.03"/>
    <m/>
    <n v="52.882770228452522"/>
    <n v="252.43227829401354"/>
    <n v="0"/>
    <n v="626.37749999999994"/>
    <n v="3143.0805"/>
    <n v="0"/>
    <n v="758.86775277829372"/>
    <n v="3622.4031935190942"/>
  </r>
  <r>
    <s v="Regular"/>
    <x v="1"/>
    <x v="2"/>
    <x v="5"/>
    <x v="0"/>
    <x v="0"/>
    <x v="0"/>
    <x v="0"/>
    <x v="3"/>
    <n v="0"/>
    <n v="0"/>
    <n v="15.478"/>
    <n v="15.478"/>
    <n v="15.478"/>
    <n v="15.478"/>
    <n v="0"/>
    <x v="2"/>
    <n v="0"/>
    <n v="0"/>
    <n v="25"/>
    <n v="68"/>
    <n v="0"/>
    <n v="43.65"/>
    <n v="219.03"/>
    <m/>
    <n v="52.882770228452522"/>
    <n v="252.43227829401354"/>
    <n v="0"/>
    <n v="675.61469999999997"/>
    <n v="3390.1463399999998"/>
    <n v="0"/>
    <n v="818.51951759598808"/>
    <n v="3907.1468034347417"/>
  </r>
  <r>
    <s v="Regular"/>
    <x v="1"/>
    <x v="2"/>
    <x v="5"/>
    <x v="0"/>
    <x v="0"/>
    <x v="0"/>
    <x v="0"/>
    <x v="4"/>
    <n v="0"/>
    <n v="0"/>
    <n v="12.3"/>
    <n v="12.3"/>
    <n v="12.3"/>
    <n v="12.3"/>
    <n v="0"/>
    <x v="2"/>
    <n v="0"/>
    <n v="0"/>
    <n v="25"/>
    <n v="68"/>
    <n v="0"/>
    <n v="43.65"/>
    <n v="219.03"/>
    <m/>
    <n v="52.882770228452522"/>
    <n v="252.43227829401354"/>
    <n v="0"/>
    <n v="536.89499999999998"/>
    <n v="2694.069"/>
    <n v="0"/>
    <n v="650.45807380996609"/>
    <n v="3104.9170230163668"/>
  </r>
  <r>
    <s v="Regular"/>
    <x v="1"/>
    <x v="2"/>
    <x v="5"/>
    <x v="0"/>
    <x v="0"/>
    <x v="0"/>
    <x v="0"/>
    <x v="5"/>
    <n v="0"/>
    <n v="0"/>
    <n v="11.224"/>
    <n v="11.224"/>
    <n v="11.224"/>
    <n v="11.224"/>
    <n v="0"/>
    <x v="2"/>
    <n v="0"/>
    <n v="0"/>
    <n v="25"/>
    <n v="68"/>
    <n v="0"/>
    <n v="43.65"/>
    <n v="219.03"/>
    <m/>
    <n v="52.882770228452522"/>
    <n v="252.43227829401354"/>
    <n v="0"/>
    <n v="489.92759999999998"/>
    <n v="2458.3927200000003"/>
    <n v="0"/>
    <n v="593.55621304415115"/>
    <n v="2833.2998915720082"/>
  </r>
  <r>
    <s v="Regular"/>
    <x v="1"/>
    <x v="2"/>
    <x v="5"/>
    <x v="0"/>
    <x v="0"/>
    <x v="0"/>
    <x v="0"/>
    <x v="6"/>
    <n v="0"/>
    <n v="0"/>
    <n v="11.634"/>
    <n v="11.634"/>
    <n v="11.634"/>
    <n v="11.634"/>
    <n v="0"/>
    <x v="2"/>
    <n v="0"/>
    <n v="0"/>
    <n v="25"/>
    <n v="68"/>
    <n v="0"/>
    <n v="43.65"/>
    <n v="219.03"/>
    <m/>
    <n v="52.882770228452522"/>
    <n v="252.43227829401354"/>
    <n v="0"/>
    <n v="507.82409999999999"/>
    <n v="2548.1950200000001"/>
    <n v="0"/>
    <n v="615.23814883781665"/>
    <n v="2936.7971256725536"/>
  </r>
  <r>
    <s v="Regular"/>
    <x v="1"/>
    <x v="2"/>
    <x v="5"/>
    <x v="0"/>
    <x v="0"/>
    <x v="0"/>
    <x v="0"/>
    <x v="7"/>
    <n v="0"/>
    <n v="0"/>
    <n v="10.353"/>
    <n v="10.353"/>
    <n v="10.353"/>
    <n v="10.353"/>
    <n v="0"/>
    <x v="2"/>
    <n v="0"/>
    <n v="0"/>
    <n v="25"/>
    <n v="68"/>
    <n v="0"/>
    <n v="43.65"/>
    <n v="219.03"/>
    <m/>
    <n v="52.882770228452522"/>
    <n v="252.43227829401354"/>
    <n v="0"/>
    <n v="451.90844999999996"/>
    <n v="2267.6175899999998"/>
    <n v="0"/>
    <n v="547.4953201751689"/>
    <n v="2613.4313771779221"/>
  </r>
  <r>
    <s v="Regular"/>
    <x v="1"/>
    <x v="2"/>
    <x v="5"/>
    <x v="0"/>
    <x v="0"/>
    <x v="0"/>
    <x v="0"/>
    <x v="8"/>
    <n v="0"/>
    <n v="0"/>
    <n v="11.993"/>
    <n v="11.993"/>
    <n v="11.993"/>
    <n v="11.993"/>
    <n v="0"/>
    <x v="2"/>
    <n v="0"/>
    <n v="0"/>
    <n v="25"/>
    <n v="68"/>
    <n v="0"/>
    <n v="43.65"/>
    <n v="219.03"/>
    <m/>
    <n v="52.882770228452522"/>
    <n v="252.43227829401354"/>
    <n v="0"/>
    <n v="523.49445000000003"/>
    <n v="2626.8267900000001"/>
    <n v="0"/>
    <n v="634.22306334983114"/>
    <n v="3027.4203135801044"/>
  </r>
  <r>
    <s v="Regular"/>
    <x v="1"/>
    <x v="2"/>
    <x v="5"/>
    <x v="0"/>
    <x v="0"/>
    <x v="0"/>
    <x v="0"/>
    <x v="9"/>
    <n v="0"/>
    <n v="0"/>
    <n v="12.403"/>
    <n v="12.403"/>
    <n v="12.403"/>
    <n v="12.403"/>
    <n v="0"/>
    <x v="2"/>
    <n v="0"/>
    <n v="0"/>
    <n v="25"/>
    <n v="68"/>
    <n v="0"/>
    <n v="43.65"/>
    <n v="219.03"/>
    <m/>
    <n v="52.882770228452522"/>
    <n v="252.43227829401354"/>
    <n v="0"/>
    <n v="541.39094999999998"/>
    <n v="2716.6290899999999"/>
    <n v="0"/>
    <n v="655.90499914349664"/>
    <n v="3130.9175476806499"/>
  </r>
  <r>
    <s v="Regular"/>
    <x v="1"/>
    <x v="2"/>
    <x v="5"/>
    <x v="0"/>
    <x v="0"/>
    <x v="0"/>
    <x v="0"/>
    <x v="10"/>
    <n v="0"/>
    <n v="0"/>
    <n v="13.324999999999999"/>
    <n v="13.324999999999999"/>
    <n v="13.324999999999999"/>
    <n v="13.324999999999999"/>
    <n v="0"/>
    <x v="2"/>
    <n v="0"/>
    <n v="0"/>
    <n v="25"/>
    <n v="68"/>
    <n v="0"/>
    <n v="43.65"/>
    <n v="219.03"/>
    <m/>
    <n v="52.882770228452522"/>
    <n v="252.43227829401354"/>
    <n v="0"/>
    <n v="581.6362499999999"/>
    <n v="2918.5747499999998"/>
    <n v="0"/>
    <n v="704.66291329412979"/>
    <n v="3363.6601082677303"/>
  </r>
  <r>
    <s v="PROJETADO"/>
    <x v="1"/>
    <x v="2"/>
    <x v="5"/>
    <x v="0"/>
    <x v="0"/>
    <x v="0"/>
    <x v="0"/>
    <x v="11"/>
    <n v="0"/>
    <n v="0"/>
    <n v="13.324999999999999"/>
    <n v="13.324999999999999"/>
    <n v="13.324999999999999"/>
    <n v="13.324999999999999"/>
    <n v="0"/>
    <x v="2"/>
    <n v="0"/>
    <n v="0"/>
    <n v="25"/>
    <n v="68"/>
    <n v="0"/>
    <n v="43.65"/>
    <n v="219.03"/>
    <m/>
    <n v="52.882770228452522"/>
    <n v="252.43227829401354"/>
    <n v="0"/>
    <n v="581.6362499999999"/>
    <n v="2918.5747499999998"/>
    <n v="0"/>
    <n v="704.66291329412979"/>
    <n v="3363.6601082677303"/>
  </r>
  <r>
    <s v="Regular"/>
    <x v="1"/>
    <x v="2"/>
    <x v="5"/>
    <x v="0"/>
    <x v="0"/>
    <x v="0"/>
    <x v="1"/>
    <x v="0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1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2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3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4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5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6"/>
    <n v="62"/>
    <n v="62"/>
    <n v="0"/>
    <n v="0"/>
    <n v="0"/>
    <n v="0"/>
    <n v="1"/>
    <x v="2"/>
    <n v="0"/>
    <n v="23"/>
    <n v="0"/>
    <n v="0"/>
    <n v="18.48"/>
    <n v="0"/>
    <n v="0"/>
    <n v="19.543462882439208"/>
    <m/>
    <m/>
    <n v="1145.76"/>
    <n v="0"/>
    <n v="0"/>
    <n v="1211.6946987112308"/>
    <n v="0"/>
    <n v="0"/>
  </r>
  <r>
    <s v="Regular"/>
    <x v="1"/>
    <x v="2"/>
    <x v="5"/>
    <x v="0"/>
    <x v="0"/>
    <x v="0"/>
    <x v="1"/>
    <x v="7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8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9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1"/>
    <x v="10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PROJETADO"/>
    <x v="1"/>
    <x v="2"/>
    <x v="5"/>
    <x v="0"/>
    <x v="0"/>
    <x v="0"/>
    <x v="1"/>
    <x v="11"/>
    <n v="61"/>
    <n v="61"/>
    <n v="0"/>
    <n v="0"/>
    <n v="0"/>
    <n v="0"/>
    <n v="1"/>
    <x v="2"/>
    <n v="0"/>
    <n v="23"/>
    <n v="0"/>
    <n v="0"/>
    <n v="18.48"/>
    <n v="0"/>
    <n v="0"/>
    <n v="19.543462882439208"/>
    <m/>
    <m/>
    <n v="1127.28"/>
    <n v="0"/>
    <n v="0"/>
    <n v="1192.1512358287916"/>
    <n v="0"/>
    <n v="0"/>
  </r>
  <r>
    <s v="Regular"/>
    <x v="1"/>
    <x v="2"/>
    <x v="5"/>
    <x v="0"/>
    <x v="0"/>
    <x v="0"/>
    <x v="2"/>
    <x v="0"/>
    <n v="0"/>
    <n v="0"/>
    <n v="1.589"/>
    <n v="1.589"/>
    <n v="1.589"/>
    <n v="1.589"/>
    <n v="0"/>
    <x v="2"/>
    <n v="0"/>
    <n v="0"/>
    <n v="24"/>
    <n v="67"/>
    <n v="0"/>
    <n v="943.81"/>
    <n v="366.6"/>
    <m/>
    <n v="1019.176668187089"/>
    <n v="407.57745297626161"/>
    <n v="0"/>
    <n v="1499.7140899999999"/>
    <n v="582.52740000000006"/>
    <n v="0"/>
    <n v="1619.4717257492844"/>
    <n v="647.64057277927964"/>
  </r>
  <r>
    <s v="Regular"/>
    <x v="1"/>
    <x v="2"/>
    <x v="5"/>
    <x v="0"/>
    <x v="0"/>
    <x v="0"/>
    <x v="2"/>
    <x v="1"/>
    <n v="0"/>
    <n v="0"/>
    <n v="1.589"/>
    <n v="1.589"/>
    <n v="1.589"/>
    <n v="1.589"/>
    <n v="0"/>
    <x v="2"/>
    <n v="0"/>
    <n v="0"/>
    <n v="24"/>
    <n v="67"/>
    <n v="0"/>
    <n v="943.81"/>
    <n v="366.6"/>
    <m/>
    <n v="1019.176668187089"/>
    <n v="407.57745297626161"/>
    <n v="0"/>
    <n v="1499.7140899999999"/>
    <n v="582.52740000000006"/>
    <n v="0"/>
    <n v="1619.4717257492844"/>
    <n v="647.64057277927964"/>
  </r>
  <r>
    <s v="Regular"/>
    <x v="1"/>
    <x v="2"/>
    <x v="5"/>
    <x v="0"/>
    <x v="0"/>
    <x v="0"/>
    <x v="2"/>
    <x v="2"/>
    <n v="0"/>
    <n v="0"/>
    <n v="1.538"/>
    <n v="1.538"/>
    <n v="1.538"/>
    <n v="1.538"/>
    <n v="0"/>
    <x v="2"/>
    <n v="0"/>
    <n v="0"/>
    <n v="24"/>
    <n v="67"/>
    <n v="0"/>
    <n v="943.81"/>
    <n v="366.6"/>
    <m/>
    <n v="1019.176668187089"/>
    <n v="407.57745297626161"/>
    <n v="0"/>
    <n v="1451.57978"/>
    <n v="563.83080000000007"/>
    <n v="0"/>
    <n v="1567.4937156717431"/>
    <n v="626.85412267749041"/>
  </r>
  <r>
    <s v="Regular"/>
    <x v="1"/>
    <x v="2"/>
    <x v="5"/>
    <x v="0"/>
    <x v="0"/>
    <x v="0"/>
    <x v="2"/>
    <x v="3"/>
    <n v="0"/>
    <n v="0"/>
    <n v="1.7430000000000001"/>
    <n v="1.7430000000000001"/>
    <n v="1.7430000000000001"/>
    <n v="1.7430000000000001"/>
    <n v="0"/>
    <x v="2"/>
    <n v="0"/>
    <n v="0"/>
    <n v="24"/>
    <n v="67"/>
    <n v="0"/>
    <n v="943.81"/>
    <n v="366.6"/>
    <m/>
    <n v="1019.176668187089"/>
    <n v="407.57745297626161"/>
    <n v="0"/>
    <n v="1645.0608299999999"/>
    <n v="638.98380000000009"/>
    <n v="0"/>
    <n v="1776.4249326500963"/>
    <n v="710.40750053762406"/>
  </r>
  <r>
    <s v="Regular"/>
    <x v="1"/>
    <x v="2"/>
    <x v="5"/>
    <x v="0"/>
    <x v="0"/>
    <x v="0"/>
    <x v="2"/>
    <x v="4"/>
    <n v="0"/>
    <n v="0"/>
    <n v="1.23"/>
    <n v="1.23"/>
    <n v="1.23"/>
    <n v="1.23"/>
    <n v="0"/>
    <x v="2"/>
    <n v="0"/>
    <n v="0"/>
    <n v="24"/>
    <n v="67"/>
    <n v="0"/>
    <n v="943.81"/>
    <n v="366.6"/>
    <m/>
    <n v="1019.176668187089"/>
    <n v="407.57745297626161"/>
    <n v="0"/>
    <n v="1160.8862999999999"/>
    <n v="450.91800000000001"/>
    <n v="0"/>
    <n v="1253.5873018701195"/>
    <n v="501.32026716080179"/>
  </r>
  <r>
    <s v="Regular"/>
    <x v="1"/>
    <x v="2"/>
    <x v="5"/>
    <x v="0"/>
    <x v="0"/>
    <x v="0"/>
    <x v="2"/>
    <x v="5"/>
    <n v="0"/>
    <n v="0"/>
    <n v="1.333"/>
    <n v="1.333"/>
    <n v="1.333"/>
    <n v="1.333"/>
    <n v="0"/>
    <x v="2"/>
    <n v="0"/>
    <n v="0"/>
    <n v="24"/>
    <n v="67"/>
    <n v="0"/>
    <n v="943.81"/>
    <n v="366.6"/>
    <m/>
    <n v="1019.176668187089"/>
    <n v="407.57745297626161"/>
    <n v="0"/>
    <n v="1258.0987299999999"/>
    <n v="488.67779999999999"/>
    <n v="0"/>
    <n v="1358.5624986933897"/>
    <n v="543.30074481735676"/>
  </r>
  <r>
    <s v="Regular"/>
    <x v="1"/>
    <x v="2"/>
    <x v="5"/>
    <x v="0"/>
    <x v="0"/>
    <x v="0"/>
    <x v="2"/>
    <x v="6"/>
    <n v="0"/>
    <n v="0"/>
    <n v="1.3839999999999999"/>
    <n v="1.3839999999999999"/>
    <n v="1.3839999999999999"/>
    <n v="1.3839999999999999"/>
    <n v="0"/>
    <x v="2"/>
    <n v="0"/>
    <n v="0"/>
    <n v="24"/>
    <n v="67"/>
    <n v="0"/>
    <n v="943.81"/>
    <n v="366.6"/>
    <m/>
    <n v="1019.176668187089"/>
    <n v="407.57745297626161"/>
    <n v="0"/>
    <n v="1306.2330399999998"/>
    <n v="507.37439999999998"/>
    <n v="0"/>
    <n v="1410.5405087709312"/>
    <n v="564.08719491914599"/>
  </r>
  <r>
    <s v="Regular"/>
    <x v="1"/>
    <x v="2"/>
    <x v="5"/>
    <x v="0"/>
    <x v="0"/>
    <x v="0"/>
    <x v="2"/>
    <x v="7"/>
    <n v="0"/>
    <n v="0"/>
    <n v="1.179"/>
    <n v="1.179"/>
    <n v="1.179"/>
    <n v="1.179"/>
    <n v="0"/>
    <x v="2"/>
    <n v="0"/>
    <n v="0"/>
    <n v="24"/>
    <n v="67"/>
    <n v="0"/>
    <n v="943.81"/>
    <n v="366.6"/>
    <m/>
    <n v="1019.176668187089"/>
    <n v="407.57745297626161"/>
    <n v="0"/>
    <n v="1112.75199"/>
    <n v="432.22140000000002"/>
    <n v="0"/>
    <n v="1201.609291792578"/>
    <n v="480.53381705901245"/>
  </r>
  <r>
    <s v="Regular"/>
    <x v="1"/>
    <x v="2"/>
    <x v="5"/>
    <x v="0"/>
    <x v="0"/>
    <x v="0"/>
    <x v="2"/>
    <x v="8"/>
    <n v="0"/>
    <n v="0"/>
    <n v="1.2809999999999999"/>
    <n v="1.2809999999999999"/>
    <n v="1.2809999999999999"/>
    <n v="1.2809999999999999"/>
    <n v="0"/>
    <x v="2"/>
    <n v="0"/>
    <n v="0"/>
    <n v="24"/>
    <n v="67"/>
    <n v="0"/>
    <n v="943.81"/>
    <n v="366.6"/>
    <m/>
    <n v="1019.176668187089"/>
    <n v="407.57745297626161"/>
    <n v="0"/>
    <n v="1209.0206099999998"/>
    <n v="469.6146"/>
    <n v="0"/>
    <n v="1305.565311947661"/>
    <n v="522.10671726259113"/>
  </r>
  <r>
    <s v="Regular"/>
    <x v="1"/>
    <x v="2"/>
    <x v="5"/>
    <x v="0"/>
    <x v="0"/>
    <x v="0"/>
    <x v="2"/>
    <x v="9"/>
    <n v="0"/>
    <n v="0"/>
    <n v="1.1279999999999999"/>
    <n v="1.1279999999999999"/>
    <n v="1.1279999999999999"/>
    <n v="1.1279999999999999"/>
    <n v="0"/>
    <x v="2"/>
    <n v="0"/>
    <n v="0"/>
    <n v="24"/>
    <n v="67"/>
    <n v="0"/>
    <n v="943.81"/>
    <n v="366.6"/>
    <m/>
    <n v="1019.176668187089"/>
    <n v="407.57745297626161"/>
    <n v="0"/>
    <n v="1064.6176799999998"/>
    <n v="413.52479999999997"/>
    <n v="0"/>
    <n v="1149.6312817150363"/>
    <n v="459.74736695722305"/>
  </r>
  <r>
    <s v="Regular"/>
    <x v="1"/>
    <x v="2"/>
    <x v="5"/>
    <x v="0"/>
    <x v="0"/>
    <x v="0"/>
    <x v="2"/>
    <x v="10"/>
    <n v="0"/>
    <n v="0"/>
    <n v="1.1279999999999999"/>
    <n v="1.1279999999999999"/>
    <n v="1.1279999999999999"/>
    <n v="1.1279999999999999"/>
    <n v="0"/>
    <x v="2"/>
    <n v="0"/>
    <n v="0"/>
    <n v="24"/>
    <n v="67"/>
    <n v="0"/>
    <n v="943.81"/>
    <n v="366.6"/>
    <m/>
    <n v="1019.176668187089"/>
    <n v="407.57745297626161"/>
    <n v="0"/>
    <n v="1064.6176799999998"/>
    <n v="413.52479999999997"/>
    <n v="0"/>
    <n v="1149.6312817150363"/>
    <n v="459.74736695722305"/>
  </r>
  <r>
    <s v="PROJETADO"/>
    <x v="1"/>
    <x v="2"/>
    <x v="5"/>
    <x v="0"/>
    <x v="0"/>
    <x v="0"/>
    <x v="2"/>
    <x v="11"/>
    <n v="0"/>
    <n v="0"/>
    <n v="1.1279999999999999"/>
    <n v="1.1279999999999999"/>
    <n v="1.1279999999999999"/>
    <n v="1.1279999999999999"/>
    <n v="0"/>
    <x v="2"/>
    <n v="0"/>
    <n v="0"/>
    <n v="24"/>
    <n v="67"/>
    <n v="0"/>
    <n v="943.81"/>
    <n v="366.6"/>
    <m/>
    <n v="1019.176668187089"/>
    <n v="407.57745297626161"/>
    <n v="0"/>
    <n v="1064.6176799999998"/>
    <n v="413.52479999999997"/>
    <n v="0"/>
    <n v="1149.6312817150363"/>
    <n v="459.74736695722305"/>
  </r>
  <r>
    <s v="Regular"/>
    <x v="1"/>
    <x v="2"/>
    <x v="0"/>
    <x v="0"/>
    <x v="1"/>
    <x v="0"/>
    <x v="0"/>
    <x v="0"/>
    <n v="0"/>
    <n v="0"/>
    <n v="3771.5549999999998"/>
    <n v="3771.5549999999998"/>
    <n v="0"/>
    <n v="0"/>
    <n v="0"/>
    <x v="0"/>
    <n v="0"/>
    <n v="0"/>
    <n v="25"/>
    <n v="0"/>
    <n v="0"/>
    <n v="43.65"/>
    <n v="0"/>
    <m/>
    <n v="52.882770228452522"/>
    <m/>
    <n v="0"/>
    <n v="164628.37574999998"/>
    <n v="0"/>
    <n v="0"/>
    <n v="199450.27646897125"/>
    <n v="0"/>
  </r>
  <r>
    <s v="Regular"/>
    <x v="1"/>
    <x v="2"/>
    <x v="0"/>
    <x v="0"/>
    <x v="1"/>
    <x v="0"/>
    <x v="0"/>
    <x v="1"/>
    <n v="0"/>
    <n v="0"/>
    <n v="3462.8890000000001"/>
    <n v="3462.8890000000001"/>
    <n v="0"/>
    <n v="0"/>
    <n v="0"/>
    <x v="0"/>
    <n v="0"/>
    <n v="0"/>
    <n v="25"/>
    <n v="0"/>
    <n v="0"/>
    <n v="43.65"/>
    <n v="0"/>
    <m/>
    <n v="52.882770228452522"/>
    <m/>
    <n v="0"/>
    <n v="151155.10485"/>
    <n v="0"/>
    <n v="0"/>
    <n v="183127.16331363574"/>
    <n v="0"/>
  </r>
  <r>
    <s v="Regular"/>
    <x v="1"/>
    <x v="2"/>
    <x v="0"/>
    <x v="0"/>
    <x v="1"/>
    <x v="0"/>
    <x v="0"/>
    <x v="2"/>
    <n v="0"/>
    <n v="0"/>
    <n v="3515.2710000000002"/>
    <n v="3515.2710000000002"/>
    <n v="0"/>
    <n v="0"/>
    <n v="0"/>
    <x v="0"/>
    <n v="0"/>
    <n v="0"/>
    <n v="25"/>
    <n v="0"/>
    <n v="0"/>
    <n v="43.65"/>
    <n v="0"/>
    <m/>
    <n v="52.882770228452522"/>
    <m/>
    <n v="0"/>
    <n v="153441.57915000001"/>
    <n v="0"/>
    <n v="0"/>
    <n v="185897.26858374252"/>
    <n v="0"/>
  </r>
  <r>
    <s v="Regular"/>
    <x v="1"/>
    <x v="2"/>
    <x v="0"/>
    <x v="0"/>
    <x v="1"/>
    <x v="0"/>
    <x v="0"/>
    <x v="3"/>
    <n v="0"/>
    <n v="0"/>
    <n v="3651.1619999999998"/>
    <n v="3651.1619999999998"/>
    <n v="0"/>
    <n v="0"/>
    <n v="0"/>
    <x v="0"/>
    <n v="0"/>
    <n v="0"/>
    <n v="25"/>
    <n v="0"/>
    <n v="0"/>
    <n v="43.65"/>
    <n v="0"/>
    <m/>
    <n v="52.882770228452522"/>
    <m/>
    <n v="0"/>
    <n v="159373.22129999998"/>
    <n v="0"/>
    <n v="0"/>
    <n v="193083.56111285716"/>
    <n v="0"/>
  </r>
  <r>
    <s v="Regular"/>
    <x v="1"/>
    <x v="2"/>
    <x v="0"/>
    <x v="0"/>
    <x v="1"/>
    <x v="0"/>
    <x v="0"/>
    <x v="4"/>
    <n v="0"/>
    <n v="0"/>
    <n v="3664.721"/>
    <n v="3664.721"/>
    <n v="0"/>
    <n v="0"/>
    <n v="0"/>
    <x v="0"/>
    <n v="0"/>
    <n v="0"/>
    <n v="25"/>
    <n v="0"/>
    <n v="0"/>
    <n v="43.65"/>
    <n v="0"/>
    <m/>
    <n v="52.882770228452522"/>
    <m/>
    <n v="0"/>
    <n v="159965.07165"/>
    <n v="0"/>
    <n v="0"/>
    <n v="193800.59859438476"/>
    <n v="0"/>
  </r>
  <r>
    <s v="Regular"/>
    <x v="1"/>
    <x v="2"/>
    <x v="0"/>
    <x v="0"/>
    <x v="1"/>
    <x v="0"/>
    <x v="0"/>
    <x v="5"/>
    <n v="0"/>
    <n v="0"/>
    <n v="3867.5659999999998"/>
    <n v="3867.5659999999998"/>
    <n v="0"/>
    <n v="0"/>
    <n v="0"/>
    <x v="0"/>
    <n v="0"/>
    <n v="0"/>
    <n v="25"/>
    <n v="0"/>
    <n v="0"/>
    <n v="43.65"/>
    <n v="0"/>
    <m/>
    <n v="52.882770228452522"/>
    <m/>
    <n v="0"/>
    <n v="168819.25589999999"/>
    <n v="0"/>
    <n v="0"/>
    <n v="204527.60412137519"/>
    <n v="0"/>
  </r>
  <r>
    <s v="Regular"/>
    <x v="1"/>
    <x v="2"/>
    <x v="0"/>
    <x v="0"/>
    <x v="1"/>
    <x v="0"/>
    <x v="0"/>
    <x v="6"/>
    <n v="0"/>
    <n v="0"/>
    <n v="3906.3690000000001"/>
    <n v="3906.3690000000001"/>
    <n v="0"/>
    <n v="0"/>
    <n v="0"/>
    <x v="0"/>
    <n v="0"/>
    <n v="0"/>
    <n v="25"/>
    <n v="0"/>
    <n v="0"/>
    <n v="43.65"/>
    <n v="0"/>
    <m/>
    <n v="52.882770228452522"/>
    <m/>
    <n v="0"/>
    <n v="170513.00685000001"/>
    <n v="0"/>
    <n v="0"/>
    <n v="206579.61425454984"/>
    <n v="0"/>
  </r>
  <r>
    <s v="Regular"/>
    <x v="1"/>
    <x v="2"/>
    <x v="0"/>
    <x v="0"/>
    <x v="1"/>
    <x v="0"/>
    <x v="0"/>
    <x v="7"/>
    <n v="0"/>
    <n v="0"/>
    <n v="3932.1239999999998"/>
    <n v="3932.1239999999998"/>
    <n v="0"/>
    <n v="0"/>
    <n v="0"/>
    <x v="0"/>
    <n v="0"/>
    <n v="0"/>
    <n v="25"/>
    <n v="0"/>
    <n v="0"/>
    <n v="43.65"/>
    <n v="0"/>
    <m/>
    <n v="52.882770228452522"/>
    <m/>
    <n v="0"/>
    <n v="171637.2126"/>
    <n v="0"/>
    <n v="0"/>
    <n v="207941.61000178364"/>
    <n v="0"/>
  </r>
  <r>
    <s v="Regular"/>
    <x v="1"/>
    <x v="2"/>
    <x v="0"/>
    <x v="0"/>
    <x v="1"/>
    <x v="0"/>
    <x v="0"/>
    <x v="8"/>
    <n v="0"/>
    <n v="0"/>
    <n v="4174.8879999999999"/>
    <n v="4174.8879999999999"/>
    <n v="0"/>
    <n v="0"/>
    <n v="0"/>
    <x v="0"/>
    <n v="0"/>
    <n v="0"/>
    <n v="25"/>
    <n v="0"/>
    <n v="0"/>
    <n v="43.65"/>
    <n v="0"/>
    <m/>
    <n v="52.882770228452522"/>
    <m/>
    <n v="0"/>
    <n v="182233.86119999998"/>
    <n v="0"/>
    <n v="0"/>
    <n v="220779.64283352369"/>
    <n v="0"/>
  </r>
  <r>
    <s v="Regular"/>
    <x v="1"/>
    <x v="2"/>
    <x v="0"/>
    <x v="0"/>
    <x v="1"/>
    <x v="0"/>
    <x v="0"/>
    <x v="9"/>
    <n v="0"/>
    <n v="0"/>
    <n v="4378.2280000000001"/>
    <n v="4378.2280000000001"/>
    <n v="0"/>
    <n v="0"/>
    <n v="0"/>
    <x v="0"/>
    <n v="0"/>
    <n v="0"/>
    <n v="25"/>
    <n v="0"/>
    <n v="0"/>
    <n v="43.65"/>
    <n v="0"/>
    <m/>
    <n v="52.882770228452522"/>
    <m/>
    <n v="0"/>
    <n v="191109.65219999998"/>
    <n v="0"/>
    <n v="0"/>
    <n v="231532.82533177722"/>
    <n v="0"/>
  </r>
  <r>
    <s v="Regular"/>
    <x v="1"/>
    <x v="2"/>
    <x v="0"/>
    <x v="0"/>
    <x v="1"/>
    <x v="0"/>
    <x v="0"/>
    <x v="10"/>
    <n v="0"/>
    <n v="0"/>
    <n v="4499.5730000000003"/>
    <n v="4499.5730000000003"/>
    <n v="0"/>
    <n v="0"/>
    <n v="0"/>
    <x v="0"/>
    <n v="0"/>
    <n v="0"/>
    <n v="25"/>
    <n v="0"/>
    <n v="0"/>
    <n v="43.65"/>
    <n v="0"/>
    <m/>
    <n v="52.882770228452522"/>
    <m/>
    <n v="0"/>
    <n v="196406.36145"/>
    <n v="0"/>
    <n v="0"/>
    <n v="237949.88508514882"/>
    <n v="0"/>
  </r>
  <r>
    <s v="PROJETADO"/>
    <x v="1"/>
    <x v="2"/>
    <x v="0"/>
    <x v="0"/>
    <x v="1"/>
    <x v="0"/>
    <x v="0"/>
    <x v="11"/>
    <n v="0"/>
    <n v="0"/>
    <n v="4499.5730000000003"/>
    <n v="4499.5730000000003"/>
    <n v="0"/>
    <n v="0"/>
    <n v="0"/>
    <x v="0"/>
    <n v="0"/>
    <n v="0"/>
    <n v="25"/>
    <n v="0"/>
    <n v="0"/>
    <n v="43.65"/>
    <n v="0"/>
    <m/>
    <n v="52.882770228452522"/>
    <m/>
    <n v="0"/>
    <n v="196406.36145"/>
    <n v="0"/>
    <n v="0"/>
    <n v="237949.88508514882"/>
    <n v="0"/>
  </r>
  <r>
    <s v="Regular"/>
    <x v="1"/>
    <x v="2"/>
    <x v="0"/>
    <x v="0"/>
    <x v="1"/>
    <x v="0"/>
    <x v="1"/>
    <x v="0"/>
    <n v="12638"/>
    <n v="5883.4054220999997"/>
    <n v="0"/>
    <n v="0"/>
    <n v="0"/>
    <n v="0"/>
    <n v="17"/>
    <x v="0"/>
    <n v="0"/>
    <n v="23"/>
    <n v="0"/>
    <n v="0"/>
    <n v="18.48"/>
    <n v="0"/>
    <n v="0"/>
    <n v="19.543462882439208"/>
    <m/>
    <m/>
    <n v="108725.332200408"/>
    <n v="0"/>
    <n v="0"/>
    <n v="114982.11548915293"/>
    <n v="0"/>
    <n v="0"/>
  </r>
  <r>
    <s v="Regular"/>
    <x v="1"/>
    <x v="2"/>
    <x v="0"/>
    <x v="0"/>
    <x v="1"/>
    <x v="0"/>
    <x v="1"/>
    <x v="1"/>
    <n v="12227"/>
    <n v="5603.72078943"/>
    <n v="0"/>
    <n v="0"/>
    <n v="0"/>
    <n v="0"/>
    <n v="16"/>
    <x v="0"/>
    <n v="0"/>
    <n v="23"/>
    <n v="0"/>
    <n v="0"/>
    <n v="18.48"/>
    <n v="0"/>
    <n v="0"/>
    <n v="19.543462882439208"/>
    <m/>
    <m/>
    <n v="103556.76018866641"/>
    <n v="0"/>
    <n v="0"/>
    <n v="109516.10925177814"/>
    <n v="0"/>
    <n v="0"/>
  </r>
  <r>
    <s v="Regular"/>
    <x v="1"/>
    <x v="2"/>
    <x v="0"/>
    <x v="0"/>
    <x v="1"/>
    <x v="0"/>
    <x v="1"/>
    <x v="2"/>
    <n v="12336"/>
    <n v="5574.4267142400004"/>
    <n v="0"/>
    <n v="0"/>
    <n v="0"/>
    <n v="0"/>
    <n v="17"/>
    <x v="0"/>
    <n v="0"/>
    <n v="23"/>
    <n v="0"/>
    <n v="0"/>
    <n v="18.48"/>
    <n v="0"/>
    <n v="0"/>
    <n v="19.543462882439208"/>
    <m/>
    <m/>
    <n v="103015.40567915521"/>
    <n v="0"/>
    <n v="0"/>
    <n v="108943.601580627"/>
    <n v="0"/>
    <n v="0"/>
  </r>
  <r>
    <s v="Regular"/>
    <x v="1"/>
    <x v="2"/>
    <x v="0"/>
    <x v="0"/>
    <x v="1"/>
    <x v="0"/>
    <x v="1"/>
    <x v="3"/>
    <n v="12822"/>
    <n v="5666.2982400000001"/>
    <n v="0"/>
    <n v="0"/>
    <n v="0"/>
    <n v="0"/>
    <n v="18"/>
    <x v="0"/>
    <n v="0"/>
    <n v="23"/>
    <n v="0"/>
    <n v="0"/>
    <n v="18.48"/>
    <n v="0"/>
    <n v="0"/>
    <n v="19.543462882439208"/>
    <m/>
    <m/>
    <n v="104713.1914752"/>
    <n v="0"/>
    <n v="0"/>
    <n v="110739.08933427061"/>
    <n v="0"/>
    <n v="0"/>
  </r>
  <r>
    <s v="Regular"/>
    <x v="1"/>
    <x v="2"/>
    <x v="0"/>
    <x v="0"/>
    <x v="1"/>
    <x v="0"/>
    <x v="1"/>
    <x v="4"/>
    <n v="12803"/>
    <n v="5693.5665649800003"/>
    <n v="0"/>
    <n v="0"/>
    <n v="0"/>
    <n v="0"/>
    <n v="19"/>
    <x v="0"/>
    <n v="0"/>
    <n v="23"/>
    <n v="0"/>
    <n v="0"/>
    <n v="18.48"/>
    <n v="0"/>
    <n v="0"/>
    <n v="19.543462882439208"/>
    <m/>
    <m/>
    <n v="105217.1101208304"/>
    <n v="0"/>
    <n v="0"/>
    <n v="111272.00683138354"/>
    <n v="0"/>
    <n v="0"/>
  </r>
  <r>
    <s v="Regular"/>
    <x v="1"/>
    <x v="2"/>
    <x v="0"/>
    <x v="0"/>
    <x v="1"/>
    <x v="0"/>
    <x v="1"/>
    <x v="5"/>
    <n v="13457"/>
    <n v="6167.46461671"/>
    <n v="0"/>
    <n v="0"/>
    <n v="0"/>
    <n v="0"/>
    <n v="19"/>
    <x v="0"/>
    <n v="0"/>
    <n v="23"/>
    <n v="0"/>
    <n v="0"/>
    <n v="18.48"/>
    <n v="0"/>
    <n v="0"/>
    <n v="19.543462882439208"/>
    <m/>
    <m/>
    <n v="113974.7461168008"/>
    <n v="0"/>
    <n v="0"/>
    <n v="120533.61581542905"/>
    <n v="0"/>
    <n v="0"/>
  </r>
  <r>
    <s v="Regular"/>
    <x v="1"/>
    <x v="2"/>
    <x v="0"/>
    <x v="0"/>
    <x v="1"/>
    <x v="0"/>
    <x v="1"/>
    <x v="6"/>
    <n v="12931"/>
    <n v="5909.1049320000002"/>
    <n v="0"/>
    <n v="0"/>
    <n v="0"/>
    <n v="0"/>
    <n v="18"/>
    <x v="0"/>
    <n v="0"/>
    <n v="23"/>
    <n v="0"/>
    <n v="0"/>
    <n v="18.48"/>
    <n v="0"/>
    <n v="0"/>
    <n v="19.543462882439208"/>
    <m/>
    <m/>
    <n v="109200.25914336"/>
    <n v="0"/>
    <n v="0"/>
    <n v="115484.37290698047"/>
    <n v="0"/>
    <n v="0"/>
  </r>
  <r>
    <s v="Regular"/>
    <x v="1"/>
    <x v="2"/>
    <x v="0"/>
    <x v="0"/>
    <x v="1"/>
    <x v="0"/>
    <x v="1"/>
    <x v="7"/>
    <n v="13298"/>
    <n v="5922.5875743799998"/>
    <n v="0"/>
    <n v="0"/>
    <n v="0"/>
    <n v="0"/>
    <n v="19"/>
    <x v="0"/>
    <n v="0"/>
    <n v="23"/>
    <n v="0"/>
    <n v="0"/>
    <n v="18.48"/>
    <n v="0"/>
    <n v="0"/>
    <n v="19.543462882439208"/>
    <m/>
    <m/>
    <n v="109449.41837454239"/>
    <n v="0"/>
    <n v="0"/>
    <n v="115747.87042789119"/>
    <n v="0"/>
    <n v="0"/>
  </r>
  <r>
    <s v="Regular"/>
    <x v="1"/>
    <x v="2"/>
    <x v="0"/>
    <x v="0"/>
    <x v="1"/>
    <x v="0"/>
    <x v="1"/>
    <x v="8"/>
    <n v="14086"/>
    <n v="7714.3517191199999"/>
    <n v="0"/>
    <n v="0"/>
    <n v="0"/>
    <n v="0"/>
    <n v="21"/>
    <x v="0"/>
    <n v="0"/>
    <n v="23"/>
    <n v="0"/>
    <n v="0"/>
    <n v="18.48"/>
    <n v="0"/>
    <n v="0"/>
    <n v="19.543462882439208"/>
    <m/>
    <m/>
    <n v="142561.21976933759"/>
    <n v="0"/>
    <n v="0"/>
    <n v="150765.1464847028"/>
    <n v="0"/>
    <n v="0"/>
  </r>
  <r>
    <s v="Regular"/>
    <x v="1"/>
    <x v="2"/>
    <x v="0"/>
    <x v="0"/>
    <x v="1"/>
    <x v="0"/>
    <x v="1"/>
    <x v="9"/>
    <n v="14029"/>
    <n v="5351.5402182999997"/>
    <n v="0"/>
    <n v="0"/>
    <n v="0"/>
    <n v="0"/>
    <n v="21"/>
    <x v="0"/>
    <n v="0"/>
    <n v="23"/>
    <n v="0"/>
    <n v="0"/>
    <n v="18.48"/>
    <n v="0"/>
    <n v="0"/>
    <n v="19.543462882439208"/>
    <m/>
    <m/>
    <n v="98896.46323418399"/>
    <n v="0"/>
    <n v="0"/>
    <n v="104587.62762022666"/>
    <n v="0"/>
    <n v="0"/>
  </r>
  <r>
    <s v="Regular"/>
    <x v="1"/>
    <x v="2"/>
    <x v="0"/>
    <x v="0"/>
    <x v="1"/>
    <x v="0"/>
    <x v="1"/>
    <x v="10"/>
    <n v="14125"/>
    <n v="6051.2837637499997"/>
    <n v="0"/>
    <n v="0"/>
    <n v="0"/>
    <n v="0"/>
    <n v="22"/>
    <x v="0"/>
    <n v="0"/>
    <n v="23"/>
    <n v="0"/>
    <n v="0"/>
    <n v="18.48"/>
    <n v="0"/>
    <n v="0"/>
    <n v="19.543462882439208"/>
    <m/>
    <m/>
    <n v="111827.7239541"/>
    <n v="0"/>
    <n v="0"/>
    <n v="118263.03962795515"/>
    <n v="0"/>
    <n v="0"/>
  </r>
  <r>
    <s v="PROJETADO"/>
    <x v="1"/>
    <x v="2"/>
    <x v="0"/>
    <x v="0"/>
    <x v="1"/>
    <x v="0"/>
    <x v="1"/>
    <x v="11"/>
    <n v="14125"/>
    <n v="6051.2837637499997"/>
    <n v="0"/>
    <n v="0"/>
    <n v="0"/>
    <n v="0"/>
    <n v="22"/>
    <x v="0"/>
    <n v="0"/>
    <n v="23"/>
    <n v="0"/>
    <n v="0"/>
    <n v="18.48"/>
    <n v="0"/>
    <n v="0"/>
    <n v="19.543462882439208"/>
    <m/>
    <m/>
    <n v="111827.7239541"/>
    <n v="0"/>
    <n v="0"/>
    <n v="118263.03962795515"/>
    <n v="0"/>
    <n v="0"/>
  </r>
  <r>
    <s v="Regular"/>
    <x v="1"/>
    <x v="2"/>
    <x v="0"/>
    <x v="0"/>
    <x v="1"/>
    <x v="0"/>
    <x v="2"/>
    <x v="0"/>
    <n v="0"/>
    <n v="0"/>
    <n v="319.24799999999999"/>
    <n v="162.45768675023999"/>
    <n v="0"/>
    <n v="0"/>
    <n v="0"/>
    <x v="0"/>
    <n v="0"/>
    <n v="0"/>
    <n v="24"/>
    <n v="0"/>
    <n v="0"/>
    <n v="943.81"/>
    <n v="0"/>
    <m/>
    <n v="1019.176668187089"/>
    <m/>
    <n v="0"/>
    <n v="153329.18933174398"/>
    <n v="0"/>
    <n v="0"/>
    <n v="165573.08390349138"/>
    <n v="0"/>
  </r>
  <r>
    <s v="Regular"/>
    <x v="1"/>
    <x v="2"/>
    <x v="0"/>
    <x v="0"/>
    <x v="1"/>
    <x v="0"/>
    <x v="2"/>
    <x v="1"/>
    <n v="0"/>
    <n v="0"/>
    <n v="246.649"/>
    <n v="126.17443300188999"/>
    <n v="0"/>
    <n v="0"/>
    <n v="0"/>
    <x v="0"/>
    <n v="0"/>
    <n v="0"/>
    <n v="24"/>
    <n v="0"/>
    <n v="0"/>
    <n v="943.81"/>
    <n v="0"/>
    <m/>
    <n v="1019.176668187089"/>
    <m/>
    <n v="0"/>
    <n v="119084.69161151379"/>
    <n v="0"/>
    <n v="0"/>
    <n v="128594.03823726134"/>
    <n v="0"/>
  </r>
  <r>
    <s v="Regular"/>
    <x v="1"/>
    <x v="2"/>
    <x v="0"/>
    <x v="0"/>
    <x v="1"/>
    <x v="0"/>
    <x v="2"/>
    <x v="2"/>
    <n v="0"/>
    <n v="0"/>
    <n v="307.983"/>
    <n v="155.59023667317001"/>
    <n v="0"/>
    <n v="0"/>
    <n v="0"/>
    <x v="0"/>
    <n v="0"/>
    <n v="0"/>
    <n v="24"/>
    <n v="0"/>
    <n v="0"/>
    <n v="943.81"/>
    <n v="0"/>
    <m/>
    <n v="1019.176668187089"/>
    <m/>
    <n v="0"/>
    <n v="146847.62127450458"/>
    <n v="0"/>
    <n v="0"/>
    <n v="158573.93901500205"/>
    <n v="0"/>
  </r>
  <r>
    <s v="Regular"/>
    <x v="1"/>
    <x v="2"/>
    <x v="0"/>
    <x v="0"/>
    <x v="1"/>
    <x v="0"/>
    <x v="2"/>
    <x v="3"/>
    <n v="0"/>
    <n v="0"/>
    <n v="282.05099999999999"/>
    <n v="141.56884586691001"/>
    <n v="0"/>
    <n v="0"/>
    <n v="0"/>
    <x v="0"/>
    <n v="0"/>
    <n v="0"/>
    <n v="24"/>
    <n v="0"/>
    <n v="0"/>
    <n v="943.81"/>
    <n v="0"/>
    <m/>
    <n v="1019.176668187089"/>
    <m/>
    <n v="0"/>
    <n v="133614.09241764832"/>
    <n v="0"/>
    <n v="0"/>
    <n v="144283.66464972889"/>
    <n v="0"/>
  </r>
  <r>
    <s v="Regular"/>
    <x v="1"/>
    <x v="2"/>
    <x v="0"/>
    <x v="0"/>
    <x v="1"/>
    <x v="0"/>
    <x v="2"/>
    <x v="4"/>
    <n v="0"/>
    <n v="0"/>
    <n v="295.66399999999999"/>
    <n v="146.53186782288"/>
    <n v="0"/>
    <n v="0"/>
    <n v="0"/>
    <x v="0"/>
    <n v="0"/>
    <n v="0"/>
    <n v="24"/>
    <n v="0"/>
    <n v="0"/>
    <n v="943.81"/>
    <n v="0"/>
    <m/>
    <n v="1019.176668187089"/>
    <m/>
    <n v="0"/>
    <n v="138298.24216991238"/>
    <n v="0"/>
    <n v="0"/>
    <n v="149341.86083095375"/>
    <n v="0"/>
  </r>
  <r>
    <s v="Regular"/>
    <x v="1"/>
    <x v="2"/>
    <x v="0"/>
    <x v="0"/>
    <x v="1"/>
    <x v="0"/>
    <x v="2"/>
    <x v="5"/>
    <n v="0"/>
    <n v="0"/>
    <n v="314.65300000000002"/>
    <n v="158.83230968986001"/>
    <n v="0"/>
    <n v="0"/>
    <n v="0"/>
    <x v="0"/>
    <n v="0"/>
    <n v="0"/>
    <n v="24"/>
    <n v="0"/>
    <n v="0"/>
    <n v="943.81"/>
    <n v="0"/>
    <m/>
    <n v="1019.176668187089"/>
    <m/>
    <n v="0"/>
    <n v="149907.52220838677"/>
    <n v="0"/>
    <n v="0"/>
    <n v="161878.18419017142"/>
    <n v="0"/>
  </r>
  <r>
    <s v="Regular"/>
    <x v="1"/>
    <x v="2"/>
    <x v="0"/>
    <x v="0"/>
    <x v="1"/>
    <x v="0"/>
    <x v="2"/>
    <x v="6"/>
    <n v="0"/>
    <n v="0"/>
    <n v="320.17700000000002"/>
    <n v="161.80249392879"/>
    <n v="0"/>
    <n v="0"/>
    <n v="0"/>
    <x v="0"/>
    <n v="0"/>
    <n v="0"/>
    <n v="24"/>
    <n v="0"/>
    <n v="0"/>
    <n v="943.81"/>
    <n v="0"/>
    <m/>
    <n v="1019.176668187089"/>
    <m/>
    <n v="0"/>
    <n v="152710.81179493127"/>
    <n v="0"/>
    <n v="0"/>
    <n v="164905.32666670589"/>
    <n v="0"/>
  </r>
  <r>
    <s v="Regular"/>
    <x v="1"/>
    <x v="2"/>
    <x v="0"/>
    <x v="0"/>
    <x v="1"/>
    <x v="0"/>
    <x v="2"/>
    <x v="7"/>
    <n v="0"/>
    <n v="0"/>
    <n v="336.60399999999998"/>
    <n v="170.07936000308001"/>
    <n v="0"/>
    <n v="0"/>
    <n v="0"/>
    <x v="0"/>
    <n v="0"/>
    <n v="0"/>
    <n v="24"/>
    <n v="0"/>
    <n v="0"/>
    <n v="943.81"/>
    <n v="0"/>
    <m/>
    <n v="1019.176668187089"/>
    <m/>
    <n v="0"/>
    <n v="160522.60076450693"/>
    <n v="0"/>
    <n v="0"/>
    <n v="173340.91545533153"/>
    <n v="0"/>
  </r>
  <r>
    <s v="Regular"/>
    <x v="1"/>
    <x v="2"/>
    <x v="0"/>
    <x v="0"/>
    <x v="1"/>
    <x v="0"/>
    <x v="2"/>
    <x v="8"/>
    <n v="0"/>
    <n v="0"/>
    <n v="364.46199999999999"/>
    <n v="217.80432808847999"/>
    <n v="0"/>
    <n v="0"/>
    <n v="0"/>
    <x v="0"/>
    <n v="0"/>
    <n v="0"/>
    <n v="24"/>
    <n v="0"/>
    <n v="0"/>
    <n v="943.81"/>
    <n v="0"/>
    <m/>
    <n v="1019.176668187089"/>
    <m/>
    <n v="0"/>
    <n v="205565.90289318829"/>
    <n v="0"/>
    <n v="0"/>
    <n v="221981.08941794466"/>
    <n v="0"/>
  </r>
  <r>
    <s v="Regular"/>
    <x v="1"/>
    <x v="2"/>
    <x v="0"/>
    <x v="0"/>
    <x v="1"/>
    <x v="0"/>
    <x v="2"/>
    <x v="9"/>
    <n v="0"/>
    <n v="0"/>
    <n v="369.31900000000002"/>
    <n v="160.29784858651001"/>
    <n v="0"/>
    <n v="0"/>
    <n v="0"/>
    <x v="0"/>
    <n v="0"/>
    <n v="0"/>
    <n v="24"/>
    <n v="0"/>
    <n v="0"/>
    <n v="943.81"/>
    <n v="0"/>
    <m/>
    <n v="1019.176668187089"/>
    <m/>
    <n v="0"/>
    <n v="151290.712474434"/>
    <n v="0"/>
    <n v="0"/>
    <n v="163371.82723995775"/>
    <n v="0"/>
  </r>
  <r>
    <s v="Regular"/>
    <x v="1"/>
    <x v="2"/>
    <x v="0"/>
    <x v="0"/>
    <x v="1"/>
    <x v="0"/>
    <x v="2"/>
    <x v="10"/>
    <n v="0"/>
    <n v="0"/>
    <n v="404.59399999999999"/>
    <n v="198.21775786786"/>
    <n v="0"/>
    <n v="0"/>
    <n v="0"/>
    <x v="0"/>
    <n v="0"/>
    <n v="0"/>
    <n v="24"/>
    <n v="0"/>
    <n v="0"/>
    <n v="943.81"/>
    <n v="0"/>
    <m/>
    <n v="1019.176668187089"/>
    <m/>
    <n v="0"/>
    <n v="187079.90205326493"/>
    <n v="0"/>
    <n v="0"/>
    <n v="202018.9140392807"/>
    <n v="0"/>
  </r>
  <r>
    <s v="PROJETADO"/>
    <x v="1"/>
    <x v="2"/>
    <x v="0"/>
    <x v="0"/>
    <x v="1"/>
    <x v="0"/>
    <x v="2"/>
    <x v="11"/>
    <n v="0"/>
    <n v="0"/>
    <n v="404.59399999999999"/>
    <n v="198.21775786786"/>
    <n v="0"/>
    <n v="0"/>
    <n v="0"/>
    <x v="0"/>
    <n v="0"/>
    <n v="0"/>
    <n v="24"/>
    <n v="0"/>
    <n v="0"/>
    <n v="943.81"/>
    <n v="0"/>
    <m/>
    <n v="1019.176668187089"/>
    <m/>
    <n v="0"/>
    <n v="187079.90205326493"/>
    <n v="0"/>
    <n v="0"/>
    <n v="202018.9140392807"/>
    <n v="0"/>
  </r>
  <r>
    <s v="Regular"/>
    <x v="1"/>
    <x v="2"/>
    <x v="0"/>
    <x v="0"/>
    <x v="0"/>
    <x v="0"/>
    <x v="0"/>
    <x v="0"/>
    <n v="0"/>
    <n v="0"/>
    <n v="3174.884"/>
    <n v="3174.884"/>
    <n v="3174.884"/>
    <n v="3174.884"/>
    <n v="0"/>
    <x v="2"/>
    <n v="0"/>
    <n v="0"/>
    <n v="25"/>
    <n v="68"/>
    <n v="0"/>
    <n v="43.65"/>
    <n v="219.03"/>
    <m/>
    <n v="52.882770228452522"/>
    <n v="252.43227829401354"/>
    <n v="0"/>
    <n v="138583.68659999999"/>
    <n v="695394.84252000006"/>
    <n v="0"/>
    <n v="167896.66107399025"/>
    <n v="801443.20143921091"/>
  </r>
  <r>
    <s v="Sistema de Compensação"/>
    <x v="1"/>
    <x v="2"/>
    <x v="0"/>
    <x v="0"/>
    <x v="0"/>
    <x v="0"/>
    <x v="0"/>
    <x v="0"/>
    <n v="0"/>
    <n v="0"/>
    <n v="97.778000000000006"/>
    <n v="97.778000000000006"/>
    <n v="97.778000000000006"/>
    <n v="97.778000000000006"/>
    <n v="0"/>
    <x v="2"/>
    <n v="0"/>
    <n v="0"/>
    <n v="25"/>
    <n v="68"/>
    <n v="0"/>
    <n v="43.65"/>
    <n v="219.03"/>
    <m/>
    <n v="52.882770228452522"/>
    <n v="252.43227829401354"/>
    <n v="0"/>
    <n v="4268.0097000000005"/>
    <n v="21416.315340000001"/>
    <n v="0"/>
    <n v="5170.7715073976306"/>
    <n v="24682.323307032057"/>
  </r>
  <r>
    <s v="Regular"/>
    <x v="1"/>
    <x v="2"/>
    <x v="0"/>
    <x v="0"/>
    <x v="0"/>
    <x v="0"/>
    <x v="0"/>
    <x v="0"/>
    <n v="0"/>
    <n v="0"/>
    <n v="817.31899999999996"/>
    <n v="817.31899999999996"/>
    <n v="0"/>
    <n v="0"/>
    <n v="0"/>
    <x v="0"/>
    <n v="0"/>
    <n v="0"/>
    <n v="25"/>
    <n v="0"/>
    <n v="0"/>
    <n v="43.65"/>
    <n v="0"/>
    <m/>
    <n v="52.882770228452522"/>
    <m/>
    <n v="0"/>
    <n v="35675.974349999997"/>
    <n v="0"/>
    <n v="0"/>
    <n v="43222.092880348588"/>
    <n v="0"/>
  </r>
  <r>
    <s v="Regular"/>
    <x v="1"/>
    <x v="2"/>
    <x v="0"/>
    <x v="0"/>
    <x v="0"/>
    <x v="0"/>
    <x v="0"/>
    <x v="1"/>
    <n v="0"/>
    <n v="0"/>
    <n v="3143.56"/>
    <n v="3143.56"/>
    <n v="3143.56"/>
    <n v="3143.56"/>
    <n v="0"/>
    <x v="2"/>
    <n v="0"/>
    <n v="0"/>
    <n v="25"/>
    <n v="68"/>
    <n v="0"/>
    <n v="43.65"/>
    <n v="219.03"/>
    <m/>
    <n v="52.882770228452522"/>
    <n v="252.43227829401354"/>
    <n v="0"/>
    <n v="137216.394"/>
    <n v="688533.94680000003"/>
    <n v="0"/>
    <n v="166240.16117935421"/>
    <n v="793536.01275392924"/>
  </r>
  <r>
    <s v="Refaturamento - Regular"/>
    <x v="1"/>
    <x v="2"/>
    <x v="0"/>
    <x v="0"/>
    <x v="0"/>
    <x v="0"/>
    <x v="0"/>
    <x v="1"/>
    <n v="0"/>
    <n v="0"/>
    <n v="-65.292000000000002"/>
    <n v="-65.292000000000002"/>
    <n v="-65.292000000000002"/>
    <n v="-65.292000000000002"/>
    <n v="0"/>
    <x v="2"/>
    <n v="0"/>
    <n v="0"/>
    <n v="25"/>
    <n v="68"/>
    <n v="0"/>
    <n v="43.65"/>
    <n v="219.03"/>
    <m/>
    <n v="52.882770228452522"/>
    <n v="252.43227829401354"/>
    <n v="0"/>
    <n v="-2849.9958000000001"/>
    <n v="-14300.90676"/>
    <n v="0"/>
    <n v="-3452.821833756122"/>
    <n v="-16481.808314372731"/>
  </r>
  <r>
    <s v="Sistema de Compensação"/>
    <x v="1"/>
    <x v="2"/>
    <x v="0"/>
    <x v="0"/>
    <x v="0"/>
    <x v="0"/>
    <x v="0"/>
    <x v="1"/>
    <n v="0"/>
    <n v="0"/>
    <n v="136.6"/>
    <n v="136.6"/>
    <n v="136.6"/>
    <n v="136.6"/>
    <n v="0"/>
    <x v="2"/>
    <n v="0"/>
    <n v="0"/>
    <n v="25"/>
    <n v="68"/>
    <n v="0"/>
    <n v="43.65"/>
    <n v="219.03"/>
    <m/>
    <n v="52.882770228452522"/>
    <n v="252.43227829401354"/>
    <n v="0"/>
    <n v="5962.5899999999992"/>
    <n v="29919.498"/>
    <n v="0"/>
    <n v="7223.7864132066143"/>
    <n v="34482.249214962249"/>
  </r>
  <r>
    <s v="Regular"/>
    <x v="1"/>
    <x v="2"/>
    <x v="0"/>
    <x v="0"/>
    <x v="0"/>
    <x v="0"/>
    <x v="0"/>
    <x v="1"/>
    <n v="0"/>
    <n v="0"/>
    <n v="963.17100000000005"/>
    <n v="963.17100000000005"/>
    <n v="0"/>
    <n v="0"/>
    <n v="0"/>
    <x v="0"/>
    <n v="0"/>
    <n v="0"/>
    <n v="25"/>
    <n v="0"/>
    <n v="0"/>
    <n v="43.65"/>
    <n v="0"/>
    <m/>
    <n v="52.882770228452522"/>
    <m/>
    <n v="0"/>
    <n v="42042.414150000004"/>
    <n v="0"/>
    <n v="0"/>
    <n v="50935.150683708845"/>
    <n v="0"/>
  </r>
  <r>
    <s v="Regular"/>
    <x v="1"/>
    <x v="2"/>
    <x v="0"/>
    <x v="0"/>
    <x v="0"/>
    <x v="0"/>
    <x v="0"/>
    <x v="2"/>
    <n v="0"/>
    <n v="0"/>
    <n v="3095.029"/>
    <n v="3095.029"/>
    <n v="3095.029"/>
    <n v="3095.029"/>
    <n v="0"/>
    <x v="2"/>
    <n v="0"/>
    <n v="0"/>
    <n v="25"/>
    <n v="68"/>
    <n v="0"/>
    <n v="43.65"/>
    <n v="219.03"/>
    <m/>
    <n v="52.882770228452522"/>
    <n v="252.43227829401354"/>
    <n v="0"/>
    <n v="135098.01585"/>
    <n v="677904.20186999999"/>
    <n v="0"/>
    <n v="163673.70745739719"/>
    <n v="781285.22185604239"/>
  </r>
  <r>
    <s v="Sistema de Compensação"/>
    <x v="1"/>
    <x v="2"/>
    <x v="0"/>
    <x v="0"/>
    <x v="0"/>
    <x v="0"/>
    <x v="0"/>
    <x v="2"/>
    <n v="0"/>
    <n v="0"/>
    <n v="137.72300000000001"/>
    <n v="137.72300000000001"/>
    <n v="137.72300000000001"/>
    <n v="137.72300000000001"/>
    <n v="0"/>
    <x v="2"/>
    <n v="0"/>
    <n v="0"/>
    <n v="25"/>
    <n v="68"/>
    <n v="0"/>
    <n v="43.65"/>
    <n v="219.03"/>
    <m/>
    <n v="52.882770228452522"/>
    <n v="252.43227829401354"/>
    <n v="0"/>
    <n v="6011.6089500000007"/>
    <n v="30165.468690000002"/>
    <n v="0"/>
    <n v="7283.173764173167"/>
    <n v="34765.730663486429"/>
  </r>
  <r>
    <s v="Regular"/>
    <x v="1"/>
    <x v="2"/>
    <x v="0"/>
    <x v="0"/>
    <x v="0"/>
    <x v="0"/>
    <x v="0"/>
    <x v="2"/>
    <n v="0"/>
    <n v="0"/>
    <n v="1000.342"/>
    <n v="1000.342"/>
    <n v="0"/>
    <n v="0"/>
    <n v="0"/>
    <x v="0"/>
    <n v="0"/>
    <n v="0"/>
    <n v="25"/>
    <n v="0"/>
    <n v="0"/>
    <n v="43.65"/>
    <n v="0"/>
    <m/>
    <n v="52.882770228452522"/>
    <m/>
    <n v="0"/>
    <n v="43664.9283"/>
    <n v="0"/>
    <n v="0"/>
    <n v="52900.85613587065"/>
    <n v="0"/>
  </r>
  <r>
    <s v="Regular"/>
    <x v="1"/>
    <x v="2"/>
    <x v="0"/>
    <x v="0"/>
    <x v="0"/>
    <x v="0"/>
    <x v="0"/>
    <x v="3"/>
    <n v="0"/>
    <n v="0"/>
    <n v="3253.5410000000002"/>
    <n v="3253.5410000000002"/>
    <n v="3253.5410000000002"/>
    <n v="3253.5410000000002"/>
    <n v="0"/>
    <x v="2"/>
    <n v="0"/>
    <n v="0"/>
    <n v="25"/>
    <n v="68"/>
    <n v="0"/>
    <n v="43.65"/>
    <n v="219.03"/>
    <m/>
    <n v="52.882770228452522"/>
    <n v="252.43227829401354"/>
    <n v="0"/>
    <n v="142017.06465000001"/>
    <n v="712623.08523000008"/>
    <n v="0"/>
    <n v="172056.26113184966"/>
    <n v="821298.76715298311"/>
  </r>
  <r>
    <s v="Sistema de Compensação"/>
    <x v="1"/>
    <x v="2"/>
    <x v="0"/>
    <x v="0"/>
    <x v="0"/>
    <x v="0"/>
    <x v="0"/>
    <x v="3"/>
    <n v="0"/>
    <n v="0"/>
    <n v="124.56399999999999"/>
    <n v="124.56399999999999"/>
    <n v="124.56399999999999"/>
    <n v="124.56399999999999"/>
    <n v="0"/>
    <x v="2"/>
    <n v="0"/>
    <n v="0"/>
    <n v="25"/>
    <n v="68"/>
    <n v="0"/>
    <n v="43.65"/>
    <n v="219.03"/>
    <m/>
    <n v="52.882770228452522"/>
    <n v="252.43227829401354"/>
    <n v="0"/>
    <n v="5437.2185999999992"/>
    <n v="27283.252919999999"/>
    <n v="0"/>
    <n v="6587.2893907369598"/>
    <n v="31443.9743134155"/>
  </r>
  <r>
    <s v="Regular"/>
    <x v="1"/>
    <x v="2"/>
    <x v="0"/>
    <x v="0"/>
    <x v="0"/>
    <x v="0"/>
    <x v="0"/>
    <x v="3"/>
    <n v="0"/>
    <n v="0"/>
    <n v="723.61599999999999"/>
    <n v="723.61599999999999"/>
    <n v="0"/>
    <n v="0"/>
    <n v="0"/>
    <x v="0"/>
    <n v="0"/>
    <n v="0"/>
    <n v="25"/>
    <n v="0"/>
    <n v="0"/>
    <n v="43.65"/>
    <n v="0"/>
    <m/>
    <n v="52.882770228452522"/>
    <m/>
    <n v="0"/>
    <n v="31585.838399999997"/>
    <n v="0"/>
    <n v="0"/>
    <n v="38266.8186616319"/>
    <n v="0"/>
  </r>
  <r>
    <s v="Regular"/>
    <x v="1"/>
    <x v="2"/>
    <x v="0"/>
    <x v="0"/>
    <x v="0"/>
    <x v="0"/>
    <x v="0"/>
    <x v="4"/>
    <n v="0"/>
    <n v="0"/>
    <n v="3175.163"/>
    <n v="3175.163"/>
    <n v="3175.163"/>
    <n v="3175.163"/>
    <n v="0"/>
    <x v="2"/>
    <n v="0"/>
    <n v="0"/>
    <n v="25"/>
    <n v="68"/>
    <n v="0"/>
    <n v="43.65"/>
    <n v="219.03"/>
    <m/>
    <n v="52.882770228452522"/>
    <n v="252.43227829401354"/>
    <n v="0"/>
    <n v="138595.86494999999"/>
    <n v="695455.95189000003"/>
    <n v="0"/>
    <n v="167911.415366884"/>
    <n v="801513.63004485494"/>
  </r>
  <r>
    <s v="Refaturamento - Regular"/>
    <x v="1"/>
    <x v="2"/>
    <x v="0"/>
    <x v="0"/>
    <x v="0"/>
    <x v="0"/>
    <x v="0"/>
    <x v="4"/>
    <n v="0"/>
    <n v="0"/>
    <n v="-85.05"/>
    <n v="-85.05"/>
    <n v="-85.05"/>
    <n v="-85.05"/>
    <n v="0"/>
    <x v="2"/>
    <n v="0"/>
    <n v="0"/>
    <n v="25"/>
    <n v="68"/>
    <n v="0"/>
    <n v="43.65"/>
    <n v="219.03"/>
    <m/>
    <n v="52.882770228452522"/>
    <n v="252.43227829401354"/>
    <n v="0"/>
    <n v="-3712.4324999999999"/>
    <n v="-18628.501499999998"/>
    <n v="0"/>
    <n v="-4497.6796079298865"/>
    <n v="-21469.365268905851"/>
  </r>
  <r>
    <s v="Sistema de Compensação"/>
    <x v="1"/>
    <x v="2"/>
    <x v="0"/>
    <x v="0"/>
    <x v="0"/>
    <x v="0"/>
    <x v="0"/>
    <x v="4"/>
    <n v="0"/>
    <n v="0"/>
    <n v="134.35599999999999"/>
    <n v="134.35599999999999"/>
    <n v="134.35599999999999"/>
    <n v="134.35599999999999"/>
    <n v="0"/>
    <x v="2"/>
    <n v="0"/>
    <n v="0"/>
    <n v="25"/>
    <n v="68"/>
    <n v="0"/>
    <n v="43.65"/>
    <n v="219.03"/>
    <m/>
    <n v="52.882770228452522"/>
    <n v="252.43227829401354"/>
    <n v="0"/>
    <n v="5864.6394"/>
    <n v="29427.99468"/>
    <n v="0"/>
    <n v="7105.1174768139663"/>
    <n v="33915.791182470479"/>
  </r>
  <r>
    <s v="Regular"/>
    <x v="1"/>
    <x v="2"/>
    <x v="0"/>
    <x v="0"/>
    <x v="0"/>
    <x v="0"/>
    <x v="0"/>
    <x v="4"/>
    <n v="0"/>
    <n v="0"/>
    <n v="827.64599999999996"/>
    <n v="827.64599999999996"/>
    <n v="0"/>
    <n v="0"/>
    <n v="0"/>
    <x v="0"/>
    <n v="0"/>
    <n v="0"/>
    <n v="25"/>
    <n v="0"/>
    <n v="0"/>
    <n v="43.65"/>
    <n v="0"/>
    <m/>
    <n v="52.882770228452522"/>
    <m/>
    <n v="0"/>
    <n v="36126.747899999995"/>
    <n v="0"/>
    <n v="0"/>
    <n v="43768.213248497814"/>
    <n v="0"/>
  </r>
  <r>
    <s v="Regular"/>
    <x v="1"/>
    <x v="2"/>
    <x v="0"/>
    <x v="0"/>
    <x v="0"/>
    <x v="0"/>
    <x v="0"/>
    <x v="5"/>
    <n v="0"/>
    <n v="0"/>
    <n v="3473.0369999999998"/>
    <n v="3473.0369999999998"/>
    <n v="3473.0369999999998"/>
    <n v="3473.0369999999998"/>
    <n v="0"/>
    <x v="2"/>
    <n v="0"/>
    <n v="0"/>
    <n v="25"/>
    <n v="68"/>
    <n v="0"/>
    <n v="43.65"/>
    <n v="219.03"/>
    <m/>
    <n v="52.882770228452522"/>
    <n v="252.43227829401354"/>
    <n v="0"/>
    <n v="151598.06504999998"/>
    <n v="760699.29411000002"/>
    <n v="0"/>
    <n v="183663.81766591404"/>
    <n v="876706.64250940585"/>
  </r>
  <r>
    <s v="Sistema de Compensação"/>
    <x v="1"/>
    <x v="2"/>
    <x v="0"/>
    <x v="0"/>
    <x v="0"/>
    <x v="0"/>
    <x v="0"/>
    <x v="5"/>
    <n v="0"/>
    <n v="0"/>
    <n v="154.327"/>
    <n v="154.327"/>
    <n v="154.327"/>
    <n v="154.327"/>
    <n v="0"/>
    <x v="2"/>
    <n v="0"/>
    <n v="0"/>
    <n v="25"/>
    <n v="68"/>
    <n v="0"/>
    <n v="43.65"/>
    <n v="219.03"/>
    <m/>
    <n v="52.882770228452522"/>
    <n v="252.43227829401354"/>
    <n v="0"/>
    <n v="6736.3735499999993"/>
    <n v="33802.242810000003"/>
    <n v="0"/>
    <n v="8161.2392810463925"/>
    <n v="38957.116212280227"/>
  </r>
  <r>
    <s v="Regular"/>
    <x v="1"/>
    <x v="2"/>
    <x v="0"/>
    <x v="0"/>
    <x v="0"/>
    <x v="0"/>
    <x v="0"/>
    <x v="5"/>
    <n v="0"/>
    <n v="0"/>
    <n v="858.02099999999996"/>
    <n v="858.02099999999996"/>
    <n v="0"/>
    <n v="0"/>
    <n v="0"/>
    <x v="0"/>
    <n v="0"/>
    <n v="0"/>
    <n v="25"/>
    <n v="0"/>
    <n v="0"/>
    <n v="43.65"/>
    <n v="0"/>
    <m/>
    <n v="52.882770228452522"/>
    <m/>
    <n v="0"/>
    <n v="37452.616649999996"/>
    <n v="0"/>
    <n v="0"/>
    <n v="45374.527394187062"/>
    <n v="0"/>
  </r>
  <r>
    <s v="Regular"/>
    <x v="1"/>
    <x v="2"/>
    <x v="0"/>
    <x v="0"/>
    <x v="0"/>
    <x v="0"/>
    <x v="0"/>
    <x v="6"/>
    <n v="0"/>
    <n v="0"/>
    <n v="3332.6840000000002"/>
    <n v="3332.6840000000002"/>
    <n v="3332.6840000000002"/>
    <n v="3332.6840000000002"/>
    <n v="0"/>
    <x v="2"/>
    <n v="0"/>
    <n v="0"/>
    <n v="25"/>
    <n v="68"/>
    <n v="0"/>
    <n v="43.65"/>
    <n v="219.03"/>
    <m/>
    <n v="52.882770228452522"/>
    <n v="252.43227829401354"/>
    <n v="0"/>
    <n v="145471.65660000002"/>
    <n v="729957.77652000007"/>
    <n v="0"/>
    <n v="176241.56221604007"/>
    <n v="841277.0149540063"/>
  </r>
  <r>
    <s v="Sistema de Compensação"/>
    <x v="1"/>
    <x v="2"/>
    <x v="0"/>
    <x v="0"/>
    <x v="0"/>
    <x v="0"/>
    <x v="0"/>
    <x v="6"/>
    <n v="0"/>
    <n v="0"/>
    <n v="186.53800000000001"/>
    <n v="186.53800000000001"/>
    <n v="186.53800000000001"/>
    <n v="186.53800000000001"/>
    <n v="0"/>
    <x v="2"/>
    <n v="0"/>
    <n v="0"/>
    <n v="25"/>
    <n v="68"/>
    <n v="0"/>
    <n v="43.65"/>
    <n v="219.03"/>
    <m/>
    <n v="52.882770228452522"/>
    <n v="252.43227829401354"/>
    <n v="0"/>
    <n v="8142.3837000000003"/>
    <n v="40857.418140000002"/>
    <n v="0"/>
    <n v="9864.6461928750778"/>
    <n v="47088.212328408699"/>
  </r>
  <r>
    <s v="Regular"/>
    <x v="1"/>
    <x v="2"/>
    <x v="0"/>
    <x v="0"/>
    <x v="0"/>
    <x v="0"/>
    <x v="0"/>
    <x v="6"/>
    <n v="0"/>
    <n v="0"/>
    <n v="990.97799999999995"/>
    <n v="990.97799999999995"/>
    <n v="0"/>
    <n v="0"/>
    <n v="0"/>
    <x v="0"/>
    <n v="0"/>
    <n v="0"/>
    <n v="25"/>
    <n v="0"/>
    <n v="0"/>
    <n v="43.65"/>
    <n v="0"/>
    <m/>
    <n v="52.882770228452522"/>
    <m/>
    <n v="0"/>
    <n v="43256.189699999995"/>
    <n v="0"/>
    <n v="0"/>
    <n v="52405.66187545142"/>
    <n v="0"/>
  </r>
  <r>
    <s v="Regular"/>
    <x v="1"/>
    <x v="2"/>
    <x v="0"/>
    <x v="0"/>
    <x v="0"/>
    <x v="0"/>
    <x v="0"/>
    <x v="7"/>
    <n v="0"/>
    <n v="0"/>
    <n v="3231.2550000000001"/>
    <n v="3231.2550000000001"/>
    <n v="3231.2550000000001"/>
    <n v="3231.2550000000001"/>
    <n v="0"/>
    <x v="2"/>
    <n v="0"/>
    <n v="0"/>
    <n v="25"/>
    <n v="68"/>
    <n v="0"/>
    <n v="43.65"/>
    <n v="219.03"/>
    <m/>
    <n v="52.882770228452522"/>
    <n v="252.43227829401354"/>
    <n v="0"/>
    <n v="141044.28075000001"/>
    <n v="707741.78265000007"/>
    <n v="0"/>
    <n v="170877.71571453835"/>
    <n v="815673.06139892281"/>
  </r>
  <r>
    <s v="Sistema de Compensação"/>
    <x v="1"/>
    <x v="2"/>
    <x v="0"/>
    <x v="0"/>
    <x v="0"/>
    <x v="0"/>
    <x v="0"/>
    <x v="7"/>
    <n v="0"/>
    <n v="0"/>
    <n v="161.72399999999999"/>
    <n v="161.72399999999999"/>
    <n v="161.72399999999999"/>
    <n v="161.72399999999999"/>
    <n v="0"/>
    <x v="2"/>
    <n v="0"/>
    <n v="0"/>
    <n v="25"/>
    <n v="68"/>
    <n v="0"/>
    <n v="43.65"/>
    <n v="219.03"/>
    <m/>
    <n v="52.882770228452522"/>
    <n v="252.43227829401354"/>
    <n v="0"/>
    <n v="7059.2525999999989"/>
    <n v="35422.407719999996"/>
    <n v="0"/>
    <n v="8552.4131324262544"/>
    <n v="40824.357774821045"/>
  </r>
  <r>
    <s v="Regular"/>
    <x v="1"/>
    <x v="2"/>
    <x v="0"/>
    <x v="0"/>
    <x v="0"/>
    <x v="0"/>
    <x v="0"/>
    <x v="7"/>
    <n v="0"/>
    <n v="0"/>
    <n v="1058.7919999999999"/>
    <n v="1058.7919999999999"/>
    <n v="0"/>
    <n v="0"/>
    <n v="0"/>
    <x v="0"/>
    <n v="0"/>
    <n v="0"/>
    <n v="25"/>
    <n v="0"/>
    <n v="0"/>
    <n v="43.65"/>
    <n v="0"/>
    <m/>
    <n v="52.882770228452522"/>
    <m/>
    <n v="0"/>
    <n v="46216.270799999998"/>
    <n v="0"/>
    <n v="0"/>
    <n v="55991.854055723699"/>
    <n v="0"/>
  </r>
  <r>
    <s v="Regular"/>
    <x v="1"/>
    <x v="2"/>
    <x v="0"/>
    <x v="0"/>
    <x v="0"/>
    <x v="0"/>
    <x v="0"/>
    <x v="8"/>
    <n v="0"/>
    <n v="0"/>
    <n v="3330.3270000000002"/>
    <n v="3330.3270000000002"/>
    <n v="3330.3270000000002"/>
    <n v="3330.3270000000002"/>
    <n v="0"/>
    <x v="2"/>
    <n v="0"/>
    <n v="0"/>
    <n v="25"/>
    <n v="68"/>
    <n v="0"/>
    <n v="43.65"/>
    <n v="219.03"/>
    <m/>
    <n v="52.882770228452522"/>
    <n v="252.43227829401354"/>
    <n v="0"/>
    <n v="145368.77355000001"/>
    <n v="729441.52281000011"/>
    <n v="0"/>
    <n v="176116.91752661162"/>
    <n v="840682.03207406728"/>
  </r>
  <r>
    <s v="Sistema de Compensação"/>
    <x v="1"/>
    <x v="2"/>
    <x v="0"/>
    <x v="0"/>
    <x v="0"/>
    <x v="0"/>
    <x v="0"/>
    <x v="8"/>
    <n v="0"/>
    <n v="0"/>
    <n v="148.917"/>
    <n v="148.917"/>
    <n v="148.917"/>
    <n v="148.917"/>
    <n v="0"/>
    <x v="2"/>
    <n v="0"/>
    <n v="0"/>
    <n v="25"/>
    <n v="68"/>
    <n v="0"/>
    <n v="43.65"/>
    <n v="219.03"/>
    <m/>
    <n v="52.882770228452522"/>
    <n v="252.43227829401354"/>
    <n v="0"/>
    <n v="6500.2270499999995"/>
    <n v="32617.290509999999"/>
    <n v="0"/>
    <n v="7875.1434941104644"/>
    <n v="37591.457586709614"/>
  </r>
  <r>
    <s v="Regular"/>
    <x v="1"/>
    <x v="2"/>
    <x v="0"/>
    <x v="0"/>
    <x v="0"/>
    <x v="0"/>
    <x v="0"/>
    <x v="8"/>
    <n v="0"/>
    <n v="0"/>
    <n v="1001.95"/>
    <n v="1001.95"/>
    <n v="0"/>
    <n v="0"/>
    <n v="0"/>
    <x v="0"/>
    <n v="0"/>
    <n v="0"/>
    <n v="25"/>
    <n v="0"/>
    <n v="0"/>
    <n v="43.65"/>
    <n v="0"/>
    <m/>
    <n v="52.882770228452522"/>
    <m/>
    <n v="0"/>
    <n v="43735.1175"/>
    <n v="0"/>
    <n v="0"/>
    <n v="52985.891630398008"/>
    <n v="0"/>
  </r>
  <r>
    <s v="Regular"/>
    <x v="1"/>
    <x v="2"/>
    <x v="0"/>
    <x v="0"/>
    <x v="0"/>
    <x v="0"/>
    <x v="0"/>
    <x v="9"/>
    <n v="0"/>
    <n v="0"/>
    <n v="3276.5410000000002"/>
    <n v="3276.5410000000002"/>
    <n v="3276.5410000000002"/>
    <n v="3276.5410000000002"/>
    <n v="0"/>
    <x v="2"/>
    <n v="0"/>
    <n v="0"/>
    <n v="25"/>
    <n v="68"/>
    <n v="0"/>
    <n v="43.65"/>
    <n v="219.03"/>
    <m/>
    <n v="52.882770228452522"/>
    <n v="252.43227829401354"/>
    <n v="0"/>
    <n v="143021.01465"/>
    <n v="717660.77523000003"/>
    <n v="0"/>
    <n v="173272.56484710408"/>
    <n v="827104.70955374546"/>
  </r>
  <r>
    <s v="Sistema de Compensação"/>
    <x v="1"/>
    <x v="2"/>
    <x v="0"/>
    <x v="0"/>
    <x v="0"/>
    <x v="0"/>
    <x v="0"/>
    <x v="9"/>
    <n v="0"/>
    <n v="0"/>
    <n v="109.134"/>
    <n v="109.134"/>
    <n v="109.134"/>
    <n v="109.134"/>
    <n v="0"/>
    <x v="2"/>
    <n v="0"/>
    <n v="0"/>
    <n v="25"/>
    <n v="68"/>
    <n v="0"/>
    <n v="43.65"/>
    <n v="219.03"/>
    <m/>
    <n v="52.882770228452522"/>
    <n v="252.43227829401354"/>
    <n v="0"/>
    <n v="4763.6990999999998"/>
    <n v="23903.620019999998"/>
    <n v="0"/>
    <n v="5771.3082461119375"/>
    <n v="27548.944259338874"/>
  </r>
  <r>
    <s v="Regular"/>
    <x v="1"/>
    <x v="2"/>
    <x v="0"/>
    <x v="0"/>
    <x v="0"/>
    <x v="0"/>
    <x v="0"/>
    <x v="9"/>
    <n v="0"/>
    <n v="0"/>
    <n v="1051.575"/>
    <n v="1051.575"/>
    <n v="0"/>
    <n v="0"/>
    <n v="0"/>
    <x v="0"/>
    <n v="0"/>
    <n v="0"/>
    <n v="25"/>
    <n v="0"/>
    <n v="0"/>
    <n v="43.65"/>
    <n v="0"/>
    <m/>
    <n v="52.882770228452522"/>
    <m/>
    <n v="0"/>
    <n v="45901.248749999999"/>
    <n v="0"/>
    <n v="0"/>
    <n v="55610.19910298496"/>
    <n v="0"/>
  </r>
  <r>
    <s v="Regular"/>
    <x v="1"/>
    <x v="2"/>
    <x v="0"/>
    <x v="0"/>
    <x v="0"/>
    <x v="0"/>
    <x v="0"/>
    <x v="10"/>
    <n v="0"/>
    <n v="0"/>
    <n v="3011.28"/>
    <n v="3011.28"/>
    <n v="3011.28"/>
    <n v="3011.28"/>
    <n v="0"/>
    <x v="2"/>
    <n v="0"/>
    <n v="0"/>
    <n v="25"/>
    <n v="68"/>
    <n v="0"/>
    <n v="43.65"/>
    <n v="219.03"/>
    <m/>
    <n v="52.882770228452522"/>
    <n v="252.43227829401354"/>
    <n v="0"/>
    <n v="131442.372"/>
    <n v="659560.65840000007"/>
    <n v="0"/>
    <n v="159244.82833353453"/>
    <n v="760144.27098119713"/>
  </r>
  <r>
    <s v="Sistema de Compensação"/>
    <x v="1"/>
    <x v="2"/>
    <x v="0"/>
    <x v="0"/>
    <x v="0"/>
    <x v="0"/>
    <x v="0"/>
    <x v="10"/>
    <n v="0"/>
    <n v="0"/>
    <n v="121.90600000000001"/>
    <n v="121.90600000000001"/>
    <n v="121.90600000000001"/>
    <n v="121.90600000000001"/>
    <n v="0"/>
    <x v="2"/>
    <n v="0"/>
    <n v="0"/>
    <n v="25"/>
    <n v="68"/>
    <n v="0"/>
    <n v="43.65"/>
    <n v="219.03"/>
    <m/>
    <n v="52.882770228452522"/>
    <n v="252.43227829401354"/>
    <n v="0"/>
    <n v="5321.1968999999999"/>
    <n v="26701.071180000003"/>
    <n v="0"/>
    <n v="6446.7269874697331"/>
    <n v="30773.009317710017"/>
  </r>
  <r>
    <s v="Regular"/>
    <x v="1"/>
    <x v="2"/>
    <x v="0"/>
    <x v="0"/>
    <x v="0"/>
    <x v="0"/>
    <x v="0"/>
    <x v="10"/>
    <n v="0"/>
    <n v="0"/>
    <n v="952.65"/>
    <n v="952.65"/>
    <n v="0"/>
    <n v="0"/>
    <n v="0"/>
    <x v="0"/>
    <n v="0"/>
    <n v="0"/>
    <n v="25"/>
    <n v="0"/>
    <n v="0"/>
    <n v="43.65"/>
    <n v="0"/>
    <m/>
    <n v="52.882770228452522"/>
    <m/>
    <n v="0"/>
    <n v="41583.172500000001"/>
    <n v="0"/>
    <n v="0"/>
    <n v="50378.771058135295"/>
    <n v="0"/>
  </r>
  <r>
    <s v="PROJETADO"/>
    <x v="1"/>
    <x v="2"/>
    <x v="0"/>
    <x v="0"/>
    <x v="0"/>
    <x v="0"/>
    <x v="0"/>
    <x v="11"/>
    <n v="0"/>
    <n v="0"/>
    <n v="3011.28"/>
    <n v="3011.28"/>
    <n v="3011.28"/>
    <n v="3011.28"/>
    <n v="0"/>
    <x v="2"/>
    <n v="0"/>
    <n v="0"/>
    <n v="25"/>
    <n v="68"/>
    <n v="0"/>
    <n v="43.65"/>
    <n v="219.03"/>
    <m/>
    <n v="52.882770228452522"/>
    <n v="252.43227829401354"/>
    <n v="0"/>
    <n v="131442.372"/>
    <n v="659560.65840000007"/>
    <n v="0"/>
    <n v="159244.82833353453"/>
    <n v="760144.27098119713"/>
  </r>
  <r>
    <s v="PROJETADO"/>
    <x v="1"/>
    <x v="2"/>
    <x v="0"/>
    <x v="0"/>
    <x v="0"/>
    <x v="0"/>
    <x v="0"/>
    <x v="11"/>
    <n v="0"/>
    <n v="0"/>
    <n v="121.90600000000001"/>
    <n v="121.90600000000001"/>
    <n v="121.90600000000001"/>
    <n v="121.90600000000001"/>
    <n v="0"/>
    <x v="2"/>
    <n v="0"/>
    <n v="0"/>
    <n v="25"/>
    <n v="68"/>
    <n v="0"/>
    <n v="43.65"/>
    <n v="219.03"/>
    <m/>
    <n v="52.882770228452522"/>
    <n v="252.43227829401354"/>
    <n v="0"/>
    <n v="5321.1968999999999"/>
    <n v="26701.071180000003"/>
    <n v="0"/>
    <n v="6446.7269874697331"/>
    <n v="30773.009317710017"/>
  </r>
  <r>
    <s v="PROJETADO"/>
    <x v="1"/>
    <x v="2"/>
    <x v="0"/>
    <x v="0"/>
    <x v="0"/>
    <x v="0"/>
    <x v="0"/>
    <x v="11"/>
    <n v="0"/>
    <n v="0"/>
    <n v="952.65"/>
    <n v="952.65"/>
    <n v="0"/>
    <n v="0"/>
    <n v="0"/>
    <x v="0"/>
    <n v="0"/>
    <n v="0"/>
    <n v="25"/>
    <n v="0"/>
    <n v="0"/>
    <n v="43.65"/>
    <n v="0"/>
    <m/>
    <n v="52.882770228452522"/>
    <m/>
    <n v="0"/>
    <n v="41583.172500000001"/>
    <n v="0"/>
    <n v="0"/>
    <n v="50378.771058135295"/>
    <n v="0"/>
  </r>
  <r>
    <s v="Regular"/>
    <x v="1"/>
    <x v="2"/>
    <x v="0"/>
    <x v="0"/>
    <x v="0"/>
    <x v="0"/>
    <x v="1"/>
    <x v="0"/>
    <n v="18649"/>
    <n v="18649"/>
    <n v="0"/>
    <n v="0"/>
    <n v="0"/>
    <n v="0"/>
    <n v="103"/>
    <x v="2"/>
    <n v="0"/>
    <n v="23"/>
    <n v="0"/>
    <n v="0"/>
    <n v="18.48"/>
    <n v="0"/>
    <n v="0"/>
    <n v="19.543462882439208"/>
    <m/>
    <m/>
    <n v="344633.52"/>
    <n v="0"/>
    <n v="0"/>
    <n v="364466.03929460881"/>
    <n v="0"/>
    <n v="0"/>
  </r>
  <r>
    <s v="Sistema de Compensação"/>
    <x v="1"/>
    <x v="2"/>
    <x v="0"/>
    <x v="0"/>
    <x v="0"/>
    <x v="0"/>
    <x v="1"/>
    <x v="0"/>
    <n v="1371"/>
    <n v="1371"/>
    <n v="0"/>
    <n v="0"/>
    <n v="0"/>
    <n v="0"/>
    <n v="8"/>
    <x v="2"/>
    <n v="0"/>
    <n v="23"/>
    <n v="0"/>
    <n v="0"/>
    <n v="18.48"/>
    <n v="0"/>
    <n v="0"/>
    <n v="19.543462882439208"/>
    <m/>
    <m/>
    <n v="25336.080000000002"/>
    <n v="0"/>
    <n v="0"/>
    <n v="26794.087611824154"/>
    <n v="0"/>
    <n v="0"/>
  </r>
  <r>
    <s v="Regular"/>
    <x v="1"/>
    <x v="2"/>
    <x v="0"/>
    <x v="0"/>
    <x v="0"/>
    <x v="0"/>
    <x v="1"/>
    <x v="0"/>
    <n v="2500"/>
    <n v="2500"/>
    <n v="0"/>
    <n v="0"/>
    <n v="0"/>
    <n v="0"/>
    <n v="1"/>
    <x v="0"/>
    <n v="0"/>
    <n v="23"/>
    <n v="0"/>
    <n v="0"/>
    <n v="18.48"/>
    <n v="0"/>
    <n v="0"/>
    <n v="19.543462882439208"/>
    <m/>
    <m/>
    <n v="46200"/>
    <n v="0"/>
    <n v="0"/>
    <n v="48858.657206098018"/>
    <n v="0"/>
    <n v="0"/>
  </r>
  <r>
    <s v="Regular"/>
    <x v="1"/>
    <x v="2"/>
    <x v="0"/>
    <x v="0"/>
    <x v="0"/>
    <x v="0"/>
    <x v="1"/>
    <x v="1"/>
    <n v="18209"/>
    <n v="18209"/>
    <n v="0"/>
    <n v="0"/>
    <n v="0"/>
    <n v="0"/>
    <n v="101"/>
    <x v="2"/>
    <n v="0"/>
    <n v="23"/>
    <n v="0"/>
    <n v="0"/>
    <n v="18.48"/>
    <n v="0"/>
    <n v="0"/>
    <n v="19.543462882439208"/>
    <m/>
    <m/>
    <n v="336502.32"/>
    <n v="0"/>
    <n v="0"/>
    <n v="355866.91562633554"/>
    <n v="0"/>
    <n v="0"/>
  </r>
  <r>
    <s v="Sistema de Compensação"/>
    <x v="1"/>
    <x v="2"/>
    <x v="0"/>
    <x v="0"/>
    <x v="0"/>
    <x v="0"/>
    <x v="1"/>
    <x v="1"/>
    <n v="1574"/>
    <n v="1574"/>
    <n v="0"/>
    <n v="0"/>
    <n v="0"/>
    <n v="0"/>
    <n v="9"/>
    <x v="2"/>
    <n v="0"/>
    <n v="23"/>
    <n v="0"/>
    <n v="0"/>
    <n v="18.48"/>
    <n v="0"/>
    <n v="0"/>
    <n v="19.543462882439208"/>
    <m/>
    <m/>
    <n v="29087.52"/>
    <n v="0"/>
    <n v="0"/>
    <n v="30761.410576959312"/>
    <n v="0"/>
    <n v="0"/>
  </r>
  <r>
    <s v="Regular"/>
    <x v="1"/>
    <x v="2"/>
    <x v="0"/>
    <x v="0"/>
    <x v="0"/>
    <x v="0"/>
    <x v="1"/>
    <x v="1"/>
    <n v="2934"/>
    <n v="2934"/>
    <n v="0"/>
    <n v="0"/>
    <n v="0"/>
    <n v="0"/>
    <n v="2"/>
    <x v="0"/>
    <n v="0"/>
    <n v="23"/>
    <n v="0"/>
    <n v="0"/>
    <n v="18.48"/>
    <n v="0"/>
    <n v="0"/>
    <n v="19.543462882439208"/>
    <m/>
    <m/>
    <n v="54220.32"/>
    <n v="0"/>
    <n v="0"/>
    <n v="57340.520097076638"/>
    <n v="0"/>
    <n v="0"/>
  </r>
  <r>
    <s v="Regular"/>
    <x v="1"/>
    <x v="2"/>
    <x v="0"/>
    <x v="0"/>
    <x v="0"/>
    <x v="0"/>
    <x v="1"/>
    <x v="2"/>
    <n v="18113"/>
    <n v="18113"/>
    <n v="0"/>
    <n v="0"/>
    <n v="0"/>
    <n v="0"/>
    <n v="106"/>
    <x v="2"/>
    <n v="0"/>
    <n v="23"/>
    <n v="0"/>
    <n v="0"/>
    <n v="18.48"/>
    <n v="0"/>
    <n v="0"/>
    <n v="19.543462882439208"/>
    <m/>
    <m/>
    <n v="334728.24"/>
    <n v="0"/>
    <n v="0"/>
    <n v="353990.74318962137"/>
    <n v="0"/>
    <n v="0"/>
  </r>
  <r>
    <s v="Sistema de Compensação"/>
    <x v="1"/>
    <x v="2"/>
    <x v="0"/>
    <x v="0"/>
    <x v="0"/>
    <x v="0"/>
    <x v="1"/>
    <x v="2"/>
    <n v="1551"/>
    <n v="1551"/>
    <n v="0"/>
    <n v="0"/>
    <n v="0"/>
    <n v="0"/>
    <n v="9"/>
    <x v="2"/>
    <n v="0"/>
    <n v="23"/>
    <n v="0"/>
    <n v="0"/>
    <n v="18.48"/>
    <n v="0"/>
    <n v="0"/>
    <n v="19.543462882439208"/>
    <m/>
    <m/>
    <n v="28662.48"/>
    <n v="0"/>
    <n v="0"/>
    <n v="30311.910930663213"/>
    <n v="0"/>
    <n v="0"/>
  </r>
  <r>
    <s v="Regular"/>
    <x v="1"/>
    <x v="2"/>
    <x v="0"/>
    <x v="0"/>
    <x v="0"/>
    <x v="0"/>
    <x v="1"/>
    <x v="2"/>
    <n v="2934"/>
    <n v="2934"/>
    <n v="0"/>
    <n v="0"/>
    <n v="0"/>
    <n v="0"/>
    <n v="2"/>
    <x v="0"/>
    <n v="0"/>
    <n v="23"/>
    <n v="0"/>
    <n v="0"/>
    <n v="18.48"/>
    <n v="0"/>
    <n v="0"/>
    <n v="19.543462882439208"/>
    <m/>
    <m/>
    <n v="54220.32"/>
    <n v="0"/>
    <n v="0"/>
    <n v="57340.520097076638"/>
    <n v="0"/>
    <n v="0"/>
  </r>
  <r>
    <s v="Regular"/>
    <x v="1"/>
    <x v="2"/>
    <x v="0"/>
    <x v="0"/>
    <x v="0"/>
    <x v="0"/>
    <x v="1"/>
    <x v="3"/>
    <n v="17669"/>
    <n v="17669"/>
    <n v="0"/>
    <n v="0"/>
    <n v="0"/>
    <n v="0"/>
    <n v="102"/>
    <x v="2"/>
    <n v="0"/>
    <n v="23"/>
    <n v="0"/>
    <n v="0"/>
    <n v="18.48"/>
    <n v="0"/>
    <n v="0"/>
    <n v="19.543462882439208"/>
    <m/>
    <m/>
    <n v="326523.12"/>
    <n v="0"/>
    <n v="0"/>
    <n v="345313.44566981838"/>
    <n v="0"/>
    <n v="0"/>
  </r>
  <r>
    <s v="Sistema de Compensação"/>
    <x v="1"/>
    <x v="2"/>
    <x v="0"/>
    <x v="0"/>
    <x v="0"/>
    <x v="0"/>
    <x v="1"/>
    <x v="3"/>
    <n v="1563"/>
    <n v="1563"/>
    <n v="0"/>
    <n v="0"/>
    <n v="0"/>
    <n v="0"/>
    <n v="9"/>
    <x v="2"/>
    <n v="0"/>
    <n v="23"/>
    <n v="0"/>
    <n v="0"/>
    <n v="18.48"/>
    <n v="0"/>
    <n v="0"/>
    <n v="19.543462882439208"/>
    <m/>
    <m/>
    <n v="28884.240000000002"/>
    <n v="0"/>
    <n v="0"/>
    <n v="30546.432485252481"/>
    <n v="0"/>
    <n v="0"/>
  </r>
  <r>
    <s v="Regular"/>
    <x v="1"/>
    <x v="2"/>
    <x v="0"/>
    <x v="0"/>
    <x v="0"/>
    <x v="0"/>
    <x v="1"/>
    <x v="3"/>
    <n v="2500"/>
    <n v="2500"/>
    <n v="0"/>
    <n v="0"/>
    <n v="0"/>
    <n v="0"/>
    <n v="1"/>
    <x v="0"/>
    <n v="0"/>
    <n v="23"/>
    <n v="0"/>
    <n v="0"/>
    <n v="18.48"/>
    <n v="0"/>
    <n v="0"/>
    <n v="19.543462882439208"/>
    <m/>
    <m/>
    <n v="46200"/>
    <n v="0"/>
    <n v="0"/>
    <n v="48858.657206098018"/>
    <n v="0"/>
    <n v="0"/>
  </r>
  <r>
    <s v="Regular"/>
    <x v="1"/>
    <x v="2"/>
    <x v="0"/>
    <x v="0"/>
    <x v="0"/>
    <x v="0"/>
    <x v="1"/>
    <x v="4"/>
    <n v="17822"/>
    <n v="17822"/>
    <n v="0"/>
    <n v="0"/>
    <n v="0"/>
    <n v="0"/>
    <n v="101"/>
    <x v="2"/>
    <n v="0"/>
    <n v="23"/>
    <n v="0"/>
    <n v="0"/>
    <n v="18.48"/>
    <n v="0"/>
    <n v="0"/>
    <n v="19.543462882439208"/>
    <m/>
    <m/>
    <n v="329350.56"/>
    <n v="0"/>
    <n v="0"/>
    <n v="348303.59549083159"/>
    <n v="0"/>
    <n v="0"/>
  </r>
  <r>
    <s v="Sistema de Compensação"/>
    <x v="1"/>
    <x v="2"/>
    <x v="0"/>
    <x v="0"/>
    <x v="0"/>
    <x v="0"/>
    <x v="1"/>
    <x v="4"/>
    <n v="1552"/>
    <n v="1552"/>
    <n v="0"/>
    <n v="0"/>
    <n v="0"/>
    <n v="0"/>
    <n v="9"/>
    <x v="2"/>
    <n v="0"/>
    <n v="23"/>
    <n v="0"/>
    <n v="0"/>
    <n v="18.48"/>
    <n v="0"/>
    <n v="0"/>
    <n v="19.543462882439208"/>
    <m/>
    <m/>
    <n v="28680.959999999999"/>
    <n v="0"/>
    <n v="0"/>
    <n v="30331.45439354565"/>
    <n v="0"/>
    <n v="0"/>
  </r>
  <r>
    <s v="Regular"/>
    <x v="1"/>
    <x v="2"/>
    <x v="0"/>
    <x v="0"/>
    <x v="0"/>
    <x v="0"/>
    <x v="1"/>
    <x v="4"/>
    <n v="2500"/>
    <n v="2500"/>
    <n v="0"/>
    <n v="0"/>
    <n v="0"/>
    <n v="0"/>
    <n v="1"/>
    <x v="0"/>
    <n v="0"/>
    <n v="23"/>
    <n v="0"/>
    <n v="0"/>
    <n v="18.48"/>
    <n v="0"/>
    <n v="0"/>
    <n v="19.543462882439208"/>
    <m/>
    <m/>
    <n v="46200"/>
    <n v="0"/>
    <n v="0"/>
    <n v="48858.657206098018"/>
    <n v="0"/>
    <n v="0"/>
  </r>
  <r>
    <s v="Regular"/>
    <x v="1"/>
    <x v="2"/>
    <x v="0"/>
    <x v="0"/>
    <x v="0"/>
    <x v="0"/>
    <x v="1"/>
    <x v="5"/>
    <n v="17769"/>
    <n v="17769"/>
    <n v="0"/>
    <n v="0"/>
    <n v="0"/>
    <n v="0"/>
    <n v="103"/>
    <x v="2"/>
    <n v="0"/>
    <n v="23"/>
    <n v="0"/>
    <n v="0"/>
    <n v="18.48"/>
    <n v="0"/>
    <n v="0"/>
    <n v="19.543462882439208"/>
    <m/>
    <m/>
    <n v="328371.12"/>
    <n v="0"/>
    <n v="0"/>
    <n v="347267.79195806227"/>
    <n v="0"/>
    <n v="0"/>
  </r>
  <r>
    <s v="Sistema de Compensação"/>
    <x v="1"/>
    <x v="2"/>
    <x v="0"/>
    <x v="0"/>
    <x v="0"/>
    <x v="0"/>
    <x v="1"/>
    <x v="5"/>
    <n v="1787"/>
    <n v="1787"/>
    <n v="0"/>
    <n v="0"/>
    <n v="0"/>
    <n v="0"/>
    <n v="10"/>
    <x v="2"/>
    <n v="0"/>
    <n v="23"/>
    <n v="0"/>
    <n v="0"/>
    <n v="18.48"/>
    <n v="0"/>
    <n v="0"/>
    <n v="19.543462882439208"/>
    <m/>
    <m/>
    <n v="33023.760000000002"/>
    <n v="0"/>
    <n v="0"/>
    <n v="34924.168170918863"/>
    <n v="0"/>
    <n v="0"/>
  </r>
  <r>
    <s v="Regular"/>
    <x v="1"/>
    <x v="2"/>
    <x v="0"/>
    <x v="0"/>
    <x v="0"/>
    <x v="0"/>
    <x v="1"/>
    <x v="5"/>
    <n v="2550"/>
    <n v="2550"/>
    <n v="0"/>
    <n v="0"/>
    <n v="0"/>
    <n v="0"/>
    <n v="2"/>
    <x v="0"/>
    <n v="0"/>
    <n v="23"/>
    <n v="0"/>
    <n v="0"/>
    <n v="18.48"/>
    <n v="0"/>
    <n v="0"/>
    <n v="19.543462882439208"/>
    <m/>
    <m/>
    <n v="47124"/>
    <n v="0"/>
    <n v="0"/>
    <n v="49835.830350219978"/>
    <n v="0"/>
    <n v="0"/>
  </r>
  <r>
    <s v="Regular"/>
    <x v="1"/>
    <x v="2"/>
    <x v="0"/>
    <x v="0"/>
    <x v="0"/>
    <x v="0"/>
    <x v="1"/>
    <x v="6"/>
    <n v="17628"/>
    <n v="17628"/>
    <n v="0"/>
    <n v="0"/>
    <n v="0"/>
    <n v="0"/>
    <n v="101"/>
    <x v="2"/>
    <n v="0"/>
    <n v="23"/>
    <n v="0"/>
    <n v="0"/>
    <n v="18.48"/>
    <n v="0"/>
    <n v="0"/>
    <n v="19.543462882439208"/>
    <m/>
    <m/>
    <n v="325765.44"/>
    <n v="0"/>
    <n v="0"/>
    <n v="344512.16369163833"/>
    <n v="0"/>
    <n v="0"/>
  </r>
  <r>
    <s v="Sistema de Compensação"/>
    <x v="1"/>
    <x v="2"/>
    <x v="0"/>
    <x v="0"/>
    <x v="0"/>
    <x v="0"/>
    <x v="1"/>
    <x v="6"/>
    <n v="2001"/>
    <n v="2001"/>
    <n v="0"/>
    <n v="0"/>
    <n v="0"/>
    <n v="0"/>
    <n v="11"/>
    <x v="2"/>
    <n v="0"/>
    <n v="23"/>
    <n v="0"/>
    <n v="0"/>
    <n v="18.48"/>
    <n v="0"/>
    <n v="0"/>
    <n v="19.543462882439208"/>
    <m/>
    <m/>
    <n v="36978.480000000003"/>
    <n v="0"/>
    <n v="0"/>
    <n v="39106.469227760856"/>
    <n v="0"/>
    <n v="0"/>
  </r>
  <r>
    <s v="Regular"/>
    <x v="1"/>
    <x v="2"/>
    <x v="0"/>
    <x v="0"/>
    <x v="0"/>
    <x v="0"/>
    <x v="1"/>
    <x v="6"/>
    <n v="2550"/>
    <n v="2550"/>
    <n v="0"/>
    <n v="0"/>
    <n v="0"/>
    <n v="0"/>
    <n v="2"/>
    <x v="0"/>
    <n v="0"/>
    <n v="23"/>
    <n v="0"/>
    <n v="0"/>
    <n v="18.48"/>
    <n v="0"/>
    <n v="0"/>
    <n v="19.543462882439208"/>
    <m/>
    <m/>
    <n v="47124"/>
    <n v="0"/>
    <n v="0"/>
    <n v="49835.830350219978"/>
    <n v="0"/>
    <n v="0"/>
  </r>
  <r>
    <s v="Regular"/>
    <x v="1"/>
    <x v="2"/>
    <x v="0"/>
    <x v="0"/>
    <x v="0"/>
    <x v="0"/>
    <x v="1"/>
    <x v="7"/>
    <n v="17540"/>
    <n v="17540"/>
    <n v="0"/>
    <n v="0"/>
    <n v="0"/>
    <n v="0"/>
    <n v="100"/>
    <x v="2"/>
    <n v="0"/>
    <n v="23"/>
    <n v="0"/>
    <n v="0"/>
    <n v="18.48"/>
    <n v="0"/>
    <n v="0"/>
    <n v="19.543462882439208"/>
    <m/>
    <m/>
    <n v="324139.2"/>
    <n v="0"/>
    <n v="0"/>
    <n v="342792.33895798371"/>
    <n v="0"/>
    <n v="0"/>
  </r>
  <r>
    <s v="Sistema de Compensação"/>
    <x v="1"/>
    <x v="2"/>
    <x v="0"/>
    <x v="0"/>
    <x v="0"/>
    <x v="0"/>
    <x v="1"/>
    <x v="7"/>
    <n v="1980"/>
    <n v="1980"/>
    <n v="0"/>
    <n v="0"/>
    <n v="0"/>
    <n v="0"/>
    <n v="11"/>
    <x v="2"/>
    <n v="0"/>
    <n v="23"/>
    <n v="0"/>
    <n v="0"/>
    <n v="18.48"/>
    <n v="0"/>
    <n v="0"/>
    <n v="19.543462882439208"/>
    <m/>
    <m/>
    <n v="36590.400000000001"/>
    <n v="0"/>
    <n v="0"/>
    <n v="38696.05650722963"/>
    <n v="0"/>
    <n v="0"/>
  </r>
  <r>
    <s v="Regular"/>
    <x v="1"/>
    <x v="2"/>
    <x v="0"/>
    <x v="0"/>
    <x v="0"/>
    <x v="0"/>
    <x v="1"/>
    <x v="7"/>
    <n v="2550"/>
    <n v="2550"/>
    <n v="0"/>
    <n v="0"/>
    <n v="0"/>
    <n v="0"/>
    <n v="2"/>
    <x v="0"/>
    <n v="0"/>
    <n v="23"/>
    <n v="0"/>
    <n v="0"/>
    <n v="18.48"/>
    <n v="0"/>
    <n v="0"/>
    <n v="19.543462882439208"/>
    <m/>
    <m/>
    <n v="47124"/>
    <n v="0"/>
    <n v="0"/>
    <n v="49835.830350219978"/>
    <n v="0"/>
    <n v="0"/>
  </r>
  <r>
    <s v="Regular"/>
    <x v="1"/>
    <x v="2"/>
    <x v="0"/>
    <x v="0"/>
    <x v="0"/>
    <x v="0"/>
    <x v="1"/>
    <x v="8"/>
    <n v="17330"/>
    <n v="17330"/>
    <n v="0"/>
    <n v="0"/>
    <n v="0"/>
    <n v="0"/>
    <n v="101"/>
    <x v="2"/>
    <n v="0"/>
    <n v="23"/>
    <n v="0"/>
    <n v="0"/>
    <n v="18.48"/>
    <n v="0"/>
    <n v="0"/>
    <n v="19.543462882439208"/>
    <m/>
    <m/>
    <n v="320258.40000000002"/>
    <n v="0"/>
    <n v="0"/>
    <n v="338688.21175267146"/>
    <n v="0"/>
    <n v="0"/>
  </r>
  <r>
    <s v="Sistema de Compensação"/>
    <x v="1"/>
    <x v="2"/>
    <x v="0"/>
    <x v="0"/>
    <x v="0"/>
    <x v="0"/>
    <x v="1"/>
    <x v="8"/>
    <n v="2727"/>
    <n v="2727"/>
    <n v="0"/>
    <n v="0"/>
    <n v="0"/>
    <n v="0"/>
    <n v="12"/>
    <x v="2"/>
    <n v="0"/>
    <n v="23"/>
    <n v="0"/>
    <n v="0"/>
    <n v="18.48"/>
    <n v="0"/>
    <n v="0"/>
    <n v="19.543462882439208"/>
    <m/>
    <m/>
    <n v="50394.96"/>
    <n v="0"/>
    <n v="0"/>
    <n v="53295.023280411719"/>
    <n v="0"/>
    <n v="0"/>
  </r>
  <r>
    <s v="Regular"/>
    <x v="1"/>
    <x v="2"/>
    <x v="0"/>
    <x v="0"/>
    <x v="0"/>
    <x v="0"/>
    <x v="1"/>
    <x v="8"/>
    <n v="2550"/>
    <n v="2550"/>
    <n v="0"/>
    <n v="0"/>
    <n v="0"/>
    <n v="0"/>
    <n v="2"/>
    <x v="0"/>
    <n v="0"/>
    <n v="23"/>
    <n v="0"/>
    <n v="0"/>
    <n v="18.48"/>
    <n v="0"/>
    <n v="0"/>
    <n v="19.543462882439208"/>
    <m/>
    <m/>
    <n v="47124"/>
    <n v="0"/>
    <n v="0"/>
    <n v="49835.830350219978"/>
    <n v="0"/>
    <n v="0"/>
  </r>
  <r>
    <s v="Regular"/>
    <x v="1"/>
    <x v="2"/>
    <x v="0"/>
    <x v="0"/>
    <x v="0"/>
    <x v="0"/>
    <x v="1"/>
    <x v="9"/>
    <n v="17527"/>
    <n v="17527"/>
    <n v="0"/>
    <n v="0"/>
    <n v="0"/>
    <n v="0"/>
    <n v="101"/>
    <x v="2"/>
    <n v="0"/>
    <n v="23"/>
    <n v="0"/>
    <n v="0"/>
    <n v="18.48"/>
    <n v="0"/>
    <n v="0"/>
    <n v="19.543462882439208"/>
    <m/>
    <m/>
    <n v="323898.96000000002"/>
    <n v="0"/>
    <n v="0"/>
    <n v="342538.27394051198"/>
    <n v="0"/>
    <n v="0"/>
  </r>
  <r>
    <s v="Refaturamento - Regular"/>
    <x v="1"/>
    <x v="2"/>
    <x v="0"/>
    <x v="0"/>
    <x v="0"/>
    <x v="0"/>
    <x v="1"/>
    <x v="9"/>
    <n v="59"/>
    <n v="59"/>
    <n v="0"/>
    <n v="0"/>
    <n v="0"/>
    <n v="0"/>
    <n v="0"/>
    <x v="2"/>
    <n v="0"/>
    <n v="23"/>
    <n v="0"/>
    <n v="0"/>
    <n v="18.48"/>
    <n v="0"/>
    <n v="0"/>
    <n v="19.543462882439208"/>
    <m/>
    <m/>
    <n v="1090.32"/>
    <n v="0"/>
    <n v="0"/>
    <n v="1153.0643100639134"/>
    <n v="0"/>
    <n v="0"/>
  </r>
  <r>
    <s v="Sistema de Compensação"/>
    <x v="1"/>
    <x v="2"/>
    <x v="0"/>
    <x v="0"/>
    <x v="0"/>
    <x v="0"/>
    <x v="1"/>
    <x v="9"/>
    <n v="2727"/>
    <n v="2727"/>
    <n v="0"/>
    <n v="0"/>
    <n v="0"/>
    <n v="0"/>
    <n v="12"/>
    <x v="2"/>
    <n v="0"/>
    <n v="23"/>
    <n v="0"/>
    <n v="0"/>
    <n v="18.48"/>
    <n v="0"/>
    <n v="0"/>
    <n v="19.543462882439208"/>
    <m/>
    <m/>
    <n v="50394.96"/>
    <n v="0"/>
    <n v="0"/>
    <n v="53295.023280411719"/>
    <n v="0"/>
    <n v="0"/>
  </r>
  <r>
    <s v="Regular"/>
    <x v="1"/>
    <x v="2"/>
    <x v="0"/>
    <x v="0"/>
    <x v="0"/>
    <x v="0"/>
    <x v="1"/>
    <x v="9"/>
    <n v="2550"/>
    <n v="2550"/>
    <n v="0"/>
    <n v="0"/>
    <n v="0"/>
    <n v="0"/>
    <n v="2"/>
    <x v="0"/>
    <n v="0"/>
    <n v="23"/>
    <n v="0"/>
    <n v="0"/>
    <n v="18.48"/>
    <n v="0"/>
    <n v="0"/>
    <n v="19.543462882439208"/>
    <m/>
    <m/>
    <n v="47124"/>
    <n v="0"/>
    <n v="0"/>
    <n v="49835.830350219978"/>
    <n v="0"/>
    <n v="0"/>
  </r>
  <r>
    <s v="Regular"/>
    <x v="1"/>
    <x v="2"/>
    <x v="0"/>
    <x v="0"/>
    <x v="0"/>
    <x v="0"/>
    <x v="1"/>
    <x v="10"/>
    <n v="17088"/>
    <n v="17088"/>
    <n v="0"/>
    <n v="0"/>
    <n v="0"/>
    <n v="0"/>
    <n v="102"/>
    <x v="2"/>
    <n v="0"/>
    <n v="23"/>
    <n v="0"/>
    <n v="0"/>
    <n v="18.48"/>
    <n v="0"/>
    <n v="0"/>
    <n v="19.543462882439208"/>
    <m/>
    <m/>
    <n v="315786.23999999999"/>
    <n v="0"/>
    <n v="0"/>
    <n v="333958.69373512117"/>
    <n v="0"/>
    <n v="0"/>
  </r>
  <r>
    <s v="Sistema de Compensação"/>
    <x v="1"/>
    <x v="2"/>
    <x v="0"/>
    <x v="0"/>
    <x v="0"/>
    <x v="0"/>
    <x v="1"/>
    <x v="10"/>
    <n v="2691"/>
    <n v="2691"/>
    <n v="0"/>
    <n v="0"/>
    <n v="0"/>
    <n v="0"/>
    <n v="12"/>
    <x v="2"/>
    <n v="0"/>
    <n v="23"/>
    <n v="0"/>
    <n v="0"/>
    <n v="18.48"/>
    <n v="0"/>
    <n v="0"/>
    <n v="19.543462882439208"/>
    <m/>
    <m/>
    <n v="49729.68"/>
    <n v="0"/>
    <n v="0"/>
    <n v="52591.458616643911"/>
    <n v="0"/>
    <n v="0"/>
  </r>
  <r>
    <s v="Regular"/>
    <x v="1"/>
    <x v="2"/>
    <x v="0"/>
    <x v="0"/>
    <x v="0"/>
    <x v="0"/>
    <x v="1"/>
    <x v="10"/>
    <n v="2500"/>
    <n v="2500"/>
    <n v="0"/>
    <n v="0"/>
    <n v="0"/>
    <n v="0"/>
    <n v="1"/>
    <x v="0"/>
    <n v="0"/>
    <n v="23"/>
    <n v="0"/>
    <n v="0"/>
    <n v="18.48"/>
    <n v="0"/>
    <n v="0"/>
    <n v="19.543462882439208"/>
    <m/>
    <m/>
    <n v="46200"/>
    <n v="0"/>
    <n v="0"/>
    <n v="48858.657206098018"/>
    <n v="0"/>
    <n v="0"/>
  </r>
  <r>
    <s v="PROJETADO"/>
    <x v="1"/>
    <x v="2"/>
    <x v="0"/>
    <x v="0"/>
    <x v="0"/>
    <x v="0"/>
    <x v="1"/>
    <x v="11"/>
    <n v="17088"/>
    <n v="17088"/>
    <n v="0"/>
    <n v="0"/>
    <n v="0"/>
    <n v="0"/>
    <n v="102"/>
    <x v="2"/>
    <n v="0"/>
    <n v="23"/>
    <n v="0"/>
    <n v="0"/>
    <n v="18.48"/>
    <n v="0"/>
    <n v="0"/>
    <n v="19.543462882439208"/>
    <m/>
    <m/>
    <n v="315786.23999999999"/>
    <n v="0"/>
    <n v="0"/>
    <n v="333958.69373512117"/>
    <n v="0"/>
    <n v="0"/>
  </r>
  <r>
    <s v="PROJETADO"/>
    <x v="1"/>
    <x v="2"/>
    <x v="0"/>
    <x v="0"/>
    <x v="0"/>
    <x v="0"/>
    <x v="1"/>
    <x v="11"/>
    <n v="2691"/>
    <n v="2691"/>
    <n v="0"/>
    <n v="0"/>
    <n v="0"/>
    <n v="0"/>
    <n v="12"/>
    <x v="2"/>
    <n v="0"/>
    <n v="23"/>
    <n v="0"/>
    <n v="0"/>
    <n v="18.48"/>
    <n v="0"/>
    <n v="0"/>
    <n v="19.543462882439208"/>
    <m/>
    <m/>
    <n v="49729.68"/>
    <n v="0"/>
    <n v="0"/>
    <n v="52591.458616643911"/>
    <n v="0"/>
    <n v="0"/>
  </r>
  <r>
    <s v="PROJETADO"/>
    <x v="1"/>
    <x v="2"/>
    <x v="0"/>
    <x v="0"/>
    <x v="0"/>
    <x v="0"/>
    <x v="1"/>
    <x v="11"/>
    <n v="2500"/>
    <n v="2500"/>
    <n v="0"/>
    <n v="0"/>
    <n v="0"/>
    <n v="0"/>
    <n v="1"/>
    <x v="0"/>
    <n v="0"/>
    <n v="23"/>
    <n v="0"/>
    <n v="0"/>
    <n v="18.48"/>
    <n v="0"/>
    <n v="0"/>
    <n v="19.543462882439208"/>
    <m/>
    <m/>
    <n v="46200"/>
    <n v="0"/>
    <n v="0"/>
    <n v="48858.657206098018"/>
    <n v="0"/>
    <n v="0"/>
  </r>
  <r>
    <s v="Regular"/>
    <x v="1"/>
    <x v="2"/>
    <x v="0"/>
    <x v="0"/>
    <x v="0"/>
    <x v="0"/>
    <x v="2"/>
    <x v="0"/>
    <n v="0"/>
    <n v="0"/>
    <n v="130.048"/>
    <n v="130.048"/>
    <n v="130.048"/>
    <n v="130.048"/>
    <n v="0"/>
    <x v="2"/>
    <n v="0"/>
    <n v="0"/>
    <n v="24"/>
    <n v="67"/>
    <n v="0"/>
    <n v="943.81"/>
    <n v="366.6"/>
    <m/>
    <n v="1019.176668187089"/>
    <n v="407.57745297626161"/>
    <n v="0"/>
    <n v="122740.60287999999"/>
    <n v="47675.596800000007"/>
    <n v="0"/>
    <n v="132541.88734439455"/>
    <n v="53004.632604656872"/>
  </r>
  <r>
    <s v="Sistema de Compensação"/>
    <x v="1"/>
    <x v="2"/>
    <x v="0"/>
    <x v="0"/>
    <x v="0"/>
    <x v="0"/>
    <x v="2"/>
    <x v="0"/>
    <n v="0"/>
    <n v="0"/>
    <n v="2.823"/>
    <n v="2.823"/>
    <n v="2.823"/>
    <n v="2.823"/>
    <n v="0"/>
    <x v="2"/>
    <n v="0"/>
    <n v="0"/>
    <n v="24"/>
    <n v="67"/>
    <n v="0"/>
    <n v="943.81"/>
    <n v="366.6"/>
    <m/>
    <n v="1019.176668187089"/>
    <n v="407.57745297626161"/>
    <n v="0"/>
    <n v="2664.37563"/>
    <n v="1034.9118000000001"/>
    <n v="0"/>
    <n v="2877.1357342921524"/>
    <n v="1150.5911497519864"/>
  </r>
  <r>
    <s v="Regular"/>
    <x v="1"/>
    <x v="2"/>
    <x v="0"/>
    <x v="0"/>
    <x v="0"/>
    <x v="0"/>
    <x v="2"/>
    <x v="0"/>
    <n v="0"/>
    <n v="0"/>
    <n v="23.718"/>
    <n v="23.718"/>
    <n v="0"/>
    <n v="0"/>
    <n v="0"/>
    <x v="0"/>
    <n v="0"/>
    <n v="0"/>
    <n v="24"/>
    <n v="0"/>
    <n v="0"/>
    <n v="943.81"/>
    <n v="0"/>
    <m/>
    <n v="1019.176668187089"/>
    <m/>
    <n v="0"/>
    <n v="22385.28558"/>
    <n v="0"/>
    <n v="0"/>
    <n v="24172.832216061379"/>
    <n v="0"/>
  </r>
  <r>
    <s v="Regular"/>
    <x v="1"/>
    <x v="2"/>
    <x v="0"/>
    <x v="0"/>
    <x v="0"/>
    <x v="0"/>
    <x v="2"/>
    <x v="1"/>
    <n v="0"/>
    <n v="0"/>
    <n v="130.84399999999999"/>
    <n v="130.84399999999999"/>
    <n v="130.84399999999999"/>
    <n v="130.84399999999999"/>
    <n v="0"/>
    <x v="2"/>
    <n v="0"/>
    <n v="0"/>
    <n v="24"/>
    <n v="67"/>
    <n v="0"/>
    <n v="943.81"/>
    <n v="366.6"/>
    <m/>
    <n v="1019.176668187089"/>
    <n v="407.57745297626161"/>
    <n v="0"/>
    <n v="123491.87563999998"/>
    <n v="47967.410400000001"/>
    <n v="0"/>
    <n v="133353.15197227147"/>
    <n v="53329.064257225975"/>
  </r>
  <r>
    <s v="Refaturamento - Regular"/>
    <x v="1"/>
    <x v="2"/>
    <x v="0"/>
    <x v="0"/>
    <x v="0"/>
    <x v="0"/>
    <x v="2"/>
    <x v="1"/>
    <n v="0"/>
    <n v="0"/>
    <n v="-8.61"/>
    <n v="-8.61"/>
    <n v="-8.61"/>
    <n v="-8.61"/>
    <n v="0"/>
    <x v="2"/>
    <n v="0"/>
    <n v="0"/>
    <n v="24"/>
    <n v="67"/>
    <n v="0"/>
    <n v="943.81"/>
    <n v="366.6"/>
    <m/>
    <n v="1019.176668187089"/>
    <n v="407.57745297626161"/>
    <n v="0"/>
    <n v="-8126.204099999999"/>
    <n v="-3156.4259999999999"/>
    <n v="0"/>
    <n v="-8775.1111130908357"/>
    <n v="-3509.2418701256124"/>
  </r>
  <r>
    <s v="Sistema de Compensação"/>
    <x v="1"/>
    <x v="2"/>
    <x v="0"/>
    <x v="0"/>
    <x v="0"/>
    <x v="0"/>
    <x v="2"/>
    <x v="1"/>
    <n v="0"/>
    <n v="0"/>
    <n v="4.101"/>
    <n v="4.101"/>
    <n v="4.101"/>
    <n v="4.101"/>
    <n v="0"/>
    <x v="2"/>
    <n v="0"/>
    <n v="0"/>
    <n v="24"/>
    <n v="67"/>
    <n v="0"/>
    <n v="943.81"/>
    <n v="366.6"/>
    <m/>
    <n v="1019.176668187089"/>
    <n v="407.57745297626161"/>
    <n v="0"/>
    <n v="3870.5648099999999"/>
    <n v="1503.4266"/>
    <n v="0"/>
    <n v="4179.6435162352518"/>
    <n v="1671.4751346556488"/>
  </r>
  <r>
    <s v="Regular"/>
    <x v="1"/>
    <x v="2"/>
    <x v="0"/>
    <x v="0"/>
    <x v="0"/>
    <x v="0"/>
    <x v="2"/>
    <x v="1"/>
    <n v="0"/>
    <n v="0"/>
    <n v="31.503"/>
    <n v="31.503"/>
    <n v="0"/>
    <n v="0"/>
    <n v="0"/>
    <x v="0"/>
    <n v="0"/>
    <n v="0"/>
    <n v="24"/>
    <n v="0"/>
    <n v="0"/>
    <n v="943.81"/>
    <n v="0"/>
    <m/>
    <n v="1019.176668187089"/>
    <m/>
    <n v="0"/>
    <n v="29732.846429999998"/>
    <n v="0"/>
    <n v="0"/>
    <n v="32107.122577897866"/>
    <n v="0"/>
  </r>
  <r>
    <s v="Regular"/>
    <x v="1"/>
    <x v="2"/>
    <x v="0"/>
    <x v="0"/>
    <x v="0"/>
    <x v="0"/>
    <x v="2"/>
    <x v="2"/>
    <n v="0"/>
    <n v="0"/>
    <n v="131.22300000000001"/>
    <n v="131.22300000000001"/>
    <n v="131.22300000000001"/>
    <n v="131.22300000000001"/>
    <n v="0"/>
    <x v="2"/>
    <n v="0"/>
    <n v="0"/>
    <n v="24"/>
    <n v="67"/>
    <n v="0"/>
    <n v="943.81"/>
    <n v="366.6"/>
    <m/>
    <n v="1019.176668187089"/>
    <n v="407.57745297626161"/>
    <n v="0"/>
    <n v="123849.57963000001"/>
    <n v="48106.351800000011"/>
    <n v="0"/>
    <n v="133739.41992951441"/>
    <n v="53483.536111903981"/>
  </r>
  <r>
    <s v="Sistema de Compensação"/>
    <x v="1"/>
    <x v="2"/>
    <x v="0"/>
    <x v="0"/>
    <x v="0"/>
    <x v="0"/>
    <x v="2"/>
    <x v="2"/>
    <n v="0"/>
    <n v="0"/>
    <n v="3.2559999999999998"/>
    <n v="3.2559999999999998"/>
    <n v="3.2559999999999998"/>
    <n v="3.2559999999999998"/>
    <n v="0"/>
    <x v="2"/>
    <n v="0"/>
    <n v="0"/>
    <n v="24"/>
    <n v="67"/>
    <n v="0"/>
    <n v="943.81"/>
    <n v="366.6"/>
    <m/>
    <n v="1019.176668187089"/>
    <n v="407.57745297626161"/>
    <n v="0"/>
    <n v="3073.0453599999996"/>
    <n v="1193.6496"/>
    <n v="0"/>
    <n v="3318.4392316171616"/>
    <n v="1327.0721868907078"/>
  </r>
  <r>
    <s v="Regular"/>
    <x v="1"/>
    <x v="2"/>
    <x v="0"/>
    <x v="0"/>
    <x v="0"/>
    <x v="0"/>
    <x v="2"/>
    <x v="2"/>
    <n v="0"/>
    <n v="0"/>
    <n v="41.454999999999998"/>
    <n v="41.454999999999998"/>
    <n v="0"/>
    <n v="0"/>
    <n v="0"/>
    <x v="0"/>
    <n v="0"/>
    <n v="0"/>
    <n v="24"/>
    <n v="0"/>
    <n v="0"/>
    <n v="943.81"/>
    <n v="0"/>
    <m/>
    <n v="1019.176668187089"/>
    <m/>
    <n v="0"/>
    <n v="39125.643549999993"/>
    <n v="0"/>
    <n v="0"/>
    <n v="42249.968779695773"/>
    <n v="0"/>
  </r>
  <r>
    <s v="Regular"/>
    <x v="1"/>
    <x v="2"/>
    <x v="0"/>
    <x v="0"/>
    <x v="0"/>
    <x v="0"/>
    <x v="2"/>
    <x v="3"/>
    <n v="0"/>
    <n v="0"/>
    <n v="106.983"/>
    <n v="106.983"/>
    <n v="106.983"/>
    <n v="106.983"/>
    <n v="0"/>
    <x v="2"/>
    <n v="0"/>
    <n v="0"/>
    <n v="24"/>
    <n v="67"/>
    <n v="0"/>
    <n v="943.81"/>
    <n v="366.6"/>
    <m/>
    <n v="1019.176668187089"/>
    <n v="407.57745297626161"/>
    <n v="0"/>
    <n v="100971.62523000001"/>
    <n v="39219.967800000006"/>
    <n v="0"/>
    <n v="109034.57749265934"/>
    <n v="43603.858651759394"/>
  </r>
  <r>
    <s v="Sistema de Compensação"/>
    <x v="1"/>
    <x v="2"/>
    <x v="0"/>
    <x v="0"/>
    <x v="0"/>
    <x v="0"/>
    <x v="2"/>
    <x v="3"/>
    <n v="0"/>
    <n v="0"/>
    <n v="3.5819999999999999"/>
    <n v="3.5819999999999999"/>
    <n v="3.5819999999999999"/>
    <n v="3.5819999999999999"/>
    <n v="0"/>
    <x v="2"/>
    <n v="0"/>
    <n v="0"/>
    <n v="24"/>
    <n v="67"/>
    <n v="0"/>
    <n v="943.81"/>
    <n v="366.6"/>
    <m/>
    <n v="1019.176668187089"/>
    <n v="407.57745297626161"/>
    <n v="0"/>
    <n v="3380.7274199999997"/>
    <n v="1313.1612"/>
    <n v="0"/>
    <n v="3650.6908254461528"/>
    <n v="1459.9424365609691"/>
  </r>
  <r>
    <s v="Regular"/>
    <x v="1"/>
    <x v="2"/>
    <x v="0"/>
    <x v="0"/>
    <x v="0"/>
    <x v="0"/>
    <x v="2"/>
    <x v="3"/>
    <n v="0"/>
    <n v="0"/>
    <n v="20.829000000000001"/>
    <n v="20.829000000000001"/>
    <n v="0"/>
    <n v="0"/>
    <n v="0"/>
    <x v="0"/>
    <n v="0"/>
    <n v="0"/>
    <n v="24"/>
    <n v="0"/>
    <n v="0"/>
    <n v="943.81"/>
    <n v="0"/>
    <m/>
    <n v="1019.176668187089"/>
    <m/>
    <n v="0"/>
    <n v="19658.618490000001"/>
    <n v="0"/>
    <n v="0"/>
    <n v="21228.430821668877"/>
    <n v="0"/>
  </r>
  <r>
    <s v="Regular"/>
    <x v="1"/>
    <x v="2"/>
    <x v="0"/>
    <x v="0"/>
    <x v="0"/>
    <x v="0"/>
    <x v="2"/>
    <x v="4"/>
    <n v="0"/>
    <n v="0"/>
    <n v="138.36500000000001"/>
    <n v="138.36500000000001"/>
    <n v="138.36500000000001"/>
    <n v="138.36500000000001"/>
    <n v="0"/>
    <x v="2"/>
    <n v="0"/>
    <n v="0"/>
    <n v="24"/>
    <n v="67"/>
    <n v="0"/>
    <n v="943.81"/>
    <n v="366.6"/>
    <m/>
    <n v="1019.176668187089"/>
    <n v="407.57745297626161"/>
    <n v="0"/>
    <n v="130590.27065000001"/>
    <n v="50724.609000000004"/>
    <n v="0"/>
    <n v="141018.37969370658"/>
    <n v="56394.45428106044"/>
  </r>
  <r>
    <s v="Refaturamento - Regular"/>
    <x v="1"/>
    <x v="2"/>
    <x v="0"/>
    <x v="0"/>
    <x v="0"/>
    <x v="0"/>
    <x v="2"/>
    <x v="4"/>
    <n v="0"/>
    <n v="0"/>
    <n v="-1.05"/>
    <n v="-1.05"/>
    <n v="-1.05"/>
    <n v="-1.05"/>
    <n v="0"/>
    <x v="2"/>
    <n v="0"/>
    <n v="0"/>
    <n v="24"/>
    <n v="67"/>
    <n v="0"/>
    <n v="943.81"/>
    <n v="366.6"/>
    <m/>
    <n v="1019.176668187089"/>
    <n v="407.57745297626161"/>
    <n v="0"/>
    <n v="-991.00049999999999"/>
    <n v="-384.93000000000006"/>
    <n v="0"/>
    <n v="-1070.1355015964434"/>
    <n v="-427.95632562507473"/>
  </r>
  <r>
    <s v="Sistema de Compensação"/>
    <x v="1"/>
    <x v="2"/>
    <x v="0"/>
    <x v="0"/>
    <x v="0"/>
    <x v="0"/>
    <x v="2"/>
    <x v="4"/>
    <n v="0"/>
    <n v="0"/>
    <n v="3.532"/>
    <n v="3.532"/>
    <n v="3.532"/>
    <n v="3.532"/>
    <n v="0"/>
    <x v="2"/>
    <n v="0"/>
    <n v="0"/>
    <n v="24"/>
    <n v="67"/>
    <n v="0"/>
    <n v="943.81"/>
    <n v="366.6"/>
    <m/>
    <n v="1019.176668187089"/>
    <n v="407.57745297626161"/>
    <n v="0"/>
    <n v="3333.53692"/>
    <n v="1294.8312000000001"/>
    <n v="0"/>
    <n v="3599.7319920367986"/>
    <n v="1439.563563912156"/>
  </r>
  <r>
    <s v="Regular"/>
    <x v="1"/>
    <x v="2"/>
    <x v="0"/>
    <x v="0"/>
    <x v="0"/>
    <x v="0"/>
    <x v="2"/>
    <x v="4"/>
    <n v="0"/>
    <n v="0"/>
    <n v="24.448"/>
    <n v="24.448"/>
    <n v="0"/>
    <n v="0"/>
    <n v="0"/>
    <x v="0"/>
    <n v="0"/>
    <n v="0"/>
    <n v="24"/>
    <n v="0"/>
    <n v="0"/>
    <n v="943.81"/>
    <n v="0"/>
    <m/>
    <n v="1019.176668187089"/>
    <m/>
    <n v="0"/>
    <n v="23074.266879999999"/>
    <n v="0"/>
    <n v="0"/>
    <n v="24916.831183837952"/>
    <n v="0"/>
  </r>
  <r>
    <s v="Regular"/>
    <x v="1"/>
    <x v="2"/>
    <x v="0"/>
    <x v="0"/>
    <x v="0"/>
    <x v="0"/>
    <x v="2"/>
    <x v="5"/>
    <n v="0"/>
    <n v="0"/>
    <n v="142.84100000000001"/>
    <n v="142.84100000000001"/>
    <n v="142.84100000000001"/>
    <n v="142.84100000000001"/>
    <n v="0"/>
    <x v="2"/>
    <n v="0"/>
    <n v="0"/>
    <n v="24"/>
    <n v="67"/>
    <n v="0"/>
    <n v="943.81"/>
    <n v="366.6"/>
    <m/>
    <n v="1019.176668187089"/>
    <n v="407.57745297626161"/>
    <n v="0"/>
    <n v="134814.76420999999"/>
    <n v="52365.510600000009"/>
    <n v="0"/>
    <n v="145580.21446051198"/>
    <n v="58218.770960582187"/>
  </r>
  <r>
    <s v="Sistema de Compensação"/>
    <x v="1"/>
    <x v="2"/>
    <x v="0"/>
    <x v="0"/>
    <x v="0"/>
    <x v="0"/>
    <x v="2"/>
    <x v="5"/>
    <n v="0"/>
    <n v="0"/>
    <n v="10.105"/>
    <n v="10.105"/>
    <n v="10.105"/>
    <n v="10.105"/>
    <n v="0"/>
    <x v="2"/>
    <n v="0"/>
    <n v="0"/>
    <n v="24"/>
    <n v="67"/>
    <n v="0"/>
    <n v="943.81"/>
    <n v="366.6"/>
    <m/>
    <n v="1019.176668187089"/>
    <n v="407.57745297626161"/>
    <n v="0"/>
    <n v="9537.2000499999995"/>
    <n v="3704.4930000000004"/>
    <n v="0"/>
    <n v="10298.780232030535"/>
    <n v="4118.5701623251234"/>
  </r>
  <r>
    <s v="Regular"/>
    <x v="1"/>
    <x v="2"/>
    <x v="0"/>
    <x v="0"/>
    <x v="0"/>
    <x v="0"/>
    <x v="2"/>
    <x v="5"/>
    <n v="0"/>
    <n v="0"/>
    <n v="26.824999999999999"/>
    <n v="26.824999999999999"/>
    <n v="0"/>
    <n v="0"/>
    <n v="0"/>
    <x v="0"/>
    <n v="0"/>
    <n v="0"/>
    <n v="24"/>
    <n v="0"/>
    <n v="0"/>
    <n v="943.81"/>
    <n v="0"/>
    <m/>
    <n v="1019.176668187089"/>
    <m/>
    <n v="0"/>
    <n v="25317.703249999999"/>
    <n v="0"/>
    <n v="0"/>
    <n v="27339.414124118663"/>
    <n v="0"/>
  </r>
  <r>
    <s v="Regular"/>
    <x v="1"/>
    <x v="2"/>
    <x v="0"/>
    <x v="0"/>
    <x v="0"/>
    <x v="0"/>
    <x v="2"/>
    <x v="6"/>
    <n v="0"/>
    <n v="0"/>
    <n v="149.83600000000001"/>
    <n v="149.83600000000001"/>
    <n v="149.83600000000001"/>
    <n v="149.83600000000001"/>
    <n v="0"/>
    <x v="2"/>
    <n v="0"/>
    <n v="0"/>
    <n v="24"/>
    <n v="67"/>
    <n v="0"/>
    <n v="943.81"/>
    <n v="366.6"/>
    <m/>
    <n v="1019.176668187089"/>
    <n v="407.57745297626161"/>
    <n v="0"/>
    <n v="141416.71515999999"/>
    <n v="54929.877600000007"/>
    <n v="0"/>
    <n v="152709.35525448067"/>
    <n v="61069.77524415114"/>
  </r>
  <r>
    <s v="Sistema de Compensação"/>
    <x v="1"/>
    <x v="2"/>
    <x v="0"/>
    <x v="0"/>
    <x v="0"/>
    <x v="0"/>
    <x v="2"/>
    <x v="6"/>
    <n v="0"/>
    <n v="0"/>
    <n v="7.46"/>
    <n v="7.46"/>
    <n v="7.46"/>
    <n v="7.46"/>
    <n v="0"/>
    <x v="2"/>
    <n v="0"/>
    <n v="0"/>
    <n v="24"/>
    <n v="67"/>
    <n v="0"/>
    <n v="943.81"/>
    <n v="366.6"/>
    <m/>
    <n v="1019.176668187089"/>
    <n v="407.57745297626161"/>
    <n v="0"/>
    <n v="7040.8225999999995"/>
    <n v="2734.8360000000002"/>
    <n v="0"/>
    <n v="7603.0579446756838"/>
    <n v="3040.5277992029114"/>
  </r>
  <r>
    <s v="Regular"/>
    <x v="1"/>
    <x v="2"/>
    <x v="0"/>
    <x v="0"/>
    <x v="0"/>
    <x v="0"/>
    <x v="2"/>
    <x v="6"/>
    <n v="0"/>
    <n v="0"/>
    <n v="29.09"/>
    <n v="29.09"/>
    <n v="0"/>
    <n v="0"/>
    <n v="0"/>
    <x v="0"/>
    <n v="0"/>
    <n v="0"/>
    <n v="24"/>
    <n v="0"/>
    <n v="0"/>
    <n v="943.81"/>
    <n v="0"/>
    <m/>
    <n v="1019.176668187089"/>
    <m/>
    <n v="0"/>
    <n v="27455.4329"/>
    <n v="0"/>
    <n v="0"/>
    <n v="29647.849277562418"/>
    <n v="0"/>
  </r>
  <r>
    <s v="Regular"/>
    <x v="1"/>
    <x v="2"/>
    <x v="0"/>
    <x v="0"/>
    <x v="0"/>
    <x v="0"/>
    <x v="2"/>
    <x v="7"/>
    <n v="0"/>
    <n v="0"/>
    <n v="119.78700000000001"/>
    <n v="119.78700000000001"/>
    <n v="119.78700000000001"/>
    <n v="119.78700000000001"/>
    <n v="0"/>
    <x v="2"/>
    <n v="0"/>
    <n v="0"/>
    <n v="24"/>
    <n v="67"/>
    <n v="0"/>
    <n v="943.81"/>
    <n v="366.6"/>
    <m/>
    <n v="1019.176668187089"/>
    <n v="407.57745297626161"/>
    <n v="0"/>
    <n v="113056.16847"/>
    <n v="43913.914200000007"/>
    <n v="0"/>
    <n v="122084.11555212684"/>
    <n v="48822.480359667454"/>
  </r>
  <r>
    <s v="Sistema de Compensação"/>
    <x v="1"/>
    <x v="2"/>
    <x v="0"/>
    <x v="0"/>
    <x v="0"/>
    <x v="0"/>
    <x v="2"/>
    <x v="7"/>
    <n v="0"/>
    <n v="0"/>
    <n v="5.766"/>
    <n v="5.766"/>
    <n v="5.766"/>
    <n v="5.766"/>
    <n v="0"/>
    <x v="2"/>
    <n v="0"/>
    <n v="0"/>
    <n v="24"/>
    <n v="67"/>
    <n v="0"/>
    <n v="943.81"/>
    <n v="366.6"/>
    <m/>
    <n v="1019.176668187089"/>
    <n v="407.57745297626161"/>
    <n v="0"/>
    <n v="5442.00846"/>
    <n v="2113.8156000000004"/>
    <n v="0"/>
    <n v="5876.5726687667557"/>
    <n v="2350.0915938611242"/>
  </r>
  <r>
    <s v="Regular"/>
    <x v="1"/>
    <x v="2"/>
    <x v="0"/>
    <x v="0"/>
    <x v="0"/>
    <x v="0"/>
    <x v="2"/>
    <x v="7"/>
    <n v="0"/>
    <n v="0"/>
    <n v="28.265999999999998"/>
    <n v="28.265999999999998"/>
    <n v="0"/>
    <n v="0"/>
    <n v="0"/>
    <x v="0"/>
    <n v="0"/>
    <n v="0"/>
    <n v="24"/>
    <n v="0"/>
    <n v="0"/>
    <n v="943.81"/>
    <n v="0"/>
    <m/>
    <n v="1019.176668187089"/>
    <m/>
    <n v="0"/>
    <n v="26677.733459999996"/>
    <n v="0"/>
    <n v="0"/>
    <n v="28808.047702976255"/>
    <n v="0"/>
  </r>
  <r>
    <s v="Regular"/>
    <x v="1"/>
    <x v="2"/>
    <x v="0"/>
    <x v="0"/>
    <x v="0"/>
    <x v="0"/>
    <x v="2"/>
    <x v="8"/>
    <n v="0"/>
    <n v="0"/>
    <n v="103.271"/>
    <n v="103.271"/>
    <n v="103.271"/>
    <n v="103.271"/>
    <n v="0"/>
    <x v="2"/>
    <n v="0"/>
    <n v="0"/>
    <n v="24"/>
    <n v="67"/>
    <n v="0"/>
    <n v="943.81"/>
    <n v="366.6"/>
    <m/>
    <n v="1019.176668187089"/>
    <n v="407.57745297626161"/>
    <n v="0"/>
    <n v="97468.202509999988"/>
    <n v="37859.1486"/>
    <n v="0"/>
    <n v="105251.39370034887"/>
    <n v="42090.931146311515"/>
  </r>
  <r>
    <s v="Sistema de Compensação"/>
    <x v="1"/>
    <x v="2"/>
    <x v="0"/>
    <x v="0"/>
    <x v="0"/>
    <x v="0"/>
    <x v="2"/>
    <x v="8"/>
    <n v="0"/>
    <n v="0"/>
    <n v="5.1769999999999996"/>
    <n v="5.1769999999999996"/>
    <n v="5.1769999999999996"/>
    <n v="5.1769999999999996"/>
    <n v="0"/>
    <x v="2"/>
    <n v="0"/>
    <n v="0"/>
    <n v="24"/>
    <n v="67"/>
    <n v="0"/>
    <n v="943.81"/>
    <n v="366.6"/>
    <m/>
    <n v="1019.176668187089"/>
    <n v="407.57745297626161"/>
    <n v="0"/>
    <n v="4886.1043699999991"/>
    <n v="1897.8881999999999"/>
    <n v="0"/>
    <n v="5276.2776112045594"/>
    <n v="2110.028474058106"/>
  </r>
  <r>
    <s v="Regular"/>
    <x v="1"/>
    <x v="2"/>
    <x v="0"/>
    <x v="0"/>
    <x v="0"/>
    <x v="0"/>
    <x v="2"/>
    <x v="8"/>
    <n v="0"/>
    <n v="0"/>
    <n v="31.84"/>
    <n v="31.84"/>
    <n v="0"/>
    <n v="0"/>
    <n v="0"/>
    <x v="0"/>
    <n v="0"/>
    <n v="0"/>
    <n v="24"/>
    <n v="0"/>
    <n v="0"/>
    <n v="943.81"/>
    <n v="0"/>
    <m/>
    <n v="1019.176668187089"/>
    <m/>
    <n v="0"/>
    <n v="30050.910399999997"/>
    <n v="0"/>
    <n v="0"/>
    <n v="32450.585115076916"/>
    <n v="0"/>
  </r>
  <r>
    <s v="Regular"/>
    <x v="1"/>
    <x v="2"/>
    <x v="0"/>
    <x v="0"/>
    <x v="0"/>
    <x v="0"/>
    <x v="2"/>
    <x v="9"/>
    <n v="0"/>
    <n v="0"/>
    <n v="115.804"/>
    <n v="115.804"/>
    <n v="115.804"/>
    <n v="115.804"/>
    <n v="0"/>
    <x v="2"/>
    <n v="0"/>
    <n v="0"/>
    <n v="24"/>
    <n v="67"/>
    <n v="0"/>
    <n v="943.81"/>
    <n v="366.6"/>
    <m/>
    <n v="1019.176668187089"/>
    <n v="407.57745297626161"/>
    <n v="0"/>
    <n v="109296.97323999999"/>
    <n v="42453.746400000004"/>
    <n v="0"/>
    <n v="118024.73488273766"/>
    <n v="47199.099364463"/>
  </r>
  <r>
    <s v="Sistema de Compensação"/>
    <x v="1"/>
    <x v="2"/>
    <x v="0"/>
    <x v="0"/>
    <x v="0"/>
    <x v="0"/>
    <x v="2"/>
    <x v="9"/>
    <n v="0"/>
    <n v="0"/>
    <n v="5.4909999999999997"/>
    <n v="5.4909999999999997"/>
    <n v="5.4909999999999997"/>
    <n v="5.4909999999999997"/>
    <n v="0"/>
    <x v="2"/>
    <n v="0"/>
    <n v="0"/>
    <n v="24"/>
    <n v="67"/>
    <n v="0"/>
    <n v="943.81"/>
    <n v="366.6"/>
    <m/>
    <n v="1019.176668187089"/>
    <n v="407.57745297626161"/>
    <n v="0"/>
    <n v="5182.4607099999994"/>
    <n v="2013.0006000000001"/>
    <n v="0"/>
    <n v="5596.2990850153055"/>
    <n v="2238.0077942926523"/>
  </r>
  <r>
    <s v="Regular"/>
    <x v="1"/>
    <x v="2"/>
    <x v="0"/>
    <x v="0"/>
    <x v="0"/>
    <x v="0"/>
    <x v="2"/>
    <x v="9"/>
    <n v="0"/>
    <n v="0"/>
    <n v="37.618000000000002"/>
    <n v="37.618000000000002"/>
    <n v="0"/>
    <n v="0"/>
    <n v="0"/>
    <x v="0"/>
    <n v="0"/>
    <n v="0"/>
    <n v="24"/>
    <n v="0"/>
    <n v="0"/>
    <n v="943.81"/>
    <n v="0"/>
    <m/>
    <n v="1019.176668187089"/>
    <m/>
    <n v="0"/>
    <n v="35504.244579999999"/>
    <n v="0"/>
    <n v="0"/>
    <n v="38339.38790386192"/>
    <n v="0"/>
  </r>
  <r>
    <s v="Regular"/>
    <x v="1"/>
    <x v="2"/>
    <x v="0"/>
    <x v="0"/>
    <x v="0"/>
    <x v="0"/>
    <x v="2"/>
    <x v="10"/>
    <n v="0"/>
    <n v="0"/>
    <n v="102.358"/>
    <n v="102.358"/>
    <n v="102.358"/>
    <n v="102.358"/>
    <n v="0"/>
    <x v="2"/>
    <n v="0"/>
    <n v="0"/>
    <n v="24"/>
    <n v="67"/>
    <n v="0"/>
    <n v="943.81"/>
    <n v="366.6"/>
    <m/>
    <n v="1019.176668187089"/>
    <n v="407.57745297626161"/>
    <n v="0"/>
    <n v="96606.503979999994"/>
    <n v="37524.442800000004"/>
    <n v="0"/>
    <n v="104320.88540229406"/>
    <n v="41718.812931744185"/>
  </r>
  <r>
    <s v="Sistema de Compensação"/>
    <x v="1"/>
    <x v="2"/>
    <x v="0"/>
    <x v="0"/>
    <x v="0"/>
    <x v="0"/>
    <x v="2"/>
    <x v="10"/>
    <n v="0"/>
    <n v="0"/>
    <n v="5.9349999999999996"/>
    <n v="5.9349999999999996"/>
    <n v="5.9349999999999996"/>
    <n v="5.9349999999999996"/>
    <n v="0"/>
    <x v="2"/>
    <n v="0"/>
    <n v="0"/>
    <n v="24"/>
    <n v="67"/>
    <n v="0"/>
    <n v="943.81"/>
    <n v="366.6"/>
    <m/>
    <n v="1019.176668187089"/>
    <n v="407.57745297626161"/>
    <n v="0"/>
    <n v="5601.5123499999991"/>
    <n v="2175.7710000000002"/>
    <n v="0"/>
    <n v="6048.8135256903734"/>
    <n v="2418.9721834141124"/>
  </r>
  <r>
    <s v="Regular"/>
    <x v="1"/>
    <x v="2"/>
    <x v="0"/>
    <x v="0"/>
    <x v="0"/>
    <x v="0"/>
    <x v="2"/>
    <x v="10"/>
    <n v="0"/>
    <n v="0"/>
    <n v="40.149000000000001"/>
    <n v="40.149000000000001"/>
    <n v="0"/>
    <n v="0"/>
    <n v="0"/>
    <x v="0"/>
    <n v="0"/>
    <n v="0"/>
    <n v="24"/>
    <n v="0"/>
    <n v="0"/>
    <n v="943.81"/>
    <n v="0"/>
    <m/>
    <n v="1019.176668187089"/>
    <m/>
    <n v="0"/>
    <n v="37893.027689999995"/>
    <n v="0"/>
    <n v="0"/>
    <n v="40918.924051043439"/>
    <n v="0"/>
  </r>
  <r>
    <s v="PROJETADO"/>
    <x v="1"/>
    <x v="2"/>
    <x v="0"/>
    <x v="0"/>
    <x v="0"/>
    <x v="0"/>
    <x v="2"/>
    <x v="11"/>
    <n v="0"/>
    <n v="0"/>
    <n v="102.358"/>
    <n v="102.358"/>
    <n v="102.358"/>
    <n v="102.358"/>
    <n v="0"/>
    <x v="2"/>
    <n v="0"/>
    <n v="0"/>
    <n v="24"/>
    <n v="67"/>
    <n v="0"/>
    <n v="943.81"/>
    <n v="366.6"/>
    <m/>
    <n v="1019.176668187089"/>
    <n v="407.57745297626161"/>
    <n v="0"/>
    <n v="96606.503979999994"/>
    <n v="37524.442800000004"/>
    <n v="0"/>
    <n v="104320.88540229406"/>
    <n v="41718.812931744185"/>
  </r>
  <r>
    <s v="PROJETADO"/>
    <x v="1"/>
    <x v="2"/>
    <x v="0"/>
    <x v="0"/>
    <x v="0"/>
    <x v="0"/>
    <x v="2"/>
    <x v="11"/>
    <n v="0"/>
    <n v="0"/>
    <n v="5.9349999999999996"/>
    <n v="5.9349999999999996"/>
    <n v="5.9349999999999996"/>
    <n v="5.9349999999999996"/>
    <n v="0"/>
    <x v="2"/>
    <n v="0"/>
    <n v="0"/>
    <n v="24"/>
    <n v="67"/>
    <n v="0"/>
    <n v="943.81"/>
    <n v="366.6"/>
    <m/>
    <n v="1019.176668187089"/>
    <n v="407.57745297626161"/>
    <n v="0"/>
    <n v="5601.5123499999991"/>
    <n v="2175.7710000000002"/>
    <n v="0"/>
    <n v="6048.8135256903734"/>
    <n v="2418.9721834141124"/>
  </r>
  <r>
    <s v="PROJETADO"/>
    <x v="1"/>
    <x v="2"/>
    <x v="0"/>
    <x v="0"/>
    <x v="0"/>
    <x v="0"/>
    <x v="2"/>
    <x v="11"/>
    <n v="0"/>
    <n v="0"/>
    <n v="40.149000000000001"/>
    <n v="40.149000000000001"/>
    <n v="0"/>
    <n v="0"/>
    <n v="0"/>
    <x v="0"/>
    <n v="0"/>
    <n v="0"/>
    <n v="24"/>
    <n v="0"/>
    <n v="0"/>
    <n v="943.81"/>
    <n v="0"/>
    <m/>
    <n v="1019.176668187089"/>
    <m/>
    <n v="0"/>
    <n v="37893.027689999995"/>
    <n v="0"/>
    <n v="0"/>
    <n v="40918.924051043439"/>
    <n v="0"/>
  </r>
  <r>
    <s v="Regular"/>
    <x v="1"/>
    <x v="2"/>
    <x v="3"/>
    <x v="0"/>
    <x v="0"/>
    <x v="0"/>
    <x v="0"/>
    <x v="0"/>
    <n v="0"/>
    <n v="0"/>
    <n v="1369.6880000000001"/>
    <n v="1369.6880000000001"/>
    <n v="1369.6880000000001"/>
    <n v="1369.6880000000001"/>
    <n v="0"/>
    <x v="2"/>
    <n v="0"/>
    <n v="0"/>
    <n v="25"/>
    <n v="68"/>
    <n v="0"/>
    <n v="43.65"/>
    <n v="219.03"/>
    <m/>
    <n v="52.882770228452522"/>
    <n v="252.43227829401354"/>
    <n v="0"/>
    <n v="59786.881200000003"/>
    <n v="300002.76264000003"/>
    <n v="0"/>
    <n v="72432.895788668684"/>
    <n v="345753.46239197085"/>
  </r>
  <r>
    <s v="Sistema de Compensação"/>
    <x v="1"/>
    <x v="2"/>
    <x v="3"/>
    <x v="0"/>
    <x v="0"/>
    <x v="0"/>
    <x v="0"/>
    <x v="0"/>
    <n v="0"/>
    <n v="0"/>
    <n v="5.32"/>
    <n v="5.32"/>
    <n v="5.32"/>
    <n v="5.32"/>
    <n v="0"/>
    <x v="2"/>
    <n v="0"/>
    <n v="0"/>
    <n v="25"/>
    <n v="68"/>
    <n v="0"/>
    <n v="43.65"/>
    <n v="219.03"/>
    <m/>
    <n v="52.882770228452522"/>
    <n v="252.43227829401354"/>
    <n v="0"/>
    <n v="232.21800000000002"/>
    <n v="1165.2396000000001"/>
    <n v="0"/>
    <n v="281.33633761536743"/>
    <n v="1342.9397205241521"/>
  </r>
  <r>
    <s v="Regular"/>
    <x v="1"/>
    <x v="2"/>
    <x v="3"/>
    <x v="0"/>
    <x v="0"/>
    <x v="0"/>
    <x v="0"/>
    <x v="1"/>
    <n v="0"/>
    <n v="0"/>
    <n v="1424.875"/>
    <n v="1424.875"/>
    <n v="1424.875"/>
    <n v="1424.875"/>
    <n v="0"/>
    <x v="2"/>
    <n v="0"/>
    <n v="0"/>
    <n v="25"/>
    <n v="68"/>
    <n v="0"/>
    <n v="43.65"/>
    <n v="219.03"/>
    <m/>
    <n v="52.882770228452522"/>
    <n v="252.43227829401354"/>
    <n v="0"/>
    <n v="62195.793749999997"/>
    <n v="312090.37125000003"/>
    <n v="0"/>
    <n v="75351.337229266283"/>
    <n v="359684.44253418257"/>
  </r>
  <r>
    <s v="Sistema de Compensação"/>
    <x v="1"/>
    <x v="2"/>
    <x v="3"/>
    <x v="0"/>
    <x v="0"/>
    <x v="0"/>
    <x v="0"/>
    <x v="1"/>
    <n v="0"/>
    <n v="0"/>
    <n v="4.2"/>
    <n v="4.2"/>
    <n v="4.2"/>
    <n v="4.2"/>
    <n v="0"/>
    <x v="2"/>
    <n v="0"/>
    <n v="0"/>
    <n v="25"/>
    <n v="68"/>
    <n v="0"/>
    <n v="43.65"/>
    <n v="219.03"/>
    <m/>
    <n v="52.882770228452522"/>
    <n v="252.43227829401354"/>
    <n v="0"/>
    <n v="183.33"/>
    <n v="919.92600000000004"/>
    <n v="0"/>
    <n v="222.10763495950059"/>
    <n v="1060.2155688348569"/>
  </r>
  <r>
    <s v="Regular"/>
    <x v="1"/>
    <x v="2"/>
    <x v="3"/>
    <x v="0"/>
    <x v="0"/>
    <x v="0"/>
    <x v="0"/>
    <x v="2"/>
    <n v="0"/>
    <n v="0"/>
    <n v="1407.123"/>
    <n v="1407.123"/>
    <n v="1407.123"/>
    <n v="1407.123"/>
    <n v="0"/>
    <x v="2"/>
    <n v="0"/>
    <n v="0"/>
    <n v="25"/>
    <n v="68"/>
    <n v="0"/>
    <n v="43.65"/>
    <n v="219.03"/>
    <m/>
    <n v="52.882770228452522"/>
    <n v="252.43227829401354"/>
    <n v="0"/>
    <n v="61420.918949999999"/>
    <n v="308202.15069000004"/>
    <n v="0"/>
    <n v="74412.562292170798"/>
    <n v="355203.26472990721"/>
  </r>
  <r>
    <s v="Sistema de Compensação"/>
    <x v="1"/>
    <x v="2"/>
    <x v="3"/>
    <x v="0"/>
    <x v="0"/>
    <x v="0"/>
    <x v="0"/>
    <x v="2"/>
    <n v="0"/>
    <n v="0"/>
    <n v="6.16"/>
    <n v="6.16"/>
    <n v="6.16"/>
    <n v="6.16"/>
    <n v="0"/>
    <x v="2"/>
    <n v="0"/>
    <n v="0"/>
    <n v="25"/>
    <n v="68"/>
    <n v="0"/>
    <n v="43.65"/>
    <n v="219.03"/>
    <m/>
    <n v="52.882770228452522"/>
    <n v="252.43227829401354"/>
    <n v="0"/>
    <n v="268.88400000000001"/>
    <n v="1349.2248"/>
    <n v="0"/>
    <n v="325.75786460726755"/>
    <n v="1554.9828342911235"/>
  </r>
  <r>
    <s v="Regular"/>
    <x v="1"/>
    <x v="2"/>
    <x v="3"/>
    <x v="0"/>
    <x v="0"/>
    <x v="0"/>
    <x v="0"/>
    <x v="3"/>
    <n v="0"/>
    <n v="0"/>
    <n v="1327.097"/>
    <n v="1327.097"/>
    <n v="1327.097"/>
    <n v="1327.097"/>
    <n v="0"/>
    <x v="2"/>
    <n v="0"/>
    <n v="0"/>
    <n v="25"/>
    <n v="68"/>
    <n v="0"/>
    <n v="43.65"/>
    <n v="219.03"/>
    <m/>
    <n v="52.882770228452522"/>
    <n v="252.43227829401354"/>
    <n v="0"/>
    <n v="57927.784049999995"/>
    <n v="290674.05591"/>
    <n v="0"/>
    <n v="70180.565721868654"/>
    <n v="335002.11922715051"/>
  </r>
  <r>
    <s v="Sistema de Compensação"/>
    <x v="1"/>
    <x v="2"/>
    <x v="3"/>
    <x v="0"/>
    <x v="0"/>
    <x v="0"/>
    <x v="0"/>
    <x v="3"/>
    <n v="0"/>
    <n v="0"/>
    <n v="5.04"/>
    <n v="5.04"/>
    <n v="5.04"/>
    <n v="5.04"/>
    <n v="0"/>
    <x v="2"/>
    <n v="0"/>
    <n v="0"/>
    <n v="25"/>
    <n v="68"/>
    <n v="0"/>
    <n v="43.65"/>
    <n v="219.03"/>
    <m/>
    <n v="52.882770228452522"/>
    <n v="252.43227829401354"/>
    <n v="0"/>
    <n v="219.99599999999998"/>
    <n v="1103.9112"/>
    <n v="0"/>
    <n v="266.52916195140074"/>
    <n v="1272.2586826018282"/>
  </r>
  <r>
    <s v="Regular"/>
    <x v="1"/>
    <x v="2"/>
    <x v="3"/>
    <x v="0"/>
    <x v="0"/>
    <x v="0"/>
    <x v="0"/>
    <x v="4"/>
    <n v="0"/>
    <n v="0"/>
    <n v="1267.8240000000001"/>
    <n v="1267.8240000000001"/>
    <n v="1267.8240000000001"/>
    <n v="1267.8240000000001"/>
    <n v="0"/>
    <x v="2"/>
    <n v="0"/>
    <n v="0"/>
    <n v="25"/>
    <n v="68"/>
    <n v="0"/>
    <n v="43.65"/>
    <n v="219.03"/>
    <m/>
    <n v="52.882770228452522"/>
    <n v="252.43227829401354"/>
    <n v="0"/>
    <n v="55340.517599999999"/>
    <n v="277691.49072"/>
    <n v="0"/>
    <n v="67046.0452821176"/>
    <n v="320039.70079582947"/>
  </r>
  <r>
    <s v="Sistema de Compensação"/>
    <x v="1"/>
    <x v="2"/>
    <x v="3"/>
    <x v="0"/>
    <x v="0"/>
    <x v="0"/>
    <x v="0"/>
    <x v="4"/>
    <n v="0"/>
    <n v="0"/>
    <n v="5.88"/>
    <n v="5.88"/>
    <n v="5.88"/>
    <n v="5.88"/>
    <n v="0"/>
    <x v="2"/>
    <n v="0"/>
    <n v="0"/>
    <n v="25"/>
    <n v="68"/>
    <n v="0"/>
    <n v="43.65"/>
    <n v="219.03"/>
    <m/>
    <n v="52.882770228452522"/>
    <n v="252.43227829401354"/>
    <n v="0"/>
    <n v="256.66199999999998"/>
    <n v="1287.8964000000001"/>
    <n v="0"/>
    <n v="310.9506889433008"/>
    <n v="1484.3017963687996"/>
  </r>
  <r>
    <s v="Regular"/>
    <x v="1"/>
    <x v="2"/>
    <x v="3"/>
    <x v="0"/>
    <x v="0"/>
    <x v="0"/>
    <x v="0"/>
    <x v="5"/>
    <n v="0"/>
    <n v="0"/>
    <n v="1230.4369999999999"/>
    <n v="1230.4369999999999"/>
    <n v="1230.4369999999999"/>
    <n v="1230.4369999999999"/>
    <n v="0"/>
    <x v="2"/>
    <n v="0"/>
    <n v="0"/>
    <n v="25"/>
    <n v="68"/>
    <n v="0"/>
    <n v="43.65"/>
    <n v="219.03"/>
    <m/>
    <n v="52.882770228452522"/>
    <n v="252.43227829401354"/>
    <n v="0"/>
    <n v="53708.575049999992"/>
    <n v="269502.61611"/>
    <n v="0"/>
    <n v="65068.917151586429"/>
    <n v="310602.01520725113"/>
  </r>
  <r>
    <s v="Sistema de Compensação"/>
    <x v="1"/>
    <x v="2"/>
    <x v="3"/>
    <x v="0"/>
    <x v="0"/>
    <x v="0"/>
    <x v="0"/>
    <x v="5"/>
    <n v="0"/>
    <n v="0"/>
    <n v="5.6"/>
    <n v="5.6"/>
    <n v="5.6"/>
    <n v="5.6"/>
    <n v="0"/>
    <x v="2"/>
    <n v="0"/>
    <n v="0"/>
    <n v="25"/>
    <n v="68"/>
    <n v="0"/>
    <n v="43.65"/>
    <n v="219.03"/>
    <m/>
    <n v="52.882770228452522"/>
    <n v="252.43227829401354"/>
    <n v="0"/>
    <n v="244.43999999999997"/>
    <n v="1226.568"/>
    <n v="0"/>
    <n v="296.14351327933412"/>
    <n v="1413.6207584464757"/>
  </r>
  <r>
    <s v="Regular"/>
    <x v="1"/>
    <x v="2"/>
    <x v="3"/>
    <x v="0"/>
    <x v="0"/>
    <x v="0"/>
    <x v="0"/>
    <x v="6"/>
    <n v="0"/>
    <n v="0"/>
    <n v="1187.972"/>
    <n v="1187.972"/>
    <n v="1187.972"/>
    <n v="1187.972"/>
    <n v="0"/>
    <x v="2"/>
    <n v="0"/>
    <n v="0"/>
    <n v="25"/>
    <n v="68"/>
    <n v="0"/>
    <n v="43.65"/>
    <n v="219.03"/>
    <m/>
    <n v="52.882770228452522"/>
    <n v="252.43227829401354"/>
    <n v="0"/>
    <n v="51854.977800000001"/>
    <n v="260201.50716000001"/>
    <n v="0"/>
    <n v="62823.250313835197"/>
    <n v="299882.47850949585"/>
  </r>
  <r>
    <s v="Sistema de Compensação"/>
    <x v="1"/>
    <x v="2"/>
    <x v="3"/>
    <x v="0"/>
    <x v="0"/>
    <x v="0"/>
    <x v="0"/>
    <x v="6"/>
    <n v="0"/>
    <n v="0"/>
    <n v="6.16"/>
    <n v="6.16"/>
    <n v="6.16"/>
    <n v="6.16"/>
    <n v="0"/>
    <x v="2"/>
    <n v="0"/>
    <n v="0"/>
    <n v="25"/>
    <n v="68"/>
    <n v="0"/>
    <n v="43.65"/>
    <n v="219.03"/>
    <m/>
    <n v="52.882770228452522"/>
    <n v="252.43227829401354"/>
    <n v="0"/>
    <n v="268.88400000000001"/>
    <n v="1349.2248"/>
    <n v="0"/>
    <n v="325.75786460726755"/>
    <n v="1554.9828342911235"/>
  </r>
  <r>
    <s v="Regular"/>
    <x v="1"/>
    <x v="2"/>
    <x v="3"/>
    <x v="0"/>
    <x v="0"/>
    <x v="0"/>
    <x v="0"/>
    <x v="7"/>
    <n v="0"/>
    <n v="0"/>
    <n v="1276.096"/>
    <n v="1276.096"/>
    <n v="1276.096"/>
    <n v="1276.096"/>
    <n v="0"/>
    <x v="2"/>
    <n v="0"/>
    <n v="0"/>
    <n v="25"/>
    <n v="68"/>
    <n v="0"/>
    <n v="43.65"/>
    <n v="219.03"/>
    <m/>
    <n v="52.882770228452522"/>
    <n v="252.43227829401354"/>
    <n v="0"/>
    <n v="55701.590400000001"/>
    <n v="279503.30687999999"/>
    <n v="0"/>
    <n v="67483.491557447356"/>
    <n v="322127.82060187752"/>
  </r>
  <r>
    <s v="Sistema de Compensação"/>
    <x v="1"/>
    <x v="2"/>
    <x v="3"/>
    <x v="0"/>
    <x v="0"/>
    <x v="0"/>
    <x v="0"/>
    <x v="7"/>
    <n v="0"/>
    <n v="0"/>
    <n v="4.4800000000000004"/>
    <n v="4.4800000000000004"/>
    <n v="4.4800000000000004"/>
    <n v="4.4800000000000004"/>
    <n v="0"/>
    <x v="2"/>
    <n v="0"/>
    <n v="0"/>
    <n v="25"/>
    <n v="68"/>
    <n v="0"/>
    <n v="43.65"/>
    <n v="219.03"/>
    <m/>
    <n v="52.882770228452522"/>
    <n v="252.43227829401354"/>
    <n v="0"/>
    <n v="195.55200000000002"/>
    <n v="981.25440000000015"/>
    <n v="0"/>
    <n v="236.91481062346733"/>
    <n v="1130.8966067571807"/>
  </r>
  <r>
    <s v="Regular"/>
    <x v="1"/>
    <x v="2"/>
    <x v="3"/>
    <x v="0"/>
    <x v="0"/>
    <x v="0"/>
    <x v="0"/>
    <x v="8"/>
    <n v="0"/>
    <n v="0"/>
    <n v="1437.4590000000001"/>
    <n v="1437.4590000000001"/>
    <n v="1437.4590000000001"/>
    <n v="1437.4590000000001"/>
    <n v="0"/>
    <x v="2"/>
    <n v="0"/>
    <n v="0"/>
    <n v="25"/>
    <n v="68"/>
    <n v="0"/>
    <n v="43.65"/>
    <n v="219.03"/>
    <m/>
    <n v="52.882770228452522"/>
    <n v="252.43227829401354"/>
    <n v="0"/>
    <n v="62745.085350000001"/>
    <n v="314846.64477000001"/>
    <n v="0"/>
    <n v="76016.81400982113"/>
    <n v="362861.05032423441"/>
  </r>
  <r>
    <s v="Sistema de Compensação"/>
    <x v="1"/>
    <x v="2"/>
    <x v="3"/>
    <x v="0"/>
    <x v="0"/>
    <x v="0"/>
    <x v="0"/>
    <x v="8"/>
    <n v="0"/>
    <n v="0"/>
    <n v="3.64"/>
    <n v="3.64"/>
    <n v="3.64"/>
    <n v="3.64"/>
    <n v="0"/>
    <x v="2"/>
    <n v="0"/>
    <n v="0"/>
    <n v="25"/>
    <n v="68"/>
    <n v="0"/>
    <n v="43.65"/>
    <n v="219.03"/>
    <m/>
    <n v="52.882770228452522"/>
    <n v="252.43227829401354"/>
    <n v="0"/>
    <n v="158.886"/>
    <n v="797.26920000000007"/>
    <n v="0"/>
    <n v="192.49328363156718"/>
    <n v="918.85349299020936"/>
  </r>
  <r>
    <s v="Regular"/>
    <x v="1"/>
    <x v="2"/>
    <x v="3"/>
    <x v="0"/>
    <x v="0"/>
    <x v="0"/>
    <x v="0"/>
    <x v="9"/>
    <n v="0"/>
    <n v="0"/>
    <n v="1515.51"/>
    <n v="1515.51"/>
    <n v="1515.51"/>
    <n v="1515.51"/>
    <n v="0"/>
    <x v="2"/>
    <n v="0"/>
    <n v="0"/>
    <n v="25"/>
    <n v="68"/>
    <n v="0"/>
    <n v="43.65"/>
    <n v="219.03"/>
    <m/>
    <n v="52.882770228452522"/>
    <n v="252.43227829401354"/>
    <n v="0"/>
    <n v="66152.011499999993"/>
    <n v="331942.15529999998"/>
    <n v="0"/>
    <n v="80144.367108922073"/>
    <n v="382563.64207736048"/>
  </r>
  <r>
    <s v="Sistema de Compensação"/>
    <x v="1"/>
    <x v="2"/>
    <x v="3"/>
    <x v="0"/>
    <x v="0"/>
    <x v="0"/>
    <x v="0"/>
    <x v="9"/>
    <n v="0"/>
    <n v="0"/>
    <n v="6.72"/>
    <n v="6.72"/>
    <n v="6.72"/>
    <n v="6.72"/>
    <n v="0"/>
    <x v="2"/>
    <n v="0"/>
    <n v="0"/>
    <n v="25"/>
    <n v="68"/>
    <n v="0"/>
    <n v="43.65"/>
    <n v="219.03"/>
    <m/>
    <n v="52.882770228452522"/>
    <n v="252.43227829401354"/>
    <n v="0"/>
    <n v="293.32799999999997"/>
    <n v="1471.8815999999999"/>
    <n v="0"/>
    <n v="355.37221593520093"/>
    <n v="1696.344910135771"/>
  </r>
  <r>
    <s v="Regular"/>
    <x v="1"/>
    <x v="2"/>
    <x v="3"/>
    <x v="0"/>
    <x v="0"/>
    <x v="0"/>
    <x v="0"/>
    <x v="10"/>
    <n v="0"/>
    <n v="0"/>
    <n v="1522.607"/>
    <n v="1522.607"/>
    <n v="1522.607"/>
    <n v="1522.607"/>
    <n v="0"/>
    <x v="2"/>
    <n v="0"/>
    <n v="0"/>
    <n v="25"/>
    <n v="68"/>
    <n v="0"/>
    <n v="43.65"/>
    <n v="219.03"/>
    <m/>
    <n v="52.882770228452522"/>
    <n v="252.43227829401354"/>
    <n v="0"/>
    <n v="66461.795549999995"/>
    <n v="333496.61121"/>
    <n v="0"/>
    <n v="80519.676129233412"/>
    <n v="384355.15395641309"/>
  </r>
  <r>
    <s v="Sistema de Compensação"/>
    <x v="1"/>
    <x v="2"/>
    <x v="3"/>
    <x v="0"/>
    <x v="0"/>
    <x v="0"/>
    <x v="0"/>
    <x v="10"/>
    <n v="0"/>
    <n v="0"/>
    <n v="10.08"/>
    <n v="10.08"/>
    <n v="10.08"/>
    <n v="10.08"/>
    <n v="0"/>
    <x v="2"/>
    <n v="0"/>
    <n v="0"/>
    <n v="25"/>
    <n v="68"/>
    <n v="0"/>
    <n v="43.65"/>
    <n v="219.03"/>
    <m/>
    <n v="52.882770228452522"/>
    <n v="252.43227829401354"/>
    <n v="0"/>
    <n v="439.99199999999996"/>
    <n v="2207.8224"/>
    <n v="0"/>
    <n v="533.05832390280148"/>
    <n v="2544.5173652036565"/>
  </r>
  <r>
    <s v="PROJETADO"/>
    <x v="1"/>
    <x v="2"/>
    <x v="3"/>
    <x v="0"/>
    <x v="0"/>
    <x v="0"/>
    <x v="0"/>
    <x v="11"/>
    <n v="0"/>
    <n v="0"/>
    <n v="1522.607"/>
    <n v="1522.607"/>
    <n v="1522.607"/>
    <n v="1522.607"/>
    <n v="0"/>
    <x v="2"/>
    <n v="0"/>
    <n v="0"/>
    <n v="25"/>
    <n v="68"/>
    <n v="0"/>
    <n v="43.65"/>
    <n v="219.03"/>
    <m/>
    <n v="52.882770228452522"/>
    <n v="252.43227829401354"/>
    <n v="0"/>
    <n v="66461.795549999995"/>
    <n v="333496.61121"/>
    <n v="0"/>
    <n v="80519.676129233412"/>
    <n v="384355.15395641309"/>
  </r>
  <r>
    <s v="PROJETADO"/>
    <x v="1"/>
    <x v="2"/>
    <x v="3"/>
    <x v="0"/>
    <x v="0"/>
    <x v="0"/>
    <x v="0"/>
    <x v="11"/>
    <n v="0"/>
    <n v="0"/>
    <n v="10.08"/>
    <n v="10.08"/>
    <n v="10.08"/>
    <n v="10.08"/>
    <n v="0"/>
    <x v="2"/>
    <n v="0"/>
    <n v="0"/>
    <n v="25"/>
    <n v="68"/>
    <n v="0"/>
    <n v="43.65"/>
    <n v="219.03"/>
    <m/>
    <n v="52.882770228452522"/>
    <n v="252.43227829401354"/>
    <n v="0"/>
    <n v="439.99199999999996"/>
    <n v="2207.8224"/>
    <n v="0"/>
    <n v="533.05832390280148"/>
    <n v="2544.5173652036565"/>
  </r>
  <r>
    <s v="Regular"/>
    <x v="1"/>
    <x v="2"/>
    <x v="3"/>
    <x v="0"/>
    <x v="0"/>
    <x v="0"/>
    <x v="1"/>
    <x v="0"/>
    <n v="9506"/>
    <n v="9506"/>
    <n v="0"/>
    <n v="0"/>
    <n v="0"/>
    <n v="0"/>
    <n v="48"/>
    <x v="2"/>
    <n v="0"/>
    <n v="23"/>
    <n v="0"/>
    <n v="0"/>
    <n v="18.48"/>
    <n v="0"/>
    <n v="0"/>
    <n v="19.543462882439208"/>
    <m/>
    <m/>
    <n v="175670.88"/>
    <n v="0"/>
    <n v="0"/>
    <n v="185780.15816046711"/>
    <n v="0"/>
    <n v="0"/>
  </r>
  <r>
    <s v="Sistema de Compensação"/>
    <x v="1"/>
    <x v="2"/>
    <x v="3"/>
    <x v="0"/>
    <x v="0"/>
    <x v="0"/>
    <x v="1"/>
    <x v="0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1"/>
    <n v="9573"/>
    <n v="9573"/>
    <n v="0"/>
    <n v="0"/>
    <n v="0"/>
    <n v="0"/>
    <n v="48"/>
    <x v="2"/>
    <n v="0"/>
    <n v="23"/>
    <n v="0"/>
    <n v="0"/>
    <n v="18.48"/>
    <n v="0"/>
    <n v="0"/>
    <n v="19.543462882439208"/>
    <m/>
    <m/>
    <n v="176909.04"/>
    <n v="0"/>
    <n v="0"/>
    <n v="187089.57017359053"/>
    <n v="0"/>
    <n v="0"/>
  </r>
  <r>
    <s v="Sistema de Compensação"/>
    <x v="1"/>
    <x v="2"/>
    <x v="3"/>
    <x v="0"/>
    <x v="0"/>
    <x v="0"/>
    <x v="1"/>
    <x v="1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2"/>
    <n v="9598"/>
    <n v="9598"/>
    <n v="0"/>
    <n v="0"/>
    <n v="0"/>
    <n v="0"/>
    <n v="50"/>
    <x v="2"/>
    <n v="0"/>
    <n v="23"/>
    <n v="0"/>
    <n v="0"/>
    <n v="18.48"/>
    <n v="0"/>
    <n v="0"/>
    <n v="19.543462882439208"/>
    <m/>
    <m/>
    <n v="177371.04"/>
    <n v="0"/>
    <n v="0"/>
    <n v="187578.1567456515"/>
    <n v="0"/>
    <n v="0"/>
  </r>
  <r>
    <s v="Sistema de Compensação"/>
    <x v="1"/>
    <x v="2"/>
    <x v="3"/>
    <x v="0"/>
    <x v="0"/>
    <x v="0"/>
    <x v="1"/>
    <x v="2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3"/>
    <n v="9522"/>
    <n v="9522"/>
    <n v="0"/>
    <n v="0"/>
    <n v="0"/>
    <n v="0"/>
    <n v="49"/>
    <x v="2"/>
    <n v="0"/>
    <n v="23"/>
    <n v="0"/>
    <n v="0"/>
    <n v="18.48"/>
    <n v="0"/>
    <n v="0"/>
    <n v="19.543462882439208"/>
    <m/>
    <m/>
    <n v="175966.56"/>
    <n v="0"/>
    <n v="0"/>
    <n v="186092.85356658613"/>
    <n v="0"/>
    <n v="0"/>
  </r>
  <r>
    <s v="Sistema de Compensação"/>
    <x v="1"/>
    <x v="2"/>
    <x v="3"/>
    <x v="0"/>
    <x v="0"/>
    <x v="0"/>
    <x v="1"/>
    <x v="3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4"/>
    <n v="9594"/>
    <n v="9594"/>
    <n v="0"/>
    <n v="0"/>
    <n v="0"/>
    <n v="0"/>
    <n v="51"/>
    <x v="2"/>
    <n v="0"/>
    <n v="23"/>
    <n v="0"/>
    <n v="0"/>
    <n v="18.48"/>
    <n v="0"/>
    <n v="0"/>
    <n v="19.543462882439208"/>
    <m/>
    <m/>
    <n v="177297.12"/>
    <n v="0"/>
    <n v="0"/>
    <n v="187499.98289412176"/>
    <n v="0"/>
    <n v="0"/>
  </r>
  <r>
    <s v="Sistema de Compensação"/>
    <x v="1"/>
    <x v="2"/>
    <x v="3"/>
    <x v="0"/>
    <x v="0"/>
    <x v="0"/>
    <x v="1"/>
    <x v="4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5"/>
    <n v="9755"/>
    <n v="9755"/>
    <n v="0"/>
    <n v="0"/>
    <n v="0"/>
    <n v="0"/>
    <n v="50"/>
    <x v="2"/>
    <n v="0"/>
    <n v="23"/>
    <n v="0"/>
    <n v="0"/>
    <n v="18.48"/>
    <n v="0"/>
    <n v="0"/>
    <n v="19.543462882439208"/>
    <m/>
    <m/>
    <n v="180272.4"/>
    <n v="0"/>
    <n v="0"/>
    <n v="190646.48041819446"/>
    <n v="0"/>
    <n v="0"/>
  </r>
  <r>
    <s v="Sistema de Compensação"/>
    <x v="1"/>
    <x v="2"/>
    <x v="3"/>
    <x v="0"/>
    <x v="0"/>
    <x v="0"/>
    <x v="1"/>
    <x v="5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6"/>
    <n v="9729"/>
    <n v="9729"/>
    <n v="0"/>
    <n v="0"/>
    <n v="0"/>
    <n v="0"/>
    <n v="50"/>
    <x v="2"/>
    <n v="0"/>
    <n v="23"/>
    <n v="0"/>
    <n v="0"/>
    <n v="18.48"/>
    <n v="0"/>
    <n v="0"/>
    <n v="19.543462882439208"/>
    <m/>
    <m/>
    <n v="179791.92"/>
    <n v="0"/>
    <n v="0"/>
    <n v="190138.35038325106"/>
    <n v="0"/>
    <n v="0"/>
  </r>
  <r>
    <s v="Sistema de Compensação"/>
    <x v="1"/>
    <x v="2"/>
    <x v="3"/>
    <x v="0"/>
    <x v="0"/>
    <x v="0"/>
    <x v="1"/>
    <x v="6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7"/>
    <n v="9590"/>
    <n v="9590"/>
    <n v="0"/>
    <n v="0"/>
    <n v="0"/>
    <n v="0"/>
    <n v="50"/>
    <x v="2"/>
    <n v="0"/>
    <n v="23"/>
    <n v="0"/>
    <n v="0"/>
    <n v="18.48"/>
    <n v="0"/>
    <n v="0"/>
    <n v="19.543462882439208"/>
    <m/>
    <m/>
    <n v="177223.2"/>
    <n v="0"/>
    <n v="0"/>
    <n v="187421.80904259201"/>
    <n v="0"/>
    <n v="0"/>
  </r>
  <r>
    <s v="Sistema de Compensação"/>
    <x v="1"/>
    <x v="2"/>
    <x v="3"/>
    <x v="0"/>
    <x v="0"/>
    <x v="0"/>
    <x v="1"/>
    <x v="7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8"/>
    <n v="9600"/>
    <n v="9600"/>
    <n v="0"/>
    <n v="0"/>
    <n v="0"/>
    <n v="0"/>
    <n v="50"/>
    <x v="2"/>
    <n v="0"/>
    <n v="23"/>
    <n v="0"/>
    <n v="0"/>
    <n v="18.48"/>
    <n v="0"/>
    <n v="0"/>
    <n v="19.543462882439208"/>
    <m/>
    <m/>
    <n v="177408"/>
    <n v="0"/>
    <n v="0"/>
    <n v="187617.24367141639"/>
    <n v="0"/>
    <n v="0"/>
  </r>
  <r>
    <s v="Sistema de Compensação"/>
    <x v="1"/>
    <x v="2"/>
    <x v="3"/>
    <x v="0"/>
    <x v="0"/>
    <x v="0"/>
    <x v="1"/>
    <x v="8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9"/>
    <n v="9798"/>
    <n v="9798"/>
    <n v="0"/>
    <n v="0"/>
    <n v="0"/>
    <n v="0"/>
    <n v="50"/>
    <x v="2"/>
    <n v="0"/>
    <n v="23"/>
    <n v="0"/>
    <n v="0"/>
    <n v="18.48"/>
    <n v="0"/>
    <n v="0"/>
    <n v="19.543462882439208"/>
    <m/>
    <m/>
    <n v="181067.04"/>
    <n v="0"/>
    <n v="0"/>
    <n v="191486.84932213934"/>
    <n v="0"/>
    <n v="0"/>
  </r>
  <r>
    <s v="Refaturamento - Regular"/>
    <x v="1"/>
    <x v="2"/>
    <x v="3"/>
    <x v="0"/>
    <x v="0"/>
    <x v="0"/>
    <x v="1"/>
    <x v="9"/>
    <n v="82"/>
    <n v="82"/>
    <n v="0"/>
    <n v="0"/>
    <n v="0"/>
    <n v="0"/>
    <n v="0"/>
    <x v="2"/>
    <n v="0"/>
    <n v="23"/>
    <n v="0"/>
    <n v="0"/>
    <n v="18.48"/>
    <n v="0"/>
    <n v="0"/>
    <n v="19.543462882439208"/>
    <m/>
    <m/>
    <n v="1515.3600000000001"/>
    <n v="0"/>
    <n v="0"/>
    <n v="1602.563956360015"/>
    <n v="0"/>
    <n v="0"/>
  </r>
  <r>
    <s v="Sistema de Compensação"/>
    <x v="1"/>
    <x v="2"/>
    <x v="3"/>
    <x v="0"/>
    <x v="0"/>
    <x v="0"/>
    <x v="1"/>
    <x v="9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1"/>
    <x v="10"/>
    <n v="9885"/>
    <n v="9885"/>
    <n v="0"/>
    <n v="0"/>
    <n v="0"/>
    <n v="0"/>
    <n v="51"/>
    <x v="2"/>
    <n v="0"/>
    <n v="23"/>
    <n v="0"/>
    <n v="0"/>
    <n v="18.48"/>
    <n v="0"/>
    <n v="0"/>
    <n v="19.543462882439208"/>
    <m/>
    <m/>
    <n v="182674.80000000002"/>
    <n v="0"/>
    <n v="0"/>
    <n v="193187.13059291156"/>
    <n v="0"/>
    <n v="0"/>
  </r>
  <r>
    <s v="Sistema de Compensação"/>
    <x v="1"/>
    <x v="2"/>
    <x v="3"/>
    <x v="0"/>
    <x v="0"/>
    <x v="0"/>
    <x v="1"/>
    <x v="10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PROJETADO"/>
    <x v="1"/>
    <x v="2"/>
    <x v="3"/>
    <x v="0"/>
    <x v="0"/>
    <x v="0"/>
    <x v="1"/>
    <x v="11"/>
    <n v="9885"/>
    <n v="9885"/>
    <n v="0"/>
    <n v="0"/>
    <n v="0"/>
    <n v="0"/>
    <n v="51"/>
    <x v="2"/>
    <n v="0"/>
    <n v="23"/>
    <n v="0"/>
    <n v="0"/>
    <n v="18.48"/>
    <n v="0"/>
    <n v="0"/>
    <n v="19.543462882439208"/>
    <m/>
    <m/>
    <n v="182674.80000000002"/>
    <n v="0"/>
    <n v="0"/>
    <n v="193187.13059291156"/>
    <n v="0"/>
    <n v="0"/>
  </r>
  <r>
    <s v="PROJETADO"/>
    <x v="1"/>
    <x v="2"/>
    <x v="3"/>
    <x v="0"/>
    <x v="0"/>
    <x v="0"/>
    <x v="1"/>
    <x v="11"/>
    <n v="235"/>
    <n v="235"/>
    <n v="0"/>
    <n v="0"/>
    <n v="0"/>
    <n v="0"/>
    <n v="2"/>
    <x v="2"/>
    <n v="0"/>
    <n v="23"/>
    <n v="0"/>
    <n v="0"/>
    <n v="18.48"/>
    <n v="0"/>
    <n v="0"/>
    <n v="19.543462882439208"/>
    <m/>
    <m/>
    <n v="4342.8"/>
    <n v="0"/>
    <n v="0"/>
    <n v="4592.7137773732138"/>
    <n v="0"/>
    <n v="0"/>
  </r>
  <r>
    <s v="Regular"/>
    <x v="1"/>
    <x v="2"/>
    <x v="3"/>
    <x v="0"/>
    <x v="0"/>
    <x v="0"/>
    <x v="2"/>
    <x v="0"/>
    <n v="0"/>
    <n v="0"/>
    <n v="134.91900000000001"/>
    <n v="134.91900000000001"/>
    <n v="134.91900000000001"/>
    <n v="134.91900000000001"/>
    <n v="0"/>
    <x v="2"/>
    <n v="0"/>
    <n v="0"/>
    <n v="24"/>
    <n v="67"/>
    <n v="0"/>
    <n v="943.81"/>
    <n v="366.6"/>
    <m/>
    <n v="1019.176668187089"/>
    <n v="407.57745297626161"/>
    <n v="0"/>
    <n v="127337.90139"/>
    <n v="49461.305400000005"/>
    <n v="0"/>
    <n v="137506.29689513388"/>
    <n v="54989.942378104242"/>
  </r>
  <r>
    <s v="Sistema de Compensação"/>
    <x v="1"/>
    <x v="2"/>
    <x v="3"/>
    <x v="0"/>
    <x v="0"/>
    <x v="0"/>
    <x v="2"/>
    <x v="0"/>
    <n v="0"/>
    <n v="0"/>
    <n v="2.2400000000000002"/>
    <n v="2.2400000000000002"/>
    <n v="2.2400000000000002"/>
    <n v="2.2400000000000002"/>
    <n v="0"/>
    <x v="2"/>
    <n v="0"/>
    <n v="0"/>
    <n v="24"/>
    <n v="67"/>
    <n v="0"/>
    <n v="943.81"/>
    <n v="366.6"/>
    <m/>
    <n v="1019.176668187089"/>
    <n v="407.57745297626161"/>
    <n v="0"/>
    <n v="2114.1343999999999"/>
    <n v="821.18400000000008"/>
    <n v="0"/>
    <n v="2282.9557367390798"/>
    <n v="912.97349466682613"/>
  </r>
  <r>
    <s v="Regular"/>
    <x v="1"/>
    <x v="2"/>
    <x v="3"/>
    <x v="0"/>
    <x v="0"/>
    <x v="0"/>
    <x v="2"/>
    <x v="1"/>
    <n v="0"/>
    <n v="0"/>
    <n v="149.96299999999999"/>
    <n v="149.96299999999999"/>
    <n v="149.96299999999999"/>
    <n v="149.96299999999999"/>
    <n v="0"/>
    <x v="2"/>
    <n v="0"/>
    <n v="0"/>
    <n v="24"/>
    <n v="67"/>
    <n v="0"/>
    <n v="943.81"/>
    <n v="366.6"/>
    <m/>
    <n v="1019.176668187089"/>
    <n v="407.57745297626161"/>
    <n v="0"/>
    <n v="141536.57902999999"/>
    <n v="54976.435799999999"/>
    <n v="0"/>
    <n v="152838.79069134043"/>
    <n v="61121.53758067912"/>
  </r>
  <r>
    <s v="Sistema de Compensação"/>
    <x v="1"/>
    <x v="2"/>
    <x v="3"/>
    <x v="0"/>
    <x v="0"/>
    <x v="0"/>
    <x v="2"/>
    <x v="1"/>
    <n v="0"/>
    <n v="0"/>
    <n v="2.52"/>
    <n v="2.52"/>
    <n v="2.52"/>
    <n v="2.52"/>
    <n v="0"/>
    <x v="2"/>
    <n v="0"/>
    <n v="0"/>
    <n v="24"/>
    <n v="67"/>
    <n v="0"/>
    <n v="943.81"/>
    <n v="366.6"/>
    <m/>
    <n v="1019.176668187089"/>
    <n v="407.57745297626161"/>
    <n v="0"/>
    <n v="2378.4011999999998"/>
    <n v="923.83200000000011"/>
    <n v="0"/>
    <n v="2568.3252038314645"/>
    <n v="1027.0951815001793"/>
  </r>
  <r>
    <s v="Regular"/>
    <x v="1"/>
    <x v="2"/>
    <x v="3"/>
    <x v="0"/>
    <x v="0"/>
    <x v="0"/>
    <x v="2"/>
    <x v="2"/>
    <n v="0"/>
    <n v="0"/>
    <n v="137.07400000000001"/>
    <n v="137.07400000000001"/>
    <n v="137.07400000000001"/>
    <n v="137.07400000000001"/>
    <n v="0"/>
    <x v="2"/>
    <n v="0"/>
    <n v="0"/>
    <n v="24"/>
    <n v="67"/>
    <n v="0"/>
    <n v="943.81"/>
    <n v="366.6"/>
    <m/>
    <n v="1019.176668187089"/>
    <n v="407.57745297626161"/>
    <n v="0"/>
    <n v="129371.81194"/>
    <n v="50251.328400000006"/>
    <n v="0"/>
    <n v="139702.62261507707"/>
    <n v="55868.271789268088"/>
  </r>
  <r>
    <s v="Sistema de Compensação"/>
    <x v="1"/>
    <x v="2"/>
    <x v="3"/>
    <x v="0"/>
    <x v="0"/>
    <x v="0"/>
    <x v="2"/>
    <x v="2"/>
    <n v="0"/>
    <n v="0"/>
    <n v="2.52"/>
    <n v="2.52"/>
    <n v="2.52"/>
    <n v="2.52"/>
    <n v="0"/>
    <x v="2"/>
    <n v="0"/>
    <n v="0"/>
    <n v="24"/>
    <n v="67"/>
    <n v="0"/>
    <n v="943.81"/>
    <n v="366.6"/>
    <m/>
    <n v="1019.176668187089"/>
    <n v="407.57745297626161"/>
    <n v="0"/>
    <n v="2378.4011999999998"/>
    <n v="923.83200000000011"/>
    <n v="0"/>
    <n v="2568.3252038314645"/>
    <n v="1027.0951815001793"/>
  </r>
  <r>
    <s v="Regular"/>
    <x v="1"/>
    <x v="2"/>
    <x v="3"/>
    <x v="0"/>
    <x v="0"/>
    <x v="0"/>
    <x v="2"/>
    <x v="3"/>
    <n v="0"/>
    <n v="0"/>
    <n v="131.946"/>
    <n v="131.946"/>
    <n v="131.946"/>
    <n v="131.946"/>
    <n v="0"/>
    <x v="2"/>
    <n v="0"/>
    <n v="0"/>
    <n v="24"/>
    <n v="67"/>
    <n v="0"/>
    <n v="943.81"/>
    <n v="366.6"/>
    <m/>
    <n v="1019.176668187089"/>
    <n v="407.57745297626161"/>
    <n v="0"/>
    <n v="124531.95425999998"/>
    <n v="48371.403600000005"/>
    <n v="0"/>
    <n v="134476.28466061366"/>
    <n v="53778.214610405812"/>
  </r>
  <r>
    <s v="Sistema de Compensação"/>
    <x v="1"/>
    <x v="2"/>
    <x v="3"/>
    <x v="0"/>
    <x v="0"/>
    <x v="0"/>
    <x v="2"/>
    <x v="3"/>
    <n v="0"/>
    <n v="0"/>
    <n v="2.2400000000000002"/>
    <n v="2.2400000000000002"/>
    <n v="2.2400000000000002"/>
    <n v="2.2400000000000002"/>
    <n v="0"/>
    <x v="2"/>
    <n v="0"/>
    <n v="0"/>
    <n v="24"/>
    <n v="67"/>
    <n v="0"/>
    <n v="943.81"/>
    <n v="366.6"/>
    <m/>
    <n v="1019.176668187089"/>
    <n v="407.57745297626161"/>
    <n v="0"/>
    <n v="2114.1343999999999"/>
    <n v="821.18400000000008"/>
    <n v="0"/>
    <n v="2282.9557367390798"/>
    <n v="912.97349466682613"/>
  </r>
  <r>
    <s v="Regular"/>
    <x v="1"/>
    <x v="2"/>
    <x v="3"/>
    <x v="0"/>
    <x v="0"/>
    <x v="0"/>
    <x v="2"/>
    <x v="4"/>
    <n v="0"/>
    <n v="0"/>
    <n v="131.19800000000001"/>
    <n v="131.19800000000001"/>
    <n v="131.19800000000001"/>
    <n v="131.19800000000001"/>
    <n v="0"/>
    <x v="2"/>
    <n v="0"/>
    <n v="0"/>
    <n v="24"/>
    <n v="67"/>
    <n v="0"/>
    <n v="943.81"/>
    <n v="366.6"/>
    <m/>
    <n v="1019.176668187089"/>
    <n v="407.57745297626161"/>
    <n v="0"/>
    <n v="123825.98437999999"/>
    <n v="48097.186800000003"/>
    <n v="0"/>
    <n v="133713.94051280973"/>
    <n v="53473.346675579574"/>
  </r>
  <r>
    <s v="Sistema de Compensação"/>
    <x v="1"/>
    <x v="2"/>
    <x v="3"/>
    <x v="0"/>
    <x v="0"/>
    <x v="0"/>
    <x v="2"/>
    <x v="4"/>
    <n v="0"/>
    <n v="0"/>
    <n v="1.96"/>
    <n v="1.96"/>
    <n v="1.96"/>
    <n v="1.96"/>
    <n v="0"/>
    <x v="2"/>
    <n v="0"/>
    <n v="0"/>
    <n v="24"/>
    <n v="67"/>
    <n v="0"/>
    <n v="943.81"/>
    <n v="366.6"/>
    <m/>
    <n v="1019.176668187089"/>
    <n v="407.57745297626161"/>
    <n v="0"/>
    <n v="1849.8675999999998"/>
    <n v="718.53600000000006"/>
    <n v="0"/>
    <n v="1997.5862696466945"/>
    <n v="798.85180783347278"/>
  </r>
  <r>
    <s v="Regular"/>
    <x v="1"/>
    <x v="2"/>
    <x v="3"/>
    <x v="0"/>
    <x v="0"/>
    <x v="0"/>
    <x v="2"/>
    <x v="5"/>
    <n v="0"/>
    <n v="0"/>
    <n v="131.447"/>
    <n v="131.447"/>
    <n v="131.447"/>
    <n v="131.447"/>
    <n v="0"/>
    <x v="2"/>
    <n v="0"/>
    <n v="0"/>
    <n v="24"/>
    <n v="67"/>
    <n v="0"/>
    <n v="943.81"/>
    <n v="366.6"/>
    <m/>
    <n v="1019.176668187089"/>
    <n v="407.57745297626161"/>
    <n v="0"/>
    <n v="124060.99307"/>
    <n v="48188.470200000003"/>
    <n v="0"/>
    <n v="133967.71550318829"/>
    <n v="53574.833461370661"/>
  </r>
  <r>
    <s v="Sistema de Compensação"/>
    <x v="1"/>
    <x v="2"/>
    <x v="3"/>
    <x v="0"/>
    <x v="0"/>
    <x v="0"/>
    <x v="2"/>
    <x v="5"/>
    <n v="0"/>
    <n v="0"/>
    <n v="1.96"/>
    <n v="1.96"/>
    <n v="1.96"/>
    <n v="1.96"/>
    <n v="0"/>
    <x v="2"/>
    <n v="0"/>
    <n v="0"/>
    <n v="24"/>
    <n v="67"/>
    <n v="0"/>
    <n v="943.81"/>
    <n v="366.6"/>
    <m/>
    <n v="1019.176668187089"/>
    <n v="407.57745297626161"/>
    <n v="0"/>
    <n v="1849.8675999999998"/>
    <n v="718.53600000000006"/>
    <n v="0"/>
    <n v="1997.5862696466945"/>
    <n v="798.85180783347278"/>
  </r>
  <r>
    <s v="Regular"/>
    <x v="1"/>
    <x v="2"/>
    <x v="3"/>
    <x v="0"/>
    <x v="0"/>
    <x v="0"/>
    <x v="2"/>
    <x v="6"/>
    <n v="0"/>
    <n v="0"/>
    <n v="128.815"/>
    <n v="128.815"/>
    <n v="128.815"/>
    <n v="128.815"/>
    <n v="0"/>
    <x v="2"/>
    <n v="0"/>
    <n v="0"/>
    <n v="24"/>
    <n v="67"/>
    <n v="0"/>
    <n v="943.81"/>
    <n v="366.6"/>
    <m/>
    <n v="1019.176668187089"/>
    <n v="407.57745297626161"/>
    <n v="0"/>
    <n v="121576.88514999999"/>
    <n v="47223.579000000005"/>
    <n v="0"/>
    <n v="131285.24251251988"/>
    <n v="52502.089605137138"/>
  </r>
  <r>
    <s v="Sistema de Compensação"/>
    <x v="1"/>
    <x v="2"/>
    <x v="3"/>
    <x v="0"/>
    <x v="0"/>
    <x v="0"/>
    <x v="2"/>
    <x v="6"/>
    <n v="0"/>
    <n v="0"/>
    <n v="2.2400000000000002"/>
    <n v="2.2400000000000002"/>
    <n v="2.2400000000000002"/>
    <n v="2.2400000000000002"/>
    <n v="0"/>
    <x v="2"/>
    <n v="0"/>
    <n v="0"/>
    <n v="24"/>
    <n v="67"/>
    <n v="0"/>
    <n v="943.81"/>
    <n v="366.6"/>
    <m/>
    <n v="1019.176668187089"/>
    <n v="407.57745297626161"/>
    <n v="0"/>
    <n v="2114.1343999999999"/>
    <n v="821.18400000000008"/>
    <n v="0"/>
    <n v="2282.9557367390798"/>
    <n v="912.97349466682613"/>
  </r>
  <r>
    <s v="Regular"/>
    <x v="1"/>
    <x v="2"/>
    <x v="3"/>
    <x v="0"/>
    <x v="0"/>
    <x v="0"/>
    <x v="2"/>
    <x v="7"/>
    <n v="0"/>
    <n v="0"/>
    <n v="133.43899999999999"/>
    <n v="133.43899999999999"/>
    <n v="133.43899999999999"/>
    <n v="133.43899999999999"/>
    <n v="0"/>
    <x v="2"/>
    <n v="0"/>
    <n v="0"/>
    <n v="24"/>
    <n v="67"/>
    <n v="0"/>
    <n v="943.81"/>
    <n v="366.6"/>
    <m/>
    <n v="1019.176668187089"/>
    <n v="407.57745297626161"/>
    <n v="0"/>
    <n v="125941.06258999999"/>
    <n v="48918.737399999998"/>
    <n v="0"/>
    <n v="135997.91542621696"/>
    <n v="54386.72774769937"/>
  </r>
  <r>
    <s v="Sistema de Compensação"/>
    <x v="1"/>
    <x v="2"/>
    <x v="3"/>
    <x v="0"/>
    <x v="0"/>
    <x v="0"/>
    <x v="2"/>
    <x v="7"/>
    <n v="0"/>
    <n v="0"/>
    <n v="1.96"/>
    <n v="1.96"/>
    <n v="1.96"/>
    <n v="1.96"/>
    <n v="0"/>
    <x v="2"/>
    <n v="0"/>
    <n v="0"/>
    <n v="24"/>
    <n v="67"/>
    <n v="0"/>
    <n v="943.81"/>
    <n v="366.6"/>
    <m/>
    <n v="1019.176668187089"/>
    <n v="407.57745297626161"/>
    <n v="0"/>
    <n v="1849.8675999999998"/>
    <n v="718.53600000000006"/>
    <n v="0"/>
    <n v="1997.5862696466945"/>
    <n v="798.85180783347278"/>
  </r>
  <r>
    <s v="Regular"/>
    <x v="1"/>
    <x v="2"/>
    <x v="3"/>
    <x v="0"/>
    <x v="0"/>
    <x v="0"/>
    <x v="2"/>
    <x v="8"/>
    <n v="0"/>
    <n v="0"/>
    <n v="129.28"/>
    <n v="129.28"/>
    <n v="129.28"/>
    <n v="129.28"/>
    <n v="0"/>
    <x v="2"/>
    <n v="0"/>
    <n v="0"/>
    <n v="24"/>
    <n v="67"/>
    <n v="0"/>
    <n v="943.81"/>
    <n v="366.6"/>
    <m/>
    <n v="1019.176668187089"/>
    <n v="407.57745297626161"/>
    <n v="0"/>
    <n v="122015.75679999999"/>
    <n v="47394.048000000003"/>
    <n v="0"/>
    <n v="131759.15966322686"/>
    <n v="52691.613120771101"/>
  </r>
  <r>
    <s v="Sistema de Compensação"/>
    <x v="1"/>
    <x v="2"/>
    <x v="3"/>
    <x v="0"/>
    <x v="0"/>
    <x v="0"/>
    <x v="2"/>
    <x v="8"/>
    <n v="0"/>
    <n v="0"/>
    <n v="2.2400000000000002"/>
    <n v="2.2400000000000002"/>
    <n v="2.2400000000000002"/>
    <n v="2.2400000000000002"/>
    <n v="0"/>
    <x v="2"/>
    <n v="0"/>
    <n v="0"/>
    <n v="24"/>
    <n v="67"/>
    <n v="0"/>
    <n v="943.81"/>
    <n v="366.6"/>
    <m/>
    <n v="1019.176668187089"/>
    <n v="407.57745297626161"/>
    <n v="0"/>
    <n v="2114.1343999999999"/>
    <n v="821.18400000000008"/>
    <n v="0"/>
    <n v="2282.9557367390798"/>
    <n v="912.97349466682613"/>
  </r>
  <r>
    <s v="Regular"/>
    <x v="1"/>
    <x v="2"/>
    <x v="3"/>
    <x v="0"/>
    <x v="0"/>
    <x v="0"/>
    <x v="2"/>
    <x v="9"/>
    <n v="0"/>
    <n v="0"/>
    <n v="138.97200000000001"/>
    <n v="138.97200000000001"/>
    <n v="138.97200000000001"/>
    <n v="138.97200000000001"/>
    <n v="0"/>
    <x v="2"/>
    <n v="0"/>
    <n v="0"/>
    <n v="24"/>
    <n v="67"/>
    <n v="0"/>
    <n v="943.81"/>
    <n v="366.6"/>
    <m/>
    <n v="1019.176668187089"/>
    <n v="407.57745297626161"/>
    <n v="0"/>
    <n v="131163.16331999999"/>
    <n v="50947.135200000004"/>
    <n v="0"/>
    <n v="141637.01993129615"/>
    <n v="56641.853795017028"/>
  </r>
  <r>
    <s v="Sistema de Compensação"/>
    <x v="1"/>
    <x v="2"/>
    <x v="3"/>
    <x v="0"/>
    <x v="0"/>
    <x v="0"/>
    <x v="2"/>
    <x v="9"/>
    <n v="0"/>
    <n v="0"/>
    <n v="2.52"/>
    <n v="2.52"/>
    <n v="2.52"/>
    <n v="2.52"/>
    <n v="0"/>
    <x v="2"/>
    <n v="0"/>
    <n v="0"/>
    <n v="24"/>
    <n v="67"/>
    <n v="0"/>
    <n v="943.81"/>
    <n v="366.6"/>
    <m/>
    <n v="1019.176668187089"/>
    <n v="407.57745297626161"/>
    <n v="0"/>
    <n v="2378.4011999999998"/>
    <n v="923.83200000000011"/>
    <n v="0"/>
    <n v="2568.3252038314645"/>
    <n v="1027.0951815001793"/>
  </r>
  <r>
    <s v="Regular"/>
    <x v="1"/>
    <x v="2"/>
    <x v="3"/>
    <x v="0"/>
    <x v="0"/>
    <x v="0"/>
    <x v="2"/>
    <x v="10"/>
    <n v="0"/>
    <n v="0"/>
    <n v="152.41800000000001"/>
    <n v="152.41800000000001"/>
    <n v="152.41800000000001"/>
    <n v="152.41800000000001"/>
    <n v="0"/>
    <x v="2"/>
    <n v="0"/>
    <n v="0"/>
    <n v="24"/>
    <n v="67"/>
    <n v="0"/>
    <n v="943.81"/>
    <n v="366.6"/>
    <m/>
    <n v="1019.176668187089"/>
    <n v="407.57745297626161"/>
    <n v="0"/>
    <n v="143853.63258"/>
    <n v="55876.438800000004"/>
    <n v="0"/>
    <n v="155340.86941173975"/>
    <n v="62122.140227735843"/>
  </r>
  <r>
    <s v="Sistema de Compensação"/>
    <x v="1"/>
    <x v="2"/>
    <x v="3"/>
    <x v="0"/>
    <x v="0"/>
    <x v="0"/>
    <x v="2"/>
    <x v="10"/>
    <n v="0"/>
    <n v="0"/>
    <n v="2.52"/>
    <n v="2.52"/>
    <n v="2.52"/>
    <n v="2.52"/>
    <n v="0"/>
    <x v="2"/>
    <n v="0"/>
    <n v="0"/>
    <n v="24"/>
    <n v="67"/>
    <n v="0"/>
    <n v="943.81"/>
    <n v="366.6"/>
    <m/>
    <n v="1019.176668187089"/>
    <n v="407.57745297626161"/>
    <n v="0"/>
    <n v="2378.4011999999998"/>
    <n v="923.83200000000011"/>
    <n v="0"/>
    <n v="2568.3252038314645"/>
    <n v="1027.0951815001793"/>
  </r>
  <r>
    <s v="PROJETADO"/>
    <x v="1"/>
    <x v="2"/>
    <x v="3"/>
    <x v="0"/>
    <x v="0"/>
    <x v="0"/>
    <x v="2"/>
    <x v="11"/>
    <n v="0"/>
    <n v="0"/>
    <n v="152.41800000000001"/>
    <n v="152.41800000000001"/>
    <n v="152.41800000000001"/>
    <n v="152.41800000000001"/>
    <n v="0"/>
    <x v="2"/>
    <n v="0"/>
    <n v="0"/>
    <n v="24"/>
    <n v="67"/>
    <n v="0"/>
    <n v="943.81"/>
    <n v="366.6"/>
    <m/>
    <n v="1019.176668187089"/>
    <n v="407.57745297626161"/>
    <n v="0"/>
    <n v="143853.63258"/>
    <n v="55876.438800000004"/>
    <n v="0"/>
    <n v="155340.86941173975"/>
    <n v="62122.140227735843"/>
  </r>
  <r>
    <s v="PROJETADO"/>
    <x v="1"/>
    <x v="2"/>
    <x v="3"/>
    <x v="0"/>
    <x v="0"/>
    <x v="0"/>
    <x v="2"/>
    <x v="11"/>
    <n v="0"/>
    <n v="0"/>
    <n v="2.52"/>
    <n v="2.52"/>
    <n v="2.52"/>
    <n v="2.52"/>
    <n v="0"/>
    <x v="2"/>
    <n v="0"/>
    <n v="0"/>
    <n v="24"/>
    <n v="67"/>
    <n v="0"/>
    <n v="943.81"/>
    <n v="366.6"/>
    <m/>
    <n v="1019.176668187089"/>
    <n v="407.57745297626161"/>
    <n v="0"/>
    <n v="2378.4011999999998"/>
    <n v="923.83200000000011"/>
    <n v="0"/>
    <n v="2568.3252038314645"/>
    <n v="1027.0951815001793"/>
  </r>
  <r>
    <s v="Regular"/>
    <x v="1"/>
    <x v="2"/>
    <x v="6"/>
    <x v="0"/>
    <x v="0"/>
    <x v="0"/>
    <x v="0"/>
    <x v="0"/>
    <n v="0"/>
    <n v="0"/>
    <n v="98.512"/>
    <n v="98.512"/>
    <n v="98.512"/>
    <n v="98.512"/>
    <n v="0"/>
    <x v="2"/>
    <n v="0"/>
    <n v="0"/>
    <n v="25"/>
    <n v="68"/>
    <n v="0"/>
    <n v="41.903999999999996"/>
    <n v="210.2688"/>
    <m/>
    <n v="51.825114823883467"/>
    <n v="247.38363272813328"/>
    <n v="0"/>
    <n v="4128.046848"/>
    <n v="20714.000025599998"/>
    <n v="0"/>
    <n v="5105.3957115304083"/>
    <n v="24370.256427313867"/>
  </r>
  <r>
    <s v="Regular"/>
    <x v="1"/>
    <x v="2"/>
    <x v="6"/>
    <x v="0"/>
    <x v="0"/>
    <x v="0"/>
    <x v="0"/>
    <x v="1"/>
    <n v="0"/>
    <n v="0"/>
    <n v="109.238"/>
    <n v="109.238"/>
    <n v="109.238"/>
    <n v="109.238"/>
    <n v="0"/>
    <x v="2"/>
    <n v="0"/>
    <n v="0"/>
    <n v="25"/>
    <n v="68"/>
    <n v="0"/>
    <n v="41.903999999999996"/>
    <n v="210.2688"/>
    <m/>
    <n v="51.825114823883467"/>
    <n v="247.38363272813328"/>
    <n v="0"/>
    <n v="4577.5091519999996"/>
    <n v="22969.343174400001"/>
    <n v="0"/>
    <n v="5661.2718931313821"/>
    <n v="27023.693271955824"/>
  </r>
  <r>
    <s v="Regular"/>
    <x v="1"/>
    <x v="2"/>
    <x v="6"/>
    <x v="0"/>
    <x v="0"/>
    <x v="0"/>
    <x v="0"/>
    <x v="2"/>
    <n v="0"/>
    <n v="0"/>
    <n v="116.056"/>
    <n v="116.056"/>
    <n v="116.056"/>
    <n v="116.056"/>
    <n v="0"/>
    <x v="2"/>
    <n v="0"/>
    <n v="0"/>
    <n v="25"/>
    <n v="68"/>
    <n v="0"/>
    <n v="41.903999999999996"/>
    <n v="210.2688"/>
    <m/>
    <n v="51.825114823883467"/>
    <n v="247.38363272813328"/>
    <n v="0"/>
    <n v="4863.2106239999994"/>
    <n v="24402.955852799998"/>
    <n v="0"/>
    <n v="6014.6155260006199"/>
    <n v="28710.354879896237"/>
  </r>
  <r>
    <s v="Regular"/>
    <x v="1"/>
    <x v="2"/>
    <x v="6"/>
    <x v="0"/>
    <x v="0"/>
    <x v="0"/>
    <x v="0"/>
    <x v="3"/>
    <n v="0"/>
    <n v="0"/>
    <n v="109.06"/>
    <n v="109.06"/>
    <n v="109.06"/>
    <n v="109.06"/>
    <n v="0"/>
    <x v="2"/>
    <n v="0"/>
    <n v="0"/>
    <n v="25"/>
    <n v="68"/>
    <n v="0"/>
    <n v="41.903999999999996"/>
    <n v="210.2688"/>
    <m/>
    <n v="51.825114823883467"/>
    <n v="247.38363272813328"/>
    <n v="0"/>
    <n v="4570.0502399999996"/>
    <n v="22931.915327999999"/>
    <n v="0"/>
    <n v="5652.0470226927309"/>
    <n v="26979.658985330218"/>
  </r>
  <r>
    <s v="Regular"/>
    <x v="1"/>
    <x v="2"/>
    <x v="6"/>
    <x v="0"/>
    <x v="0"/>
    <x v="0"/>
    <x v="0"/>
    <x v="4"/>
    <n v="0"/>
    <n v="0"/>
    <n v="105.22799999999999"/>
    <n v="105.22799999999999"/>
    <n v="105.22799999999999"/>
    <n v="105.22799999999999"/>
    <n v="0"/>
    <x v="2"/>
    <n v="0"/>
    <n v="0"/>
    <n v="25"/>
    <n v="68"/>
    <n v="0"/>
    <n v="41.903999999999996"/>
    <n v="210.2688"/>
    <m/>
    <n v="51.825114823883467"/>
    <n v="247.38363272813328"/>
    <n v="0"/>
    <n v="4409.474111999999"/>
    <n v="22126.165286399999"/>
    <n v="0"/>
    <n v="5453.4531826876091"/>
    <n v="26031.684904716007"/>
  </r>
  <r>
    <s v="Regular"/>
    <x v="1"/>
    <x v="2"/>
    <x v="6"/>
    <x v="0"/>
    <x v="0"/>
    <x v="0"/>
    <x v="0"/>
    <x v="5"/>
    <n v="0"/>
    <n v="0"/>
    <n v="110.968"/>
    <n v="110.968"/>
    <n v="110.968"/>
    <n v="110.968"/>
    <n v="0"/>
    <x v="2"/>
    <n v="0"/>
    <n v="0"/>
    <n v="25"/>
    <n v="68"/>
    <n v="0"/>
    <n v="41.903999999999996"/>
    <n v="210.2688"/>
    <m/>
    <n v="51.825114823883467"/>
    <n v="247.38363272813328"/>
    <n v="0"/>
    <n v="4650.0030719999995"/>
    <n v="23333.108198400001"/>
    <n v="0"/>
    <n v="5750.9293417767012"/>
    <n v="27451.666956575493"/>
  </r>
  <r>
    <s v="Regular"/>
    <x v="1"/>
    <x v="2"/>
    <x v="6"/>
    <x v="0"/>
    <x v="0"/>
    <x v="0"/>
    <x v="0"/>
    <x v="6"/>
    <n v="0"/>
    <n v="0"/>
    <n v="107.146"/>
    <n v="107.146"/>
    <n v="107.146"/>
    <n v="107.146"/>
    <n v="0"/>
    <x v="2"/>
    <n v="0"/>
    <n v="0"/>
    <n v="25"/>
    <n v="68"/>
    <n v="0"/>
    <n v="41.903999999999996"/>
    <n v="210.2688"/>
    <m/>
    <n v="51.825114823883467"/>
    <n v="247.38363272813328"/>
    <n v="0"/>
    <n v="4489.8459839999996"/>
    <n v="22529.4608448"/>
    <n v="0"/>
    <n v="5552.8537529198184"/>
    <n v="26506.16671228857"/>
  </r>
  <r>
    <s v="Regular"/>
    <x v="1"/>
    <x v="2"/>
    <x v="6"/>
    <x v="0"/>
    <x v="0"/>
    <x v="0"/>
    <x v="0"/>
    <x v="7"/>
    <n v="0"/>
    <n v="0"/>
    <n v="105.88"/>
    <n v="105.88"/>
    <n v="105.88"/>
    <n v="105.88"/>
    <n v="0"/>
    <x v="2"/>
    <n v="0"/>
    <n v="0"/>
    <n v="25"/>
    <n v="68"/>
    <n v="0"/>
    <n v="41.903999999999996"/>
    <n v="210.2688"/>
    <m/>
    <n v="51.825114823883467"/>
    <n v="247.38363272813328"/>
    <n v="0"/>
    <n v="4436.7955199999997"/>
    <n v="22263.260544000001"/>
    <n v="0"/>
    <n v="5487.2431575527817"/>
    <n v="26192.979033254749"/>
  </r>
  <r>
    <s v="Regular"/>
    <x v="1"/>
    <x v="2"/>
    <x v="6"/>
    <x v="0"/>
    <x v="0"/>
    <x v="0"/>
    <x v="0"/>
    <x v="8"/>
    <n v="0"/>
    <n v="0"/>
    <n v="101.968"/>
    <n v="101.968"/>
    <n v="101.968"/>
    <n v="101.968"/>
    <n v="0"/>
    <x v="2"/>
    <n v="0"/>
    <n v="0"/>
    <n v="25"/>
    <n v="68"/>
    <n v="0"/>
    <n v="41.903999999999996"/>
    <n v="210.2688"/>
    <m/>
    <n v="51.825114823883467"/>
    <n v="247.38363272813328"/>
    <n v="0"/>
    <n v="4272.867072"/>
    <n v="21440.688998400001"/>
    <n v="0"/>
    <n v="5284.50330836175"/>
    <n v="25225.214262022295"/>
  </r>
  <r>
    <s v="Regular"/>
    <x v="1"/>
    <x v="2"/>
    <x v="6"/>
    <x v="0"/>
    <x v="0"/>
    <x v="0"/>
    <x v="0"/>
    <x v="9"/>
    <n v="0"/>
    <n v="0"/>
    <n v="98.575999999999993"/>
    <n v="98.575999999999993"/>
    <n v="98.575999999999993"/>
    <n v="98.575999999999993"/>
    <n v="0"/>
    <x v="2"/>
    <n v="0"/>
    <n v="0"/>
    <n v="25"/>
    <n v="68"/>
    <n v="0"/>
    <n v="41.903999999999996"/>
    <n v="210.2688"/>
    <m/>
    <n v="51.825114823883467"/>
    <n v="247.38363272813328"/>
    <n v="0"/>
    <n v="4130.7287039999992"/>
    <n v="20727.457228799998"/>
    <n v="0"/>
    <n v="5108.712518879136"/>
    <n v="24386.088979808465"/>
  </r>
  <r>
    <s v="Regular"/>
    <x v="1"/>
    <x v="2"/>
    <x v="6"/>
    <x v="0"/>
    <x v="0"/>
    <x v="0"/>
    <x v="0"/>
    <x v="10"/>
    <n v="0"/>
    <n v="0"/>
    <n v="113.104"/>
    <n v="113.104"/>
    <n v="113.104"/>
    <n v="113.104"/>
    <n v="0"/>
    <x v="2"/>
    <n v="0"/>
    <n v="0"/>
    <n v="25"/>
    <n v="68"/>
    <n v="0"/>
    <n v="41.903999999999996"/>
    <n v="210.2688"/>
    <m/>
    <n v="51.825114823883467"/>
    <n v="247.38363272813328"/>
    <n v="0"/>
    <n v="4739.5100159999993"/>
    <n v="23782.2423552"/>
    <n v="0"/>
    <n v="5861.6277870405156"/>
    <n v="27980.078396082787"/>
  </r>
  <r>
    <s v="PROJETADO"/>
    <x v="1"/>
    <x v="2"/>
    <x v="6"/>
    <x v="0"/>
    <x v="0"/>
    <x v="0"/>
    <x v="0"/>
    <x v="11"/>
    <n v="0"/>
    <n v="0"/>
    <n v="113.104"/>
    <n v="113.104"/>
    <n v="113.104"/>
    <n v="113.104"/>
    <n v="0"/>
    <x v="2"/>
    <n v="0"/>
    <n v="0"/>
    <n v="25"/>
    <n v="68"/>
    <n v="0"/>
    <n v="41.903999999999996"/>
    <n v="210.2688"/>
    <m/>
    <n v="51.825114823883467"/>
    <n v="247.38363272813328"/>
    <n v="0"/>
    <n v="4739.5100159999993"/>
    <n v="23782.2423552"/>
    <n v="0"/>
    <n v="5861.6277870405156"/>
    <n v="27980.078396082787"/>
  </r>
  <r>
    <s v="Regular"/>
    <x v="1"/>
    <x v="2"/>
    <x v="6"/>
    <x v="0"/>
    <x v="0"/>
    <x v="0"/>
    <x v="1"/>
    <x v="0"/>
    <n v="374"/>
    <n v="374"/>
    <n v="0"/>
    <n v="0"/>
    <n v="0"/>
    <n v="0"/>
    <n v="3"/>
    <x v="2"/>
    <n v="0"/>
    <n v="23"/>
    <n v="0"/>
    <n v="0"/>
    <n v="17.7408"/>
    <n v="0"/>
    <n v="0"/>
    <n v="19.152593624790423"/>
    <m/>
    <m/>
    <n v="6635.0591999999997"/>
    <n v="0"/>
    <n v="0"/>
    <n v="7163.0700156716184"/>
    <n v="0"/>
    <n v="0"/>
  </r>
  <r>
    <s v="Regular"/>
    <x v="1"/>
    <x v="2"/>
    <x v="6"/>
    <x v="0"/>
    <x v="0"/>
    <x v="0"/>
    <x v="1"/>
    <x v="1"/>
    <n v="367"/>
    <n v="367"/>
    <n v="0"/>
    <n v="0"/>
    <n v="0"/>
    <n v="0"/>
    <n v="3"/>
    <x v="2"/>
    <n v="0"/>
    <n v="23"/>
    <n v="0"/>
    <n v="0"/>
    <n v="17.7408"/>
    <n v="0"/>
    <n v="0"/>
    <n v="19.152593624790423"/>
    <m/>
    <m/>
    <n v="6510.8735999999999"/>
    <n v="0"/>
    <n v="0"/>
    <n v="7029.0018602980854"/>
    <n v="0"/>
    <n v="0"/>
  </r>
  <r>
    <s v="Regular"/>
    <x v="1"/>
    <x v="2"/>
    <x v="6"/>
    <x v="0"/>
    <x v="0"/>
    <x v="0"/>
    <x v="1"/>
    <x v="2"/>
    <n v="402"/>
    <n v="402"/>
    <n v="0"/>
    <n v="0"/>
    <n v="0"/>
    <n v="0"/>
    <n v="3"/>
    <x v="2"/>
    <n v="0"/>
    <n v="23"/>
    <n v="0"/>
    <n v="0"/>
    <n v="17.7408"/>
    <n v="0"/>
    <n v="0"/>
    <n v="19.152593624790423"/>
    <m/>
    <m/>
    <n v="7131.8015999999998"/>
    <n v="0"/>
    <n v="0"/>
    <n v="7699.3426371657506"/>
    <n v="0"/>
    <n v="0"/>
  </r>
  <r>
    <s v="Regular"/>
    <x v="1"/>
    <x v="2"/>
    <x v="6"/>
    <x v="0"/>
    <x v="0"/>
    <x v="0"/>
    <x v="1"/>
    <x v="3"/>
    <n v="371"/>
    <n v="371"/>
    <n v="0"/>
    <n v="0"/>
    <n v="0"/>
    <n v="0"/>
    <n v="3"/>
    <x v="2"/>
    <n v="0"/>
    <n v="23"/>
    <n v="0"/>
    <n v="0"/>
    <n v="17.7408"/>
    <n v="0"/>
    <n v="0"/>
    <n v="19.152593624790423"/>
    <m/>
    <m/>
    <n v="6581.8368"/>
    <n v="0"/>
    <n v="0"/>
    <n v="7105.6122347972469"/>
    <n v="0"/>
    <n v="0"/>
  </r>
  <r>
    <s v="Regular"/>
    <x v="1"/>
    <x v="2"/>
    <x v="6"/>
    <x v="0"/>
    <x v="0"/>
    <x v="0"/>
    <x v="1"/>
    <x v="4"/>
    <n v="367"/>
    <n v="367"/>
    <n v="0"/>
    <n v="0"/>
    <n v="0"/>
    <n v="0"/>
    <n v="3"/>
    <x v="2"/>
    <n v="0"/>
    <n v="23"/>
    <n v="0"/>
    <n v="0"/>
    <n v="17.7408"/>
    <n v="0"/>
    <n v="0"/>
    <n v="19.152593624790423"/>
    <m/>
    <m/>
    <n v="6510.8735999999999"/>
    <n v="0"/>
    <n v="0"/>
    <n v="7029.0018602980854"/>
    <n v="0"/>
    <n v="0"/>
  </r>
  <r>
    <s v="Regular"/>
    <x v="1"/>
    <x v="2"/>
    <x v="6"/>
    <x v="0"/>
    <x v="0"/>
    <x v="0"/>
    <x v="1"/>
    <x v="5"/>
    <n v="377"/>
    <n v="377"/>
    <n v="0"/>
    <n v="0"/>
    <n v="0"/>
    <n v="0"/>
    <n v="3"/>
    <x v="2"/>
    <n v="0"/>
    <n v="23"/>
    <n v="0"/>
    <n v="0"/>
    <n v="17.7408"/>
    <n v="0"/>
    <n v="0"/>
    <n v="19.152593624790423"/>
    <m/>
    <m/>
    <n v="6688.2816000000003"/>
    <n v="0"/>
    <n v="0"/>
    <n v="7220.52779654599"/>
    <n v="0"/>
    <n v="0"/>
  </r>
  <r>
    <s v="Regular"/>
    <x v="1"/>
    <x v="2"/>
    <x v="6"/>
    <x v="0"/>
    <x v="0"/>
    <x v="0"/>
    <x v="1"/>
    <x v="6"/>
    <n v="374"/>
    <n v="374"/>
    <n v="0"/>
    <n v="0"/>
    <n v="0"/>
    <n v="0"/>
    <n v="3"/>
    <x v="2"/>
    <n v="0"/>
    <n v="23"/>
    <n v="0"/>
    <n v="0"/>
    <n v="17.7408"/>
    <n v="0"/>
    <n v="0"/>
    <n v="19.152593624790423"/>
    <m/>
    <m/>
    <n v="6635.0591999999997"/>
    <n v="0"/>
    <n v="0"/>
    <n v="7163.0700156716184"/>
    <n v="0"/>
    <n v="0"/>
  </r>
  <r>
    <s v="Regular"/>
    <x v="1"/>
    <x v="2"/>
    <x v="6"/>
    <x v="0"/>
    <x v="0"/>
    <x v="0"/>
    <x v="1"/>
    <x v="7"/>
    <n v="382"/>
    <n v="382"/>
    <n v="0"/>
    <n v="0"/>
    <n v="0"/>
    <n v="0"/>
    <n v="3"/>
    <x v="2"/>
    <n v="0"/>
    <n v="23"/>
    <n v="0"/>
    <n v="0"/>
    <n v="17.7408"/>
    <n v="0"/>
    <n v="0"/>
    <n v="19.152593624790423"/>
    <m/>
    <m/>
    <n v="6776.9856"/>
    <n v="0"/>
    <n v="0"/>
    <n v="7316.2907646699414"/>
    <n v="0"/>
    <n v="0"/>
  </r>
  <r>
    <s v="Regular"/>
    <x v="1"/>
    <x v="2"/>
    <x v="6"/>
    <x v="0"/>
    <x v="0"/>
    <x v="0"/>
    <x v="1"/>
    <x v="8"/>
    <n v="426"/>
    <n v="426"/>
    <n v="0"/>
    <n v="0"/>
    <n v="0"/>
    <n v="0"/>
    <n v="3"/>
    <x v="2"/>
    <n v="0"/>
    <n v="23"/>
    <n v="0"/>
    <n v="0"/>
    <n v="17.7408"/>
    <n v="0"/>
    <n v="0"/>
    <n v="19.152593624790423"/>
    <m/>
    <m/>
    <n v="7557.5807999999997"/>
    <n v="0"/>
    <n v="0"/>
    <n v="8159.0048841607204"/>
    <n v="0"/>
    <n v="0"/>
  </r>
  <r>
    <s v="Regular"/>
    <x v="1"/>
    <x v="2"/>
    <x v="6"/>
    <x v="0"/>
    <x v="0"/>
    <x v="0"/>
    <x v="1"/>
    <x v="9"/>
    <n v="399"/>
    <n v="399"/>
    <n v="0"/>
    <n v="0"/>
    <n v="0"/>
    <n v="0"/>
    <n v="3"/>
    <x v="2"/>
    <n v="0"/>
    <n v="23"/>
    <n v="0"/>
    <n v="0"/>
    <n v="17.7408"/>
    <n v="0"/>
    <n v="0"/>
    <n v="19.152593624790423"/>
    <m/>
    <m/>
    <n v="7078.5792000000001"/>
    <n v="0"/>
    <n v="0"/>
    <n v="7641.884856291379"/>
    <n v="0"/>
    <n v="0"/>
  </r>
  <r>
    <s v="Regular"/>
    <x v="1"/>
    <x v="2"/>
    <x v="6"/>
    <x v="0"/>
    <x v="0"/>
    <x v="0"/>
    <x v="1"/>
    <x v="10"/>
    <n v="408"/>
    <n v="408"/>
    <n v="0"/>
    <n v="0"/>
    <n v="0"/>
    <n v="0"/>
    <n v="3"/>
    <x v="2"/>
    <n v="0"/>
    <n v="23"/>
    <n v="0"/>
    <n v="0"/>
    <n v="17.7408"/>
    <n v="0"/>
    <n v="0"/>
    <n v="19.152593624790423"/>
    <m/>
    <m/>
    <n v="7238.2464"/>
    <n v="0"/>
    <n v="0"/>
    <n v="7814.2581989144928"/>
    <n v="0"/>
    <n v="0"/>
  </r>
  <r>
    <s v="PROJETADO"/>
    <x v="1"/>
    <x v="2"/>
    <x v="6"/>
    <x v="0"/>
    <x v="0"/>
    <x v="0"/>
    <x v="1"/>
    <x v="11"/>
    <n v="408"/>
    <n v="408"/>
    <n v="0"/>
    <n v="0"/>
    <n v="0"/>
    <n v="0"/>
    <n v="3"/>
    <x v="2"/>
    <n v="0"/>
    <n v="23"/>
    <n v="0"/>
    <n v="0"/>
    <n v="17.7408"/>
    <n v="0"/>
    <n v="0"/>
    <n v="19.152593624790423"/>
    <m/>
    <m/>
    <n v="7238.2464"/>
    <n v="0"/>
    <n v="0"/>
    <n v="7814.2581989144928"/>
    <n v="0"/>
    <n v="0"/>
  </r>
  <r>
    <s v="Regular"/>
    <x v="1"/>
    <x v="2"/>
    <x v="6"/>
    <x v="0"/>
    <x v="0"/>
    <x v="0"/>
    <x v="2"/>
    <x v="0"/>
    <n v="0"/>
    <n v="0"/>
    <n v="7.9859999999999998"/>
    <n v="7.9859999999999998"/>
    <n v="7.9859999999999998"/>
    <n v="7.9859999999999998"/>
    <n v="0"/>
    <x v="2"/>
    <n v="0"/>
    <n v="0"/>
    <n v="24"/>
    <n v="67"/>
    <n v="0"/>
    <n v="906.05759999999987"/>
    <n v="351.93600000000004"/>
    <m/>
    <n v="998.79313482334726"/>
    <n v="399.42590391673639"/>
    <n v="0"/>
    <n v="7235.7759935999984"/>
    <n v="2810.5608960000004"/>
    <n v="0"/>
    <n v="7976.3619746992508"/>
    <n v="3189.8152686790568"/>
  </r>
  <r>
    <s v="Regular"/>
    <x v="1"/>
    <x v="2"/>
    <x v="6"/>
    <x v="0"/>
    <x v="0"/>
    <x v="0"/>
    <x v="2"/>
    <x v="1"/>
    <n v="0"/>
    <n v="0"/>
    <n v="9.5820000000000007"/>
    <n v="9.5820000000000007"/>
    <n v="9.5820000000000007"/>
    <n v="9.5820000000000007"/>
    <n v="0"/>
    <x v="2"/>
    <n v="0"/>
    <n v="0"/>
    <n v="24"/>
    <n v="67"/>
    <n v="0"/>
    <n v="906.05759999999987"/>
    <n v="351.93600000000004"/>
    <m/>
    <n v="998.79313482334726"/>
    <n v="399.42590391673639"/>
    <n v="0"/>
    <n v="8681.8439232000001"/>
    <n v="3372.2507520000004"/>
    <n v="0"/>
    <n v="9570.4358178773145"/>
    <n v="3827.2990113301685"/>
  </r>
  <r>
    <s v="Regular"/>
    <x v="1"/>
    <x v="2"/>
    <x v="6"/>
    <x v="0"/>
    <x v="0"/>
    <x v="0"/>
    <x v="2"/>
    <x v="2"/>
    <n v="0"/>
    <n v="0"/>
    <n v="8.8819999999999997"/>
    <n v="8.8819999999999997"/>
    <n v="8.8819999999999997"/>
    <n v="8.8819999999999997"/>
    <n v="0"/>
    <x v="2"/>
    <n v="0"/>
    <n v="0"/>
    <n v="24"/>
    <n v="67"/>
    <n v="0"/>
    <n v="906.05759999999987"/>
    <n v="351.93600000000004"/>
    <m/>
    <n v="998.79313482334726"/>
    <n v="399.42590391673639"/>
    <n v="0"/>
    <n v="8047.6036031999984"/>
    <n v="3125.8955520000004"/>
    <n v="0"/>
    <n v="8871.2806235009703"/>
    <n v="3547.7008785884523"/>
  </r>
  <r>
    <s v="Regular"/>
    <x v="1"/>
    <x v="2"/>
    <x v="6"/>
    <x v="0"/>
    <x v="0"/>
    <x v="0"/>
    <x v="2"/>
    <x v="3"/>
    <n v="0"/>
    <n v="0"/>
    <n v="8.9239999999999995"/>
    <n v="8.9239999999999995"/>
    <n v="8.9239999999999995"/>
    <n v="8.9239999999999995"/>
    <n v="0"/>
    <x v="2"/>
    <n v="0"/>
    <n v="0"/>
    <n v="24"/>
    <n v="67"/>
    <n v="0"/>
    <n v="906.05759999999987"/>
    <n v="351.93600000000004"/>
    <m/>
    <n v="998.79313482334726"/>
    <n v="399.42590391673639"/>
    <n v="0"/>
    <n v="8085.6580223999981"/>
    <n v="3140.676864"/>
    <n v="0"/>
    <n v="8913.2299351635502"/>
    <n v="3564.4767665529553"/>
  </r>
  <r>
    <s v="Regular"/>
    <x v="1"/>
    <x v="2"/>
    <x v="6"/>
    <x v="0"/>
    <x v="0"/>
    <x v="0"/>
    <x v="2"/>
    <x v="4"/>
    <n v="0"/>
    <n v="0"/>
    <n v="8.3420000000000005"/>
    <n v="8.3420000000000005"/>
    <n v="8.3420000000000005"/>
    <n v="8.3420000000000005"/>
    <n v="0"/>
    <x v="2"/>
    <n v="0"/>
    <n v="0"/>
    <n v="24"/>
    <n v="67"/>
    <n v="0"/>
    <n v="906.05759999999987"/>
    <n v="351.93600000000004"/>
    <m/>
    <n v="998.79313482334726"/>
    <n v="399.42590391673639"/>
    <n v="0"/>
    <n v="7558.3324991999998"/>
    <n v="2935.8501120000005"/>
    <n v="0"/>
    <n v="8331.9323306963634"/>
    <n v="3332.0108904734152"/>
  </r>
  <r>
    <s v="Regular"/>
    <x v="1"/>
    <x v="2"/>
    <x v="6"/>
    <x v="0"/>
    <x v="0"/>
    <x v="0"/>
    <x v="2"/>
    <x v="5"/>
    <n v="0"/>
    <n v="0"/>
    <n v="8.1620000000000008"/>
    <n v="8.1620000000000008"/>
    <n v="8.1620000000000008"/>
    <n v="8.1620000000000008"/>
    <n v="0"/>
    <x v="2"/>
    <n v="0"/>
    <n v="0"/>
    <n v="24"/>
    <n v="67"/>
    <n v="0"/>
    <n v="906.05759999999987"/>
    <n v="351.93600000000004"/>
    <m/>
    <n v="998.79313482334726"/>
    <n v="399.42590391673639"/>
    <n v="0"/>
    <n v="7395.2421311999997"/>
    <n v="2872.5016320000004"/>
    <n v="0"/>
    <n v="8152.1495664281611"/>
    <n v="3260.1142277684025"/>
  </r>
  <r>
    <s v="Regular"/>
    <x v="1"/>
    <x v="2"/>
    <x v="6"/>
    <x v="0"/>
    <x v="0"/>
    <x v="0"/>
    <x v="2"/>
    <x v="6"/>
    <n v="0"/>
    <n v="0"/>
    <n v="7.782"/>
    <n v="7.782"/>
    <n v="7.782"/>
    <n v="7.782"/>
    <n v="0"/>
    <x v="2"/>
    <n v="0"/>
    <n v="0"/>
    <n v="24"/>
    <n v="67"/>
    <n v="0"/>
    <n v="906.05759999999987"/>
    <n v="351.93600000000004"/>
    <m/>
    <n v="998.79313482334726"/>
    <n v="399.42590391673639"/>
    <n v="0"/>
    <n v="7050.9402431999988"/>
    <n v="2738.7659520000002"/>
    <n v="0"/>
    <n v="7772.6081751952888"/>
    <n v="3108.3323842800428"/>
  </r>
  <r>
    <s v="Regular"/>
    <x v="1"/>
    <x v="2"/>
    <x v="6"/>
    <x v="0"/>
    <x v="0"/>
    <x v="0"/>
    <x v="2"/>
    <x v="7"/>
    <n v="0"/>
    <n v="0"/>
    <n v="8.4819999999999993"/>
    <n v="8.4819999999999993"/>
    <n v="8.4819999999999993"/>
    <n v="8.4819999999999993"/>
    <n v="0"/>
    <x v="2"/>
    <n v="0"/>
    <n v="0"/>
    <n v="24"/>
    <n v="67"/>
    <n v="0"/>
    <n v="906.05759999999987"/>
    <n v="351.93600000000004"/>
    <m/>
    <n v="998.79313482334726"/>
    <n v="399.42590391673639"/>
    <n v="0"/>
    <n v="7685.1805631999987"/>
    <n v="2985.1211520000002"/>
    <n v="0"/>
    <n v="8471.7633695716304"/>
    <n v="3387.9305170217576"/>
  </r>
  <r>
    <s v="Regular"/>
    <x v="1"/>
    <x v="2"/>
    <x v="6"/>
    <x v="0"/>
    <x v="0"/>
    <x v="0"/>
    <x v="2"/>
    <x v="8"/>
    <n v="0"/>
    <n v="0"/>
    <n v="7.4420000000000002"/>
    <n v="7.4420000000000002"/>
    <n v="7.4420000000000002"/>
    <n v="7.4420000000000002"/>
    <n v="0"/>
    <x v="2"/>
    <n v="0"/>
    <n v="0"/>
    <n v="24"/>
    <n v="67"/>
    <n v="0"/>
    <n v="906.05759999999987"/>
    <n v="351.93600000000004"/>
    <m/>
    <n v="998.79313482334726"/>
    <n v="399.42590391673639"/>
    <n v="0"/>
    <n v="6742.8806591999992"/>
    <n v="2619.1077120000004"/>
    <n v="0"/>
    <n v="7433.01850935535"/>
    <n v="2972.5275769483524"/>
  </r>
  <r>
    <s v="Regular"/>
    <x v="1"/>
    <x v="2"/>
    <x v="6"/>
    <x v="0"/>
    <x v="0"/>
    <x v="0"/>
    <x v="2"/>
    <x v="9"/>
    <n v="0"/>
    <n v="0"/>
    <n v="6.782"/>
    <n v="6.782"/>
    <n v="6.782"/>
    <n v="6.782"/>
    <n v="0"/>
    <x v="2"/>
    <n v="0"/>
    <n v="0"/>
    <n v="24"/>
    <n v="67"/>
    <n v="0"/>
    <n v="906.05759999999987"/>
    <n v="351.93600000000004"/>
    <m/>
    <n v="998.79313482334726"/>
    <n v="399.42590391673639"/>
    <n v="0"/>
    <n v="6144.8826431999987"/>
    <n v="2386.829952"/>
    <n v="0"/>
    <n v="6773.815040371941"/>
    <n v="2708.9064803633064"/>
  </r>
  <r>
    <s v="Regular"/>
    <x v="1"/>
    <x v="2"/>
    <x v="6"/>
    <x v="0"/>
    <x v="0"/>
    <x v="0"/>
    <x v="2"/>
    <x v="10"/>
    <n v="0"/>
    <n v="0"/>
    <n v="9.6020000000000003"/>
    <n v="9.6020000000000003"/>
    <n v="9.6020000000000003"/>
    <n v="9.6020000000000003"/>
    <n v="0"/>
    <x v="2"/>
    <n v="0"/>
    <n v="0"/>
    <n v="24"/>
    <n v="67"/>
    <n v="0"/>
    <n v="906.05759999999987"/>
    <n v="351.93600000000004"/>
    <m/>
    <n v="998.79313482334726"/>
    <n v="399.42590391673639"/>
    <n v="0"/>
    <n v="8699.9650751999998"/>
    <n v="3379.2894720000004"/>
    <n v="0"/>
    <n v="9590.4116805737813"/>
    <n v="3835.2875294085029"/>
  </r>
  <r>
    <s v="PROJETADO"/>
    <x v="1"/>
    <x v="2"/>
    <x v="6"/>
    <x v="0"/>
    <x v="0"/>
    <x v="0"/>
    <x v="2"/>
    <x v="11"/>
    <n v="0"/>
    <n v="0"/>
    <n v="9.6020000000000003"/>
    <n v="9.6020000000000003"/>
    <n v="9.6020000000000003"/>
    <n v="9.6020000000000003"/>
    <n v="0"/>
    <x v="2"/>
    <n v="0"/>
    <n v="0"/>
    <n v="24"/>
    <n v="67"/>
    <n v="0"/>
    <n v="906.05759999999987"/>
    <n v="351.93600000000004"/>
    <m/>
    <n v="998.79313482334726"/>
    <n v="399.42590391673639"/>
    <n v="0"/>
    <n v="8699.9650751999998"/>
    <n v="3379.2894720000004"/>
    <n v="0"/>
    <n v="9590.4116805737813"/>
    <n v="3835.2875294085029"/>
  </r>
  <r>
    <s v="Regular"/>
    <x v="1"/>
    <x v="2"/>
    <x v="4"/>
    <x v="1"/>
    <x v="0"/>
    <x v="0"/>
    <x v="0"/>
    <x v="0"/>
    <n v="0"/>
    <n v="0"/>
    <n v="165.36600000000001"/>
    <n v="165.36600000000001"/>
    <n v="165.36600000000001"/>
    <n v="165.36600000000001"/>
    <n v="0"/>
    <x v="2"/>
    <n v="0"/>
    <n v="0"/>
    <n v="25"/>
    <n v="68"/>
    <n v="0"/>
    <n v="41.030999999999999"/>
    <n v="205.88819999999998"/>
    <m/>
    <n v="51.296287121598944"/>
    <n v="244.85930994519313"/>
    <n v="0"/>
    <n v="6785.1323460000003"/>
    <n v="34046.908081200003"/>
    <n v="0"/>
    <n v="8482.661816150332"/>
    <n v="40491.404648396812"/>
  </r>
  <r>
    <s v="Regular"/>
    <x v="1"/>
    <x v="2"/>
    <x v="4"/>
    <x v="1"/>
    <x v="0"/>
    <x v="0"/>
    <x v="0"/>
    <x v="1"/>
    <n v="0"/>
    <n v="0"/>
    <n v="182.43700000000001"/>
    <n v="182.43700000000001"/>
    <n v="182.43700000000001"/>
    <n v="182.43700000000001"/>
    <n v="0"/>
    <x v="2"/>
    <n v="0"/>
    <n v="0"/>
    <n v="25"/>
    <n v="68"/>
    <n v="0"/>
    <n v="41.030999999999999"/>
    <n v="205.88819999999998"/>
    <m/>
    <n v="51.296287121598944"/>
    <n v="244.85930994519313"/>
    <n v="0"/>
    <n v="7485.5725470000007"/>
    <n v="37561.625543399998"/>
    <n v="0"/>
    <n v="9358.3407336031469"/>
    <n v="44671.397928471204"/>
  </r>
  <r>
    <s v="Regular"/>
    <x v="1"/>
    <x v="2"/>
    <x v="4"/>
    <x v="1"/>
    <x v="0"/>
    <x v="0"/>
    <x v="0"/>
    <x v="2"/>
    <n v="0"/>
    <n v="0"/>
    <n v="187.5"/>
    <n v="187.5"/>
    <n v="187.5"/>
    <n v="187.5"/>
    <n v="0"/>
    <x v="2"/>
    <n v="0"/>
    <n v="0"/>
    <n v="25"/>
    <n v="68"/>
    <n v="0"/>
    <n v="41.030999999999999"/>
    <n v="205.88819999999998"/>
    <m/>
    <n v="51.296287121598944"/>
    <n v="244.85930994519313"/>
    <n v="0"/>
    <n v="7693.3125"/>
    <n v="38604.037499999999"/>
    <n v="0"/>
    <n v="9618.0538352998028"/>
    <n v="45911.12061472371"/>
  </r>
  <r>
    <s v="Regular"/>
    <x v="1"/>
    <x v="2"/>
    <x v="4"/>
    <x v="1"/>
    <x v="0"/>
    <x v="0"/>
    <x v="0"/>
    <x v="3"/>
    <n v="0"/>
    <n v="0"/>
    <n v="178.53899999999999"/>
    <n v="178.53899999999999"/>
    <n v="178.53899999999999"/>
    <n v="178.53899999999999"/>
    <n v="0"/>
    <x v="2"/>
    <n v="0"/>
    <n v="0"/>
    <n v="25"/>
    <n v="68"/>
    <n v="0"/>
    <n v="41.030999999999999"/>
    <n v="205.88819999999998"/>
    <m/>
    <n v="51.296287121598944"/>
    <n v="244.85930994519313"/>
    <n v="0"/>
    <n v="7325.6337089999988"/>
    <n v="36759.073339799994"/>
    <n v="0"/>
    <n v="9158.3878064031524"/>
    <n v="43716.936338304833"/>
  </r>
  <r>
    <s v="Regular"/>
    <x v="1"/>
    <x v="2"/>
    <x v="4"/>
    <x v="1"/>
    <x v="0"/>
    <x v="0"/>
    <x v="0"/>
    <x v="4"/>
    <n v="0"/>
    <n v="0"/>
    <n v="155.35400000000001"/>
    <n v="155.35400000000001"/>
    <n v="155.35400000000001"/>
    <n v="155.35400000000001"/>
    <n v="0"/>
    <x v="2"/>
    <n v="0"/>
    <n v="0"/>
    <n v="25"/>
    <n v="68"/>
    <n v="0"/>
    <n v="41.030999999999999"/>
    <n v="205.88819999999998"/>
    <m/>
    <n v="51.296287121598944"/>
    <n v="244.85930994519313"/>
    <n v="0"/>
    <n v="6374.3299740000002"/>
    <n v="31985.5554228"/>
    <n v="0"/>
    <n v="7969.0833894888829"/>
    <n v="38039.87323722554"/>
  </r>
  <r>
    <s v="Regular"/>
    <x v="1"/>
    <x v="2"/>
    <x v="4"/>
    <x v="1"/>
    <x v="0"/>
    <x v="0"/>
    <x v="0"/>
    <x v="5"/>
    <n v="0"/>
    <n v="0"/>
    <n v="177.529"/>
    <n v="177.529"/>
    <n v="177.529"/>
    <n v="177.529"/>
    <n v="0"/>
    <x v="2"/>
    <n v="0"/>
    <n v="0"/>
    <n v="25"/>
    <n v="68"/>
    <n v="0"/>
    <n v="41.030999999999999"/>
    <n v="205.88819999999998"/>
    <m/>
    <n v="51.296287121598944"/>
    <n v="244.85930994519313"/>
    <n v="0"/>
    <n v="7284.1923989999996"/>
    <n v="36551.126257799995"/>
    <n v="0"/>
    <n v="9106.5785564103389"/>
    <n v="43469.628435260194"/>
  </r>
  <r>
    <s v="Regular"/>
    <x v="1"/>
    <x v="2"/>
    <x v="4"/>
    <x v="1"/>
    <x v="0"/>
    <x v="0"/>
    <x v="0"/>
    <x v="6"/>
    <n v="0"/>
    <n v="0"/>
    <n v="175.899"/>
    <n v="175.899"/>
    <n v="175.899"/>
    <n v="175.899"/>
    <n v="0"/>
    <x v="2"/>
    <n v="0"/>
    <n v="0"/>
    <n v="25"/>
    <n v="68"/>
    <n v="0"/>
    <n v="41.030999999999999"/>
    <n v="205.88819999999998"/>
    <m/>
    <n v="51.296287121598944"/>
    <n v="244.85930994519313"/>
    <n v="0"/>
    <n v="7217.3118690000001"/>
    <n v="36215.528491799996"/>
    <n v="0"/>
    <n v="9022.9656084021335"/>
    <n v="43070.507760049528"/>
  </r>
  <r>
    <s v="Regular"/>
    <x v="1"/>
    <x v="2"/>
    <x v="4"/>
    <x v="1"/>
    <x v="0"/>
    <x v="0"/>
    <x v="0"/>
    <x v="7"/>
    <n v="0"/>
    <n v="0"/>
    <n v="169.065"/>
    <n v="169.065"/>
    <n v="169.065"/>
    <n v="169.065"/>
    <n v="0"/>
    <x v="2"/>
    <n v="0"/>
    <n v="0"/>
    <n v="25"/>
    <n v="68"/>
    <n v="0"/>
    <n v="41.030999999999999"/>
    <n v="205.88819999999998"/>
    <m/>
    <n v="51.296287121598944"/>
    <n v="244.85930994519313"/>
    <n v="0"/>
    <n v="6936.9060149999996"/>
    <n v="34808.488532999996"/>
    <n v="0"/>
    <n v="8672.4067822131256"/>
    <n v="41397.139235884075"/>
  </r>
  <r>
    <s v="Regular"/>
    <x v="1"/>
    <x v="2"/>
    <x v="4"/>
    <x v="1"/>
    <x v="0"/>
    <x v="0"/>
    <x v="0"/>
    <x v="8"/>
    <n v="0"/>
    <n v="0"/>
    <n v="150.64099999999999"/>
    <n v="150.64099999999999"/>
    <n v="150.64099999999999"/>
    <n v="150.64099999999999"/>
    <n v="0"/>
    <x v="2"/>
    <n v="0"/>
    <n v="0"/>
    <n v="25"/>
    <n v="68"/>
    <n v="0"/>
    <n v="41.030999999999999"/>
    <n v="205.88819999999998"/>
    <m/>
    <n v="51.296287121598944"/>
    <n v="244.85930994519313"/>
    <n v="0"/>
    <n v="6180.9508709999991"/>
    <n v="31015.204336199997"/>
    <n v="0"/>
    <n v="7727.3239882847856"/>
    <n v="36885.851309453836"/>
  </r>
  <r>
    <s v="Regular"/>
    <x v="1"/>
    <x v="2"/>
    <x v="4"/>
    <x v="1"/>
    <x v="0"/>
    <x v="0"/>
    <x v="0"/>
    <x v="9"/>
    <n v="0"/>
    <n v="0"/>
    <n v="152.87100000000001"/>
    <n v="152.87100000000001"/>
    <n v="152.87100000000001"/>
    <n v="152.87100000000001"/>
    <n v="0"/>
    <x v="2"/>
    <n v="0"/>
    <n v="0"/>
    <n v="25"/>
    <n v="68"/>
    <n v="0"/>
    <n v="41.030999999999999"/>
    <n v="205.88819999999998"/>
    <m/>
    <n v="51.296287121598944"/>
    <n v="244.85930994519313"/>
    <n v="0"/>
    <n v="6272.4500010000002"/>
    <n v="31474.335022200001"/>
    <n v="0"/>
    <n v="7841.7147085659526"/>
    <n v="37431.887570631625"/>
  </r>
  <r>
    <s v="Regular"/>
    <x v="1"/>
    <x v="2"/>
    <x v="4"/>
    <x v="1"/>
    <x v="0"/>
    <x v="0"/>
    <x v="0"/>
    <x v="10"/>
    <n v="0"/>
    <n v="0"/>
    <n v="174.13800000000001"/>
    <n v="174.13800000000001"/>
    <n v="174.13800000000001"/>
    <n v="174.13800000000001"/>
    <n v="0"/>
    <x v="2"/>
    <n v="0"/>
    <n v="0"/>
    <n v="25"/>
    <n v="68"/>
    <n v="0"/>
    <n v="41.030999999999999"/>
    <n v="205.88819999999998"/>
    <m/>
    <n v="51.296287121598944"/>
    <n v="244.85930994519313"/>
    <n v="0"/>
    <n v="7145.056278"/>
    <n v="35852.959371600002"/>
    <n v="0"/>
    <n v="8932.6328467809963"/>
    <n v="42639.310515236044"/>
  </r>
  <r>
    <s v="PROJETADO"/>
    <x v="1"/>
    <x v="2"/>
    <x v="4"/>
    <x v="1"/>
    <x v="0"/>
    <x v="0"/>
    <x v="0"/>
    <x v="11"/>
    <n v="0"/>
    <n v="0"/>
    <n v="174.13800000000001"/>
    <n v="174.13800000000001"/>
    <n v="174.13800000000001"/>
    <n v="174.13800000000001"/>
    <n v="0"/>
    <x v="2"/>
    <n v="0"/>
    <n v="0"/>
    <n v="25"/>
    <n v="68"/>
    <n v="0"/>
    <n v="41.030999999999999"/>
    <n v="205.88819999999998"/>
    <m/>
    <n v="51.296287121598944"/>
    <n v="244.85930994519313"/>
    <n v="0"/>
    <n v="7145.056278"/>
    <n v="35852.959371600002"/>
    <n v="0"/>
    <n v="8932.6328467809963"/>
    <n v="42639.310515236044"/>
  </r>
  <r>
    <s v="Regular"/>
    <x v="1"/>
    <x v="2"/>
    <x v="4"/>
    <x v="1"/>
    <x v="0"/>
    <x v="0"/>
    <x v="1"/>
    <x v="0"/>
    <n v="700"/>
    <n v="700"/>
    <n v="0"/>
    <n v="0"/>
    <n v="0"/>
    <n v="0"/>
    <n v="7"/>
    <x v="2"/>
    <n v="0"/>
    <n v="23"/>
    <n v="0"/>
    <n v="0"/>
    <n v="17.371199999999998"/>
    <n v="0"/>
    <n v="0"/>
    <n v="18.957158995966029"/>
    <m/>
    <m/>
    <n v="12159.839999999998"/>
    <n v="0"/>
    <n v="0"/>
    <n v="13270.011297176221"/>
    <n v="0"/>
    <n v="0"/>
  </r>
  <r>
    <s v="Regular"/>
    <x v="1"/>
    <x v="2"/>
    <x v="4"/>
    <x v="1"/>
    <x v="0"/>
    <x v="0"/>
    <x v="1"/>
    <x v="1"/>
    <n v="700"/>
    <n v="700"/>
    <n v="0"/>
    <n v="0"/>
    <n v="0"/>
    <n v="0"/>
    <n v="7"/>
    <x v="2"/>
    <n v="0"/>
    <n v="23"/>
    <n v="0"/>
    <n v="0"/>
    <n v="17.371199999999998"/>
    <n v="0"/>
    <n v="0"/>
    <n v="18.957158995966029"/>
    <m/>
    <m/>
    <n v="12159.839999999998"/>
    <n v="0"/>
    <n v="0"/>
    <n v="13270.011297176221"/>
    <n v="0"/>
    <n v="0"/>
  </r>
  <r>
    <s v="Regular"/>
    <x v="1"/>
    <x v="2"/>
    <x v="4"/>
    <x v="1"/>
    <x v="0"/>
    <x v="0"/>
    <x v="1"/>
    <x v="2"/>
    <n v="710"/>
    <n v="710"/>
    <n v="0"/>
    <n v="0"/>
    <n v="0"/>
    <n v="0"/>
    <n v="7"/>
    <x v="2"/>
    <n v="0"/>
    <n v="23"/>
    <n v="0"/>
    <n v="0"/>
    <n v="17.371199999999998"/>
    <n v="0"/>
    <n v="0"/>
    <n v="18.957158995966029"/>
    <m/>
    <m/>
    <n v="12333.551999999998"/>
    <n v="0"/>
    <n v="0"/>
    <n v="13459.582887135881"/>
    <n v="0"/>
    <n v="0"/>
  </r>
  <r>
    <s v="Regular"/>
    <x v="1"/>
    <x v="2"/>
    <x v="4"/>
    <x v="1"/>
    <x v="0"/>
    <x v="0"/>
    <x v="1"/>
    <x v="3"/>
    <n v="703"/>
    <n v="703"/>
    <n v="0"/>
    <n v="0"/>
    <n v="0"/>
    <n v="0"/>
    <n v="7"/>
    <x v="2"/>
    <n v="0"/>
    <n v="23"/>
    <n v="0"/>
    <n v="0"/>
    <n v="17.371199999999998"/>
    <n v="0"/>
    <n v="0"/>
    <n v="18.957158995966029"/>
    <m/>
    <m/>
    <n v="12211.953599999999"/>
    <n v="0"/>
    <n v="0"/>
    <n v="13326.882774164118"/>
    <n v="0"/>
    <n v="0"/>
  </r>
  <r>
    <s v="Regular"/>
    <x v="1"/>
    <x v="2"/>
    <x v="4"/>
    <x v="1"/>
    <x v="0"/>
    <x v="0"/>
    <x v="1"/>
    <x v="4"/>
    <n v="709"/>
    <n v="709"/>
    <n v="0"/>
    <n v="0"/>
    <n v="0"/>
    <n v="0"/>
    <n v="7"/>
    <x v="2"/>
    <n v="0"/>
    <n v="23"/>
    <n v="0"/>
    <n v="0"/>
    <n v="17.371199999999998"/>
    <n v="0"/>
    <n v="0"/>
    <n v="18.957158995966029"/>
    <m/>
    <m/>
    <n v="12316.180799999998"/>
    <n v="0"/>
    <n v="0"/>
    <n v="13440.625728139916"/>
    <n v="0"/>
    <n v="0"/>
  </r>
  <r>
    <s v="Regular"/>
    <x v="1"/>
    <x v="2"/>
    <x v="4"/>
    <x v="1"/>
    <x v="0"/>
    <x v="0"/>
    <x v="1"/>
    <x v="5"/>
    <n v="713"/>
    <n v="713"/>
    <n v="0"/>
    <n v="0"/>
    <n v="0"/>
    <n v="0"/>
    <n v="7"/>
    <x v="2"/>
    <n v="0"/>
    <n v="23"/>
    <n v="0"/>
    <n v="0"/>
    <n v="17.371199999999998"/>
    <n v="0"/>
    <n v="0"/>
    <n v="18.957158995966029"/>
    <m/>
    <m/>
    <n v="12385.665599999998"/>
    <n v="0"/>
    <n v="0"/>
    <n v="13516.45436412378"/>
    <n v="0"/>
    <n v="0"/>
  </r>
  <r>
    <s v="Regular"/>
    <x v="1"/>
    <x v="2"/>
    <x v="4"/>
    <x v="1"/>
    <x v="0"/>
    <x v="0"/>
    <x v="1"/>
    <x v="6"/>
    <n v="710"/>
    <n v="710"/>
    <n v="0"/>
    <n v="0"/>
    <n v="0"/>
    <n v="0"/>
    <n v="7"/>
    <x v="2"/>
    <n v="0"/>
    <n v="23"/>
    <n v="0"/>
    <n v="0"/>
    <n v="17.371199999999998"/>
    <n v="0"/>
    <n v="0"/>
    <n v="18.957158995966029"/>
    <m/>
    <m/>
    <n v="12333.551999999998"/>
    <n v="0"/>
    <n v="0"/>
    <n v="13459.582887135881"/>
    <n v="0"/>
    <n v="0"/>
  </r>
  <r>
    <s v="Regular"/>
    <x v="1"/>
    <x v="2"/>
    <x v="4"/>
    <x v="1"/>
    <x v="0"/>
    <x v="0"/>
    <x v="1"/>
    <x v="7"/>
    <n v="771"/>
    <n v="771"/>
    <n v="0"/>
    <n v="0"/>
    <n v="0"/>
    <n v="0"/>
    <n v="7"/>
    <x v="2"/>
    <n v="0"/>
    <n v="23"/>
    <n v="0"/>
    <n v="0"/>
    <n v="17.371199999999998"/>
    <n v="0"/>
    <n v="0"/>
    <n v="18.957158995966029"/>
    <m/>
    <m/>
    <n v="13393.195199999998"/>
    <n v="0"/>
    <n v="0"/>
    <n v="14615.969585889809"/>
    <n v="0"/>
    <n v="0"/>
  </r>
  <r>
    <s v="Regular"/>
    <x v="1"/>
    <x v="2"/>
    <x v="4"/>
    <x v="1"/>
    <x v="0"/>
    <x v="0"/>
    <x v="1"/>
    <x v="8"/>
    <n v="747"/>
    <n v="747"/>
    <n v="0"/>
    <n v="0"/>
    <n v="0"/>
    <n v="0"/>
    <n v="7"/>
    <x v="2"/>
    <n v="0"/>
    <n v="23"/>
    <n v="0"/>
    <n v="0"/>
    <n v="17.371199999999998"/>
    <n v="0"/>
    <n v="0"/>
    <n v="18.957158995966029"/>
    <m/>
    <m/>
    <n v="12976.286399999999"/>
    <n v="0"/>
    <n v="0"/>
    <n v="14160.997769986623"/>
    <n v="0"/>
    <n v="0"/>
  </r>
  <r>
    <s v="Regular"/>
    <x v="1"/>
    <x v="2"/>
    <x v="4"/>
    <x v="1"/>
    <x v="0"/>
    <x v="0"/>
    <x v="1"/>
    <x v="9"/>
    <n v="711"/>
    <n v="711"/>
    <n v="0"/>
    <n v="0"/>
    <n v="0"/>
    <n v="0"/>
    <n v="7"/>
    <x v="2"/>
    <n v="0"/>
    <n v="23"/>
    <n v="0"/>
    <n v="0"/>
    <n v="17.371199999999998"/>
    <n v="0"/>
    <n v="0"/>
    <n v="18.957158995966029"/>
    <m/>
    <m/>
    <n v="12350.923199999999"/>
    <n v="0"/>
    <n v="0"/>
    <n v="13478.540046131848"/>
    <n v="0"/>
    <n v="0"/>
  </r>
  <r>
    <s v="Regular"/>
    <x v="1"/>
    <x v="2"/>
    <x v="4"/>
    <x v="1"/>
    <x v="0"/>
    <x v="0"/>
    <x v="1"/>
    <x v="10"/>
    <n v="740"/>
    <n v="740"/>
    <n v="0"/>
    <n v="0"/>
    <n v="0"/>
    <n v="0"/>
    <n v="7"/>
    <x v="2"/>
    <n v="0"/>
    <n v="23"/>
    <n v="0"/>
    <n v="0"/>
    <n v="17.371199999999998"/>
    <n v="0"/>
    <n v="0"/>
    <n v="18.957158995966029"/>
    <m/>
    <m/>
    <n v="12854.687999999998"/>
    <n v="0"/>
    <n v="0"/>
    <n v="14028.297657014862"/>
    <n v="0"/>
    <n v="0"/>
  </r>
  <r>
    <s v="PROJETADO"/>
    <x v="1"/>
    <x v="2"/>
    <x v="4"/>
    <x v="1"/>
    <x v="0"/>
    <x v="0"/>
    <x v="1"/>
    <x v="11"/>
    <n v="740"/>
    <n v="740"/>
    <n v="0"/>
    <n v="0"/>
    <n v="0"/>
    <n v="0"/>
    <n v="7"/>
    <x v="2"/>
    <n v="0"/>
    <n v="23"/>
    <n v="0"/>
    <n v="0"/>
    <n v="17.371199999999998"/>
    <n v="0"/>
    <n v="0"/>
    <n v="18.957158995966029"/>
    <m/>
    <m/>
    <n v="12854.687999999998"/>
    <n v="0"/>
    <n v="0"/>
    <n v="14028.297657014862"/>
    <n v="0"/>
    <n v="0"/>
  </r>
  <r>
    <s v="Regular"/>
    <x v="1"/>
    <x v="2"/>
    <x v="4"/>
    <x v="1"/>
    <x v="0"/>
    <x v="0"/>
    <x v="2"/>
    <x v="0"/>
    <n v="0"/>
    <n v="0"/>
    <n v="16.684999999999999"/>
    <n v="16.684999999999999"/>
    <n v="16.684999999999999"/>
    <n v="16.684999999999999"/>
    <n v="0"/>
    <x v="2"/>
    <n v="0"/>
    <n v="0"/>
    <n v="24"/>
    <n v="67"/>
    <n v="0"/>
    <n v="887.18139999999994"/>
    <n v="344.60399999999998"/>
    <m/>
    <n v="988.60136814147631"/>
    <n v="395.35012938697378"/>
    <n v="0"/>
    <n v="14802.621658999999"/>
    <n v="5749.7177399999991"/>
    <n v="0"/>
    <n v="16494.813827440532"/>
    <n v="6596.4169088216568"/>
  </r>
  <r>
    <s v="Regular"/>
    <x v="1"/>
    <x v="2"/>
    <x v="4"/>
    <x v="1"/>
    <x v="0"/>
    <x v="0"/>
    <x v="2"/>
    <x v="1"/>
    <n v="0"/>
    <n v="0"/>
    <n v="18.707999999999998"/>
    <n v="18.707999999999998"/>
    <n v="18.707999999999998"/>
    <n v="18.707999999999998"/>
    <n v="0"/>
    <x v="2"/>
    <n v="0"/>
    <n v="0"/>
    <n v="24"/>
    <n v="67"/>
    <n v="0"/>
    <n v="887.18139999999994"/>
    <n v="344.60399999999998"/>
    <m/>
    <n v="988.60136814147631"/>
    <n v="395.35012938697378"/>
    <n v="0"/>
    <n v="16597.389631199996"/>
    <n v="6446.851631999999"/>
    <n v="0"/>
    <n v="18494.754395190736"/>
    <n v="7396.2102205715046"/>
  </r>
  <r>
    <s v="Regular"/>
    <x v="1"/>
    <x v="2"/>
    <x v="4"/>
    <x v="1"/>
    <x v="0"/>
    <x v="0"/>
    <x v="2"/>
    <x v="2"/>
    <n v="0"/>
    <n v="0"/>
    <n v="18.599"/>
    <n v="18.599"/>
    <n v="18.599"/>
    <n v="18.599"/>
    <n v="0"/>
    <x v="2"/>
    <n v="0"/>
    <n v="0"/>
    <n v="24"/>
    <n v="67"/>
    <n v="0"/>
    <n v="887.18139999999994"/>
    <n v="344.60399999999998"/>
    <m/>
    <n v="988.60136814147631"/>
    <n v="395.35012938697378"/>
    <n v="0"/>
    <n v="16500.686858599998"/>
    <n v="6409.289796"/>
    <n v="0"/>
    <n v="18386.996846063317"/>
    <n v="7353.1170564683252"/>
  </r>
  <r>
    <s v="Regular"/>
    <x v="1"/>
    <x v="2"/>
    <x v="4"/>
    <x v="1"/>
    <x v="0"/>
    <x v="0"/>
    <x v="2"/>
    <x v="3"/>
    <n v="0"/>
    <n v="0"/>
    <n v="18.626000000000001"/>
    <n v="18.626000000000001"/>
    <n v="18.626000000000001"/>
    <n v="18.626000000000001"/>
    <n v="0"/>
    <x v="2"/>
    <n v="0"/>
    <n v="0"/>
    <n v="24"/>
    <n v="67"/>
    <n v="0"/>
    <n v="887.18139999999994"/>
    <n v="344.60399999999998"/>
    <m/>
    <n v="988.60136814147631"/>
    <n v="395.35012938697378"/>
    <n v="0"/>
    <n v="16524.6407564"/>
    <n v="6418.5941039999998"/>
    <n v="0"/>
    <n v="18413.689083003141"/>
    <n v="7363.791509961774"/>
  </r>
  <r>
    <s v="Regular"/>
    <x v="1"/>
    <x v="2"/>
    <x v="4"/>
    <x v="1"/>
    <x v="0"/>
    <x v="0"/>
    <x v="2"/>
    <x v="4"/>
    <n v="0"/>
    <n v="0"/>
    <n v="18.396000000000001"/>
    <n v="18.396000000000001"/>
    <n v="18.396000000000001"/>
    <n v="18.396000000000001"/>
    <n v="0"/>
    <x v="2"/>
    <n v="0"/>
    <n v="0"/>
    <n v="24"/>
    <n v="67"/>
    <n v="0"/>
    <n v="887.18139999999994"/>
    <n v="344.60399999999998"/>
    <m/>
    <n v="988.60136814147631"/>
    <n v="395.35012938697378"/>
    <n v="0"/>
    <n v="16320.5890344"/>
    <n v="6339.3351839999996"/>
    <n v="0"/>
    <n v="18186.310768330601"/>
    <n v="7272.8609802027695"/>
  </r>
  <r>
    <s v="Regular"/>
    <x v="1"/>
    <x v="2"/>
    <x v="4"/>
    <x v="1"/>
    <x v="0"/>
    <x v="0"/>
    <x v="2"/>
    <x v="5"/>
    <n v="0"/>
    <n v="0"/>
    <n v="18.393999999999998"/>
    <n v="18.393999999999998"/>
    <n v="18.393999999999998"/>
    <n v="18.393999999999998"/>
    <n v="0"/>
    <x v="2"/>
    <n v="0"/>
    <n v="0"/>
    <n v="24"/>
    <n v="67"/>
    <n v="0"/>
    <n v="887.18139999999994"/>
    <n v="344.60399999999998"/>
    <m/>
    <n v="988.60136814147631"/>
    <n v="395.35012938697378"/>
    <n v="0"/>
    <n v="16318.814671599997"/>
    <n v="6338.6459759999989"/>
    <n v="0"/>
    <n v="18184.333565594312"/>
    <n v="7272.070279943995"/>
  </r>
  <r>
    <s v="Regular"/>
    <x v="1"/>
    <x v="2"/>
    <x v="4"/>
    <x v="1"/>
    <x v="0"/>
    <x v="0"/>
    <x v="2"/>
    <x v="6"/>
    <n v="0"/>
    <n v="0"/>
    <n v="19.405999999999999"/>
    <n v="19.405999999999999"/>
    <n v="19.405999999999999"/>
    <n v="19.405999999999999"/>
    <n v="0"/>
    <x v="2"/>
    <n v="0"/>
    <n v="0"/>
    <n v="24"/>
    <n v="67"/>
    <n v="0"/>
    <n v="887.18139999999994"/>
    <n v="344.60399999999998"/>
    <m/>
    <n v="988.60136814147631"/>
    <n v="395.35012938697378"/>
    <n v="0"/>
    <n v="17216.6422484"/>
    <n v="6687.3852239999997"/>
    <n v="0"/>
    <n v="19184.798150153489"/>
    <n v="7672.164610883613"/>
  </r>
  <r>
    <s v="Regular"/>
    <x v="1"/>
    <x v="2"/>
    <x v="4"/>
    <x v="1"/>
    <x v="0"/>
    <x v="0"/>
    <x v="2"/>
    <x v="7"/>
    <n v="0"/>
    <n v="0"/>
    <n v="18.053999999999998"/>
    <n v="18.053999999999998"/>
    <n v="18.053999999999998"/>
    <n v="18.053999999999998"/>
    <n v="0"/>
    <x v="2"/>
    <n v="0"/>
    <n v="0"/>
    <n v="24"/>
    <n v="67"/>
    <n v="0"/>
    <n v="887.18139999999994"/>
    <n v="344.60399999999998"/>
    <m/>
    <n v="988.60136814147631"/>
    <n v="395.35012938697378"/>
    <n v="0"/>
    <n v="16017.172995599998"/>
    <n v="6221.4806159999989"/>
    <n v="0"/>
    <n v="17848.209100426211"/>
    <n v="7137.651235952424"/>
  </r>
  <r>
    <s v="Regular"/>
    <x v="1"/>
    <x v="2"/>
    <x v="4"/>
    <x v="1"/>
    <x v="0"/>
    <x v="0"/>
    <x v="2"/>
    <x v="8"/>
    <n v="0"/>
    <n v="0"/>
    <n v="14.632999999999999"/>
    <n v="14.632999999999999"/>
    <n v="14.632999999999999"/>
    <n v="14.632999999999999"/>
    <n v="0"/>
    <x v="2"/>
    <n v="0"/>
    <n v="0"/>
    <n v="24"/>
    <n v="67"/>
    <n v="0"/>
    <n v="887.18139999999994"/>
    <n v="344.60399999999998"/>
    <m/>
    <n v="988.60136814147631"/>
    <n v="395.35012938697378"/>
    <n v="0"/>
    <n v="12982.125426199998"/>
    <n v="5042.5903319999998"/>
    <n v="0"/>
    <n v="14466.203820014221"/>
    <n v="5785.1584433195867"/>
  </r>
  <r>
    <s v="Regular"/>
    <x v="1"/>
    <x v="2"/>
    <x v="4"/>
    <x v="1"/>
    <x v="0"/>
    <x v="0"/>
    <x v="2"/>
    <x v="9"/>
    <n v="0"/>
    <n v="0"/>
    <n v="14.364000000000001"/>
    <n v="14.364000000000001"/>
    <n v="14.364000000000001"/>
    <n v="14.364000000000001"/>
    <n v="0"/>
    <x v="2"/>
    <n v="0"/>
    <n v="0"/>
    <n v="24"/>
    <n v="67"/>
    <n v="0"/>
    <n v="887.18139999999994"/>
    <n v="344.60399999999998"/>
    <m/>
    <n v="988.60136814147631"/>
    <n v="395.35012938697378"/>
    <n v="0"/>
    <n v="12743.473629599999"/>
    <n v="4949.8918560000002"/>
    <n v="0"/>
    <n v="14200.270051984167"/>
    <n v="5678.8092585144914"/>
  </r>
  <r>
    <s v="Regular"/>
    <x v="1"/>
    <x v="2"/>
    <x v="4"/>
    <x v="1"/>
    <x v="0"/>
    <x v="0"/>
    <x v="2"/>
    <x v="10"/>
    <n v="0"/>
    <n v="0"/>
    <n v="19.558"/>
    <n v="19.558"/>
    <n v="19.558"/>
    <n v="19.558"/>
    <n v="0"/>
    <x v="2"/>
    <n v="0"/>
    <n v="0"/>
    <n v="24"/>
    <n v="67"/>
    <n v="0"/>
    <n v="887.18139999999994"/>
    <n v="344.60399999999998"/>
    <m/>
    <n v="988.60136814147631"/>
    <n v="395.35012938697378"/>
    <n v="0"/>
    <n v="17351.493821199998"/>
    <n v="6739.7650319999993"/>
    <n v="0"/>
    <n v="19335.065558110993"/>
    <n v="7732.257830550433"/>
  </r>
  <r>
    <s v="PROJETADO"/>
    <x v="1"/>
    <x v="2"/>
    <x v="4"/>
    <x v="1"/>
    <x v="0"/>
    <x v="0"/>
    <x v="2"/>
    <x v="11"/>
    <n v="0"/>
    <n v="0"/>
    <n v="19.558"/>
    <n v="19.558"/>
    <n v="19.558"/>
    <n v="19.558"/>
    <n v="0"/>
    <x v="2"/>
    <n v="0"/>
    <n v="0"/>
    <n v="24"/>
    <n v="67"/>
    <n v="0"/>
    <n v="887.18139999999994"/>
    <n v="344.60399999999998"/>
    <m/>
    <n v="988.60136814147631"/>
    <n v="395.35012938697378"/>
    <n v="0"/>
    <n v="17351.493821199998"/>
    <n v="6739.7650319999993"/>
    <n v="0"/>
    <n v="19335.065558110993"/>
    <n v="7732.257830550433"/>
  </r>
  <r>
    <s v="Regular"/>
    <x v="2"/>
    <x v="3"/>
    <x v="7"/>
    <x v="2"/>
    <x v="0"/>
    <x v="0"/>
    <x v="0"/>
    <x v="0"/>
    <n v="0"/>
    <n v="0"/>
    <n v="6.6319999999999997"/>
    <n v="6.6319999999999997"/>
    <n v="6.6319999999999997"/>
    <n v="6.6319999999999997"/>
    <n v="0"/>
    <x v="2"/>
    <n v="0"/>
    <n v="0"/>
    <n v="16"/>
    <n v="72"/>
    <n v="0"/>
    <n v="204.7"/>
    <n v="219.03"/>
    <m/>
    <n v="226.67820170152285"/>
    <n v="252.43227829401354"/>
    <n v="0"/>
    <n v="1357.5703999999998"/>
    <n v="1452.6069599999998"/>
    <n v="0"/>
    <n v="1503.3298336844996"/>
    <n v="1674.1308696458977"/>
  </r>
  <r>
    <s v="Regular"/>
    <x v="2"/>
    <x v="3"/>
    <x v="7"/>
    <x v="2"/>
    <x v="0"/>
    <x v="0"/>
    <x v="0"/>
    <x v="1"/>
    <n v="0"/>
    <n v="0"/>
    <n v="7.2290000000000001"/>
    <n v="7.2290000000000001"/>
    <n v="7.2290000000000001"/>
    <n v="7.2290000000000001"/>
    <n v="0"/>
    <x v="2"/>
    <n v="0"/>
    <n v="0"/>
    <n v="16"/>
    <n v="72"/>
    <n v="0"/>
    <n v="204.7"/>
    <n v="219.03"/>
    <m/>
    <n v="226.67820170152285"/>
    <n v="252.43227829401354"/>
    <n v="0"/>
    <n v="1479.7763"/>
    <n v="1583.36787"/>
    <n v="0"/>
    <n v="1638.6567201003088"/>
    <n v="1824.8329397874238"/>
  </r>
  <r>
    <s v="Regular"/>
    <x v="2"/>
    <x v="3"/>
    <x v="7"/>
    <x v="2"/>
    <x v="0"/>
    <x v="0"/>
    <x v="0"/>
    <x v="2"/>
    <n v="0"/>
    <n v="0"/>
    <n v="7.3940000000000001"/>
    <n v="7.3940000000000001"/>
    <n v="7.3940000000000001"/>
    <n v="7.3940000000000001"/>
    <n v="0"/>
    <x v="2"/>
    <n v="0"/>
    <n v="0"/>
    <n v="16"/>
    <n v="72"/>
    <n v="0"/>
    <n v="204.7"/>
    <n v="219.03"/>
    <m/>
    <n v="226.67820170152285"/>
    <n v="252.43227829401354"/>
    <n v="0"/>
    <n v="1513.5518"/>
    <n v="1619.50782"/>
    <n v="0"/>
    <n v="1676.05862338106"/>
    <n v="1866.4842657059362"/>
  </r>
  <r>
    <s v="Refaturamento - Regular"/>
    <x v="2"/>
    <x v="3"/>
    <x v="7"/>
    <x v="2"/>
    <x v="0"/>
    <x v="0"/>
    <x v="0"/>
    <x v="2"/>
    <n v="0"/>
    <n v="0"/>
    <n v="-3.1059999999999999"/>
    <n v="-3.1059999999999999"/>
    <n v="-3.1059999999999999"/>
    <n v="-3.1059999999999999"/>
    <n v="0"/>
    <x v="2"/>
    <n v="0"/>
    <n v="0"/>
    <n v="16"/>
    <n v="72"/>
    <n v="0"/>
    <n v="204.7"/>
    <n v="219.03"/>
    <m/>
    <n v="226.67820170152285"/>
    <n v="252.43227829401354"/>
    <n v="0"/>
    <n v="-635.79819999999995"/>
    <n v="-680.30718000000002"/>
    <n v="0"/>
    <n v="-704.06249448492997"/>
    <n v="-784.05465638120609"/>
  </r>
  <r>
    <s v="Regular"/>
    <x v="2"/>
    <x v="3"/>
    <x v="7"/>
    <x v="2"/>
    <x v="0"/>
    <x v="0"/>
    <x v="0"/>
    <x v="3"/>
    <n v="0"/>
    <n v="0"/>
    <n v="7.01"/>
    <n v="7.01"/>
    <n v="7.01"/>
    <n v="7.01"/>
    <n v="0"/>
    <x v="2"/>
    <n v="0"/>
    <n v="0"/>
    <n v="16"/>
    <n v="72"/>
    <n v="0"/>
    <n v="204.7"/>
    <n v="219.03"/>
    <m/>
    <n v="226.67820170152285"/>
    <n v="252.43227829401354"/>
    <n v="0"/>
    <n v="1434.9469999999999"/>
    <n v="1535.4003"/>
    <n v="0"/>
    <n v="1589.0141939276753"/>
    <n v="1769.5502708410349"/>
  </r>
  <r>
    <s v="Regular"/>
    <x v="2"/>
    <x v="3"/>
    <x v="7"/>
    <x v="2"/>
    <x v="0"/>
    <x v="0"/>
    <x v="0"/>
    <x v="4"/>
    <n v="0"/>
    <n v="0"/>
    <n v="6.101"/>
    <n v="6.101"/>
    <n v="6.101"/>
    <n v="6.101"/>
    <n v="0"/>
    <x v="2"/>
    <n v="0"/>
    <n v="0"/>
    <n v="16"/>
    <n v="72"/>
    <n v="0"/>
    <n v="204.7"/>
    <n v="219.03"/>
    <m/>
    <n v="226.67820170152285"/>
    <n v="252.43227829401354"/>
    <n v="0"/>
    <n v="1248.8746999999998"/>
    <n v="1336.3020300000001"/>
    <n v="0"/>
    <n v="1382.9637085809909"/>
    <n v="1540.0893298717767"/>
  </r>
  <r>
    <s v="Regular"/>
    <x v="2"/>
    <x v="3"/>
    <x v="7"/>
    <x v="2"/>
    <x v="0"/>
    <x v="0"/>
    <x v="0"/>
    <x v="5"/>
    <n v="0"/>
    <n v="0"/>
    <n v="6.0250000000000004"/>
    <n v="6.0250000000000004"/>
    <n v="6.0250000000000004"/>
    <n v="6.0250000000000004"/>
    <n v="0"/>
    <x v="2"/>
    <n v="0"/>
    <n v="0"/>
    <n v="16"/>
    <n v="72"/>
    <n v="0"/>
    <n v="204.7"/>
    <n v="219.03"/>
    <m/>
    <n v="226.67820170152285"/>
    <n v="252.43227829401354"/>
    <n v="0"/>
    <n v="1233.3175000000001"/>
    <n v="1319.6557500000001"/>
    <n v="0"/>
    <n v="1365.7361652516752"/>
    <n v="1520.9044767214316"/>
  </r>
  <r>
    <s v="Regular"/>
    <x v="2"/>
    <x v="3"/>
    <x v="7"/>
    <x v="2"/>
    <x v="0"/>
    <x v="0"/>
    <x v="0"/>
    <x v="6"/>
    <n v="0"/>
    <n v="0"/>
    <n v="5.3410000000000002"/>
    <n v="5.3410000000000002"/>
    <n v="5.3410000000000002"/>
    <n v="5.3410000000000002"/>
    <n v="0"/>
    <x v="2"/>
    <n v="0"/>
    <n v="0"/>
    <n v="16"/>
    <n v="72"/>
    <n v="0"/>
    <n v="204.7"/>
    <n v="219.03"/>
    <m/>
    <n v="226.67820170152285"/>
    <n v="252.43227829401354"/>
    <n v="0"/>
    <n v="1093.3027"/>
    <n v="1169.83923"/>
    <n v="0"/>
    <n v="1210.6882752878337"/>
    <n v="1348.2407983683263"/>
  </r>
  <r>
    <s v="Regular"/>
    <x v="2"/>
    <x v="3"/>
    <x v="7"/>
    <x v="2"/>
    <x v="0"/>
    <x v="0"/>
    <x v="0"/>
    <x v="7"/>
    <n v="0"/>
    <n v="0"/>
    <n v="4.9790000000000001"/>
    <n v="4.9790000000000001"/>
    <n v="4.9790000000000001"/>
    <n v="4.9790000000000001"/>
    <n v="0"/>
    <x v="2"/>
    <n v="0"/>
    <n v="0"/>
    <n v="16"/>
    <n v="72"/>
    <n v="0"/>
    <n v="204.7"/>
    <n v="219.03"/>
    <m/>
    <n v="226.67820170152285"/>
    <n v="252.43227829401354"/>
    <n v="0"/>
    <n v="1019.2012999999999"/>
    <n v="1090.5503699999999"/>
    <n v="0"/>
    <n v="1128.6307662718823"/>
    <n v="1256.8603136258935"/>
  </r>
  <r>
    <s v="Regular"/>
    <x v="2"/>
    <x v="3"/>
    <x v="7"/>
    <x v="2"/>
    <x v="0"/>
    <x v="0"/>
    <x v="0"/>
    <x v="8"/>
    <n v="0"/>
    <n v="0"/>
    <n v="6.0339999999999998"/>
    <n v="6.0339999999999998"/>
    <n v="6.0339999999999998"/>
    <n v="6.0339999999999998"/>
    <n v="0"/>
    <x v="2"/>
    <n v="0"/>
    <n v="0"/>
    <n v="16"/>
    <n v="72"/>
    <n v="0"/>
    <n v="204.7"/>
    <n v="219.03"/>
    <m/>
    <n v="226.67820170152285"/>
    <n v="252.43227829401354"/>
    <n v="0"/>
    <n v="1235.1597999999999"/>
    <n v="1321.6270199999999"/>
    <n v="0"/>
    <n v="1367.7762690669888"/>
    <n v="1523.1763672260777"/>
  </r>
  <r>
    <s v="Regular"/>
    <x v="2"/>
    <x v="3"/>
    <x v="7"/>
    <x v="2"/>
    <x v="0"/>
    <x v="0"/>
    <x v="0"/>
    <x v="9"/>
    <n v="0"/>
    <n v="0"/>
    <n v="6.1790000000000003"/>
    <n v="6.1790000000000003"/>
    <n v="6.1790000000000003"/>
    <n v="6.1790000000000003"/>
    <n v="0"/>
    <x v="2"/>
    <n v="0"/>
    <n v="0"/>
    <n v="16"/>
    <n v="72"/>
    <n v="0"/>
    <n v="204.7"/>
    <n v="219.03"/>
    <m/>
    <n v="226.67820170152285"/>
    <n v="252.43227829401354"/>
    <n v="0"/>
    <n v="1264.8413"/>
    <n v="1353.3863700000002"/>
    <n v="0"/>
    <n v="1400.6446083137098"/>
    <n v="1559.7790475787097"/>
  </r>
  <r>
    <s v="Regular"/>
    <x v="2"/>
    <x v="3"/>
    <x v="7"/>
    <x v="2"/>
    <x v="0"/>
    <x v="0"/>
    <x v="0"/>
    <x v="10"/>
    <n v="0"/>
    <n v="0"/>
    <n v="6.6619999999999999"/>
    <n v="6.6619999999999999"/>
    <n v="6.6619999999999999"/>
    <n v="6.6619999999999999"/>
    <n v="0"/>
    <x v="2"/>
    <n v="0"/>
    <n v="0"/>
    <n v="16"/>
    <n v="72"/>
    <n v="0"/>
    <n v="204.7"/>
    <n v="219.03"/>
    <m/>
    <n v="226.67820170152285"/>
    <n v="252.43227829401354"/>
    <n v="0"/>
    <n v="1363.7113999999999"/>
    <n v="1459.17786"/>
    <n v="0"/>
    <n v="1510.1301797355452"/>
    <n v="1681.7038379947182"/>
  </r>
  <r>
    <s v="PROJETADO"/>
    <x v="2"/>
    <x v="3"/>
    <x v="7"/>
    <x v="2"/>
    <x v="0"/>
    <x v="0"/>
    <x v="0"/>
    <x v="11"/>
    <n v="0"/>
    <n v="0"/>
    <n v="6.6619999999999999"/>
    <n v="6.6619999999999999"/>
    <n v="6.6619999999999999"/>
    <n v="6.6619999999999999"/>
    <n v="0"/>
    <x v="2"/>
    <n v="0"/>
    <n v="0"/>
    <n v="16"/>
    <n v="72"/>
    <n v="0"/>
    <n v="204.7"/>
    <n v="219.03"/>
    <m/>
    <n v="226.67820170152285"/>
    <n v="252.43227829401354"/>
    <n v="0"/>
    <n v="1363.7113999999999"/>
    <n v="1459.17786"/>
    <n v="0"/>
    <n v="1510.1301797355452"/>
    <n v="1681.7038379947182"/>
  </r>
  <r>
    <s v="Regular"/>
    <x v="2"/>
    <x v="3"/>
    <x v="7"/>
    <x v="2"/>
    <x v="0"/>
    <x v="0"/>
    <x v="3"/>
    <x v="0"/>
    <n v="0"/>
    <n v="0"/>
    <n v="0.41499999999999998"/>
    <n v="0.41499999999999998"/>
    <n v="0.41499999999999998"/>
    <n v="0.41499999999999998"/>
    <n v="0"/>
    <x v="2"/>
    <n v="0"/>
    <n v="0"/>
    <n v="15"/>
    <n v="71"/>
    <n v="0"/>
    <n v="492.88"/>
    <n v="219.03"/>
    <m/>
    <n v="534.99658068679241"/>
    <n v="252.43227829401354"/>
    <n v="0"/>
    <n v="204.54519999999999"/>
    <n v="90.897449999999992"/>
    <n v="0"/>
    <n v="222.02358098501884"/>
    <n v="104.75939549201561"/>
  </r>
  <r>
    <s v="Regular"/>
    <x v="2"/>
    <x v="3"/>
    <x v="7"/>
    <x v="2"/>
    <x v="0"/>
    <x v="0"/>
    <x v="3"/>
    <x v="1"/>
    <n v="0"/>
    <n v="0"/>
    <n v="0.47099999999999997"/>
    <n v="0.47099999999999997"/>
    <n v="0.47099999999999997"/>
    <n v="0.47099999999999997"/>
    <n v="0"/>
    <x v="2"/>
    <n v="0"/>
    <n v="0"/>
    <n v="15"/>
    <n v="71"/>
    <n v="0"/>
    <n v="492.88"/>
    <n v="219.03"/>
    <m/>
    <n v="534.99658068679241"/>
    <n v="252.43227829401354"/>
    <n v="0"/>
    <n v="232.14648"/>
    <n v="103.16313"/>
    <n v="0"/>
    <n v="251.9833895034792"/>
    <n v="118.89560307648037"/>
  </r>
  <r>
    <s v="Regular"/>
    <x v="2"/>
    <x v="3"/>
    <x v="7"/>
    <x v="2"/>
    <x v="0"/>
    <x v="0"/>
    <x v="3"/>
    <x v="2"/>
    <n v="0"/>
    <n v="0"/>
    <n v="0.46400000000000002"/>
    <n v="0.46400000000000002"/>
    <n v="0.46400000000000002"/>
    <n v="0.46400000000000002"/>
    <n v="0"/>
    <x v="2"/>
    <n v="0"/>
    <n v="0"/>
    <n v="15"/>
    <n v="71"/>
    <n v="0"/>
    <n v="492.88"/>
    <n v="219.03"/>
    <m/>
    <n v="534.99658068679241"/>
    <n v="252.43227829401354"/>
    <n v="0"/>
    <n v="228.69632000000001"/>
    <n v="101.62992000000001"/>
    <n v="0"/>
    <n v="248.2384134386717"/>
    <n v="117.12857712842229"/>
  </r>
  <r>
    <s v="Refaturamento - Regular"/>
    <x v="2"/>
    <x v="3"/>
    <x v="7"/>
    <x v="2"/>
    <x v="0"/>
    <x v="0"/>
    <x v="3"/>
    <x v="2"/>
    <n v="0"/>
    <n v="0"/>
    <n v="-0.218"/>
    <n v="-0.218"/>
    <n v="-0.218"/>
    <n v="-0.218"/>
    <n v="0"/>
    <x v="2"/>
    <n v="0"/>
    <n v="0"/>
    <n v="15"/>
    <n v="71"/>
    <n v="0"/>
    <n v="492.88"/>
    <n v="219.03"/>
    <m/>
    <n v="534.99658068679241"/>
    <n v="252.43227829401354"/>
    <n v="0"/>
    <n v="-107.44784"/>
    <n v="-47.748539999999998"/>
    <n v="0"/>
    <n v="-116.62925458972074"/>
    <n v="-55.03023666809495"/>
  </r>
  <r>
    <s v="Regular"/>
    <x v="2"/>
    <x v="3"/>
    <x v="7"/>
    <x v="2"/>
    <x v="0"/>
    <x v="0"/>
    <x v="3"/>
    <x v="3"/>
    <n v="0"/>
    <n v="0"/>
    <n v="0.42599999999999999"/>
    <n v="0.42599999999999999"/>
    <n v="0.42599999999999999"/>
    <n v="0.42599999999999999"/>
    <n v="0"/>
    <x v="2"/>
    <n v="0"/>
    <n v="0"/>
    <n v="15"/>
    <n v="71"/>
    <n v="0"/>
    <n v="492.88"/>
    <n v="219.03"/>
    <m/>
    <n v="534.99658068679241"/>
    <n v="252.43227829401354"/>
    <n v="0"/>
    <n v="209.96688"/>
    <n v="93.306780000000003"/>
    <n v="0"/>
    <n v="227.90854337257358"/>
    <n v="107.53615055324977"/>
  </r>
  <r>
    <s v="Regular"/>
    <x v="2"/>
    <x v="3"/>
    <x v="7"/>
    <x v="2"/>
    <x v="0"/>
    <x v="0"/>
    <x v="3"/>
    <x v="4"/>
    <n v="0"/>
    <n v="0"/>
    <n v="0.40200000000000002"/>
    <n v="0.40200000000000002"/>
    <n v="0.40200000000000002"/>
    <n v="0.40200000000000002"/>
    <n v="0"/>
    <x v="2"/>
    <n v="0"/>
    <n v="0"/>
    <n v="15"/>
    <n v="71"/>
    <n v="0"/>
    <n v="492.88"/>
    <n v="219.03"/>
    <m/>
    <n v="534.99658068679241"/>
    <n v="252.43227829401354"/>
    <n v="0"/>
    <n v="198.13776000000001"/>
    <n v="88.050060000000002"/>
    <n v="0"/>
    <n v="215.06862543609057"/>
    <n v="101.47777587419345"/>
  </r>
  <r>
    <s v="Regular"/>
    <x v="2"/>
    <x v="3"/>
    <x v="7"/>
    <x v="2"/>
    <x v="0"/>
    <x v="0"/>
    <x v="3"/>
    <x v="5"/>
    <n v="0"/>
    <n v="0"/>
    <n v="0.40400000000000003"/>
    <n v="0.40400000000000003"/>
    <n v="0.40400000000000003"/>
    <n v="0.40400000000000003"/>
    <n v="0"/>
    <x v="2"/>
    <n v="0"/>
    <n v="0"/>
    <n v="15"/>
    <n v="71"/>
    <n v="0"/>
    <n v="492.88"/>
    <n v="219.03"/>
    <m/>
    <n v="534.99658068679241"/>
    <n v="252.43227829401354"/>
    <n v="0"/>
    <n v="199.12352000000001"/>
    <n v="88.488120000000009"/>
    <n v="0"/>
    <n v="216.13861859746416"/>
    <n v="101.98264043078147"/>
  </r>
  <r>
    <s v="Regular"/>
    <x v="2"/>
    <x v="3"/>
    <x v="7"/>
    <x v="2"/>
    <x v="0"/>
    <x v="0"/>
    <x v="3"/>
    <x v="6"/>
    <n v="0"/>
    <n v="0"/>
    <n v="0.34399999999999997"/>
    <n v="0.34399999999999997"/>
    <n v="0.34399999999999997"/>
    <n v="0.34399999999999997"/>
    <n v="0"/>
    <x v="2"/>
    <n v="0"/>
    <n v="0"/>
    <n v="15"/>
    <n v="71"/>
    <n v="0"/>
    <n v="492.88"/>
    <n v="219.03"/>
    <m/>
    <n v="534.99658068679241"/>
    <n v="252.43227829401354"/>
    <n v="0"/>
    <n v="169.55071999999998"/>
    <n v="75.346319999999992"/>
    <n v="0"/>
    <n v="184.03882375625656"/>
    <n v="86.836703733140652"/>
  </r>
  <r>
    <s v="Regular"/>
    <x v="2"/>
    <x v="3"/>
    <x v="7"/>
    <x v="2"/>
    <x v="0"/>
    <x v="0"/>
    <x v="3"/>
    <x v="7"/>
    <n v="0"/>
    <n v="0"/>
    <n v="0.308"/>
    <n v="0.308"/>
    <n v="0.308"/>
    <n v="0.308"/>
    <n v="0"/>
    <x v="2"/>
    <n v="0"/>
    <n v="0"/>
    <n v="15"/>
    <n v="71"/>
    <n v="0"/>
    <n v="492.88"/>
    <n v="219.03"/>
    <m/>
    <n v="534.99658068679241"/>
    <n v="252.43227829401354"/>
    <n v="0"/>
    <n v="151.80704"/>
    <n v="67.461240000000004"/>
    <n v="0"/>
    <n v="164.77894685153206"/>
    <n v="77.749141714556174"/>
  </r>
  <r>
    <s v="Regular"/>
    <x v="2"/>
    <x v="3"/>
    <x v="7"/>
    <x v="2"/>
    <x v="0"/>
    <x v="0"/>
    <x v="3"/>
    <x v="8"/>
    <n v="0"/>
    <n v="0"/>
    <n v="0.38400000000000001"/>
    <n v="0.38400000000000001"/>
    <n v="0.38400000000000001"/>
    <n v="0.38400000000000001"/>
    <n v="0"/>
    <x v="2"/>
    <n v="0"/>
    <n v="0"/>
    <n v="15"/>
    <n v="71"/>
    <n v="0"/>
    <n v="492.88"/>
    <n v="219.03"/>
    <m/>
    <n v="534.99658068679241"/>
    <n v="252.43227829401354"/>
    <n v="0"/>
    <n v="189.26591999999999"/>
    <n v="84.107520000000008"/>
    <n v="0"/>
    <n v="205.4386869837283"/>
    <n v="96.933994864901209"/>
  </r>
  <r>
    <s v="Regular"/>
    <x v="2"/>
    <x v="3"/>
    <x v="7"/>
    <x v="2"/>
    <x v="0"/>
    <x v="0"/>
    <x v="3"/>
    <x v="9"/>
    <n v="0"/>
    <n v="0"/>
    <n v="0.38"/>
    <n v="0.38"/>
    <n v="0.38"/>
    <n v="0.38"/>
    <n v="0"/>
    <x v="2"/>
    <n v="0"/>
    <n v="0"/>
    <n v="15"/>
    <n v="71"/>
    <n v="0"/>
    <n v="492.88"/>
    <n v="219.03"/>
    <m/>
    <n v="534.99658068679241"/>
    <n v="252.43227829401354"/>
    <n v="0"/>
    <n v="187.2944"/>
    <n v="83.231400000000008"/>
    <n v="0"/>
    <n v="203.29870066098113"/>
    <n v="95.924265751725144"/>
  </r>
  <r>
    <s v="Regular"/>
    <x v="2"/>
    <x v="3"/>
    <x v="7"/>
    <x v="2"/>
    <x v="0"/>
    <x v="0"/>
    <x v="3"/>
    <x v="10"/>
    <n v="0"/>
    <n v="0"/>
    <n v="0.41499999999999998"/>
    <n v="0.41499999999999998"/>
    <n v="0.41499999999999998"/>
    <n v="0.41499999999999998"/>
    <n v="0"/>
    <x v="2"/>
    <n v="0"/>
    <n v="0"/>
    <n v="15"/>
    <n v="71"/>
    <n v="0"/>
    <n v="492.88"/>
    <n v="219.03"/>
    <m/>
    <n v="534.99658068679241"/>
    <n v="252.43227829401354"/>
    <n v="0"/>
    <n v="204.54519999999999"/>
    <n v="90.897449999999992"/>
    <n v="0"/>
    <n v="222.02358098501884"/>
    <n v="104.75939549201561"/>
  </r>
  <r>
    <s v="PROJETADO"/>
    <x v="2"/>
    <x v="3"/>
    <x v="7"/>
    <x v="2"/>
    <x v="0"/>
    <x v="0"/>
    <x v="3"/>
    <x v="11"/>
    <n v="0"/>
    <n v="0"/>
    <n v="0.41499999999999998"/>
    <n v="0.41499999999999998"/>
    <n v="0.41499999999999998"/>
    <n v="0.41499999999999998"/>
    <n v="0"/>
    <x v="2"/>
    <n v="0"/>
    <n v="0"/>
    <n v="15"/>
    <n v="71"/>
    <n v="0"/>
    <n v="492.88"/>
    <n v="219.03"/>
    <m/>
    <n v="534.99658068679241"/>
    <n v="252.43227829401354"/>
    <n v="0"/>
    <n v="204.54519999999999"/>
    <n v="90.897449999999992"/>
    <n v="0"/>
    <n v="222.02358098501884"/>
    <n v="104.75939549201561"/>
  </r>
  <r>
    <s v="Regular"/>
    <x v="2"/>
    <x v="3"/>
    <x v="7"/>
    <x v="2"/>
    <x v="0"/>
    <x v="0"/>
    <x v="2"/>
    <x v="0"/>
    <n v="0"/>
    <n v="0"/>
    <n v="0.63500000000000001"/>
    <n v="0.63500000000000001"/>
    <n v="0.63500000000000001"/>
    <n v="0.63500000000000001"/>
    <n v="0"/>
    <x v="2"/>
    <n v="0"/>
    <n v="0"/>
    <n v="14"/>
    <n v="70"/>
    <n v="0"/>
    <n v="781.06"/>
    <n v="366.6"/>
    <m/>
    <n v="843.31516143539363"/>
    <n v="407.57745297626161"/>
    <n v="0"/>
    <n v="495.97309999999999"/>
    <n v="232.79100000000003"/>
    <n v="0"/>
    <n v="535.50512751147494"/>
    <n v="258.81168263992612"/>
  </r>
  <r>
    <s v="Regular"/>
    <x v="2"/>
    <x v="3"/>
    <x v="7"/>
    <x v="2"/>
    <x v="0"/>
    <x v="0"/>
    <x v="2"/>
    <x v="1"/>
    <n v="0"/>
    <n v="0"/>
    <n v="0.71899999999999997"/>
    <n v="0.71899999999999997"/>
    <n v="0.71899999999999997"/>
    <n v="0.71899999999999997"/>
    <n v="0"/>
    <x v="2"/>
    <n v="0"/>
    <n v="0"/>
    <n v="14"/>
    <n v="70"/>
    <n v="0"/>
    <n v="781.06"/>
    <n v="366.6"/>
    <m/>
    <n v="843.31516143539363"/>
    <n v="407.57745297626161"/>
    <n v="0"/>
    <n v="561.58213999999998"/>
    <n v="263.58539999999999"/>
    <n v="0"/>
    <n v="606.34360107204805"/>
    <n v="293.04818868993209"/>
  </r>
  <r>
    <s v="Regular"/>
    <x v="2"/>
    <x v="3"/>
    <x v="7"/>
    <x v="2"/>
    <x v="0"/>
    <x v="0"/>
    <x v="2"/>
    <x v="2"/>
    <n v="0"/>
    <n v="0"/>
    <n v="0.71699999999999997"/>
    <n v="0.71699999999999997"/>
    <n v="0.71699999999999997"/>
    <n v="0.71699999999999997"/>
    <n v="0"/>
    <x v="2"/>
    <n v="0"/>
    <n v="0"/>
    <n v="14"/>
    <n v="70"/>
    <n v="0"/>
    <n v="781.06"/>
    <n v="366.6"/>
    <m/>
    <n v="843.31516143539363"/>
    <n v="407.57745297626161"/>
    <n v="0"/>
    <n v="560.02001999999993"/>
    <n v="262.85219999999998"/>
    <n v="0"/>
    <n v="604.65697074917716"/>
    <n v="292.23303378397958"/>
  </r>
  <r>
    <s v="Refaturamento - Regular"/>
    <x v="2"/>
    <x v="3"/>
    <x v="7"/>
    <x v="2"/>
    <x v="0"/>
    <x v="0"/>
    <x v="2"/>
    <x v="2"/>
    <n v="0"/>
    <n v="0"/>
    <n v="-0.36899999999999999"/>
    <n v="-0.36899999999999999"/>
    <n v="-0.36899999999999999"/>
    <n v="-0.36899999999999999"/>
    <n v="0"/>
    <x v="2"/>
    <n v="0"/>
    <n v="0"/>
    <n v="14"/>
    <n v="70"/>
    <n v="0"/>
    <n v="781.06"/>
    <n v="366.6"/>
    <m/>
    <n v="843.31516143539363"/>
    <n v="407.57745297626161"/>
    <n v="0"/>
    <n v="-288.21114"/>
    <n v="-135.27540000000002"/>
    <n v="0"/>
    <n v="-311.18329456966023"/>
    <n v="-150.39608014824054"/>
  </r>
  <r>
    <s v="Regular"/>
    <x v="2"/>
    <x v="3"/>
    <x v="7"/>
    <x v="2"/>
    <x v="0"/>
    <x v="0"/>
    <x v="2"/>
    <x v="3"/>
    <n v="0"/>
    <n v="0"/>
    <n v="0.69099999999999995"/>
    <n v="0.69099999999999995"/>
    <n v="0.69099999999999995"/>
    <n v="0.69099999999999995"/>
    <n v="0"/>
    <x v="2"/>
    <n v="0"/>
    <n v="0"/>
    <n v="14"/>
    <n v="70"/>
    <n v="0"/>
    <n v="781.06"/>
    <n v="366.6"/>
    <m/>
    <n v="843.31516143539363"/>
    <n v="407.57745297626161"/>
    <n v="0"/>
    <n v="539.71245999999996"/>
    <n v="253.32059999999998"/>
    <n v="0"/>
    <n v="582.73077655185693"/>
    <n v="281.63602000659677"/>
  </r>
  <r>
    <s v="Regular"/>
    <x v="2"/>
    <x v="3"/>
    <x v="7"/>
    <x v="2"/>
    <x v="0"/>
    <x v="0"/>
    <x v="2"/>
    <x v="4"/>
    <n v="0"/>
    <n v="0"/>
    <n v="0.65400000000000003"/>
    <n v="0.65400000000000003"/>
    <n v="0.65400000000000003"/>
    <n v="0.65400000000000003"/>
    <n v="0"/>
    <x v="2"/>
    <n v="0"/>
    <n v="0"/>
    <n v="14"/>
    <n v="70"/>
    <n v="0"/>
    <n v="781.06"/>
    <n v="366.6"/>
    <m/>
    <n v="843.31516143539363"/>
    <n v="407.57745297626161"/>
    <n v="0"/>
    <n v="510.81324000000001"/>
    <n v="239.75640000000001"/>
    <n v="0"/>
    <n v="551.52811557874747"/>
    <n v="266.55565424647511"/>
  </r>
  <r>
    <s v="Regular"/>
    <x v="2"/>
    <x v="3"/>
    <x v="7"/>
    <x v="2"/>
    <x v="0"/>
    <x v="0"/>
    <x v="2"/>
    <x v="5"/>
    <n v="0"/>
    <n v="0"/>
    <n v="0.65400000000000003"/>
    <n v="0.65400000000000003"/>
    <n v="0.65400000000000003"/>
    <n v="0.65400000000000003"/>
    <n v="0"/>
    <x v="2"/>
    <n v="0"/>
    <n v="0"/>
    <n v="14"/>
    <n v="70"/>
    <n v="0"/>
    <n v="781.06"/>
    <n v="366.6"/>
    <m/>
    <n v="843.31516143539363"/>
    <n v="407.57745297626161"/>
    <n v="0"/>
    <n v="510.81324000000001"/>
    <n v="239.75640000000001"/>
    <n v="0"/>
    <n v="551.52811557874747"/>
    <n v="266.55565424647511"/>
  </r>
  <r>
    <s v="Regular"/>
    <x v="2"/>
    <x v="3"/>
    <x v="7"/>
    <x v="2"/>
    <x v="0"/>
    <x v="0"/>
    <x v="2"/>
    <x v="6"/>
    <n v="0"/>
    <n v="0"/>
    <n v="0.55800000000000005"/>
    <n v="0.55800000000000005"/>
    <n v="0.55800000000000005"/>
    <n v="0.55800000000000005"/>
    <n v="0"/>
    <x v="2"/>
    <n v="0"/>
    <n v="0"/>
    <n v="14"/>
    <n v="70"/>
    <n v="0"/>
    <n v="781.06"/>
    <n v="366.6"/>
    <m/>
    <n v="843.31516143539363"/>
    <n v="407.57745297626161"/>
    <n v="0"/>
    <n v="435.83148"/>
    <n v="204.56280000000004"/>
    <n v="0"/>
    <n v="470.5698600809497"/>
    <n v="227.42821876075399"/>
  </r>
  <r>
    <s v="Regular"/>
    <x v="2"/>
    <x v="3"/>
    <x v="7"/>
    <x v="2"/>
    <x v="0"/>
    <x v="0"/>
    <x v="2"/>
    <x v="7"/>
    <n v="0"/>
    <n v="0"/>
    <n v="0.48199999999999998"/>
    <n v="0.48199999999999998"/>
    <n v="0.48199999999999998"/>
    <n v="0.48199999999999998"/>
    <n v="0"/>
    <x v="2"/>
    <n v="0"/>
    <n v="0"/>
    <n v="14"/>
    <n v="70"/>
    <n v="0"/>
    <n v="781.06"/>
    <n v="366.6"/>
    <m/>
    <n v="843.31516143539363"/>
    <n v="407.57745297626161"/>
    <n v="0"/>
    <n v="376.47091999999998"/>
    <n v="176.7012"/>
    <n v="0"/>
    <n v="406.47790781185972"/>
    <n v="196.45233233455809"/>
  </r>
  <r>
    <s v="Regular"/>
    <x v="2"/>
    <x v="3"/>
    <x v="7"/>
    <x v="2"/>
    <x v="0"/>
    <x v="0"/>
    <x v="2"/>
    <x v="8"/>
    <n v="0"/>
    <n v="0"/>
    <n v="0.53300000000000003"/>
    <n v="0.53300000000000003"/>
    <n v="0.53300000000000003"/>
    <n v="0.53300000000000003"/>
    <n v="0"/>
    <x v="2"/>
    <n v="0"/>
    <n v="0"/>
    <n v="14"/>
    <n v="70"/>
    <n v="0"/>
    <n v="781.06"/>
    <n v="366.6"/>
    <m/>
    <n v="843.31516143539363"/>
    <n v="407.57745297626161"/>
    <n v="0"/>
    <n v="416.30498"/>
    <n v="195.39780000000002"/>
    <n v="0"/>
    <n v="449.48698104506485"/>
    <n v="217.23878243634746"/>
  </r>
  <r>
    <s v="Regular"/>
    <x v="2"/>
    <x v="3"/>
    <x v="7"/>
    <x v="2"/>
    <x v="0"/>
    <x v="0"/>
    <x v="2"/>
    <x v="9"/>
    <n v="0"/>
    <n v="0"/>
    <n v="0.51600000000000001"/>
    <n v="0.51600000000000001"/>
    <n v="0.51600000000000001"/>
    <n v="0.51600000000000001"/>
    <n v="0"/>
    <x v="2"/>
    <n v="0"/>
    <n v="0"/>
    <n v="14"/>
    <n v="70"/>
    <n v="0"/>
    <n v="781.06"/>
    <n v="366.6"/>
    <m/>
    <n v="843.31516143539363"/>
    <n v="407.57745297626161"/>
    <n v="0"/>
    <n v="403.02695999999997"/>
    <n v="189.16560000000001"/>
    <n v="0"/>
    <n v="435.15062330066314"/>
    <n v="210.30996573575101"/>
  </r>
  <r>
    <s v="Regular"/>
    <x v="2"/>
    <x v="3"/>
    <x v="7"/>
    <x v="2"/>
    <x v="0"/>
    <x v="0"/>
    <x v="2"/>
    <x v="10"/>
    <n v="0"/>
    <n v="0"/>
    <n v="0.56799999999999995"/>
    <n v="0.56799999999999995"/>
    <n v="0.56799999999999995"/>
    <n v="0.56799999999999995"/>
    <n v="0"/>
    <x v="2"/>
    <n v="0"/>
    <n v="0"/>
    <n v="14"/>
    <n v="70"/>
    <n v="0"/>
    <n v="781.06"/>
    <n v="366.6"/>
    <m/>
    <n v="843.31516143539363"/>
    <n v="407.57745297626161"/>
    <n v="0"/>
    <n v="443.64207999999991"/>
    <n v="208.22880000000001"/>
    <n v="0"/>
    <n v="479.00301169530354"/>
    <n v="231.50399329051658"/>
  </r>
  <r>
    <s v="PROJETADO"/>
    <x v="2"/>
    <x v="3"/>
    <x v="7"/>
    <x v="2"/>
    <x v="0"/>
    <x v="0"/>
    <x v="2"/>
    <x v="11"/>
    <n v="0"/>
    <n v="0"/>
    <n v="0.56799999999999995"/>
    <n v="0.56799999999999995"/>
    <n v="0.56799999999999995"/>
    <n v="0.56799999999999995"/>
    <n v="0"/>
    <x v="2"/>
    <n v="0"/>
    <n v="0"/>
    <n v="14"/>
    <n v="70"/>
    <n v="0"/>
    <n v="781.06"/>
    <n v="366.6"/>
    <m/>
    <n v="843.31516143539363"/>
    <n v="407.57745297626161"/>
    <n v="0"/>
    <n v="443.64207999999991"/>
    <n v="208.22880000000001"/>
    <n v="0"/>
    <n v="479.00301169530354"/>
    <n v="231.50399329051658"/>
  </r>
  <r>
    <s v="Regular"/>
    <x v="2"/>
    <x v="4"/>
    <x v="7"/>
    <x v="2"/>
    <x v="0"/>
    <x v="0"/>
    <x v="1"/>
    <x v="0"/>
    <n v="0"/>
    <n v="0"/>
    <n v="17718.171999999999"/>
    <n v="17718.171999999999"/>
    <n v="17718.171999999999"/>
    <n v="17718.171999999999"/>
    <n v="136517"/>
    <x v="2"/>
    <n v="0"/>
    <n v="0"/>
    <n v="17"/>
    <n v="73"/>
    <n v="0"/>
    <n v="285.75"/>
    <n v="231.33"/>
    <m/>
    <n v="313.39259123109559"/>
    <n v="265.36104285086753"/>
    <n v="0"/>
    <n v="5062967.6489999993"/>
    <n v="4098744.7287599999"/>
    <n v="0"/>
    <n v="5552743.8349582432"/>
    <n v="4701712.5993310409"/>
  </r>
  <r>
    <s v="Refaturamento - Regular"/>
    <x v="2"/>
    <x v="4"/>
    <x v="7"/>
    <x v="2"/>
    <x v="0"/>
    <x v="0"/>
    <x v="1"/>
    <x v="0"/>
    <n v="0"/>
    <n v="0"/>
    <n v="-8.2080000000000002"/>
    <n v="-8.2080000000000002"/>
    <n v="-8.2080000000000002"/>
    <n v="-8.2080000000000002"/>
    <n v="-13"/>
    <x v="2"/>
    <n v="0"/>
    <n v="0"/>
    <n v="17"/>
    <n v="73"/>
    <n v="0"/>
    <n v="285.75"/>
    <n v="231.33"/>
    <m/>
    <n v="313.39259123109559"/>
    <n v="265.36104285086753"/>
    <n v="0"/>
    <n v="-2345.4360000000001"/>
    <n v="-1898.7566400000001"/>
    <n v="0"/>
    <n v="-2572.3263888248325"/>
    <n v="-2178.083439719921"/>
  </r>
  <r>
    <s v="Sistema de Compensação"/>
    <x v="2"/>
    <x v="4"/>
    <x v="7"/>
    <x v="2"/>
    <x v="0"/>
    <x v="0"/>
    <x v="1"/>
    <x v="0"/>
    <n v="0"/>
    <n v="0"/>
    <n v="123.98"/>
    <n v="123.98"/>
    <n v="123.98"/>
    <n v="123.98"/>
    <n v="687"/>
    <x v="2"/>
    <n v="0"/>
    <n v="0"/>
    <n v="17"/>
    <n v="73"/>
    <n v="0"/>
    <n v="285.75"/>
    <n v="231.33"/>
    <m/>
    <n v="313.39259123109559"/>
    <n v="265.36104285086753"/>
    <n v="0"/>
    <n v="35427.285000000003"/>
    <n v="28680.293400000002"/>
    <n v="0"/>
    <n v="38854.413460831231"/>
    <n v="32899.462092650559"/>
  </r>
  <r>
    <s v="Regular"/>
    <x v="2"/>
    <x v="4"/>
    <x v="7"/>
    <x v="2"/>
    <x v="0"/>
    <x v="0"/>
    <x v="1"/>
    <x v="1"/>
    <n v="0"/>
    <n v="0"/>
    <n v="19265.760999999999"/>
    <n v="19265.760999999999"/>
    <n v="19265.760999999999"/>
    <n v="19265.760999999999"/>
    <n v="136908"/>
    <x v="2"/>
    <n v="0"/>
    <n v="0"/>
    <n v="17"/>
    <n v="73"/>
    <n v="0"/>
    <n v="285.75"/>
    <n v="231.33"/>
    <m/>
    <n v="313.39259123109559"/>
    <n v="265.36104285086753"/>
    <n v="0"/>
    <n v="5505191.2057499997"/>
    <n v="4456748.4921300001"/>
    <n v="0"/>
    <n v="6037746.7618289832"/>
    <n v="5112382.4302755725"/>
  </r>
  <r>
    <s v="Refaturamento - Regular"/>
    <x v="2"/>
    <x v="4"/>
    <x v="7"/>
    <x v="2"/>
    <x v="0"/>
    <x v="0"/>
    <x v="1"/>
    <x v="1"/>
    <n v="0"/>
    <n v="0"/>
    <n v="-11.406000000000001"/>
    <n v="-11.406000000000001"/>
    <n v="-11.406000000000001"/>
    <n v="-11.406000000000001"/>
    <n v="-14"/>
    <x v="2"/>
    <n v="0"/>
    <n v="0"/>
    <n v="17"/>
    <n v="73"/>
    <n v="0"/>
    <n v="285.75"/>
    <n v="231.33"/>
    <m/>
    <n v="313.39259123109559"/>
    <n v="265.36104285086753"/>
    <n v="0"/>
    <n v="-3259.2645000000002"/>
    <n v="-2638.5499800000002"/>
    <n v="0"/>
    <n v="-3574.5558955818765"/>
    <n v="-3026.7080547569954"/>
  </r>
  <r>
    <s v="Sistema de Compensação"/>
    <x v="2"/>
    <x v="4"/>
    <x v="7"/>
    <x v="2"/>
    <x v="0"/>
    <x v="0"/>
    <x v="1"/>
    <x v="1"/>
    <n v="0"/>
    <n v="0"/>
    <n v="144.601"/>
    <n v="144.601"/>
    <n v="144.601"/>
    <n v="144.601"/>
    <n v="727"/>
    <x v="2"/>
    <n v="0"/>
    <n v="0"/>
    <n v="17"/>
    <n v="73"/>
    <n v="0"/>
    <n v="285.75"/>
    <n v="231.33"/>
    <m/>
    <n v="313.39259123109559"/>
    <n v="265.36104285086753"/>
    <n v="0"/>
    <n v="41319.73575"/>
    <n v="33450.549330000002"/>
    <n v="0"/>
    <n v="45316.882084607656"/>
    <n v="38371.472157278295"/>
  </r>
  <r>
    <s v="Regular"/>
    <x v="2"/>
    <x v="4"/>
    <x v="7"/>
    <x v="2"/>
    <x v="0"/>
    <x v="0"/>
    <x v="1"/>
    <x v="2"/>
    <n v="0"/>
    <n v="0"/>
    <n v="19542.993999999999"/>
    <n v="19542.993999999999"/>
    <n v="19542.993999999999"/>
    <n v="19542.993999999999"/>
    <n v="137147"/>
    <x v="2"/>
    <n v="0"/>
    <n v="0"/>
    <n v="17"/>
    <n v="73"/>
    <n v="0"/>
    <n v="285.75"/>
    <n v="231.33"/>
    <m/>
    <n v="313.39259123109559"/>
    <n v="265.36104285086753"/>
    <n v="0"/>
    <n v="5584410.5354999993"/>
    <n v="4520880.8020200003"/>
    <n v="0"/>
    <n v="6124629.5300737536"/>
    <n v="5185949.2682682471"/>
  </r>
  <r>
    <s v="Refaturamento - Regular"/>
    <x v="2"/>
    <x v="4"/>
    <x v="7"/>
    <x v="2"/>
    <x v="0"/>
    <x v="0"/>
    <x v="1"/>
    <x v="2"/>
    <n v="0"/>
    <n v="0"/>
    <n v="-6.0590000000000002"/>
    <n v="-6.0590000000000002"/>
    <n v="-6.0590000000000002"/>
    <n v="-6.0590000000000002"/>
    <n v="-15"/>
    <x v="2"/>
    <n v="0"/>
    <n v="0"/>
    <n v="17"/>
    <n v="73"/>
    <n v="0"/>
    <n v="285.75"/>
    <n v="231.33"/>
    <m/>
    <n v="313.39259123109559"/>
    <n v="265.36104285086753"/>
    <n v="0"/>
    <n v="-1731.35925"/>
    <n v="-1401.6284700000001"/>
    <n v="0"/>
    <n v="-1898.8457102692082"/>
    <n v="-1607.8225586334065"/>
  </r>
  <r>
    <s v="Sistema de Compensação"/>
    <x v="2"/>
    <x v="4"/>
    <x v="7"/>
    <x v="2"/>
    <x v="0"/>
    <x v="0"/>
    <x v="1"/>
    <x v="2"/>
    <n v="0"/>
    <n v="0"/>
    <n v="170.22300000000001"/>
    <n v="170.22300000000001"/>
    <n v="170.22300000000001"/>
    <n v="170.22300000000001"/>
    <n v="791"/>
    <x v="2"/>
    <n v="0"/>
    <n v="0"/>
    <n v="17"/>
    <n v="73"/>
    <n v="0"/>
    <n v="285.75"/>
    <n v="231.33"/>
    <m/>
    <n v="313.39259123109559"/>
    <n v="265.36104285086753"/>
    <n v="0"/>
    <n v="48641.222250000006"/>
    <n v="39377.686590000005"/>
    <n v="0"/>
    <n v="53346.62705713079"/>
    <n v="45170.552797203229"/>
  </r>
  <r>
    <s v="Regular"/>
    <x v="2"/>
    <x v="4"/>
    <x v="7"/>
    <x v="2"/>
    <x v="0"/>
    <x v="0"/>
    <x v="1"/>
    <x v="3"/>
    <n v="0"/>
    <n v="0"/>
    <n v="18086.802"/>
    <n v="18086.802"/>
    <n v="18086.802"/>
    <n v="18086.802"/>
    <n v="137003"/>
    <x v="2"/>
    <n v="0"/>
    <n v="0"/>
    <n v="17"/>
    <n v="73"/>
    <n v="0"/>
    <n v="285.75"/>
    <n v="231.33"/>
    <m/>
    <n v="313.39259123109559"/>
    <n v="265.36104285086753"/>
    <n v="0"/>
    <n v="5168303.6715000002"/>
    <n v="4184019.9066600003"/>
    <n v="0"/>
    <n v="5668269.7458637618"/>
    <n v="4799532.6405571569"/>
  </r>
  <r>
    <s v="Refaturamento - Regular"/>
    <x v="2"/>
    <x v="4"/>
    <x v="7"/>
    <x v="2"/>
    <x v="0"/>
    <x v="0"/>
    <x v="1"/>
    <x v="3"/>
    <n v="0"/>
    <n v="0"/>
    <n v="-10.641"/>
    <n v="-10.641"/>
    <n v="-10.641"/>
    <n v="-10.641"/>
    <n v="-6"/>
    <x v="2"/>
    <n v="0"/>
    <n v="0"/>
    <n v="17"/>
    <n v="73"/>
    <n v="0"/>
    <n v="285.75"/>
    <n v="231.33"/>
    <m/>
    <n v="313.39259123109559"/>
    <n v="265.36104285086753"/>
    <n v="0"/>
    <n v="-3040.6657500000001"/>
    <n v="-2461.5825300000001"/>
    <n v="0"/>
    <n v="-3334.8105632900883"/>
    <n v="-2823.7068569760813"/>
  </r>
  <r>
    <s v="Sistema de Compensação"/>
    <x v="2"/>
    <x v="4"/>
    <x v="7"/>
    <x v="2"/>
    <x v="0"/>
    <x v="0"/>
    <x v="1"/>
    <x v="3"/>
    <n v="0"/>
    <n v="0"/>
    <n v="170.70599999999999"/>
    <n v="170.70599999999999"/>
    <n v="170.70599999999999"/>
    <n v="170.70599999999999"/>
    <n v="845"/>
    <x v="2"/>
    <n v="0"/>
    <n v="0"/>
    <n v="17"/>
    <n v="73"/>
    <n v="0"/>
    <n v="285.75"/>
    <n v="231.33"/>
    <m/>
    <n v="313.39259123109559"/>
    <n v="265.36104285086753"/>
    <n v="0"/>
    <n v="48779.239499999996"/>
    <n v="39489.418980000002"/>
    <n v="0"/>
    <n v="53497.995678695399"/>
    <n v="45298.722180900193"/>
  </r>
  <r>
    <s v="Sistema de Compensação"/>
    <x v="2"/>
    <x v="4"/>
    <x v="7"/>
    <x v="2"/>
    <x v="0"/>
    <x v="0"/>
    <x v="1"/>
    <x v="3"/>
    <n v="0"/>
    <n v="0"/>
    <n v="-0.03"/>
    <n v="-0.03"/>
    <n v="-0.03"/>
    <n v="-0.03"/>
    <n v="-1"/>
    <x v="2"/>
    <n v="0"/>
    <n v="0"/>
    <n v="17"/>
    <n v="73"/>
    <n v="0"/>
    <n v="285.75"/>
    <n v="231.33"/>
    <m/>
    <n v="313.39259123109559"/>
    <n v="265.36104285086753"/>
    <n v="0"/>
    <n v="-8.5724999999999998"/>
    <n v="-6.9398999999999997"/>
    <n v="0"/>
    <n v="-9.4017777369328677"/>
    <n v="-7.9608312855260257"/>
  </r>
  <r>
    <s v="Regular"/>
    <x v="2"/>
    <x v="4"/>
    <x v="7"/>
    <x v="2"/>
    <x v="0"/>
    <x v="0"/>
    <x v="1"/>
    <x v="4"/>
    <n v="0"/>
    <n v="0"/>
    <n v="17011.955000000002"/>
    <n v="17011.955000000002"/>
    <n v="17011.955000000002"/>
    <n v="17011.955000000002"/>
    <n v="136870"/>
    <x v="2"/>
    <n v="0"/>
    <n v="0"/>
    <n v="17"/>
    <n v="73"/>
    <n v="0"/>
    <n v="285.75"/>
    <n v="231.33"/>
    <m/>
    <n v="313.39259123109559"/>
    <n v="265.36104285086753"/>
    <n v="0"/>
    <n v="4861166.1412500003"/>
    <n v="3935375.5501500005"/>
    <n v="0"/>
    <n v="5331420.6593567934"/>
    <n v="4514310.1197320307"/>
  </r>
  <r>
    <s v="Refaturamento - Regular"/>
    <x v="2"/>
    <x v="4"/>
    <x v="7"/>
    <x v="2"/>
    <x v="0"/>
    <x v="0"/>
    <x v="1"/>
    <x v="4"/>
    <n v="0"/>
    <n v="0"/>
    <n v="-4.4340000000000002"/>
    <n v="-4.4340000000000002"/>
    <n v="-4.4340000000000002"/>
    <n v="-4.4340000000000002"/>
    <n v="-5"/>
    <x v="2"/>
    <n v="0"/>
    <n v="0"/>
    <n v="17"/>
    <n v="73"/>
    <n v="0"/>
    <n v="285.75"/>
    <n v="231.33"/>
    <m/>
    <n v="313.39259123109559"/>
    <n v="265.36104285086753"/>
    <n v="0"/>
    <n v="-1267.0155"/>
    <n v="-1025.71722"/>
    <n v="0"/>
    <n v="-1389.5827495186779"/>
    <n v="-1176.6108640007467"/>
  </r>
  <r>
    <s v="Sistema de Compensação"/>
    <x v="2"/>
    <x v="4"/>
    <x v="7"/>
    <x v="2"/>
    <x v="0"/>
    <x v="0"/>
    <x v="1"/>
    <x v="4"/>
    <n v="0"/>
    <n v="0"/>
    <n v="173.17599999999999"/>
    <n v="173.17599999999999"/>
    <n v="173.17599999999999"/>
    <n v="173.17599999999999"/>
    <n v="897"/>
    <x v="2"/>
    <n v="0"/>
    <n v="0"/>
    <n v="17"/>
    <n v="73"/>
    <n v="0"/>
    <n v="285.75"/>
    <n v="231.33"/>
    <m/>
    <n v="313.39259123109559"/>
    <n v="265.36104285086753"/>
    <n v="0"/>
    <n v="49485.041999999994"/>
    <n v="40060.804080000002"/>
    <n v="0"/>
    <n v="54272.075379036207"/>
    <n v="45954.163956741831"/>
  </r>
  <r>
    <s v="Regular"/>
    <x v="2"/>
    <x v="4"/>
    <x v="7"/>
    <x v="2"/>
    <x v="0"/>
    <x v="0"/>
    <x v="1"/>
    <x v="5"/>
    <n v="0"/>
    <n v="0"/>
    <n v="17620.891"/>
    <n v="17620.891"/>
    <n v="17620.891"/>
    <n v="17620.891"/>
    <n v="136478"/>
    <x v="2"/>
    <n v="0"/>
    <n v="0"/>
    <n v="17"/>
    <n v="73"/>
    <n v="0"/>
    <n v="285.75"/>
    <n v="231.33"/>
    <m/>
    <n v="313.39259123109559"/>
    <n v="265.36104285086753"/>
    <n v="0"/>
    <n v="5035169.6032499997"/>
    <n v="4076240.7150300001"/>
    <n v="0"/>
    <n v="5522256.6902906913"/>
    <n v="4675898.0117214657"/>
  </r>
  <r>
    <s v="Refaturamento - Regular"/>
    <x v="2"/>
    <x v="4"/>
    <x v="7"/>
    <x v="2"/>
    <x v="0"/>
    <x v="0"/>
    <x v="1"/>
    <x v="5"/>
    <n v="0"/>
    <n v="0"/>
    <n v="-13.129"/>
    <n v="-13.129"/>
    <n v="-13.129"/>
    <n v="-13.129"/>
    <n v="-6"/>
    <x v="2"/>
    <n v="0"/>
    <n v="0"/>
    <n v="17"/>
    <n v="73"/>
    <n v="0"/>
    <n v="285.75"/>
    <n v="231.33"/>
    <m/>
    <n v="313.39259123109559"/>
    <n v="265.36104285086753"/>
    <n v="0"/>
    <n v="-3751.61175"/>
    <n v="-3037.13157"/>
    <n v="0"/>
    <n v="-4114.5313302730538"/>
    <n v="-3483.9251315890397"/>
  </r>
  <r>
    <s v="Sistema de Compensação"/>
    <x v="2"/>
    <x v="4"/>
    <x v="7"/>
    <x v="2"/>
    <x v="0"/>
    <x v="0"/>
    <x v="1"/>
    <x v="5"/>
    <n v="0"/>
    <n v="0"/>
    <n v="203.07499999999999"/>
    <n v="203.07499999999999"/>
    <n v="203.07499999999999"/>
    <n v="203.07499999999999"/>
    <n v="1142"/>
    <x v="2"/>
    <n v="0"/>
    <n v="0"/>
    <n v="17"/>
    <n v="73"/>
    <n v="0"/>
    <n v="285.75"/>
    <n v="231.33"/>
    <m/>
    <n v="313.39259123109559"/>
    <n v="265.36104285086753"/>
    <n v="0"/>
    <n v="58028.681249999994"/>
    <n v="46977.339749999999"/>
    <n v="0"/>
    <n v="63642.200464254733"/>
    <n v="53888.193776939923"/>
  </r>
  <r>
    <s v="Regular"/>
    <x v="2"/>
    <x v="4"/>
    <x v="7"/>
    <x v="2"/>
    <x v="0"/>
    <x v="0"/>
    <x v="1"/>
    <x v="6"/>
    <n v="0"/>
    <n v="0"/>
    <n v="16379.379000000001"/>
    <n v="16379.379000000001"/>
    <n v="16379.379000000001"/>
    <n v="16379.379000000001"/>
    <n v="136167"/>
    <x v="2"/>
    <n v="0"/>
    <n v="0"/>
    <n v="17"/>
    <n v="73"/>
    <n v="0"/>
    <n v="285.75"/>
    <n v="231.33"/>
    <m/>
    <n v="313.39259123109559"/>
    <n v="265.36104285086753"/>
    <n v="0"/>
    <n v="4680407.5492500002"/>
    <n v="3789041.7440700005"/>
    <n v="0"/>
    <n v="5133176.0275661917"/>
    <n v="4346449.0926895998"/>
  </r>
  <r>
    <s v="Refaturamento - Regular"/>
    <x v="2"/>
    <x v="4"/>
    <x v="7"/>
    <x v="2"/>
    <x v="0"/>
    <x v="0"/>
    <x v="1"/>
    <x v="6"/>
    <n v="0"/>
    <n v="0"/>
    <n v="-24.356000000000002"/>
    <n v="-24.356000000000002"/>
    <n v="-24.356000000000002"/>
    <n v="-24.356000000000002"/>
    <n v="-10"/>
    <x v="2"/>
    <n v="0"/>
    <n v="0"/>
    <n v="17"/>
    <n v="73"/>
    <n v="0"/>
    <n v="285.75"/>
    <n v="231.33"/>
    <m/>
    <n v="313.39259123109559"/>
    <n v="265.36104285086753"/>
    <n v="0"/>
    <n v="-6959.7270000000008"/>
    <n v="-5634.2734800000007"/>
    <n v="0"/>
    <n v="-7632.9899520245644"/>
    <n v="-6463.1335596757299"/>
  </r>
  <r>
    <s v="Sistema de Compensação"/>
    <x v="2"/>
    <x v="4"/>
    <x v="7"/>
    <x v="2"/>
    <x v="0"/>
    <x v="0"/>
    <x v="1"/>
    <x v="6"/>
    <n v="0"/>
    <n v="0"/>
    <n v="186.37100000000001"/>
    <n v="186.37100000000001"/>
    <n v="186.37100000000001"/>
    <n v="186.37100000000001"/>
    <n v="1268"/>
    <x v="2"/>
    <n v="0"/>
    <n v="0"/>
    <n v="17"/>
    <n v="73"/>
    <n v="0"/>
    <n v="285.75"/>
    <n v="231.33"/>
    <m/>
    <n v="313.39259123109559"/>
    <n v="265.36104285086753"/>
    <n v="0"/>
    <n v="53255.513250000004"/>
    <n v="43113.203430000001"/>
    <n v="0"/>
    <n v="58407.290620330517"/>
    <n v="49455.602917159034"/>
  </r>
  <r>
    <s v="Regular"/>
    <x v="2"/>
    <x v="4"/>
    <x v="7"/>
    <x v="2"/>
    <x v="0"/>
    <x v="0"/>
    <x v="1"/>
    <x v="7"/>
    <n v="0"/>
    <n v="0"/>
    <n v="16643.237000000001"/>
    <n v="16643.237000000001"/>
    <n v="16643.237000000001"/>
    <n v="16643.237000000001"/>
    <n v="137086"/>
    <x v="2"/>
    <n v="0"/>
    <n v="0"/>
    <n v="17"/>
    <n v="73"/>
    <n v="0"/>
    <n v="285.75"/>
    <n v="231.33"/>
    <m/>
    <n v="313.39259123109559"/>
    <n v="265.36104285086753"/>
    <n v="0"/>
    <n v="4755804.9727500007"/>
    <n v="3850080.0152100003"/>
    <n v="0"/>
    <n v="5215867.1699032458"/>
    <n v="4416466.7267341446"/>
  </r>
  <r>
    <s v="Refaturamento - Regular"/>
    <x v="2"/>
    <x v="4"/>
    <x v="7"/>
    <x v="2"/>
    <x v="0"/>
    <x v="0"/>
    <x v="1"/>
    <x v="7"/>
    <n v="0"/>
    <n v="0"/>
    <n v="-2.968"/>
    <n v="-2.968"/>
    <n v="-2.968"/>
    <n v="-2.968"/>
    <n v="-4"/>
    <x v="2"/>
    <n v="0"/>
    <n v="0"/>
    <n v="17"/>
    <n v="73"/>
    <n v="0"/>
    <n v="285.75"/>
    <n v="231.33"/>
    <m/>
    <n v="313.39259123109559"/>
    <n v="265.36104285086753"/>
    <n v="0"/>
    <n v="-848.10599999999999"/>
    <n v="-686.58744000000002"/>
    <n v="0"/>
    <n v="-930.1492107738917"/>
    <n v="-787.59157518137488"/>
  </r>
  <r>
    <s v="Sistema de Compensação"/>
    <x v="2"/>
    <x v="4"/>
    <x v="7"/>
    <x v="2"/>
    <x v="0"/>
    <x v="0"/>
    <x v="1"/>
    <x v="7"/>
    <n v="0"/>
    <n v="0"/>
    <n v="181.53800000000001"/>
    <n v="181.53800000000001"/>
    <n v="181.53800000000001"/>
    <n v="181.53800000000001"/>
    <n v="1350"/>
    <x v="2"/>
    <n v="0"/>
    <n v="0"/>
    <n v="17"/>
    <n v="73"/>
    <n v="0"/>
    <n v="285.75"/>
    <n v="231.33"/>
    <m/>
    <n v="313.39259123109559"/>
    <n v="265.36104285086753"/>
    <n v="0"/>
    <n v="51874.483500000002"/>
    <n v="41995.185540000006"/>
    <n v="0"/>
    <n v="56892.664226910638"/>
    <n v="48173.112997060794"/>
  </r>
  <r>
    <s v="Regular"/>
    <x v="2"/>
    <x v="4"/>
    <x v="7"/>
    <x v="2"/>
    <x v="0"/>
    <x v="0"/>
    <x v="1"/>
    <x v="8"/>
    <n v="0"/>
    <n v="0"/>
    <n v="17437.793000000001"/>
    <n v="17437.793000000001"/>
    <n v="17437.793000000001"/>
    <n v="17437.793000000001"/>
    <n v="136484"/>
    <x v="2"/>
    <n v="0"/>
    <n v="0"/>
    <n v="17"/>
    <n v="73"/>
    <n v="0"/>
    <n v="285.75"/>
    <n v="231.33"/>
    <m/>
    <n v="313.39259123109559"/>
    <n v="265.36104285086753"/>
    <n v="0"/>
    <n v="4982849.3497500001"/>
    <n v="4033884.6546900007"/>
    <n v="0"/>
    <n v="5464875.1336214608"/>
    <n v="4627310.9354975587"/>
  </r>
  <r>
    <s v="Refaturamento - Regular"/>
    <x v="2"/>
    <x v="4"/>
    <x v="7"/>
    <x v="2"/>
    <x v="0"/>
    <x v="0"/>
    <x v="1"/>
    <x v="8"/>
    <n v="0"/>
    <n v="0"/>
    <n v="-4.5659999999999998"/>
    <n v="-4.5659999999999998"/>
    <n v="-4.5659999999999998"/>
    <n v="-4.5659999999999998"/>
    <n v="-9"/>
    <x v="2"/>
    <n v="0"/>
    <n v="0"/>
    <n v="17"/>
    <n v="73"/>
    <n v="0"/>
    <n v="285.75"/>
    <n v="231.33"/>
    <m/>
    <n v="313.39259123109559"/>
    <n v="265.36104285086753"/>
    <n v="0"/>
    <n v="-1304.7345"/>
    <n v="-1056.25278"/>
    <n v="0"/>
    <n v="-1430.9505715611824"/>
    <n v="-1211.6385216570611"/>
  </r>
  <r>
    <s v="Sistema de Compensação"/>
    <x v="2"/>
    <x v="4"/>
    <x v="7"/>
    <x v="2"/>
    <x v="0"/>
    <x v="0"/>
    <x v="1"/>
    <x v="8"/>
    <n v="0"/>
    <n v="0"/>
    <n v="208.422"/>
    <n v="208.422"/>
    <n v="208.422"/>
    <n v="208.422"/>
    <n v="1443"/>
    <x v="2"/>
    <n v="0"/>
    <n v="0"/>
    <n v="17"/>
    <n v="73"/>
    <n v="0"/>
    <n v="285.75"/>
    <n v="231.33"/>
    <m/>
    <n v="313.39259123109559"/>
    <n v="265.36104285086753"/>
    <n v="0"/>
    <n v="59556.586499999998"/>
    <n v="48214.261259999999"/>
    <n v="0"/>
    <n v="65317.910649567406"/>
    <n v="55307.079273063515"/>
  </r>
  <r>
    <s v="Sistema de Compensação"/>
    <x v="2"/>
    <x v="4"/>
    <x v="7"/>
    <x v="2"/>
    <x v="0"/>
    <x v="0"/>
    <x v="1"/>
    <x v="8"/>
    <n v="0"/>
    <n v="0"/>
    <n v="-0.23699999999999999"/>
    <n v="-0.23699999999999999"/>
    <n v="-0.23699999999999999"/>
    <n v="-0.23699999999999999"/>
    <n v="0"/>
    <x v="2"/>
    <n v="0"/>
    <n v="0"/>
    <n v="17"/>
    <n v="73"/>
    <n v="0"/>
    <n v="285.75"/>
    <n v="231.33"/>
    <m/>
    <n v="313.39259123109559"/>
    <n v="265.36104285086753"/>
    <n v="0"/>
    <n v="-67.722749999999991"/>
    <n v="-54.825209999999998"/>
    <n v="0"/>
    <n v="-74.274044121769649"/>
    <n v="-62.890567155655603"/>
  </r>
  <r>
    <s v="Regular"/>
    <x v="2"/>
    <x v="4"/>
    <x v="7"/>
    <x v="2"/>
    <x v="0"/>
    <x v="0"/>
    <x v="1"/>
    <x v="9"/>
    <n v="0"/>
    <n v="0"/>
    <n v="17640.810000000001"/>
    <n v="17640.810000000001"/>
    <n v="17640.810000000001"/>
    <n v="17640.810000000001"/>
    <n v="136472"/>
    <x v="2"/>
    <n v="0"/>
    <n v="0"/>
    <n v="17"/>
    <n v="73"/>
    <n v="0"/>
    <n v="285.75"/>
    <n v="231.33"/>
    <m/>
    <n v="313.39259123109559"/>
    <n v="265.36104285086753"/>
    <n v="0"/>
    <n v="5040861.4575000005"/>
    <n v="4080848.5773000005"/>
    <n v="0"/>
    <n v="5528499.1573154237"/>
    <n v="4681183.7383340131"/>
  </r>
  <r>
    <s v="Refaturamento - Regular"/>
    <x v="2"/>
    <x v="4"/>
    <x v="7"/>
    <x v="2"/>
    <x v="0"/>
    <x v="0"/>
    <x v="1"/>
    <x v="9"/>
    <n v="0"/>
    <n v="0"/>
    <n v="-8.3629999999999995"/>
    <n v="-8.3629999999999995"/>
    <n v="-8.3629999999999995"/>
    <n v="-8.3629999999999995"/>
    <n v="-8"/>
    <x v="2"/>
    <n v="0"/>
    <n v="0"/>
    <n v="17"/>
    <n v="73"/>
    <n v="0"/>
    <n v="285.75"/>
    <n v="231.33"/>
    <m/>
    <n v="313.39259123109559"/>
    <n v="265.36104285086753"/>
    <n v="0"/>
    <n v="-2389.7272499999999"/>
    <n v="-1934.6127899999999"/>
    <n v="0"/>
    <n v="-2620.9022404656521"/>
    <n v="-2219.2144013618049"/>
  </r>
  <r>
    <s v="Sistema de Compensação"/>
    <x v="2"/>
    <x v="4"/>
    <x v="7"/>
    <x v="2"/>
    <x v="0"/>
    <x v="0"/>
    <x v="1"/>
    <x v="9"/>
    <n v="0"/>
    <n v="0"/>
    <n v="208.89500000000001"/>
    <n v="208.89500000000001"/>
    <n v="208.89500000000001"/>
    <n v="208.89500000000001"/>
    <n v="1522"/>
    <x v="2"/>
    <n v="0"/>
    <n v="0"/>
    <n v="17"/>
    <n v="73"/>
    <n v="0"/>
    <n v="285.75"/>
    <n v="231.33"/>
    <m/>
    <n v="313.39259123109559"/>
    <n v="265.36104285086753"/>
    <n v="0"/>
    <n v="59691.746250000004"/>
    <n v="48323.680350000002"/>
    <n v="0"/>
    <n v="65466.145345219717"/>
    <n v="55432.595046331975"/>
  </r>
  <r>
    <s v="Regular"/>
    <x v="2"/>
    <x v="4"/>
    <x v="7"/>
    <x v="2"/>
    <x v="0"/>
    <x v="0"/>
    <x v="1"/>
    <x v="10"/>
    <n v="0"/>
    <n v="0"/>
    <n v="18499.393"/>
    <n v="18499.393"/>
    <n v="18499.393"/>
    <n v="18499.393"/>
    <n v="136700"/>
    <x v="2"/>
    <n v="0"/>
    <n v="0"/>
    <n v="17"/>
    <n v="73"/>
    <n v="0"/>
    <n v="285.75"/>
    <n v="231.33"/>
    <m/>
    <n v="313.39259123109559"/>
    <n v="265.36104285086753"/>
    <n v="0"/>
    <n v="5286201.5497500002"/>
    <n v="4279464.5826900005"/>
    <n v="0"/>
    <n v="5797572.7084723916"/>
    <n v="4909018.2185880393"/>
  </r>
  <r>
    <s v="Refaturamento - Regular"/>
    <x v="2"/>
    <x v="4"/>
    <x v="7"/>
    <x v="2"/>
    <x v="0"/>
    <x v="0"/>
    <x v="1"/>
    <x v="10"/>
    <n v="0"/>
    <n v="0"/>
    <n v="-15.736000000000001"/>
    <n v="-15.736000000000001"/>
    <n v="-15.736000000000001"/>
    <n v="-15.736000000000001"/>
    <n v="-4"/>
    <x v="2"/>
    <n v="0"/>
    <n v="0"/>
    <n v="17"/>
    <n v="73"/>
    <n v="0"/>
    <n v="285.75"/>
    <n v="231.33"/>
    <m/>
    <n v="313.39259123109559"/>
    <n v="265.36104285086753"/>
    <n v="0"/>
    <n v="-4496.5619999999999"/>
    <n v="-3640.2088800000001"/>
    <n v="0"/>
    <n v="-4931.5458156125205"/>
    <n v="-4175.7213703012521"/>
  </r>
  <r>
    <s v="Sistema de Compensação"/>
    <x v="2"/>
    <x v="4"/>
    <x v="7"/>
    <x v="2"/>
    <x v="0"/>
    <x v="0"/>
    <x v="1"/>
    <x v="10"/>
    <n v="0"/>
    <n v="0"/>
    <n v="269.25400000000002"/>
    <n v="269.25400000000002"/>
    <n v="269.25400000000002"/>
    <n v="269.25400000000002"/>
    <n v="1632"/>
    <x v="2"/>
    <n v="0"/>
    <n v="0"/>
    <n v="17"/>
    <n v="73"/>
    <n v="0"/>
    <n v="285.75"/>
    <n v="231.33"/>
    <m/>
    <n v="313.39259123109559"/>
    <n v="265.36104285086753"/>
    <n v="0"/>
    <n v="76939.330500000011"/>
    <n v="62286.52782000001"/>
    <n v="0"/>
    <n v="84382.208759337416"/>
    <n v="71449.522231767492"/>
  </r>
  <r>
    <s v="Sistema de Compensação"/>
    <x v="2"/>
    <x v="4"/>
    <x v="7"/>
    <x v="2"/>
    <x v="0"/>
    <x v="0"/>
    <x v="1"/>
    <x v="10"/>
    <n v="0"/>
    <n v="0"/>
    <n v="-0.28100000000000003"/>
    <n v="-0.28100000000000003"/>
    <n v="-0.28100000000000003"/>
    <n v="-0.28100000000000003"/>
    <n v="0"/>
    <x v="2"/>
    <n v="0"/>
    <n v="0"/>
    <n v="17"/>
    <n v="73"/>
    <n v="0"/>
    <n v="285.75"/>
    <n v="231.33"/>
    <m/>
    <n v="313.39259123109559"/>
    <n v="265.36104285086753"/>
    <n v="0"/>
    <n v="-80.295750000000012"/>
    <n v="-65.003730000000004"/>
    <n v="0"/>
    <n v="-88.063318135937877"/>
    <n v="-74.56645304109378"/>
  </r>
  <r>
    <s v="PROJETADO"/>
    <x v="2"/>
    <x v="4"/>
    <x v="7"/>
    <x v="2"/>
    <x v="0"/>
    <x v="0"/>
    <x v="1"/>
    <x v="11"/>
    <n v="0"/>
    <n v="0"/>
    <n v="18499.393"/>
    <n v="18499.393"/>
    <n v="18499.393"/>
    <n v="18499.393"/>
    <n v="136700"/>
    <x v="2"/>
    <n v="0"/>
    <n v="0"/>
    <n v="17"/>
    <n v="73"/>
    <n v="0"/>
    <n v="285.75"/>
    <n v="231.33"/>
    <m/>
    <n v="313.39259123109559"/>
    <n v="265.36104285086753"/>
    <n v="0"/>
    <n v="5286201.5497500002"/>
    <n v="4279464.5826900005"/>
    <n v="0"/>
    <n v="5797572.7084723916"/>
    <n v="4909018.2185880393"/>
  </r>
  <r>
    <s v="PROJETADO"/>
    <x v="2"/>
    <x v="4"/>
    <x v="7"/>
    <x v="2"/>
    <x v="0"/>
    <x v="0"/>
    <x v="1"/>
    <x v="11"/>
    <n v="0"/>
    <n v="0"/>
    <n v="-15.736000000000001"/>
    <n v="-15.736000000000001"/>
    <n v="-15.736000000000001"/>
    <n v="-15.736000000000001"/>
    <n v="-4"/>
    <x v="2"/>
    <n v="0"/>
    <n v="0"/>
    <n v="17"/>
    <n v="73"/>
    <n v="0"/>
    <n v="285.75"/>
    <n v="231.33"/>
    <m/>
    <n v="313.39259123109559"/>
    <n v="265.36104285086753"/>
    <n v="0"/>
    <n v="-4496.5619999999999"/>
    <n v="-3640.2088800000001"/>
    <n v="0"/>
    <n v="-4931.5458156125205"/>
    <n v="-4175.7213703012521"/>
  </r>
  <r>
    <s v="PROJETADO"/>
    <x v="2"/>
    <x v="4"/>
    <x v="7"/>
    <x v="2"/>
    <x v="0"/>
    <x v="0"/>
    <x v="1"/>
    <x v="11"/>
    <n v="0"/>
    <n v="0"/>
    <n v="269.25400000000002"/>
    <n v="269.25400000000002"/>
    <n v="269.25400000000002"/>
    <n v="269.25400000000002"/>
    <n v="1632"/>
    <x v="2"/>
    <n v="0"/>
    <n v="0"/>
    <n v="17"/>
    <n v="73"/>
    <n v="0"/>
    <n v="285.75"/>
    <n v="231.33"/>
    <m/>
    <n v="313.39259123109559"/>
    <n v="265.36104285086753"/>
    <n v="0"/>
    <n v="76939.330500000011"/>
    <n v="62286.52782000001"/>
    <n v="0"/>
    <n v="84382.208759337416"/>
    <n v="71449.522231767492"/>
  </r>
  <r>
    <s v="PROJETADO"/>
    <x v="2"/>
    <x v="4"/>
    <x v="7"/>
    <x v="2"/>
    <x v="0"/>
    <x v="0"/>
    <x v="1"/>
    <x v="11"/>
    <n v="0"/>
    <n v="0"/>
    <n v="-0.28100000000000003"/>
    <n v="-0.28100000000000003"/>
    <n v="-0.28100000000000003"/>
    <n v="-0.28100000000000003"/>
    <n v="0"/>
    <x v="2"/>
    <n v="0"/>
    <n v="0"/>
    <n v="17"/>
    <n v="73"/>
    <n v="0"/>
    <n v="285.75"/>
    <n v="231.33"/>
    <m/>
    <n v="313.39259123109559"/>
    <n v="265.36104285086753"/>
    <n v="0"/>
    <n v="-80.295750000000012"/>
    <n v="-65.003730000000004"/>
    <n v="0"/>
    <n v="-88.063318135937877"/>
    <n v="-74.56645304109378"/>
  </r>
  <r>
    <s v="Regular"/>
    <x v="2"/>
    <x v="4"/>
    <x v="7"/>
    <x v="3"/>
    <x v="0"/>
    <x v="0"/>
    <x v="1"/>
    <x v="0"/>
    <n v="0"/>
    <n v="0"/>
    <n v="1664.172"/>
    <n v="1664.172"/>
    <n v="1664.172"/>
    <n v="1664.172"/>
    <n v="5102"/>
    <x v="2"/>
    <n v="0"/>
    <n v="0"/>
    <n v="34"/>
    <n v="74"/>
    <n v="0"/>
    <n v="86.27"/>
    <n v="80.959999999999994"/>
    <m/>
    <n v="92.239557357245033"/>
    <n v="92.876364997803634"/>
    <n v="0"/>
    <n v="143568.11843999999"/>
    <n v="134731.36512"/>
    <n v="0"/>
    <n v="153502.48864632117"/>
    <n v="154562.24609112486"/>
  </r>
  <r>
    <s v="Sistema de Compensação"/>
    <x v="2"/>
    <x v="4"/>
    <x v="7"/>
    <x v="3"/>
    <x v="0"/>
    <x v="0"/>
    <x v="1"/>
    <x v="0"/>
    <n v="0"/>
    <n v="0"/>
    <n v="0.42"/>
    <n v="0.42"/>
    <n v="0.42"/>
    <n v="0.42"/>
    <n v="1"/>
    <x v="2"/>
    <n v="0"/>
    <n v="0"/>
    <n v="34"/>
    <n v="74"/>
    <n v="0"/>
    <n v="86.27"/>
    <n v="80.959999999999994"/>
    <m/>
    <n v="92.239557357245033"/>
    <n v="92.876364997803634"/>
    <n v="0"/>
    <n v="36.233399999999996"/>
    <n v="34.0032"/>
    <n v="0"/>
    <n v="38.740614090042911"/>
    <n v="39.008073299077523"/>
  </r>
  <r>
    <s v="Regular"/>
    <x v="2"/>
    <x v="4"/>
    <x v="7"/>
    <x v="3"/>
    <x v="0"/>
    <x v="0"/>
    <x v="1"/>
    <x v="1"/>
    <n v="0"/>
    <n v="0"/>
    <n v="1672.7059999999999"/>
    <n v="1672.7059999999999"/>
    <n v="1672.7059999999999"/>
    <n v="1672.7059999999999"/>
    <n v="4873"/>
    <x v="2"/>
    <n v="0"/>
    <n v="0"/>
    <n v="34"/>
    <n v="74"/>
    <n v="0"/>
    <n v="86.27"/>
    <n v="80.959999999999994"/>
    <m/>
    <n v="92.239557357245033"/>
    <n v="92.876364997803634"/>
    <n v="0"/>
    <n v="144304.34662"/>
    <n v="135422.27775999997"/>
    <n v="0"/>
    <n v="154289.6610288079"/>
    <n v="155354.85299001611"/>
  </r>
  <r>
    <s v="Refaturamento - Regular"/>
    <x v="2"/>
    <x v="4"/>
    <x v="7"/>
    <x v="3"/>
    <x v="0"/>
    <x v="0"/>
    <x v="1"/>
    <x v="1"/>
    <n v="0"/>
    <n v="0"/>
    <n v="0.56599999999999995"/>
    <n v="0.56599999999999995"/>
    <n v="0.56599999999999995"/>
    <n v="0.56599999999999995"/>
    <n v="10"/>
    <x v="2"/>
    <n v="0"/>
    <n v="0"/>
    <n v="34"/>
    <n v="74"/>
    <n v="0"/>
    <n v="86.27"/>
    <n v="80.959999999999994"/>
    <m/>
    <n v="92.239557357245033"/>
    <n v="92.876364997803634"/>
    <n v="0"/>
    <n v="48.828819999999993"/>
    <n v="45.823359999999994"/>
    <n v="0"/>
    <n v="52.207589464200687"/>
    <n v="52.568022588756854"/>
  </r>
  <r>
    <s v="Sistema de Compensação"/>
    <x v="2"/>
    <x v="4"/>
    <x v="7"/>
    <x v="3"/>
    <x v="0"/>
    <x v="0"/>
    <x v="1"/>
    <x v="1"/>
    <n v="0"/>
    <n v="0"/>
    <n v="0.45"/>
    <n v="0.45"/>
    <n v="0.45"/>
    <n v="0.45"/>
    <n v="0"/>
    <x v="2"/>
    <n v="0"/>
    <n v="0"/>
    <n v="34"/>
    <n v="74"/>
    <n v="0"/>
    <n v="86.27"/>
    <n v="80.959999999999994"/>
    <m/>
    <n v="92.239557357245033"/>
    <n v="92.876364997803634"/>
    <n v="0"/>
    <n v="38.8215"/>
    <n v="36.431999999999995"/>
    <n v="0"/>
    <n v="41.507800810760266"/>
    <n v="41.794364249011636"/>
  </r>
  <r>
    <s v="Regular"/>
    <x v="2"/>
    <x v="4"/>
    <x v="7"/>
    <x v="3"/>
    <x v="0"/>
    <x v="0"/>
    <x v="1"/>
    <x v="2"/>
    <n v="0"/>
    <n v="0"/>
    <n v="1672.297"/>
    <n v="1672.297"/>
    <n v="1672.297"/>
    <n v="1672.297"/>
    <n v="4813"/>
    <x v="2"/>
    <n v="0"/>
    <n v="0"/>
    <n v="34"/>
    <n v="74"/>
    <n v="0"/>
    <n v="86.27"/>
    <n v="80.959999999999994"/>
    <m/>
    <n v="92.239557357245033"/>
    <n v="92.876364997803634"/>
    <n v="0"/>
    <n v="144269.06219"/>
    <n v="135389.16511999999"/>
    <n v="0"/>
    <n v="154251.93504984881"/>
    <n v="155316.86655673201"/>
  </r>
  <r>
    <s v="Refaturamento - Regular"/>
    <x v="2"/>
    <x v="4"/>
    <x v="7"/>
    <x v="3"/>
    <x v="0"/>
    <x v="0"/>
    <x v="1"/>
    <x v="2"/>
    <n v="0"/>
    <n v="0"/>
    <n v="3.3000000000000002E-2"/>
    <n v="3.3000000000000002E-2"/>
    <n v="3.3000000000000002E-2"/>
    <n v="3.3000000000000002E-2"/>
    <n v="1"/>
    <x v="2"/>
    <n v="0"/>
    <n v="0"/>
    <n v="34"/>
    <n v="74"/>
    <n v="0"/>
    <n v="86.27"/>
    <n v="80.959999999999994"/>
    <m/>
    <n v="92.239557357245033"/>
    <n v="92.876364997803634"/>
    <n v="0"/>
    <n v="2.8469099999999998"/>
    <n v="2.6716799999999998"/>
    <n v="0"/>
    <n v="3.0439053927890862"/>
    <n v="3.0649200449275202"/>
  </r>
  <r>
    <s v="Sistema de Compensação"/>
    <x v="2"/>
    <x v="4"/>
    <x v="7"/>
    <x v="3"/>
    <x v="0"/>
    <x v="0"/>
    <x v="1"/>
    <x v="2"/>
    <n v="0"/>
    <n v="0"/>
    <n v="0.45"/>
    <n v="0.45"/>
    <n v="0.45"/>
    <n v="0.45"/>
    <n v="0"/>
    <x v="2"/>
    <n v="0"/>
    <n v="0"/>
    <n v="34"/>
    <n v="74"/>
    <n v="0"/>
    <n v="86.27"/>
    <n v="80.959999999999994"/>
    <m/>
    <n v="92.239557357245033"/>
    <n v="92.876364997803634"/>
    <n v="0"/>
    <n v="38.8215"/>
    <n v="36.431999999999995"/>
    <n v="0"/>
    <n v="41.507800810760266"/>
    <n v="41.794364249011636"/>
  </r>
  <r>
    <s v="Regular"/>
    <x v="2"/>
    <x v="4"/>
    <x v="7"/>
    <x v="3"/>
    <x v="0"/>
    <x v="0"/>
    <x v="1"/>
    <x v="3"/>
    <n v="0"/>
    <n v="0"/>
    <n v="1676.741"/>
    <n v="1676.741"/>
    <n v="1676.741"/>
    <n v="1676.741"/>
    <n v="5077"/>
    <x v="2"/>
    <n v="0"/>
    <n v="0"/>
    <n v="34"/>
    <n v="74"/>
    <n v="0"/>
    <n v="86.27"/>
    <n v="80.959999999999994"/>
    <m/>
    <n v="92.239557357245033"/>
    <n v="92.876364997803634"/>
    <n v="0"/>
    <n v="144652.44607000001"/>
    <n v="135748.95135999998"/>
    <n v="0"/>
    <n v="154661.8476427444"/>
    <n v="155729.60912278228"/>
  </r>
  <r>
    <s v="Refaturamento - Regular"/>
    <x v="2"/>
    <x v="4"/>
    <x v="7"/>
    <x v="3"/>
    <x v="0"/>
    <x v="0"/>
    <x v="1"/>
    <x v="3"/>
    <n v="0"/>
    <n v="0"/>
    <n v="4.2000000000000003E-2"/>
    <n v="4.2000000000000003E-2"/>
    <n v="4.2000000000000003E-2"/>
    <n v="4.2000000000000003E-2"/>
    <n v="3"/>
    <x v="2"/>
    <n v="0"/>
    <n v="0"/>
    <n v="34"/>
    <n v="74"/>
    <n v="0"/>
    <n v="86.27"/>
    <n v="80.959999999999994"/>
    <m/>
    <n v="92.239557357245033"/>
    <n v="92.876364997803634"/>
    <n v="0"/>
    <n v="3.6233400000000002"/>
    <n v="3.4003199999999998"/>
    <n v="0"/>
    <n v="3.8740614090042915"/>
    <n v="3.900807329907753"/>
  </r>
  <r>
    <s v="Sistema de Compensação"/>
    <x v="2"/>
    <x v="4"/>
    <x v="7"/>
    <x v="3"/>
    <x v="0"/>
    <x v="0"/>
    <x v="1"/>
    <x v="3"/>
    <n v="0"/>
    <n v="0"/>
    <n v="0.48"/>
    <n v="0.48"/>
    <n v="0.48"/>
    <n v="0.48"/>
    <n v="1"/>
    <x v="2"/>
    <n v="0"/>
    <n v="0"/>
    <n v="34"/>
    <n v="74"/>
    <n v="0"/>
    <n v="86.27"/>
    <n v="80.959999999999994"/>
    <m/>
    <n v="92.239557357245033"/>
    <n v="92.876364997803634"/>
    <n v="0"/>
    <n v="41.409599999999998"/>
    <n v="38.860799999999998"/>
    <n v="0"/>
    <n v="44.274987531477613"/>
    <n v="44.580655198945742"/>
  </r>
  <r>
    <s v="Regular"/>
    <x v="2"/>
    <x v="4"/>
    <x v="7"/>
    <x v="3"/>
    <x v="0"/>
    <x v="0"/>
    <x v="1"/>
    <x v="4"/>
    <n v="0"/>
    <n v="0"/>
    <n v="1685.271"/>
    <n v="1685.271"/>
    <n v="1685.271"/>
    <n v="1685.271"/>
    <n v="5372"/>
    <x v="2"/>
    <n v="0"/>
    <n v="0"/>
    <n v="34"/>
    <n v="74"/>
    <n v="0"/>
    <n v="86.27"/>
    <n v="80.959999999999994"/>
    <m/>
    <n v="92.239557357245033"/>
    <n v="92.876364997803634"/>
    <n v="0"/>
    <n v="145388.32916999998"/>
    <n v="136439.54015999998"/>
    <n v="0"/>
    <n v="155448.65106700169"/>
    <n v="156521.84451621352"/>
  </r>
  <r>
    <s v="Refaturamento - Regular"/>
    <x v="2"/>
    <x v="4"/>
    <x v="7"/>
    <x v="3"/>
    <x v="0"/>
    <x v="0"/>
    <x v="1"/>
    <x v="4"/>
    <n v="0"/>
    <n v="0"/>
    <n v="0.70599999999999996"/>
    <n v="0.70599999999999996"/>
    <n v="0.70599999999999996"/>
    <n v="0.70599999999999996"/>
    <n v="6"/>
    <x v="2"/>
    <n v="0"/>
    <n v="0"/>
    <n v="34"/>
    <n v="74"/>
    <n v="0"/>
    <n v="86.27"/>
    <n v="80.959999999999994"/>
    <m/>
    <n v="92.239557357245033"/>
    <n v="92.876364997803634"/>
    <n v="0"/>
    <n v="60.906619999999997"/>
    <n v="57.157759999999989"/>
    <n v="0"/>
    <n v="65.121127494214988"/>
    <n v="65.570713688449359"/>
  </r>
  <r>
    <s v="Sistema de Compensação"/>
    <x v="2"/>
    <x v="4"/>
    <x v="7"/>
    <x v="3"/>
    <x v="0"/>
    <x v="0"/>
    <x v="1"/>
    <x v="4"/>
    <n v="0"/>
    <n v="0"/>
    <n v="0.54"/>
    <n v="0.54"/>
    <n v="0.54"/>
    <n v="0.54"/>
    <n v="1"/>
    <x v="2"/>
    <n v="0"/>
    <n v="0"/>
    <n v="34"/>
    <n v="74"/>
    <n v="0"/>
    <n v="86.27"/>
    <n v="80.959999999999994"/>
    <m/>
    <n v="92.239557357245033"/>
    <n v="92.876364997803634"/>
    <n v="0"/>
    <n v="46.585799999999999"/>
    <n v="43.718400000000003"/>
    <n v="0"/>
    <n v="49.809360972912323"/>
    <n v="50.153237098813968"/>
  </r>
  <r>
    <s v="Regular"/>
    <x v="2"/>
    <x v="4"/>
    <x v="7"/>
    <x v="3"/>
    <x v="0"/>
    <x v="0"/>
    <x v="1"/>
    <x v="5"/>
    <n v="0"/>
    <n v="0"/>
    <n v="1704.3109999999999"/>
    <n v="1704.3109999999999"/>
    <n v="1704.3109999999999"/>
    <n v="1704.3109999999999"/>
    <n v="5324"/>
    <x v="2"/>
    <n v="0"/>
    <n v="0"/>
    <n v="34"/>
    <n v="74"/>
    <n v="0"/>
    <n v="86.27"/>
    <n v="80.959999999999994"/>
    <m/>
    <n v="92.239557357245033"/>
    <n v="92.876364997803634"/>
    <n v="0"/>
    <n v="147030.90996999998"/>
    <n v="137981.01856"/>
    <n v="0"/>
    <n v="157204.89223908362"/>
    <n v="158290.21050577171"/>
  </r>
  <r>
    <s v="Refaturamento - Regular"/>
    <x v="2"/>
    <x v="4"/>
    <x v="7"/>
    <x v="3"/>
    <x v="0"/>
    <x v="0"/>
    <x v="1"/>
    <x v="5"/>
    <n v="0"/>
    <n v="0"/>
    <n v="0.877"/>
    <n v="0.877"/>
    <n v="0.877"/>
    <n v="0.877"/>
    <n v="15"/>
    <x v="2"/>
    <n v="0"/>
    <n v="0"/>
    <n v="34"/>
    <n v="74"/>
    <n v="0"/>
    <n v="86.27"/>
    <n v="80.959999999999994"/>
    <m/>
    <n v="92.239557357245033"/>
    <n v="92.876364997803634"/>
    <n v="0"/>
    <n v="75.658789999999996"/>
    <n v="71.001919999999998"/>
    <n v="0"/>
    <n v="80.89409180230389"/>
    <n v="81.452572103073791"/>
  </r>
  <r>
    <s v="Sistema de Compensação"/>
    <x v="2"/>
    <x v="4"/>
    <x v="7"/>
    <x v="3"/>
    <x v="0"/>
    <x v="0"/>
    <x v="1"/>
    <x v="5"/>
    <n v="0"/>
    <n v="0"/>
    <n v="0.75"/>
    <n v="0.75"/>
    <n v="0.75"/>
    <n v="0.75"/>
    <n v="1"/>
    <x v="2"/>
    <n v="0"/>
    <n v="0"/>
    <n v="34"/>
    <n v="74"/>
    <n v="0"/>
    <n v="86.27"/>
    <n v="80.959999999999994"/>
    <m/>
    <n v="92.239557357245033"/>
    <n v="92.876364997803634"/>
    <n v="0"/>
    <n v="64.702500000000001"/>
    <n v="60.72"/>
    <n v="0"/>
    <n v="69.179668017933778"/>
    <n v="69.657273748352722"/>
  </r>
  <r>
    <s v="Regular"/>
    <x v="2"/>
    <x v="4"/>
    <x v="7"/>
    <x v="3"/>
    <x v="0"/>
    <x v="0"/>
    <x v="1"/>
    <x v="6"/>
    <n v="0"/>
    <n v="0"/>
    <n v="1720.7809999999999"/>
    <n v="1720.7809999999999"/>
    <n v="1720.7809999999999"/>
    <n v="1720.7809999999999"/>
    <n v="5751"/>
    <x v="2"/>
    <n v="0"/>
    <n v="0"/>
    <n v="34"/>
    <n v="74"/>
    <n v="0"/>
    <n v="86.27"/>
    <n v="80.959999999999994"/>
    <m/>
    <n v="92.239557357245033"/>
    <n v="92.876364997803634"/>
    <n v="0"/>
    <n v="148451.77687"/>
    <n v="139314.42976"/>
    <n v="0"/>
    <n v="158724.07774875747"/>
    <n v="159819.88423728553"/>
  </r>
  <r>
    <s v="Refaturamento - Regular"/>
    <x v="2"/>
    <x v="4"/>
    <x v="7"/>
    <x v="3"/>
    <x v="0"/>
    <x v="0"/>
    <x v="1"/>
    <x v="6"/>
    <n v="0"/>
    <n v="0"/>
    <n v="0.33500000000000002"/>
    <n v="0.33500000000000002"/>
    <n v="0.33500000000000002"/>
    <n v="0.33500000000000002"/>
    <n v="8"/>
    <x v="2"/>
    <n v="0"/>
    <n v="0"/>
    <n v="34"/>
    <n v="74"/>
    <n v="0"/>
    <n v="86.27"/>
    <n v="80.959999999999994"/>
    <m/>
    <n v="92.239557357245033"/>
    <n v="92.876364997803634"/>
    <n v="0"/>
    <n v="28.900449999999999"/>
    <n v="27.121600000000001"/>
    <n v="0"/>
    <n v="30.900251714677086"/>
    <n v="31.113582274264218"/>
  </r>
  <r>
    <s v="Sistema de Compensação"/>
    <x v="2"/>
    <x v="4"/>
    <x v="7"/>
    <x v="3"/>
    <x v="0"/>
    <x v="0"/>
    <x v="1"/>
    <x v="6"/>
    <n v="0"/>
    <n v="0"/>
    <n v="0.87"/>
    <n v="0.87"/>
    <n v="0.87"/>
    <n v="0.87"/>
    <n v="2"/>
    <x v="2"/>
    <n v="0"/>
    <n v="0"/>
    <n v="34"/>
    <n v="74"/>
    <n v="0"/>
    <n v="86.27"/>
    <n v="80.959999999999994"/>
    <m/>
    <n v="92.239557357245033"/>
    <n v="92.876364997803634"/>
    <n v="0"/>
    <n v="75.054899999999989"/>
    <n v="70.435199999999995"/>
    <n v="0"/>
    <n v="80.248414900803184"/>
    <n v="80.802437548089159"/>
  </r>
  <r>
    <s v="Sistema de Compensação"/>
    <x v="2"/>
    <x v="4"/>
    <x v="7"/>
    <x v="3"/>
    <x v="0"/>
    <x v="0"/>
    <x v="1"/>
    <x v="6"/>
    <n v="0"/>
    <n v="0"/>
    <n v="6.9000000000000006E-2"/>
    <n v="6.9000000000000006E-2"/>
    <n v="6.9000000000000006E-2"/>
    <n v="6.9000000000000006E-2"/>
    <n v="1"/>
    <x v="2"/>
    <n v="0"/>
    <n v="0"/>
    <n v="34"/>
    <n v="74"/>
    <n v="0"/>
    <n v="86.27"/>
    <n v="80.959999999999994"/>
    <m/>
    <n v="92.239557357245033"/>
    <n v="92.876364997803634"/>
    <n v="0"/>
    <n v="5.9526300000000001"/>
    <n v="5.5862400000000001"/>
    <n v="0"/>
    <n v="6.3645294576499074"/>
    <n v="6.4084691848484514"/>
  </r>
  <r>
    <s v="Regular"/>
    <x v="2"/>
    <x v="4"/>
    <x v="7"/>
    <x v="3"/>
    <x v="0"/>
    <x v="0"/>
    <x v="1"/>
    <x v="7"/>
    <n v="0"/>
    <n v="0"/>
    <n v="1696.527"/>
    <n v="1696.527"/>
    <n v="1696.527"/>
    <n v="1696.527"/>
    <n v="5382"/>
    <x v="2"/>
    <n v="0"/>
    <n v="0"/>
    <n v="34"/>
    <n v="74"/>
    <n v="0"/>
    <n v="86.27"/>
    <n v="80.959999999999994"/>
    <m/>
    <n v="92.239557357245033"/>
    <n v="92.876364997803634"/>
    <n v="0"/>
    <n v="146359.38428999999"/>
    <n v="137350.82592"/>
    <n v="0"/>
    <n v="156486.89952461486"/>
    <n v="157567.2608806288"/>
  </r>
  <r>
    <s v="Refaturamento - Regular"/>
    <x v="2"/>
    <x v="4"/>
    <x v="7"/>
    <x v="3"/>
    <x v="0"/>
    <x v="0"/>
    <x v="1"/>
    <x v="7"/>
    <n v="0"/>
    <n v="0"/>
    <n v="2.5000000000000001E-2"/>
    <n v="2.5000000000000001E-2"/>
    <n v="2.5000000000000001E-2"/>
    <n v="2.5000000000000001E-2"/>
    <n v="2"/>
    <x v="2"/>
    <n v="0"/>
    <n v="0"/>
    <n v="34"/>
    <n v="74"/>
    <n v="0"/>
    <n v="86.27"/>
    <n v="80.959999999999994"/>
    <m/>
    <n v="92.239557357245033"/>
    <n v="92.876364997803634"/>
    <n v="0"/>
    <n v="2.1567500000000002"/>
    <n v="2.024"/>
    <n v="0"/>
    <n v="2.3059889339311259"/>
    <n v="2.3219091249450909"/>
  </r>
  <r>
    <s v="Sistema de Compensação"/>
    <x v="2"/>
    <x v="4"/>
    <x v="7"/>
    <x v="3"/>
    <x v="0"/>
    <x v="0"/>
    <x v="1"/>
    <x v="7"/>
    <n v="0"/>
    <n v="0"/>
    <n v="0.96"/>
    <n v="0.96"/>
    <n v="0.96"/>
    <n v="0.96"/>
    <n v="6"/>
    <x v="2"/>
    <n v="0"/>
    <n v="0"/>
    <n v="34"/>
    <n v="74"/>
    <n v="0"/>
    <n v="86.27"/>
    <n v="80.959999999999994"/>
    <m/>
    <n v="92.239557357245033"/>
    <n v="92.876364997803634"/>
    <n v="0"/>
    <n v="82.819199999999995"/>
    <n v="77.721599999999995"/>
    <n v="0"/>
    <n v="88.549975062955227"/>
    <n v="89.161310397891484"/>
  </r>
  <r>
    <s v="Regular"/>
    <x v="2"/>
    <x v="4"/>
    <x v="7"/>
    <x v="3"/>
    <x v="0"/>
    <x v="0"/>
    <x v="1"/>
    <x v="8"/>
    <n v="0"/>
    <n v="0"/>
    <n v="1721.364"/>
    <n v="1721.364"/>
    <n v="1721.364"/>
    <n v="1721.364"/>
    <n v="5232"/>
    <x v="2"/>
    <n v="0"/>
    <n v="0"/>
    <n v="34"/>
    <n v="74"/>
    <n v="0"/>
    <n v="86.27"/>
    <n v="80.959999999999994"/>
    <m/>
    <n v="92.239557357245033"/>
    <n v="92.876364997803634"/>
    <n v="0"/>
    <n v="148502.07227999999"/>
    <n v="139361.62943999999"/>
    <n v="0"/>
    <n v="158777.85341069676"/>
    <n v="159874.03115807925"/>
  </r>
  <r>
    <s v="Sistema de Compensação"/>
    <x v="2"/>
    <x v="4"/>
    <x v="7"/>
    <x v="3"/>
    <x v="0"/>
    <x v="0"/>
    <x v="1"/>
    <x v="8"/>
    <n v="0"/>
    <n v="0"/>
    <n v="1.08"/>
    <n v="1.08"/>
    <n v="1.08"/>
    <n v="1.08"/>
    <n v="2"/>
    <x v="2"/>
    <n v="0"/>
    <n v="0"/>
    <n v="34"/>
    <n v="74"/>
    <n v="0"/>
    <n v="86.27"/>
    <n v="80.959999999999994"/>
    <m/>
    <n v="92.239557357245033"/>
    <n v="92.876364997803634"/>
    <n v="0"/>
    <n v="93.171599999999998"/>
    <n v="87.436800000000005"/>
    <n v="0"/>
    <n v="99.618721945824646"/>
    <n v="100.30647419762794"/>
  </r>
  <r>
    <s v="Regular"/>
    <x v="2"/>
    <x v="4"/>
    <x v="7"/>
    <x v="3"/>
    <x v="0"/>
    <x v="0"/>
    <x v="1"/>
    <x v="9"/>
    <n v="0"/>
    <n v="0"/>
    <n v="1726.7349999999999"/>
    <n v="1726.7349999999999"/>
    <n v="1726.7349999999999"/>
    <n v="1726.7349999999999"/>
    <n v="5311"/>
    <x v="2"/>
    <n v="0"/>
    <n v="0"/>
    <n v="34"/>
    <n v="74"/>
    <n v="0"/>
    <n v="86.27"/>
    <n v="80.959999999999994"/>
    <m/>
    <n v="92.239557357245033"/>
    <n v="92.876364997803634"/>
    <n v="0"/>
    <n v="148965.42844999998"/>
    <n v="139796.46559999997"/>
    <n v="0"/>
    <n v="159273.27207326249"/>
    <n v="160372.87011448244"/>
  </r>
  <r>
    <s v="Refaturamento - Regular"/>
    <x v="2"/>
    <x v="4"/>
    <x v="7"/>
    <x v="3"/>
    <x v="0"/>
    <x v="0"/>
    <x v="1"/>
    <x v="9"/>
    <n v="0"/>
    <n v="0"/>
    <n v="0.46300000000000002"/>
    <n v="0.46300000000000002"/>
    <n v="0.46300000000000002"/>
    <n v="0.46300000000000002"/>
    <n v="4"/>
    <x v="2"/>
    <n v="0"/>
    <n v="0"/>
    <n v="34"/>
    <n v="74"/>
    <n v="0"/>
    <n v="86.27"/>
    <n v="80.959999999999994"/>
    <m/>
    <n v="92.239557357245033"/>
    <n v="92.876364997803634"/>
    <n v="0"/>
    <n v="39.943010000000001"/>
    <n v="37.484479999999998"/>
    <n v="0"/>
    <n v="42.706915056404455"/>
    <n v="43.001756993983086"/>
  </r>
  <r>
    <s v="Sistema de Compensação"/>
    <x v="2"/>
    <x v="4"/>
    <x v="7"/>
    <x v="3"/>
    <x v="0"/>
    <x v="0"/>
    <x v="1"/>
    <x v="9"/>
    <n v="0"/>
    <n v="0"/>
    <n v="1.2"/>
    <n v="1.2"/>
    <n v="1.2"/>
    <n v="1.2"/>
    <n v="3"/>
    <x v="2"/>
    <n v="0"/>
    <n v="0"/>
    <n v="34"/>
    <n v="74"/>
    <n v="0"/>
    <n v="86.27"/>
    <n v="80.959999999999994"/>
    <m/>
    <n v="92.239557357245033"/>
    <n v="92.876364997803634"/>
    <n v="0"/>
    <n v="103.52399999999999"/>
    <n v="97.151999999999987"/>
    <n v="0"/>
    <n v="110.68746882869404"/>
    <n v="111.45163799736436"/>
  </r>
  <r>
    <s v="Regular"/>
    <x v="2"/>
    <x v="4"/>
    <x v="7"/>
    <x v="3"/>
    <x v="0"/>
    <x v="0"/>
    <x v="1"/>
    <x v="10"/>
    <n v="0"/>
    <n v="0"/>
    <n v="1723.4369999999999"/>
    <n v="1723.4369999999999"/>
    <n v="1723.4369999999999"/>
    <n v="1723.4369999999999"/>
    <n v="5075"/>
    <x v="2"/>
    <n v="0"/>
    <n v="0"/>
    <n v="34"/>
    <n v="74"/>
    <n v="0"/>
    <n v="86.27"/>
    <n v="80.959999999999994"/>
    <m/>
    <n v="92.239557357245033"/>
    <n v="92.876364997803634"/>
    <n v="0"/>
    <n v="148680.90998999999"/>
    <n v="139529.45951999997"/>
    <n v="0"/>
    <n v="158969.06601309829"/>
    <n v="160066.56386271969"/>
  </r>
  <r>
    <s v="Refaturamento - Regular"/>
    <x v="2"/>
    <x v="4"/>
    <x v="7"/>
    <x v="3"/>
    <x v="0"/>
    <x v="0"/>
    <x v="1"/>
    <x v="10"/>
    <n v="0"/>
    <n v="0"/>
    <n v="0.56299999999999994"/>
    <n v="0.56299999999999994"/>
    <n v="0.56299999999999994"/>
    <n v="0.56299999999999994"/>
    <n v="6"/>
    <x v="2"/>
    <n v="0"/>
    <n v="0"/>
    <n v="34"/>
    <n v="74"/>
    <n v="0"/>
    <n v="86.27"/>
    <n v="80.959999999999994"/>
    <m/>
    <n v="92.239557357245033"/>
    <n v="92.876364997803634"/>
    <n v="0"/>
    <n v="48.570009999999996"/>
    <n v="45.580479999999994"/>
    <n v="0"/>
    <n v="51.93087079212895"/>
    <n v="52.289393493763441"/>
  </r>
  <r>
    <s v="Sistema de Compensação"/>
    <x v="2"/>
    <x v="4"/>
    <x v="7"/>
    <x v="3"/>
    <x v="0"/>
    <x v="0"/>
    <x v="1"/>
    <x v="10"/>
    <n v="0"/>
    <n v="0"/>
    <n v="1.38"/>
    <n v="1.38"/>
    <n v="1.38"/>
    <n v="1.38"/>
    <n v="7"/>
    <x v="2"/>
    <n v="0"/>
    <n v="0"/>
    <n v="34"/>
    <n v="74"/>
    <n v="0"/>
    <n v="86.27"/>
    <n v="80.959999999999994"/>
    <m/>
    <n v="92.239557357245033"/>
    <n v="92.876364997803634"/>
    <n v="0"/>
    <n v="119.05259999999998"/>
    <n v="111.72479999999999"/>
    <n v="0"/>
    <n v="127.29058915299814"/>
    <n v="128.16938369696899"/>
  </r>
  <r>
    <s v="PROJETADO"/>
    <x v="2"/>
    <x v="4"/>
    <x v="7"/>
    <x v="3"/>
    <x v="0"/>
    <x v="0"/>
    <x v="1"/>
    <x v="11"/>
    <n v="0"/>
    <n v="0"/>
    <n v="1723.4369999999999"/>
    <n v="1723.4369999999999"/>
    <n v="1723.4369999999999"/>
    <n v="1723.4369999999999"/>
    <n v="5075"/>
    <x v="2"/>
    <n v="0"/>
    <n v="0"/>
    <n v="34"/>
    <n v="74"/>
    <n v="0"/>
    <n v="86.27"/>
    <n v="80.959999999999994"/>
    <m/>
    <n v="92.239557357245033"/>
    <n v="92.876364997803634"/>
    <n v="0"/>
    <n v="148680.90998999999"/>
    <n v="139529.45951999997"/>
    <n v="0"/>
    <n v="158969.06601309829"/>
    <n v="160066.56386271969"/>
  </r>
  <r>
    <s v="PROJETADO"/>
    <x v="2"/>
    <x v="4"/>
    <x v="7"/>
    <x v="3"/>
    <x v="0"/>
    <x v="0"/>
    <x v="1"/>
    <x v="11"/>
    <n v="0"/>
    <n v="0"/>
    <n v="0.56299999999999994"/>
    <n v="0.56299999999999994"/>
    <n v="0.56299999999999994"/>
    <n v="0.56299999999999994"/>
    <n v="6"/>
    <x v="2"/>
    <n v="0"/>
    <n v="0"/>
    <n v="34"/>
    <n v="74"/>
    <n v="0"/>
    <n v="86.27"/>
    <n v="80.959999999999994"/>
    <m/>
    <n v="92.239557357245033"/>
    <n v="92.876364997803634"/>
    <n v="0"/>
    <n v="48.570009999999996"/>
    <n v="45.580479999999994"/>
    <n v="0"/>
    <n v="51.93087079212895"/>
    <n v="52.289393493763441"/>
  </r>
  <r>
    <s v="PROJETADO"/>
    <x v="2"/>
    <x v="4"/>
    <x v="7"/>
    <x v="3"/>
    <x v="0"/>
    <x v="0"/>
    <x v="1"/>
    <x v="11"/>
    <n v="0"/>
    <n v="0"/>
    <n v="1.38"/>
    <n v="1.38"/>
    <n v="1.38"/>
    <n v="1.38"/>
    <n v="7"/>
    <x v="2"/>
    <n v="0"/>
    <n v="0"/>
    <n v="34"/>
    <n v="74"/>
    <n v="0"/>
    <n v="86.27"/>
    <n v="80.959999999999994"/>
    <m/>
    <n v="92.239557357245033"/>
    <n v="92.876364997803634"/>
    <n v="0"/>
    <n v="119.05259999999998"/>
    <n v="111.72479999999999"/>
    <n v="0"/>
    <n v="127.29058915299814"/>
    <n v="128.16938369696899"/>
  </r>
  <r>
    <s v="Regular"/>
    <x v="2"/>
    <x v="4"/>
    <x v="7"/>
    <x v="4"/>
    <x v="0"/>
    <x v="0"/>
    <x v="1"/>
    <x v="0"/>
    <n v="0"/>
    <n v="0"/>
    <n v="2680.0149999999999"/>
    <n v="2680.0149999999999"/>
    <n v="2680.0149999999999"/>
    <n v="2680.0149999999999"/>
    <n v="28218"/>
    <x v="2"/>
    <n v="0"/>
    <n v="0"/>
    <n v="35"/>
    <n v="75"/>
    <n v="0"/>
    <n v="147.9"/>
    <n v="138.80000000000001"/>
    <m/>
    <n v="158.12495546956293"/>
    <n v="159.2166257105205"/>
    <n v="0"/>
    <n v="396374.21850000002"/>
    <n v="371986.08199999999"/>
    <n v="0"/>
    <n v="423777.25253276067"/>
    <n v="426702.94515358057"/>
  </r>
  <r>
    <s v="Refaturamento - Regular"/>
    <x v="2"/>
    <x v="4"/>
    <x v="7"/>
    <x v="4"/>
    <x v="0"/>
    <x v="0"/>
    <x v="1"/>
    <x v="0"/>
    <n v="0"/>
    <n v="0"/>
    <n v="-0.19600000000000001"/>
    <n v="-0.19600000000000001"/>
    <n v="-0.19600000000000001"/>
    <n v="-0.19600000000000001"/>
    <n v="-2"/>
    <x v="2"/>
    <n v="0"/>
    <n v="0"/>
    <n v="35"/>
    <n v="75"/>
    <n v="0"/>
    <n v="147.9"/>
    <n v="138.80000000000001"/>
    <m/>
    <n v="158.12495546956293"/>
    <n v="159.2166257105205"/>
    <n v="0"/>
    <n v="-28.988400000000002"/>
    <n v="-27.204800000000002"/>
    <n v="0"/>
    <n v="-30.992491272034336"/>
    <n v="-31.206458639262021"/>
  </r>
  <r>
    <s v="Sistema de Compensação"/>
    <x v="2"/>
    <x v="4"/>
    <x v="7"/>
    <x v="4"/>
    <x v="0"/>
    <x v="0"/>
    <x v="1"/>
    <x v="0"/>
    <n v="0"/>
    <n v="0"/>
    <n v="0.55200000000000005"/>
    <n v="0.55200000000000005"/>
    <n v="0.55200000000000005"/>
    <n v="0.55200000000000005"/>
    <n v="2"/>
    <x v="2"/>
    <n v="0"/>
    <n v="0"/>
    <n v="35"/>
    <n v="75"/>
    <n v="0"/>
    <n v="147.9"/>
    <n v="138.80000000000001"/>
    <m/>
    <n v="158.12495546956293"/>
    <n v="159.2166257105205"/>
    <n v="0"/>
    <n v="81.640800000000013"/>
    <n v="76.61760000000001"/>
    <n v="0"/>
    <n v="87.284975419198744"/>
    <n v="87.887577392207319"/>
  </r>
  <r>
    <s v="Regular"/>
    <x v="2"/>
    <x v="4"/>
    <x v="7"/>
    <x v="4"/>
    <x v="0"/>
    <x v="0"/>
    <x v="1"/>
    <x v="1"/>
    <n v="0"/>
    <n v="0"/>
    <n v="2801.6529999999998"/>
    <n v="2801.6529999999998"/>
    <n v="2801.6529999999998"/>
    <n v="2801.6529999999998"/>
    <n v="26252"/>
    <x v="2"/>
    <n v="0"/>
    <n v="0"/>
    <n v="35"/>
    <n v="75"/>
    <n v="0"/>
    <n v="147.9"/>
    <n v="138.80000000000001"/>
    <m/>
    <n v="158.12495546956293"/>
    <n v="159.2166257105205"/>
    <n v="0"/>
    <n v="414364.47869999998"/>
    <n v="388869.43640000001"/>
    <n v="0"/>
    <n v="443011.25586616737"/>
    <n v="446069.73707175686"/>
  </r>
  <r>
    <s v="Refaturamento - Regular"/>
    <x v="2"/>
    <x v="4"/>
    <x v="7"/>
    <x v="4"/>
    <x v="0"/>
    <x v="0"/>
    <x v="1"/>
    <x v="1"/>
    <n v="0"/>
    <n v="0"/>
    <n v="-0.52700000000000002"/>
    <n v="-0.52700000000000002"/>
    <n v="-0.52700000000000002"/>
    <n v="-0.52700000000000002"/>
    <n v="-4"/>
    <x v="2"/>
    <n v="0"/>
    <n v="0"/>
    <n v="35"/>
    <n v="75"/>
    <n v="0"/>
    <n v="147.9"/>
    <n v="138.80000000000001"/>
    <m/>
    <n v="158.12495546956293"/>
    <n v="159.2166257105205"/>
    <n v="0"/>
    <n v="-77.943300000000008"/>
    <n v="-73.147600000000011"/>
    <n v="0"/>
    <n v="-83.331851532459666"/>
    <n v="-83.907161749444313"/>
  </r>
  <r>
    <s v="Sistema de Compensação"/>
    <x v="2"/>
    <x v="4"/>
    <x v="7"/>
    <x v="4"/>
    <x v="0"/>
    <x v="0"/>
    <x v="1"/>
    <x v="1"/>
    <n v="0"/>
    <n v="0"/>
    <n v="0.35399999999999998"/>
    <n v="0.35399999999999998"/>
    <n v="0.35399999999999998"/>
    <n v="0.35399999999999998"/>
    <n v="1"/>
    <x v="2"/>
    <n v="0"/>
    <n v="0"/>
    <n v="35"/>
    <n v="75"/>
    <n v="0"/>
    <n v="147.9"/>
    <n v="138.80000000000001"/>
    <m/>
    <n v="158.12495546956293"/>
    <n v="159.2166257105205"/>
    <n v="0"/>
    <n v="52.3566"/>
    <n v="49.135200000000005"/>
    <n v="0"/>
    <n v="55.976234236225274"/>
    <n v="56.362685501524254"/>
  </r>
  <r>
    <s v="Regular"/>
    <x v="2"/>
    <x v="4"/>
    <x v="7"/>
    <x v="4"/>
    <x v="0"/>
    <x v="0"/>
    <x v="1"/>
    <x v="2"/>
    <n v="0"/>
    <n v="0"/>
    <n v="2819.8029999999999"/>
    <n v="2819.8029999999999"/>
    <n v="2819.8029999999999"/>
    <n v="2819.8029999999999"/>
    <n v="25869"/>
    <x v="2"/>
    <n v="0"/>
    <n v="0"/>
    <n v="35"/>
    <n v="75"/>
    <n v="0"/>
    <n v="147.9"/>
    <n v="138.80000000000001"/>
    <m/>
    <n v="158.12495546956293"/>
    <n v="159.2166257105205"/>
    <n v="0"/>
    <n v="417048.86369999999"/>
    <n v="391388.65640000004"/>
    <n v="0"/>
    <n v="445881.22380793997"/>
    <n v="448959.51882840286"/>
  </r>
  <r>
    <s v="Refaturamento - Regular"/>
    <x v="2"/>
    <x v="4"/>
    <x v="7"/>
    <x v="4"/>
    <x v="0"/>
    <x v="0"/>
    <x v="1"/>
    <x v="2"/>
    <n v="0"/>
    <n v="0"/>
    <n v="-7.0000000000000007E-2"/>
    <n v="-7.0000000000000007E-2"/>
    <n v="-7.0000000000000007E-2"/>
    <n v="-7.0000000000000007E-2"/>
    <n v="0"/>
    <x v="2"/>
    <n v="0"/>
    <n v="0"/>
    <n v="35"/>
    <n v="75"/>
    <n v="0"/>
    <n v="147.9"/>
    <n v="138.80000000000001"/>
    <m/>
    <n v="158.12495546956293"/>
    <n v="159.2166257105205"/>
    <n v="0"/>
    <n v="-10.353000000000002"/>
    <n v="-9.7160000000000011"/>
    <n v="0"/>
    <n v="-11.068746882869407"/>
    <n v="-11.145163799736435"/>
  </r>
  <r>
    <s v="Sistema de Compensação"/>
    <x v="2"/>
    <x v="4"/>
    <x v="7"/>
    <x v="4"/>
    <x v="0"/>
    <x v="0"/>
    <x v="1"/>
    <x v="2"/>
    <n v="0"/>
    <n v="0"/>
    <n v="0.35"/>
    <n v="0.35"/>
    <n v="0.35"/>
    <n v="0.35"/>
    <n v="1"/>
    <x v="2"/>
    <n v="0"/>
    <n v="0"/>
    <n v="35"/>
    <n v="75"/>
    <n v="0"/>
    <n v="147.9"/>
    <n v="138.80000000000001"/>
    <m/>
    <n v="158.12495546956293"/>
    <n v="159.2166257105205"/>
    <n v="0"/>
    <n v="51.765000000000001"/>
    <n v="48.58"/>
    <n v="0"/>
    <n v="55.343734414347026"/>
    <n v="55.725818998682172"/>
  </r>
  <r>
    <s v="Regular"/>
    <x v="2"/>
    <x v="4"/>
    <x v="7"/>
    <x v="4"/>
    <x v="0"/>
    <x v="0"/>
    <x v="1"/>
    <x v="3"/>
    <n v="0"/>
    <n v="0"/>
    <n v="2696.9549999999999"/>
    <n v="2696.9549999999999"/>
    <n v="2696.9549999999999"/>
    <n v="2696.9549999999999"/>
    <n v="28492"/>
    <x v="2"/>
    <n v="0"/>
    <n v="0"/>
    <n v="35"/>
    <n v="75"/>
    <n v="0"/>
    <n v="147.9"/>
    <n v="138.80000000000001"/>
    <m/>
    <n v="158.12495546956293"/>
    <n v="159.2166257105205"/>
    <n v="0"/>
    <n v="398879.64449999999"/>
    <n v="374337.35399999999"/>
    <n v="0"/>
    <n v="426455.88927841507"/>
    <n v="429400.07479311683"/>
  </r>
  <r>
    <s v="Refaturamento - Regular"/>
    <x v="2"/>
    <x v="4"/>
    <x v="7"/>
    <x v="4"/>
    <x v="0"/>
    <x v="0"/>
    <x v="1"/>
    <x v="3"/>
    <n v="0"/>
    <n v="0"/>
    <n v="-0.21"/>
    <n v="-0.21"/>
    <n v="-0.21"/>
    <n v="-0.21"/>
    <n v="0"/>
    <x v="2"/>
    <n v="0"/>
    <n v="0"/>
    <n v="35"/>
    <n v="75"/>
    <n v="0"/>
    <n v="147.9"/>
    <n v="138.80000000000001"/>
    <m/>
    <n v="158.12495546956293"/>
    <n v="159.2166257105205"/>
    <n v="0"/>
    <n v="-31.059000000000001"/>
    <n v="-29.148"/>
    <n v="0"/>
    <n v="-33.206240648608215"/>
    <n v="-33.435491399209305"/>
  </r>
  <r>
    <s v="Sistema de Compensação"/>
    <x v="2"/>
    <x v="4"/>
    <x v="7"/>
    <x v="4"/>
    <x v="0"/>
    <x v="0"/>
    <x v="1"/>
    <x v="3"/>
    <n v="0"/>
    <n v="0"/>
    <n v="0.42399999999999999"/>
    <n v="0.42399999999999999"/>
    <n v="0.42399999999999999"/>
    <n v="0.42399999999999999"/>
    <n v="1"/>
    <x v="2"/>
    <n v="0"/>
    <n v="0"/>
    <n v="35"/>
    <n v="75"/>
    <n v="0"/>
    <n v="147.9"/>
    <n v="138.80000000000001"/>
    <m/>
    <n v="158.12495546956293"/>
    <n v="159.2166257105205"/>
    <n v="0"/>
    <n v="62.709600000000002"/>
    <n v="58.851200000000006"/>
    <n v="0"/>
    <n v="67.044981119094686"/>
    <n v="67.507849301260691"/>
  </r>
  <r>
    <s v="Regular"/>
    <x v="2"/>
    <x v="4"/>
    <x v="7"/>
    <x v="4"/>
    <x v="0"/>
    <x v="0"/>
    <x v="1"/>
    <x v="4"/>
    <n v="0"/>
    <n v="0"/>
    <n v="2604.1880000000001"/>
    <n v="2604.1880000000001"/>
    <n v="2604.1880000000001"/>
    <n v="2604.1880000000001"/>
    <n v="30535"/>
    <x v="2"/>
    <n v="0"/>
    <n v="0"/>
    <n v="35"/>
    <n v="75"/>
    <n v="0"/>
    <n v="147.9"/>
    <n v="138.80000000000001"/>
    <m/>
    <n v="158.12495546956293"/>
    <n v="159.2166257105205"/>
    <n v="0"/>
    <n v="385159.40520000004"/>
    <n v="361461.29440000007"/>
    <n v="0"/>
    <n v="411787.11153437017"/>
    <n v="414630.026075829"/>
  </r>
  <r>
    <s v="Refaturamento - Regular"/>
    <x v="2"/>
    <x v="4"/>
    <x v="7"/>
    <x v="4"/>
    <x v="0"/>
    <x v="0"/>
    <x v="1"/>
    <x v="4"/>
    <n v="0"/>
    <n v="0"/>
    <n v="-0.42"/>
    <n v="-0.42"/>
    <n v="-0.42"/>
    <n v="-0.42"/>
    <n v="0"/>
    <x v="2"/>
    <n v="0"/>
    <n v="0"/>
    <n v="35"/>
    <n v="75"/>
    <n v="0"/>
    <n v="147.9"/>
    <n v="138.80000000000001"/>
    <m/>
    <n v="158.12495546956293"/>
    <n v="159.2166257105205"/>
    <n v="0"/>
    <n v="-62.118000000000002"/>
    <n v="-58.295999999999999"/>
    <n v="0"/>
    <n v="-66.412481297216431"/>
    <n v="-66.870982798418609"/>
  </r>
  <r>
    <s v="Sistema de Compensação"/>
    <x v="2"/>
    <x v="4"/>
    <x v="7"/>
    <x v="4"/>
    <x v="0"/>
    <x v="0"/>
    <x v="1"/>
    <x v="4"/>
    <n v="0"/>
    <n v="0"/>
    <n v="0.56000000000000005"/>
    <n v="0.56000000000000005"/>
    <n v="0.56000000000000005"/>
    <n v="0.56000000000000005"/>
    <n v="2"/>
    <x v="2"/>
    <n v="0"/>
    <n v="0"/>
    <n v="35"/>
    <n v="75"/>
    <n v="0"/>
    <n v="147.9"/>
    <n v="138.80000000000001"/>
    <m/>
    <n v="158.12495546956293"/>
    <n v="159.2166257105205"/>
    <n v="0"/>
    <n v="82.824000000000012"/>
    <n v="77.728000000000009"/>
    <n v="0"/>
    <n v="88.549975062955255"/>
    <n v="89.161310397891484"/>
  </r>
  <r>
    <s v="Regular"/>
    <x v="2"/>
    <x v="4"/>
    <x v="7"/>
    <x v="4"/>
    <x v="0"/>
    <x v="0"/>
    <x v="1"/>
    <x v="5"/>
    <n v="0"/>
    <n v="0"/>
    <n v="2703.8040000000001"/>
    <n v="2703.8040000000001"/>
    <n v="2703.8040000000001"/>
    <n v="2703.8040000000001"/>
    <n v="29593"/>
    <x v="2"/>
    <n v="0"/>
    <n v="0"/>
    <n v="35"/>
    <n v="75"/>
    <n v="0"/>
    <n v="147.9"/>
    <n v="138.80000000000001"/>
    <m/>
    <n v="158.12495546956293"/>
    <n v="159.2166257105205"/>
    <n v="0"/>
    <n v="399892.6116"/>
    <n v="375287.99520000006"/>
    <n v="0"/>
    <n v="427538.88709842617"/>
    <n v="430490.54946260818"/>
  </r>
  <r>
    <s v="Refaturamento - Regular"/>
    <x v="2"/>
    <x v="4"/>
    <x v="7"/>
    <x v="4"/>
    <x v="0"/>
    <x v="0"/>
    <x v="1"/>
    <x v="5"/>
    <n v="0"/>
    <n v="0"/>
    <n v="-1.1200000000000001"/>
    <n v="-1.1200000000000001"/>
    <n v="-1.1200000000000001"/>
    <n v="-1.1200000000000001"/>
    <n v="0"/>
    <x v="2"/>
    <n v="0"/>
    <n v="0"/>
    <n v="35"/>
    <n v="75"/>
    <n v="0"/>
    <n v="147.9"/>
    <n v="138.80000000000001"/>
    <m/>
    <n v="158.12495546956293"/>
    <n v="159.2166257105205"/>
    <n v="0"/>
    <n v="-165.64800000000002"/>
    <n v="-155.45600000000002"/>
    <n v="0"/>
    <n v="-177.09995012591051"/>
    <n v="-178.32262079578297"/>
  </r>
  <r>
    <s v="Sistema de Compensação"/>
    <x v="2"/>
    <x v="4"/>
    <x v="7"/>
    <x v="4"/>
    <x v="0"/>
    <x v="0"/>
    <x v="1"/>
    <x v="5"/>
    <n v="0"/>
    <n v="0"/>
    <n v="1.0329999999999999"/>
    <n v="1.0329999999999999"/>
    <n v="1.0329999999999999"/>
    <n v="1.0329999999999999"/>
    <n v="4"/>
    <x v="2"/>
    <n v="0"/>
    <n v="0"/>
    <n v="35"/>
    <n v="75"/>
    <n v="0"/>
    <n v="147.9"/>
    <n v="138.80000000000001"/>
    <m/>
    <n v="158.12495546956293"/>
    <n v="159.2166257105205"/>
    <n v="0"/>
    <n v="152.7807"/>
    <n v="143.38040000000001"/>
    <n v="0"/>
    <n v="163.34307900005851"/>
    <n v="164.47077435896767"/>
  </r>
  <r>
    <s v="Regular"/>
    <x v="2"/>
    <x v="4"/>
    <x v="7"/>
    <x v="4"/>
    <x v="0"/>
    <x v="0"/>
    <x v="1"/>
    <x v="6"/>
    <n v="0"/>
    <n v="0"/>
    <n v="2601.038"/>
    <n v="2601.038"/>
    <n v="2601.038"/>
    <n v="2601.038"/>
    <n v="31913"/>
    <x v="2"/>
    <n v="0"/>
    <n v="0"/>
    <n v="35"/>
    <n v="75"/>
    <n v="0"/>
    <n v="147.9"/>
    <n v="138.80000000000001"/>
    <m/>
    <n v="158.12495546956293"/>
    <n v="159.2166257105205"/>
    <n v="0"/>
    <n v="384693.52020000003"/>
    <n v="361024.07440000004"/>
    <n v="0"/>
    <n v="411289.01792464103"/>
    <n v="414128.49370484083"/>
  </r>
  <r>
    <s v="Refaturamento - Regular"/>
    <x v="2"/>
    <x v="4"/>
    <x v="7"/>
    <x v="4"/>
    <x v="0"/>
    <x v="0"/>
    <x v="1"/>
    <x v="6"/>
    <n v="0"/>
    <n v="0"/>
    <n v="-0.55600000000000005"/>
    <n v="-0.55600000000000005"/>
    <n v="-0.55600000000000005"/>
    <n v="-0.55600000000000005"/>
    <n v="-2"/>
    <x v="2"/>
    <n v="0"/>
    <n v="0"/>
    <n v="35"/>
    <n v="75"/>
    <n v="0"/>
    <n v="147.9"/>
    <n v="138.80000000000001"/>
    <m/>
    <n v="158.12495546956293"/>
    <n v="159.2166257105205"/>
    <n v="0"/>
    <n v="-82.232400000000013"/>
    <n v="-77.172800000000009"/>
    <n v="0"/>
    <n v="-87.917475241077"/>
    <n v="-88.524443895049401"/>
  </r>
  <r>
    <s v="Sistema de Compensação"/>
    <x v="2"/>
    <x v="4"/>
    <x v="7"/>
    <x v="4"/>
    <x v="0"/>
    <x v="0"/>
    <x v="1"/>
    <x v="6"/>
    <n v="0"/>
    <n v="0"/>
    <n v="0.94599999999999995"/>
    <n v="0.94599999999999995"/>
    <n v="0.94599999999999995"/>
    <n v="0.94599999999999995"/>
    <n v="7"/>
    <x v="2"/>
    <n v="0"/>
    <n v="0"/>
    <n v="35"/>
    <n v="75"/>
    <n v="0"/>
    <n v="147.9"/>
    <n v="138.80000000000001"/>
    <m/>
    <n v="158.12495546956293"/>
    <n v="159.2166257105205"/>
    <n v="0"/>
    <n v="139.9134"/>
    <n v="131.3048"/>
    <n v="0"/>
    <n v="149.58620787420654"/>
    <n v="150.61892792215238"/>
  </r>
  <r>
    <s v="Regular"/>
    <x v="2"/>
    <x v="4"/>
    <x v="7"/>
    <x v="4"/>
    <x v="0"/>
    <x v="0"/>
    <x v="1"/>
    <x v="7"/>
    <n v="0"/>
    <n v="0"/>
    <n v="2602.3040000000001"/>
    <n v="2602.3040000000001"/>
    <n v="2602.3040000000001"/>
    <n v="2602.3040000000001"/>
    <n v="31308"/>
    <x v="2"/>
    <n v="0"/>
    <n v="0"/>
    <n v="35"/>
    <n v="75"/>
    <n v="0"/>
    <n v="147.9"/>
    <n v="138.80000000000001"/>
    <m/>
    <n v="158.12495546956293"/>
    <n v="159.2166257105205"/>
    <n v="0"/>
    <n v="384880.76160000003"/>
    <n v="361199.79520000005"/>
    <n v="0"/>
    <n v="411489.20411826554"/>
    <n v="414330.06195299036"/>
  </r>
  <r>
    <s v="Refaturamento - Regular"/>
    <x v="2"/>
    <x v="4"/>
    <x v="7"/>
    <x v="4"/>
    <x v="0"/>
    <x v="0"/>
    <x v="1"/>
    <x v="7"/>
    <n v="0"/>
    <n v="0"/>
    <n v="-9.5000000000000001E-2"/>
    <n v="-9.5000000000000001E-2"/>
    <n v="-9.5000000000000001E-2"/>
    <n v="-9.5000000000000001E-2"/>
    <n v="-1"/>
    <x v="2"/>
    <n v="0"/>
    <n v="0"/>
    <n v="35"/>
    <n v="75"/>
    <n v="0"/>
    <n v="147.9"/>
    <n v="138.80000000000001"/>
    <m/>
    <n v="158.12495546956293"/>
    <n v="159.2166257105205"/>
    <n v="0"/>
    <n v="-14.050500000000001"/>
    <n v="-13.186000000000002"/>
    <n v="0"/>
    <n v="-15.021870769608478"/>
    <n v="-15.125579442499449"/>
  </r>
  <r>
    <s v="Sistema de Compensação"/>
    <x v="2"/>
    <x v="4"/>
    <x v="7"/>
    <x v="4"/>
    <x v="0"/>
    <x v="0"/>
    <x v="1"/>
    <x v="7"/>
    <n v="0"/>
    <n v="0"/>
    <n v="1.323"/>
    <n v="1.323"/>
    <n v="1.323"/>
    <n v="1.323"/>
    <n v="12"/>
    <x v="2"/>
    <n v="0"/>
    <n v="0"/>
    <n v="35"/>
    <n v="75"/>
    <n v="0"/>
    <n v="147.9"/>
    <n v="138.80000000000001"/>
    <m/>
    <n v="158.12495546956293"/>
    <n v="159.2166257105205"/>
    <n v="0"/>
    <n v="195.67169999999999"/>
    <n v="183.63240000000002"/>
    <n v="0"/>
    <n v="209.19931608623176"/>
    <n v="210.64359581501861"/>
  </r>
  <r>
    <s v="Regular"/>
    <x v="2"/>
    <x v="4"/>
    <x v="7"/>
    <x v="4"/>
    <x v="0"/>
    <x v="0"/>
    <x v="1"/>
    <x v="8"/>
    <n v="0"/>
    <n v="0"/>
    <n v="2749.038"/>
    <n v="2749.038"/>
    <n v="2749.038"/>
    <n v="2749.038"/>
    <n v="29929"/>
    <x v="2"/>
    <n v="0"/>
    <n v="0"/>
    <n v="35"/>
    <n v="75"/>
    <n v="0"/>
    <n v="147.9"/>
    <n v="138.80000000000001"/>
    <m/>
    <n v="158.12495546956293"/>
    <n v="159.2166257105205"/>
    <n v="0"/>
    <n v="406582.72020000004"/>
    <n v="381566.47440000001"/>
    <n v="0"/>
    <n v="434691.51133413636"/>
    <n v="437692.55430999788"/>
  </r>
  <r>
    <s v="Sistema de Compensação"/>
    <x v="2"/>
    <x v="4"/>
    <x v="7"/>
    <x v="4"/>
    <x v="0"/>
    <x v="0"/>
    <x v="1"/>
    <x v="8"/>
    <n v="0"/>
    <n v="0"/>
    <n v="1.3640000000000001"/>
    <n v="1.3640000000000001"/>
    <n v="1.3640000000000001"/>
    <n v="1.3640000000000001"/>
    <n v="11"/>
    <x v="2"/>
    <n v="0"/>
    <n v="0"/>
    <n v="35"/>
    <n v="75"/>
    <n v="0"/>
    <n v="147.9"/>
    <n v="138.80000000000001"/>
    <m/>
    <n v="158.12495546956293"/>
    <n v="159.2166257105205"/>
    <n v="0"/>
    <n v="201.73560000000003"/>
    <n v="189.32320000000004"/>
    <n v="0"/>
    <n v="215.68243926048385"/>
    <n v="217.17147746914998"/>
  </r>
  <r>
    <s v="Regular"/>
    <x v="2"/>
    <x v="4"/>
    <x v="7"/>
    <x v="4"/>
    <x v="0"/>
    <x v="0"/>
    <x v="1"/>
    <x v="9"/>
    <n v="0"/>
    <n v="0"/>
    <n v="2769.5880000000002"/>
    <n v="2769.5880000000002"/>
    <n v="2769.5880000000002"/>
    <n v="2769.5880000000002"/>
    <n v="29731"/>
    <x v="2"/>
    <n v="0"/>
    <n v="0"/>
    <n v="35"/>
    <n v="75"/>
    <n v="0"/>
    <n v="147.9"/>
    <n v="138.80000000000001"/>
    <m/>
    <n v="158.12495546956293"/>
    <n v="159.2166257105205"/>
    <n v="0"/>
    <n v="409622.06520000007"/>
    <n v="384418.81440000003"/>
    <n v="0"/>
    <n v="437940.97916903591"/>
    <n v="440964.45596834907"/>
  </r>
  <r>
    <s v="Refaturamento - Regular"/>
    <x v="2"/>
    <x v="4"/>
    <x v="7"/>
    <x v="4"/>
    <x v="0"/>
    <x v="0"/>
    <x v="1"/>
    <x v="9"/>
    <n v="0"/>
    <n v="0"/>
    <n v="-0.33100000000000002"/>
    <n v="-0.33100000000000002"/>
    <n v="-0.33100000000000002"/>
    <n v="-0.33100000000000002"/>
    <n v="-1"/>
    <x v="2"/>
    <n v="0"/>
    <n v="0"/>
    <n v="35"/>
    <n v="75"/>
    <n v="0"/>
    <n v="147.9"/>
    <n v="138.80000000000001"/>
    <m/>
    <n v="158.12495546956293"/>
    <n v="159.2166257105205"/>
    <n v="0"/>
    <n v="-48.954900000000002"/>
    <n v="-45.942800000000005"/>
    <n v="0"/>
    <n v="-52.33936026042533"/>
    <n v="-52.700703110182289"/>
  </r>
  <r>
    <s v="Sistema de Compensação"/>
    <x v="2"/>
    <x v="4"/>
    <x v="7"/>
    <x v="4"/>
    <x v="0"/>
    <x v="0"/>
    <x v="1"/>
    <x v="9"/>
    <n v="0"/>
    <n v="0"/>
    <n v="1.4750000000000001"/>
    <n v="1.4750000000000001"/>
    <n v="1.4750000000000001"/>
    <n v="1.4750000000000001"/>
    <n v="11"/>
    <x v="2"/>
    <n v="0"/>
    <n v="0"/>
    <n v="35"/>
    <n v="75"/>
    <n v="0"/>
    <n v="147.9"/>
    <n v="138.80000000000001"/>
    <m/>
    <n v="158.12495546956293"/>
    <n v="159.2166257105205"/>
    <n v="0"/>
    <n v="218.15250000000003"/>
    <n v="204.73000000000002"/>
    <n v="0"/>
    <n v="233.23430931760535"/>
    <n v="234.84452292301776"/>
  </r>
  <r>
    <s v="Regular"/>
    <x v="2"/>
    <x v="4"/>
    <x v="7"/>
    <x v="4"/>
    <x v="0"/>
    <x v="0"/>
    <x v="1"/>
    <x v="10"/>
    <n v="0"/>
    <n v="0"/>
    <n v="2835.3240000000001"/>
    <n v="2835.3240000000001"/>
    <n v="2835.3240000000001"/>
    <n v="2835.3240000000001"/>
    <n v="28527"/>
    <x v="2"/>
    <n v="0"/>
    <n v="0"/>
    <n v="35"/>
    <n v="75"/>
    <n v="0"/>
    <n v="147.9"/>
    <n v="138.80000000000001"/>
    <m/>
    <n v="158.12495546956293"/>
    <n v="159.2166257105205"/>
    <n v="0"/>
    <n v="419344.41960000002"/>
    <n v="393542.97120000003"/>
    <n v="0"/>
    <n v="448335.48124178307"/>
    <n v="451430.72007605585"/>
  </r>
  <r>
    <s v="Refaturamento - Regular"/>
    <x v="2"/>
    <x v="4"/>
    <x v="7"/>
    <x v="4"/>
    <x v="0"/>
    <x v="0"/>
    <x v="1"/>
    <x v="10"/>
    <n v="0"/>
    <n v="0"/>
    <n v="-0.27100000000000002"/>
    <n v="-0.27100000000000002"/>
    <n v="-0.27100000000000002"/>
    <n v="-0.27100000000000002"/>
    <n v="-4"/>
    <x v="2"/>
    <n v="0"/>
    <n v="0"/>
    <n v="35"/>
    <n v="75"/>
    <n v="0"/>
    <n v="147.9"/>
    <n v="138.80000000000001"/>
    <m/>
    <n v="158.12495546956293"/>
    <n v="159.2166257105205"/>
    <n v="0"/>
    <n v="-40.080900000000007"/>
    <n v="-37.614800000000002"/>
    <n v="0"/>
    <n v="-42.851862932251557"/>
    <n v="-43.147705567551057"/>
  </r>
  <r>
    <s v="Sistema de Compensação"/>
    <x v="2"/>
    <x v="4"/>
    <x v="7"/>
    <x v="4"/>
    <x v="0"/>
    <x v="0"/>
    <x v="1"/>
    <x v="10"/>
    <n v="0"/>
    <n v="0"/>
    <n v="1.7030000000000001"/>
    <n v="1.7030000000000001"/>
    <n v="1.7030000000000001"/>
    <n v="1.7030000000000001"/>
    <n v="8"/>
    <x v="2"/>
    <n v="0"/>
    <n v="0"/>
    <n v="35"/>
    <n v="75"/>
    <n v="0"/>
    <n v="147.9"/>
    <n v="138.80000000000001"/>
    <m/>
    <n v="158.12495546956293"/>
    <n v="159.2166257105205"/>
    <n v="0"/>
    <n v="251.87370000000001"/>
    <n v="236.37640000000002"/>
    <n v="0"/>
    <n v="269.28679916466569"/>
    <n v="271.14591358501644"/>
  </r>
  <r>
    <s v="PROJETADO"/>
    <x v="2"/>
    <x v="4"/>
    <x v="7"/>
    <x v="4"/>
    <x v="0"/>
    <x v="0"/>
    <x v="1"/>
    <x v="11"/>
    <n v="0"/>
    <n v="0"/>
    <n v="2835.3240000000001"/>
    <n v="2835.3240000000001"/>
    <n v="2835.3240000000001"/>
    <n v="2835.3240000000001"/>
    <n v="28527"/>
    <x v="2"/>
    <n v="0"/>
    <n v="0"/>
    <n v="35"/>
    <n v="75"/>
    <n v="0"/>
    <n v="147.9"/>
    <n v="138.80000000000001"/>
    <m/>
    <n v="158.12495546956293"/>
    <n v="159.2166257105205"/>
    <n v="0"/>
    <n v="419344.41960000002"/>
    <n v="393542.97120000003"/>
    <n v="0"/>
    <n v="448335.48124178307"/>
    <n v="451430.72007605585"/>
  </r>
  <r>
    <s v="PROJETADO"/>
    <x v="2"/>
    <x v="4"/>
    <x v="7"/>
    <x v="4"/>
    <x v="0"/>
    <x v="0"/>
    <x v="1"/>
    <x v="11"/>
    <n v="0"/>
    <n v="0"/>
    <n v="-0.27100000000000002"/>
    <n v="-0.27100000000000002"/>
    <n v="-0.27100000000000002"/>
    <n v="-0.27100000000000002"/>
    <n v="-4"/>
    <x v="2"/>
    <n v="0"/>
    <n v="0"/>
    <n v="35"/>
    <n v="75"/>
    <n v="0"/>
    <n v="147.9"/>
    <n v="138.80000000000001"/>
    <m/>
    <n v="158.12495546956293"/>
    <n v="159.2166257105205"/>
    <n v="0"/>
    <n v="-40.080900000000007"/>
    <n v="-37.614800000000002"/>
    <n v="0"/>
    <n v="-42.851862932251557"/>
    <n v="-43.147705567551057"/>
  </r>
  <r>
    <s v="PROJETADO"/>
    <x v="2"/>
    <x v="4"/>
    <x v="7"/>
    <x v="4"/>
    <x v="0"/>
    <x v="0"/>
    <x v="1"/>
    <x v="11"/>
    <n v="0"/>
    <n v="0"/>
    <n v="1.7030000000000001"/>
    <n v="1.7030000000000001"/>
    <n v="1.7030000000000001"/>
    <n v="1.7030000000000001"/>
    <n v="8"/>
    <x v="2"/>
    <n v="0"/>
    <n v="0"/>
    <n v="35"/>
    <n v="75"/>
    <n v="0"/>
    <n v="147.9"/>
    <n v="138.80000000000001"/>
    <m/>
    <n v="158.12495546956293"/>
    <n v="159.2166257105205"/>
    <n v="0"/>
    <n v="251.87370000000001"/>
    <n v="236.37640000000002"/>
    <n v="0"/>
    <n v="269.28679916466569"/>
    <n v="271.14591358501644"/>
  </r>
  <r>
    <s v="Regular"/>
    <x v="2"/>
    <x v="4"/>
    <x v="7"/>
    <x v="5"/>
    <x v="0"/>
    <x v="0"/>
    <x v="1"/>
    <x v="0"/>
    <n v="0"/>
    <n v="0"/>
    <n v="1090.69"/>
    <n v="1090.69"/>
    <n v="1090.69"/>
    <n v="1090.69"/>
    <n v="19553"/>
    <x v="2"/>
    <n v="0"/>
    <n v="0"/>
    <n v="36"/>
    <n v="76"/>
    <n v="0"/>
    <n v="221.85"/>
    <n v="208.2"/>
    <m/>
    <n v="237.18743320434439"/>
    <n v="238.8249385657808"/>
    <n v="0"/>
    <n v="241969.5765"/>
    <n v="227081.658"/>
    <n v="0"/>
    <n v="258697.96152164639"/>
    <n v="260483.97224431147"/>
  </r>
  <r>
    <s v="Refaturamento - Regular"/>
    <x v="2"/>
    <x v="4"/>
    <x v="7"/>
    <x v="5"/>
    <x v="0"/>
    <x v="0"/>
    <x v="1"/>
    <x v="0"/>
    <n v="0"/>
    <n v="0"/>
    <n v="-4.9000000000000002E-2"/>
    <n v="-4.9000000000000002E-2"/>
    <n v="-4.9000000000000002E-2"/>
    <n v="-4.9000000000000002E-2"/>
    <n v="-1"/>
    <x v="2"/>
    <n v="0"/>
    <n v="0"/>
    <n v="36"/>
    <n v="76"/>
    <n v="0"/>
    <n v="221.85"/>
    <n v="208.2"/>
    <m/>
    <n v="237.18743320434439"/>
    <n v="238.8249385657808"/>
    <n v="0"/>
    <n v="-10.870649999999999"/>
    <n v="-10.2018"/>
    <n v="0"/>
    <n v="-11.622184227012875"/>
    <n v="-11.702421989723259"/>
  </r>
  <r>
    <s v="Sistema de Compensação"/>
    <x v="2"/>
    <x v="4"/>
    <x v="7"/>
    <x v="5"/>
    <x v="0"/>
    <x v="0"/>
    <x v="1"/>
    <x v="0"/>
    <n v="0"/>
    <n v="0"/>
    <n v="0.187"/>
    <n v="0.187"/>
    <n v="0.187"/>
    <n v="0.187"/>
    <n v="5"/>
    <x v="2"/>
    <n v="0"/>
    <n v="0"/>
    <n v="36"/>
    <n v="76"/>
    <n v="0"/>
    <n v="221.85"/>
    <n v="208.2"/>
    <m/>
    <n v="237.18743320434439"/>
    <n v="238.8249385657808"/>
    <n v="0"/>
    <n v="41.485949999999995"/>
    <n v="38.933399999999999"/>
    <n v="0"/>
    <n v="44.354050009212401"/>
    <n v="44.660263511801006"/>
  </r>
  <r>
    <s v="Regular"/>
    <x v="2"/>
    <x v="4"/>
    <x v="7"/>
    <x v="5"/>
    <x v="0"/>
    <x v="0"/>
    <x v="1"/>
    <x v="1"/>
    <n v="0"/>
    <n v="0"/>
    <n v="1264.3520000000001"/>
    <n v="1264.3520000000001"/>
    <n v="1264.3520000000001"/>
    <n v="1264.3520000000001"/>
    <n v="21419"/>
    <x v="2"/>
    <n v="0"/>
    <n v="0"/>
    <n v="36"/>
    <n v="76"/>
    <n v="0"/>
    <n v="221.85"/>
    <n v="208.2"/>
    <m/>
    <n v="237.18743320434439"/>
    <n v="238.8249385657808"/>
    <n v="0"/>
    <n v="280496.49119999999"/>
    <n v="263238.08640000003"/>
    <n v="0"/>
    <n v="299888.40554677928"/>
    <n v="301958.78872552211"/>
  </r>
  <r>
    <s v="Refaturamento - Regular"/>
    <x v="2"/>
    <x v="4"/>
    <x v="7"/>
    <x v="5"/>
    <x v="0"/>
    <x v="0"/>
    <x v="1"/>
    <x v="1"/>
    <n v="0"/>
    <n v="0"/>
    <n v="-0.39400000000000002"/>
    <n v="-0.39400000000000002"/>
    <n v="-0.39400000000000002"/>
    <n v="-0.39400000000000002"/>
    <n v="-3"/>
    <x v="2"/>
    <n v="0"/>
    <n v="0"/>
    <n v="36"/>
    <n v="76"/>
    <n v="0"/>
    <n v="221.85"/>
    <n v="208.2"/>
    <m/>
    <n v="237.18743320434439"/>
    <n v="238.8249385657808"/>
    <n v="0"/>
    <n v="-87.408900000000003"/>
    <n v="-82.030799999999999"/>
    <n v="0"/>
    <n v="-93.451848682511695"/>
    <n v="-94.097025794917641"/>
  </r>
  <r>
    <s v="Sistema de Compensação"/>
    <x v="2"/>
    <x v="4"/>
    <x v="7"/>
    <x v="5"/>
    <x v="0"/>
    <x v="0"/>
    <x v="1"/>
    <x v="1"/>
    <n v="0"/>
    <n v="0"/>
    <n v="7.0000000000000007E-2"/>
    <n v="7.0000000000000007E-2"/>
    <n v="7.0000000000000007E-2"/>
    <n v="7.0000000000000007E-2"/>
    <n v="8"/>
    <x v="2"/>
    <n v="0"/>
    <n v="0"/>
    <n v="36"/>
    <n v="76"/>
    <n v="0"/>
    <n v="221.85"/>
    <n v="208.2"/>
    <m/>
    <n v="237.18743320434439"/>
    <n v="238.8249385657808"/>
    <n v="0"/>
    <n v="15.529500000000001"/>
    <n v="14.574"/>
    <n v="0"/>
    <n v="16.603120324304108"/>
    <n v="16.717745699604656"/>
  </r>
  <r>
    <s v="Regular"/>
    <x v="2"/>
    <x v="4"/>
    <x v="7"/>
    <x v="5"/>
    <x v="0"/>
    <x v="0"/>
    <x v="1"/>
    <x v="2"/>
    <n v="0"/>
    <n v="0"/>
    <n v="1304.2639999999999"/>
    <n v="1304.2639999999999"/>
    <n v="1304.2639999999999"/>
    <n v="1304.2639999999999"/>
    <n v="21669"/>
    <x v="2"/>
    <n v="0"/>
    <n v="0"/>
    <n v="36"/>
    <n v="76"/>
    <n v="0"/>
    <n v="221.85"/>
    <n v="208.2"/>
    <m/>
    <n v="237.18743320434439"/>
    <n v="238.8249385657808"/>
    <n v="0"/>
    <n v="289350.96839999995"/>
    <n v="271547.76479999995"/>
    <n v="0"/>
    <n v="309355.03038083098"/>
    <n v="311490.76967355952"/>
  </r>
  <r>
    <s v="Refaturamento - Regular"/>
    <x v="2"/>
    <x v="4"/>
    <x v="7"/>
    <x v="5"/>
    <x v="0"/>
    <x v="0"/>
    <x v="1"/>
    <x v="2"/>
    <n v="0"/>
    <n v="0"/>
    <n v="-6.8000000000000005E-2"/>
    <n v="-6.8000000000000005E-2"/>
    <n v="-6.8000000000000005E-2"/>
    <n v="-6.8000000000000005E-2"/>
    <n v="-1"/>
    <x v="2"/>
    <n v="0"/>
    <n v="0"/>
    <n v="36"/>
    <n v="76"/>
    <n v="0"/>
    <n v="221.85"/>
    <n v="208.2"/>
    <m/>
    <n v="237.18743320434439"/>
    <n v="238.8249385657808"/>
    <n v="0"/>
    <n v="-15.085800000000001"/>
    <n v="-14.1576"/>
    <n v="0"/>
    <n v="-16.12874545789542"/>
    <n v="-16.240095822473094"/>
  </r>
  <r>
    <s v="Sistema de Compensação"/>
    <x v="2"/>
    <x v="4"/>
    <x v="7"/>
    <x v="5"/>
    <x v="0"/>
    <x v="0"/>
    <x v="1"/>
    <x v="2"/>
    <n v="0"/>
    <n v="0"/>
    <n v="0.14199999999999999"/>
    <n v="0.14199999999999999"/>
    <n v="0.14199999999999999"/>
    <n v="0.14199999999999999"/>
    <n v="7"/>
    <x v="2"/>
    <n v="0"/>
    <n v="0"/>
    <n v="36"/>
    <n v="76"/>
    <n v="0"/>
    <n v="221.85"/>
    <n v="208.2"/>
    <m/>
    <n v="237.18743320434439"/>
    <n v="238.8249385657808"/>
    <n v="0"/>
    <n v="31.502699999999997"/>
    <n v="29.564399999999996"/>
    <n v="0"/>
    <n v="33.680615515016903"/>
    <n v="33.913141276340873"/>
  </r>
  <r>
    <s v="Regular"/>
    <x v="2"/>
    <x v="4"/>
    <x v="7"/>
    <x v="5"/>
    <x v="0"/>
    <x v="0"/>
    <x v="1"/>
    <x v="3"/>
    <n v="0"/>
    <n v="0"/>
    <n v="1105.57"/>
    <n v="1105.57"/>
    <n v="1105.57"/>
    <n v="1105.57"/>
    <n v="19659"/>
    <x v="2"/>
    <n v="0"/>
    <n v="0"/>
    <n v="36"/>
    <n v="76"/>
    <n v="0"/>
    <n v="221.85"/>
    <n v="208.2"/>
    <m/>
    <n v="237.18743320434439"/>
    <n v="238.8249385657808"/>
    <n v="0"/>
    <n v="245270.70449999999"/>
    <n v="230179.67399999997"/>
    <n v="0"/>
    <n v="262227.31052772701"/>
    <n v="264037.68733017024"/>
  </r>
  <r>
    <s v="Refaturamento - Regular"/>
    <x v="2"/>
    <x v="4"/>
    <x v="7"/>
    <x v="5"/>
    <x v="0"/>
    <x v="0"/>
    <x v="1"/>
    <x v="3"/>
    <n v="0"/>
    <n v="0"/>
    <n v="-0.28499999999999998"/>
    <n v="-0.28499999999999998"/>
    <n v="-0.28499999999999998"/>
    <n v="-0.28499999999999998"/>
    <n v="-2"/>
    <x v="2"/>
    <n v="0"/>
    <n v="0"/>
    <n v="36"/>
    <n v="76"/>
    <n v="0"/>
    <n v="221.85"/>
    <n v="208.2"/>
    <m/>
    <n v="237.18743320434439"/>
    <n v="238.8249385657808"/>
    <n v="0"/>
    <n v="-63.227249999999991"/>
    <n v="-59.336999999999989"/>
    <n v="0"/>
    <n v="-67.598418463238147"/>
    <n v="-68.065107491247517"/>
  </r>
  <r>
    <s v="Sistema de Compensação"/>
    <x v="2"/>
    <x v="4"/>
    <x v="7"/>
    <x v="5"/>
    <x v="0"/>
    <x v="0"/>
    <x v="1"/>
    <x v="3"/>
    <n v="0"/>
    <n v="0"/>
    <n v="0.20399999999999999"/>
    <n v="0.20399999999999999"/>
    <n v="0.20399999999999999"/>
    <n v="0.20399999999999999"/>
    <n v="8"/>
    <x v="2"/>
    <n v="0"/>
    <n v="0"/>
    <n v="36"/>
    <n v="76"/>
    <n v="0"/>
    <n v="221.85"/>
    <n v="208.2"/>
    <m/>
    <n v="237.18743320434439"/>
    <n v="238.8249385657808"/>
    <n v="0"/>
    <n v="45.257399999999997"/>
    <n v="42.472799999999992"/>
    <n v="0"/>
    <n v="48.386236373686252"/>
    <n v="48.720287467419283"/>
  </r>
  <r>
    <s v="Regular"/>
    <x v="2"/>
    <x v="4"/>
    <x v="7"/>
    <x v="5"/>
    <x v="0"/>
    <x v="0"/>
    <x v="1"/>
    <x v="4"/>
    <n v="0"/>
    <n v="0"/>
    <n v="966.56200000000001"/>
    <n v="966.56200000000001"/>
    <n v="966.56200000000001"/>
    <n v="966.56200000000001"/>
    <n v="18081"/>
    <x v="2"/>
    <n v="0"/>
    <n v="0"/>
    <n v="36"/>
    <n v="76"/>
    <n v="0"/>
    <n v="221.85"/>
    <n v="208.2"/>
    <m/>
    <n v="237.18743320434439"/>
    <n v="238.8249385657808"/>
    <n v="0"/>
    <n v="214431.77969999998"/>
    <n v="201238.2084"/>
    <n v="0"/>
    <n v="229256.35981285752"/>
    <n v="230839.11027001822"/>
  </r>
  <r>
    <s v="Refaturamento - Regular"/>
    <x v="2"/>
    <x v="4"/>
    <x v="7"/>
    <x v="5"/>
    <x v="0"/>
    <x v="0"/>
    <x v="1"/>
    <x v="4"/>
    <n v="0"/>
    <n v="0"/>
    <n v="-0.505"/>
    <n v="-0.505"/>
    <n v="-0.505"/>
    <n v="-0.505"/>
    <n v="-2"/>
    <x v="2"/>
    <n v="0"/>
    <n v="0"/>
    <n v="36"/>
    <n v="76"/>
    <n v="0"/>
    <n v="221.85"/>
    <n v="208.2"/>
    <m/>
    <n v="237.18743320434439"/>
    <n v="238.8249385657808"/>
    <n v="0"/>
    <n v="-112.03425"/>
    <n v="-105.14099999999999"/>
    <n v="0"/>
    <n v="-119.77965376819391"/>
    <n v="-120.60659397571931"/>
  </r>
  <r>
    <s v="Sistema de Compensação"/>
    <x v="2"/>
    <x v="4"/>
    <x v="7"/>
    <x v="5"/>
    <x v="0"/>
    <x v="0"/>
    <x v="1"/>
    <x v="4"/>
    <n v="0"/>
    <n v="0"/>
    <n v="0.34200000000000003"/>
    <n v="0.34200000000000003"/>
    <n v="0.34200000000000003"/>
    <n v="0.34200000000000003"/>
    <n v="8"/>
    <x v="2"/>
    <n v="0"/>
    <n v="0"/>
    <n v="36"/>
    <n v="76"/>
    <n v="0"/>
    <n v="221.85"/>
    <n v="208.2"/>
    <m/>
    <n v="237.18743320434439"/>
    <n v="238.8249385657808"/>
    <n v="0"/>
    <n v="75.872700000000009"/>
    <n v="71.204400000000007"/>
    <n v="0"/>
    <n v="81.118102155885794"/>
    <n v="81.67812898949704"/>
  </r>
  <r>
    <s v="Regular"/>
    <x v="2"/>
    <x v="4"/>
    <x v="7"/>
    <x v="5"/>
    <x v="0"/>
    <x v="0"/>
    <x v="1"/>
    <x v="5"/>
    <n v="0"/>
    <n v="0"/>
    <n v="1072.556"/>
    <n v="1072.556"/>
    <n v="1072.556"/>
    <n v="1072.556"/>
    <n v="19325"/>
    <x v="2"/>
    <n v="0"/>
    <n v="0"/>
    <n v="36"/>
    <n v="76"/>
    <n v="0"/>
    <n v="221.85"/>
    <n v="208.2"/>
    <m/>
    <n v="237.18743320434439"/>
    <n v="238.8249385657808"/>
    <n v="0"/>
    <n v="237946.54860000001"/>
    <n v="223306.15919999999"/>
    <n v="0"/>
    <n v="254396.80460791881"/>
    <n v="256153.12080835958"/>
  </r>
  <r>
    <s v="Refaturamento - Regular"/>
    <x v="2"/>
    <x v="4"/>
    <x v="7"/>
    <x v="5"/>
    <x v="0"/>
    <x v="0"/>
    <x v="1"/>
    <x v="5"/>
    <n v="0"/>
    <n v="0"/>
    <n v="-1.5"/>
    <n v="-1.5"/>
    <n v="-1.5"/>
    <n v="-1.5"/>
    <n v="-6"/>
    <x v="2"/>
    <n v="0"/>
    <n v="0"/>
    <n v="36"/>
    <n v="76"/>
    <n v="0"/>
    <n v="221.85"/>
    <n v="208.2"/>
    <m/>
    <n v="237.18743320434439"/>
    <n v="238.8249385657808"/>
    <n v="0"/>
    <n v="-332.77499999999998"/>
    <n v="-312.29999999999995"/>
    <n v="0"/>
    <n v="-355.78114980651657"/>
    <n v="-358.23740784867118"/>
  </r>
  <r>
    <s v="Sistema de Compensação"/>
    <x v="2"/>
    <x v="4"/>
    <x v="7"/>
    <x v="5"/>
    <x v="0"/>
    <x v="0"/>
    <x v="1"/>
    <x v="5"/>
    <n v="0"/>
    <n v="0"/>
    <n v="0.46500000000000002"/>
    <n v="0.46500000000000002"/>
    <n v="0.46500000000000002"/>
    <n v="0.46500000000000002"/>
    <n v="12"/>
    <x v="2"/>
    <n v="0"/>
    <n v="0"/>
    <n v="36"/>
    <n v="76"/>
    <n v="0"/>
    <n v="221.85"/>
    <n v="208.2"/>
    <m/>
    <n v="237.18743320434439"/>
    <n v="238.8249385657808"/>
    <n v="0"/>
    <n v="103.16025"/>
    <n v="96.813000000000002"/>
    <n v="0"/>
    <n v="110.29215644002015"/>
    <n v="111.05359643308807"/>
  </r>
  <r>
    <s v="Regular"/>
    <x v="2"/>
    <x v="4"/>
    <x v="7"/>
    <x v="5"/>
    <x v="0"/>
    <x v="0"/>
    <x v="1"/>
    <x v="6"/>
    <n v="0"/>
    <n v="0"/>
    <n v="913.09900000000005"/>
    <n v="913.09900000000005"/>
    <n v="913.09900000000005"/>
    <n v="913.09900000000005"/>
    <n v="17686"/>
    <x v="2"/>
    <n v="0"/>
    <n v="0"/>
    <n v="36"/>
    <n v="76"/>
    <n v="0"/>
    <n v="221.85"/>
    <n v="208.2"/>
    <m/>
    <n v="237.18743320434439"/>
    <n v="238.8249385657808"/>
    <n v="0"/>
    <n v="202571.01315000001"/>
    <n v="190107.21179999999"/>
    <n v="0"/>
    <n v="216575.60807145367"/>
    <n v="218070.8125794759"/>
  </r>
  <r>
    <s v="Refaturamento - Regular"/>
    <x v="2"/>
    <x v="4"/>
    <x v="7"/>
    <x v="5"/>
    <x v="0"/>
    <x v="0"/>
    <x v="1"/>
    <x v="6"/>
    <n v="0"/>
    <n v="0"/>
    <n v="-0.48"/>
    <n v="-0.48"/>
    <n v="-0.48"/>
    <n v="-0.48"/>
    <n v="-3"/>
    <x v="2"/>
    <n v="0"/>
    <n v="0"/>
    <n v="36"/>
    <n v="76"/>
    <n v="0"/>
    <n v="221.85"/>
    <n v="208.2"/>
    <m/>
    <n v="237.18743320434439"/>
    <n v="238.8249385657808"/>
    <n v="0"/>
    <n v="-106.488"/>
    <n v="-99.935999999999993"/>
    <n v="0"/>
    <n v="-113.8499679380853"/>
    <n v="-114.63597051157478"/>
  </r>
  <r>
    <s v="Sistema de Compensação"/>
    <x v="2"/>
    <x v="4"/>
    <x v="7"/>
    <x v="5"/>
    <x v="0"/>
    <x v="0"/>
    <x v="1"/>
    <x v="6"/>
    <n v="0"/>
    <n v="0"/>
    <n v="0.64700000000000002"/>
    <n v="0.64700000000000002"/>
    <n v="0.64700000000000002"/>
    <n v="0.64700000000000002"/>
    <n v="13"/>
    <x v="2"/>
    <n v="0"/>
    <n v="0"/>
    <n v="36"/>
    <n v="76"/>
    <n v="0"/>
    <n v="221.85"/>
    <n v="208.2"/>
    <m/>
    <n v="237.18743320434439"/>
    <n v="238.8249385657808"/>
    <n v="0"/>
    <n v="143.53694999999999"/>
    <n v="134.7054"/>
    <n v="0"/>
    <n v="153.46026928321083"/>
    <n v="154.51973525206017"/>
  </r>
  <r>
    <s v="Regular"/>
    <x v="2"/>
    <x v="4"/>
    <x v="7"/>
    <x v="5"/>
    <x v="0"/>
    <x v="0"/>
    <x v="1"/>
    <x v="7"/>
    <n v="0"/>
    <n v="0"/>
    <n v="929.56600000000003"/>
    <n v="929.56600000000003"/>
    <n v="929.56600000000003"/>
    <n v="929.56600000000003"/>
    <n v="17764"/>
    <x v="2"/>
    <n v="0"/>
    <n v="0"/>
    <n v="36"/>
    <n v="76"/>
    <n v="0"/>
    <n v="221.85"/>
    <n v="208.2"/>
    <m/>
    <n v="237.18743320434439"/>
    <n v="238.8249385657808"/>
    <n v="0"/>
    <n v="206224.21710000001"/>
    <n v="193535.64119999998"/>
    <n v="0"/>
    <n v="220481.37353402961"/>
    <n v="222003.54284283859"/>
  </r>
  <r>
    <s v="Refaturamento - Regular"/>
    <x v="2"/>
    <x v="4"/>
    <x v="7"/>
    <x v="5"/>
    <x v="0"/>
    <x v="0"/>
    <x v="1"/>
    <x v="7"/>
    <n v="0"/>
    <n v="0"/>
    <n v="-0.12"/>
    <n v="-0.12"/>
    <n v="-0.12"/>
    <n v="-0.12"/>
    <n v="0"/>
    <x v="2"/>
    <n v="0"/>
    <n v="0"/>
    <n v="36"/>
    <n v="76"/>
    <n v="0"/>
    <n v="221.85"/>
    <n v="208.2"/>
    <m/>
    <n v="237.18743320434439"/>
    <n v="238.8249385657808"/>
    <n v="0"/>
    <n v="-26.622"/>
    <n v="-24.983999999999998"/>
    <n v="0"/>
    <n v="-28.462491984521325"/>
    <n v="-28.658992627893696"/>
  </r>
  <r>
    <s v="Sistema de Compensação"/>
    <x v="2"/>
    <x v="4"/>
    <x v="7"/>
    <x v="5"/>
    <x v="0"/>
    <x v="0"/>
    <x v="1"/>
    <x v="7"/>
    <n v="0"/>
    <n v="0"/>
    <n v="0.47599999999999998"/>
    <n v="0.47599999999999998"/>
    <n v="0.47599999999999998"/>
    <n v="0.47599999999999998"/>
    <n v="8"/>
    <x v="2"/>
    <n v="0"/>
    <n v="0"/>
    <n v="36"/>
    <n v="76"/>
    <n v="0"/>
    <n v="221.85"/>
    <n v="208.2"/>
    <m/>
    <n v="237.18743320434439"/>
    <n v="238.8249385657808"/>
    <n v="0"/>
    <n v="105.60059999999999"/>
    <n v="99.103199999999987"/>
    <n v="0"/>
    <n v="112.90121820526792"/>
    <n v="113.68067075731166"/>
  </r>
  <r>
    <s v="Regular"/>
    <x v="2"/>
    <x v="4"/>
    <x v="7"/>
    <x v="5"/>
    <x v="0"/>
    <x v="0"/>
    <x v="1"/>
    <x v="8"/>
    <n v="0"/>
    <n v="0"/>
    <n v="1069.4159999999999"/>
    <n v="1069.4159999999999"/>
    <n v="1069.4159999999999"/>
    <n v="1069.4159999999999"/>
    <n v="19709"/>
    <x v="2"/>
    <n v="0"/>
    <n v="0"/>
    <n v="36"/>
    <n v="76"/>
    <n v="0"/>
    <n v="221.85"/>
    <n v="208.2"/>
    <m/>
    <n v="237.18743320434439"/>
    <n v="238.8249385657808"/>
    <n v="0"/>
    <n v="237249.93959999998"/>
    <n v="222652.41119999997"/>
    <n v="0"/>
    <n v="253652.03606765714"/>
    <n v="255403.21050126303"/>
  </r>
  <r>
    <s v="Sistema de Compensação"/>
    <x v="2"/>
    <x v="4"/>
    <x v="7"/>
    <x v="5"/>
    <x v="0"/>
    <x v="0"/>
    <x v="1"/>
    <x v="8"/>
    <n v="0"/>
    <n v="0"/>
    <n v="0.67600000000000005"/>
    <n v="0.67600000000000005"/>
    <n v="0.67600000000000005"/>
    <n v="0.67600000000000005"/>
    <n v="14"/>
    <x v="2"/>
    <n v="0"/>
    <n v="0"/>
    <n v="36"/>
    <n v="76"/>
    <n v="0"/>
    <n v="221.85"/>
    <n v="208.2"/>
    <m/>
    <n v="237.18743320434439"/>
    <n v="238.8249385657808"/>
    <n v="0"/>
    <n v="149.97060000000002"/>
    <n v="140.7432"/>
    <n v="0"/>
    <n v="160.33870484613681"/>
    <n v="161.44565847046783"/>
  </r>
  <r>
    <s v="Regular"/>
    <x v="2"/>
    <x v="4"/>
    <x v="7"/>
    <x v="5"/>
    <x v="0"/>
    <x v="0"/>
    <x v="1"/>
    <x v="9"/>
    <n v="0"/>
    <n v="0"/>
    <n v="1095.4280000000001"/>
    <n v="1095.4280000000001"/>
    <n v="1095.4280000000001"/>
    <n v="1095.4280000000001"/>
    <n v="19840"/>
    <x v="2"/>
    <n v="0"/>
    <n v="0"/>
    <n v="36"/>
    <n v="76"/>
    <n v="0"/>
    <n v="221.85"/>
    <n v="208.2"/>
    <m/>
    <n v="237.18743320434439"/>
    <n v="238.8249385657808"/>
    <n v="0"/>
    <n v="243020.70180000001"/>
    <n v="228068.1096"/>
    <n v="0"/>
    <n v="259821.7555801686"/>
    <n v="261615.52480323616"/>
  </r>
  <r>
    <s v="Refaturamento - Regular"/>
    <x v="2"/>
    <x v="4"/>
    <x v="7"/>
    <x v="5"/>
    <x v="0"/>
    <x v="0"/>
    <x v="1"/>
    <x v="9"/>
    <n v="0"/>
    <n v="0"/>
    <n v="-0.33200000000000002"/>
    <n v="-0.33200000000000002"/>
    <n v="-0.33200000000000002"/>
    <n v="-0.33200000000000002"/>
    <n v="-3"/>
    <x v="2"/>
    <n v="0"/>
    <n v="0"/>
    <n v="36"/>
    <n v="76"/>
    <n v="0"/>
    <n v="221.85"/>
    <n v="208.2"/>
    <m/>
    <n v="237.18743320434439"/>
    <n v="238.8249385657808"/>
    <n v="0"/>
    <n v="-73.654200000000003"/>
    <n v="-69.122399999999999"/>
    <n v="0"/>
    <n v="-78.746227823842347"/>
    <n v="-79.289879603839225"/>
  </r>
  <r>
    <s v="Sistema de Compensação"/>
    <x v="2"/>
    <x v="4"/>
    <x v="7"/>
    <x v="5"/>
    <x v="0"/>
    <x v="0"/>
    <x v="1"/>
    <x v="9"/>
    <n v="0"/>
    <n v="0"/>
    <n v="1.2170000000000001"/>
    <n v="1.2170000000000001"/>
    <n v="1.2170000000000001"/>
    <n v="1.2170000000000001"/>
    <n v="14"/>
    <x v="2"/>
    <n v="0"/>
    <n v="0"/>
    <n v="36"/>
    <n v="76"/>
    <n v="0"/>
    <n v="221.85"/>
    <n v="208.2"/>
    <m/>
    <n v="237.18743320434439"/>
    <n v="238.8249385657808"/>
    <n v="0"/>
    <n v="269.99144999999999"/>
    <n v="253.3794"/>
    <n v="0"/>
    <n v="288.65710620968713"/>
    <n v="290.64995023455526"/>
  </r>
  <r>
    <s v="Regular"/>
    <x v="2"/>
    <x v="4"/>
    <x v="7"/>
    <x v="5"/>
    <x v="0"/>
    <x v="0"/>
    <x v="1"/>
    <x v="10"/>
    <n v="0"/>
    <n v="0"/>
    <n v="1199.095"/>
    <n v="1199.095"/>
    <n v="1199.095"/>
    <n v="1199.095"/>
    <n v="20824"/>
    <x v="2"/>
    <n v="0"/>
    <n v="0"/>
    <n v="36"/>
    <n v="76"/>
    <n v="0"/>
    <n v="221.85"/>
    <n v="208.2"/>
    <m/>
    <n v="237.18743320434439"/>
    <n v="238.8249385657808"/>
    <n v="0"/>
    <n v="266019.22574999998"/>
    <n v="249651.579"/>
    <n v="0"/>
    <n v="284410.26521816332"/>
    <n v="286373.7897095349"/>
  </r>
  <r>
    <s v="Refaturamento - Regular"/>
    <x v="2"/>
    <x v="4"/>
    <x v="7"/>
    <x v="5"/>
    <x v="0"/>
    <x v="0"/>
    <x v="1"/>
    <x v="10"/>
    <n v="0"/>
    <n v="0"/>
    <n v="-0.155"/>
    <n v="-0.155"/>
    <n v="-0.155"/>
    <n v="-0.155"/>
    <n v="-1"/>
    <x v="2"/>
    <n v="0"/>
    <n v="0"/>
    <n v="36"/>
    <n v="76"/>
    <n v="0"/>
    <n v="221.85"/>
    <n v="208.2"/>
    <m/>
    <n v="237.18743320434439"/>
    <n v="238.8249385657808"/>
    <n v="0"/>
    <n v="-34.386749999999999"/>
    <n v="-32.271000000000001"/>
    <n v="0"/>
    <n v="-36.764052146673379"/>
    <n v="-37.01786547769602"/>
  </r>
  <r>
    <s v="Sistema de Compensação"/>
    <x v="2"/>
    <x v="4"/>
    <x v="7"/>
    <x v="5"/>
    <x v="0"/>
    <x v="0"/>
    <x v="1"/>
    <x v="10"/>
    <n v="0"/>
    <n v="0"/>
    <n v="1.5429999999999999"/>
    <n v="1.5429999999999999"/>
    <n v="1.5429999999999999"/>
    <n v="1.5429999999999999"/>
    <n v="16"/>
    <x v="2"/>
    <n v="0"/>
    <n v="0"/>
    <n v="36"/>
    <n v="76"/>
    <n v="0"/>
    <n v="221.85"/>
    <n v="208.2"/>
    <m/>
    <n v="237.18743320434439"/>
    <n v="238.8249385657808"/>
    <n v="0"/>
    <n v="342.31455"/>
    <n v="321.25259999999997"/>
    <n v="0"/>
    <n v="365.98020943430339"/>
    <n v="368.50688020699977"/>
  </r>
  <r>
    <s v="PROJETADO"/>
    <x v="2"/>
    <x v="4"/>
    <x v="7"/>
    <x v="5"/>
    <x v="0"/>
    <x v="0"/>
    <x v="1"/>
    <x v="11"/>
    <n v="0"/>
    <n v="0"/>
    <n v="1199.095"/>
    <n v="1199.095"/>
    <n v="1199.095"/>
    <n v="1199.095"/>
    <n v="20824"/>
    <x v="2"/>
    <n v="0"/>
    <n v="0"/>
    <n v="36"/>
    <n v="76"/>
    <n v="0"/>
    <n v="221.85"/>
    <n v="208.2"/>
    <m/>
    <n v="237.18743320434439"/>
    <n v="238.8249385657808"/>
    <n v="0"/>
    <n v="266019.22574999998"/>
    <n v="249651.579"/>
    <n v="0"/>
    <n v="284410.26521816332"/>
    <n v="286373.7897095349"/>
  </r>
  <r>
    <s v="PROJETADO"/>
    <x v="2"/>
    <x v="4"/>
    <x v="7"/>
    <x v="5"/>
    <x v="0"/>
    <x v="0"/>
    <x v="1"/>
    <x v="11"/>
    <n v="0"/>
    <n v="0"/>
    <n v="-0.155"/>
    <n v="-0.155"/>
    <n v="-0.155"/>
    <n v="-0.155"/>
    <n v="-1"/>
    <x v="2"/>
    <n v="0"/>
    <n v="0"/>
    <n v="36"/>
    <n v="76"/>
    <n v="0"/>
    <n v="221.85"/>
    <n v="208.2"/>
    <m/>
    <n v="237.18743320434439"/>
    <n v="238.8249385657808"/>
    <n v="0"/>
    <n v="-34.386749999999999"/>
    <n v="-32.271000000000001"/>
    <n v="0"/>
    <n v="-36.764052146673379"/>
    <n v="-37.01786547769602"/>
  </r>
  <r>
    <s v="PROJETADO"/>
    <x v="2"/>
    <x v="4"/>
    <x v="7"/>
    <x v="5"/>
    <x v="0"/>
    <x v="0"/>
    <x v="1"/>
    <x v="11"/>
    <n v="0"/>
    <n v="0"/>
    <n v="1.5429999999999999"/>
    <n v="1.5429999999999999"/>
    <n v="1.5429999999999999"/>
    <n v="1.5429999999999999"/>
    <n v="16"/>
    <x v="2"/>
    <n v="0"/>
    <n v="0"/>
    <n v="36"/>
    <n v="76"/>
    <n v="0"/>
    <n v="221.85"/>
    <n v="208.2"/>
    <m/>
    <n v="237.18743320434439"/>
    <n v="238.8249385657808"/>
    <n v="0"/>
    <n v="342.31455"/>
    <n v="321.25259999999997"/>
    <n v="0"/>
    <n v="365.98020943430339"/>
    <n v="368.50688020699977"/>
  </r>
  <r>
    <s v="Regular"/>
    <x v="2"/>
    <x v="4"/>
    <x v="7"/>
    <x v="6"/>
    <x v="0"/>
    <x v="0"/>
    <x v="1"/>
    <x v="0"/>
    <n v="0"/>
    <n v="0"/>
    <n v="229.078"/>
    <n v="229.078"/>
    <n v="229.078"/>
    <n v="229.078"/>
    <n v="2614"/>
    <x v="2"/>
    <n v="0"/>
    <n v="0"/>
    <n v="37"/>
    <n v="77"/>
    <n v="0"/>
    <n v="246.5"/>
    <n v="231.33"/>
    <m/>
    <n v="263.54159244927155"/>
    <n v="265.36104285086753"/>
    <n v="0"/>
    <n v="56467.726999999999"/>
    <n v="52992.613740000001"/>
    <n v="0"/>
    <n v="60371.58091509423"/>
    <n v="60788.376974191036"/>
  </r>
  <r>
    <s v="Sistema de Compensação"/>
    <x v="2"/>
    <x v="4"/>
    <x v="7"/>
    <x v="6"/>
    <x v="0"/>
    <x v="0"/>
    <x v="1"/>
    <x v="0"/>
    <n v="0"/>
    <n v="0"/>
    <n v="1.423"/>
    <n v="1.423"/>
    <n v="1.423"/>
    <n v="1.423"/>
    <n v="6"/>
    <x v="2"/>
    <n v="0"/>
    <n v="0"/>
    <n v="37"/>
    <n v="77"/>
    <n v="0"/>
    <n v="246.5"/>
    <n v="231.33"/>
    <m/>
    <n v="263.54159244927155"/>
    <n v="265.36104285086753"/>
    <n v="0"/>
    <n v="350.76949999999999"/>
    <n v="329.18259"/>
    <n v="0"/>
    <n v="375.0196860553134"/>
    <n v="377.60876397678453"/>
  </r>
  <r>
    <s v="Regular"/>
    <x v="2"/>
    <x v="4"/>
    <x v="7"/>
    <x v="6"/>
    <x v="0"/>
    <x v="0"/>
    <x v="1"/>
    <x v="1"/>
    <n v="0"/>
    <n v="0"/>
    <n v="288.39699999999999"/>
    <n v="288.39699999999999"/>
    <n v="288.39699999999999"/>
    <n v="288.39699999999999"/>
    <n v="3227"/>
    <x v="2"/>
    <n v="0"/>
    <n v="0"/>
    <n v="37"/>
    <n v="77"/>
    <n v="0"/>
    <n v="246.5"/>
    <n v="231.33"/>
    <m/>
    <n v="263.54159244927155"/>
    <n v="265.36104285086753"/>
    <n v="0"/>
    <n v="71089.860499999995"/>
    <n v="66714.87801"/>
    <n v="0"/>
    <n v="76004.604637592565"/>
    <n v="76529.328675061639"/>
  </r>
  <r>
    <s v="Refaturamento - Regular"/>
    <x v="2"/>
    <x v="4"/>
    <x v="7"/>
    <x v="6"/>
    <x v="0"/>
    <x v="0"/>
    <x v="1"/>
    <x v="1"/>
    <n v="0"/>
    <n v="0"/>
    <n v="-0.627"/>
    <n v="-0.627"/>
    <n v="-0.627"/>
    <n v="-0.627"/>
    <n v="-3"/>
    <x v="2"/>
    <n v="0"/>
    <n v="0"/>
    <n v="37"/>
    <n v="77"/>
    <n v="0"/>
    <n v="246.5"/>
    <n v="231.33"/>
    <m/>
    <n v="263.54159244927155"/>
    <n v="265.36104285086753"/>
    <n v="0"/>
    <n v="-154.55549999999999"/>
    <n v="-145.04391000000001"/>
    <n v="0"/>
    <n v="-165.24057846569326"/>
    <n v="-166.38137386749395"/>
  </r>
  <r>
    <s v="Sistema de Compensação"/>
    <x v="2"/>
    <x v="4"/>
    <x v="7"/>
    <x v="6"/>
    <x v="0"/>
    <x v="0"/>
    <x v="1"/>
    <x v="1"/>
    <n v="0"/>
    <n v="0"/>
    <n v="1.5620000000000001"/>
    <n v="1.5620000000000001"/>
    <n v="1.5620000000000001"/>
    <n v="1.5620000000000001"/>
    <n v="6"/>
    <x v="2"/>
    <n v="0"/>
    <n v="0"/>
    <n v="37"/>
    <n v="77"/>
    <n v="0"/>
    <n v="246.5"/>
    <n v="231.33"/>
    <m/>
    <n v="263.54159244927155"/>
    <n v="265.36104285086753"/>
    <n v="0"/>
    <n v="385.03300000000002"/>
    <n v="361.33746000000002"/>
    <n v="0"/>
    <n v="411.65196740576215"/>
    <n v="414.49394893305509"/>
  </r>
  <r>
    <s v="Regular"/>
    <x v="2"/>
    <x v="4"/>
    <x v="7"/>
    <x v="6"/>
    <x v="0"/>
    <x v="0"/>
    <x v="1"/>
    <x v="2"/>
    <n v="0"/>
    <n v="0"/>
    <n v="290.33600000000001"/>
    <n v="290.33600000000001"/>
    <n v="290.33600000000001"/>
    <n v="290.33600000000001"/>
    <n v="3403"/>
    <x v="2"/>
    <n v="0"/>
    <n v="0"/>
    <n v="37"/>
    <n v="77"/>
    <n v="0"/>
    <n v="246.5"/>
    <n v="231.33"/>
    <m/>
    <n v="263.54159244927155"/>
    <n v="265.36104285086753"/>
    <n v="0"/>
    <n v="71567.824000000008"/>
    <n v="67163.426880000014"/>
    <n v="0"/>
    <n v="76515.611785351706"/>
    <n v="77043.863737149484"/>
  </r>
  <r>
    <s v="Sistema de Compensação"/>
    <x v="2"/>
    <x v="4"/>
    <x v="7"/>
    <x v="6"/>
    <x v="0"/>
    <x v="0"/>
    <x v="1"/>
    <x v="2"/>
    <n v="0"/>
    <n v="0"/>
    <n v="1.69"/>
    <n v="1.69"/>
    <n v="1.69"/>
    <n v="1.69"/>
    <n v="7"/>
    <x v="2"/>
    <n v="0"/>
    <n v="0"/>
    <n v="37"/>
    <n v="77"/>
    <n v="0"/>
    <n v="246.5"/>
    <n v="231.33"/>
    <m/>
    <n v="263.54159244927155"/>
    <n v="265.36104285086753"/>
    <n v="0"/>
    <n v="416.58499999999998"/>
    <n v="390.9477"/>
    <n v="0"/>
    <n v="445.38529123926889"/>
    <n v="448.4601624179661"/>
  </r>
  <r>
    <s v="Regular"/>
    <x v="2"/>
    <x v="4"/>
    <x v="7"/>
    <x v="6"/>
    <x v="0"/>
    <x v="0"/>
    <x v="1"/>
    <x v="3"/>
    <n v="0"/>
    <n v="0"/>
    <n v="239.893"/>
    <n v="239.893"/>
    <n v="239.893"/>
    <n v="239.893"/>
    <n v="2683"/>
    <x v="2"/>
    <n v="0"/>
    <n v="0"/>
    <n v="37"/>
    <n v="77"/>
    <n v="0"/>
    <n v="246.5"/>
    <n v="231.33"/>
    <m/>
    <n v="263.54159244927155"/>
    <n v="265.36104285086753"/>
    <n v="0"/>
    <n v="59133.624499999998"/>
    <n v="55494.447690000001"/>
    <n v="0"/>
    <n v="63221.783237433097"/>
    <n v="63658.256652623168"/>
  </r>
  <r>
    <s v="Refaturamento - Regular"/>
    <x v="2"/>
    <x v="4"/>
    <x v="7"/>
    <x v="6"/>
    <x v="0"/>
    <x v="0"/>
    <x v="1"/>
    <x v="3"/>
    <n v="0"/>
    <n v="0"/>
    <n v="-7.0000000000000001E-3"/>
    <n v="-7.0000000000000001E-3"/>
    <n v="-7.0000000000000001E-3"/>
    <n v="-7.0000000000000001E-3"/>
    <n v="-1"/>
    <x v="2"/>
    <n v="0"/>
    <n v="0"/>
    <n v="37"/>
    <n v="77"/>
    <n v="0"/>
    <n v="246.5"/>
    <n v="231.33"/>
    <m/>
    <n v="263.54159244927155"/>
    <n v="265.36104285086753"/>
    <n v="0"/>
    <n v="-1.7255"/>
    <n v="-1.61931"/>
    <n v="0"/>
    <n v="-1.8447911471449008"/>
    <n v="-1.8575272999560728"/>
  </r>
  <r>
    <s v="Sistema de Compensação"/>
    <x v="2"/>
    <x v="4"/>
    <x v="7"/>
    <x v="6"/>
    <x v="0"/>
    <x v="0"/>
    <x v="1"/>
    <x v="3"/>
    <n v="0"/>
    <n v="0"/>
    <n v="1.52"/>
    <n v="1.52"/>
    <n v="1.52"/>
    <n v="1.52"/>
    <n v="6"/>
    <x v="2"/>
    <n v="0"/>
    <n v="0"/>
    <n v="37"/>
    <n v="77"/>
    <n v="0"/>
    <n v="246.5"/>
    <n v="231.33"/>
    <m/>
    <n v="263.54159244927155"/>
    <n v="265.36104285086753"/>
    <n v="0"/>
    <n v="374.68"/>
    <n v="351.6216"/>
    <n v="0"/>
    <n v="400.58322052289276"/>
    <n v="403.34878513331864"/>
  </r>
  <r>
    <s v="Regular"/>
    <x v="2"/>
    <x v="4"/>
    <x v="7"/>
    <x v="6"/>
    <x v="0"/>
    <x v="0"/>
    <x v="1"/>
    <x v="4"/>
    <n v="0"/>
    <n v="0"/>
    <n v="202.10900000000001"/>
    <n v="202.10900000000001"/>
    <n v="202.10900000000001"/>
    <n v="202.10900000000001"/>
    <n v="2204"/>
    <x v="2"/>
    <n v="0"/>
    <n v="0"/>
    <n v="37"/>
    <n v="77"/>
    <n v="0"/>
    <n v="246.5"/>
    <n v="231.33"/>
    <m/>
    <n v="263.54159244927155"/>
    <n v="265.36104285086753"/>
    <n v="0"/>
    <n v="49819.868500000004"/>
    <n v="46753.874970000004"/>
    <n v="0"/>
    <n v="53264.127708329826"/>
    <n v="53631.855009545987"/>
  </r>
  <r>
    <s v="Refaturamento - Regular"/>
    <x v="2"/>
    <x v="4"/>
    <x v="7"/>
    <x v="6"/>
    <x v="0"/>
    <x v="0"/>
    <x v="1"/>
    <x v="4"/>
    <n v="0"/>
    <n v="0"/>
    <n v="-2.0379999999999998"/>
    <n v="-2.0379999999999998"/>
    <n v="-2.0379999999999998"/>
    <n v="-2.0379999999999998"/>
    <n v="-4"/>
    <x v="2"/>
    <n v="0"/>
    <n v="0"/>
    <n v="37"/>
    <n v="77"/>
    <n v="0"/>
    <n v="246.5"/>
    <n v="231.33"/>
    <m/>
    <n v="263.54159244927155"/>
    <n v="265.36104285086753"/>
    <n v="0"/>
    <n v="-502.36699999999996"/>
    <n v="-471.45053999999999"/>
    <n v="0"/>
    <n v="-537.09776541161534"/>
    <n v="-540.80580533006798"/>
  </r>
  <r>
    <s v="Sistema de Compensação"/>
    <x v="2"/>
    <x v="4"/>
    <x v="7"/>
    <x v="6"/>
    <x v="0"/>
    <x v="0"/>
    <x v="1"/>
    <x v="4"/>
    <n v="0"/>
    <n v="0"/>
    <n v="1.4"/>
    <n v="1.4"/>
    <n v="1.4"/>
    <n v="1.4"/>
    <n v="7"/>
    <x v="2"/>
    <n v="0"/>
    <n v="0"/>
    <n v="37"/>
    <n v="77"/>
    <n v="0"/>
    <n v="246.5"/>
    <n v="231.33"/>
    <m/>
    <n v="263.54159244927155"/>
    <n v="265.36104285086753"/>
    <n v="0"/>
    <n v="345.09999999999997"/>
    <n v="323.86200000000002"/>
    <n v="0"/>
    <n v="368.95822942898013"/>
    <n v="371.50545999121454"/>
  </r>
  <r>
    <s v="Regular"/>
    <x v="2"/>
    <x v="4"/>
    <x v="7"/>
    <x v="6"/>
    <x v="0"/>
    <x v="0"/>
    <x v="1"/>
    <x v="5"/>
    <n v="0"/>
    <n v="0"/>
    <n v="232.24299999999999"/>
    <n v="232.24299999999999"/>
    <n v="232.24299999999999"/>
    <n v="232.24299999999999"/>
    <n v="2584"/>
    <x v="2"/>
    <n v="0"/>
    <n v="0"/>
    <n v="37"/>
    <n v="77"/>
    <n v="0"/>
    <n v="246.5"/>
    <n v="231.33"/>
    <m/>
    <n v="263.54159244927155"/>
    <n v="265.36104285086753"/>
    <n v="0"/>
    <n v="57247.8995"/>
    <n v="53724.77319"/>
    <n v="0"/>
    <n v="61205.690055196173"/>
    <n v="61628.244674814028"/>
  </r>
  <r>
    <s v="Refaturamento - Regular"/>
    <x v="2"/>
    <x v="4"/>
    <x v="7"/>
    <x v="6"/>
    <x v="0"/>
    <x v="0"/>
    <x v="1"/>
    <x v="5"/>
    <n v="0"/>
    <n v="0"/>
    <n v="-18.689"/>
    <n v="-18.689"/>
    <n v="-18.689"/>
    <n v="-18.689"/>
    <n v="-10"/>
    <x v="2"/>
    <n v="0"/>
    <n v="0"/>
    <n v="37"/>
    <n v="77"/>
    <n v="0"/>
    <n v="246.5"/>
    <n v="231.33"/>
    <m/>
    <n v="263.54159244927155"/>
    <n v="265.36104285086753"/>
    <n v="0"/>
    <n v="-4606.8384999999998"/>
    <n v="-4323.3263700000007"/>
    <n v="0"/>
    <n v="-4925.3288212844363"/>
    <n v="-4959.3325298398631"/>
  </r>
  <r>
    <s v="Sistema de Compensação"/>
    <x v="2"/>
    <x v="4"/>
    <x v="7"/>
    <x v="6"/>
    <x v="0"/>
    <x v="0"/>
    <x v="1"/>
    <x v="5"/>
    <n v="0"/>
    <n v="0"/>
    <n v="1.3320000000000001"/>
    <n v="1.3320000000000001"/>
    <n v="1.3320000000000001"/>
    <n v="1.3320000000000001"/>
    <n v="8"/>
    <x v="2"/>
    <n v="0"/>
    <n v="0"/>
    <n v="37"/>
    <n v="77"/>
    <n v="0"/>
    <n v="246.5"/>
    <n v="231.33"/>
    <m/>
    <n v="263.54159244927155"/>
    <n v="265.36104285086753"/>
    <n v="0"/>
    <n v="328.33800000000002"/>
    <n v="308.13156000000004"/>
    <n v="0"/>
    <n v="351.0374011424297"/>
    <n v="353.46090907735555"/>
  </r>
  <r>
    <s v="Regular"/>
    <x v="2"/>
    <x v="4"/>
    <x v="7"/>
    <x v="6"/>
    <x v="0"/>
    <x v="0"/>
    <x v="1"/>
    <x v="6"/>
    <n v="0"/>
    <n v="0"/>
    <n v="186.70699999999999"/>
    <n v="186.70699999999999"/>
    <n v="186.70699999999999"/>
    <n v="186.70699999999999"/>
    <n v="2019"/>
    <x v="2"/>
    <n v="0"/>
    <n v="0"/>
    <n v="37"/>
    <n v="77"/>
    <n v="0"/>
    <n v="246.5"/>
    <n v="231.33"/>
    <m/>
    <n v="263.54159244927155"/>
    <n v="265.36104285086753"/>
    <n v="0"/>
    <n v="46023.275499999996"/>
    <n v="43190.930310000003"/>
    <n v="0"/>
    <n v="49205.060101426141"/>
    <n v="49544.764227556923"/>
  </r>
  <r>
    <s v="Refaturamento - Regular"/>
    <x v="2"/>
    <x v="4"/>
    <x v="7"/>
    <x v="6"/>
    <x v="0"/>
    <x v="0"/>
    <x v="1"/>
    <x v="6"/>
    <n v="0"/>
    <n v="0"/>
    <n v="-0.22600000000000001"/>
    <n v="-0.22600000000000001"/>
    <n v="-0.22600000000000001"/>
    <n v="-0.22600000000000001"/>
    <n v="-3"/>
    <x v="2"/>
    <n v="0"/>
    <n v="0"/>
    <n v="37"/>
    <n v="77"/>
    <n v="0"/>
    <n v="246.5"/>
    <n v="231.33"/>
    <m/>
    <n v="263.54159244927155"/>
    <n v="265.36104285086753"/>
    <n v="0"/>
    <n v="-55.709000000000003"/>
    <n v="-52.280580000000008"/>
    <n v="0"/>
    <n v="-59.560399893535369"/>
    <n v="-59.971595684296062"/>
  </r>
  <r>
    <s v="Sistema de Compensação"/>
    <x v="2"/>
    <x v="4"/>
    <x v="7"/>
    <x v="6"/>
    <x v="0"/>
    <x v="0"/>
    <x v="1"/>
    <x v="6"/>
    <n v="0"/>
    <n v="0"/>
    <n v="1.0740000000000001"/>
    <n v="1.0740000000000001"/>
    <n v="1.0740000000000001"/>
    <n v="1.0740000000000001"/>
    <n v="7"/>
    <x v="2"/>
    <n v="0"/>
    <n v="0"/>
    <n v="37"/>
    <n v="77"/>
    <n v="0"/>
    <n v="246.5"/>
    <n v="231.33"/>
    <m/>
    <n v="263.54159244927155"/>
    <n v="265.36104285086753"/>
    <n v="0"/>
    <n v="264.74100000000004"/>
    <n v="248.44842000000003"/>
    <n v="0"/>
    <n v="283.04367029051764"/>
    <n v="284.99776002183177"/>
  </r>
  <r>
    <s v="Regular"/>
    <x v="2"/>
    <x v="4"/>
    <x v="7"/>
    <x v="6"/>
    <x v="0"/>
    <x v="0"/>
    <x v="1"/>
    <x v="7"/>
    <n v="0"/>
    <n v="0"/>
    <n v="198.922"/>
    <n v="198.922"/>
    <n v="198.922"/>
    <n v="198.922"/>
    <n v="2109"/>
    <x v="2"/>
    <n v="0"/>
    <n v="0"/>
    <n v="37"/>
    <n v="77"/>
    <n v="0"/>
    <n v="246.5"/>
    <n v="231.33"/>
    <m/>
    <n v="263.54159244927155"/>
    <n v="265.36104285086753"/>
    <n v="0"/>
    <n v="49034.273000000001"/>
    <n v="46016.626260000005"/>
    <n v="0"/>
    <n v="52424.220653193996"/>
    <n v="52786.149365980273"/>
  </r>
  <r>
    <s v="Refaturamento - Regular"/>
    <x v="2"/>
    <x v="4"/>
    <x v="7"/>
    <x v="6"/>
    <x v="0"/>
    <x v="0"/>
    <x v="1"/>
    <x v="7"/>
    <n v="0"/>
    <n v="0"/>
    <n v="-3.7999999999999999E-2"/>
    <n v="-3.7999999999999999E-2"/>
    <n v="-3.7999999999999999E-2"/>
    <n v="-3.7999999999999999E-2"/>
    <n v="-1"/>
    <x v="2"/>
    <n v="0"/>
    <n v="0"/>
    <n v="37"/>
    <n v="77"/>
    <n v="0"/>
    <n v="246.5"/>
    <n v="231.33"/>
    <m/>
    <n v="263.54159244927155"/>
    <n v="265.36104285086753"/>
    <n v="0"/>
    <n v="-9.3669999999999991"/>
    <n v="-8.79054"/>
    <n v="0"/>
    <n v="-10.014580513072319"/>
    <n v="-10.083719628332966"/>
  </r>
  <r>
    <s v="Sistema de Compensação"/>
    <x v="2"/>
    <x v="4"/>
    <x v="7"/>
    <x v="6"/>
    <x v="0"/>
    <x v="0"/>
    <x v="1"/>
    <x v="7"/>
    <n v="0"/>
    <n v="0"/>
    <n v="2.835"/>
    <n v="2.835"/>
    <n v="2.835"/>
    <n v="2.835"/>
    <n v="6"/>
    <x v="2"/>
    <n v="0"/>
    <n v="0"/>
    <n v="37"/>
    <n v="77"/>
    <n v="0"/>
    <n v="246.5"/>
    <n v="231.33"/>
    <m/>
    <n v="263.54159244927155"/>
    <n v="265.36104285086753"/>
    <n v="0"/>
    <n v="698.82749999999999"/>
    <n v="655.82055000000003"/>
    <n v="0"/>
    <n v="747.1404145936848"/>
    <n v="752.29855648220951"/>
  </r>
  <r>
    <s v="Regular"/>
    <x v="2"/>
    <x v="4"/>
    <x v="7"/>
    <x v="6"/>
    <x v="0"/>
    <x v="0"/>
    <x v="1"/>
    <x v="8"/>
    <n v="0"/>
    <n v="0"/>
    <n v="232.042"/>
    <n v="232.042"/>
    <n v="232.042"/>
    <n v="232.042"/>
    <n v="2521"/>
    <x v="2"/>
    <n v="0"/>
    <n v="0"/>
    <n v="37"/>
    <n v="77"/>
    <n v="0"/>
    <n v="246.5"/>
    <n v="231.33"/>
    <m/>
    <n v="263.54159244927155"/>
    <n v="265.36104285086753"/>
    <n v="0"/>
    <n v="57198.353000000003"/>
    <n v="53678.275860000002"/>
    <n v="0"/>
    <n v="61152.71819511387"/>
    <n v="61574.907105201004"/>
  </r>
  <r>
    <s v="Sistema de Compensação"/>
    <x v="2"/>
    <x v="4"/>
    <x v="7"/>
    <x v="6"/>
    <x v="0"/>
    <x v="0"/>
    <x v="1"/>
    <x v="8"/>
    <n v="0"/>
    <n v="0"/>
    <n v="2.1280000000000001"/>
    <n v="2.1280000000000001"/>
    <n v="2.1280000000000001"/>
    <n v="2.1280000000000001"/>
    <n v="9"/>
    <x v="2"/>
    <n v="0"/>
    <n v="0"/>
    <n v="37"/>
    <n v="77"/>
    <n v="0"/>
    <n v="246.5"/>
    <n v="231.33"/>
    <m/>
    <n v="263.54159244927155"/>
    <n v="265.36104285086753"/>
    <n v="0"/>
    <n v="524.55200000000002"/>
    <n v="492.27024000000006"/>
    <n v="0"/>
    <n v="560.8165087320499"/>
    <n v="564.68829918664619"/>
  </r>
  <r>
    <s v="Regular"/>
    <x v="2"/>
    <x v="4"/>
    <x v="7"/>
    <x v="6"/>
    <x v="0"/>
    <x v="0"/>
    <x v="1"/>
    <x v="9"/>
    <n v="0"/>
    <n v="0"/>
    <n v="246.06800000000001"/>
    <n v="246.06800000000001"/>
    <n v="246.06800000000001"/>
    <n v="246.06800000000001"/>
    <n v="2683"/>
    <x v="2"/>
    <n v="0"/>
    <n v="0"/>
    <n v="37"/>
    <n v="77"/>
    <n v="0"/>
    <n v="246.5"/>
    <n v="231.33"/>
    <m/>
    <n v="263.54159244927155"/>
    <n v="265.36104285086753"/>
    <n v="0"/>
    <n v="60655.762000000002"/>
    <n v="56922.910440000007"/>
    <n v="0"/>
    <n v="64849.152570807353"/>
    <n v="65296.861092227278"/>
  </r>
  <r>
    <s v="Refaturamento - Regular"/>
    <x v="2"/>
    <x v="4"/>
    <x v="7"/>
    <x v="6"/>
    <x v="0"/>
    <x v="0"/>
    <x v="1"/>
    <x v="9"/>
    <n v="0"/>
    <n v="0"/>
    <n v="-1.1659999999999999"/>
    <n v="-1.1659999999999999"/>
    <n v="-1.1659999999999999"/>
    <n v="-1.1659999999999999"/>
    <n v="-1"/>
    <x v="2"/>
    <n v="0"/>
    <n v="0"/>
    <n v="37"/>
    <n v="77"/>
    <n v="0"/>
    <n v="246.5"/>
    <n v="231.33"/>
    <m/>
    <n v="263.54159244927155"/>
    <n v="265.36104285086753"/>
    <n v="0"/>
    <n v="-287.41899999999998"/>
    <n v="-269.73077999999998"/>
    <n v="0"/>
    <n v="-307.2894967958506"/>
    <n v="-309.41097596411151"/>
  </r>
  <r>
    <s v="Sistema de Compensação"/>
    <x v="2"/>
    <x v="4"/>
    <x v="7"/>
    <x v="6"/>
    <x v="0"/>
    <x v="0"/>
    <x v="1"/>
    <x v="9"/>
    <n v="0"/>
    <n v="0"/>
    <n v="2.665"/>
    <n v="2.665"/>
    <n v="2.665"/>
    <n v="2.665"/>
    <n v="12"/>
    <x v="2"/>
    <n v="0"/>
    <n v="0"/>
    <n v="37"/>
    <n v="77"/>
    <n v="0"/>
    <n v="246.5"/>
    <n v="231.33"/>
    <m/>
    <n v="263.54159244927155"/>
    <n v="265.36104285086753"/>
    <n v="0"/>
    <n v="656.92250000000001"/>
    <n v="616.49445000000003"/>
    <n v="0"/>
    <n v="702.33834387730872"/>
    <n v="707.18717919756193"/>
  </r>
  <r>
    <s v="Regular"/>
    <x v="2"/>
    <x v="4"/>
    <x v="7"/>
    <x v="6"/>
    <x v="0"/>
    <x v="0"/>
    <x v="1"/>
    <x v="10"/>
    <n v="0"/>
    <n v="0"/>
    <n v="288.95600000000002"/>
    <n v="288.95600000000002"/>
    <n v="288.95600000000002"/>
    <n v="288.95600000000002"/>
    <n v="3028"/>
    <x v="2"/>
    <n v="0"/>
    <n v="0"/>
    <n v="37"/>
    <n v="77"/>
    <n v="0"/>
    <n v="246.5"/>
    <n v="231.33"/>
    <m/>
    <n v="263.54159244927155"/>
    <n v="265.36104285086753"/>
    <n v="0"/>
    <n v="71227.65400000001"/>
    <n v="66844.191480000009"/>
    <n v="0"/>
    <n v="76151.924387771709"/>
    <n v="76677.665498015282"/>
  </r>
  <r>
    <s v="Refaturamento - Regular"/>
    <x v="2"/>
    <x v="4"/>
    <x v="7"/>
    <x v="6"/>
    <x v="0"/>
    <x v="0"/>
    <x v="1"/>
    <x v="10"/>
    <n v="0"/>
    <n v="0"/>
    <n v="-0.86199999999999999"/>
    <n v="-0.86199999999999999"/>
    <n v="-0.86199999999999999"/>
    <n v="-0.86199999999999999"/>
    <n v="-1"/>
    <x v="2"/>
    <n v="0"/>
    <n v="0"/>
    <n v="37"/>
    <n v="77"/>
    <n v="0"/>
    <n v="246.5"/>
    <n v="231.33"/>
    <m/>
    <n v="263.54159244927155"/>
    <n v="265.36104285086753"/>
    <n v="0"/>
    <n v="-212.483"/>
    <n v="-199.40646000000001"/>
    <n v="0"/>
    <n v="-227.17285269127208"/>
    <n v="-228.7412189374478"/>
  </r>
  <r>
    <s v="Sistema de Compensação"/>
    <x v="2"/>
    <x v="4"/>
    <x v="7"/>
    <x v="6"/>
    <x v="0"/>
    <x v="0"/>
    <x v="1"/>
    <x v="10"/>
    <n v="0"/>
    <n v="0"/>
    <n v="7.1210000000000004"/>
    <n v="7.1210000000000004"/>
    <n v="7.1210000000000004"/>
    <n v="7.1210000000000004"/>
    <n v="15"/>
    <x v="2"/>
    <n v="0"/>
    <n v="0"/>
    <n v="37"/>
    <n v="77"/>
    <n v="0"/>
    <n v="246.5"/>
    <n v="231.33"/>
    <m/>
    <n v="263.54159244927155"/>
    <n v="265.36104285086753"/>
    <n v="0"/>
    <n v="1755.3265000000001"/>
    <n v="1647.3009300000001"/>
    <n v="0"/>
    <n v="1876.6796798312628"/>
    <n v="1889.6359861410278"/>
  </r>
  <r>
    <s v="PROJETADO"/>
    <x v="2"/>
    <x v="4"/>
    <x v="7"/>
    <x v="6"/>
    <x v="0"/>
    <x v="0"/>
    <x v="1"/>
    <x v="11"/>
    <n v="0"/>
    <n v="0"/>
    <n v="288.95600000000002"/>
    <n v="288.95600000000002"/>
    <n v="288.95600000000002"/>
    <n v="288.95600000000002"/>
    <n v="3028"/>
    <x v="2"/>
    <n v="0"/>
    <n v="0"/>
    <n v="37"/>
    <n v="77"/>
    <n v="0"/>
    <n v="246.5"/>
    <n v="231.33"/>
    <m/>
    <n v="263.54159244927155"/>
    <n v="265.36104285086753"/>
    <n v="0"/>
    <n v="71227.65400000001"/>
    <n v="66844.191480000009"/>
    <n v="0"/>
    <n v="76151.924387771709"/>
    <n v="76677.665498015282"/>
  </r>
  <r>
    <s v="PROJETADO"/>
    <x v="2"/>
    <x v="4"/>
    <x v="7"/>
    <x v="6"/>
    <x v="0"/>
    <x v="0"/>
    <x v="1"/>
    <x v="11"/>
    <n v="0"/>
    <n v="0"/>
    <n v="-0.86199999999999999"/>
    <n v="-0.86199999999999999"/>
    <n v="-0.86199999999999999"/>
    <n v="-0.86199999999999999"/>
    <n v="-1"/>
    <x v="2"/>
    <n v="0"/>
    <n v="0"/>
    <n v="37"/>
    <n v="77"/>
    <n v="0"/>
    <n v="246.5"/>
    <n v="231.33"/>
    <m/>
    <n v="263.54159244927155"/>
    <n v="265.36104285086753"/>
    <n v="0"/>
    <n v="-212.483"/>
    <n v="-199.40646000000001"/>
    <n v="0"/>
    <n v="-227.17285269127208"/>
    <n v="-228.7412189374478"/>
  </r>
  <r>
    <s v="PROJETADO"/>
    <x v="2"/>
    <x v="4"/>
    <x v="7"/>
    <x v="6"/>
    <x v="0"/>
    <x v="0"/>
    <x v="1"/>
    <x v="11"/>
    <n v="0"/>
    <n v="0"/>
    <n v="7.1210000000000004"/>
    <n v="7.1210000000000004"/>
    <n v="7.1210000000000004"/>
    <n v="7.1210000000000004"/>
    <n v="15"/>
    <x v="2"/>
    <n v="0"/>
    <n v="0"/>
    <n v="37"/>
    <n v="77"/>
    <n v="0"/>
    <n v="246.5"/>
    <n v="231.33"/>
    <m/>
    <n v="263.54159244927155"/>
    <n v="265.36104285086753"/>
    <n v="0"/>
    <n v="1755.3265000000001"/>
    <n v="1647.3009300000001"/>
    <n v="0"/>
    <n v="1876.6796798312628"/>
    <n v="1889.6359861410278"/>
  </r>
  <r>
    <s v="Regular"/>
    <x v="3"/>
    <x v="3"/>
    <x v="6"/>
    <x v="0"/>
    <x v="0"/>
    <x v="0"/>
    <x v="0"/>
    <x v="0"/>
    <n v="0"/>
    <n v="0"/>
    <n v="0.28799999999999998"/>
    <n v="0.28799999999999998"/>
    <n v="0.28799999999999998"/>
    <n v="0.28799999999999998"/>
    <n v="0"/>
    <x v="2"/>
    <n v="0"/>
    <n v="0"/>
    <n v="45"/>
    <n v="98"/>
    <n v="0"/>
    <n v="180.14"/>
    <n v="192.75"/>
    <m/>
    <n v="213.07750959943147"/>
    <n v="237.28634159637272"/>
    <n v="0"/>
    <n v="51.88031999999999"/>
    <n v="55.511999999999993"/>
    <n v="0"/>
    <n v="61.366322764636259"/>
    <n v="68.338466379755346"/>
  </r>
  <r>
    <s v="Regular"/>
    <x v="3"/>
    <x v="3"/>
    <x v="6"/>
    <x v="0"/>
    <x v="0"/>
    <x v="0"/>
    <x v="0"/>
    <x v="1"/>
    <n v="0"/>
    <n v="0"/>
    <n v="0.34799999999999998"/>
    <n v="0.34799999999999998"/>
    <n v="0.34799999999999998"/>
    <n v="0.34799999999999998"/>
    <n v="0"/>
    <x v="2"/>
    <n v="0"/>
    <n v="0"/>
    <n v="45"/>
    <n v="98"/>
    <n v="0"/>
    <n v="180.14"/>
    <n v="192.75"/>
    <m/>
    <n v="213.07750959943147"/>
    <n v="237.28634159637272"/>
    <n v="0"/>
    <n v="62.688719999999989"/>
    <n v="67.076999999999998"/>
    <n v="0"/>
    <n v="74.15097334060215"/>
    <n v="82.5756468755377"/>
  </r>
  <r>
    <s v="Regular"/>
    <x v="3"/>
    <x v="3"/>
    <x v="6"/>
    <x v="0"/>
    <x v="0"/>
    <x v="0"/>
    <x v="0"/>
    <x v="2"/>
    <n v="0"/>
    <n v="0"/>
    <n v="0.434"/>
    <n v="0.434"/>
    <n v="0.434"/>
    <n v="0.434"/>
    <n v="0"/>
    <x v="2"/>
    <n v="0"/>
    <n v="0"/>
    <n v="45"/>
    <n v="98"/>
    <n v="0"/>
    <n v="180.14"/>
    <n v="192.75"/>
    <m/>
    <n v="213.07750959943147"/>
    <n v="237.28634159637272"/>
    <n v="0"/>
    <n v="78.180759999999992"/>
    <n v="83.653499999999994"/>
    <n v="0"/>
    <n v="92.475639166153258"/>
    <n v="102.98227225282577"/>
  </r>
  <r>
    <s v="Regular"/>
    <x v="3"/>
    <x v="3"/>
    <x v="6"/>
    <x v="0"/>
    <x v="0"/>
    <x v="0"/>
    <x v="0"/>
    <x v="3"/>
    <n v="0"/>
    <n v="0"/>
    <n v="0.27800000000000002"/>
    <n v="0.27800000000000002"/>
    <n v="0.27800000000000002"/>
    <n v="0.27800000000000002"/>
    <n v="0"/>
    <x v="2"/>
    <n v="0"/>
    <n v="0"/>
    <n v="45"/>
    <n v="98"/>
    <n v="0"/>
    <n v="180.14"/>
    <n v="192.75"/>
    <m/>
    <n v="213.07750959943147"/>
    <n v="237.28634159637272"/>
    <n v="0"/>
    <n v="50.078920000000004"/>
    <n v="53.584500000000006"/>
    <n v="0"/>
    <n v="59.235547668641949"/>
    <n v="65.965602963791625"/>
  </r>
  <r>
    <s v="Regular"/>
    <x v="3"/>
    <x v="3"/>
    <x v="6"/>
    <x v="0"/>
    <x v="0"/>
    <x v="0"/>
    <x v="0"/>
    <x v="4"/>
    <n v="0"/>
    <n v="0"/>
    <n v="0.17799999999999999"/>
    <n v="0.17799999999999999"/>
    <n v="0.17799999999999999"/>
    <n v="0.17799999999999999"/>
    <n v="0"/>
    <x v="2"/>
    <n v="0"/>
    <n v="0"/>
    <n v="45"/>
    <n v="98"/>
    <n v="0"/>
    <n v="180.14"/>
    <n v="192.75"/>
    <m/>
    <n v="213.07750959943147"/>
    <n v="237.28634159637272"/>
    <n v="0"/>
    <n v="32.064919999999994"/>
    <n v="34.3095"/>
    <n v="0"/>
    <n v="37.9277967086988"/>
    <n v="42.236968804154344"/>
  </r>
  <r>
    <s v="Regular"/>
    <x v="3"/>
    <x v="3"/>
    <x v="6"/>
    <x v="0"/>
    <x v="0"/>
    <x v="0"/>
    <x v="0"/>
    <x v="5"/>
    <n v="0"/>
    <n v="0"/>
    <n v="0.24199999999999999"/>
    <n v="0.24199999999999999"/>
    <n v="0.24199999999999999"/>
    <n v="0.24199999999999999"/>
    <n v="0"/>
    <x v="2"/>
    <n v="0"/>
    <n v="0"/>
    <n v="45"/>
    <n v="98"/>
    <n v="0"/>
    <n v="180.14"/>
    <n v="192.75"/>
    <m/>
    <n v="213.07750959943147"/>
    <n v="237.28634159637272"/>
    <n v="0"/>
    <n v="43.593879999999999"/>
    <n v="46.645499999999998"/>
    <n v="0"/>
    <n v="51.564757323062416"/>
    <n v="57.423294666322199"/>
  </r>
  <r>
    <s v="Regular"/>
    <x v="3"/>
    <x v="3"/>
    <x v="6"/>
    <x v="0"/>
    <x v="0"/>
    <x v="0"/>
    <x v="0"/>
    <x v="6"/>
    <n v="0"/>
    <n v="0"/>
    <n v="0.16900000000000001"/>
    <n v="0.16900000000000001"/>
    <n v="0.16900000000000001"/>
    <n v="0.16900000000000001"/>
    <n v="0"/>
    <x v="2"/>
    <n v="0"/>
    <n v="0"/>
    <n v="45"/>
    <n v="98"/>
    <n v="0"/>
    <n v="180.14"/>
    <n v="192.75"/>
    <m/>
    <n v="213.07750959943147"/>
    <n v="237.28634159637272"/>
    <n v="0"/>
    <n v="30.443660000000001"/>
    <n v="32.574750000000002"/>
    <n v="0"/>
    <n v="36.01009912230392"/>
    <n v="40.10139172978699"/>
  </r>
  <r>
    <s v="Regular"/>
    <x v="3"/>
    <x v="3"/>
    <x v="6"/>
    <x v="0"/>
    <x v="0"/>
    <x v="0"/>
    <x v="0"/>
    <x v="7"/>
    <n v="0"/>
    <n v="0"/>
    <n v="0.191"/>
    <n v="0.191"/>
    <n v="0.191"/>
    <n v="0.191"/>
    <n v="0"/>
    <x v="2"/>
    <n v="0"/>
    <n v="0"/>
    <n v="45"/>
    <n v="98"/>
    <n v="0"/>
    <n v="180.14"/>
    <n v="192.75"/>
    <m/>
    <n v="213.07750959943147"/>
    <n v="237.28634159637272"/>
    <n v="0"/>
    <n v="34.406739999999999"/>
    <n v="36.815249999999999"/>
    <n v="0"/>
    <n v="40.697804333491412"/>
    <n v="45.321691244907193"/>
  </r>
  <r>
    <s v="Regular"/>
    <x v="3"/>
    <x v="3"/>
    <x v="6"/>
    <x v="0"/>
    <x v="0"/>
    <x v="0"/>
    <x v="0"/>
    <x v="8"/>
    <n v="0"/>
    <n v="0"/>
    <n v="0.254"/>
    <n v="0.254"/>
    <n v="0.254"/>
    <n v="0.254"/>
    <n v="0"/>
    <x v="2"/>
    <n v="0"/>
    <n v="0"/>
    <n v="45"/>
    <n v="98"/>
    <n v="0"/>
    <n v="180.14"/>
    <n v="192.75"/>
    <m/>
    <n v="213.07750959943147"/>
    <n v="237.28634159637272"/>
    <n v="0"/>
    <n v="45.755559999999996"/>
    <n v="48.958500000000001"/>
    <n v="0"/>
    <n v="54.121687438255591"/>
    <n v="60.270730765478675"/>
  </r>
  <r>
    <s v="Regular"/>
    <x v="3"/>
    <x v="3"/>
    <x v="6"/>
    <x v="0"/>
    <x v="0"/>
    <x v="0"/>
    <x v="0"/>
    <x v="9"/>
    <n v="0"/>
    <n v="0"/>
    <n v="0.32200000000000001"/>
    <n v="0.32200000000000001"/>
    <n v="0.32200000000000001"/>
    <n v="0.32200000000000001"/>
    <n v="0"/>
    <x v="2"/>
    <n v="0"/>
    <n v="0"/>
    <n v="45"/>
    <n v="98"/>
    <n v="0"/>
    <n v="180.14"/>
    <n v="192.75"/>
    <m/>
    <n v="213.07750959943147"/>
    <n v="237.28634159637272"/>
    <n v="0"/>
    <n v="58.00508"/>
    <n v="62.0655"/>
    <n v="0"/>
    <n v="68.61095809101694"/>
    <n v="76.406201994032017"/>
  </r>
  <r>
    <s v="Regular"/>
    <x v="3"/>
    <x v="3"/>
    <x v="6"/>
    <x v="0"/>
    <x v="0"/>
    <x v="0"/>
    <x v="0"/>
    <x v="10"/>
    <n v="0"/>
    <n v="0"/>
    <n v="0.33300000000000002"/>
    <n v="0.33300000000000002"/>
    <n v="0.33300000000000002"/>
    <n v="0.33300000000000002"/>
    <n v="0"/>
    <x v="2"/>
    <n v="0"/>
    <n v="0"/>
    <n v="45"/>
    <n v="98"/>
    <n v="0"/>
    <n v="180.14"/>
    <n v="192.75"/>
    <m/>
    <n v="213.07750959943147"/>
    <n v="237.28634159637272"/>
    <n v="0"/>
    <n v="59.986620000000002"/>
    <n v="64.185749999999999"/>
    <n v="0"/>
    <n v="70.954810696610679"/>
    <n v="79.016351751592126"/>
  </r>
  <r>
    <s v="PROJETADO"/>
    <x v="3"/>
    <x v="3"/>
    <x v="6"/>
    <x v="0"/>
    <x v="0"/>
    <x v="0"/>
    <x v="0"/>
    <x v="11"/>
    <n v="0"/>
    <n v="0"/>
    <n v="0.33300000000000002"/>
    <n v="0.33300000000000002"/>
    <n v="0.33300000000000002"/>
    <n v="0.33300000000000002"/>
    <n v="0"/>
    <x v="2"/>
    <n v="0"/>
    <n v="0"/>
    <n v="45"/>
    <n v="98"/>
    <n v="0"/>
    <n v="180.14"/>
    <n v="192.75"/>
    <m/>
    <n v="213.07750959943147"/>
    <n v="237.28634159637272"/>
    <n v="0"/>
    <n v="59.986620000000002"/>
    <n v="64.185749999999999"/>
    <n v="0"/>
    <n v="70.954810696610679"/>
    <n v="79.016351751592126"/>
  </r>
  <r>
    <s v="Regular"/>
    <x v="3"/>
    <x v="3"/>
    <x v="6"/>
    <x v="0"/>
    <x v="0"/>
    <x v="0"/>
    <x v="3"/>
    <x v="0"/>
    <n v="0"/>
    <n v="0"/>
    <n v="1.6E-2"/>
    <n v="1.6E-2"/>
    <n v="1.6E-2"/>
    <n v="1.6E-2"/>
    <n v="0"/>
    <x v="2"/>
    <n v="0"/>
    <n v="0"/>
    <n v="44"/>
    <n v="97"/>
    <n v="0"/>
    <n v="433.74"/>
    <n v="192.75"/>
    <m/>
    <n v="502.89678584558482"/>
    <n v="237.28634159637272"/>
    <n v="0"/>
    <n v="6.9398400000000002"/>
    <n v="3.0840000000000001"/>
    <n v="0"/>
    <n v="8.0463485735293574"/>
    <n v="3.7965814655419639"/>
  </r>
  <r>
    <s v="Regular"/>
    <x v="3"/>
    <x v="3"/>
    <x v="6"/>
    <x v="0"/>
    <x v="0"/>
    <x v="0"/>
    <x v="3"/>
    <x v="1"/>
    <n v="0"/>
    <n v="0"/>
    <n v="0.02"/>
    <n v="0.02"/>
    <n v="0.02"/>
    <n v="0.02"/>
    <n v="0"/>
    <x v="2"/>
    <n v="0"/>
    <n v="0"/>
    <n v="44"/>
    <n v="97"/>
    <n v="0"/>
    <n v="433.74"/>
    <n v="192.75"/>
    <m/>
    <n v="502.89678584558482"/>
    <n v="237.28634159637272"/>
    <n v="0"/>
    <n v="8.6748000000000012"/>
    <n v="3.855"/>
    <n v="0"/>
    <n v="10.057935716911697"/>
    <n v="4.7457268319274544"/>
  </r>
  <r>
    <s v="Regular"/>
    <x v="3"/>
    <x v="3"/>
    <x v="6"/>
    <x v="0"/>
    <x v="0"/>
    <x v="0"/>
    <x v="3"/>
    <x v="2"/>
    <n v="0"/>
    <n v="0"/>
    <n v="0.01"/>
    <n v="0.01"/>
    <n v="0.01"/>
    <n v="0.01"/>
    <n v="0"/>
    <x v="2"/>
    <n v="0"/>
    <n v="0"/>
    <n v="44"/>
    <n v="97"/>
    <n v="0"/>
    <n v="433.74"/>
    <n v="192.75"/>
    <m/>
    <n v="502.89678584558482"/>
    <n v="237.28634159637272"/>
    <n v="0"/>
    <n v="4.3374000000000006"/>
    <n v="1.9275"/>
    <n v="0"/>
    <n v="5.0289678584558484"/>
    <n v="2.3728634159637272"/>
  </r>
  <r>
    <s v="Regular"/>
    <x v="3"/>
    <x v="3"/>
    <x v="6"/>
    <x v="0"/>
    <x v="0"/>
    <x v="0"/>
    <x v="3"/>
    <x v="3"/>
    <n v="0"/>
    <n v="0"/>
    <n v="1.2999999999999999E-2"/>
    <n v="1.2999999999999999E-2"/>
    <n v="1.2999999999999999E-2"/>
    <n v="1.2999999999999999E-2"/>
    <n v="0"/>
    <x v="2"/>
    <n v="0"/>
    <n v="0"/>
    <n v="44"/>
    <n v="97"/>
    <n v="0"/>
    <n v="433.74"/>
    <n v="192.75"/>
    <m/>
    <n v="502.89678584558482"/>
    <n v="237.28634159637272"/>
    <n v="0"/>
    <n v="5.6386199999999995"/>
    <n v="2.5057499999999999"/>
    <n v="0"/>
    <n v="6.537658215992602"/>
    <n v="3.0847224407528451"/>
  </r>
  <r>
    <s v="Regular"/>
    <x v="3"/>
    <x v="3"/>
    <x v="6"/>
    <x v="0"/>
    <x v="0"/>
    <x v="0"/>
    <x v="3"/>
    <x v="4"/>
    <n v="0"/>
    <n v="0"/>
    <n v="1.0999999999999999E-2"/>
    <n v="1.0999999999999999E-2"/>
    <n v="1.0999999999999999E-2"/>
    <n v="1.0999999999999999E-2"/>
    <n v="0"/>
    <x v="2"/>
    <n v="0"/>
    <n v="0"/>
    <n v="44"/>
    <n v="97"/>
    <n v="0"/>
    <n v="433.74"/>
    <n v="192.75"/>
    <m/>
    <n v="502.89678584558482"/>
    <n v="237.28634159637272"/>
    <n v="0"/>
    <n v="4.7711399999999999"/>
    <n v="2.12025"/>
    <n v="0"/>
    <n v="5.5318646443014323"/>
    <n v="2.6101497575600998"/>
  </r>
  <r>
    <s v="Regular"/>
    <x v="3"/>
    <x v="3"/>
    <x v="6"/>
    <x v="0"/>
    <x v="0"/>
    <x v="0"/>
    <x v="3"/>
    <x v="5"/>
    <n v="0"/>
    <n v="0"/>
    <n v="0.01"/>
    <n v="0.01"/>
    <n v="0.01"/>
    <n v="0.01"/>
    <n v="0"/>
    <x v="2"/>
    <n v="0"/>
    <n v="0"/>
    <n v="44"/>
    <n v="97"/>
    <n v="0"/>
    <n v="433.74"/>
    <n v="192.75"/>
    <m/>
    <n v="502.89678584558482"/>
    <n v="237.28634159637272"/>
    <n v="0"/>
    <n v="4.3374000000000006"/>
    <n v="1.9275"/>
    <n v="0"/>
    <n v="5.0289678584558484"/>
    <n v="2.3728634159637272"/>
  </r>
  <r>
    <s v="Regular"/>
    <x v="3"/>
    <x v="3"/>
    <x v="6"/>
    <x v="0"/>
    <x v="0"/>
    <x v="0"/>
    <x v="3"/>
    <x v="6"/>
    <n v="0"/>
    <n v="0"/>
    <n v="8.0000000000000002E-3"/>
    <n v="8.0000000000000002E-3"/>
    <n v="8.0000000000000002E-3"/>
    <n v="8.0000000000000002E-3"/>
    <n v="0"/>
    <x v="2"/>
    <n v="0"/>
    <n v="0"/>
    <n v="44"/>
    <n v="97"/>
    <n v="0"/>
    <n v="433.74"/>
    <n v="192.75"/>
    <m/>
    <n v="502.89678584558482"/>
    <n v="237.28634159637272"/>
    <n v="0"/>
    <n v="3.4699200000000001"/>
    <n v="1.542"/>
    <n v="0"/>
    <n v="4.0231742867646787"/>
    <n v="1.8982907327709819"/>
  </r>
  <r>
    <s v="Regular"/>
    <x v="3"/>
    <x v="3"/>
    <x v="6"/>
    <x v="0"/>
    <x v="0"/>
    <x v="0"/>
    <x v="3"/>
    <x v="7"/>
    <n v="0"/>
    <n v="0"/>
    <n v="1.0999999999999999E-2"/>
    <n v="1.0999999999999999E-2"/>
    <n v="1.0999999999999999E-2"/>
    <n v="1.0999999999999999E-2"/>
    <n v="0"/>
    <x v="2"/>
    <n v="0"/>
    <n v="0"/>
    <n v="44"/>
    <n v="97"/>
    <n v="0"/>
    <n v="433.74"/>
    <n v="192.75"/>
    <m/>
    <n v="502.89678584558482"/>
    <n v="237.28634159637272"/>
    <n v="0"/>
    <n v="4.7711399999999999"/>
    <n v="2.12025"/>
    <n v="0"/>
    <n v="5.5318646443014323"/>
    <n v="2.6101497575600998"/>
  </r>
  <r>
    <s v="Regular"/>
    <x v="3"/>
    <x v="3"/>
    <x v="6"/>
    <x v="0"/>
    <x v="0"/>
    <x v="0"/>
    <x v="3"/>
    <x v="8"/>
    <n v="0"/>
    <n v="0"/>
    <n v="1.2E-2"/>
    <n v="1.2E-2"/>
    <n v="1.2E-2"/>
    <n v="1.2E-2"/>
    <n v="0"/>
    <x v="2"/>
    <n v="0"/>
    <n v="0"/>
    <n v="44"/>
    <n v="97"/>
    <n v="0"/>
    <n v="433.74"/>
    <n v="192.75"/>
    <m/>
    <n v="502.89678584558482"/>
    <n v="237.28634159637272"/>
    <n v="0"/>
    <n v="5.2048800000000002"/>
    <n v="2.3130000000000002"/>
    <n v="0"/>
    <n v="6.034761430147018"/>
    <n v="2.8474360991564729"/>
  </r>
  <r>
    <s v="Regular"/>
    <x v="3"/>
    <x v="3"/>
    <x v="6"/>
    <x v="0"/>
    <x v="0"/>
    <x v="0"/>
    <x v="3"/>
    <x v="9"/>
    <n v="0"/>
    <n v="0"/>
    <n v="0.01"/>
    <n v="0.01"/>
    <n v="0.01"/>
    <n v="0.01"/>
    <n v="0"/>
    <x v="2"/>
    <n v="0"/>
    <n v="0"/>
    <n v="44"/>
    <n v="97"/>
    <n v="0"/>
    <n v="433.74"/>
    <n v="192.75"/>
    <m/>
    <n v="502.89678584558482"/>
    <n v="237.28634159637272"/>
    <n v="0"/>
    <n v="4.3374000000000006"/>
    <n v="1.9275"/>
    <n v="0"/>
    <n v="5.0289678584558484"/>
    <n v="2.3728634159637272"/>
  </r>
  <r>
    <s v="Regular"/>
    <x v="3"/>
    <x v="3"/>
    <x v="6"/>
    <x v="0"/>
    <x v="0"/>
    <x v="0"/>
    <x v="3"/>
    <x v="10"/>
    <n v="0"/>
    <n v="0"/>
    <n v="1.2E-2"/>
    <n v="1.2E-2"/>
    <n v="1.2E-2"/>
    <n v="1.2E-2"/>
    <n v="0"/>
    <x v="2"/>
    <n v="0"/>
    <n v="0"/>
    <n v="44"/>
    <n v="97"/>
    <n v="0"/>
    <n v="433.74"/>
    <n v="192.75"/>
    <m/>
    <n v="502.89678584558482"/>
    <n v="237.28634159637272"/>
    <n v="0"/>
    <n v="5.2048800000000002"/>
    <n v="2.3130000000000002"/>
    <n v="0"/>
    <n v="6.034761430147018"/>
    <n v="2.8474360991564729"/>
  </r>
  <r>
    <s v="PROJETADO"/>
    <x v="3"/>
    <x v="3"/>
    <x v="6"/>
    <x v="0"/>
    <x v="0"/>
    <x v="0"/>
    <x v="3"/>
    <x v="11"/>
    <n v="0"/>
    <n v="0"/>
    <n v="1.2E-2"/>
    <n v="1.2E-2"/>
    <n v="1.2E-2"/>
    <n v="1.2E-2"/>
    <n v="0"/>
    <x v="2"/>
    <n v="0"/>
    <n v="0"/>
    <n v="44"/>
    <n v="97"/>
    <n v="0"/>
    <n v="433.74"/>
    <n v="192.75"/>
    <m/>
    <n v="502.89678584558482"/>
    <n v="237.28634159637272"/>
    <n v="0"/>
    <n v="5.2048800000000002"/>
    <n v="2.3130000000000002"/>
    <n v="0"/>
    <n v="6.034761430147018"/>
    <n v="2.8474360991564729"/>
  </r>
  <r>
    <s v="Regular"/>
    <x v="3"/>
    <x v="3"/>
    <x v="6"/>
    <x v="0"/>
    <x v="0"/>
    <x v="0"/>
    <x v="2"/>
    <x v="0"/>
    <n v="0"/>
    <n v="0"/>
    <n v="1.0999999999999999E-2"/>
    <n v="1.0999999999999999E-2"/>
    <n v="1.0999999999999999E-2"/>
    <n v="1.0999999999999999E-2"/>
    <n v="0"/>
    <x v="2"/>
    <n v="0"/>
    <n v="0"/>
    <n v="43"/>
    <n v="96"/>
    <n v="0"/>
    <n v="687.34"/>
    <n v="322.61"/>
    <m/>
    <n v="792.71625174926999"/>
    <n v="383.12280579768588"/>
    <n v="0"/>
    <n v="7.56074"/>
    <n v="3.5487099999999998"/>
    <n v="0"/>
    <n v="8.7198787692419693"/>
    <n v="4.2143508637745448"/>
  </r>
  <r>
    <s v="Regular"/>
    <x v="3"/>
    <x v="3"/>
    <x v="6"/>
    <x v="0"/>
    <x v="0"/>
    <x v="0"/>
    <x v="2"/>
    <x v="1"/>
    <n v="0"/>
    <n v="0"/>
    <n v="1.4E-2"/>
    <n v="1.4E-2"/>
    <n v="1.4E-2"/>
    <n v="1.4E-2"/>
    <n v="0"/>
    <x v="2"/>
    <n v="0"/>
    <n v="0"/>
    <n v="43"/>
    <n v="96"/>
    <n v="0"/>
    <n v="687.34"/>
    <n v="322.61"/>
    <m/>
    <n v="792.71625174926999"/>
    <n v="383.12280579768588"/>
    <n v="0"/>
    <n v="9.6227600000000013"/>
    <n v="4.51654"/>
    <n v="0"/>
    <n v="11.09802752448978"/>
    <n v="5.3637192811676027"/>
  </r>
  <r>
    <s v="Regular"/>
    <x v="3"/>
    <x v="3"/>
    <x v="6"/>
    <x v="0"/>
    <x v="0"/>
    <x v="0"/>
    <x v="2"/>
    <x v="2"/>
    <n v="0"/>
    <n v="0"/>
    <n v="1.2999999999999999E-2"/>
    <n v="1.2999999999999999E-2"/>
    <n v="1.2999999999999999E-2"/>
    <n v="1.2999999999999999E-2"/>
    <n v="0"/>
    <x v="2"/>
    <n v="0"/>
    <n v="0"/>
    <n v="43"/>
    <n v="96"/>
    <n v="0"/>
    <n v="687.34"/>
    <n v="322.61"/>
    <m/>
    <n v="792.71625174926999"/>
    <n v="383.12280579768588"/>
    <n v="0"/>
    <n v="8.9354200000000006"/>
    <n v="4.1939299999999999"/>
    <n v="0"/>
    <n v="10.305311272740509"/>
    <n v="4.9805964753699161"/>
  </r>
  <r>
    <s v="Regular"/>
    <x v="3"/>
    <x v="3"/>
    <x v="6"/>
    <x v="0"/>
    <x v="0"/>
    <x v="0"/>
    <x v="2"/>
    <x v="3"/>
    <n v="0"/>
    <n v="0"/>
    <n v="1.4999999999999999E-2"/>
    <n v="1.4999999999999999E-2"/>
    <n v="1.4999999999999999E-2"/>
    <n v="1.4999999999999999E-2"/>
    <n v="0"/>
    <x v="2"/>
    <n v="0"/>
    <n v="0"/>
    <n v="43"/>
    <n v="96"/>
    <n v="0"/>
    <n v="687.34"/>
    <n v="322.61"/>
    <m/>
    <n v="792.71625174926999"/>
    <n v="383.12280579768588"/>
    <n v="0"/>
    <n v="10.3101"/>
    <n v="4.8391500000000001"/>
    <n v="0"/>
    <n v="11.890743776239049"/>
    <n v="5.7468420869652883"/>
  </r>
  <r>
    <s v="Regular"/>
    <x v="3"/>
    <x v="3"/>
    <x v="6"/>
    <x v="0"/>
    <x v="0"/>
    <x v="0"/>
    <x v="2"/>
    <x v="4"/>
    <n v="0"/>
    <n v="0"/>
    <n v="1.2999999999999999E-2"/>
    <n v="1.2999999999999999E-2"/>
    <n v="1.2999999999999999E-2"/>
    <n v="1.2999999999999999E-2"/>
    <n v="0"/>
    <x v="2"/>
    <n v="0"/>
    <n v="0"/>
    <n v="43"/>
    <n v="96"/>
    <n v="0"/>
    <n v="687.34"/>
    <n v="322.61"/>
    <m/>
    <n v="792.71625174926999"/>
    <n v="383.12280579768588"/>
    <n v="0"/>
    <n v="8.9354200000000006"/>
    <n v="4.1939299999999999"/>
    <n v="0"/>
    <n v="10.305311272740509"/>
    <n v="4.9805964753699161"/>
  </r>
  <r>
    <s v="Regular"/>
    <x v="3"/>
    <x v="3"/>
    <x v="6"/>
    <x v="0"/>
    <x v="0"/>
    <x v="0"/>
    <x v="2"/>
    <x v="5"/>
    <n v="0"/>
    <n v="0"/>
    <n v="1.2999999999999999E-2"/>
    <n v="1.2999999999999999E-2"/>
    <n v="1.2999999999999999E-2"/>
    <n v="1.2999999999999999E-2"/>
    <n v="0"/>
    <x v="2"/>
    <n v="0"/>
    <n v="0"/>
    <n v="43"/>
    <n v="96"/>
    <n v="0"/>
    <n v="687.34"/>
    <n v="322.61"/>
    <m/>
    <n v="792.71625174926999"/>
    <n v="383.12280579768588"/>
    <n v="0"/>
    <n v="8.9354200000000006"/>
    <n v="4.1939299999999999"/>
    <n v="0"/>
    <n v="10.305311272740509"/>
    <n v="4.9805964753699161"/>
  </r>
  <r>
    <s v="Regular"/>
    <x v="3"/>
    <x v="3"/>
    <x v="6"/>
    <x v="0"/>
    <x v="0"/>
    <x v="0"/>
    <x v="2"/>
    <x v="6"/>
    <n v="0"/>
    <n v="0"/>
    <n v="1.2E-2"/>
    <n v="1.2E-2"/>
    <n v="1.2E-2"/>
    <n v="1.2E-2"/>
    <n v="0"/>
    <x v="2"/>
    <n v="0"/>
    <n v="0"/>
    <n v="43"/>
    <n v="96"/>
    <n v="0"/>
    <n v="687.34"/>
    <n v="322.61"/>
    <m/>
    <n v="792.71625174926999"/>
    <n v="383.12280579768588"/>
    <n v="0"/>
    <n v="8.2480799999999999"/>
    <n v="3.8713200000000003"/>
    <n v="0"/>
    <n v="9.51259502099124"/>
    <n v="4.5974736695722305"/>
  </r>
  <r>
    <s v="Regular"/>
    <x v="3"/>
    <x v="3"/>
    <x v="6"/>
    <x v="0"/>
    <x v="0"/>
    <x v="0"/>
    <x v="2"/>
    <x v="7"/>
    <n v="0"/>
    <n v="0"/>
    <n v="1.2999999999999999E-2"/>
    <n v="1.2999999999999999E-2"/>
    <n v="1.2999999999999999E-2"/>
    <n v="1.2999999999999999E-2"/>
    <n v="0"/>
    <x v="2"/>
    <n v="0"/>
    <n v="0"/>
    <n v="43"/>
    <n v="96"/>
    <n v="0"/>
    <n v="687.34"/>
    <n v="322.61"/>
    <m/>
    <n v="792.71625174926999"/>
    <n v="383.12280579768588"/>
    <n v="0"/>
    <n v="8.9354200000000006"/>
    <n v="4.1939299999999999"/>
    <n v="0"/>
    <n v="10.305311272740509"/>
    <n v="4.9805964753699161"/>
  </r>
  <r>
    <s v="Regular"/>
    <x v="3"/>
    <x v="3"/>
    <x v="6"/>
    <x v="0"/>
    <x v="0"/>
    <x v="0"/>
    <x v="2"/>
    <x v="8"/>
    <n v="0"/>
    <n v="0"/>
    <n v="1.4999999999999999E-2"/>
    <n v="1.4999999999999999E-2"/>
    <n v="1.4999999999999999E-2"/>
    <n v="1.4999999999999999E-2"/>
    <n v="0"/>
    <x v="2"/>
    <n v="0"/>
    <n v="0"/>
    <n v="43"/>
    <n v="96"/>
    <n v="0"/>
    <n v="687.34"/>
    <n v="322.61"/>
    <m/>
    <n v="792.71625174926999"/>
    <n v="383.12280579768588"/>
    <n v="0"/>
    <n v="10.3101"/>
    <n v="4.8391500000000001"/>
    <n v="0"/>
    <n v="11.890743776239049"/>
    <n v="5.7468420869652883"/>
  </r>
  <r>
    <s v="Regular"/>
    <x v="3"/>
    <x v="3"/>
    <x v="6"/>
    <x v="0"/>
    <x v="0"/>
    <x v="0"/>
    <x v="2"/>
    <x v="9"/>
    <n v="0"/>
    <n v="0"/>
    <n v="1.4999999999999999E-2"/>
    <n v="1.4999999999999999E-2"/>
    <n v="1.4999999999999999E-2"/>
    <n v="1.4999999999999999E-2"/>
    <n v="0"/>
    <x v="2"/>
    <n v="0"/>
    <n v="0"/>
    <n v="43"/>
    <n v="96"/>
    <n v="0"/>
    <n v="687.34"/>
    <n v="322.61"/>
    <m/>
    <n v="792.71625174926999"/>
    <n v="383.12280579768588"/>
    <n v="0"/>
    <n v="10.3101"/>
    <n v="4.8391500000000001"/>
    <n v="0"/>
    <n v="11.890743776239049"/>
    <n v="5.7468420869652883"/>
  </r>
  <r>
    <s v="Regular"/>
    <x v="3"/>
    <x v="3"/>
    <x v="6"/>
    <x v="0"/>
    <x v="0"/>
    <x v="0"/>
    <x v="2"/>
    <x v="10"/>
    <n v="0"/>
    <n v="0"/>
    <n v="1.6E-2"/>
    <n v="1.6E-2"/>
    <n v="1.6E-2"/>
    <n v="1.6E-2"/>
    <n v="0"/>
    <x v="2"/>
    <n v="0"/>
    <n v="0"/>
    <n v="43"/>
    <n v="96"/>
    <n v="0"/>
    <n v="687.34"/>
    <n v="322.61"/>
    <m/>
    <n v="792.71625174926999"/>
    <n v="383.12280579768588"/>
    <n v="0"/>
    <n v="10.997440000000001"/>
    <n v="5.1617600000000001"/>
    <n v="0"/>
    <n v="12.683460027988319"/>
    <n v="6.129964892762974"/>
  </r>
  <r>
    <s v="PROJETADO"/>
    <x v="3"/>
    <x v="3"/>
    <x v="6"/>
    <x v="0"/>
    <x v="0"/>
    <x v="0"/>
    <x v="2"/>
    <x v="11"/>
    <n v="0"/>
    <n v="0"/>
    <n v="1.6E-2"/>
    <n v="1.6E-2"/>
    <n v="1.6E-2"/>
    <n v="1.6E-2"/>
    <n v="0"/>
    <x v="2"/>
    <n v="0"/>
    <n v="0"/>
    <n v="43"/>
    <n v="96"/>
    <n v="0"/>
    <n v="687.34"/>
    <n v="322.61"/>
    <m/>
    <n v="792.71625174926999"/>
    <n v="383.12280579768588"/>
    <n v="0"/>
    <n v="10.997440000000001"/>
    <n v="5.1617600000000001"/>
    <n v="0"/>
    <n v="12.683460027988319"/>
    <n v="6.129964892762974"/>
  </r>
  <r>
    <s v="Regular"/>
    <x v="3"/>
    <x v="4"/>
    <x v="6"/>
    <x v="7"/>
    <x v="2"/>
    <x v="0"/>
    <x v="1"/>
    <x v="0"/>
    <n v="0"/>
    <n v="0"/>
    <n v="146.16200000000001"/>
    <n v="146.16200000000001"/>
    <n v="146.16200000000001"/>
    <n v="146.16200000000001"/>
    <n v="0"/>
    <x v="2"/>
    <n v="0"/>
    <n v="0"/>
    <n v="46"/>
    <n v="99"/>
    <n v="0"/>
    <n v="251.46"/>
    <n v="203.57"/>
    <m/>
    <n v="294.58903575722985"/>
    <n v="249.43938027981548"/>
    <n v="0"/>
    <n v="36753.896520000002"/>
    <n v="29754.198339999999"/>
    <n v="0"/>
    <n v="43057.722644348229"/>
    <n v="36458.558700458394"/>
  </r>
  <r>
    <s v="Refaturamento - Regular"/>
    <x v="3"/>
    <x v="4"/>
    <x v="6"/>
    <x v="7"/>
    <x v="2"/>
    <x v="0"/>
    <x v="1"/>
    <x v="0"/>
    <n v="0"/>
    <n v="0"/>
    <n v="-18.343"/>
    <n v="-18.343"/>
    <n v="-18.343"/>
    <n v="-18.343"/>
    <n v="0"/>
    <x v="2"/>
    <n v="0"/>
    <n v="0"/>
    <n v="46"/>
    <n v="99"/>
    <n v="0"/>
    <n v="251.46"/>
    <n v="203.57"/>
    <m/>
    <n v="294.58903575722985"/>
    <n v="249.43938027981548"/>
    <n v="0"/>
    <n v="-4612.53078"/>
    <n v="-3734.0845099999997"/>
    <n v="0"/>
    <n v="-5403.6466828948669"/>
    <n v="-4575.4665524726552"/>
  </r>
  <r>
    <s v="Sistema de Compensação"/>
    <x v="3"/>
    <x v="4"/>
    <x v="6"/>
    <x v="7"/>
    <x v="2"/>
    <x v="0"/>
    <x v="1"/>
    <x v="0"/>
    <n v="0"/>
    <n v="0"/>
    <n v="0.48299999999999998"/>
    <n v="0.48299999999999998"/>
    <n v="0.48299999999999998"/>
    <n v="0.48299999999999998"/>
    <n v="0"/>
    <x v="2"/>
    <n v="0"/>
    <n v="0"/>
    <n v="46"/>
    <n v="99"/>
    <n v="0"/>
    <n v="251.46"/>
    <n v="203.57"/>
    <m/>
    <n v="294.58903575722985"/>
    <n v="249.43938027981548"/>
    <n v="0"/>
    <n v="121.45518"/>
    <n v="98.324309999999997"/>
    <n v="0"/>
    <n v="142.286504270742"/>
    <n v="120.47922067515087"/>
  </r>
  <r>
    <s v="Regular"/>
    <x v="3"/>
    <x v="4"/>
    <x v="6"/>
    <x v="7"/>
    <x v="2"/>
    <x v="0"/>
    <x v="1"/>
    <x v="1"/>
    <n v="0"/>
    <n v="0"/>
    <n v="132.06899999999999"/>
    <n v="132.06899999999999"/>
    <n v="132.06899999999999"/>
    <n v="132.06899999999999"/>
    <n v="0"/>
    <x v="2"/>
    <n v="0"/>
    <n v="0"/>
    <n v="46"/>
    <n v="99"/>
    <n v="0"/>
    <n v="251.46"/>
    <n v="203.57"/>
    <m/>
    <n v="294.58903575722985"/>
    <n v="249.43938027981548"/>
    <n v="0"/>
    <n v="33210.070739999996"/>
    <n v="26885.286329999995"/>
    <n v="0"/>
    <n v="38906.079363421588"/>
    <n v="32943.209514174945"/>
  </r>
  <r>
    <s v="Sistema de Compensação"/>
    <x v="3"/>
    <x v="4"/>
    <x v="6"/>
    <x v="7"/>
    <x v="2"/>
    <x v="0"/>
    <x v="1"/>
    <x v="1"/>
    <n v="0"/>
    <n v="0"/>
    <n v="0.47399999999999998"/>
    <n v="0.47399999999999998"/>
    <n v="0.47399999999999998"/>
    <n v="0.47399999999999998"/>
    <n v="0"/>
    <x v="2"/>
    <n v="0"/>
    <n v="0"/>
    <n v="46"/>
    <n v="99"/>
    <n v="0"/>
    <n v="251.46"/>
    <n v="203.57"/>
    <m/>
    <n v="294.58903575722985"/>
    <n v="249.43938027981548"/>
    <n v="0"/>
    <n v="119.19203999999999"/>
    <n v="96.492179999999991"/>
    <n v="0"/>
    <n v="139.63520294892695"/>
    <n v="118.23426625263254"/>
  </r>
  <r>
    <s v="Sistema de Compensação"/>
    <x v="3"/>
    <x v="4"/>
    <x v="6"/>
    <x v="7"/>
    <x v="2"/>
    <x v="0"/>
    <x v="1"/>
    <x v="1"/>
    <n v="0"/>
    <n v="0"/>
    <n v="0.66500000000000004"/>
    <n v="0.66500000000000004"/>
    <n v="0.66500000000000004"/>
    <n v="0.66500000000000004"/>
    <n v="0"/>
    <x v="2"/>
    <n v="0"/>
    <n v="0"/>
    <n v="46"/>
    <n v="99"/>
    <n v="0"/>
    <n v="251.46"/>
    <n v="203.57"/>
    <m/>
    <n v="294.58903575722985"/>
    <n v="249.43938027981548"/>
    <n v="0"/>
    <n v="167.2209"/>
    <n v="135.37405000000001"/>
    <n v="0"/>
    <n v="195.90170877855786"/>
    <n v="165.87718788607731"/>
  </r>
  <r>
    <s v="Regular"/>
    <x v="3"/>
    <x v="4"/>
    <x v="6"/>
    <x v="7"/>
    <x v="2"/>
    <x v="0"/>
    <x v="1"/>
    <x v="2"/>
    <n v="0"/>
    <n v="0"/>
    <n v="110.985"/>
    <n v="110.985"/>
    <n v="110.985"/>
    <n v="110.985"/>
    <n v="0"/>
    <x v="2"/>
    <n v="0"/>
    <n v="0"/>
    <n v="46"/>
    <n v="99"/>
    <n v="0"/>
    <n v="251.46"/>
    <n v="203.57"/>
    <m/>
    <n v="294.58903575722985"/>
    <n v="249.43938027981548"/>
    <n v="0"/>
    <n v="27908.288100000002"/>
    <n v="22593.21645"/>
    <n v="0"/>
    <n v="32694.964133516154"/>
    <n v="27684.029620355323"/>
  </r>
  <r>
    <s v="Refaturamento - Regular"/>
    <x v="3"/>
    <x v="4"/>
    <x v="6"/>
    <x v="7"/>
    <x v="2"/>
    <x v="0"/>
    <x v="1"/>
    <x v="2"/>
    <n v="0"/>
    <n v="0"/>
    <n v="-3.1419999999999999"/>
    <n v="-3.1419999999999999"/>
    <n v="-3.1419999999999999"/>
    <n v="-3.1419999999999999"/>
    <n v="0"/>
    <x v="2"/>
    <n v="0"/>
    <n v="0"/>
    <n v="46"/>
    <n v="99"/>
    <n v="0"/>
    <n v="251.46"/>
    <n v="203.57"/>
    <m/>
    <n v="294.58903575722985"/>
    <n v="249.43938027981548"/>
    <n v="0"/>
    <n v="-790.08731999999998"/>
    <n v="-639.61694"/>
    <n v="0"/>
    <n v="-925.59875034921617"/>
    <n v="-783.73853283918027"/>
  </r>
  <r>
    <s v="Sistema de Compensação"/>
    <x v="3"/>
    <x v="4"/>
    <x v="6"/>
    <x v="7"/>
    <x v="2"/>
    <x v="0"/>
    <x v="1"/>
    <x v="2"/>
    <n v="0"/>
    <n v="0"/>
    <n v="0.16"/>
    <n v="0.16"/>
    <n v="0.16"/>
    <n v="0.16"/>
    <n v="0"/>
    <x v="2"/>
    <n v="0"/>
    <n v="0"/>
    <n v="46"/>
    <n v="99"/>
    <n v="0"/>
    <n v="251.46"/>
    <n v="203.57"/>
    <m/>
    <n v="294.58903575722985"/>
    <n v="249.43938027981548"/>
    <n v="0"/>
    <n v="40.233600000000003"/>
    <n v="32.571199999999997"/>
    <n v="0"/>
    <n v="47.13424572115678"/>
    <n v="39.910300844770475"/>
  </r>
  <r>
    <s v="Sistema de Compensação"/>
    <x v="3"/>
    <x v="4"/>
    <x v="6"/>
    <x v="7"/>
    <x v="2"/>
    <x v="0"/>
    <x v="1"/>
    <x v="2"/>
    <n v="0"/>
    <n v="0"/>
    <n v="3.5270000000000001"/>
    <n v="3.5270000000000001"/>
    <n v="3.5270000000000001"/>
    <n v="3.5270000000000001"/>
    <n v="0"/>
    <x v="2"/>
    <n v="0"/>
    <n v="0"/>
    <n v="46"/>
    <n v="99"/>
    <n v="0"/>
    <n v="251.46"/>
    <n v="203.57"/>
    <m/>
    <n v="294.58903575722985"/>
    <n v="249.43938027981548"/>
    <n v="0"/>
    <n v="886.89942000000008"/>
    <n v="717.99139000000002"/>
    <n v="0"/>
    <n v="1039.0155291157498"/>
    <n v="879.77269424690928"/>
  </r>
  <r>
    <s v="Regular"/>
    <x v="3"/>
    <x v="4"/>
    <x v="6"/>
    <x v="7"/>
    <x v="2"/>
    <x v="0"/>
    <x v="1"/>
    <x v="3"/>
    <n v="0"/>
    <n v="0"/>
    <n v="85.21"/>
    <n v="85.21"/>
    <n v="85.21"/>
    <n v="85.21"/>
    <n v="0"/>
    <x v="2"/>
    <n v="0"/>
    <n v="0"/>
    <n v="46"/>
    <n v="99"/>
    <n v="0"/>
    <n v="251.46"/>
    <n v="203.57"/>
    <m/>
    <n v="294.58903575722985"/>
    <n v="249.43938027981548"/>
    <n v="0"/>
    <n v="21426.906599999998"/>
    <n v="17346.199699999997"/>
    <n v="0"/>
    <n v="25101.931736873554"/>
    <n v="21254.729593643075"/>
  </r>
  <r>
    <s v="Refaturamento - Regular"/>
    <x v="3"/>
    <x v="4"/>
    <x v="6"/>
    <x v="7"/>
    <x v="2"/>
    <x v="0"/>
    <x v="1"/>
    <x v="3"/>
    <n v="0"/>
    <n v="0"/>
    <n v="-3.0110000000000001"/>
    <n v="-3.0110000000000001"/>
    <n v="-3.0110000000000001"/>
    <n v="-3.0110000000000001"/>
    <n v="0"/>
    <x v="2"/>
    <n v="0"/>
    <n v="0"/>
    <n v="46"/>
    <n v="99"/>
    <n v="0"/>
    <n v="251.46"/>
    <n v="203.57"/>
    <m/>
    <n v="294.58903575722985"/>
    <n v="249.43938027981548"/>
    <n v="0"/>
    <n v="-757.14606000000003"/>
    <n v="-612.94926999999996"/>
    <n v="0"/>
    <n v="-887.00758666501906"/>
    <n v="-751.0619740225244"/>
  </r>
  <r>
    <s v="Sistema de Compensação"/>
    <x v="3"/>
    <x v="4"/>
    <x v="6"/>
    <x v="7"/>
    <x v="2"/>
    <x v="0"/>
    <x v="1"/>
    <x v="3"/>
    <n v="0"/>
    <n v="0"/>
    <n v="0.20200000000000001"/>
    <n v="0.20200000000000001"/>
    <n v="0.20200000000000001"/>
    <n v="0.20200000000000001"/>
    <n v="0"/>
    <x v="2"/>
    <n v="0"/>
    <n v="0"/>
    <n v="46"/>
    <n v="99"/>
    <n v="0"/>
    <n v="251.46"/>
    <n v="203.57"/>
    <m/>
    <n v="294.58903575722985"/>
    <n v="249.43938027981548"/>
    <n v="0"/>
    <n v="50.794920000000005"/>
    <n v="41.121140000000004"/>
    <n v="0"/>
    <n v="59.506985222960431"/>
    <n v="50.386754816522732"/>
  </r>
  <r>
    <s v="Regular"/>
    <x v="3"/>
    <x v="4"/>
    <x v="6"/>
    <x v="7"/>
    <x v="2"/>
    <x v="0"/>
    <x v="1"/>
    <x v="4"/>
    <n v="0"/>
    <n v="0"/>
    <n v="102.312"/>
    <n v="102.312"/>
    <n v="102.312"/>
    <n v="102.312"/>
    <n v="0"/>
    <x v="2"/>
    <n v="0"/>
    <n v="0"/>
    <n v="46"/>
    <n v="99"/>
    <n v="0"/>
    <n v="251.46"/>
    <n v="203.57"/>
    <m/>
    <n v="294.58903575722985"/>
    <n v="249.43938027981548"/>
    <n v="0"/>
    <n v="25727.375520000001"/>
    <n v="20827.653839999999"/>
    <n v="0"/>
    <n v="30139.993426393699"/>
    <n v="25520.641875188481"/>
  </r>
  <r>
    <s v="Refaturamento - Regular"/>
    <x v="3"/>
    <x v="4"/>
    <x v="6"/>
    <x v="7"/>
    <x v="2"/>
    <x v="0"/>
    <x v="1"/>
    <x v="4"/>
    <n v="0"/>
    <n v="0"/>
    <n v="0.73299999999999998"/>
    <n v="0.73299999999999998"/>
    <n v="0.73299999999999998"/>
    <n v="0.73299999999999998"/>
    <n v="0"/>
    <x v="2"/>
    <n v="0"/>
    <n v="0"/>
    <n v="46"/>
    <n v="99"/>
    <n v="0"/>
    <n v="251.46"/>
    <n v="203.57"/>
    <m/>
    <n v="294.58903575722985"/>
    <n v="249.43938027981548"/>
    <n v="0"/>
    <n v="184.32017999999999"/>
    <n v="149.21680999999998"/>
    <n v="0"/>
    <n v="215.93376321004948"/>
    <n v="182.83906574510473"/>
  </r>
  <r>
    <s v="Sistema de Compensação"/>
    <x v="3"/>
    <x v="4"/>
    <x v="6"/>
    <x v="7"/>
    <x v="2"/>
    <x v="0"/>
    <x v="1"/>
    <x v="4"/>
    <n v="0"/>
    <n v="0"/>
    <n v="0.16200000000000001"/>
    <n v="0.16200000000000001"/>
    <n v="0.16200000000000001"/>
    <n v="0.16200000000000001"/>
    <n v="0"/>
    <x v="2"/>
    <n v="0"/>
    <n v="0"/>
    <n v="46"/>
    <n v="99"/>
    <n v="0"/>
    <n v="251.46"/>
    <n v="203.57"/>
    <m/>
    <n v="294.58903575722985"/>
    <n v="249.43938027981548"/>
    <n v="0"/>
    <n v="40.736520000000006"/>
    <n v="32.978340000000003"/>
    <n v="0"/>
    <n v="47.723423792671234"/>
    <n v="40.40917960533011"/>
  </r>
  <r>
    <s v="Regular"/>
    <x v="3"/>
    <x v="4"/>
    <x v="6"/>
    <x v="7"/>
    <x v="2"/>
    <x v="0"/>
    <x v="1"/>
    <x v="5"/>
    <n v="0"/>
    <n v="0"/>
    <n v="104.854"/>
    <n v="104.854"/>
    <n v="104.854"/>
    <n v="104.854"/>
    <n v="0"/>
    <x v="2"/>
    <n v="0"/>
    <n v="0"/>
    <n v="46"/>
    <n v="99"/>
    <n v="0"/>
    <n v="251.46"/>
    <n v="203.57"/>
    <m/>
    <n v="294.58903575722985"/>
    <n v="249.43938027981548"/>
    <n v="0"/>
    <n v="26366.58684"/>
    <n v="21345.128779999999"/>
    <n v="0"/>
    <n v="30888.83875528858"/>
    <n v="26154.716779859773"/>
  </r>
  <r>
    <s v="Sistema de Compensação"/>
    <x v="3"/>
    <x v="4"/>
    <x v="6"/>
    <x v="7"/>
    <x v="2"/>
    <x v="0"/>
    <x v="1"/>
    <x v="5"/>
    <n v="0"/>
    <n v="0"/>
    <n v="0.57799999999999996"/>
    <n v="0.57799999999999996"/>
    <n v="0.57799999999999996"/>
    <n v="0.57799999999999996"/>
    <n v="0"/>
    <x v="2"/>
    <n v="0"/>
    <n v="0"/>
    <n v="46"/>
    <n v="99"/>
    <n v="0"/>
    <n v="251.46"/>
    <n v="203.57"/>
    <m/>
    <n v="294.58903575722985"/>
    <n v="249.43938027981548"/>
    <n v="0"/>
    <n v="145.34387999999998"/>
    <n v="117.66345999999999"/>
    <n v="0"/>
    <n v="170.27246266767884"/>
    <n v="144.17596180173334"/>
  </r>
  <r>
    <s v="Regular"/>
    <x v="3"/>
    <x v="4"/>
    <x v="6"/>
    <x v="7"/>
    <x v="2"/>
    <x v="0"/>
    <x v="1"/>
    <x v="6"/>
    <n v="0"/>
    <n v="0"/>
    <n v="100.452"/>
    <n v="100.452"/>
    <n v="100.452"/>
    <n v="100.452"/>
    <n v="0"/>
    <x v="2"/>
    <n v="0"/>
    <n v="0"/>
    <n v="46"/>
    <n v="99"/>
    <n v="0"/>
    <n v="251.46"/>
    <n v="203.57"/>
    <m/>
    <n v="294.58903575722985"/>
    <n v="249.43938027981548"/>
    <n v="0"/>
    <n v="25259.659920000002"/>
    <n v="20449.013639999997"/>
    <n v="0"/>
    <n v="29592.057819885253"/>
    <n v="25056.684627868024"/>
  </r>
  <r>
    <s v="Sistema de Compensação"/>
    <x v="3"/>
    <x v="4"/>
    <x v="6"/>
    <x v="7"/>
    <x v="2"/>
    <x v="0"/>
    <x v="1"/>
    <x v="6"/>
    <n v="0"/>
    <n v="0"/>
    <n v="0.219"/>
    <n v="0.219"/>
    <n v="0.219"/>
    <n v="0.219"/>
    <n v="0"/>
    <x v="2"/>
    <n v="0"/>
    <n v="0"/>
    <n v="46"/>
    <n v="99"/>
    <n v="0"/>
    <n v="251.46"/>
    <n v="203.57"/>
    <m/>
    <n v="294.58903575722985"/>
    <n v="249.43938027981548"/>
    <n v="0"/>
    <n v="55.069740000000003"/>
    <n v="44.581829999999997"/>
    <n v="0"/>
    <n v="64.514998830833335"/>
    <n v="54.627224281279588"/>
  </r>
  <r>
    <s v="Regular"/>
    <x v="3"/>
    <x v="4"/>
    <x v="6"/>
    <x v="7"/>
    <x v="2"/>
    <x v="0"/>
    <x v="1"/>
    <x v="7"/>
    <n v="0"/>
    <n v="0"/>
    <n v="166.77600000000001"/>
    <n v="166.77600000000001"/>
    <n v="166.77600000000001"/>
    <n v="166.77600000000001"/>
    <n v="0"/>
    <x v="2"/>
    <n v="0"/>
    <n v="0"/>
    <n v="46"/>
    <n v="99"/>
    <n v="0"/>
    <n v="251.46"/>
    <n v="203.57"/>
    <m/>
    <n v="294.58903575722985"/>
    <n v="249.43938027981548"/>
    <n v="0"/>
    <n v="41937.492960000003"/>
    <n v="33950.590320000003"/>
    <n v="0"/>
    <n v="49130.381027447766"/>
    <n v="41600.502085546512"/>
  </r>
  <r>
    <s v="Sistema de Compensação"/>
    <x v="3"/>
    <x v="4"/>
    <x v="6"/>
    <x v="7"/>
    <x v="2"/>
    <x v="0"/>
    <x v="1"/>
    <x v="7"/>
    <n v="0"/>
    <n v="0"/>
    <n v="0.84199999999999997"/>
    <n v="0.84199999999999997"/>
    <n v="0.84199999999999997"/>
    <n v="0.84199999999999997"/>
    <n v="0"/>
    <x v="2"/>
    <n v="0"/>
    <n v="0"/>
    <n v="46"/>
    <n v="99"/>
    <n v="0"/>
    <n v="251.46"/>
    <n v="203.57"/>
    <m/>
    <n v="294.58903575722985"/>
    <n v="249.43938027981548"/>
    <n v="0"/>
    <n v="211.72932"/>
    <n v="171.40593999999999"/>
    <n v="0"/>
    <n v="248.04396810758752"/>
    <n v="210.02795819560464"/>
  </r>
  <r>
    <s v="Regular"/>
    <x v="3"/>
    <x v="4"/>
    <x v="6"/>
    <x v="7"/>
    <x v="2"/>
    <x v="0"/>
    <x v="1"/>
    <x v="8"/>
    <n v="0"/>
    <n v="0"/>
    <n v="152.21600000000001"/>
    <n v="152.21600000000001"/>
    <n v="152.21600000000001"/>
    <n v="152.21600000000001"/>
    <n v="0"/>
    <x v="2"/>
    <n v="0"/>
    <n v="0"/>
    <n v="46"/>
    <n v="99"/>
    <n v="0"/>
    <n v="251.46"/>
    <n v="203.57"/>
    <m/>
    <n v="294.58903575722985"/>
    <n v="249.43938027981548"/>
    <n v="0"/>
    <n v="38276.235360000006"/>
    <n v="30986.611120000001"/>
    <n v="0"/>
    <n v="44841.1646668225"/>
    <n v="37968.664708672397"/>
  </r>
  <r>
    <s v="Refaturamento - Regular"/>
    <x v="3"/>
    <x v="4"/>
    <x v="6"/>
    <x v="7"/>
    <x v="2"/>
    <x v="0"/>
    <x v="1"/>
    <x v="8"/>
    <n v="0"/>
    <n v="0"/>
    <n v="-1.073"/>
    <n v="-1.073"/>
    <n v="-1.073"/>
    <n v="-1.073"/>
    <n v="0"/>
    <x v="2"/>
    <n v="0"/>
    <n v="0"/>
    <n v="46"/>
    <n v="99"/>
    <n v="0"/>
    <n v="251.46"/>
    <n v="203.57"/>
    <m/>
    <n v="294.58903575722985"/>
    <n v="249.43938027981548"/>
    <n v="0"/>
    <n v="-269.81657999999999"/>
    <n v="-218.43060999999997"/>
    <n v="0"/>
    <n v="-316.09403536750762"/>
    <n v="-267.64845504024203"/>
  </r>
  <r>
    <s v="Sistema de Compensação"/>
    <x v="3"/>
    <x v="4"/>
    <x v="6"/>
    <x v="7"/>
    <x v="2"/>
    <x v="0"/>
    <x v="1"/>
    <x v="8"/>
    <n v="0"/>
    <n v="0"/>
    <n v="1.256"/>
    <n v="1.256"/>
    <n v="1.256"/>
    <n v="1.256"/>
    <n v="0"/>
    <x v="2"/>
    <n v="0"/>
    <n v="0"/>
    <n v="46"/>
    <n v="99"/>
    <n v="0"/>
    <n v="251.46"/>
    <n v="203.57"/>
    <m/>
    <n v="294.58903575722985"/>
    <n v="249.43938027981548"/>
    <n v="0"/>
    <n v="315.83375999999998"/>
    <n v="255.68392"/>
    <n v="0"/>
    <n v="370.00382891108069"/>
    <n v="313.29586163144825"/>
  </r>
  <r>
    <s v="Regular"/>
    <x v="3"/>
    <x v="4"/>
    <x v="6"/>
    <x v="7"/>
    <x v="2"/>
    <x v="0"/>
    <x v="1"/>
    <x v="9"/>
    <n v="0"/>
    <n v="0"/>
    <n v="135.41900000000001"/>
    <n v="135.41900000000001"/>
    <n v="135.41900000000001"/>
    <n v="135.41900000000001"/>
    <n v="0"/>
    <x v="2"/>
    <n v="0"/>
    <n v="0"/>
    <n v="46"/>
    <n v="99"/>
    <n v="0"/>
    <n v="251.46"/>
    <n v="203.57"/>
    <m/>
    <n v="294.58903575722985"/>
    <n v="249.43938027981548"/>
    <n v="0"/>
    <n v="34052.461740000006"/>
    <n v="27567.24583"/>
    <n v="0"/>
    <n v="39892.952633208311"/>
    <n v="33778.831438112335"/>
  </r>
  <r>
    <s v="Refaturamento - Regular"/>
    <x v="3"/>
    <x v="4"/>
    <x v="6"/>
    <x v="7"/>
    <x v="2"/>
    <x v="0"/>
    <x v="1"/>
    <x v="9"/>
    <n v="0"/>
    <n v="0"/>
    <n v="-2.5099999999999998"/>
    <n v="-2.5099999999999998"/>
    <n v="-2.5099999999999998"/>
    <n v="-2.5099999999999998"/>
    <n v="0"/>
    <x v="2"/>
    <n v="0"/>
    <n v="0"/>
    <n v="46"/>
    <n v="99"/>
    <n v="0"/>
    <n v="251.46"/>
    <n v="203.57"/>
    <m/>
    <n v="294.58903575722985"/>
    <n v="249.43938027981548"/>
    <n v="0"/>
    <n v="-631.16459999999995"/>
    <n v="-510.96069999999992"/>
    <n v="0"/>
    <n v="-739.41847975064684"/>
    <n v="-626.09284450233679"/>
  </r>
  <r>
    <s v="Sistema de Compensação"/>
    <x v="3"/>
    <x v="4"/>
    <x v="6"/>
    <x v="7"/>
    <x v="2"/>
    <x v="0"/>
    <x v="1"/>
    <x v="9"/>
    <n v="0"/>
    <n v="0"/>
    <n v="0.80700000000000005"/>
    <n v="0.80700000000000005"/>
    <n v="0.80700000000000005"/>
    <n v="0.80700000000000005"/>
    <n v="0"/>
    <x v="2"/>
    <n v="0"/>
    <n v="0"/>
    <n v="46"/>
    <n v="99"/>
    <n v="0"/>
    <n v="251.46"/>
    <n v="203.57"/>
    <m/>
    <n v="294.58903575722985"/>
    <n v="249.43938027981548"/>
    <n v="0"/>
    <n v="202.92822000000001"/>
    <n v="164.28099"/>
    <n v="0"/>
    <n v="237.73335185608451"/>
    <n v="201.2975798858111"/>
  </r>
  <r>
    <s v="Regular"/>
    <x v="3"/>
    <x v="4"/>
    <x v="6"/>
    <x v="7"/>
    <x v="2"/>
    <x v="0"/>
    <x v="1"/>
    <x v="10"/>
    <n v="0"/>
    <n v="0"/>
    <n v="164.58699999999999"/>
    <n v="164.58699999999999"/>
    <n v="164.58699999999999"/>
    <n v="164.58699999999999"/>
    <n v="0"/>
    <x v="2"/>
    <n v="0"/>
    <n v="0"/>
    <n v="46"/>
    <n v="99"/>
    <n v="0"/>
    <n v="251.46"/>
    <n v="203.57"/>
    <m/>
    <n v="294.58903575722985"/>
    <n v="249.43938027981548"/>
    <n v="0"/>
    <n v="41387.047019999998"/>
    <n v="33504.975589999995"/>
    <n v="0"/>
    <n v="48485.525628175186"/>
    <n v="41054.479282113985"/>
  </r>
  <r>
    <s v="Sistema de Compensação"/>
    <x v="3"/>
    <x v="4"/>
    <x v="6"/>
    <x v="7"/>
    <x v="2"/>
    <x v="0"/>
    <x v="1"/>
    <x v="10"/>
    <n v="0"/>
    <n v="0"/>
    <n v="1.4810000000000001"/>
    <n v="1.4810000000000001"/>
    <n v="1.4810000000000001"/>
    <n v="1.4810000000000001"/>
    <n v="0"/>
    <x v="2"/>
    <n v="0"/>
    <n v="0"/>
    <n v="46"/>
    <n v="99"/>
    <n v="0"/>
    <n v="251.46"/>
    <n v="203.57"/>
    <m/>
    <n v="294.58903575722985"/>
    <n v="249.43938027981548"/>
    <n v="0"/>
    <n v="372.41226000000006"/>
    <n v="301.48716999999999"/>
    <n v="0"/>
    <n v="436.28636195645743"/>
    <n v="369.41972219440675"/>
  </r>
  <r>
    <s v="PROJETADO"/>
    <x v="3"/>
    <x v="4"/>
    <x v="6"/>
    <x v="7"/>
    <x v="2"/>
    <x v="0"/>
    <x v="1"/>
    <x v="11"/>
    <n v="0"/>
    <n v="0"/>
    <n v="164.58699999999999"/>
    <n v="164.58699999999999"/>
    <n v="164.58699999999999"/>
    <n v="164.58699999999999"/>
    <n v="0"/>
    <x v="2"/>
    <n v="0"/>
    <n v="0"/>
    <n v="46"/>
    <n v="99"/>
    <n v="0"/>
    <n v="251.46"/>
    <n v="203.57"/>
    <m/>
    <n v="294.58903575722985"/>
    <n v="249.43938027981548"/>
    <n v="0"/>
    <n v="41387.047019999998"/>
    <n v="33504.975589999995"/>
    <n v="0"/>
    <n v="48485.525628175186"/>
    <n v="41054.479282113985"/>
  </r>
  <r>
    <s v="PROJETADO"/>
    <x v="3"/>
    <x v="4"/>
    <x v="6"/>
    <x v="7"/>
    <x v="2"/>
    <x v="0"/>
    <x v="1"/>
    <x v="11"/>
    <n v="0"/>
    <n v="0"/>
    <n v="1.4810000000000001"/>
    <n v="1.4810000000000001"/>
    <n v="1.4810000000000001"/>
    <n v="1.4810000000000001"/>
    <n v="0"/>
    <x v="2"/>
    <n v="0"/>
    <n v="0"/>
    <n v="46"/>
    <n v="99"/>
    <n v="0"/>
    <n v="251.46"/>
    <n v="203.57"/>
    <m/>
    <n v="294.58903575722985"/>
    <n v="249.43938027981548"/>
    <n v="0"/>
    <n v="372.41226000000006"/>
    <n v="301.48716999999999"/>
    <n v="0"/>
    <n v="436.28636195645743"/>
    <n v="369.41972219440675"/>
  </r>
  <r>
    <s v="Regular"/>
    <x v="3"/>
    <x v="4"/>
    <x v="6"/>
    <x v="7"/>
    <x v="3"/>
    <x v="0"/>
    <x v="1"/>
    <x v="0"/>
    <n v="0"/>
    <n v="0"/>
    <n v="185.21"/>
    <n v="50.006700000000002"/>
    <n v="185.21"/>
    <n v="50.006700000000002"/>
    <n v="0"/>
    <x v="2"/>
    <n v="0"/>
    <n v="0"/>
    <n v="46"/>
    <n v="99"/>
    <n v="0"/>
    <n v="251.46"/>
    <n v="203.57"/>
    <m/>
    <n v="294.58903575722985"/>
    <n v="249.43938027981548"/>
    <n v="0"/>
    <n v="12574.684782"/>
    <n v="10179.863918999999"/>
    <n v="0"/>
    <n v="14731.425534401067"/>
    <n v="12473.64025783865"/>
  </r>
  <r>
    <s v="Refaturamento - Regular"/>
    <x v="3"/>
    <x v="4"/>
    <x v="6"/>
    <x v="7"/>
    <x v="3"/>
    <x v="0"/>
    <x v="1"/>
    <x v="0"/>
    <n v="0"/>
    <n v="0"/>
    <n v="-7.484"/>
    <n v="-2.02068"/>
    <n v="-7.484"/>
    <n v="-2.02068"/>
    <n v="0"/>
    <x v="2"/>
    <n v="0"/>
    <n v="0"/>
    <n v="46"/>
    <n v="99"/>
    <n v="0"/>
    <n v="251.46"/>
    <n v="203.57"/>
    <m/>
    <n v="294.58903575722985"/>
    <n v="249.43938027981548"/>
    <n v="0"/>
    <n v="-508.12019280000004"/>
    <n v="-411.34982759999997"/>
    <n v="0"/>
    <n v="-595.27017277391917"/>
    <n v="-504.03716694381757"/>
  </r>
  <r>
    <s v="Sistema de Compensação"/>
    <x v="3"/>
    <x v="4"/>
    <x v="6"/>
    <x v="7"/>
    <x v="3"/>
    <x v="0"/>
    <x v="1"/>
    <x v="0"/>
    <n v="0"/>
    <n v="0"/>
    <n v="0.84299999999999997"/>
    <n v="0.22761000000000001"/>
    <n v="0.84299999999999997"/>
    <n v="0.22761000000000001"/>
    <n v="0"/>
    <x v="2"/>
    <n v="0"/>
    <n v="0"/>
    <n v="46"/>
    <n v="99"/>
    <n v="0"/>
    <n v="251.46"/>
    <n v="203.57"/>
    <m/>
    <n v="294.58903575722985"/>
    <n v="249.43938027981548"/>
    <n v="0"/>
    <n v="57.234810600000003"/>
    <n v="46.334567700000001"/>
    <n v="0"/>
    <n v="67.051410428703093"/>
    <n v="56.774897345488803"/>
  </r>
  <r>
    <s v="Regular"/>
    <x v="3"/>
    <x v="4"/>
    <x v="6"/>
    <x v="7"/>
    <x v="3"/>
    <x v="0"/>
    <x v="1"/>
    <x v="1"/>
    <n v="0"/>
    <n v="0"/>
    <n v="153.54300000000001"/>
    <n v="41.456609999999998"/>
    <n v="153.54300000000001"/>
    <n v="41.456609999999998"/>
    <n v="0"/>
    <x v="2"/>
    <n v="0"/>
    <n v="0"/>
    <n v="46"/>
    <n v="99"/>
    <n v="0"/>
    <n v="251.46"/>
    <n v="203.57"/>
    <m/>
    <n v="294.58903575722985"/>
    <n v="249.43938027981548"/>
    <n v="0"/>
    <n v="10424.679150599999"/>
    <n v="8439.3220977000001"/>
    <n v="0"/>
    <n v="12212.662765663532"/>
    <n v="10340.911106902"/>
  </r>
  <r>
    <s v="Sistema de Compensação"/>
    <x v="3"/>
    <x v="4"/>
    <x v="6"/>
    <x v="7"/>
    <x v="3"/>
    <x v="0"/>
    <x v="1"/>
    <x v="1"/>
    <n v="0"/>
    <n v="0"/>
    <n v="0.498"/>
    <n v="0.13446"/>
    <n v="0.498"/>
    <n v="0.13446"/>
    <n v="0"/>
    <x v="2"/>
    <n v="0"/>
    <n v="0"/>
    <n v="46"/>
    <n v="99"/>
    <n v="0"/>
    <n v="251.46"/>
    <n v="203.57"/>
    <m/>
    <n v="294.58903575722985"/>
    <n v="249.43938027981548"/>
    <n v="0"/>
    <n v="33.811311600000003"/>
    <n v="27.3720222"/>
    <n v="0"/>
    <n v="39.610441747917122"/>
    <n v="33.539619072423989"/>
  </r>
  <r>
    <s v="Regular"/>
    <x v="3"/>
    <x v="4"/>
    <x v="6"/>
    <x v="7"/>
    <x v="3"/>
    <x v="0"/>
    <x v="1"/>
    <x v="2"/>
    <n v="0"/>
    <n v="0"/>
    <n v="114.893"/>
    <n v="31.02111"/>
    <n v="114.893"/>
    <n v="31.02111"/>
    <n v="0"/>
    <x v="2"/>
    <n v="0"/>
    <n v="0"/>
    <n v="46"/>
    <n v="99"/>
    <n v="0"/>
    <n v="251.46"/>
    <n v="203.57"/>
    <m/>
    <n v="294.58903575722985"/>
    <n v="249.43938027981548"/>
    <n v="0"/>
    <n v="7800.5683206000003"/>
    <n v="6314.9673627000002"/>
    <n v="0"/>
    <n v="9138.4788830189609"/>
    <n v="7737.8864539919869"/>
  </r>
  <r>
    <s v="Refaturamento - Regular"/>
    <x v="3"/>
    <x v="4"/>
    <x v="6"/>
    <x v="7"/>
    <x v="3"/>
    <x v="0"/>
    <x v="1"/>
    <x v="2"/>
    <n v="0"/>
    <n v="0"/>
    <n v="-3.7519999999999998"/>
    <n v="-1.0130399999999999"/>
    <n v="-3.7519999999999998"/>
    <n v="-1.0130399999999999"/>
    <n v="0"/>
    <x v="2"/>
    <n v="0"/>
    <n v="0"/>
    <n v="46"/>
    <n v="99"/>
    <n v="0"/>
    <n v="251.46"/>
    <n v="203.57"/>
    <m/>
    <n v="294.58903575722985"/>
    <n v="249.43938027981548"/>
    <n v="0"/>
    <n v="-254.7390384"/>
    <n v="-206.22455279999997"/>
    <n v="0"/>
    <n v="-298.4304767835041"/>
    <n v="-252.69206979866425"/>
  </r>
  <r>
    <s v="Sistema de Compensação"/>
    <x v="3"/>
    <x v="4"/>
    <x v="6"/>
    <x v="7"/>
    <x v="3"/>
    <x v="0"/>
    <x v="1"/>
    <x v="2"/>
    <n v="0"/>
    <n v="0"/>
    <n v="0.48399999999999999"/>
    <n v="0.13067999999999999"/>
    <n v="0.48399999999999999"/>
    <n v="0.13067999999999999"/>
    <n v="0"/>
    <x v="2"/>
    <n v="0"/>
    <n v="0"/>
    <n v="46"/>
    <n v="99"/>
    <n v="0"/>
    <n v="251.46"/>
    <n v="203.57"/>
    <m/>
    <n v="294.58903575722985"/>
    <n v="249.43938027981548"/>
    <n v="0"/>
    <n v="32.860792799999999"/>
    <n v="26.602527599999998"/>
    <n v="0"/>
    <n v="38.496895192754792"/>
    <n v="32.596738214966287"/>
  </r>
  <r>
    <s v="Regular"/>
    <x v="3"/>
    <x v="4"/>
    <x v="6"/>
    <x v="7"/>
    <x v="3"/>
    <x v="0"/>
    <x v="1"/>
    <x v="3"/>
    <n v="0"/>
    <n v="0"/>
    <n v="86.744"/>
    <n v="23.42088"/>
    <n v="86.744"/>
    <n v="23.42088"/>
    <n v="0"/>
    <x v="2"/>
    <n v="0"/>
    <n v="0"/>
    <n v="46"/>
    <n v="99"/>
    <n v="0"/>
    <n v="251.46"/>
    <n v="203.57"/>
    <m/>
    <n v="294.58903575722985"/>
    <n v="249.43938027981548"/>
    <n v="0"/>
    <n v="5889.4144848000005"/>
    <n v="4767.7885415999999"/>
    <n v="0"/>
    <n v="6899.5344557857898"/>
    <n v="5842.0897928079248"/>
  </r>
  <r>
    <s v="Refaturamento - Regular"/>
    <x v="3"/>
    <x v="4"/>
    <x v="6"/>
    <x v="7"/>
    <x v="3"/>
    <x v="0"/>
    <x v="1"/>
    <x v="3"/>
    <n v="0"/>
    <n v="0"/>
    <n v="-4.9210000000000003"/>
    <n v="-1.32867"/>
    <n v="-4.9210000000000003"/>
    <n v="-1.32867"/>
    <n v="0"/>
    <x v="2"/>
    <n v="0"/>
    <n v="0"/>
    <n v="46"/>
    <n v="99"/>
    <n v="0"/>
    <n v="251.46"/>
    <n v="203.57"/>
    <m/>
    <n v="294.58903575722985"/>
    <n v="249.43938027981548"/>
    <n v="0"/>
    <n v="-334.10735820000002"/>
    <n v="-270.47735189999997"/>
    <n v="0"/>
    <n v="-391.41161413955859"/>
    <n v="-331.42262139638245"/>
  </r>
  <r>
    <s v="Sistema de Compensação"/>
    <x v="3"/>
    <x v="4"/>
    <x v="6"/>
    <x v="7"/>
    <x v="3"/>
    <x v="0"/>
    <x v="1"/>
    <x v="3"/>
    <n v="0"/>
    <n v="0"/>
    <n v="0.59799999999999998"/>
    <n v="0.16145999999999999"/>
    <n v="0.59799999999999998"/>
    <n v="0.16145999999999999"/>
    <n v="0"/>
    <x v="2"/>
    <n v="0"/>
    <n v="0"/>
    <n v="46"/>
    <n v="99"/>
    <n v="0"/>
    <n v="251.46"/>
    <n v="203.57"/>
    <m/>
    <n v="294.58903575722985"/>
    <n v="249.43938027981548"/>
    <n v="0"/>
    <n v="40.600731599999996"/>
    <n v="32.868412199999995"/>
    <n v="0"/>
    <n v="47.564345713362329"/>
    <n v="40.274482339979002"/>
  </r>
  <r>
    <s v="Regular"/>
    <x v="3"/>
    <x v="4"/>
    <x v="6"/>
    <x v="7"/>
    <x v="3"/>
    <x v="0"/>
    <x v="1"/>
    <x v="4"/>
    <n v="0"/>
    <n v="0"/>
    <n v="118.303"/>
    <n v="31.94181"/>
    <n v="118.303"/>
    <n v="31.94181"/>
    <n v="0"/>
    <x v="2"/>
    <n v="0"/>
    <n v="0"/>
    <n v="46"/>
    <n v="99"/>
    <n v="0"/>
    <n v="251.46"/>
    <n v="203.57"/>
    <m/>
    <n v="294.58903575722985"/>
    <n v="249.43938027981548"/>
    <n v="0"/>
    <n v="8032.0875426000002"/>
    <n v="6502.3942617000002"/>
    <n v="0"/>
    <n v="9409.7070082406426"/>
    <n v="7967.5452914156131"/>
  </r>
  <r>
    <s v="Sistema de Compensação"/>
    <x v="3"/>
    <x v="4"/>
    <x v="6"/>
    <x v="7"/>
    <x v="3"/>
    <x v="0"/>
    <x v="1"/>
    <x v="4"/>
    <n v="0"/>
    <n v="0"/>
    <n v="0.68200000000000005"/>
    <n v="0.18414"/>
    <n v="0.68200000000000005"/>
    <n v="0.18414"/>
    <n v="0"/>
    <x v="2"/>
    <n v="0"/>
    <n v="0"/>
    <n v="46"/>
    <n v="99"/>
    <n v="0"/>
    <n v="251.46"/>
    <n v="203.57"/>
    <m/>
    <n v="294.58903575722985"/>
    <n v="249.43938027981548"/>
    <n v="0"/>
    <n v="46.303844400000003"/>
    <n v="37.485379799999997"/>
    <n v="0"/>
    <n v="54.245625044336307"/>
    <n v="45.931767484725221"/>
  </r>
  <r>
    <s v="Regular"/>
    <x v="3"/>
    <x v="4"/>
    <x v="6"/>
    <x v="7"/>
    <x v="3"/>
    <x v="0"/>
    <x v="1"/>
    <x v="5"/>
    <n v="0"/>
    <n v="0"/>
    <n v="144.03"/>
    <n v="38.888100000000001"/>
    <n v="144.03"/>
    <n v="38.888100000000001"/>
    <n v="0"/>
    <x v="2"/>
    <n v="0"/>
    <n v="0"/>
    <n v="46"/>
    <n v="99"/>
    <n v="0"/>
    <n v="251.46"/>
    <n v="203.57"/>
    <m/>
    <n v="294.58903575722985"/>
    <n v="249.43938027981548"/>
    <n v="0"/>
    <n v="9778.8016260000004"/>
    <n v="7916.4505170000002"/>
    <n v="0"/>
    <n v="11456.007881430731"/>
    <n v="9700.2235642594933"/>
  </r>
  <r>
    <s v="Sistema de Compensação"/>
    <x v="3"/>
    <x v="4"/>
    <x v="6"/>
    <x v="7"/>
    <x v="3"/>
    <x v="0"/>
    <x v="1"/>
    <x v="5"/>
    <n v="0"/>
    <n v="0"/>
    <n v="0.91400000000000003"/>
    <n v="0.24678"/>
    <n v="0.91400000000000003"/>
    <n v="0.24678"/>
    <n v="0"/>
    <x v="2"/>
    <n v="0"/>
    <n v="0"/>
    <n v="46"/>
    <n v="99"/>
    <n v="0"/>
    <n v="251.46"/>
    <n v="203.57"/>
    <m/>
    <n v="294.58903575722985"/>
    <n v="249.43938027981548"/>
    <n v="0"/>
    <n v="62.055298800000003"/>
    <n v="50.237004599999999"/>
    <n v="0"/>
    <n v="72.698682244169177"/>
    <n v="61.556650265452866"/>
  </r>
  <r>
    <s v="Regular"/>
    <x v="3"/>
    <x v="4"/>
    <x v="6"/>
    <x v="7"/>
    <x v="3"/>
    <x v="0"/>
    <x v="1"/>
    <x v="6"/>
    <n v="0"/>
    <n v="0"/>
    <n v="131.072"/>
    <n v="35.38944"/>
    <n v="131.072"/>
    <n v="35.38944"/>
    <n v="0"/>
    <x v="2"/>
    <n v="0"/>
    <n v="0"/>
    <n v="46"/>
    <n v="99"/>
    <n v="0"/>
    <n v="251.46"/>
    <n v="203.57"/>
    <m/>
    <n v="294.58903575722985"/>
    <n v="249.43938027981548"/>
    <n v="0"/>
    <n v="8899.0285824000002"/>
    <n v="7204.2283007999995"/>
    <n v="0"/>
    <n v="10425.34100558834"/>
    <n v="8827.5199820497128"/>
  </r>
  <r>
    <s v="Sistema de Compensação"/>
    <x v="3"/>
    <x v="4"/>
    <x v="6"/>
    <x v="7"/>
    <x v="3"/>
    <x v="0"/>
    <x v="1"/>
    <x v="6"/>
    <n v="0"/>
    <n v="0"/>
    <n v="0.72799999999999998"/>
    <n v="0.19656000000000001"/>
    <n v="0.72799999999999998"/>
    <n v="0.19656000000000001"/>
    <n v="0"/>
    <x v="2"/>
    <n v="0"/>
    <n v="0"/>
    <n v="46"/>
    <n v="99"/>
    <n v="0"/>
    <n v="251.46"/>
    <n v="203.57"/>
    <m/>
    <n v="294.58903575722985"/>
    <n v="249.43938027981548"/>
    <n v="0"/>
    <n v="49.426977600000008"/>
    <n v="40.013719200000004"/>
    <n v="0"/>
    <n v="57.9044208684411"/>
    <n v="49.029804587800534"/>
  </r>
  <r>
    <s v="Regular"/>
    <x v="3"/>
    <x v="4"/>
    <x v="6"/>
    <x v="7"/>
    <x v="3"/>
    <x v="0"/>
    <x v="1"/>
    <x v="7"/>
    <n v="0"/>
    <n v="0"/>
    <n v="193.536"/>
    <n v="52.254719999999999"/>
    <n v="193.536"/>
    <n v="52.254719999999999"/>
    <n v="0"/>
    <x v="2"/>
    <n v="0"/>
    <n v="0"/>
    <n v="46"/>
    <n v="99"/>
    <n v="0"/>
    <n v="251.46"/>
    <n v="203.57"/>
    <m/>
    <n v="294.58903575722985"/>
    <n v="249.43938027981548"/>
    <n v="0"/>
    <n v="13139.971891200001"/>
    <n v="10637.4933504"/>
    <n v="0"/>
    <n v="15393.667578564033"/>
    <n v="13034.38497349528"/>
  </r>
  <r>
    <s v="Sistema de Compensação"/>
    <x v="3"/>
    <x v="4"/>
    <x v="6"/>
    <x v="7"/>
    <x v="3"/>
    <x v="0"/>
    <x v="1"/>
    <x v="7"/>
    <n v="0"/>
    <n v="0"/>
    <n v="1.4350000000000001"/>
    <n v="0.38745000000000002"/>
    <n v="1.4350000000000001"/>
    <n v="0.38745000000000002"/>
    <n v="0"/>
    <x v="2"/>
    <n v="0"/>
    <n v="0"/>
    <n v="46"/>
    <n v="99"/>
    <n v="0"/>
    <n v="251.46"/>
    <n v="203.57"/>
    <m/>
    <n v="294.58903575722985"/>
    <n v="249.43938027981548"/>
    <n v="0"/>
    <n v="97.428177000000005"/>
    <n v="78.873196500000006"/>
    <n v="0"/>
    <n v="114.13852190413871"/>
    <n v="96.645287889414519"/>
  </r>
  <r>
    <s v="Regular"/>
    <x v="3"/>
    <x v="4"/>
    <x v="6"/>
    <x v="7"/>
    <x v="3"/>
    <x v="0"/>
    <x v="1"/>
    <x v="8"/>
    <n v="0"/>
    <n v="0"/>
    <n v="194.28899999999999"/>
    <n v="52.458030000000001"/>
    <n v="194.28899999999999"/>
    <n v="52.458030000000001"/>
    <n v="0"/>
    <x v="2"/>
    <n v="0"/>
    <n v="0"/>
    <n v="46"/>
    <n v="99"/>
    <n v="0"/>
    <n v="251.46"/>
    <n v="203.57"/>
    <m/>
    <n v="294.58903575722985"/>
    <n v="249.43938027981548"/>
    <n v="0"/>
    <n v="13191.096223800001"/>
    <n v="10678.8811671"/>
    <n v="0"/>
    <n v="15453.560475423836"/>
    <n v="13085.09849389997"/>
  </r>
  <r>
    <s v="Refaturamento - Regular"/>
    <x v="3"/>
    <x v="4"/>
    <x v="6"/>
    <x v="7"/>
    <x v="3"/>
    <x v="0"/>
    <x v="1"/>
    <x v="8"/>
    <n v="0"/>
    <n v="0"/>
    <n v="-1.8080000000000001"/>
    <n v="-0.48815999999999998"/>
    <n v="-1.8080000000000001"/>
    <n v="-0.48815999999999998"/>
    <n v="0"/>
    <x v="2"/>
    <n v="0"/>
    <n v="0"/>
    <n v="46"/>
    <n v="99"/>
    <n v="0"/>
    <n v="251.46"/>
    <n v="203.57"/>
    <m/>
    <n v="294.58903575722985"/>
    <n v="249.43938027981548"/>
    <n v="0"/>
    <n v="-122.75271359999999"/>
    <n v="-99.374731199999999"/>
    <n v="0"/>
    <n v="-143.80658369524932"/>
    <n v="-121.76632787739472"/>
  </r>
  <r>
    <s v="Sistema de Compensação"/>
    <x v="3"/>
    <x v="4"/>
    <x v="6"/>
    <x v="7"/>
    <x v="3"/>
    <x v="0"/>
    <x v="1"/>
    <x v="8"/>
    <n v="0"/>
    <n v="0"/>
    <n v="1.6679999999999999"/>
    <n v="0.45035999999999998"/>
    <n v="1.6679999999999999"/>
    <n v="0.45035999999999998"/>
    <n v="0"/>
    <x v="2"/>
    <n v="0"/>
    <n v="0"/>
    <n v="46"/>
    <n v="99"/>
    <n v="0"/>
    <n v="251.46"/>
    <n v="203.57"/>
    <m/>
    <n v="294.58903575722985"/>
    <n v="249.43938027981548"/>
    <n v="0"/>
    <n v="113.2475256"/>
    <n v="91.679785199999998"/>
    <n v="0"/>
    <n v="132.67111814362602"/>
    <n v="112.3375193028177"/>
  </r>
  <r>
    <s v="Regular"/>
    <x v="3"/>
    <x v="4"/>
    <x v="6"/>
    <x v="7"/>
    <x v="3"/>
    <x v="0"/>
    <x v="1"/>
    <x v="9"/>
    <n v="0"/>
    <n v="0"/>
    <n v="171.94200000000001"/>
    <n v="46.424340000000001"/>
    <n v="171.94200000000001"/>
    <n v="46.424340000000001"/>
    <n v="0"/>
    <x v="2"/>
    <n v="0"/>
    <n v="0"/>
    <n v="46"/>
    <n v="99"/>
    <n v="0"/>
    <n v="251.46"/>
    <n v="203.57"/>
    <m/>
    <n v="294.58903575722985"/>
    <n v="249.43938027981548"/>
    <n v="0"/>
    <n v="11673.8645364"/>
    <n v="9450.6028937999999"/>
    <n v="0"/>
    <n v="13676.101556265796"/>
    <n v="11580.058599499449"/>
  </r>
  <r>
    <s v="Refaturamento - Regular"/>
    <x v="3"/>
    <x v="4"/>
    <x v="6"/>
    <x v="7"/>
    <x v="3"/>
    <x v="0"/>
    <x v="1"/>
    <x v="9"/>
    <n v="0"/>
    <n v="0"/>
    <n v="1.3939999999999999"/>
    <n v="0.37637999999999999"/>
    <n v="1.3939999999999999"/>
    <n v="0.37637999999999999"/>
    <n v="0"/>
    <x v="2"/>
    <n v="0"/>
    <n v="0"/>
    <n v="46"/>
    <n v="99"/>
    <n v="0"/>
    <n v="251.46"/>
    <n v="203.57"/>
    <m/>
    <n v="294.58903575722985"/>
    <n v="249.43938027981548"/>
    <n v="0"/>
    <n v="94.644514799999996"/>
    <n v="76.619676599999991"/>
    <n v="0"/>
    <n v="110.87742127830617"/>
    <n v="93.883993949716952"/>
  </r>
  <r>
    <s v="Sistema de Compensação"/>
    <x v="3"/>
    <x v="4"/>
    <x v="6"/>
    <x v="7"/>
    <x v="3"/>
    <x v="0"/>
    <x v="1"/>
    <x v="9"/>
    <n v="0"/>
    <n v="0"/>
    <n v="1.8109999999999999"/>
    <n v="0.48897000000000002"/>
    <n v="1.8109999999999999"/>
    <n v="0.48897000000000002"/>
    <n v="0"/>
    <x v="2"/>
    <n v="0"/>
    <n v="0"/>
    <n v="46"/>
    <n v="99"/>
    <n v="0"/>
    <n v="251.46"/>
    <n v="203.57"/>
    <m/>
    <n v="294.58903575722985"/>
    <n v="249.43938027981548"/>
    <n v="0"/>
    <n v="122.95639620000001"/>
    <n v="99.539622899999998"/>
    <n v="0"/>
    <n v="144.04520081421268"/>
    <n v="121.96837377542138"/>
  </r>
  <r>
    <s v="Regular"/>
    <x v="3"/>
    <x v="4"/>
    <x v="6"/>
    <x v="7"/>
    <x v="3"/>
    <x v="0"/>
    <x v="1"/>
    <x v="10"/>
    <n v="0"/>
    <n v="0"/>
    <n v="175.35499999999999"/>
    <n v="47.345849999999999"/>
    <n v="175.35499999999999"/>
    <n v="47.345849999999999"/>
    <n v="0"/>
    <x v="2"/>
    <n v="0"/>
    <n v="0"/>
    <n v="46"/>
    <n v="99"/>
    <n v="0"/>
    <n v="251.46"/>
    <n v="203.57"/>
    <m/>
    <n v="294.58903575722985"/>
    <n v="249.43938027981548"/>
    <n v="0"/>
    <n v="11905.587441"/>
    <n v="9638.1946845000002"/>
    <n v="0"/>
    <n v="13947.56829860644"/>
    <n v="11809.919482821102"/>
  </r>
  <r>
    <s v="Sistema de Compensação"/>
    <x v="3"/>
    <x v="4"/>
    <x v="6"/>
    <x v="7"/>
    <x v="3"/>
    <x v="0"/>
    <x v="1"/>
    <x v="10"/>
    <n v="0"/>
    <n v="0"/>
    <n v="1.776"/>
    <n v="0.47952"/>
    <n v="1.776"/>
    <n v="0.47952"/>
    <n v="0"/>
    <x v="2"/>
    <n v="0"/>
    <n v="0"/>
    <n v="46"/>
    <n v="99"/>
    <n v="0"/>
    <n v="251.46"/>
    <n v="203.57"/>
    <m/>
    <n v="294.58903575722985"/>
    <n v="249.43938027981548"/>
    <n v="0"/>
    <n v="120.58009920000001"/>
    <n v="97.615886399999994"/>
    <n v="0"/>
    <n v="141.26133442630686"/>
    <n v="119.61117163177713"/>
  </r>
  <r>
    <s v="PROJETADO"/>
    <x v="3"/>
    <x v="4"/>
    <x v="6"/>
    <x v="7"/>
    <x v="3"/>
    <x v="0"/>
    <x v="1"/>
    <x v="11"/>
    <n v="0"/>
    <n v="0"/>
    <n v="175.35499999999999"/>
    <n v="47.345849999999999"/>
    <n v="175.35499999999999"/>
    <n v="47.345849999999999"/>
    <n v="0"/>
    <x v="2"/>
    <n v="0"/>
    <n v="0"/>
    <n v="46"/>
    <n v="99"/>
    <n v="0"/>
    <n v="251.46"/>
    <n v="203.57"/>
    <m/>
    <n v="294.58903575722985"/>
    <n v="249.43938027981548"/>
    <n v="0"/>
    <n v="11905.587441"/>
    <n v="9638.1946845000002"/>
    <n v="0"/>
    <n v="13947.56829860644"/>
    <n v="11809.919482821102"/>
  </r>
  <r>
    <s v="PROJETADO"/>
    <x v="3"/>
    <x v="4"/>
    <x v="6"/>
    <x v="7"/>
    <x v="3"/>
    <x v="0"/>
    <x v="1"/>
    <x v="11"/>
    <n v="0"/>
    <n v="0"/>
    <n v="1.776"/>
    <n v="0.47952"/>
    <n v="1.776"/>
    <n v="0.47952"/>
    <n v="0"/>
    <x v="2"/>
    <n v="0"/>
    <n v="0"/>
    <n v="46"/>
    <n v="99"/>
    <n v="0"/>
    <n v="251.46"/>
    <n v="203.57"/>
    <m/>
    <n v="294.58903575722985"/>
    <n v="249.43938027981548"/>
    <n v="0"/>
    <n v="120.58009920000001"/>
    <n v="97.615886399999994"/>
    <n v="0"/>
    <n v="141.26133442630686"/>
    <n v="119.61117163177713"/>
  </r>
  <r>
    <s v="Regular"/>
    <x v="3"/>
    <x v="4"/>
    <x v="6"/>
    <x v="0"/>
    <x v="0"/>
    <x v="0"/>
    <x v="1"/>
    <x v="0"/>
    <n v="0"/>
    <n v="0"/>
    <n v="1720.0550000000001"/>
    <n v="1720.0550000000001"/>
    <n v="1720.0550000000001"/>
    <n v="1720.0550000000001"/>
    <n v="14642"/>
    <x v="2"/>
    <n v="0"/>
    <n v="0"/>
    <n v="46"/>
    <n v="99"/>
    <n v="0"/>
    <n v="251.46"/>
    <n v="203.57"/>
    <m/>
    <n v="294.58903575722985"/>
    <n v="249.43938027981548"/>
    <n v="0"/>
    <n v="432525.03030000004"/>
    <n v="350151.59635000001"/>
    <n v="0"/>
    <n v="506709.34389940201"/>
    <n v="429049.45324719802"/>
  </r>
  <r>
    <s v="Sistema de Compensação"/>
    <x v="3"/>
    <x v="4"/>
    <x v="6"/>
    <x v="0"/>
    <x v="0"/>
    <x v="0"/>
    <x v="1"/>
    <x v="0"/>
    <n v="0"/>
    <n v="0"/>
    <n v="4.5970000000000004"/>
    <n v="4.5970000000000004"/>
    <n v="4.5970000000000004"/>
    <n v="4.5970000000000004"/>
    <n v="22"/>
    <x v="2"/>
    <n v="0"/>
    <n v="0"/>
    <n v="46"/>
    <n v="99"/>
    <n v="0"/>
    <n v="251.46"/>
    <n v="203.57"/>
    <m/>
    <n v="294.58903575722985"/>
    <n v="249.43938027981548"/>
    <n v="0"/>
    <n v="1155.96162"/>
    <n v="935.8112900000001"/>
    <n v="0"/>
    <n v="1354.2257973759858"/>
    <n v="1146.6728311463119"/>
  </r>
  <r>
    <s v="Regular"/>
    <x v="3"/>
    <x v="4"/>
    <x v="6"/>
    <x v="0"/>
    <x v="0"/>
    <x v="0"/>
    <x v="1"/>
    <x v="1"/>
    <n v="0"/>
    <n v="0"/>
    <n v="1849.31"/>
    <n v="1849.31"/>
    <n v="1849.31"/>
    <n v="1849.31"/>
    <n v="14667"/>
    <x v="2"/>
    <n v="0"/>
    <n v="0"/>
    <n v="46"/>
    <n v="99"/>
    <n v="0"/>
    <n v="251.46"/>
    <n v="203.57"/>
    <m/>
    <n v="294.58903575722985"/>
    <n v="249.43938027981548"/>
    <n v="0"/>
    <n v="465027.4926"/>
    <n v="376464.0367"/>
    <n v="0"/>
    <n v="544786.44971620268"/>
    <n v="461290.74034526554"/>
  </r>
  <r>
    <s v="Sistema de Compensação"/>
    <x v="3"/>
    <x v="4"/>
    <x v="6"/>
    <x v="0"/>
    <x v="0"/>
    <x v="0"/>
    <x v="1"/>
    <x v="1"/>
    <n v="0"/>
    <n v="0"/>
    <n v="2.952"/>
    <n v="2.952"/>
    <n v="2.952"/>
    <n v="2.952"/>
    <n v="21"/>
    <x v="2"/>
    <n v="0"/>
    <n v="0"/>
    <n v="46"/>
    <n v="99"/>
    <n v="0"/>
    <n v="251.46"/>
    <n v="203.57"/>
    <m/>
    <n v="294.58903575722985"/>
    <n v="249.43938027981548"/>
    <n v="0"/>
    <n v="742.30992000000003"/>
    <n v="600.93863999999996"/>
    <n v="0"/>
    <n v="869.6268335553425"/>
    <n v="736.3450505860153"/>
  </r>
  <r>
    <s v="Sistema de Compensação"/>
    <x v="3"/>
    <x v="4"/>
    <x v="6"/>
    <x v="0"/>
    <x v="0"/>
    <x v="0"/>
    <x v="1"/>
    <x v="1"/>
    <n v="0"/>
    <n v="0"/>
    <n v="-0.66500000000000004"/>
    <n v="-0.66500000000000004"/>
    <n v="-0.66500000000000004"/>
    <n v="-0.66500000000000004"/>
    <n v="-1"/>
    <x v="2"/>
    <n v="0"/>
    <n v="0"/>
    <n v="46"/>
    <n v="99"/>
    <n v="0"/>
    <n v="251.46"/>
    <n v="203.57"/>
    <m/>
    <n v="294.58903575722985"/>
    <n v="249.43938027981548"/>
    <n v="0"/>
    <n v="-167.2209"/>
    <n v="-135.37405000000001"/>
    <n v="0"/>
    <n v="-195.90170877855786"/>
    <n v="-165.87718788607731"/>
  </r>
  <r>
    <s v="Regular"/>
    <x v="3"/>
    <x v="4"/>
    <x v="6"/>
    <x v="0"/>
    <x v="0"/>
    <x v="0"/>
    <x v="1"/>
    <x v="2"/>
    <n v="0"/>
    <n v="0"/>
    <n v="1809.0909999999999"/>
    <n v="1809.0909999999999"/>
    <n v="1809.0909999999999"/>
    <n v="1809.0909999999999"/>
    <n v="14691"/>
    <x v="2"/>
    <n v="0"/>
    <n v="0"/>
    <n v="46"/>
    <n v="99"/>
    <n v="0"/>
    <n v="251.46"/>
    <n v="203.57"/>
    <m/>
    <n v="294.58903575722985"/>
    <n v="249.43938027981548"/>
    <n v="0"/>
    <n v="454914.02285999997"/>
    <n v="368276.65486999997"/>
    <n v="0"/>
    <n v="532938.37328708265"/>
    <n v="451258.53790979163"/>
  </r>
  <r>
    <s v="Refaturamento - Regular"/>
    <x v="3"/>
    <x v="4"/>
    <x v="6"/>
    <x v="0"/>
    <x v="0"/>
    <x v="0"/>
    <x v="1"/>
    <x v="2"/>
    <n v="0"/>
    <n v="0"/>
    <n v="-4.32"/>
    <n v="-4.32"/>
    <n v="-4.32"/>
    <n v="-4.32"/>
    <n v="0"/>
    <x v="2"/>
    <n v="0"/>
    <n v="0"/>
    <n v="46"/>
    <n v="99"/>
    <n v="0"/>
    <n v="251.46"/>
    <n v="203.57"/>
    <m/>
    <n v="294.58903575722985"/>
    <n v="249.43938027981548"/>
    <n v="0"/>
    <n v="-1086.3072000000002"/>
    <n v="-879.42240000000004"/>
    <n v="0"/>
    <n v="-1272.6246344712331"/>
    <n v="-1077.5781228088028"/>
  </r>
  <r>
    <s v="Sistema de Compensação"/>
    <x v="3"/>
    <x v="4"/>
    <x v="6"/>
    <x v="0"/>
    <x v="0"/>
    <x v="0"/>
    <x v="1"/>
    <x v="2"/>
    <n v="0"/>
    <n v="0"/>
    <n v="5.0380000000000003"/>
    <n v="5.0380000000000003"/>
    <n v="5.0380000000000003"/>
    <n v="5.0380000000000003"/>
    <n v="25"/>
    <x v="2"/>
    <n v="0"/>
    <n v="0"/>
    <n v="46"/>
    <n v="99"/>
    <n v="0"/>
    <n v="251.46"/>
    <n v="203.57"/>
    <m/>
    <n v="294.58903575722985"/>
    <n v="249.43938027981548"/>
    <n v="0"/>
    <n v="1266.8554800000002"/>
    <n v="1025.58566"/>
    <n v="0"/>
    <n v="1484.139562144924"/>
    <n v="1256.6755978497104"/>
  </r>
  <r>
    <s v="Sistema de Compensação"/>
    <x v="3"/>
    <x v="4"/>
    <x v="6"/>
    <x v="0"/>
    <x v="0"/>
    <x v="0"/>
    <x v="1"/>
    <x v="2"/>
    <n v="0"/>
    <n v="0"/>
    <n v="-3.5270000000000001"/>
    <n v="-3.5270000000000001"/>
    <n v="-3.5270000000000001"/>
    <n v="-3.5270000000000001"/>
    <n v="-5"/>
    <x v="2"/>
    <n v="0"/>
    <n v="0"/>
    <n v="46"/>
    <n v="99"/>
    <n v="0"/>
    <n v="251.46"/>
    <n v="203.57"/>
    <m/>
    <n v="294.58903575722985"/>
    <n v="249.43938027981548"/>
    <n v="0"/>
    <n v="-886.89942000000008"/>
    <n v="-717.99139000000002"/>
    <n v="0"/>
    <n v="-1039.0155291157498"/>
    <n v="-879.77269424690928"/>
  </r>
  <r>
    <s v="Regular"/>
    <x v="3"/>
    <x v="4"/>
    <x v="6"/>
    <x v="0"/>
    <x v="0"/>
    <x v="0"/>
    <x v="1"/>
    <x v="3"/>
    <n v="0"/>
    <n v="0"/>
    <n v="1653.0630000000001"/>
    <n v="1653.0630000000001"/>
    <n v="1653.0630000000001"/>
    <n v="1653.0630000000001"/>
    <n v="14658"/>
    <x v="2"/>
    <n v="0"/>
    <n v="0"/>
    <n v="46"/>
    <n v="99"/>
    <n v="0"/>
    <n v="251.46"/>
    <n v="203.57"/>
    <m/>
    <n v="294.58903575722985"/>
    <n v="249.43938027981548"/>
    <n v="0"/>
    <n v="415679.22198000003"/>
    <n v="336514.03490999999"/>
    <n v="0"/>
    <n v="486974.23521595367"/>
    <n v="412339.01028349262"/>
  </r>
  <r>
    <s v="Sistema de Compensação"/>
    <x v="3"/>
    <x v="4"/>
    <x v="6"/>
    <x v="0"/>
    <x v="0"/>
    <x v="0"/>
    <x v="1"/>
    <x v="3"/>
    <n v="0"/>
    <n v="0"/>
    <n v="13.893000000000001"/>
    <n v="13.893000000000001"/>
    <n v="13.893000000000001"/>
    <n v="13.893000000000001"/>
    <n v="26"/>
    <x v="2"/>
    <n v="0"/>
    <n v="0"/>
    <n v="46"/>
    <n v="99"/>
    <n v="0"/>
    <n v="251.46"/>
    <n v="203.57"/>
    <m/>
    <n v="294.58903575722985"/>
    <n v="249.43938027981548"/>
    <n v="0"/>
    <n v="3493.5337800000002"/>
    <n v="2828.1980100000001"/>
    <n v="0"/>
    <n v="4092.7254737751946"/>
    <n v="3465.4613102274766"/>
  </r>
  <r>
    <s v="Regular"/>
    <x v="3"/>
    <x v="4"/>
    <x v="6"/>
    <x v="0"/>
    <x v="0"/>
    <x v="0"/>
    <x v="1"/>
    <x v="4"/>
    <n v="0"/>
    <n v="0"/>
    <n v="1578.412"/>
    <n v="1578.412"/>
    <n v="1578.412"/>
    <n v="1578.412"/>
    <n v="14652"/>
    <x v="2"/>
    <n v="0"/>
    <n v="0"/>
    <n v="46"/>
    <n v="99"/>
    <n v="0"/>
    <n v="251.46"/>
    <n v="203.57"/>
    <m/>
    <n v="294.58903575722985"/>
    <n v="249.43938027981548"/>
    <n v="0"/>
    <n v="396907.48152000003"/>
    <n v="321317.33084000001"/>
    <n v="0"/>
    <n v="464982.8691076407"/>
    <n v="393718.11110622413"/>
  </r>
  <r>
    <s v="Refaturamento - Regular"/>
    <x v="3"/>
    <x v="4"/>
    <x v="6"/>
    <x v="0"/>
    <x v="0"/>
    <x v="0"/>
    <x v="1"/>
    <x v="4"/>
    <n v="0"/>
    <n v="0"/>
    <n v="-0.03"/>
    <n v="-0.03"/>
    <n v="-0.03"/>
    <n v="-0.03"/>
    <n v="-1"/>
    <x v="2"/>
    <n v="0"/>
    <n v="0"/>
    <n v="46"/>
    <n v="99"/>
    <n v="0"/>
    <n v="251.46"/>
    <n v="203.57"/>
    <m/>
    <n v="294.58903575722985"/>
    <n v="249.43938027981548"/>
    <n v="0"/>
    <n v="-7.5438000000000001"/>
    <n v="-6.1071"/>
    <n v="0"/>
    <n v="-8.8376710727168959"/>
    <n v="-7.4831814083944641"/>
  </r>
  <r>
    <s v="Sistema de Compensação"/>
    <x v="3"/>
    <x v="4"/>
    <x v="6"/>
    <x v="0"/>
    <x v="0"/>
    <x v="0"/>
    <x v="1"/>
    <x v="4"/>
    <n v="0"/>
    <n v="0"/>
    <n v="3.58"/>
    <n v="3.58"/>
    <n v="3.58"/>
    <n v="3.58"/>
    <n v="26"/>
    <x v="2"/>
    <n v="0"/>
    <n v="0"/>
    <n v="46"/>
    <n v="99"/>
    <n v="0"/>
    <n v="251.46"/>
    <n v="203.57"/>
    <m/>
    <n v="294.58903575722985"/>
    <n v="249.43938027981548"/>
    <n v="0"/>
    <n v="900.22680000000003"/>
    <n v="728.78059999999994"/>
    <n v="0"/>
    <n v="1054.6287480108829"/>
    <n v="892.99298140173948"/>
  </r>
  <r>
    <s v="Regular"/>
    <x v="3"/>
    <x v="4"/>
    <x v="6"/>
    <x v="0"/>
    <x v="0"/>
    <x v="0"/>
    <x v="1"/>
    <x v="5"/>
    <n v="0"/>
    <n v="0"/>
    <n v="1682.258"/>
    <n v="1682.258"/>
    <n v="1682.258"/>
    <n v="1682.258"/>
    <n v="14577"/>
    <x v="2"/>
    <n v="0"/>
    <n v="0"/>
    <n v="46"/>
    <n v="99"/>
    <n v="0"/>
    <n v="251.46"/>
    <n v="203.57"/>
    <m/>
    <n v="294.58903575722985"/>
    <n v="249.43938027981548"/>
    <n v="0"/>
    <n v="423020.59668000002"/>
    <n v="342457.26105999999"/>
    <n v="0"/>
    <n v="495574.76211488596"/>
    <n v="419621.39299076184"/>
  </r>
  <r>
    <s v="Sistema de Compensação"/>
    <x v="3"/>
    <x v="4"/>
    <x v="6"/>
    <x v="0"/>
    <x v="0"/>
    <x v="0"/>
    <x v="1"/>
    <x v="5"/>
    <n v="0"/>
    <n v="0"/>
    <n v="3.7970000000000002"/>
    <n v="3.7970000000000002"/>
    <n v="3.7970000000000002"/>
    <n v="3.7970000000000002"/>
    <n v="26"/>
    <x v="2"/>
    <n v="0"/>
    <n v="0"/>
    <n v="46"/>
    <n v="99"/>
    <n v="0"/>
    <n v="251.46"/>
    <n v="203.57"/>
    <m/>
    <n v="294.58903575722985"/>
    <n v="249.43938027981548"/>
    <n v="0"/>
    <n v="954.79362000000003"/>
    <n v="772.95528999999999"/>
    <n v="0"/>
    <n v="1118.5545687702017"/>
    <n v="947.12132692245939"/>
  </r>
  <r>
    <s v="Regular"/>
    <x v="3"/>
    <x v="4"/>
    <x v="6"/>
    <x v="0"/>
    <x v="0"/>
    <x v="0"/>
    <x v="1"/>
    <x v="6"/>
    <n v="0"/>
    <n v="0"/>
    <n v="1572.28"/>
    <n v="1572.28"/>
    <n v="1572.28"/>
    <n v="1572.28"/>
    <n v="14506"/>
    <x v="2"/>
    <n v="0"/>
    <n v="0"/>
    <n v="46"/>
    <n v="99"/>
    <n v="0"/>
    <n v="251.46"/>
    <n v="203.57"/>
    <m/>
    <n v="294.58903575722985"/>
    <n v="249.43938027981548"/>
    <n v="0"/>
    <n v="395365.52880000003"/>
    <n v="320069.03959999996"/>
    <n v="0"/>
    <n v="463176.44914037734"/>
    <n v="392188.54882634827"/>
  </r>
  <r>
    <s v="Refaturamento - Regular"/>
    <x v="3"/>
    <x v="4"/>
    <x v="6"/>
    <x v="0"/>
    <x v="0"/>
    <x v="0"/>
    <x v="1"/>
    <x v="6"/>
    <n v="0"/>
    <n v="0"/>
    <n v="-2.238"/>
    <n v="-2.238"/>
    <n v="-2.238"/>
    <n v="-2.238"/>
    <n v="-1"/>
    <x v="2"/>
    <n v="0"/>
    <n v="0"/>
    <n v="46"/>
    <n v="99"/>
    <n v="0"/>
    <n v="251.46"/>
    <n v="203.57"/>
    <m/>
    <n v="294.58903575722985"/>
    <n v="249.43938027981548"/>
    <n v="0"/>
    <n v="-562.76747999999998"/>
    <n v="-455.58965999999998"/>
    <n v="0"/>
    <n v="-659.29026202468037"/>
    <n v="-558.24533306622709"/>
  </r>
  <r>
    <s v="Sistema de Compensação"/>
    <x v="3"/>
    <x v="4"/>
    <x v="6"/>
    <x v="0"/>
    <x v="0"/>
    <x v="0"/>
    <x v="1"/>
    <x v="6"/>
    <n v="0"/>
    <n v="0"/>
    <n v="3.8889999999999998"/>
    <n v="3.8889999999999998"/>
    <n v="3.8889999999999998"/>
    <n v="3.8889999999999998"/>
    <n v="27"/>
    <x v="2"/>
    <n v="0"/>
    <n v="0"/>
    <n v="46"/>
    <n v="99"/>
    <n v="0"/>
    <n v="251.46"/>
    <n v="203.57"/>
    <m/>
    <n v="294.58903575722985"/>
    <n v="249.43938027981548"/>
    <n v="0"/>
    <n v="977.92794000000004"/>
    <n v="791.68372999999997"/>
    <n v="0"/>
    <n v="1145.6567600598669"/>
    <n v="970.06974990820231"/>
  </r>
  <r>
    <s v="Regular"/>
    <x v="3"/>
    <x v="4"/>
    <x v="6"/>
    <x v="0"/>
    <x v="0"/>
    <x v="0"/>
    <x v="1"/>
    <x v="7"/>
    <n v="0"/>
    <n v="0"/>
    <n v="1613.2570000000001"/>
    <n v="1613.2570000000001"/>
    <n v="1613.2570000000001"/>
    <n v="1613.2570000000001"/>
    <n v="14408"/>
    <x v="2"/>
    <n v="0"/>
    <n v="0"/>
    <n v="46"/>
    <n v="99"/>
    <n v="0"/>
    <n v="251.46"/>
    <n v="203.57"/>
    <m/>
    <n v="294.58903575722985"/>
    <n v="249.43938027981548"/>
    <n v="0"/>
    <n v="405669.60522000003"/>
    <n v="328410.72749000002"/>
    <n v="0"/>
    <n v="475247.8240586014"/>
    <n v="402409.82631207432"/>
  </r>
  <r>
    <s v="Refaturamento - Regular"/>
    <x v="3"/>
    <x v="4"/>
    <x v="6"/>
    <x v="0"/>
    <x v="0"/>
    <x v="0"/>
    <x v="1"/>
    <x v="7"/>
    <n v="0"/>
    <n v="0"/>
    <n v="-5.9459999999999997"/>
    <n v="-5.9459999999999997"/>
    <n v="-5.9459999999999997"/>
    <n v="-5.9459999999999997"/>
    <n v="-2"/>
    <x v="2"/>
    <n v="0"/>
    <n v="0"/>
    <n v="46"/>
    <n v="99"/>
    <n v="0"/>
    <n v="251.46"/>
    <n v="203.57"/>
    <m/>
    <n v="294.58903575722985"/>
    <n v="249.43938027981548"/>
    <n v="0"/>
    <n v="-1495.1811600000001"/>
    <n v="-1210.4272199999998"/>
    <n v="0"/>
    <n v="-1751.6264066124886"/>
    <n v="-1483.1665551437827"/>
  </r>
  <r>
    <s v="Sistema de Compensação"/>
    <x v="3"/>
    <x v="4"/>
    <x v="6"/>
    <x v="0"/>
    <x v="0"/>
    <x v="0"/>
    <x v="1"/>
    <x v="7"/>
    <n v="0"/>
    <n v="0"/>
    <n v="4.9550000000000001"/>
    <n v="4.9550000000000001"/>
    <n v="4.9550000000000001"/>
    <n v="4.9550000000000001"/>
    <n v="31"/>
    <x v="2"/>
    <n v="0"/>
    <n v="0"/>
    <n v="46"/>
    <n v="99"/>
    <n v="0"/>
    <n v="251.46"/>
    <n v="203.57"/>
    <m/>
    <n v="294.58903575722985"/>
    <n v="249.43938027981548"/>
    <n v="0"/>
    <n v="1245.9843000000001"/>
    <n v="1008.68935"/>
    <n v="0"/>
    <n v="1459.6886721770738"/>
    <n v="1235.9721292864858"/>
  </r>
  <r>
    <s v="Regular"/>
    <x v="3"/>
    <x v="4"/>
    <x v="6"/>
    <x v="0"/>
    <x v="0"/>
    <x v="0"/>
    <x v="1"/>
    <x v="8"/>
    <n v="0"/>
    <n v="0"/>
    <n v="1678.3979999999999"/>
    <n v="1678.3979999999999"/>
    <n v="1678.3979999999999"/>
    <n v="1678.3979999999999"/>
    <n v="14315"/>
    <x v="2"/>
    <n v="0"/>
    <n v="0"/>
    <n v="46"/>
    <n v="99"/>
    <n v="0"/>
    <n v="251.46"/>
    <n v="203.57"/>
    <m/>
    <n v="294.58903575722985"/>
    <n v="249.43938027981548"/>
    <n v="0"/>
    <n v="422049.96107999998"/>
    <n v="341671.48085999995"/>
    <n v="0"/>
    <n v="494437.64843686303"/>
    <n v="418658.55698288174"/>
  </r>
  <r>
    <s v="Refaturamento - Regular"/>
    <x v="3"/>
    <x v="4"/>
    <x v="6"/>
    <x v="0"/>
    <x v="0"/>
    <x v="0"/>
    <x v="1"/>
    <x v="8"/>
    <n v="0"/>
    <n v="0"/>
    <n v="-6.0999999999999999E-2"/>
    <n v="-6.0999999999999999E-2"/>
    <n v="-6.0999999999999999E-2"/>
    <n v="-6.0999999999999999E-2"/>
    <n v="0"/>
    <x v="2"/>
    <n v="0"/>
    <n v="0"/>
    <n v="46"/>
    <n v="99"/>
    <n v="0"/>
    <n v="251.46"/>
    <n v="203.57"/>
    <m/>
    <n v="294.58903575722985"/>
    <n v="249.43938027981548"/>
    <n v="0"/>
    <n v="-15.33906"/>
    <n v="-12.417769999999999"/>
    <n v="0"/>
    <n v="-17.969931181191022"/>
    <n v="-15.215802197068744"/>
  </r>
  <r>
    <s v="Sistema de Compensação"/>
    <x v="3"/>
    <x v="4"/>
    <x v="6"/>
    <x v="0"/>
    <x v="0"/>
    <x v="0"/>
    <x v="1"/>
    <x v="8"/>
    <n v="0"/>
    <n v="0"/>
    <n v="4.7480000000000002"/>
    <n v="4.7480000000000002"/>
    <n v="4.7480000000000002"/>
    <n v="4.7480000000000002"/>
    <n v="33"/>
    <x v="2"/>
    <n v="0"/>
    <n v="0"/>
    <n v="46"/>
    <n v="99"/>
    <n v="0"/>
    <n v="251.46"/>
    <n v="203.57"/>
    <m/>
    <n v="294.58903575722985"/>
    <n v="249.43938027981548"/>
    <n v="0"/>
    <n v="1193.93208"/>
    <n v="966.55036000000007"/>
    <n v="0"/>
    <n v="1398.7087417753273"/>
    <n v="1184.3381775685639"/>
  </r>
  <r>
    <s v="Regular"/>
    <x v="3"/>
    <x v="4"/>
    <x v="6"/>
    <x v="0"/>
    <x v="0"/>
    <x v="0"/>
    <x v="1"/>
    <x v="9"/>
    <n v="0"/>
    <n v="0"/>
    <n v="1680.3589999999999"/>
    <n v="1680.3589999999999"/>
    <n v="1680.3589999999999"/>
    <n v="1680.3589999999999"/>
    <n v="14274"/>
    <x v="2"/>
    <n v="0"/>
    <n v="0"/>
    <n v="46"/>
    <n v="99"/>
    <n v="0"/>
    <n v="251.46"/>
    <n v="203.57"/>
    <m/>
    <n v="294.58903575722985"/>
    <n v="249.43938027981548"/>
    <n v="0"/>
    <n v="422543.07413999998"/>
    <n v="342070.68162999995"/>
    <n v="0"/>
    <n v="495015.33753598295"/>
    <n v="419147.70760761044"/>
  </r>
  <r>
    <s v="Sistema de Compensação"/>
    <x v="3"/>
    <x v="4"/>
    <x v="6"/>
    <x v="0"/>
    <x v="0"/>
    <x v="0"/>
    <x v="1"/>
    <x v="9"/>
    <n v="0"/>
    <n v="0"/>
    <n v="4.859"/>
    <n v="4.859"/>
    <n v="4.859"/>
    <n v="4.859"/>
    <n v="38"/>
    <x v="2"/>
    <n v="0"/>
    <n v="0"/>
    <n v="46"/>
    <n v="99"/>
    <n v="0"/>
    <n v="251.46"/>
    <n v="203.57"/>
    <m/>
    <n v="294.58903575722985"/>
    <n v="249.43938027981548"/>
    <n v="0"/>
    <n v="1221.8441399999999"/>
    <n v="989.14662999999996"/>
    <n v="0"/>
    <n v="1431.4081247443798"/>
    <n v="1212.0259487796234"/>
  </r>
  <r>
    <s v="Regular"/>
    <x v="3"/>
    <x v="4"/>
    <x v="6"/>
    <x v="0"/>
    <x v="0"/>
    <x v="0"/>
    <x v="1"/>
    <x v="10"/>
    <n v="0"/>
    <n v="0"/>
    <n v="1733.576"/>
    <n v="1733.576"/>
    <n v="1733.576"/>
    <n v="1733.576"/>
    <n v="14293"/>
    <x v="2"/>
    <n v="0"/>
    <n v="0"/>
    <n v="46"/>
    <n v="99"/>
    <n v="0"/>
    <n v="251.46"/>
    <n v="203.57"/>
    <m/>
    <n v="294.58903575722985"/>
    <n v="249.43938027981548"/>
    <n v="0"/>
    <n v="435925.02095999999"/>
    <n v="352904.06631999998"/>
    <n v="0"/>
    <n v="510692.48225187551"/>
    <n v="432422.12310796138"/>
  </r>
  <r>
    <s v="Refaturamento - Regular"/>
    <x v="3"/>
    <x v="4"/>
    <x v="6"/>
    <x v="0"/>
    <x v="0"/>
    <x v="0"/>
    <x v="1"/>
    <x v="10"/>
    <n v="0"/>
    <n v="0"/>
    <n v="-0.97099999999999997"/>
    <n v="-0.97099999999999997"/>
    <n v="-0.97099999999999997"/>
    <n v="-0.97099999999999997"/>
    <n v="0"/>
    <x v="2"/>
    <n v="0"/>
    <n v="0"/>
    <n v="46"/>
    <n v="99"/>
    <n v="0"/>
    <n v="251.46"/>
    <n v="203.57"/>
    <m/>
    <n v="294.58903575722985"/>
    <n v="249.43938027981548"/>
    <n v="0"/>
    <n v="-244.16766000000001"/>
    <n v="-197.66646999999998"/>
    <n v="0"/>
    <n v="-286.04595372027018"/>
    <n v="-242.20563825170083"/>
  </r>
  <r>
    <s v="Sistema de Compensação"/>
    <x v="3"/>
    <x v="4"/>
    <x v="6"/>
    <x v="0"/>
    <x v="0"/>
    <x v="0"/>
    <x v="1"/>
    <x v="10"/>
    <n v="0"/>
    <n v="0"/>
    <n v="6.4180000000000001"/>
    <n v="6.4180000000000001"/>
    <n v="6.4180000000000001"/>
    <n v="6.4180000000000001"/>
    <n v="41"/>
    <x v="2"/>
    <n v="0"/>
    <n v="0"/>
    <n v="46"/>
    <n v="99"/>
    <n v="0"/>
    <n v="251.46"/>
    <n v="203.57"/>
    <m/>
    <n v="294.58903575722985"/>
    <n v="249.43938027981548"/>
    <n v="0"/>
    <n v="1613.8702800000001"/>
    <n v="1306.51226"/>
    <n v="0"/>
    <n v="1890.6724314899013"/>
    <n v="1600.9019426358559"/>
  </r>
  <r>
    <s v="PROJETADO"/>
    <x v="3"/>
    <x v="4"/>
    <x v="6"/>
    <x v="0"/>
    <x v="0"/>
    <x v="0"/>
    <x v="1"/>
    <x v="11"/>
    <n v="0"/>
    <n v="0"/>
    <n v="1733.576"/>
    <n v="1733.576"/>
    <n v="1733.576"/>
    <n v="1733.576"/>
    <n v="14293"/>
    <x v="2"/>
    <n v="0"/>
    <n v="0"/>
    <n v="46"/>
    <n v="99"/>
    <n v="0"/>
    <n v="251.46"/>
    <n v="203.57"/>
    <m/>
    <n v="294.58903575722985"/>
    <n v="249.43938027981548"/>
    <n v="0"/>
    <n v="435925.02095999999"/>
    <n v="352904.06631999998"/>
    <n v="0"/>
    <n v="510692.48225187551"/>
    <n v="432422.12310796138"/>
  </r>
  <r>
    <s v="PROJETADO"/>
    <x v="3"/>
    <x v="4"/>
    <x v="6"/>
    <x v="0"/>
    <x v="0"/>
    <x v="0"/>
    <x v="1"/>
    <x v="11"/>
    <n v="0"/>
    <n v="0"/>
    <n v="-0.97099999999999997"/>
    <n v="-0.97099999999999997"/>
    <n v="-0.97099999999999997"/>
    <n v="-0.97099999999999997"/>
    <n v="0"/>
    <x v="2"/>
    <n v="0"/>
    <n v="0"/>
    <n v="46"/>
    <n v="99"/>
    <n v="0"/>
    <n v="251.46"/>
    <n v="203.57"/>
    <m/>
    <n v="294.58903575722985"/>
    <n v="249.43938027981548"/>
    <n v="0"/>
    <n v="-244.16766000000001"/>
    <n v="-197.66646999999998"/>
    <n v="0"/>
    <n v="-286.04595372027018"/>
    <n v="-242.20563825170083"/>
  </r>
  <r>
    <s v="PROJETADO"/>
    <x v="3"/>
    <x v="4"/>
    <x v="6"/>
    <x v="0"/>
    <x v="0"/>
    <x v="0"/>
    <x v="1"/>
    <x v="11"/>
    <n v="0"/>
    <n v="0"/>
    <n v="6.4180000000000001"/>
    <n v="6.4180000000000001"/>
    <n v="6.4180000000000001"/>
    <n v="6.4180000000000001"/>
    <n v="41"/>
    <x v="2"/>
    <n v="0"/>
    <n v="0"/>
    <n v="46"/>
    <n v="99"/>
    <n v="0"/>
    <n v="251.46"/>
    <n v="203.57"/>
    <m/>
    <n v="294.58903575722985"/>
    <n v="249.43938027981548"/>
    <n v="0"/>
    <n v="1613.8702800000001"/>
    <n v="1306.51226"/>
    <n v="0"/>
    <n v="1890.6724314899013"/>
    <n v="1600.9019426358559"/>
  </r>
  <r>
    <s v="Regular"/>
    <x v="4"/>
    <x v="3"/>
    <x v="2"/>
    <x v="0"/>
    <x v="0"/>
    <x v="0"/>
    <x v="0"/>
    <x v="0"/>
    <n v="0"/>
    <n v="0"/>
    <n v="9.2070000000000007"/>
    <n v="9.2070000000000007"/>
    <n v="9.2070000000000007"/>
    <n v="9.2070000000000007"/>
    <n v="0"/>
    <x v="2"/>
    <n v="0"/>
    <n v="0"/>
    <n v="60"/>
    <n v="6"/>
    <n v="0"/>
    <n v="206.95"/>
    <n v="219.03"/>
    <m/>
    <n v="229.0868567877778"/>
    <n v="252.43227829401354"/>
    <n v="0"/>
    <n v="1905.3886500000001"/>
    <n v="2016.6092100000001"/>
    <n v="0"/>
    <n v="2109.2026904450704"/>
    <n v="2324.1439862529828"/>
  </r>
  <r>
    <s v="Regular"/>
    <x v="4"/>
    <x v="3"/>
    <x v="2"/>
    <x v="0"/>
    <x v="0"/>
    <x v="0"/>
    <x v="0"/>
    <x v="1"/>
    <n v="0"/>
    <n v="0"/>
    <n v="10.5"/>
    <n v="10.5"/>
    <n v="10.5"/>
    <n v="10.5"/>
    <n v="0"/>
    <x v="2"/>
    <n v="0"/>
    <n v="0"/>
    <n v="60"/>
    <n v="6"/>
    <n v="0"/>
    <n v="206.95"/>
    <n v="219.03"/>
    <m/>
    <n v="229.0868567877778"/>
    <n v="252.43227829401354"/>
    <n v="0"/>
    <n v="2172.9749999999999"/>
    <n v="2299.8150000000001"/>
    <n v="0"/>
    <n v="2405.4119962716668"/>
    <n v="2650.5389220871421"/>
  </r>
  <r>
    <s v="Regular"/>
    <x v="4"/>
    <x v="3"/>
    <x v="2"/>
    <x v="0"/>
    <x v="0"/>
    <x v="0"/>
    <x v="0"/>
    <x v="2"/>
    <n v="0"/>
    <n v="0"/>
    <n v="9.5090000000000003"/>
    <n v="9.5090000000000003"/>
    <n v="9.5090000000000003"/>
    <n v="9.5090000000000003"/>
    <n v="0"/>
    <x v="2"/>
    <n v="0"/>
    <n v="0"/>
    <n v="60"/>
    <n v="6"/>
    <n v="0"/>
    <n v="206.95"/>
    <n v="219.03"/>
    <m/>
    <n v="229.0868567877778"/>
    <n v="252.43227829401354"/>
    <n v="0"/>
    <n v="1967.8875499999999"/>
    <n v="2082.7562699999999"/>
    <n v="0"/>
    <n v="2178.3869211949791"/>
    <n v="2400.3785342977749"/>
  </r>
  <r>
    <s v="Regular"/>
    <x v="4"/>
    <x v="3"/>
    <x v="2"/>
    <x v="0"/>
    <x v="0"/>
    <x v="0"/>
    <x v="0"/>
    <x v="3"/>
    <n v="0"/>
    <n v="0"/>
    <n v="9.2929999999999993"/>
    <n v="9.2929999999999993"/>
    <n v="9.2929999999999993"/>
    <n v="9.2929999999999993"/>
    <n v="0"/>
    <x v="2"/>
    <n v="0"/>
    <n v="0"/>
    <n v="60"/>
    <n v="6"/>
    <n v="0"/>
    <n v="206.95"/>
    <n v="219.03"/>
    <m/>
    <n v="229.0868567877778"/>
    <n v="252.43227829401354"/>
    <n v="0"/>
    <n v="1923.1863499999997"/>
    <n v="2035.4457899999998"/>
    <n v="0"/>
    <n v="2128.9041601288191"/>
    <n v="2345.8531621862676"/>
  </r>
  <r>
    <s v="Regular"/>
    <x v="4"/>
    <x v="3"/>
    <x v="2"/>
    <x v="0"/>
    <x v="0"/>
    <x v="0"/>
    <x v="0"/>
    <x v="4"/>
    <n v="0"/>
    <n v="0"/>
    <n v="8.7089999999999996"/>
    <n v="8.7089999999999996"/>
    <n v="8.7089999999999996"/>
    <n v="8.7089999999999996"/>
    <n v="0"/>
    <x v="2"/>
    <n v="0"/>
    <n v="0"/>
    <n v="60"/>
    <n v="6"/>
    <n v="0"/>
    <n v="206.95"/>
    <n v="219.03"/>
    <m/>
    <n v="229.0868567877778"/>
    <n v="252.43227829401354"/>
    <n v="0"/>
    <n v="1802.3275499999997"/>
    <n v="1907.5322699999999"/>
    <n v="0"/>
    <n v="1995.1174357647569"/>
    <n v="2198.4327116625636"/>
  </r>
  <r>
    <s v="Regular"/>
    <x v="4"/>
    <x v="3"/>
    <x v="2"/>
    <x v="0"/>
    <x v="0"/>
    <x v="0"/>
    <x v="0"/>
    <x v="5"/>
    <n v="0"/>
    <n v="0"/>
    <n v="9.4540000000000006"/>
    <n v="9.4540000000000006"/>
    <n v="9.4540000000000006"/>
    <n v="9.4540000000000006"/>
    <n v="0"/>
    <x v="2"/>
    <n v="0"/>
    <n v="0"/>
    <n v="60"/>
    <n v="6"/>
    <n v="0"/>
    <n v="206.95"/>
    <n v="219.03"/>
    <m/>
    <n v="229.0868567877778"/>
    <n v="252.43227829401354"/>
    <n v="0"/>
    <n v="1956.5053"/>
    <n v="2070.7096200000001"/>
    <n v="0"/>
    <n v="2165.7871440716517"/>
    <n v="2386.4947589916042"/>
  </r>
  <r>
    <s v="Regular"/>
    <x v="4"/>
    <x v="3"/>
    <x v="2"/>
    <x v="0"/>
    <x v="0"/>
    <x v="0"/>
    <x v="0"/>
    <x v="6"/>
    <n v="0"/>
    <n v="0"/>
    <n v="9.2829999999999995"/>
    <n v="9.2829999999999995"/>
    <n v="9.2829999999999995"/>
    <n v="9.2829999999999995"/>
    <n v="0"/>
    <x v="2"/>
    <n v="0"/>
    <n v="0"/>
    <n v="60"/>
    <n v="6"/>
    <n v="0"/>
    <n v="206.95"/>
    <n v="219.03"/>
    <m/>
    <n v="229.0868567877778"/>
    <n v="252.43227829401354"/>
    <n v="0"/>
    <n v="1921.1168499999999"/>
    <n v="2033.25549"/>
    <n v="0"/>
    <n v="2126.6132915609414"/>
    <n v="2343.3288394033275"/>
  </r>
  <r>
    <s v="Regular"/>
    <x v="4"/>
    <x v="3"/>
    <x v="2"/>
    <x v="0"/>
    <x v="0"/>
    <x v="0"/>
    <x v="0"/>
    <x v="7"/>
    <n v="0"/>
    <n v="0"/>
    <n v="10.529"/>
    <n v="10.529"/>
    <n v="10.529"/>
    <n v="10.529"/>
    <n v="0"/>
    <x v="2"/>
    <n v="0"/>
    <n v="0"/>
    <n v="60"/>
    <n v="6"/>
    <n v="0"/>
    <n v="206.95"/>
    <n v="219.03"/>
    <m/>
    <n v="229.0868567877778"/>
    <n v="252.43227829401354"/>
    <n v="0"/>
    <n v="2178.9765499999999"/>
    <n v="2306.16687"/>
    <n v="0"/>
    <n v="2412.0555151185126"/>
    <n v="2657.8594581576685"/>
  </r>
  <r>
    <s v="Regular"/>
    <x v="4"/>
    <x v="3"/>
    <x v="2"/>
    <x v="0"/>
    <x v="0"/>
    <x v="0"/>
    <x v="0"/>
    <x v="8"/>
    <n v="0"/>
    <n v="0"/>
    <n v="12.81"/>
    <n v="12.81"/>
    <n v="12.81"/>
    <n v="12.81"/>
    <n v="0"/>
    <x v="2"/>
    <n v="0"/>
    <n v="0"/>
    <n v="60"/>
    <n v="6"/>
    <n v="0"/>
    <n v="206.95"/>
    <n v="219.03"/>
    <m/>
    <n v="229.0868567877778"/>
    <n v="252.43227829401354"/>
    <n v="0"/>
    <n v="2651.0295000000001"/>
    <n v="2805.7743"/>
    <n v="0"/>
    <n v="2934.6026354514338"/>
    <n v="3233.6574849463136"/>
  </r>
  <r>
    <s v="Refaturamento - Regular"/>
    <x v="4"/>
    <x v="3"/>
    <x v="2"/>
    <x v="0"/>
    <x v="0"/>
    <x v="0"/>
    <x v="0"/>
    <x v="8"/>
    <n v="0"/>
    <n v="0"/>
    <n v="0.182"/>
    <n v="0.182"/>
    <n v="0.182"/>
    <n v="0.182"/>
    <n v="0"/>
    <x v="2"/>
    <n v="0"/>
    <n v="0"/>
    <n v="60"/>
    <n v="6"/>
    <n v="0"/>
    <n v="206.95"/>
    <n v="219.03"/>
    <m/>
    <n v="229.0868567877778"/>
    <n v="252.43227829401354"/>
    <n v="0"/>
    <n v="37.664899999999996"/>
    <n v="39.863459999999996"/>
    <n v="0"/>
    <n v="41.69380793537556"/>
    <n v="45.942674649510465"/>
  </r>
  <r>
    <s v="Regular"/>
    <x v="4"/>
    <x v="3"/>
    <x v="2"/>
    <x v="0"/>
    <x v="0"/>
    <x v="0"/>
    <x v="0"/>
    <x v="9"/>
    <n v="0"/>
    <n v="0"/>
    <n v="14.208"/>
    <n v="14.208"/>
    <n v="14.208"/>
    <n v="14.208"/>
    <n v="0"/>
    <x v="2"/>
    <n v="0"/>
    <n v="0"/>
    <n v="60"/>
    <n v="6"/>
    <n v="0"/>
    <n v="206.95"/>
    <n v="219.03"/>
    <m/>
    <n v="229.0868567877778"/>
    <n v="252.43227829401354"/>
    <n v="0"/>
    <n v="2940.3455999999996"/>
    <n v="3111.9782399999999"/>
    <n v="0"/>
    <n v="3254.8660612407471"/>
    <n v="3586.5578100013445"/>
  </r>
  <r>
    <s v="Regular"/>
    <x v="4"/>
    <x v="3"/>
    <x v="2"/>
    <x v="0"/>
    <x v="0"/>
    <x v="0"/>
    <x v="0"/>
    <x v="10"/>
    <n v="0"/>
    <n v="0"/>
    <n v="14.315"/>
    <n v="14.315"/>
    <n v="14.315"/>
    <n v="14.315"/>
    <n v="0"/>
    <x v="2"/>
    <n v="0"/>
    <n v="0"/>
    <n v="60"/>
    <n v="6"/>
    <n v="0"/>
    <n v="206.95"/>
    <n v="219.03"/>
    <m/>
    <n v="229.0868567877778"/>
    <n v="252.43227829401354"/>
    <n v="0"/>
    <n v="2962.4892499999996"/>
    <n v="3135.4144499999998"/>
    <n v="0"/>
    <n v="3279.3783549170394"/>
    <n v="3613.5680637788037"/>
  </r>
  <r>
    <s v="Sistema de Compensação"/>
    <x v="4"/>
    <x v="3"/>
    <x v="2"/>
    <x v="0"/>
    <x v="0"/>
    <x v="0"/>
    <x v="0"/>
    <x v="10"/>
    <n v="0"/>
    <n v="0"/>
    <n v="0.71099999999999997"/>
    <n v="0.71099999999999997"/>
    <n v="0.71099999999999997"/>
    <n v="0.71099999999999997"/>
    <n v="0"/>
    <x v="2"/>
    <n v="0"/>
    <n v="0"/>
    <n v="60"/>
    <n v="6"/>
    <n v="0"/>
    <n v="206.95"/>
    <n v="219.03"/>
    <m/>
    <n v="229.0868567877778"/>
    <n v="252.43227829401354"/>
    <n v="0"/>
    <n v="147.14144999999999"/>
    <n v="155.73032999999998"/>
    <n v="0"/>
    <n v="162.88075517611"/>
    <n v="179.47934986704362"/>
  </r>
  <r>
    <s v="PROJETADO"/>
    <x v="4"/>
    <x v="3"/>
    <x v="2"/>
    <x v="0"/>
    <x v="0"/>
    <x v="0"/>
    <x v="0"/>
    <x v="11"/>
    <n v="0"/>
    <n v="0"/>
    <n v="14.315"/>
    <n v="14.315"/>
    <n v="14.315"/>
    <n v="14.315"/>
    <n v="0"/>
    <x v="2"/>
    <n v="0"/>
    <n v="0"/>
    <n v="60"/>
    <n v="6"/>
    <n v="0"/>
    <n v="206.95"/>
    <n v="219.03"/>
    <m/>
    <n v="229.0868567877778"/>
    <n v="252.43227829401354"/>
    <n v="0"/>
    <n v="2962.4892499999996"/>
    <n v="3135.4144499999998"/>
    <n v="0"/>
    <n v="3279.3783549170394"/>
    <n v="3613.5680637788037"/>
  </r>
  <r>
    <s v="PROJETADO"/>
    <x v="4"/>
    <x v="3"/>
    <x v="2"/>
    <x v="0"/>
    <x v="0"/>
    <x v="0"/>
    <x v="0"/>
    <x v="11"/>
    <n v="0"/>
    <n v="0"/>
    <n v="0.71099999999999997"/>
    <n v="0.71099999999999997"/>
    <n v="0.71099999999999997"/>
    <n v="0.71099999999999997"/>
    <n v="0"/>
    <x v="2"/>
    <n v="0"/>
    <n v="0"/>
    <n v="60"/>
    <n v="6"/>
    <n v="0"/>
    <n v="206.95"/>
    <n v="219.03"/>
    <m/>
    <n v="229.0868567877778"/>
    <n v="252.43227829401354"/>
    <n v="0"/>
    <n v="147.14144999999999"/>
    <n v="155.73032999999998"/>
    <n v="0"/>
    <n v="162.88075517611"/>
    <n v="179.47934986704362"/>
  </r>
  <r>
    <s v="Regular"/>
    <x v="4"/>
    <x v="3"/>
    <x v="2"/>
    <x v="0"/>
    <x v="0"/>
    <x v="0"/>
    <x v="3"/>
    <x v="0"/>
    <n v="0"/>
    <n v="0"/>
    <n v="0.60499999999999998"/>
    <n v="0.60499999999999998"/>
    <n v="0.60499999999999998"/>
    <n v="0.60499999999999998"/>
    <n v="0"/>
    <x v="2"/>
    <n v="0"/>
    <n v="0"/>
    <n v="59"/>
    <n v="5"/>
    <n v="0"/>
    <n v="499.64"/>
    <n v="219.03"/>
    <m/>
    <n v="542.22286534352872"/>
    <n v="252.43227829401354"/>
    <n v="0"/>
    <n v="302.28219999999999"/>
    <n v="132.51315"/>
    <n v="0"/>
    <n v="328.04483353283484"/>
    <n v="152.72152836787819"/>
  </r>
  <r>
    <s v="Regular"/>
    <x v="4"/>
    <x v="3"/>
    <x v="2"/>
    <x v="0"/>
    <x v="0"/>
    <x v="0"/>
    <x v="3"/>
    <x v="1"/>
    <n v="0"/>
    <n v="0"/>
    <n v="0.69"/>
    <n v="0.69"/>
    <n v="0.69"/>
    <n v="0.69"/>
    <n v="0"/>
    <x v="2"/>
    <n v="0"/>
    <n v="0"/>
    <n v="59"/>
    <n v="5"/>
    <n v="0"/>
    <n v="499.64"/>
    <n v="219.03"/>
    <m/>
    <n v="542.22286534352872"/>
    <n v="252.43227829401354"/>
    <n v="0"/>
    <n v="344.75159999999994"/>
    <n v="151.13069999999999"/>
    <n v="0"/>
    <n v="374.13377708703479"/>
    <n v="174.17827202286932"/>
  </r>
  <r>
    <s v="Regular"/>
    <x v="4"/>
    <x v="3"/>
    <x v="2"/>
    <x v="0"/>
    <x v="0"/>
    <x v="0"/>
    <x v="3"/>
    <x v="2"/>
    <n v="0"/>
    <n v="0"/>
    <n v="0.53100000000000003"/>
    <n v="0.53100000000000003"/>
    <n v="0.53100000000000003"/>
    <n v="0.53100000000000003"/>
    <n v="0"/>
    <x v="2"/>
    <n v="0"/>
    <n v="0"/>
    <n v="59"/>
    <n v="5"/>
    <n v="0"/>
    <n v="499.64"/>
    <n v="219.03"/>
    <m/>
    <n v="542.22286534352872"/>
    <n v="252.43227829401354"/>
    <n v="0"/>
    <n v="265.30884000000003"/>
    <n v="116.30493000000001"/>
    <n v="0"/>
    <n v="287.92034149741374"/>
    <n v="134.04153977412119"/>
  </r>
  <r>
    <s v="Regular"/>
    <x v="4"/>
    <x v="3"/>
    <x v="2"/>
    <x v="0"/>
    <x v="0"/>
    <x v="0"/>
    <x v="3"/>
    <x v="3"/>
    <n v="0"/>
    <n v="0"/>
    <n v="0.56999999999999995"/>
    <n v="0.56999999999999995"/>
    <n v="0.56999999999999995"/>
    <n v="0.56999999999999995"/>
    <n v="0"/>
    <x v="2"/>
    <n v="0"/>
    <n v="0"/>
    <n v="59"/>
    <n v="5"/>
    <n v="0"/>
    <n v="499.64"/>
    <n v="219.03"/>
    <m/>
    <n v="542.22286534352872"/>
    <n v="252.43227829401354"/>
    <n v="0"/>
    <n v="284.79479999999995"/>
    <n v="124.84709999999998"/>
    <n v="0"/>
    <n v="309.06703324581133"/>
    <n v="143.88639862758771"/>
  </r>
  <r>
    <s v="Regular"/>
    <x v="4"/>
    <x v="3"/>
    <x v="2"/>
    <x v="0"/>
    <x v="0"/>
    <x v="0"/>
    <x v="3"/>
    <x v="4"/>
    <n v="0"/>
    <n v="0"/>
    <n v="0.52600000000000002"/>
    <n v="0.52600000000000002"/>
    <n v="0.52600000000000002"/>
    <n v="0.52600000000000002"/>
    <n v="0"/>
    <x v="2"/>
    <n v="0"/>
    <n v="0"/>
    <n v="59"/>
    <n v="5"/>
    <n v="0"/>
    <n v="499.64"/>
    <n v="219.03"/>
    <m/>
    <n v="542.22286534352872"/>
    <n v="252.43227829401354"/>
    <n v="0"/>
    <n v="262.81063999999998"/>
    <n v="115.20978000000001"/>
    <n v="0"/>
    <n v="285.20922717069612"/>
    <n v="132.77937838265112"/>
  </r>
  <r>
    <s v="Regular"/>
    <x v="4"/>
    <x v="3"/>
    <x v="2"/>
    <x v="0"/>
    <x v="0"/>
    <x v="0"/>
    <x v="3"/>
    <x v="5"/>
    <n v="0"/>
    <n v="0"/>
    <n v="0.60599999999999998"/>
    <n v="0.60599999999999998"/>
    <n v="0.60599999999999998"/>
    <n v="0.60599999999999998"/>
    <n v="0"/>
    <x v="2"/>
    <n v="0"/>
    <n v="0"/>
    <n v="59"/>
    <n v="5"/>
    <n v="0"/>
    <n v="499.64"/>
    <n v="219.03"/>
    <m/>
    <n v="542.22286534352872"/>
    <n v="252.43227829401354"/>
    <n v="0"/>
    <n v="302.78183999999999"/>
    <n v="132.73218"/>
    <n v="0"/>
    <n v="328.58705639817839"/>
    <n v="152.9739606461722"/>
  </r>
  <r>
    <s v="Regular"/>
    <x v="4"/>
    <x v="3"/>
    <x v="2"/>
    <x v="0"/>
    <x v="0"/>
    <x v="0"/>
    <x v="3"/>
    <x v="6"/>
    <n v="0"/>
    <n v="0"/>
    <n v="0.59599999999999997"/>
    <n v="0.59599999999999997"/>
    <n v="0.59599999999999997"/>
    <n v="0.59599999999999997"/>
    <n v="0"/>
    <x v="2"/>
    <n v="0"/>
    <n v="0"/>
    <n v="59"/>
    <n v="5"/>
    <n v="0"/>
    <n v="499.64"/>
    <n v="219.03"/>
    <m/>
    <n v="542.22286534352872"/>
    <n v="252.43227829401354"/>
    <n v="0"/>
    <n v="297.78543999999999"/>
    <n v="130.54187999999999"/>
    <n v="0"/>
    <n v="323.16482774474309"/>
    <n v="150.44963786323206"/>
  </r>
  <r>
    <s v="Regular"/>
    <x v="4"/>
    <x v="3"/>
    <x v="2"/>
    <x v="0"/>
    <x v="0"/>
    <x v="0"/>
    <x v="3"/>
    <x v="7"/>
    <n v="0"/>
    <n v="0"/>
    <n v="0.60299999999999998"/>
    <n v="0.60299999999999998"/>
    <n v="0.60299999999999998"/>
    <n v="0.60299999999999998"/>
    <n v="0"/>
    <x v="2"/>
    <n v="0"/>
    <n v="0"/>
    <n v="59"/>
    <n v="5"/>
    <n v="0"/>
    <n v="499.64"/>
    <n v="219.03"/>
    <m/>
    <n v="542.22286534352872"/>
    <n v="252.43227829401354"/>
    <n v="0"/>
    <n v="301.28291999999999"/>
    <n v="132.07508999999999"/>
    <n v="0"/>
    <n v="326.96038780214781"/>
    <n v="152.21666381129018"/>
  </r>
  <r>
    <s v="Regular"/>
    <x v="4"/>
    <x v="3"/>
    <x v="2"/>
    <x v="0"/>
    <x v="0"/>
    <x v="0"/>
    <x v="3"/>
    <x v="8"/>
    <n v="0"/>
    <n v="0"/>
    <n v="0.73599999999999999"/>
    <n v="0.73599999999999999"/>
    <n v="0.73599999999999999"/>
    <n v="0.73599999999999999"/>
    <n v="0"/>
    <x v="2"/>
    <n v="0"/>
    <n v="0"/>
    <n v="59"/>
    <n v="5"/>
    <n v="0"/>
    <n v="499.64"/>
    <n v="219.03"/>
    <m/>
    <n v="542.22286534352872"/>
    <n v="252.43227829401354"/>
    <n v="0"/>
    <n v="367.73503999999997"/>
    <n v="161.20607999999999"/>
    <n v="0"/>
    <n v="399.07602889283714"/>
    <n v="185.79015682439396"/>
  </r>
  <r>
    <s v="Refaturamento - Regular"/>
    <x v="4"/>
    <x v="3"/>
    <x v="2"/>
    <x v="0"/>
    <x v="0"/>
    <x v="0"/>
    <x v="3"/>
    <x v="8"/>
    <n v="0"/>
    <n v="0"/>
    <n v="7.0000000000000001E-3"/>
    <n v="7.0000000000000001E-3"/>
    <n v="7.0000000000000001E-3"/>
    <n v="7.0000000000000001E-3"/>
    <n v="0"/>
    <x v="2"/>
    <n v="0"/>
    <n v="0"/>
    <n v="59"/>
    <n v="5"/>
    <n v="0"/>
    <n v="499.64"/>
    <n v="219.03"/>
    <m/>
    <n v="542.22286534352872"/>
    <n v="252.43227829401354"/>
    <n v="0"/>
    <n v="3.4974799999999999"/>
    <n v="1.53321"/>
    <n v="0"/>
    <n v="3.795560057404701"/>
    <n v="1.7670259480580948"/>
  </r>
  <r>
    <s v="Regular"/>
    <x v="4"/>
    <x v="3"/>
    <x v="2"/>
    <x v="0"/>
    <x v="0"/>
    <x v="0"/>
    <x v="3"/>
    <x v="9"/>
    <n v="0"/>
    <n v="0"/>
    <n v="0.79500000000000004"/>
    <n v="0.79500000000000004"/>
    <n v="0.79500000000000004"/>
    <n v="0.79500000000000004"/>
    <n v="0"/>
    <x v="2"/>
    <n v="0"/>
    <n v="0"/>
    <n v="59"/>
    <n v="5"/>
    <n v="0"/>
    <n v="499.64"/>
    <n v="219.03"/>
    <m/>
    <n v="542.22286534352872"/>
    <n v="252.43227829401354"/>
    <n v="0"/>
    <n v="397.21379999999999"/>
    <n v="174.12885"/>
    <n v="0"/>
    <n v="431.06717794810538"/>
    <n v="200.68366124374077"/>
  </r>
  <r>
    <s v="Regular"/>
    <x v="4"/>
    <x v="3"/>
    <x v="2"/>
    <x v="0"/>
    <x v="0"/>
    <x v="0"/>
    <x v="3"/>
    <x v="10"/>
    <n v="0"/>
    <n v="0"/>
    <n v="0.85599999999999998"/>
    <n v="0.85599999999999998"/>
    <n v="0.85599999999999998"/>
    <n v="0.85599999999999998"/>
    <n v="0"/>
    <x v="2"/>
    <n v="0"/>
    <n v="0"/>
    <n v="59"/>
    <n v="5"/>
    <n v="0"/>
    <n v="499.64"/>
    <n v="219.03"/>
    <m/>
    <n v="542.22286534352872"/>
    <n v="252.43227829401354"/>
    <n v="0"/>
    <n v="427.69183999999996"/>
    <n v="187.48967999999999"/>
    <n v="0"/>
    <n v="464.1427727340606"/>
    <n v="216.0820302196756"/>
  </r>
  <r>
    <s v="Sistema de Compensação"/>
    <x v="4"/>
    <x v="3"/>
    <x v="2"/>
    <x v="0"/>
    <x v="0"/>
    <x v="0"/>
    <x v="3"/>
    <x v="10"/>
    <n v="0"/>
    <n v="0"/>
    <n v="2.9000000000000001E-2"/>
    <n v="2.9000000000000001E-2"/>
    <n v="2.9000000000000001E-2"/>
    <n v="2.9000000000000001E-2"/>
    <n v="0"/>
    <x v="2"/>
    <n v="0"/>
    <n v="0"/>
    <n v="59"/>
    <n v="5"/>
    <n v="0"/>
    <n v="499.64"/>
    <n v="219.03"/>
    <m/>
    <n v="542.22286534352872"/>
    <n v="252.43227829401354"/>
    <n v="0"/>
    <n v="14.489560000000001"/>
    <n v="6.3518700000000008"/>
    <n v="0"/>
    <n v="15.724463094962333"/>
    <n v="7.3205360705263933"/>
  </r>
  <r>
    <s v="PROJETADO"/>
    <x v="4"/>
    <x v="3"/>
    <x v="2"/>
    <x v="0"/>
    <x v="0"/>
    <x v="0"/>
    <x v="3"/>
    <x v="11"/>
    <n v="0"/>
    <n v="0"/>
    <n v="0.85599999999999998"/>
    <n v="0.85599999999999998"/>
    <n v="0.85599999999999998"/>
    <n v="0.85599999999999998"/>
    <n v="0"/>
    <x v="2"/>
    <n v="0"/>
    <n v="0"/>
    <n v="59"/>
    <n v="5"/>
    <n v="0"/>
    <n v="499.64"/>
    <n v="219.03"/>
    <m/>
    <n v="542.22286534352872"/>
    <n v="252.43227829401354"/>
    <n v="0"/>
    <n v="427.69183999999996"/>
    <n v="187.48967999999999"/>
    <n v="0"/>
    <n v="464.1427727340606"/>
    <n v="216.0820302196756"/>
  </r>
  <r>
    <s v="PROJETADO"/>
    <x v="4"/>
    <x v="3"/>
    <x v="2"/>
    <x v="0"/>
    <x v="0"/>
    <x v="0"/>
    <x v="3"/>
    <x v="11"/>
    <n v="0"/>
    <n v="0"/>
    <n v="2.9000000000000001E-2"/>
    <n v="2.9000000000000001E-2"/>
    <n v="2.9000000000000001E-2"/>
    <n v="2.9000000000000001E-2"/>
    <n v="0"/>
    <x v="2"/>
    <n v="0"/>
    <n v="0"/>
    <n v="59"/>
    <n v="5"/>
    <n v="0"/>
    <n v="499.64"/>
    <n v="219.03"/>
    <m/>
    <n v="542.22286534352872"/>
    <n v="252.43227829401354"/>
    <n v="0"/>
    <n v="14.489560000000001"/>
    <n v="6.3518700000000008"/>
    <n v="0"/>
    <n v="15.724463094962333"/>
    <n v="7.3205360705263933"/>
  </r>
  <r>
    <s v="Regular"/>
    <x v="4"/>
    <x v="3"/>
    <x v="2"/>
    <x v="0"/>
    <x v="0"/>
    <x v="0"/>
    <x v="2"/>
    <x v="0"/>
    <n v="0"/>
    <n v="0"/>
    <n v="0.55600000000000005"/>
    <n v="0.55600000000000005"/>
    <n v="0.55600000000000005"/>
    <n v="0.55600000000000005"/>
    <n v="0"/>
    <x v="2"/>
    <n v="0"/>
    <n v="0"/>
    <n v="58"/>
    <n v="84"/>
    <n v="0"/>
    <n v="792.32"/>
    <n v="366.6"/>
    <m/>
    <n v="855.35876723745287"/>
    <n v="407.57745297626161"/>
    <n v="0"/>
    <n v="440.52992000000006"/>
    <n v="203.82960000000003"/>
    <n v="0"/>
    <n v="475.57947458402384"/>
    <n v="226.61306385480148"/>
  </r>
  <r>
    <s v="Regular"/>
    <x v="4"/>
    <x v="3"/>
    <x v="2"/>
    <x v="0"/>
    <x v="0"/>
    <x v="0"/>
    <x v="2"/>
    <x v="1"/>
    <n v="0"/>
    <n v="0"/>
    <n v="0.66"/>
    <n v="0.66"/>
    <n v="0.66"/>
    <n v="0.66"/>
    <n v="0"/>
    <x v="2"/>
    <n v="0"/>
    <n v="0"/>
    <n v="58"/>
    <n v="84"/>
    <n v="0"/>
    <n v="792.32"/>
    <n v="366.6"/>
    <m/>
    <n v="855.35876723745287"/>
    <n v="407.57745297626161"/>
    <n v="0"/>
    <n v="522.9312000000001"/>
    <n v="241.95600000000002"/>
    <n v="0"/>
    <n v="564.53678637671896"/>
    <n v="269.0011189643327"/>
  </r>
  <r>
    <s v="Regular"/>
    <x v="4"/>
    <x v="3"/>
    <x v="2"/>
    <x v="0"/>
    <x v="0"/>
    <x v="0"/>
    <x v="2"/>
    <x v="2"/>
    <n v="0"/>
    <n v="0"/>
    <n v="0.56399999999999995"/>
    <n v="0.56399999999999995"/>
    <n v="0.56399999999999995"/>
    <n v="0.56399999999999995"/>
    <n v="0"/>
    <x v="2"/>
    <n v="0"/>
    <n v="0"/>
    <n v="58"/>
    <n v="84"/>
    <n v="0"/>
    <n v="792.32"/>
    <n v="366.6"/>
    <m/>
    <n v="855.35876723745287"/>
    <n v="407.57745297626161"/>
    <n v="0"/>
    <n v="446.86847999999998"/>
    <n v="206.76239999999999"/>
    <n v="0"/>
    <n v="482.42234472192337"/>
    <n v="229.87368347861153"/>
  </r>
  <r>
    <s v="Regular"/>
    <x v="4"/>
    <x v="3"/>
    <x v="2"/>
    <x v="0"/>
    <x v="0"/>
    <x v="0"/>
    <x v="2"/>
    <x v="3"/>
    <n v="0"/>
    <n v="0"/>
    <n v="0.51600000000000001"/>
    <n v="0.51600000000000001"/>
    <n v="0.51600000000000001"/>
    <n v="0.51600000000000001"/>
    <n v="0"/>
    <x v="2"/>
    <n v="0"/>
    <n v="0"/>
    <n v="58"/>
    <n v="84"/>
    <n v="0"/>
    <n v="792.32"/>
    <n v="366.6"/>
    <m/>
    <n v="855.35876723745287"/>
    <n v="407.57745297626161"/>
    <n v="0"/>
    <n v="408.83712000000003"/>
    <n v="189.16560000000001"/>
    <n v="0"/>
    <n v="441.36512389452571"/>
    <n v="210.30996573575101"/>
  </r>
  <r>
    <s v="Regular"/>
    <x v="4"/>
    <x v="3"/>
    <x v="2"/>
    <x v="0"/>
    <x v="0"/>
    <x v="0"/>
    <x v="2"/>
    <x v="4"/>
    <n v="0"/>
    <n v="0"/>
    <n v="0.50700000000000001"/>
    <n v="0.50700000000000001"/>
    <n v="0.50700000000000001"/>
    <n v="0.50700000000000001"/>
    <n v="0"/>
    <x v="2"/>
    <n v="0"/>
    <n v="0"/>
    <n v="58"/>
    <n v="84"/>
    <n v="0"/>
    <n v="792.32"/>
    <n v="366.6"/>
    <m/>
    <n v="855.35876723745287"/>
    <n v="407.57745297626161"/>
    <n v="0"/>
    <n v="401.70624000000004"/>
    <n v="185.86620000000002"/>
    <n v="0"/>
    <n v="433.6668949893886"/>
    <n v="206.64176865896465"/>
  </r>
  <r>
    <s v="Regular"/>
    <x v="4"/>
    <x v="3"/>
    <x v="2"/>
    <x v="0"/>
    <x v="0"/>
    <x v="0"/>
    <x v="2"/>
    <x v="5"/>
    <n v="0"/>
    <n v="0"/>
    <n v="0.60799999999999998"/>
    <n v="0.60799999999999998"/>
    <n v="0.60799999999999998"/>
    <n v="0.60799999999999998"/>
    <n v="0"/>
    <x v="2"/>
    <n v="0"/>
    <n v="0"/>
    <n v="58"/>
    <n v="84"/>
    <n v="0"/>
    <n v="792.32"/>
    <n v="366.6"/>
    <m/>
    <n v="855.35876723745287"/>
    <n v="407.57745297626161"/>
    <n v="0"/>
    <n v="481.73056000000003"/>
    <n v="222.89280000000002"/>
    <n v="0"/>
    <n v="520.05813048037135"/>
    <n v="247.80709140956705"/>
  </r>
  <r>
    <s v="Regular"/>
    <x v="4"/>
    <x v="3"/>
    <x v="2"/>
    <x v="0"/>
    <x v="0"/>
    <x v="0"/>
    <x v="2"/>
    <x v="6"/>
    <n v="0"/>
    <n v="0"/>
    <n v="0.60899999999999999"/>
    <n v="0.60899999999999999"/>
    <n v="0.60899999999999999"/>
    <n v="0.60899999999999999"/>
    <n v="0"/>
    <x v="2"/>
    <n v="0"/>
    <n v="0"/>
    <n v="58"/>
    <n v="84"/>
    <n v="0"/>
    <n v="792.32"/>
    <n v="366.6"/>
    <m/>
    <n v="855.35876723745287"/>
    <n v="407.57745297626161"/>
    <n v="0"/>
    <n v="482.52288000000004"/>
    <n v="223.2594"/>
    <n v="0"/>
    <n v="520.91348924760882"/>
    <n v="248.21466886254331"/>
  </r>
  <r>
    <s v="Regular"/>
    <x v="4"/>
    <x v="3"/>
    <x v="2"/>
    <x v="0"/>
    <x v="0"/>
    <x v="0"/>
    <x v="2"/>
    <x v="7"/>
    <n v="0"/>
    <n v="0"/>
    <n v="0.623"/>
    <n v="0.623"/>
    <n v="0.623"/>
    <n v="0.623"/>
    <n v="0"/>
    <x v="2"/>
    <n v="0"/>
    <n v="0"/>
    <n v="58"/>
    <n v="84"/>
    <n v="0"/>
    <n v="792.32"/>
    <n v="366.6"/>
    <m/>
    <n v="855.35876723745287"/>
    <n v="407.57745297626161"/>
    <n v="0"/>
    <n v="493.61536000000001"/>
    <n v="228.39180000000002"/>
    <n v="0"/>
    <n v="532.88851198893315"/>
    <n v="253.920753204211"/>
  </r>
  <r>
    <s v="Regular"/>
    <x v="4"/>
    <x v="3"/>
    <x v="2"/>
    <x v="0"/>
    <x v="0"/>
    <x v="0"/>
    <x v="2"/>
    <x v="8"/>
    <n v="0"/>
    <n v="0"/>
    <n v="0.79600000000000004"/>
    <n v="0.79600000000000004"/>
    <n v="0.79600000000000004"/>
    <n v="0.79600000000000004"/>
    <n v="0"/>
    <x v="2"/>
    <n v="0"/>
    <n v="0"/>
    <n v="58"/>
    <n v="84"/>
    <n v="0"/>
    <n v="792.32"/>
    <n v="366.6"/>
    <m/>
    <n v="855.35876723745287"/>
    <n v="407.57745297626161"/>
    <n v="0"/>
    <n v="630.68672000000004"/>
    <n v="291.81360000000001"/>
    <n v="0"/>
    <n v="680.86557872101253"/>
    <n v="324.43165256910424"/>
  </r>
  <r>
    <s v="Refaturamento - Regular"/>
    <x v="4"/>
    <x v="3"/>
    <x v="2"/>
    <x v="0"/>
    <x v="0"/>
    <x v="0"/>
    <x v="2"/>
    <x v="8"/>
    <n v="0"/>
    <n v="0"/>
    <n v="0.01"/>
    <n v="0.01"/>
    <n v="0.01"/>
    <n v="0.01"/>
    <n v="0"/>
    <x v="2"/>
    <n v="0"/>
    <n v="0"/>
    <n v="58"/>
    <n v="84"/>
    <n v="0"/>
    <n v="792.32"/>
    <n v="366.6"/>
    <m/>
    <n v="855.35876723745287"/>
    <n v="407.57745297626161"/>
    <n v="0"/>
    <n v="7.9232000000000005"/>
    <n v="3.6660000000000004"/>
    <n v="0"/>
    <n v="8.5535876723745297"/>
    <n v="4.075774529762616"/>
  </r>
  <r>
    <s v="Regular"/>
    <x v="4"/>
    <x v="3"/>
    <x v="2"/>
    <x v="0"/>
    <x v="0"/>
    <x v="0"/>
    <x v="2"/>
    <x v="9"/>
    <n v="0"/>
    <n v="0"/>
    <n v="0.81299999999999994"/>
    <n v="0.81299999999999994"/>
    <n v="0.81299999999999994"/>
    <n v="0.81299999999999994"/>
    <n v="0"/>
    <x v="2"/>
    <n v="0"/>
    <n v="0"/>
    <n v="58"/>
    <n v="84"/>
    <n v="0"/>
    <n v="792.32"/>
    <n v="366.6"/>
    <m/>
    <n v="855.35876723745287"/>
    <n v="407.57745297626161"/>
    <n v="0"/>
    <n v="644.15616"/>
    <n v="298.04579999999999"/>
    <n v="0"/>
    <n v="695.40667776404916"/>
    <n v="331.36046926970067"/>
  </r>
  <r>
    <s v="Regular"/>
    <x v="4"/>
    <x v="3"/>
    <x v="2"/>
    <x v="0"/>
    <x v="0"/>
    <x v="0"/>
    <x v="2"/>
    <x v="10"/>
    <n v="0"/>
    <n v="0"/>
    <n v="0.86699999999999999"/>
    <n v="0.86699999999999999"/>
    <n v="0.86699999999999999"/>
    <n v="0.86699999999999999"/>
    <n v="0"/>
    <x v="2"/>
    <n v="0"/>
    <n v="0"/>
    <n v="58"/>
    <n v="84"/>
    <n v="0"/>
    <n v="792.32"/>
    <n v="366.6"/>
    <m/>
    <n v="855.35876723745287"/>
    <n v="407.57745297626161"/>
    <n v="0"/>
    <n v="686.94144000000006"/>
    <n v="317.84219999999999"/>
    <n v="0"/>
    <n v="741.59605119487162"/>
    <n v="353.36965173041881"/>
  </r>
  <r>
    <s v="Sistema de Compensação"/>
    <x v="4"/>
    <x v="3"/>
    <x v="2"/>
    <x v="0"/>
    <x v="0"/>
    <x v="0"/>
    <x v="2"/>
    <x v="10"/>
    <n v="0"/>
    <n v="0"/>
    <n v="4.4999999999999998E-2"/>
    <n v="4.4999999999999998E-2"/>
    <n v="4.4999999999999998E-2"/>
    <n v="4.4999999999999998E-2"/>
    <n v="0"/>
    <x v="2"/>
    <n v="0"/>
    <n v="0"/>
    <n v="58"/>
    <n v="84"/>
    <n v="0"/>
    <n v="792.32"/>
    <n v="366.6"/>
    <m/>
    <n v="855.35876723745287"/>
    <n v="407.57745297626161"/>
    <n v="0"/>
    <n v="35.654400000000003"/>
    <n v="16.497"/>
    <n v="0"/>
    <n v="38.491144525685378"/>
    <n v="18.340985383931773"/>
  </r>
  <r>
    <s v="PROJETADO"/>
    <x v="4"/>
    <x v="3"/>
    <x v="2"/>
    <x v="0"/>
    <x v="0"/>
    <x v="0"/>
    <x v="2"/>
    <x v="11"/>
    <n v="0"/>
    <n v="0"/>
    <n v="0.86699999999999999"/>
    <n v="0.86699999999999999"/>
    <n v="0.86699999999999999"/>
    <n v="0.86699999999999999"/>
    <n v="0"/>
    <x v="2"/>
    <n v="0"/>
    <n v="0"/>
    <n v="58"/>
    <n v="84"/>
    <n v="0"/>
    <n v="792.32"/>
    <n v="366.6"/>
    <m/>
    <n v="855.35876723745287"/>
    <n v="407.57745297626161"/>
    <n v="0"/>
    <n v="686.94144000000006"/>
    <n v="317.84219999999999"/>
    <n v="0"/>
    <n v="741.59605119487162"/>
    <n v="353.36965173041881"/>
  </r>
  <r>
    <s v="PROJETADO"/>
    <x v="4"/>
    <x v="3"/>
    <x v="2"/>
    <x v="0"/>
    <x v="0"/>
    <x v="0"/>
    <x v="2"/>
    <x v="11"/>
    <n v="0"/>
    <n v="0"/>
    <n v="4.4999999999999998E-2"/>
    <n v="4.4999999999999998E-2"/>
    <n v="4.4999999999999998E-2"/>
    <n v="4.4999999999999998E-2"/>
    <n v="0"/>
    <x v="2"/>
    <n v="0"/>
    <n v="0"/>
    <n v="58"/>
    <n v="84"/>
    <n v="0"/>
    <n v="792.32"/>
    <n v="366.6"/>
    <m/>
    <n v="855.35876723745287"/>
    <n v="407.57745297626161"/>
    <n v="0"/>
    <n v="35.654400000000003"/>
    <n v="16.497"/>
    <n v="0"/>
    <n v="38.491144525685378"/>
    <n v="18.340985383931773"/>
  </r>
  <r>
    <s v="Regular"/>
    <x v="4"/>
    <x v="4"/>
    <x v="2"/>
    <x v="0"/>
    <x v="0"/>
    <x v="0"/>
    <x v="1"/>
    <x v="0"/>
    <n v="0"/>
    <n v="0"/>
    <n v="6249.5659999999998"/>
    <n v="6249.5659999999998"/>
    <n v="6249.5659999999998"/>
    <n v="6249.5659999999998"/>
    <n v="14916"/>
    <x v="2"/>
    <n v="0"/>
    <n v="0"/>
    <n v="61"/>
    <n v="7"/>
    <n v="0"/>
    <n v="285.75"/>
    <n v="231.33"/>
    <m/>
    <n v="313.39259123109559"/>
    <n v="265.36104285086753"/>
    <n v="0"/>
    <n v="1785813.4845"/>
    <n v="1445712.1027800001"/>
    <n v="0"/>
    <n v="1958567.6828097531"/>
    <n v="1658391.3511253248"/>
  </r>
  <r>
    <s v="Refaturamento - Regular"/>
    <x v="4"/>
    <x v="4"/>
    <x v="2"/>
    <x v="0"/>
    <x v="0"/>
    <x v="0"/>
    <x v="1"/>
    <x v="0"/>
    <n v="0"/>
    <n v="0"/>
    <n v="-3.7160000000000002"/>
    <n v="-3.7160000000000002"/>
    <n v="-3.7160000000000002"/>
    <n v="-3.7160000000000002"/>
    <n v="0"/>
    <x v="2"/>
    <n v="0"/>
    <n v="0"/>
    <n v="61"/>
    <n v="7"/>
    <n v="0"/>
    <n v="285.75"/>
    <n v="231.33"/>
    <m/>
    <n v="313.39259123109559"/>
    <n v="265.36104285086753"/>
    <n v="0"/>
    <n v="-1061.847"/>
    <n v="-859.62228000000005"/>
    <n v="0"/>
    <n v="-1164.5668690147513"/>
    <n v="-986.08163523382382"/>
  </r>
  <r>
    <s v="Sistema de Compensação"/>
    <x v="4"/>
    <x v="4"/>
    <x v="2"/>
    <x v="0"/>
    <x v="0"/>
    <x v="0"/>
    <x v="1"/>
    <x v="0"/>
    <n v="0"/>
    <n v="0"/>
    <n v="249.79400000000001"/>
    <n v="249.79400000000001"/>
    <n v="249.79400000000001"/>
    <n v="249.79400000000001"/>
    <n v="339"/>
    <x v="2"/>
    <n v="0"/>
    <n v="0"/>
    <n v="61"/>
    <n v="7"/>
    <n v="0"/>
    <n v="285.75"/>
    <n v="231.33"/>
    <m/>
    <n v="313.39259123109559"/>
    <n v="265.36104285086753"/>
    <n v="0"/>
    <n v="71378.635500000004"/>
    <n v="57784.846020000005"/>
    <n v="0"/>
    <n v="78283.588933980296"/>
    <n v="66285.596337889612"/>
  </r>
  <r>
    <s v="Regular"/>
    <x v="4"/>
    <x v="4"/>
    <x v="2"/>
    <x v="0"/>
    <x v="0"/>
    <x v="0"/>
    <x v="1"/>
    <x v="1"/>
    <n v="0"/>
    <n v="0"/>
    <n v="6710.46"/>
    <n v="6710.46"/>
    <n v="6710.46"/>
    <n v="6710.46"/>
    <n v="14926"/>
    <x v="2"/>
    <n v="0"/>
    <n v="0"/>
    <n v="61"/>
    <n v="7"/>
    <n v="0"/>
    <n v="285.75"/>
    <n v="231.33"/>
    <m/>
    <n v="313.39259123109559"/>
    <n v="265.36104285086753"/>
    <n v="0"/>
    <n v="1917513.9450000001"/>
    <n v="1552330.7118000002"/>
    <n v="0"/>
    <n v="2103008.4477526178"/>
    <n v="1780694.6636090325"/>
  </r>
  <r>
    <s v="Refaturamento - Regular"/>
    <x v="4"/>
    <x v="4"/>
    <x v="2"/>
    <x v="0"/>
    <x v="0"/>
    <x v="0"/>
    <x v="1"/>
    <x v="1"/>
    <n v="0"/>
    <n v="0"/>
    <n v="-7.0730000000000004"/>
    <n v="-7.0730000000000004"/>
    <n v="-7.0730000000000004"/>
    <n v="-7.0730000000000004"/>
    <n v="-2"/>
    <x v="2"/>
    <n v="0"/>
    <n v="0"/>
    <n v="61"/>
    <n v="7"/>
    <n v="0"/>
    <n v="285.75"/>
    <n v="231.33"/>
    <m/>
    <n v="313.39259123109559"/>
    <n v="265.36104285086753"/>
    <n v="0"/>
    <n v="-2021.1097500000001"/>
    <n v="-1636.1970900000001"/>
    <n v="0"/>
    <n v="-2216.6257977775394"/>
    <n v="-1876.8986560841861"/>
  </r>
  <r>
    <s v="Sistema de Compensação"/>
    <x v="4"/>
    <x v="4"/>
    <x v="2"/>
    <x v="0"/>
    <x v="0"/>
    <x v="0"/>
    <x v="1"/>
    <x v="1"/>
    <n v="0"/>
    <n v="0"/>
    <n v="270.69400000000002"/>
    <n v="270.69400000000002"/>
    <n v="270.69400000000002"/>
    <n v="270.69400000000002"/>
    <n v="349"/>
    <x v="2"/>
    <n v="0"/>
    <n v="0"/>
    <n v="61"/>
    <n v="7"/>
    <n v="0"/>
    <n v="285.75"/>
    <n v="231.33"/>
    <m/>
    <n v="313.39259123109559"/>
    <n v="265.36104285086753"/>
    <n v="0"/>
    <n v="77350.810500000007"/>
    <n v="62619.64302000001"/>
    <n v="0"/>
    <n v="84833.494090710199"/>
    <n v="71831.642133472735"/>
  </r>
  <r>
    <s v="Regular"/>
    <x v="4"/>
    <x v="4"/>
    <x v="2"/>
    <x v="0"/>
    <x v="0"/>
    <x v="0"/>
    <x v="1"/>
    <x v="2"/>
    <n v="0"/>
    <n v="0"/>
    <n v="6139.4750000000004"/>
    <n v="6139.4750000000004"/>
    <n v="6139.4750000000004"/>
    <n v="6139.4750000000004"/>
    <n v="14972"/>
    <x v="2"/>
    <n v="0"/>
    <n v="0"/>
    <n v="61"/>
    <n v="7"/>
    <n v="0"/>
    <n v="285.75"/>
    <n v="231.33"/>
    <m/>
    <n v="313.39259123109559"/>
    <n v="265.36104285086753"/>
    <n v="0"/>
    <n v="1754354.9812500002"/>
    <n v="1420244.7517500001"/>
    <n v="0"/>
    <n v="1924065.9790485308"/>
    <n v="1629177.48855683"/>
  </r>
  <r>
    <s v="Refaturamento - Regular"/>
    <x v="4"/>
    <x v="4"/>
    <x v="2"/>
    <x v="0"/>
    <x v="0"/>
    <x v="0"/>
    <x v="1"/>
    <x v="2"/>
    <n v="0"/>
    <n v="0"/>
    <n v="-0.1"/>
    <n v="-0.1"/>
    <n v="-0.1"/>
    <n v="-0.1"/>
    <n v="-1"/>
    <x v="2"/>
    <n v="0"/>
    <n v="0"/>
    <n v="61"/>
    <n v="7"/>
    <n v="0"/>
    <n v="285.75"/>
    <n v="231.33"/>
    <m/>
    <n v="313.39259123109559"/>
    <n v="265.36104285086753"/>
    <n v="0"/>
    <n v="-28.575000000000003"/>
    <n v="-23.133000000000003"/>
    <n v="0"/>
    <n v="-31.33925912310956"/>
    <n v="-26.536104285086754"/>
  </r>
  <r>
    <s v="Sistema de Compensação"/>
    <x v="4"/>
    <x v="4"/>
    <x v="2"/>
    <x v="0"/>
    <x v="0"/>
    <x v="0"/>
    <x v="1"/>
    <x v="2"/>
    <n v="0"/>
    <n v="0"/>
    <n v="294.31099999999998"/>
    <n v="294.31099999999998"/>
    <n v="294.31099999999998"/>
    <n v="294.31099999999998"/>
    <n v="388"/>
    <x v="2"/>
    <n v="0"/>
    <n v="0"/>
    <n v="61"/>
    <n v="7"/>
    <n v="0"/>
    <n v="285.75"/>
    <n v="231.33"/>
    <m/>
    <n v="313.39259123109559"/>
    <n v="265.36104285086753"/>
    <n v="0"/>
    <n v="84099.36825"/>
    <n v="68082.963629999998"/>
    <n v="0"/>
    <n v="92234.886917814962"/>
    <n v="78098.673882481671"/>
  </r>
  <r>
    <s v="Regular"/>
    <x v="4"/>
    <x v="4"/>
    <x v="2"/>
    <x v="0"/>
    <x v="0"/>
    <x v="0"/>
    <x v="1"/>
    <x v="3"/>
    <n v="0"/>
    <n v="0"/>
    <n v="6212.4359999999997"/>
    <n v="6212.4359999999997"/>
    <n v="6212.4359999999997"/>
    <n v="6212.4359999999997"/>
    <n v="14969"/>
    <x v="2"/>
    <n v="0"/>
    <n v="0"/>
    <n v="61"/>
    <n v="7"/>
    <n v="0"/>
    <n v="285.75"/>
    <n v="231.33"/>
    <m/>
    <n v="313.39259123109559"/>
    <n v="265.36104285086753"/>
    <n v="0"/>
    <n v="1775203.5869999998"/>
    <n v="1437122.8198800001"/>
    <n v="0"/>
    <n v="1946931.4158973424"/>
    <n v="1648538.495604272"/>
  </r>
  <r>
    <s v="Refaturamento - Regular"/>
    <x v="4"/>
    <x v="4"/>
    <x v="2"/>
    <x v="0"/>
    <x v="0"/>
    <x v="0"/>
    <x v="1"/>
    <x v="3"/>
    <n v="0"/>
    <n v="0"/>
    <n v="-0.47599999999999998"/>
    <n v="-0.47599999999999998"/>
    <n v="-0.47599999999999998"/>
    <n v="-0.47599999999999998"/>
    <n v="-1"/>
    <x v="2"/>
    <n v="0"/>
    <n v="0"/>
    <n v="61"/>
    <n v="7"/>
    <n v="0"/>
    <n v="285.75"/>
    <n v="231.33"/>
    <m/>
    <n v="313.39259123109559"/>
    <n v="265.36104285086753"/>
    <n v="0"/>
    <n v="-136.017"/>
    <n v="-110.11308"/>
    <n v="0"/>
    <n v="-149.17487342600148"/>
    <n v="-126.31185639701295"/>
  </r>
  <r>
    <s v="Sistema de Compensação"/>
    <x v="4"/>
    <x v="4"/>
    <x v="2"/>
    <x v="0"/>
    <x v="0"/>
    <x v="0"/>
    <x v="1"/>
    <x v="3"/>
    <n v="0"/>
    <n v="0"/>
    <n v="351.71600000000001"/>
    <n v="351.71600000000001"/>
    <n v="351.71600000000001"/>
    <n v="351.71600000000001"/>
    <n v="408"/>
    <x v="2"/>
    <n v="0"/>
    <n v="0"/>
    <n v="61"/>
    <n v="7"/>
    <n v="0"/>
    <n v="285.75"/>
    <n v="231.33"/>
    <m/>
    <n v="313.39259123109559"/>
    <n v="265.36104285086753"/>
    <n v="0"/>
    <n v="100502.84700000001"/>
    <n v="81362.462280000007"/>
    <n v="0"/>
    <n v="110225.18861743603"/>
    <n v="93331.724547335732"/>
  </r>
  <r>
    <s v="Regular"/>
    <x v="4"/>
    <x v="4"/>
    <x v="2"/>
    <x v="0"/>
    <x v="0"/>
    <x v="0"/>
    <x v="1"/>
    <x v="4"/>
    <n v="0"/>
    <n v="0"/>
    <n v="5658.2920000000004"/>
    <n v="5658.2920000000004"/>
    <n v="5658.2920000000004"/>
    <n v="5658.2920000000004"/>
    <n v="14934"/>
    <x v="2"/>
    <n v="0"/>
    <n v="0"/>
    <n v="61"/>
    <n v="7"/>
    <n v="0"/>
    <n v="285.75"/>
    <n v="231.33"/>
    <m/>
    <n v="313.39259123109559"/>
    <n v="265.36104285086753"/>
    <n v="0"/>
    <n v="1616856.939"/>
    <n v="1308932.6883600003"/>
    <n v="0"/>
    <n v="1773266.7918221785"/>
    <n v="1501490.2658747211"/>
  </r>
  <r>
    <s v="Refaturamento - Regular"/>
    <x v="4"/>
    <x v="4"/>
    <x v="2"/>
    <x v="0"/>
    <x v="0"/>
    <x v="0"/>
    <x v="1"/>
    <x v="4"/>
    <n v="0"/>
    <n v="0"/>
    <n v="-14.468"/>
    <n v="-14.468"/>
    <n v="-14.468"/>
    <n v="-14.468"/>
    <n v="-7"/>
    <x v="2"/>
    <n v="0"/>
    <n v="0"/>
    <n v="61"/>
    <n v="7"/>
    <n v="0"/>
    <n v="285.75"/>
    <n v="231.33"/>
    <m/>
    <n v="313.39259123109559"/>
    <n v="265.36104285086753"/>
    <n v="0"/>
    <n v="-4134.2309999999998"/>
    <n v="-3346.8824400000003"/>
    <n v="0"/>
    <n v="-4534.1640099314909"/>
    <n v="-3839.2435679663513"/>
  </r>
  <r>
    <s v="Sistema de Compensação"/>
    <x v="4"/>
    <x v="4"/>
    <x v="2"/>
    <x v="0"/>
    <x v="0"/>
    <x v="0"/>
    <x v="1"/>
    <x v="4"/>
    <n v="0"/>
    <n v="0"/>
    <n v="339.85199999999998"/>
    <n v="339.85199999999998"/>
    <n v="339.85199999999998"/>
    <n v="339.85199999999998"/>
    <n v="427"/>
    <x v="2"/>
    <n v="0"/>
    <n v="0"/>
    <n v="61"/>
    <n v="7"/>
    <n v="0"/>
    <n v="285.75"/>
    <n v="231.33"/>
    <m/>
    <n v="313.39259123109559"/>
    <n v="265.36104285086753"/>
    <n v="0"/>
    <n v="97112.708999999988"/>
    <n v="78617.963159999999"/>
    <n v="0"/>
    <n v="106507.0989150703"/>
    <n v="90183.481134953021"/>
  </r>
  <r>
    <s v="Sistema de Compensação"/>
    <x v="4"/>
    <x v="4"/>
    <x v="2"/>
    <x v="0"/>
    <x v="0"/>
    <x v="0"/>
    <x v="1"/>
    <x v="4"/>
    <n v="0"/>
    <n v="0"/>
    <n v="-7.0999999999999994E-2"/>
    <n v="-7.0999999999999994E-2"/>
    <n v="-7.0999999999999994E-2"/>
    <n v="-7.0999999999999994E-2"/>
    <n v="0"/>
    <x v="2"/>
    <n v="0"/>
    <n v="0"/>
    <n v="61"/>
    <n v="7"/>
    <n v="0"/>
    <n v="285.75"/>
    <n v="231.33"/>
    <m/>
    <n v="313.39259123109559"/>
    <n v="265.36104285086753"/>
    <n v="0"/>
    <n v="-20.288249999999998"/>
    <n v="-16.424430000000001"/>
    <n v="0"/>
    <n v="-22.250873977407785"/>
    <n v="-18.840634042411594"/>
  </r>
  <r>
    <s v="Regular"/>
    <x v="4"/>
    <x v="4"/>
    <x v="2"/>
    <x v="0"/>
    <x v="0"/>
    <x v="0"/>
    <x v="1"/>
    <x v="5"/>
    <n v="0"/>
    <n v="0"/>
    <n v="6032.2740000000003"/>
    <n v="6032.2740000000003"/>
    <n v="6032.2740000000003"/>
    <n v="6032.2740000000003"/>
    <n v="14943"/>
    <x v="2"/>
    <n v="0"/>
    <n v="0"/>
    <n v="61"/>
    <n v="7"/>
    <n v="0"/>
    <n v="285.75"/>
    <n v="231.33"/>
    <m/>
    <n v="313.39259123109559"/>
    <n v="265.36104285086753"/>
    <n v="0"/>
    <n v="1723722.2955"/>
    <n v="1395445.9444200001"/>
    <n v="0"/>
    <n v="1890469.979875966"/>
    <n v="1600730.5194021743"/>
  </r>
  <r>
    <s v="Refaturamento - Regular"/>
    <x v="4"/>
    <x v="4"/>
    <x v="2"/>
    <x v="0"/>
    <x v="0"/>
    <x v="0"/>
    <x v="1"/>
    <x v="5"/>
    <n v="0"/>
    <n v="0"/>
    <n v="-1.958"/>
    <n v="-1.958"/>
    <n v="-1.958"/>
    <n v="-1.958"/>
    <n v="-1"/>
    <x v="2"/>
    <n v="0"/>
    <n v="0"/>
    <n v="61"/>
    <n v="7"/>
    <n v="0"/>
    <n v="285.75"/>
    <n v="231.33"/>
    <m/>
    <n v="313.39259123109559"/>
    <n v="265.36104285086753"/>
    <n v="0"/>
    <n v="-559.49850000000004"/>
    <n v="-452.94414"/>
    <n v="0"/>
    <n v="-613.62269363048517"/>
    <n v="-519.57692190199862"/>
  </r>
  <r>
    <s v="Sistema de Compensação"/>
    <x v="4"/>
    <x v="4"/>
    <x v="2"/>
    <x v="0"/>
    <x v="0"/>
    <x v="0"/>
    <x v="1"/>
    <x v="5"/>
    <n v="0"/>
    <n v="0"/>
    <n v="373.64800000000002"/>
    <n v="373.64800000000002"/>
    <n v="373.64800000000002"/>
    <n v="373.64800000000002"/>
    <n v="450"/>
    <x v="2"/>
    <n v="0"/>
    <n v="0"/>
    <n v="61"/>
    <n v="7"/>
    <n v="0"/>
    <n v="285.75"/>
    <n v="231.33"/>
    <m/>
    <n v="313.39259123109559"/>
    <n v="265.36104285086753"/>
    <n v="0"/>
    <n v="106769.91600000001"/>
    <n v="86435.991840000017"/>
    <n v="0"/>
    <n v="117098.51492831642"/>
    <n v="99151.622939140958"/>
  </r>
  <r>
    <s v="Regular"/>
    <x v="4"/>
    <x v="4"/>
    <x v="2"/>
    <x v="0"/>
    <x v="0"/>
    <x v="0"/>
    <x v="1"/>
    <x v="6"/>
    <n v="0"/>
    <n v="0"/>
    <n v="5650.2250000000004"/>
    <n v="5650.2250000000004"/>
    <n v="5650.2250000000004"/>
    <n v="5650.2250000000004"/>
    <n v="14938"/>
    <x v="2"/>
    <n v="0"/>
    <n v="0"/>
    <n v="61"/>
    <n v="7"/>
    <n v="0"/>
    <n v="285.75"/>
    <n v="231.33"/>
    <m/>
    <n v="313.39259123109559"/>
    <n v="265.36104285086753"/>
    <n v="0"/>
    <n v="1614551.7937500002"/>
    <n v="1307066.5492500002"/>
    <n v="0"/>
    <n v="1770738.6537887172"/>
    <n v="1499349.5983420431"/>
  </r>
  <r>
    <s v="Refaturamento - Regular"/>
    <x v="4"/>
    <x v="4"/>
    <x v="2"/>
    <x v="0"/>
    <x v="0"/>
    <x v="0"/>
    <x v="1"/>
    <x v="6"/>
    <n v="0"/>
    <n v="0"/>
    <n v="-17.959"/>
    <n v="-17.959"/>
    <n v="-17.959"/>
    <n v="-17.959"/>
    <n v="-2"/>
    <x v="2"/>
    <n v="0"/>
    <n v="0"/>
    <n v="61"/>
    <n v="7"/>
    <n v="0"/>
    <n v="285.75"/>
    <n v="231.33"/>
    <m/>
    <n v="313.39259123109559"/>
    <n v="265.36104285086753"/>
    <n v="0"/>
    <n v="-5131.7842499999997"/>
    <n v="-4154.4554699999999"/>
    <n v="0"/>
    <n v="-5628.2175459192458"/>
    <n v="-4765.6189685587296"/>
  </r>
  <r>
    <s v="Sistema de Compensação"/>
    <x v="4"/>
    <x v="4"/>
    <x v="2"/>
    <x v="0"/>
    <x v="0"/>
    <x v="0"/>
    <x v="1"/>
    <x v="6"/>
    <n v="0"/>
    <n v="0"/>
    <n v="371.334"/>
    <n v="371.334"/>
    <n v="371.334"/>
    <n v="371.334"/>
    <n v="479"/>
    <x v="2"/>
    <n v="0"/>
    <n v="0"/>
    <n v="61"/>
    <n v="7"/>
    <n v="0"/>
    <n v="285.75"/>
    <n v="231.33"/>
    <m/>
    <n v="313.39259123109559"/>
    <n v="265.36104285086753"/>
    <n v="0"/>
    <n v="106108.6905"/>
    <n v="85900.694220000005"/>
    <n v="0"/>
    <n v="116373.32447220765"/>
    <n v="98537.577485984046"/>
  </r>
  <r>
    <s v="Regular"/>
    <x v="4"/>
    <x v="4"/>
    <x v="2"/>
    <x v="0"/>
    <x v="0"/>
    <x v="0"/>
    <x v="1"/>
    <x v="7"/>
    <n v="0"/>
    <n v="0"/>
    <n v="5692.8609999999999"/>
    <n v="5692.8609999999999"/>
    <n v="5692.8609999999999"/>
    <n v="5692.8609999999999"/>
    <n v="14936"/>
    <x v="2"/>
    <n v="0"/>
    <n v="0"/>
    <n v="61"/>
    <n v="7"/>
    <n v="0"/>
    <n v="285.75"/>
    <n v="231.33"/>
    <m/>
    <n v="313.39259123109559"/>
    <n v="265.36104285086753"/>
    <n v="0"/>
    <n v="1626735.0307499999"/>
    <n v="1316929.53513"/>
    <n v="0"/>
    <n v="1784100.4603084461"/>
    <n v="1510663.5317650326"/>
  </r>
  <r>
    <s v="Refaturamento - Regular"/>
    <x v="4"/>
    <x v="4"/>
    <x v="2"/>
    <x v="0"/>
    <x v="0"/>
    <x v="0"/>
    <x v="1"/>
    <x v="7"/>
    <n v="0"/>
    <n v="0"/>
    <n v="-20.847999999999999"/>
    <n v="-20.847999999999999"/>
    <n v="-20.847999999999999"/>
    <n v="-20.847999999999999"/>
    <n v="-7"/>
    <x v="2"/>
    <n v="0"/>
    <n v="0"/>
    <n v="61"/>
    <n v="7"/>
    <n v="0"/>
    <n v="285.75"/>
    <n v="231.33"/>
    <m/>
    <n v="313.39259123109559"/>
    <n v="265.36104285086753"/>
    <n v="0"/>
    <n v="-5957.3159999999998"/>
    <n v="-4822.7678400000004"/>
    <n v="0"/>
    <n v="-6533.6087419858804"/>
    <n v="-5532.2470213548859"/>
  </r>
  <r>
    <s v="Sistema de Compensação"/>
    <x v="4"/>
    <x v="4"/>
    <x v="2"/>
    <x v="0"/>
    <x v="0"/>
    <x v="0"/>
    <x v="1"/>
    <x v="7"/>
    <n v="0"/>
    <n v="0"/>
    <n v="312.32900000000001"/>
    <n v="312.32900000000001"/>
    <n v="312.32900000000001"/>
    <n v="312.32900000000001"/>
    <n v="507"/>
    <x v="2"/>
    <n v="0"/>
    <n v="0"/>
    <n v="61"/>
    <n v="7"/>
    <n v="0"/>
    <n v="285.75"/>
    <n v="231.33"/>
    <m/>
    <n v="313.39259123109559"/>
    <n v="265.36104285086753"/>
    <n v="0"/>
    <n v="89248.011750000005"/>
    <n v="72251.067569999999"/>
    <n v="0"/>
    <n v="97881.594626616861"/>
    <n v="82879.949152568603"/>
  </r>
  <r>
    <s v="Regular"/>
    <x v="4"/>
    <x v="4"/>
    <x v="2"/>
    <x v="0"/>
    <x v="0"/>
    <x v="0"/>
    <x v="1"/>
    <x v="8"/>
    <n v="0"/>
    <n v="0"/>
    <n v="6164.9219999999996"/>
    <n v="6164.9219999999996"/>
    <n v="6164.9219999999996"/>
    <n v="6164.9219999999996"/>
    <n v="14921"/>
    <x v="2"/>
    <n v="0"/>
    <n v="0"/>
    <n v="61"/>
    <n v="7"/>
    <n v="0"/>
    <n v="285.75"/>
    <n v="231.33"/>
    <m/>
    <n v="313.39259123109559"/>
    <n v="265.36104285086753"/>
    <n v="0"/>
    <n v="1761626.4615"/>
    <n v="1426131.4062600001"/>
    <n v="0"/>
    <n v="1932040.8803175881"/>
    <n v="1635930.1310142558"/>
  </r>
  <r>
    <s v="Refaturamento - Regular"/>
    <x v="4"/>
    <x v="4"/>
    <x v="2"/>
    <x v="0"/>
    <x v="0"/>
    <x v="0"/>
    <x v="1"/>
    <x v="8"/>
    <n v="0"/>
    <n v="0"/>
    <n v="-4.9240000000000004"/>
    <n v="-4.9240000000000004"/>
    <n v="-4.9240000000000004"/>
    <n v="-4.9240000000000004"/>
    <n v="-3"/>
    <x v="2"/>
    <n v="0"/>
    <n v="0"/>
    <n v="61"/>
    <n v="7"/>
    <n v="0"/>
    <n v="285.75"/>
    <n v="231.33"/>
    <m/>
    <n v="313.39259123109559"/>
    <n v="265.36104285086753"/>
    <n v="0"/>
    <n v="-1407.0330000000001"/>
    <n v="-1139.0689200000002"/>
    <n v="0"/>
    <n v="-1543.1451192219149"/>
    <n v="-1306.6377749976718"/>
  </r>
  <r>
    <s v="Sistema de Compensação"/>
    <x v="4"/>
    <x v="4"/>
    <x v="2"/>
    <x v="0"/>
    <x v="0"/>
    <x v="0"/>
    <x v="1"/>
    <x v="8"/>
    <n v="0"/>
    <n v="0"/>
    <n v="380.94900000000001"/>
    <n v="380.94900000000001"/>
    <n v="380.94900000000001"/>
    <n v="380.94900000000001"/>
    <n v="540"/>
    <x v="2"/>
    <n v="0"/>
    <n v="0"/>
    <n v="61"/>
    <n v="7"/>
    <n v="0"/>
    <n v="285.75"/>
    <n v="231.33"/>
    <m/>
    <n v="313.39259123109559"/>
    <n v="265.36104285086753"/>
    <n v="0"/>
    <n v="108856.17675"/>
    <n v="88124.932170000015"/>
    <n v="0"/>
    <n v="119386.59423689464"/>
    <n v="101089.02391299514"/>
  </r>
  <r>
    <s v="Regular"/>
    <x v="4"/>
    <x v="4"/>
    <x v="2"/>
    <x v="0"/>
    <x v="0"/>
    <x v="0"/>
    <x v="1"/>
    <x v="9"/>
    <n v="0"/>
    <n v="0"/>
    <n v="6316.9679999999998"/>
    <n v="6316.9679999999998"/>
    <n v="6316.9679999999998"/>
    <n v="6316.9679999999998"/>
    <n v="14928"/>
    <x v="2"/>
    <n v="0"/>
    <n v="0"/>
    <n v="61"/>
    <n v="7"/>
    <n v="0"/>
    <n v="285.75"/>
    <n v="231.33"/>
    <m/>
    <n v="313.39259123109559"/>
    <n v="265.36104285086753"/>
    <n v="0"/>
    <n v="1805073.6059999999"/>
    <n v="1461304.20744"/>
    <n v="0"/>
    <n v="1979690.9702439115"/>
    <n v="1676277.2161355589"/>
  </r>
  <r>
    <s v="Refaturamento - Regular"/>
    <x v="4"/>
    <x v="4"/>
    <x v="2"/>
    <x v="0"/>
    <x v="0"/>
    <x v="0"/>
    <x v="1"/>
    <x v="9"/>
    <n v="0"/>
    <n v="0"/>
    <n v="-0.91600000000000004"/>
    <n v="-0.91600000000000004"/>
    <n v="-0.91600000000000004"/>
    <n v="-0.91600000000000004"/>
    <n v="-1"/>
    <x v="2"/>
    <n v="0"/>
    <n v="0"/>
    <n v="61"/>
    <n v="7"/>
    <n v="0"/>
    <n v="285.75"/>
    <n v="231.33"/>
    <m/>
    <n v="313.39259123109559"/>
    <n v="265.36104285086753"/>
    <n v="0"/>
    <n v="-261.74700000000001"/>
    <n v="-211.89828000000003"/>
    <n v="0"/>
    <n v="-287.06761356768357"/>
    <n v="-243.07071525139466"/>
  </r>
  <r>
    <s v="Sistema de Compensação"/>
    <x v="4"/>
    <x v="4"/>
    <x v="2"/>
    <x v="0"/>
    <x v="0"/>
    <x v="0"/>
    <x v="1"/>
    <x v="9"/>
    <n v="0"/>
    <n v="0"/>
    <n v="364.74700000000001"/>
    <n v="364.74700000000001"/>
    <n v="364.74700000000001"/>
    <n v="364.74700000000001"/>
    <n v="552"/>
    <x v="2"/>
    <n v="0"/>
    <n v="0"/>
    <n v="61"/>
    <n v="7"/>
    <n v="0"/>
    <n v="285.75"/>
    <n v="231.33"/>
    <m/>
    <n v="313.39259123109559"/>
    <n v="265.36104285086753"/>
    <n v="0"/>
    <n v="104226.45525"/>
    <n v="84376.923510000008"/>
    <n v="0"/>
    <n v="114309.00747376843"/>
    <n v="96789.644296725382"/>
  </r>
  <r>
    <s v="Sistema de Compensação"/>
    <x v="4"/>
    <x v="4"/>
    <x v="2"/>
    <x v="0"/>
    <x v="0"/>
    <x v="0"/>
    <x v="1"/>
    <x v="9"/>
    <n v="0"/>
    <n v="0"/>
    <n v="-0.97599999999999998"/>
    <n v="-0.97599999999999998"/>
    <n v="-0.97599999999999998"/>
    <n v="-0.97599999999999998"/>
    <n v="0"/>
    <x v="2"/>
    <n v="0"/>
    <n v="0"/>
    <n v="61"/>
    <n v="7"/>
    <n v="0"/>
    <n v="285.75"/>
    <n v="231.33"/>
    <m/>
    <n v="313.39259123109559"/>
    <n v="265.36104285086753"/>
    <n v="0"/>
    <n v="-278.892"/>
    <n v="-225.77808000000002"/>
    <n v="0"/>
    <n v="-305.87116904154931"/>
    <n v="-258.99237782244671"/>
  </r>
  <r>
    <s v="Regular"/>
    <x v="4"/>
    <x v="4"/>
    <x v="2"/>
    <x v="0"/>
    <x v="0"/>
    <x v="0"/>
    <x v="1"/>
    <x v="10"/>
    <n v="0"/>
    <n v="0"/>
    <n v="6604.2439999999997"/>
    <n v="6604.2439999999997"/>
    <n v="6604.2439999999997"/>
    <n v="6604.2439999999997"/>
    <n v="14954"/>
    <x v="2"/>
    <n v="0"/>
    <n v="0"/>
    <n v="61"/>
    <n v="7"/>
    <n v="0"/>
    <n v="285.75"/>
    <n v="231.33"/>
    <m/>
    <n v="313.39259123109559"/>
    <n v="265.36104285086753"/>
    <n v="0"/>
    <n v="1887162.723"/>
    <n v="1527759.76452"/>
    <n v="0"/>
    <n v="2069721.1402824156"/>
    <n v="1752509.0750815847"/>
  </r>
  <r>
    <s v="Sistema de Compensação"/>
    <x v="4"/>
    <x v="4"/>
    <x v="2"/>
    <x v="0"/>
    <x v="0"/>
    <x v="0"/>
    <x v="1"/>
    <x v="10"/>
    <n v="0"/>
    <n v="0"/>
    <n v="445.19299999999998"/>
    <n v="445.19299999999998"/>
    <n v="445.19299999999998"/>
    <n v="445.19299999999998"/>
    <n v="589"/>
    <x v="2"/>
    <n v="0"/>
    <n v="0"/>
    <n v="61"/>
    <n v="7"/>
    <n v="0"/>
    <n v="285.75"/>
    <n v="231.33"/>
    <m/>
    <n v="313.39259123109559"/>
    <n v="265.36104285086753"/>
    <n v="0"/>
    <n v="127213.89975"/>
    <n v="102986.49669"/>
    <n v="0"/>
    <n v="139520.18786794515"/>
    <n v="118136.87874990626"/>
  </r>
  <r>
    <s v="Sistema de Compensação"/>
    <x v="4"/>
    <x v="4"/>
    <x v="2"/>
    <x v="0"/>
    <x v="0"/>
    <x v="0"/>
    <x v="1"/>
    <x v="10"/>
    <n v="0"/>
    <n v="0"/>
    <n v="-0.27100000000000002"/>
    <n v="-0.27100000000000002"/>
    <n v="-0.27100000000000002"/>
    <n v="-0.27100000000000002"/>
    <n v="0"/>
    <x v="2"/>
    <n v="0"/>
    <n v="0"/>
    <n v="61"/>
    <n v="7"/>
    <n v="0"/>
    <n v="285.75"/>
    <n v="231.33"/>
    <m/>
    <n v="313.39259123109559"/>
    <n v="265.36104285086753"/>
    <n v="0"/>
    <n v="-77.438250000000011"/>
    <n v="-62.690430000000006"/>
    <n v="0"/>
    <n v="-84.929392223626905"/>
    <n v="-71.912842612585109"/>
  </r>
  <r>
    <s v="PROJETADO"/>
    <x v="4"/>
    <x v="4"/>
    <x v="2"/>
    <x v="0"/>
    <x v="0"/>
    <x v="0"/>
    <x v="1"/>
    <x v="11"/>
    <n v="0"/>
    <n v="0"/>
    <n v="6604.2439999999997"/>
    <n v="6604.2439999999997"/>
    <n v="6604.2439999999997"/>
    <n v="6604.2439999999997"/>
    <n v="14954"/>
    <x v="2"/>
    <n v="0"/>
    <n v="0"/>
    <n v="61"/>
    <n v="7"/>
    <n v="0"/>
    <n v="285.75"/>
    <n v="231.33"/>
    <m/>
    <n v="313.39259123109559"/>
    <n v="265.36104285086753"/>
    <n v="0"/>
    <n v="1887162.723"/>
    <n v="1527759.76452"/>
    <n v="0"/>
    <n v="2069721.1402824156"/>
    <n v="1752509.0750815847"/>
  </r>
  <r>
    <s v="PROJETADO"/>
    <x v="4"/>
    <x v="4"/>
    <x v="2"/>
    <x v="0"/>
    <x v="0"/>
    <x v="0"/>
    <x v="1"/>
    <x v="11"/>
    <n v="0"/>
    <n v="0"/>
    <n v="445.19299999999998"/>
    <n v="445.19299999999998"/>
    <n v="445.19299999999998"/>
    <n v="445.19299999999998"/>
    <n v="589"/>
    <x v="2"/>
    <n v="0"/>
    <n v="0"/>
    <n v="61"/>
    <n v="7"/>
    <n v="0"/>
    <n v="285.75"/>
    <n v="231.33"/>
    <m/>
    <n v="313.39259123109559"/>
    <n v="265.36104285086753"/>
    <n v="0"/>
    <n v="127213.89975"/>
    <n v="102986.49669"/>
    <n v="0"/>
    <n v="139520.18786794515"/>
    <n v="118136.87874990626"/>
  </r>
  <r>
    <s v="PROJETADO"/>
    <x v="4"/>
    <x v="4"/>
    <x v="2"/>
    <x v="0"/>
    <x v="0"/>
    <x v="0"/>
    <x v="1"/>
    <x v="11"/>
    <n v="0"/>
    <n v="0"/>
    <n v="-0.27100000000000002"/>
    <n v="-0.27100000000000002"/>
    <n v="-0.27100000000000002"/>
    <n v="-0.27100000000000002"/>
    <n v="0"/>
    <x v="2"/>
    <n v="0"/>
    <n v="0"/>
    <n v="61"/>
    <n v="7"/>
    <n v="0"/>
    <n v="285.75"/>
    <n v="231.33"/>
    <m/>
    <n v="313.39259123109559"/>
    <n v="265.36104285086753"/>
    <n v="0"/>
    <n v="-77.438250000000011"/>
    <n v="-62.690430000000006"/>
    <n v="0"/>
    <n v="-84.929392223626905"/>
    <n v="-71.912842612585109"/>
  </r>
  <r>
    <s v="Regular"/>
    <x v="4"/>
    <x v="4"/>
    <x v="5"/>
    <x v="0"/>
    <x v="0"/>
    <x v="0"/>
    <x v="1"/>
    <x v="0"/>
    <n v="0"/>
    <n v="0"/>
    <n v="5.6680000000000001"/>
    <n v="5.6680000000000001"/>
    <n v="5.6680000000000001"/>
    <n v="5.6680000000000001"/>
    <n v="10"/>
    <x v="2"/>
    <n v="0"/>
    <n v="0"/>
    <n v="61"/>
    <n v="7"/>
    <n v="0"/>
    <n v="285.75"/>
    <n v="231.33"/>
    <m/>
    <n v="313.39259123109559"/>
    <n v="265.36104285086753"/>
    <n v="0"/>
    <n v="1619.6310000000001"/>
    <n v="1311.1784400000001"/>
    <n v="0"/>
    <n v="1776.3092070978498"/>
    <n v="1504.0663908787171"/>
  </r>
  <r>
    <s v="Regular"/>
    <x v="4"/>
    <x v="4"/>
    <x v="5"/>
    <x v="0"/>
    <x v="0"/>
    <x v="0"/>
    <x v="1"/>
    <x v="1"/>
    <n v="0"/>
    <n v="0"/>
    <n v="6.37"/>
    <n v="6.37"/>
    <n v="6.37"/>
    <n v="6.37"/>
    <n v="10"/>
    <x v="2"/>
    <n v="0"/>
    <n v="0"/>
    <n v="61"/>
    <n v="7"/>
    <n v="0"/>
    <n v="285.75"/>
    <n v="231.33"/>
    <m/>
    <n v="313.39259123109559"/>
    <n v="265.36104285086753"/>
    <n v="0"/>
    <n v="1820.2275"/>
    <n v="1473.5721000000001"/>
    <n v="0"/>
    <n v="1996.3108061420789"/>
    <n v="1690.3498429600263"/>
  </r>
  <r>
    <s v="Regular"/>
    <x v="4"/>
    <x v="4"/>
    <x v="5"/>
    <x v="0"/>
    <x v="0"/>
    <x v="0"/>
    <x v="1"/>
    <x v="2"/>
    <n v="0"/>
    <n v="0"/>
    <n v="6.4660000000000002"/>
    <n v="6.4660000000000002"/>
    <n v="6.4660000000000002"/>
    <n v="6.4660000000000002"/>
    <n v="12"/>
    <x v="2"/>
    <n v="0"/>
    <n v="0"/>
    <n v="61"/>
    <n v="7"/>
    <n v="0"/>
    <n v="285.75"/>
    <n v="231.33"/>
    <m/>
    <n v="313.39259123109559"/>
    <n v="265.36104285086753"/>
    <n v="0"/>
    <n v="1847.6595"/>
    <n v="1495.7797800000001"/>
    <n v="0"/>
    <n v="2026.3964949002641"/>
    <n v="1715.8245030737096"/>
  </r>
  <r>
    <s v="Regular"/>
    <x v="4"/>
    <x v="4"/>
    <x v="5"/>
    <x v="0"/>
    <x v="0"/>
    <x v="0"/>
    <x v="1"/>
    <x v="3"/>
    <n v="0"/>
    <n v="0"/>
    <n v="6.57"/>
    <n v="6.57"/>
    <n v="6.57"/>
    <n v="6.57"/>
    <n v="13"/>
    <x v="2"/>
    <n v="0"/>
    <n v="0"/>
    <n v="61"/>
    <n v="7"/>
    <n v="0"/>
    <n v="285.75"/>
    <n v="231.33"/>
    <m/>
    <n v="313.39259123109559"/>
    <n v="265.36104285086753"/>
    <n v="0"/>
    <n v="1877.3775000000001"/>
    <n v="1519.8381000000002"/>
    <n v="0"/>
    <n v="2058.989324388298"/>
    <n v="1743.4220515301997"/>
  </r>
  <r>
    <s v="Regular"/>
    <x v="4"/>
    <x v="4"/>
    <x v="5"/>
    <x v="0"/>
    <x v="0"/>
    <x v="0"/>
    <x v="1"/>
    <x v="4"/>
    <n v="0"/>
    <n v="0"/>
    <n v="5.9379999999999997"/>
    <n v="5.9379999999999997"/>
    <n v="5.9379999999999997"/>
    <n v="5.9379999999999997"/>
    <n v="13"/>
    <x v="2"/>
    <n v="0"/>
    <n v="0"/>
    <n v="61"/>
    <n v="7"/>
    <n v="0"/>
    <n v="285.75"/>
    <n v="231.33"/>
    <m/>
    <n v="313.39259123109559"/>
    <n v="265.36104285086753"/>
    <n v="0"/>
    <n v="1696.7835"/>
    <n v="1373.6375399999999"/>
    <n v="0"/>
    <n v="1860.9252067302455"/>
    <n v="1575.7138724484514"/>
  </r>
  <r>
    <s v="Regular"/>
    <x v="4"/>
    <x v="4"/>
    <x v="5"/>
    <x v="0"/>
    <x v="0"/>
    <x v="0"/>
    <x v="1"/>
    <x v="5"/>
    <n v="0"/>
    <n v="0"/>
    <n v="6.6929999999999996"/>
    <n v="6.6929999999999996"/>
    <n v="6.6929999999999996"/>
    <n v="6.6929999999999996"/>
    <n v="13"/>
    <x v="2"/>
    <n v="0"/>
    <n v="0"/>
    <n v="61"/>
    <n v="7"/>
    <n v="0"/>
    <n v="285.75"/>
    <n v="231.33"/>
    <m/>
    <n v="313.39259123109559"/>
    <n v="265.36104285086753"/>
    <n v="0"/>
    <n v="1912.5247499999998"/>
    <n v="1548.29169"/>
    <n v="0"/>
    <n v="2097.5366131097226"/>
    <n v="1776.0614598008563"/>
  </r>
  <r>
    <s v="Regular"/>
    <x v="4"/>
    <x v="4"/>
    <x v="5"/>
    <x v="0"/>
    <x v="0"/>
    <x v="0"/>
    <x v="1"/>
    <x v="6"/>
    <n v="0"/>
    <n v="0"/>
    <n v="5.8540000000000001"/>
    <n v="5.8540000000000001"/>
    <n v="5.8540000000000001"/>
    <n v="5.8540000000000001"/>
    <n v="11"/>
    <x v="2"/>
    <n v="0"/>
    <n v="0"/>
    <n v="61"/>
    <n v="7"/>
    <n v="0"/>
    <n v="285.75"/>
    <n v="231.33"/>
    <m/>
    <n v="313.39259123109559"/>
    <n v="265.36104285086753"/>
    <n v="0"/>
    <n v="1672.7805000000001"/>
    <n v="1354.2058200000001"/>
    <n v="0"/>
    <n v="1834.6002290668337"/>
    <n v="1553.4235448489785"/>
  </r>
  <r>
    <s v="Refaturamento - Regular"/>
    <x v="4"/>
    <x v="4"/>
    <x v="5"/>
    <x v="0"/>
    <x v="0"/>
    <x v="0"/>
    <x v="1"/>
    <x v="6"/>
    <n v="0"/>
    <n v="0"/>
    <n v="0.123"/>
    <n v="0.123"/>
    <n v="0.123"/>
    <n v="0.123"/>
    <n v="1"/>
    <x v="2"/>
    <n v="0"/>
    <n v="0"/>
    <n v="61"/>
    <n v="7"/>
    <n v="0"/>
    <n v="285.75"/>
    <n v="231.33"/>
    <m/>
    <n v="313.39259123109559"/>
    <n v="265.36104285086753"/>
    <n v="0"/>
    <n v="35.14725"/>
    <n v="28.453590000000002"/>
    <n v="0"/>
    <n v="38.547288721424756"/>
    <n v="32.639408270656709"/>
  </r>
  <r>
    <s v="Regular"/>
    <x v="4"/>
    <x v="4"/>
    <x v="5"/>
    <x v="0"/>
    <x v="0"/>
    <x v="0"/>
    <x v="1"/>
    <x v="7"/>
    <n v="0"/>
    <n v="0"/>
    <n v="5.9420000000000002"/>
    <n v="5.9420000000000002"/>
    <n v="5.9420000000000002"/>
    <n v="5.9420000000000002"/>
    <n v="11"/>
    <x v="2"/>
    <n v="0"/>
    <n v="0"/>
    <n v="61"/>
    <n v="7"/>
    <n v="0"/>
    <n v="285.75"/>
    <n v="231.33"/>
    <m/>
    <n v="313.39259123109559"/>
    <n v="265.36104285086753"/>
    <n v="0"/>
    <n v="1697.9265"/>
    <n v="1374.56286"/>
    <n v="0"/>
    <n v="1862.1787770951701"/>
    <n v="1576.7753166198549"/>
  </r>
  <r>
    <s v="Regular"/>
    <x v="4"/>
    <x v="4"/>
    <x v="5"/>
    <x v="0"/>
    <x v="0"/>
    <x v="0"/>
    <x v="1"/>
    <x v="8"/>
    <n v="0"/>
    <n v="0"/>
    <n v="6.5289999999999999"/>
    <n v="6.5289999999999999"/>
    <n v="6.5289999999999999"/>
    <n v="6.5289999999999999"/>
    <n v="11"/>
    <x v="2"/>
    <n v="0"/>
    <n v="0"/>
    <n v="61"/>
    <n v="7"/>
    <n v="0"/>
    <n v="285.75"/>
    <n v="231.33"/>
    <m/>
    <n v="313.39259123109559"/>
    <n v="265.36104285086753"/>
    <n v="0"/>
    <n v="1865.66175"/>
    <n v="1510.35357"/>
    <n v="0"/>
    <n v="2046.1402281478231"/>
    <n v="1732.5422487733142"/>
  </r>
  <r>
    <s v="Regular"/>
    <x v="4"/>
    <x v="4"/>
    <x v="5"/>
    <x v="0"/>
    <x v="0"/>
    <x v="0"/>
    <x v="1"/>
    <x v="9"/>
    <n v="0"/>
    <n v="0"/>
    <n v="6.1230000000000002"/>
    <n v="6.1230000000000002"/>
    <n v="6.1230000000000002"/>
    <n v="6.1230000000000002"/>
    <n v="11"/>
    <x v="2"/>
    <n v="0"/>
    <n v="0"/>
    <n v="61"/>
    <n v="7"/>
    <n v="0"/>
    <n v="285.75"/>
    <n v="231.33"/>
    <m/>
    <n v="313.39259123109559"/>
    <n v="265.36104285086753"/>
    <n v="0"/>
    <n v="1749.64725"/>
    <n v="1416.4335900000001"/>
    <n v="0"/>
    <n v="1918.9028361079984"/>
    <n v="1624.805665375862"/>
  </r>
  <r>
    <s v="Regular"/>
    <x v="4"/>
    <x v="4"/>
    <x v="5"/>
    <x v="0"/>
    <x v="0"/>
    <x v="0"/>
    <x v="1"/>
    <x v="10"/>
    <n v="0"/>
    <n v="0"/>
    <n v="6.798"/>
    <n v="6.798"/>
    <n v="6.798"/>
    <n v="6.798"/>
    <n v="14"/>
    <x v="2"/>
    <n v="0"/>
    <n v="0"/>
    <n v="61"/>
    <n v="7"/>
    <n v="0"/>
    <n v="285.75"/>
    <n v="231.33"/>
    <m/>
    <n v="313.39259123109559"/>
    <n v="265.36104285086753"/>
    <n v="0"/>
    <n v="1942.5285000000001"/>
    <n v="1572.5813400000002"/>
    <n v="0"/>
    <n v="2130.4428351889878"/>
    <n v="1803.9243693001974"/>
  </r>
  <r>
    <s v="PROJETADO"/>
    <x v="4"/>
    <x v="4"/>
    <x v="5"/>
    <x v="0"/>
    <x v="0"/>
    <x v="0"/>
    <x v="1"/>
    <x v="11"/>
    <n v="0"/>
    <n v="0"/>
    <n v="6.798"/>
    <n v="6.798"/>
    <n v="6.798"/>
    <n v="6.798"/>
    <n v="14"/>
    <x v="2"/>
    <n v="0"/>
    <n v="0"/>
    <n v="61"/>
    <n v="7"/>
    <n v="0"/>
    <n v="285.75"/>
    <n v="231.33"/>
    <m/>
    <n v="313.39259123109559"/>
    <n v="265.36104285086753"/>
    <n v="0"/>
    <n v="1942.5285000000001"/>
    <n v="1572.5813400000002"/>
    <n v="0"/>
    <n v="2130.4428351889878"/>
    <n v="1803.9243693001974"/>
  </r>
  <r>
    <s v="Regular"/>
    <x v="4"/>
    <x v="4"/>
    <x v="0"/>
    <x v="0"/>
    <x v="0"/>
    <x v="0"/>
    <x v="1"/>
    <x v="0"/>
    <n v="0"/>
    <n v="0"/>
    <n v="395.22"/>
    <n v="395.22"/>
    <n v="395.22"/>
    <n v="395.22"/>
    <n v="398"/>
    <x v="2"/>
    <n v="0"/>
    <n v="0"/>
    <n v="61"/>
    <n v="7"/>
    <n v="0"/>
    <n v="285.75"/>
    <n v="231.33"/>
    <m/>
    <n v="313.39259123109559"/>
    <n v="265.36104285086753"/>
    <n v="0"/>
    <n v="112934.11500000001"/>
    <n v="91426.242600000012"/>
    <n v="0"/>
    <n v="123859.01990635361"/>
    <n v="104875.99135551987"/>
  </r>
  <r>
    <s v="Sistema de Compensação"/>
    <x v="4"/>
    <x v="4"/>
    <x v="0"/>
    <x v="0"/>
    <x v="0"/>
    <x v="0"/>
    <x v="1"/>
    <x v="0"/>
    <n v="0"/>
    <n v="0"/>
    <n v="34.006"/>
    <n v="34.006"/>
    <n v="34.006"/>
    <n v="34.006"/>
    <n v="28"/>
    <x v="2"/>
    <n v="0"/>
    <n v="0"/>
    <n v="61"/>
    <n v="7"/>
    <n v="0"/>
    <n v="285.75"/>
    <n v="231.33"/>
    <m/>
    <n v="313.39259123109559"/>
    <n v="265.36104285086753"/>
    <n v="0"/>
    <n v="9717.2145"/>
    <n v="7866.6079800000007"/>
    <n v="0"/>
    <n v="10657.228457404637"/>
    <n v="9023.8676231866011"/>
  </r>
  <r>
    <s v="Regular"/>
    <x v="4"/>
    <x v="4"/>
    <x v="0"/>
    <x v="0"/>
    <x v="0"/>
    <x v="0"/>
    <x v="1"/>
    <x v="1"/>
    <n v="0"/>
    <n v="0"/>
    <n v="412.42399999999998"/>
    <n v="412.42399999999998"/>
    <n v="412.42399999999998"/>
    <n v="412.42399999999998"/>
    <n v="401"/>
    <x v="2"/>
    <n v="0"/>
    <n v="0"/>
    <n v="61"/>
    <n v="7"/>
    <n v="0"/>
    <n v="285.75"/>
    <n v="231.33"/>
    <m/>
    <n v="313.39259123109559"/>
    <n v="265.36104285086753"/>
    <n v="0"/>
    <n v="117850.158"/>
    <n v="95406.043919999996"/>
    <n v="0"/>
    <n v="129250.62604589337"/>
    <n v="109441.26273672619"/>
  </r>
  <r>
    <s v="Sistema de Compensação"/>
    <x v="4"/>
    <x v="4"/>
    <x v="0"/>
    <x v="0"/>
    <x v="0"/>
    <x v="0"/>
    <x v="1"/>
    <x v="1"/>
    <n v="0"/>
    <n v="0"/>
    <n v="28.431999999999999"/>
    <n v="28.431999999999999"/>
    <n v="28.431999999999999"/>
    <n v="28.431999999999999"/>
    <n v="31"/>
    <x v="2"/>
    <n v="0"/>
    <n v="0"/>
    <n v="61"/>
    <n v="7"/>
    <n v="0"/>
    <n v="285.75"/>
    <n v="231.33"/>
    <m/>
    <n v="313.39259123109559"/>
    <n v="265.36104285086753"/>
    <n v="0"/>
    <n v="8124.4439999999995"/>
    <n v="6577.1745600000004"/>
    <n v="0"/>
    <n v="8910.3781538825097"/>
    <n v="7544.7451703358656"/>
  </r>
  <r>
    <s v="Regular"/>
    <x v="4"/>
    <x v="4"/>
    <x v="0"/>
    <x v="0"/>
    <x v="0"/>
    <x v="0"/>
    <x v="1"/>
    <x v="2"/>
    <n v="0"/>
    <n v="0"/>
    <n v="465.09800000000001"/>
    <n v="465.09800000000001"/>
    <n v="465.09800000000001"/>
    <n v="465.09800000000001"/>
    <n v="402"/>
    <x v="2"/>
    <n v="0"/>
    <n v="0"/>
    <n v="61"/>
    <n v="7"/>
    <n v="0"/>
    <n v="285.75"/>
    <n v="231.33"/>
    <m/>
    <n v="313.39259123109559"/>
    <n v="265.36104285086753"/>
    <n v="0"/>
    <n v="132901.75349999999"/>
    <n v="107591.12034000001"/>
    <n v="0"/>
    <n v="145758.2673964001"/>
    <n v="123418.89030785279"/>
  </r>
  <r>
    <s v="Refaturamento - Regular"/>
    <x v="4"/>
    <x v="4"/>
    <x v="0"/>
    <x v="0"/>
    <x v="0"/>
    <x v="0"/>
    <x v="1"/>
    <x v="2"/>
    <n v="0"/>
    <n v="0"/>
    <n v="-2.14"/>
    <n v="-2.14"/>
    <n v="-2.14"/>
    <n v="-2.14"/>
    <n v="-1"/>
    <x v="2"/>
    <n v="0"/>
    <n v="0"/>
    <n v="61"/>
    <n v="7"/>
    <n v="0"/>
    <n v="285.75"/>
    <n v="231.33"/>
    <m/>
    <n v="313.39259123109559"/>
    <n v="265.36104285086753"/>
    <n v="0"/>
    <n v="-611.505"/>
    <n v="-495.04620000000006"/>
    <n v="0"/>
    <n v="-670.66014523454464"/>
    <n v="-567.87263170085657"/>
  </r>
  <r>
    <s v="Sistema de Compensação"/>
    <x v="4"/>
    <x v="4"/>
    <x v="0"/>
    <x v="0"/>
    <x v="0"/>
    <x v="0"/>
    <x v="1"/>
    <x v="2"/>
    <n v="0"/>
    <n v="0"/>
    <n v="33.573999999999998"/>
    <n v="33.573999999999998"/>
    <n v="33.573999999999998"/>
    <n v="33.573999999999998"/>
    <n v="33"/>
    <x v="2"/>
    <n v="0"/>
    <n v="0"/>
    <n v="61"/>
    <n v="7"/>
    <n v="0"/>
    <n v="285.75"/>
    <n v="231.33"/>
    <m/>
    <n v="313.39259123109559"/>
    <n v="265.36104285086753"/>
    <n v="0"/>
    <n v="9593.7704999999987"/>
    <n v="7766.6734200000001"/>
    <n v="0"/>
    <n v="10521.842857992802"/>
    <n v="8909.2316526750255"/>
  </r>
  <r>
    <s v="Regular"/>
    <x v="4"/>
    <x v="4"/>
    <x v="0"/>
    <x v="0"/>
    <x v="0"/>
    <x v="0"/>
    <x v="1"/>
    <x v="3"/>
    <n v="0"/>
    <n v="0"/>
    <n v="411.48399999999998"/>
    <n v="411.48399999999998"/>
    <n v="411.48399999999998"/>
    <n v="411.48399999999998"/>
    <n v="405"/>
    <x v="2"/>
    <n v="0"/>
    <n v="0"/>
    <n v="61"/>
    <n v="7"/>
    <n v="0"/>
    <n v="285.75"/>
    <n v="231.33"/>
    <m/>
    <n v="313.39259123109559"/>
    <n v="265.36104285086753"/>
    <n v="0"/>
    <n v="117581.553"/>
    <n v="95188.593720000004"/>
    <n v="0"/>
    <n v="128956.03701013613"/>
    <n v="109191.82335644637"/>
  </r>
  <r>
    <s v="Refaturamento - Regular"/>
    <x v="4"/>
    <x v="4"/>
    <x v="0"/>
    <x v="0"/>
    <x v="0"/>
    <x v="0"/>
    <x v="1"/>
    <x v="3"/>
    <n v="0"/>
    <n v="0"/>
    <n v="-0.98599999999999999"/>
    <n v="-0.98599999999999999"/>
    <n v="-0.98599999999999999"/>
    <n v="-0.98599999999999999"/>
    <n v="0"/>
    <x v="2"/>
    <n v="0"/>
    <n v="0"/>
    <n v="61"/>
    <n v="7"/>
    <n v="0"/>
    <n v="285.75"/>
    <n v="231.33"/>
    <m/>
    <n v="313.39259123109559"/>
    <n v="265.36104285086753"/>
    <n v="0"/>
    <n v="-281.74950000000001"/>
    <n v="-228.09138000000002"/>
    <n v="0"/>
    <n v="-309.00509495386024"/>
    <n v="-261.64598825095538"/>
  </r>
  <r>
    <s v="Sistema de Compensação"/>
    <x v="4"/>
    <x v="4"/>
    <x v="0"/>
    <x v="0"/>
    <x v="0"/>
    <x v="0"/>
    <x v="1"/>
    <x v="3"/>
    <n v="0"/>
    <n v="0"/>
    <n v="35.981999999999999"/>
    <n v="35.981999999999999"/>
    <n v="35.981999999999999"/>
    <n v="35.981999999999999"/>
    <n v="33"/>
    <x v="2"/>
    <n v="0"/>
    <n v="0"/>
    <n v="61"/>
    <n v="7"/>
    <n v="0"/>
    <n v="285.75"/>
    <n v="231.33"/>
    <m/>
    <n v="313.39259123109559"/>
    <n v="265.36104285086753"/>
    <n v="0"/>
    <n v="10281.8565"/>
    <n v="8323.7160600000007"/>
    <n v="0"/>
    <n v="11276.492217677282"/>
    <n v="9548.2210438599159"/>
  </r>
  <r>
    <s v="Regular"/>
    <x v="4"/>
    <x v="4"/>
    <x v="0"/>
    <x v="0"/>
    <x v="0"/>
    <x v="0"/>
    <x v="1"/>
    <x v="4"/>
    <n v="0"/>
    <n v="0"/>
    <n v="372.315"/>
    <n v="372.315"/>
    <n v="372.315"/>
    <n v="372.315"/>
    <n v="396"/>
    <x v="2"/>
    <n v="0"/>
    <n v="0"/>
    <n v="61"/>
    <n v="7"/>
    <n v="0"/>
    <n v="285.75"/>
    <n v="231.33"/>
    <m/>
    <n v="313.39259123109559"/>
    <n v="265.36104285086753"/>
    <n v="0"/>
    <n v="106389.01125"/>
    <n v="86127.628949999998"/>
    <n v="0"/>
    <n v="116680.76260420536"/>
    <n v="98797.896669020745"/>
  </r>
  <r>
    <s v="Sistema de Compensação"/>
    <x v="4"/>
    <x v="4"/>
    <x v="0"/>
    <x v="0"/>
    <x v="0"/>
    <x v="0"/>
    <x v="1"/>
    <x v="4"/>
    <n v="0"/>
    <n v="0"/>
    <n v="50.466999999999999"/>
    <n v="50.466999999999999"/>
    <n v="50.466999999999999"/>
    <n v="50.466999999999999"/>
    <n v="35"/>
    <x v="2"/>
    <n v="0"/>
    <n v="0"/>
    <n v="61"/>
    <n v="7"/>
    <n v="0"/>
    <n v="285.75"/>
    <n v="231.33"/>
    <m/>
    <n v="313.39259123109559"/>
    <n v="265.36104285086753"/>
    <n v="0"/>
    <n v="14420.945249999999"/>
    <n v="11674.53111"/>
    <n v="0"/>
    <n v="15815.983901659702"/>
    <n v="13391.975749554731"/>
  </r>
  <r>
    <s v="Regular"/>
    <x v="4"/>
    <x v="4"/>
    <x v="0"/>
    <x v="0"/>
    <x v="0"/>
    <x v="0"/>
    <x v="1"/>
    <x v="5"/>
    <n v="0"/>
    <n v="0"/>
    <n v="419.09399999999999"/>
    <n v="419.09399999999999"/>
    <n v="419.09399999999999"/>
    <n v="419.09399999999999"/>
    <n v="397"/>
    <x v="2"/>
    <n v="0"/>
    <n v="0"/>
    <n v="61"/>
    <n v="7"/>
    <n v="0"/>
    <n v="285.75"/>
    <n v="231.33"/>
    <m/>
    <n v="313.39259123109559"/>
    <n v="265.36104285086753"/>
    <n v="0"/>
    <n v="119756.1105"/>
    <n v="96949.015020000006"/>
    <n v="0"/>
    <n v="131340.95462940476"/>
    <n v="111211.22089254147"/>
  </r>
  <r>
    <s v="Sistema de Compensação"/>
    <x v="4"/>
    <x v="4"/>
    <x v="0"/>
    <x v="0"/>
    <x v="0"/>
    <x v="0"/>
    <x v="1"/>
    <x v="5"/>
    <n v="0"/>
    <n v="0"/>
    <n v="60.704000000000001"/>
    <n v="60.704000000000001"/>
    <n v="60.704000000000001"/>
    <n v="60.704000000000001"/>
    <n v="35"/>
    <x v="2"/>
    <n v="0"/>
    <n v="0"/>
    <n v="61"/>
    <n v="7"/>
    <n v="0"/>
    <n v="285.75"/>
    <n v="231.33"/>
    <m/>
    <n v="313.39259123109559"/>
    <n v="265.36104285086753"/>
    <n v="0"/>
    <n v="17346.168000000001"/>
    <n v="14042.65632"/>
    <n v="0"/>
    <n v="19024.183858092427"/>
    <n v="16108.476745219063"/>
  </r>
  <r>
    <s v="Regular"/>
    <x v="4"/>
    <x v="4"/>
    <x v="0"/>
    <x v="0"/>
    <x v="0"/>
    <x v="0"/>
    <x v="1"/>
    <x v="6"/>
    <n v="0"/>
    <n v="0"/>
    <n v="399.577"/>
    <n v="399.577"/>
    <n v="399.577"/>
    <n v="399.577"/>
    <n v="396"/>
    <x v="2"/>
    <n v="0"/>
    <n v="0"/>
    <n v="61"/>
    <n v="7"/>
    <n v="0"/>
    <n v="285.75"/>
    <n v="231.33"/>
    <m/>
    <n v="313.39259123109559"/>
    <n v="265.36104285086753"/>
    <n v="0"/>
    <n v="114179.12775"/>
    <n v="92434.147410000005"/>
    <n v="0"/>
    <n v="125224.47142634749"/>
    <n v="106032.1694192211"/>
  </r>
  <r>
    <s v="Refaturamento - Regular"/>
    <x v="4"/>
    <x v="4"/>
    <x v="0"/>
    <x v="0"/>
    <x v="0"/>
    <x v="0"/>
    <x v="1"/>
    <x v="6"/>
    <n v="0"/>
    <n v="0"/>
    <n v="-0.80600000000000005"/>
    <n v="-0.80600000000000005"/>
    <n v="-0.80600000000000005"/>
    <n v="-0.80600000000000005"/>
    <n v="0"/>
    <x v="2"/>
    <n v="0"/>
    <n v="0"/>
    <n v="61"/>
    <n v="7"/>
    <n v="0"/>
    <n v="285.75"/>
    <n v="231.33"/>
    <m/>
    <n v="313.39259123109559"/>
    <n v="265.36104285086753"/>
    <n v="0"/>
    <n v="-230.31450000000001"/>
    <n v="-186.45198000000002"/>
    <n v="0"/>
    <n v="-252.59442853226307"/>
    <n v="-213.88100053779925"/>
  </r>
  <r>
    <s v="Sistema de Compensação"/>
    <x v="4"/>
    <x v="4"/>
    <x v="0"/>
    <x v="0"/>
    <x v="0"/>
    <x v="0"/>
    <x v="1"/>
    <x v="6"/>
    <n v="0"/>
    <n v="0"/>
    <n v="55.6"/>
    <n v="55.6"/>
    <n v="55.6"/>
    <n v="55.6"/>
    <n v="36"/>
    <x v="2"/>
    <n v="0"/>
    <n v="0"/>
    <n v="61"/>
    <n v="7"/>
    <n v="0"/>
    <n v="285.75"/>
    <n v="231.33"/>
    <m/>
    <n v="313.39259123109559"/>
    <n v="265.36104285086753"/>
    <n v="0"/>
    <n v="15887.7"/>
    <n v="12861.948"/>
    <n v="0"/>
    <n v="17424.628072448915"/>
    <n v="14754.073982508235"/>
  </r>
  <r>
    <s v="Regular"/>
    <x v="4"/>
    <x v="4"/>
    <x v="0"/>
    <x v="0"/>
    <x v="0"/>
    <x v="0"/>
    <x v="1"/>
    <x v="7"/>
    <n v="0"/>
    <n v="0"/>
    <n v="402.161"/>
    <n v="402.161"/>
    <n v="402.161"/>
    <n v="402.161"/>
    <n v="395"/>
    <x v="2"/>
    <n v="0"/>
    <n v="0"/>
    <n v="61"/>
    <n v="7"/>
    <n v="0"/>
    <n v="285.75"/>
    <n v="231.33"/>
    <m/>
    <n v="313.39259123109559"/>
    <n v="265.36104285086753"/>
    <n v="0"/>
    <n v="114917.50575"/>
    <n v="93031.90413000001"/>
    <n v="0"/>
    <n v="126034.27788208863"/>
    <n v="106717.86235394774"/>
  </r>
  <r>
    <s v="Sistema de Compensação"/>
    <x v="4"/>
    <x v="4"/>
    <x v="0"/>
    <x v="0"/>
    <x v="0"/>
    <x v="0"/>
    <x v="1"/>
    <x v="7"/>
    <n v="0"/>
    <n v="0"/>
    <n v="52.469000000000001"/>
    <n v="52.469000000000001"/>
    <n v="52.469000000000001"/>
    <n v="52.469000000000001"/>
    <n v="39"/>
    <x v="2"/>
    <n v="0"/>
    <n v="0"/>
    <n v="61"/>
    <n v="7"/>
    <n v="0"/>
    <n v="285.75"/>
    <n v="231.33"/>
    <m/>
    <n v="313.39259123109559"/>
    <n v="265.36104285086753"/>
    <n v="0"/>
    <n v="14993.016750000001"/>
    <n v="12137.653770000001"/>
    <n v="0"/>
    <n v="16443.395869304357"/>
    <n v="13923.228557342169"/>
  </r>
  <r>
    <s v="Regular"/>
    <x v="4"/>
    <x v="4"/>
    <x v="0"/>
    <x v="0"/>
    <x v="0"/>
    <x v="0"/>
    <x v="1"/>
    <x v="8"/>
    <n v="0"/>
    <n v="0"/>
    <n v="396.13400000000001"/>
    <n v="396.13400000000001"/>
    <n v="396.13400000000001"/>
    <n v="396.13400000000001"/>
    <n v="390"/>
    <x v="2"/>
    <n v="0"/>
    <n v="0"/>
    <n v="61"/>
    <n v="7"/>
    <n v="0"/>
    <n v="285.75"/>
    <n v="231.33"/>
    <m/>
    <n v="313.39259123109559"/>
    <n v="265.36104285086753"/>
    <n v="0"/>
    <n v="113195.2905"/>
    <n v="91637.678220000002"/>
    <n v="0"/>
    <n v="124145.46073473882"/>
    <n v="105118.53134868556"/>
  </r>
  <r>
    <s v="Sistema de Compensação"/>
    <x v="4"/>
    <x v="4"/>
    <x v="0"/>
    <x v="0"/>
    <x v="0"/>
    <x v="0"/>
    <x v="1"/>
    <x v="8"/>
    <n v="0"/>
    <n v="0"/>
    <n v="55.122"/>
    <n v="55.122"/>
    <n v="55.122"/>
    <n v="55.122"/>
    <n v="42"/>
    <x v="2"/>
    <n v="0"/>
    <n v="0"/>
    <n v="61"/>
    <n v="7"/>
    <n v="0"/>
    <n v="285.75"/>
    <n v="231.33"/>
    <m/>
    <n v="313.39259123109559"/>
    <n v="265.36104285086753"/>
    <n v="0"/>
    <n v="15751.111499999999"/>
    <n v="12751.37226"/>
    <n v="0"/>
    <n v="17274.826413840452"/>
    <n v="14627.231404025521"/>
  </r>
  <r>
    <s v="Regular"/>
    <x v="4"/>
    <x v="4"/>
    <x v="0"/>
    <x v="0"/>
    <x v="0"/>
    <x v="0"/>
    <x v="1"/>
    <x v="9"/>
    <n v="0"/>
    <n v="0"/>
    <n v="358.63400000000001"/>
    <n v="358.63400000000001"/>
    <n v="358.63400000000001"/>
    <n v="358.63400000000001"/>
    <n v="390"/>
    <x v="2"/>
    <n v="0"/>
    <n v="0"/>
    <n v="61"/>
    <n v="7"/>
    <n v="0"/>
    <n v="285.75"/>
    <n v="231.33"/>
    <m/>
    <n v="313.39259123109559"/>
    <n v="265.36104285086753"/>
    <n v="0"/>
    <n v="102479.6655"/>
    <n v="82962.803220000002"/>
    <n v="0"/>
    <n v="112393.23856357274"/>
    <n v="95167.492241778033"/>
  </r>
  <r>
    <s v="Refaturamento - Regular"/>
    <x v="4"/>
    <x v="4"/>
    <x v="0"/>
    <x v="0"/>
    <x v="0"/>
    <x v="0"/>
    <x v="1"/>
    <x v="9"/>
    <n v="0"/>
    <n v="0"/>
    <n v="-0.25700000000000001"/>
    <n v="-0.25700000000000001"/>
    <n v="-0.25700000000000001"/>
    <n v="-0.25700000000000001"/>
    <n v="0"/>
    <x v="2"/>
    <n v="0"/>
    <n v="0"/>
    <n v="61"/>
    <n v="7"/>
    <n v="0"/>
    <n v="285.75"/>
    <n v="231.33"/>
    <m/>
    <n v="313.39259123109559"/>
    <n v="265.36104285086753"/>
    <n v="0"/>
    <n v="-73.437750000000008"/>
    <n v="-59.451810000000002"/>
    <n v="0"/>
    <n v="-80.541895946391563"/>
    <n v="-68.197788012672959"/>
  </r>
  <r>
    <s v="Sistema de Compensação"/>
    <x v="4"/>
    <x v="4"/>
    <x v="0"/>
    <x v="0"/>
    <x v="0"/>
    <x v="0"/>
    <x v="1"/>
    <x v="9"/>
    <n v="0"/>
    <n v="0"/>
    <n v="51.185000000000002"/>
    <n v="51.185000000000002"/>
    <n v="51.185000000000002"/>
    <n v="51.185000000000002"/>
    <n v="45"/>
    <x v="2"/>
    <n v="0"/>
    <n v="0"/>
    <n v="61"/>
    <n v="7"/>
    <n v="0"/>
    <n v="285.75"/>
    <n v="231.33"/>
    <m/>
    <n v="313.39259123109559"/>
    <n v="265.36104285086753"/>
    <n v="0"/>
    <n v="14626.11375"/>
    <n v="11840.626050000001"/>
    <n v="0"/>
    <n v="16040.999782163628"/>
    <n v="13582.504978321655"/>
  </r>
  <r>
    <s v="Regular"/>
    <x v="4"/>
    <x v="4"/>
    <x v="0"/>
    <x v="0"/>
    <x v="0"/>
    <x v="0"/>
    <x v="1"/>
    <x v="10"/>
    <n v="0"/>
    <n v="0"/>
    <n v="377.56599999999997"/>
    <n v="377.56599999999997"/>
    <n v="377.56599999999997"/>
    <n v="377.56599999999997"/>
    <n v="384"/>
    <x v="2"/>
    <n v="0"/>
    <n v="0"/>
    <n v="61"/>
    <n v="7"/>
    <n v="0"/>
    <n v="285.75"/>
    <n v="231.33"/>
    <m/>
    <n v="313.39259123109559"/>
    <n v="265.36104285086753"/>
    <n v="0"/>
    <n v="107889.48449999999"/>
    <n v="87342.342779999992"/>
    <n v="0"/>
    <n v="118326.38710075984"/>
    <n v="100191.30750503065"/>
  </r>
  <r>
    <s v="Refaturamento - Regular"/>
    <x v="4"/>
    <x v="4"/>
    <x v="0"/>
    <x v="0"/>
    <x v="0"/>
    <x v="0"/>
    <x v="1"/>
    <x v="10"/>
    <n v="0"/>
    <n v="0"/>
    <n v="-2.1429999999999998"/>
    <n v="-2.1429999999999998"/>
    <n v="-2.1429999999999998"/>
    <n v="-2.1429999999999998"/>
    <n v="0"/>
    <x v="2"/>
    <n v="0"/>
    <n v="0"/>
    <n v="61"/>
    <n v="7"/>
    <n v="0"/>
    <n v="285.75"/>
    <n v="231.33"/>
    <m/>
    <n v="313.39259123109559"/>
    <n v="265.36104285086753"/>
    <n v="0"/>
    <n v="-612.3622499999999"/>
    <n v="-495.74018999999998"/>
    <n v="0"/>
    <n v="-671.60032300823775"/>
    <n v="-568.66871482940905"/>
  </r>
  <r>
    <s v="Sistema de Compensação"/>
    <x v="4"/>
    <x v="4"/>
    <x v="0"/>
    <x v="0"/>
    <x v="0"/>
    <x v="0"/>
    <x v="1"/>
    <x v="10"/>
    <n v="0"/>
    <n v="0"/>
    <n v="51.215000000000003"/>
    <n v="51.215000000000003"/>
    <n v="51.215000000000003"/>
    <n v="51.215000000000003"/>
    <n v="47"/>
    <x v="2"/>
    <n v="0"/>
    <n v="0"/>
    <n v="61"/>
    <n v="7"/>
    <n v="0"/>
    <n v="285.75"/>
    <n v="231.33"/>
    <m/>
    <n v="313.39259123109559"/>
    <n v="265.36104285086753"/>
    <n v="0"/>
    <n v="14634.686250000001"/>
    <n v="11847.565950000002"/>
    <n v="0"/>
    <n v="16050.401559900562"/>
    <n v="13590.465809607182"/>
  </r>
  <r>
    <s v="PROJETADO"/>
    <x v="4"/>
    <x v="4"/>
    <x v="0"/>
    <x v="0"/>
    <x v="0"/>
    <x v="0"/>
    <x v="1"/>
    <x v="11"/>
    <n v="0"/>
    <n v="0"/>
    <n v="377.56599999999997"/>
    <n v="377.56599999999997"/>
    <n v="377.56599999999997"/>
    <n v="377.56599999999997"/>
    <n v="384"/>
    <x v="2"/>
    <n v="0"/>
    <n v="0"/>
    <n v="61"/>
    <n v="7"/>
    <n v="0"/>
    <n v="285.75"/>
    <n v="231.33"/>
    <m/>
    <n v="313.39259123109559"/>
    <n v="265.36104285086753"/>
    <n v="0"/>
    <n v="107889.48449999999"/>
    <n v="87342.342779999992"/>
    <n v="0"/>
    <n v="118326.38710075984"/>
    <n v="100191.30750503065"/>
  </r>
  <r>
    <s v="PROJETADO"/>
    <x v="4"/>
    <x v="4"/>
    <x v="0"/>
    <x v="0"/>
    <x v="0"/>
    <x v="0"/>
    <x v="1"/>
    <x v="11"/>
    <n v="0"/>
    <n v="0"/>
    <n v="-2.1429999999999998"/>
    <n v="-2.1429999999999998"/>
    <n v="-2.1429999999999998"/>
    <n v="-2.1429999999999998"/>
    <n v="0"/>
    <x v="2"/>
    <n v="0"/>
    <n v="0"/>
    <n v="61"/>
    <n v="7"/>
    <n v="0"/>
    <n v="285.75"/>
    <n v="231.33"/>
    <m/>
    <n v="313.39259123109559"/>
    <n v="265.36104285086753"/>
    <n v="0"/>
    <n v="-612.3622499999999"/>
    <n v="-495.74018999999998"/>
    <n v="0"/>
    <n v="-671.60032300823775"/>
    <n v="-568.66871482940905"/>
  </r>
  <r>
    <s v="PROJETADO"/>
    <x v="4"/>
    <x v="4"/>
    <x v="0"/>
    <x v="0"/>
    <x v="0"/>
    <x v="0"/>
    <x v="1"/>
    <x v="11"/>
    <n v="0"/>
    <n v="0"/>
    <n v="51.215000000000003"/>
    <n v="51.215000000000003"/>
    <n v="51.215000000000003"/>
    <n v="51.215000000000003"/>
    <n v="47"/>
    <x v="2"/>
    <n v="0"/>
    <n v="0"/>
    <n v="61"/>
    <n v="7"/>
    <n v="0"/>
    <n v="285.75"/>
    <n v="231.33"/>
    <m/>
    <n v="313.39259123109559"/>
    <n v="265.36104285086753"/>
    <n v="0"/>
    <n v="14634.686250000001"/>
    <n v="11847.565950000002"/>
    <n v="0"/>
    <n v="16050.401559900562"/>
    <n v="13590.465809607182"/>
  </r>
  <r>
    <s v="Regular"/>
    <x v="4"/>
    <x v="4"/>
    <x v="3"/>
    <x v="0"/>
    <x v="0"/>
    <x v="0"/>
    <x v="1"/>
    <x v="0"/>
    <n v="0"/>
    <n v="0"/>
    <n v="791.82899999999995"/>
    <n v="791.82899999999995"/>
    <n v="791.82899999999995"/>
    <n v="791.82899999999995"/>
    <n v="1415"/>
    <x v="2"/>
    <n v="0"/>
    <n v="0"/>
    <n v="61"/>
    <n v="7"/>
    <n v="0"/>
    <n v="285.75"/>
    <n v="231.33"/>
    <m/>
    <n v="313.39259123109559"/>
    <n v="265.36104285086753"/>
    <n v="0"/>
    <n v="226265.13674999998"/>
    <n v="183173.80257"/>
    <n v="0"/>
    <n v="248153.34212192718"/>
    <n v="210120.56919955957"/>
  </r>
  <r>
    <s v="Sistema de Compensação"/>
    <x v="4"/>
    <x v="4"/>
    <x v="3"/>
    <x v="0"/>
    <x v="0"/>
    <x v="0"/>
    <x v="1"/>
    <x v="0"/>
    <n v="0"/>
    <n v="0"/>
    <n v="9.1050000000000004"/>
    <n v="9.1050000000000004"/>
    <n v="9.1050000000000004"/>
    <n v="9.1050000000000004"/>
    <n v="1"/>
    <x v="2"/>
    <n v="0"/>
    <n v="0"/>
    <n v="61"/>
    <n v="7"/>
    <n v="0"/>
    <n v="285.75"/>
    <n v="231.33"/>
    <m/>
    <n v="313.39259123109559"/>
    <n v="265.36104285086753"/>
    <n v="0"/>
    <n v="2601.7537500000003"/>
    <n v="2106.2596500000004"/>
    <n v="0"/>
    <n v="2853.4395431591256"/>
    <n v="2416.1122951571492"/>
  </r>
  <r>
    <s v="Regular"/>
    <x v="4"/>
    <x v="4"/>
    <x v="3"/>
    <x v="0"/>
    <x v="0"/>
    <x v="0"/>
    <x v="1"/>
    <x v="1"/>
    <n v="0"/>
    <n v="0"/>
    <n v="808.64700000000005"/>
    <n v="808.64700000000005"/>
    <n v="808.64700000000005"/>
    <n v="808.64700000000005"/>
    <n v="1429"/>
    <x v="2"/>
    <n v="0"/>
    <n v="0"/>
    <n v="61"/>
    <n v="7"/>
    <n v="0"/>
    <n v="285.75"/>
    <n v="231.33"/>
    <m/>
    <n v="313.39259123109559"/>
    <n v="265.36104285086753"/>
    <n v="0"/>
    <n v="231070.88025000002"/>
    <n v="187064.31051000001"/>
    <n v="0"/>
    <n v="253423.97872125177"/>
    <n v="214583.41121822549"/>
  </r>
  <r>
    <s v="Sistema de Compensação"/>
    <x v="4"/>
    <x v="4"/>
    <x v="3"/>
    <x v="0"/>
    <x v="0"/>
    <x v="0"/>
    <x v="1"/>
    <x v="1"/>
    <n v="0"/>
    <n v="0"/>
    <n v="9.8379999999999992"/>
    <n v="9.8379999999999992"/>
    <n v="9.8379999999999992"/>
    <n v="9.8379999999999992"/>
    <n v="1"/>
    <x v="2"/>
    <n v="0"/>
    <n v="0"/>
    <n v="61"/>
    <n v="7"/>
    <n v="0"/>
    <n v="285.75"/>
    <n v="231.33"/>
    <m/>
    <n v="313.39259123109559"/>
    <n v="265.36104285086753"/>
    <n v="0"/>
    <n v="2811.2084999999997"/>
    <n v="2275.8245400000001"/>
    <n v="0"/>
    <n v="3083.1563125315183"/>
    <n v="2610.6219395668345"/>
  </r>
  <r>
    <s v="Regular"/>
    <x v="4"/>
    <x v="4"/>
    <x v="3"/>
    <x v="0"/>
    <x v="0"/>
    <x v="0"/>
    <x v="1"/>
    <x v="2"/>
    <n v="0"/>
    <n v="0"/>
    <n v="783.99"/>
    <n v="783.99"/>
    <n v="783.99"/>
    <n v="783.99"/>
    <n v="1439"/>
    <x v="2"/>
    <n v="0"/>
    <n v="0"/>
    <n v="61"/>
    <n v="7"/>
    <n v="0"/>
    <n v="285.75"/>
    <n v="231.33"/>
    <m/>
    <n v="313.39259123109559"/>
    <n v="265.36104285086753"/>
    <n v="0"/>
    <n v="224025.14250000002"/>
    <n v="181360.40670000002"/>
    <n v="0"/>
    <n v="245696.65759926665"/>
    <n v="208040.40398465164"/>
  </r>
  <r>
    <s v="Refaturamento - Regular"/>
    <x v="4"/>
    <x v="4"/>
    <x v="3"/>
    <x v="0"/>
    <x v="0"/>
    <x v="0"/>
    <x v="1"/>
    <x v="2"/>
    <n v="0"/>
    <n v="0"/>
    <n v="0.03"/>
    <n v="0.03"/>
    <n v="0.03"/>
    <n v="0.03"/>
    <n v="1"/>
    <x v="2"/>
    <n v="0"/>
    <n v="0"/>
    <n v="61"/>
    <n v="7"/>
    <n v="0"/>
    <n v="285.75"/>
    <n v="231.33"/>
    <m/>
    <n v="313.39259123109559"/>
    <n v="265.36104285086753"/>
    <n v="0"/>
    <n v="8.5724999999999998"/>
    <n v="6.9398999999999997"/>
    <n v="0"/>
    <n v="9.4017777369328677"/>
    <n v="7.9608312855260257"/>
  </r>
  <r>
    <s v="Sistema de Compensação"/>
    <x v="4"/>
    <x v="4"/>
    <x v="3"/>
    <x v="0"/>
    <x v="0"/>
    <x v="0"/>
    <x v="1"/>
    <x v="2"/>
    <n v="0"/>
    <n v="0"/>
    <n v="8.5030000000000001"/>
    <n v="8.5030000000000001"/>
    <n v="8.5030000000000001"/>
    <n v="8.5030000000000001"/>
    <n v="1"/>
    <x v="2"/>
    <n v="0"/>
    <n v="0"/>
    <n v="61"/>
    <n v="7"/>
    <n v="0"/>
    <n v="285.75"/>
    <n v="231.33"/>
    <m/>
    <n v="313.39259123109559"/>
    <n v="265.36104285086753"/>
    <n v="0"/>
    <n v="2429.73225"/>
    <n v="1966.99899"/>
    <n v="0"/>
    <n v="2664.7772032380058"/>
    <n v="2256.3649473609266"/>
  </r>
  <r>
    <s v="Regular"/>
    <x v="4"/>
    <x v="4"/>
    <x v="3"/>
    <x v="0"/>
    <x v="0"/>
    <x v="0"/>
    <x v="1"/>
    <x v="3"/>
    <n v="0"/>
    <n v="0"/>
    <n v="766.19399999999996"/>
    <n v="766.19399999999996"/>
    <n v="766.19399999999996"/>
    <n v="766.19399999999996"/>
    <n v="1438"/>
    <x v="2"/>
    <n v="0"/>
    <n v="0"/>
    <n v="61"/>
    <n v="7"/>
    <n v="0"/>
    <n v="285.75"/>
    <n v="231.33"/>
    <m/>
    <n v="313.39259123109559"/>
    <n v="265.36104285086753"/>
    <n v="0"/>
    <n v="218939.93549999999"/>
    <n v="177243.65802"/>
    <n v="0"/>
    <n v="240119.52304571806"/>
    <n v="203318.03886607758"/>
  </r>
  <r>
    <s v="Sistema de Compensação"/>
    <x v="4"/>
    <x v="4"/>
    <x v="3"/>
    <x v="0"/>
    <x v="0"/>
    <x v="0"/>
    <x v="1"/>
    <x v="3"/>
    <n v="0"/>
    <n v="0"/>
    <n v="10.4"/>
    <n v="10.4"/>
    <n v="10.4"/>
    <n v="10.4"/>
    <n v="1"/>
    <x v="2"/>
    <n v="0"/>
    <n v="0"/>
    <n v="61"/>
    <n v="7"/>
    <n v="0"/>
    <n v="285.75"/>
    <n v="231.33"/>
    <m/>
    <n v="313.39259123109559"/>
    <n v="265.36104285086753"/>
    <n v="0"/>
    <n v="2971.8"/>
    <n v="2405.8320000000003"/>
    <n v="0"/>
    <n v="3259.2829488033944"/>
    <n v="2759.7548456490226"/>
  </r>
  <r>
    <s v="Regular"/>
    <x v="4"/>
    <x v="4"/>
    <x v="3"/>
    <x v="0"/>
    <x v="0"/>
    <x v="0"/>
    <x v="1"/>
    <x v="4"/>
    <n v="0"/>
    <n v="0"/>
    <n v="669.51"/>
    <n v="669.51"/>
    <n v="669.51"/>
    <n v="669.51"/>
    <n v="1424"/>
    <x v="2"/>
    <n v="0"/>
    <n v="0"/>
    <n v="61"/>
    <n v="7"/>
    <n v="0"/>
    <n v="285.75"/>
    <n v="231.33"/>
    <m/>
    <n v="313.39259123109559"/>
    <n v="265.36104285086753"/>
    <n v="0"/>
    <n v="191312.48249999998"/>
    <n v="154877.74830000001"/>
    <n v="0"/>
    <n v="209819.47375513081"/>
    <n v="177661.87179908433"/>
  </r>
  <r>
    <s v="Refaturamento - Regular"/>
    <x v="4"/>
    <x v="4"/>
    <x v="3"/>
    <x v="0"/>
    <x v="0"/>
    <x v="0"/>
    <x v="1"/>
    <x v="4"/>
    <n v="0"/>
    <n v="0"/>
    <n v="-0.13"/>
    <n v="-0.13"/>
    <n v="-0.13"/>
    <n v="-0.13"/>
    <n v="-2"/>
    <x v="2"/>
    <n v="0"/>
    <n v="0"/>
    <n v="61"/>
    <n v="7"/>
    <n v="0"/>
    <n v="285.75"/>
    <n v="231.33"/>
    <m/>
    <n v="313.39259123109559"/>
    <n v="265.36104285086753"/>
    <n v="0"/>
    <n v="-37.147500000000001"/>
    <n v="-30.072900000000004"/>
    <n v="0"/>
    <n v="-40.741036860042428"/>
    <n v="-34.496935570612777"/>
  </r>
  <r>
    <s v="Sistema de Compensação"/>
    <x v="4"/>
    <x v="4"/>
    <x v="3"/>
    <x v="0"/>
    <x v="0"/>
    <x v="0"/>
    <x v="1"/>
    <x v="4"/>
    <n v="0"/>
    <n v="0"/>
    <n v="9.7520000000000007"/>
    <n v="9.7520000000000007"/>
    <n v="9.7520000000000007"/>
    <n v="9.7520000000000007"/>
    <n v="1"/>
    <x v="2"/>
    <n v="0"/>
    <n v="0"/>
    <n v="61"/>
    <n v="7"/>
    <n v="0"/>
    <n v="285.75"/>
    <n v="231.33"/>
    <m/>
    <n v="313.39259123109559"/>
    <n v="265.36104285086753"/>
    <n v="0"/>
    <n v="2786.634"/>
    <n v="2255.9301600000003"/>
    <n v="0"/>
    <n v="3056.2045496856445"/>
    <n v="2587.8008898816602"/>
  </r>
  <r>
    <s v="Regular"/>
    <x v="4"/>
    <x v="4"/>
    <x v="3"/>
    <x v="0"/>
    <x v="0"/>
    <x v="0"/>
    <x v="1"/>
    <x v="5"/>
    <n v="0"/>
    <n v="0"/>
    <n v="711.63800000000003"/>
    <n v="711.63800000000003"/>
    <n v="711.63800000000003"/>
    <n v="711.63800000000003"/>
    <n v="1425"/>
    <x v="2"/>
    <n v="0"/>
    <n v="0"/>
    <n v="61"/>
    <n v="7"/>
    <n v="0"/>
    <n v="285.75"/>
    <n v="231.33"/>
    <m/>
    <n v="313.39259123109559"/>
    <n v="265.36104285086753"/>
    <n v="0"/>
    <n v="203350.55850000001"/>
    <n v="164623.21854000003"/>
    <n v="0"/>
    <n v="223022.07683851442"/>
    <n v="188841.00181230568"/>
  </r>
  <r>
    <s v="Sistema de Compensação"/>
    <x v="4"/>
    <x v="4"/>
    <x v="3"/>
    <x v="0"/>
    <x v="0"/>
    <x v="0"/>
    <x v="1"/>
    <x v="5"/>
    <n v="0"/>
    <n v="0"/>
    <n v="9.8030000000000008"/>
    <n v="9.8030000000000008"/>
    <n v="9.8030000000000008"/>
    <n v="9.8030000000000008"/>
    <n v="1"/>
    <x v="2"/>
    <n v="0"/>
    <n v="0"/>
    <n v="61"/>
    <n v="7"/>
    <n v="0"/>
    <n v="285.75"/>
    <n v="231.33"/>
    <m/>
    <n v="313.39259123109559"/>
    <n v="265.36104285086753"/>
    <n v="0"/>
    <n v="2801.2072500000004"/>
    <n v="2267.7279900000003"/>
    <n v="0"/>
    <n v="3072.1875718384304"/>
    <n v="2601.3343030670549"/>
  </r>
  <r>
    <s v="Regular"/>
    <x v="4"/>
    <x v="4"/>
    <x v="3"/>
    <x v="0"/>
    <x v="0"/>
    <x v="0"/>
    <x v="1"/>
    <x v="6"/>
    <n v="0"/>
    <n v="0"/>
    <n v="690.24300000000005"/>
    <n v="690.24300000000005"/>
    <n v="690.24300000000005"/>
    <n v="690.24300000000005"/>
    <n v="1427"/>
    <x v="2"/>
    <n v="0"/>
    <n v="0"/>
    <n v="61"/>
    <n v="7"/>
    <n v="0"/>
    <n v="285.75"/>
    <n v="231.33"/>
    <m/>
    <n v="313.39259123109559"/>
    <n v="265.36104285086753"/>
    <n v="0"/>
    <n v="197236.93725000002"/>
    <n v="159673.91319000002"/>
    <n v="0"/>
    <n v="216317.04234912514"/>
    <n v="183163.60230051138"/>
  </r>
  <r>
    <s v="Refaturamento - Regular"/>
    <x v="4"/>
    <x v="4"/>
    <x v="3"/>
    <x v="0"/>
    <x v="0"/>
    <x v="0"/>
    <x v="1"/>
    <x v="6"/>
    <n v="0"/>
    <n v="0"/>
    <n v="-11.167"/>
    <n v="-11.167"/>
    <n v="-11.167"/>
    <n v="-11.167"/>
    <n v="1"/>
    <x v="2"/>
    <n v="0"/>
    <n v="0"/>
    <n v="61"/>
    <n v="7"/>
    <n v="0"/>
    <n v="285.75"/>
    <n v="231.33"/>
    <m/>
    <n v="313.39259123109559"/>
    <n v="265.36104285086753"/>
    <n v="0"/>
    <n v="-3190.9702499999999"/>
    <n v="-2583.2621100000001"/>
    <n v="0"/>
    <n v="-3499.6550662776444"/>
    <n v="-2963.2867655156379"/>
  </r>
  <r>
    <s v="Sistema de Compensação"/>
    <x v="4"/>
    <x v="4"/>
    <x v="3"/>
    <x v="0"/>
    <x v="0"/>
    <x v="0"/>
    <x v="1"/>
    <x v="6"/>
    <n v="0"/>
    <n v="0"/>
    <n v="7.3659999999999997"/>
    <n v="7.3659999999999997"/>
    <n v="7.3659999999999997"/>
    <n v="7.3659999999999997"/>
    <n v="1"/>
    <x v="2"/>
    <n v="0"/>
    <n v="0"/>
    <n v="61"/>
    <n v="7"/>
    <n v="0"/>
    <n v="285.75"/>
    <n v="231.33"/>
    <m/>
    <n v="313.39259123109559"/>
    <n v="265.36104285086753"/>
    <n v="0"/>
    <n v="2104.8344999999999"/>
    <n v="1703.97678"/>
    <n v="0"/>
    <n v="2308.4498270082499"/>
    <n v="1954.6494416394901"/>
  </r>
  <r>
    <s v="Regular"/>
    <x v="4"/>
    <x v="4"/>
    <x v="3"/>
    <x v="0"/>
    <x v="0"/>
    <x v="0"/>
    <x v="1"/>
    <x v="7"/>
    <n v="0"/>
    <n v="0"/>
    <n v="679.69399999999996"/>
    <n v="679.69399999999996"/>
    <n v="679.69399999999996"/>
    <n v="679.69399999999996"/>
    <n v="1421"/>
    <x v="2"/>
    <n v="0"/>
    <n v="0"/>
    <n v="61"/>
    <n v="7"/>
    <n v="0"/>
    <n v="285.75"/>
    <n v="231.33"/>
    <m/>
    <n v="313.39259123109559"/>
    <n v="265.36104285086753"/>
    <n v="0"/>
    <n v="194222.56049999999"/>
    <n v="157233.61301999999"/>
    <n v="0"/>
    <n v="213011.06390422827"/>
    <n v="180364.30865947754"/>
  </r>
  <r>
    <s v="Sistema de Compensação"/>
    <x v="4"/>
    <x v="4"/>
    <x v="3"/>
    <x v="0"/>
    <x v="0"/>
    <x v="0"/>
    <x v="1"/>
    <x v="7"/>
    <n v="0"/>
    <n v="0"/>
    <n v="8.0009999999999994"/>
    <n v="8.0009999999999994"/>
    <n v="8.0009999999999994"/>
    <n v="8.0009999999999994"/>
    <n v="1"/>
    <x v="2"/>
    <n v="0"/>
    <n v="0"/>
    <n v="61"/>
    <n v="7"/>
    <n v="0"/>
    <n v="285.75"/>
    <n v="231.33"/>
    <m/>
    <n v="313.39259123109559"/>
    <n v="265.36104285086753"/>
    <n v="0"/>
    <n v="2286.28575"/>
    <n v="1850.8713299999999"/>
    <n v="0"/>
    <n v="2507.4541224399954"/>
    <n v="2123.1537038497909"/>
  </r>
  <r>
    <s v="Regular"/>
    <x v="4"/>
    <x v="4"/>
    <x v="3"/>
    <x v="0"/>
    <x v="0"/>
    <x v="0"/>
    <x v="1"/>
    <x v="8"/>
    <n v="0"/>
    <n v="0"/>
    <n v="796.76199999999994"/>
    <n v="796.76199999999994"/>
    <n v="796.76199999999994"/>
    <n v="796.76199999999994"/>
    <n v="1428"/>
    <x v="2"/>
    <n v="0"/>
    <n v="0"/>
    <n v="61"/>
    <n v="7"/>
    <n v="0"/>
    <n v="285.75"/>
    <n v="231.33"/>
    <m/>
    <n v="313.39259123109559"/>
    <n v="265.36104285086753"/>
    <n v="0"/>
    <n v="227674.74149999997"/>
    <n v="184314.95345999999"/>
    <n v="0"/>
    <n v="249699.30777447016"/>
    <n v="211429.59522394292"/>
  </r>
  <r>
    <s v="Sistema de Compensação"/>
    <x v="4"/>
    <x v="4"/>
    <x v="3"/>
    <x v="0"/>
    <x v="0"/>
    <x v="0"/>
    <x v="1"/>
    <x v="8"/>
    <n v="0"/>
    <n v="0"/>
    <n v="8.19"/>
    <n v="8.19"/>
    <n v="8.19"/>
    <n v="8.19"/>
    <n v="1"/>
    <x v="2"/>
    <n v="0"/>
    <n v="0"/>
    <n v="61"/>
    <n v="7"/>
    <n v="0"/>
    <n v="285.75"/>
    <n v="231.33"/>
    <m/>
    <n v="313.39259123109559"/>
    <n v="265.36104285086753"/>
    <n v="0"/>
    <n v="2340.2925"/>
    <n v="1894.5926999999999"/>
    <n v="0"/>
    <n v="2566.6853221826727"/>
    <n v="2173.3069409486052"/>
  </r>
  <r>
    <s v="Regular"/>
    <x v="4"/>
    <x v="4"/>
    <x v="3"/>
    <x v="0"/>
    <x v="0"/>
    <x v="0"/>
    <x v="1"/>
    <x v="9"/>
    <n v="0"/>
    <n v="0"/>
    <n v="835.428"/>
    <n v="835.428"/>
    <n v="835.428"/>
    <n v="835.428"/>
    <n v="1431"/>
    <x v="2"/>
    <n v="0"/>
    <n v="0"/>
    <n v="61"/>
    <n v="7"/>
    <n v="0"/>
    <n v="285.75"/>
    <n v="231.33"/>
    <m/>
    <n v="313.39259123109559"/>
    <n v="265.36104285086753"/>
    <n v="0"/>
    <n v="238723.55100000001"/>
    <n v="193259.55924"/>
    <n v="0"/>
    <n v="261816.94570701174"/>
    <n v="221690.04530681457"/>
  </r>
  <r>
    <s v="Refaturamento - Regular"/>
    <x v="4"/>
    <x v="4"/>
    <x v="3"/>
    <x v="0"/>
    <x v="0"/>
    <x v="0"/>
    <x v="1"/>
    <x v="9"/>
    <n v="0"/>
    <n v="0"/>
    <n v="-11.247"/>
    <n v="-11.247"/>
    <n v="-11.247"/>
    <n v="-11.247"/>
    <n v="-3"/>
    <x v="2"/>
    <n v="0"/>
    <n v="0"/>
    <n v="61"/>
    <n v="7"/>
    <n v="0"/>
    <n v="285.75"/>
    <n v="231.33"/>
    <m/>
    <n v="313.39259123109559"/>
    <n v="265.36104285086753"/>
    <n v="0"/>
    <n v="-3213.83025"/>
    <n v="-2601.7685100000003"/>
    <n v="0"/>
    <n v="-3524.7264735761323"/>
    <n v="-2984.5156489437072"/>
  </r>
  <r>
    <s v="Sistema de Compensação"/>
    <x v="4"/>
    <x v="4"/>
    <x v="3"/>
    <x v="0"/>
    <x v="0"/>
    <x v="0"/>
    <x v="1"/>
    <x v="9"/>
    <n v="0"/>
    <n v="0"/>
    <n v="9.3480000000000008"/>
    <n v="9.3480000000000008"/>
    <n v="9.3480000000000008"/>
    <n v="9.3480000000000008"/>
    <n v="1"/>
    <x v="2"/>
    <n v="0"/>
    <n v="0"/>
    <n v="61"/>
    <n v="7"/>
    <n v="0"/>
    <n v="285.75"/>
    <n v="231.33"/>
    <m/>
    <n v="313.39259123109559"/>
    <n v="265.36104285086753"/>
    <n v="0"/>
    <n v="2671.1910000000003"/>
    <n v="2162.4728400000004"/>
    <n v="0"/>
    <n v="2929.5939428282818"/>
    <n v="2480.59502856991"/>
  </r>
  <r>
    <s v="Regular"/>
    <x v="4"/>
    <x v="4"/>
    <x v="3"/>
    <x v="0"/>
    <x v="0"/>
    <x v="0"/>
    <x v="1"/>
    <x v="10"/>
    <n v="0"/>
    <n v="0"/>
    <n v="898.94600000000003"/>
    <n v="898.94600000000003"/>
    <n v="898.94600000000003"/>
    <n v="898.94600000000003"/>
    <n v="1436"/>
    <x v="2"/>
    <n v="0"/>
    <n v="0"/>
    <n v="61"/>
    <n v="7"/>
    <n v="0"/>
    <n v="285.75"/>
    <n v="231.33"/>
    <m/>
    <n v="313.39259123109559"/>
    <n v="265.36104285086753"/>
    <n v="0"/>
    <n v="256873.81950000001"/>
    <n v="207953.17818000002"/>
    <n v="0"/>
    <n v="281723.01631682849"/>
    <n v="238545.24802661597"/>
  </r>
  <r>
    <s v="Sistema de Compensação"/>
    <x v="4"/>
    <x v="4"/>
    <x v="3"/>
    <x v="0"/>
    <x v="0"/>
    <x v="0"/>
    <x v="1"/>
    <x v="10"/>
    <n v="0"/>
    <n v="0"/>
    <n v="11.028"/>
    <n v="11.028"/>
    <n v="11.028"/>
    <n v="11.028"/>
    <n v="1"/>
    <x v="2"/>
    <n v="0"/>
    <n v="0"/>
    <n v="61"/>
    <n v="7"/>
    <n v="0"/>
    <n v="285.75"/>
    <n v="231.33"/>
    <m/>
    <n v="313.39259123109559"/>
    <n v="265.36104285086753"/>
    <n v="0"/>
    <n v="3151.2510000000002"/>
    <n v="2551.1072400000003"/>
    <n v="0"/>
    <n v="3456.0934960965224"/>
    <n v="2926.4015805593672"/>
  </r>
  <r>
    <s v="PROJETADO"/>
    <x v="4"/>
    <x v="4"/>
    <x v="3"/>
    <x v="0"/>
    <x v="0"/>
    <x v="0"/>
    <x v="1"/>
    <x v="11"/>
    <n v="0"/>
    <n v="0"/>
    <n v="898.94600000000003"/>
    <n v="898.94600000000003"/>
    <n v="898.94600000000003"/>
    <n v="898.94600000000003"/>
    <n v="1436"/>
    <x v="2"/>
    <n v="0"/>
    <n v="0"/>
    <n v="61"/>
    <n v="7"/>
    <n v="0"/>
    <n v="285.75"/>
    <n v="231.33"/>
    <m/>
    <n v="313.39259123109559"/>
    <n v="265.36104285086753"/>
    <n v="0"/>
    <n v="256873.81950000001"/>
    <n v="207953.17818000002"/>
    <n v="0"/>
    <n v="281723.01631682849"/>
    <n v="238545.24802661597"/>
  </r>
  <r>
    <s v="PROJETADO"/>
    <x v="4"/>
    <x v="4"/>
    <x v="3"/>
    <x v="0"/>
    <x v="0"/>
    <x v="0"/>
    <x v="1"/>
    <x v="11"/>
    <n v="0"/>
    <n v="0"/>
    <n v="11.028"/>
    <n v="11.028"/>
    <n v="11.028"/>
    <n v="11.028"/>
    <n v="1"/>
    <x v="2"/>
    <n v="0"/>
    <n v="0"/>
    <n v="61"/>
    <n v="7"/>
    <n v="0"/>
    <n v="285.75"/>
    <n v="231.33"/>
    <m/>
    <n v="313.39259123109559"/>
    <n v="265.36104285086753"/>
    <n v="0"/>
    <n v="3151.2510000000002"/>
    <n v="2551.1072400000003"/>
    <n v="0"/>
    <n v="3456.0934960965224"/>
    <n v="2926.4015805593672"/>
  </r>
  <r>
    <s v="Regular"/>
    <x v="4"/>
    <x v="4"/>
    <x v="4"/>
    <x v="1"/>
    <x v="0"/>
    <x v="0"/>
    <x v="1"/>
    <x v="0"/>
    <n v="0"/>
    <n v="0"/>
    <n v="78.28"/>
    <n v="78.28"/>
    <n v="78.28"/>
    <n v="78.28"/>
    <n v="64"/>
    <x v="2"/>
    <n v="0"/>
    <n v="0"/>
    <n v="61"/>
    <n v="7"/>
    <n v="0"/>
    <n v="268.60499999999996"/>
    <n v="217.4502"/>
    <m/>
    <n v="303.99081349416269"/>
    <n v="257.40021156534152"/>
    <n v="0"/>
    <n v="21026.399399999998"/>
    <n v="17022.001656"/>
    <n v="0"/>
    <n v="23796.400880323057"/>
    <n v="20149.288561334935"/>
  </r>
  <r>
    <s v="Regular"/>
    <x v="4"/>
    <x v="4"/>
    <x v="4"/>
    <x v="1"/>
    <x v="0"/>
    <x v="0"/>
    <x v="1"/>
    <x v="1"/>
    <n v="0"/>
    <n v="0"/>
    <n v="88.935000000000002"/>
    <n v="88.935000000000002"/>
    <n v="88.935000000000002"/>
    <n v="88.935000000000002"/>
    <n v="66"/>
    <x v="2"/>
    <n v="0"/>
    <n v="0"/>
    <n v="61"/>
    <n v="7"/>
    <n v="0"/>
    <n v="268.60499999999996"/>
    <n v="217.4502"/>
    <m/>
    <n v="303.99081349416269"/>
    <n v="257.40021156534152"/>
    <n v="0"/>
    <n v="23888.385674999998"/>
    <n v="19338.933537000001"/>
    <n v="0"/>
    <n v="27035.42299810336"/>
    <n v="22891.887815563648"/>
  </r>
  <r>
    <s v="Regular"/>
    <x v="4"/>
    <x v="4"/>
    <x v="4"/>
    <x v="1"/>
    <x v="0"/>
    <x v="0"/>
    <x v="1"/>
    <x v="2"/>
    <n v="0"/>
    <n v="0"/>
    <n v="85.811000000000007"/>
    <n v="85.811000000000007"/>
    <n v="85.811000000000007"/>
    <n v="85.811000000000007"/>
    <n v="65"/>
    <x v="2"/>
    <n v="0"/>
    <n v="0"/>
    <n v="61"/>
    <n v="7"/>
    <n v="0"/>
    <n v="268.60499999999996"/>
    <n v="217.4502"/>
    <m/>
    <n v="303.99081349416269"/>
    <n v="257.40021156534152"/>
    <n v="0"/>
    <n v="23049.263654999999"/>
    <n v="18659.619112200002"/>
    <n v="0"/>
    <n v="26085.755696747598"/>
    <n v="22087.769554633524"/>
  </r>
  <r>
    <s v="Regular"/>
    <x v="4"/>
    <x v="4"/>
    <x v="4"/>
    <x v="1"/>
    <x v="0"/>
    <x v="0"/>
    <x v="1"/>
    <x v="3"/>
    <n v="0"/>
    <n v="0"/>
    <n v="97.037999999999997"/>
    <n v="97.037999999999997"/>
    <n v="97.037999999999997"/>
    <n v="97.037999999999997"/>
    <n v="64"/>
    <x v="2"/>
    <n v="0"/>
    <n v="0"/>
    <n v="61"/>
    <n v="7"/>
    <n v="0"/>
    <n v="268.60499999999996"/>
    <n v="217.4502"/>
    <m/>
    <n v="303.99081349416269"/>
    <n v="257.40021156534152"/>
    <n v="0"/>
    <n v="26064.891989999996"/>
    <n v="21100.932507599999"/>
    <n v="0"/>
    <n v="29498.660559846558"/>
    <n v="24977.60172987761"/>
  </r>
  <r>
    <s v="Regular"/>
    <x v="4"/>
    <x v="4"/>
    <x v="4"/>
    <x v="1"/>
    <x v="0"/>
    <x v="0"/>
    <x v="1"/>
    <x v="4"/>
    <n v="0"/>
    <n v="0"/>
    <n v="79.037999999999997"/>
    <n v="79.037999999999997"/>
    <n v="79.037999999999997"/>
    <n v="79.037999999999997"/>
    <n v="65"/>
    <x v="2"/>
    <n v="0"/>
    <n v="0"/>
    <n v="61"/>
    <n v="7"/>
    <n v="0"/>
    <n v="268.60499999999996"/>
    <n v="217.4502"/>
    <m/>
    <n v="303.99081349416269"/>
    <n v="257.40021156534152"/>
    <n v="0"/>
    <n v="21230.001989999997"/>
    <n v="17186.8289076"/>
    <n v="0"/>
    <n v="24026.825916951631"/>
    <n v="20344.397921701464"/>
  </r>
  <r>
    <s v="Regular"/>
    <x v="4"/>
    <x v="4"/>
    <x v="4"/>
    <x v="1"/>
    <x v="0"/>
    <x v="0"/>
    <x v="1"/>
    <x v="5"/>
    <n v="0"/>
    <n v="0"/>
    <n v="90.715000000000003"/>
    <n v="90.715000000000003"/>
    <n v="90.715000000000003"/>
    <n v="90.715000000000003"/>
    <n v="65"/>
    <x v="2"/>
    <n v="0"/>
    <n v="0"/>
    <n v="61"/>
    <n v="7"/>
    <n v="0"/>
    <n v="268.60499999999996"/>
    <n v="217.4502"/>
    <m/>
    <n v="303.99081349416269"/>
    <n v="257.40021156534152"/>
    <n v="0"/>
    <n v="24366.502574999999"/>
    <n v="19725.994892999999"/>
    <n v="0"/>
    <n v="27576.526646122969"/>
    <n v="23350.060192149958"/>
  </r>
  <r>
    <s v="Regular"/>
    <x v="4"/>
    <x v="4"/>
    <x v="4"/>
    <x v="1"/>
    <x v="0"/>
    <x v="0"/>
    <x v="1"/>
    <x v="6"/>
    <n v="0"/>
    <n v="0"/>
    <n v="80.218999999999994"/>
    <n v="80.218999999999994"/>
    <n v="80.218999999999994"/>
    <n v="80.218999999999994"/>
    <n v="65"/>
    <x v="2"/>
    <n v="0"/>
    <n v="0"/>
    <n v="61"/>
    <n v="7"/>
    <n v="0"/>
    <n v="268.60499999999996"/>
    <n v="217.4502"/>
    <m/>
    <n v="303.99081349416269"/>
    <n v="257.40021156534152"/>
    <n v="0"/>
    <n v="21547.224494999995"/>
    <n v="17443.637593799998"/>
    <n v="0"/>
    <n v="24385.839067688234"/>
    <n v="20648.387571560132"/>
  </r>
  <r>
    <s v="Regular"/>
    <x v="4"/>
    <x v="4"/>
    <x v="4"/>
    <x v="1"/>
    <x v="0"/>
    <x v="0"/>
    <x v="1"/>
    <x v="7"/>
    <n v="0"/>
    <n v="0"/>
    <n v="81.337000000000003"/>
    <n v="81.337000000000003"/>
    <n v="81.337000000000003"/>
    <n v="81.337000000000003"/>
    <n v="65"/>
    <x v="2"/>
    <n v="0"/>
    <n v="0"/>
    <n v="61"/>
    <n v="7"/>
    <n v="0"/>
    <n v="268.60499999999996"/>
    <n v="217.4502"/>
    <m/>
    <n v="303.99081349416269"/>
    <n v="257.40021156534152"/>
    <n v="0"/>
    <n v="21847.524884999999"/>
    <n v="17686.7469174"/>
    <n v="0"/>
    <n v="24725.700797174712"/>
    <n v="20936.161008090185"/>
  </r>
  <r>
    <s v="Regular"/>
    <x v="4"/>
    <x v="4"/>
    <x v="4"/>
    <x v="1"/>
    <x v="0"/>
    <x v="0"/>
    <x v="1"/>
    <x v="8"/>
    <n v="0"/>
    <n v="0"/>
    <n v="87.936000000000007"/>
    <n v="87.936000000000007"/>
    <n v="87.936000000000007"/>
    <n v="87.936000000000007"/>
    <n v="65"/>
    <x v="2"/>
    <n v="0"/>
    <n v="0"/>
    <n v="61"/>
    <n v="7"/>
    <n v="0"/>
    <n v="268.60499999999996"/>
    <n v="217.4502"/>
    <m/>
    <n v="303.99081349416269"/>
    <n v="257.40021156534152"/>
    <n v="0"/>
    <n v="23620.049279999999"/>
    <n v="19121.700787199999"/>
    <n v="0"/>
    <n v="26731.736175422691"/>
    <n v="22634.745004209875"/>
  </r>
  <r>
    <s v="Regular"/>
    <x v="4"/>
    <x v="4"/>
    <x v="4"/>
    <x v="1"/>
    <x v="0"/>
    <x v="0"/>
    <x v="1"/>
    <x v="9"/>
    <n v="0"/>
    <n v="0"/>
    <n v="87.006"/>
    <n v="87.006"/>
    <n v="87.006"/>
    <n v="87.006"/>
    <n v="67"/>
    <x v="2"/>
    <n v="0"/>
    <n v="0"/>
    <n v="61"/>
    <n v="7"/>
    <n v="0"/>
    <n v="268.60499999999996"/>
    <n v="217.4502"/>
    <m/>
    <n v="303.99081349416269"/>
    <n v="257.40021156534152"/>
    <n v="0"/>
    <n v="23370.246629999998"/>
    <n v="18919.472101200001"/>
    <n v="0"/>
    <n v="26449.024718873119"/>
    <n v="22395.362807454105"/>
  </r>
  <r>
    <s v="Refaturamento - Regular"/>
    <x v="4"/>
    <x v="4"/>
    <x v="4"/>
    <x v="1"/>
    <x v="0"/>
    <x v="0"/>
    <x v="1"/>
    <x v="9"/>
    <n v="0"/>
    <n v="0"/>
    <n v="-0.03"/>
    <n v="-0.03"/>
    <n v="-0.03"/>
    <n v="-0.03"/>
    <n v="-1"/>
    <x v="2"/>
    <n v="0"/>
    <n v="0"/>
    <n v="61"/>
    <n v="7"/>
    <n v="0"/>
    <n v="268.60499999999996"/>
    <n v="217.4502"/>
    <m/>
    <n v="303.99081349416269"/>
    <n v="257.40021156534152"/>
    <n v="0"/>
    <n v="-8.0581499999999977"/>
    <n v="-6.5235059999999994"/>
    <n v="0"/>
    <n v="-9.1197244048248809"/>
    <n v="-7.7220063469602458"/>
  </r>
  <r>
    <s v="Regular"/>
    <x v="4"/>
    <x v="4"/>
    <x v="4"/>
    <x v="1"/>
    <x v="0"/>
    <x v="0"/>
    <x v="1"/>
    <x v="10"/>
    <n v="0"/>
    <n v="0"/>
    <n v="92.775000000000006"/>
    <n v="92.775000000000006"/>
    <n v="92.775000000000006"/>
    <n v="92.775000000000006"/>
    <n v="67"/>
    <x v="2"/>
    <n v="0"/>
    <n v="0"/>
    <n v="61"/>
    <n v="7"/>
    <n v="0"/>
    <n v="268.60499999999996"/>
    <n v="217.4502"/>
    <m/>
    <n v="303.99081349416269"/>
    <n v="257.40021156534152"/>
    <n v="0"/>
    <n v="24919.828874999999"/>
    <n v="20173.942305"/>
    <n v="0"/>
    <n v="28202.747721920947"/>
    <n v="23880.304627974561"/>
  </r>
  <r>
    <s v="PROJETADO"/>
    <x v="4"/>
    <x v="4"/>
    <x v="4"/>
    <x v="1"/>
    <x v="0"/>
    <x v="0"/>
    <x v="1"/>
    <x v="11"/>
    <n v="0"/>
    <n v="0"/>
    <n v="92.775000000000006"/>
    <n v="92.775000000000006"/>
    <n v="92.775000000000006"/>
    <n v="92.775000000000006"/>
    <n v="67"/>
    <x v="2"/>
    <n v="0"/>
    <n v="0"/>
    <n v="61"/>
    <n v="7"/>
    <n v="0"/>
    <n v="268.60499999999996"/>
    <n v="217.4502"/>
    <m/>
    <n v="303.99081349416269"/>
    <n v="257.40021156534152"/>
    <n v="0"/>
    <n v="24919.828874999999"/>
    <n v="20173.942305"/>
    <n v="0"/>
    <n v="28202.747721920947"/>
    <n v="23880.304627974561"/>
  </r>
  <r>
    <s v="Regular"/>
    <x v="5"/>
    <x v="4"/>
    <x v="8"/>
    <x v="8"/>
    <x v="0"/>
    <x v="0"/>
    <x v="1"/>
    <x v="0"/>
    <n v="0"/>
    <n v="0"/>
    <n v="3064.1419999999998"/>
    <n v="3064.1419999999998"/>
    <n v="3064.1419999999998"/>
    <n v="3064.1419999999998"/>
    <n v="70"/>
    <x v="2"/>
    <n v="0"/>
    <n v="0"/>
    <n v="63"/>
    <n v="80"/>
    <n v="0"/>
    <n v="157.16"/>
    <n v="127.23"/>
    <m/>
    <n v="172.36592517710255"/>
    <n v="145.94857356797718"/>
    <n v="0"/>
    <n v="481560.55671999994"/>
    <n v="389850.78665999998"/>
    <n v="0"/>
    <n v="528153.67070401739"/>
    <n v="447207.1541097287"/>
  </r>
  <r>
    <s v="Regular"/>
    <x v="5"/>
    <x v="4"/>
    <x v="8"/>
    <x v="8"/>
    <x v="0"/>
    <x v="0"/>
    <x v="1"/>
    <x v="1"/>
    <n v="0"/>
    <n v="0"/>
    <n v="3061.0070000000001"/>
    <n v="3061.0070000000001"/>
    <n v="3061.0070000000001"/>
    <n v="3061.0070000000001"/>
    <n v="74"/>
    <x v="2"/>
    <n v="0"/>
    <n v="0"/>
    <n v="63"/>
    <n v="80"/>
    <n v="0"/>
    <n v="157.16"/>
    <n v="127.23"/>
    <m/>
    <n v="172.36592517710255"/>
    <n v="145.94857356797718"/>
    <n v="0"/>
    <n v="481067.86012000003"/>
    <n v="389451.92061000003"/>
    <n v="0"/>
    <n v="527613.30352858722"/>
    <n v="446749.60533159313"/>
  </r>
  <r>
    <s v="Regular"/>
    <x v="5"/>
    <x v="4"/>
    <x v="8"/>
    <x v="8"/>
    <x v="0"/>
    <x v="0"/>
    <x v="1"/>
    <x v="2"/>
    <n v="0"/>
    <n v="0"/>
    <n v="3070.6329999999998"/>
    <n v="3070.6329999999998"/>
    <n v="3070.6329999999998"/>
    <n v="3070.6329999999998"/>
    <n v="74"/>
    <x v="2"/>
    <n v="0"/>
    <n v="0"/>
    <n v="63"/>
    <n v="80"/>
    <n v="0"/>
    <n v="157.16"/>
    <n v="127.23"/>
    <m/>
    <n v="172.36592517710255"/>
    <n v="145.94857356797718"/>
    <n v="0"/>
    <n v="482580.68227999995"/>
    <n v="390676.63659000001"/>
    <n v="0"/>
    <n v="529272.49792434194"/>
    <n v="448154.50630075845"/>
  </r>
  <r>
    <s v="Regular"/>
    <x v="5"/>
    <x v="4"/>
    <x v="8"/>
    <x v="8"/>
    <x v="0"/>
    <x v="0"/>
    <x v="1"/>
    <x v="3"/>
    <n v="0"/>
    <n v="0"/>
    <n v="3101.3229999999999"/>
    <n v="3101.3229999999999"/>
    <n v="3101.3229999999999"/>
    <n v="3101.3229999999999"/>
    <n v="74"/>
    <x v="2"/>
    <n v="0"/>
    <n v="0"/>
    <n v="63"/>
    <n v="80"/>
    <n v="0"/>
    <n v="157.16"/>
    <n v="127.23"/>
    <m/>
    <n v="172.36592517710255"/>
    <n v="145.94857356797718"/>
    <n v="0"/>
    <n v="487403.92267999996"/>
    <n v="394581.32529000001"/>
    <n v="0"/>
    <n v="534562.40816802718"/>
    <n v="452633.66802355967"/>
  </r>
  <r>
    <s v="Regular"/>
    <x v="5"/>
    <x v="4"/>
    <x v="8"/>
    <x v="8"/>
    <x v="0"/>
    <x v="0"/>
    <x v="1"/>
    <x v="4"/>
    <n v="0"/>
    <n v="0"/>
    <n v="3350.3620000000001"/>
    <n v="3350.3620000000001"/>
    <n v="3350.3620000000001"/>
    <n v="3350.3620000000001"/>
    <n v="75"/>
    <x v="2"/>
    <n v="0"/>
    <n v="0"/>
    <n v="63"/>
    <n v="80"/>
    <n v="0"/>
    <n v="157.16"/>
    <n v="127.23"/>
    <m/>
    <n v="172.36592517710255"/>
    <n v="145.94857356797718"/>
    <n v="0"/>
    <n v="526542.89191999997"/>
    <n v="426266.55726000003"/>
    <n v="0"/>
    <n v="577488.24580820766"/>
    <n v="488980.55483635515"/>
  </r>
  <r>
    <s v="Regular"/>
    <x v="5"/>
    <x v="4"/>
    <x v="8"/>
    <x v="8"/>
    <x v="0"/>
    <x v="0"/>
    <x v="1"/>
    <x v="5"/>
    <n v="0"/>
    <n v="0"/>
    <n v="3083.627"/>
    <n v="3083.627"/>
    <n v="3083.627"/>
    <n v="3083.627"/>
    <n v="74"/>
    <x v="2"/>
    <n v="0"/>
    <n v="0"/>
    <n v="63"/>
    <n v="80"/>
    <n v="0"/>
    <n v="157.16"/>
    <n v="127.23"/>
    <m/>
    <n v="172.36592517710255"/>
    <n v="145.94857356797718"/>
    <n v="0"/>
    <n v="484622.81932000001"/>
    <n v="392329.86320999998"/>
    <n v="0"/>
    <n v="531512.22075609316"/>
    <n v="450050.96206570073"/>
  </r>
  <r>
    <s v="Regular"/>
    <x v="5"/>
    <x v="4"/>
    <x v="8"/>
    <x v="8"/>
    <x v="0"/>
    <x v="0"/>
    <x v="1"/>
    <x v="6"/>
    <n v="0"/>
    <n v="0"/>
    <n v="2883.42"/>
    <n v="2883.42"/>
    <n v="2883.42"/>
    <n v="2883.42"/>
    <n v="75"/>
    <x v="2"/>
    <n v="0"/>
    <n v="0"/>
    <n v="63"/>
    <n v="80"/>
    <n v="0"/>
    <n v="157.16"/>
    <n v="127.23"/>
    <m/>
    <n v="172.36592517710255"/>
    <n v="145.94857356797718"/>
    <n v="0"/>
    <n v="453158.28720000002"/>
    <n v="366857.52660000004"/>
    <n v="0"/>
    <n v="497003.35597416107"/>
    <n v="420831.03599737678"/>
  </r>
  <r>
    <s v="Regular"/>
    <x v="5"/>
    <x v="4"/>
    <x v="8"/>
    <x v="8"/>
    <x v="0"/>
    <x v="0"/>
    <x v="1"/>
    <x v="7"/>
    <n v="0"/>
    <n v="0"/>
    <n v="2778.9769999999999"/>
    <n v="2778.9769999999999"/>
    <n v="2778.9769999999999"/>
    <n v="2778.9769999999999"/>
    <n v="75"/>
    <x v="2"/>
    <n v="0"/>
    <n v="0"/>
    <n v="63"/>
    <n v="80"/>
    <n v="0"/>
    <n v="157.16"/>
    <n v="127.23"/>
    <m/>
    <n v="172.36592517710255"/>
    <n v="145.94857356797718"/>
    <n v="0"/>
    <n v="436744.02531999996"/>
    <n v="353569.24371000001"/>
    <n v="0"/>
    <n v="479000.94165088888"/>
    <n v="405587.72912821651"/>
  </r>
  <r>
    <s v="Regular"/>
    <x v="5"/>
    <x v="4"/>
    <x v="8"/>
    <x v="8"/>
    <x v="0"/>
    <x v="0"/>
    <x v="1"/>
    <x v="8"/>
    <n v="0"/>
    <n v="0"/>
    <n v="2857.6770000000001"/>
    <n v="2857.6770000000001"/>
    <n v="2857.6770000000001"/>
    <n v="2857.6770000000001"/>
    <n v="76"/>
    <x v="2"/>
    <n v="0"/>
    <n v="0"/>
    <n v="63"/>
    <n v="80"/>
    <n v="0"/>
    <n v="157.16"/>
    <n v="127.23"/>
    <m/>
    <n v="172.36592517710255"/>
    <n v="145.94857356797718"/>
    <n v="0"/>
    <n v="449112.51731999998"/>
    <n v="363582.24471000006"/>
    <n v="0"/>
    <n v="492566.13996232691"/>
    <n v="417073.88186801632"/>
  </r>
  <r>
    <s v="Regular"/>
    <x v="5"/>
    <x v="4"/>
    <x v="8"/>
    <x v="8"/>
    <x v="0"/>
    <x v="0"/>
    <x v="1"/>
    <x v="9"/>
    <n v="0"/>
    <n v="0"/>
    <n v="2714.1350000000002"/>
    <n v="2714.1350000000002"/>
    <n v="2714.1350000000002"/>
    <n v="2714.1350000000002"/>
    <n v="76"/>
    <x v="2"/>
    <n v="0"/>
    <n v="0"/>
    <n v="63"/>
    <n v="80"/>
    <n v="0"/>
    <n v="157.16"/>
    <n v="127.23"/>
    <m/>
    <n v="172.36592517710255"/>
    <n v="145.94857356797718"/>
    <n v="0"/>
    <n v="426553.45660000003"/>
    <n v="345319.39605000004"/>
    <n v="0"/>
    <n v="467824.39033055527"/>
    <n v="396124.13172092178"/>
  </r>
  <r>
    <s v="Regular"/>
    <x v="5"/>
    <x v="4"/>
    <x v="8"/>
    <x v="8"/>
    <x v="0"/>
    <x v="0"/>
    <x v="1"/>
    <x v="10"/>
    <n v="0"/>
    <n v="0"/>
    <n v="2795.0160000000001"/>
    <n v="2795.0160000000001"/>
    <n v="2795.0160000000001"/>
    <n v="2795.0160000000001"/>
    <n v="76"/>
    <x v="2"/>
    <n v="0"/>
    <n v="0"/>
    <n v="63"/>
    <n v="80"/>
    <n v="0"/>
    <n v="157.16"/>
    <n v="127.23"/>
    <m/>
    <n v="172.36592517710255"/>
    <n v="145.94857356797718"/>
    <n v="0"/>
    <n v="439264.71455999999"/>
    <n v="355609.88568000001"/>
    <n v="0"/>
    <n v="481765.51872480451"/>
    <n v="407928.59829967329"/>
  </r>
  <r>
    <s v="PROJETADO"/>
    <x v="5"/>
    <x v="4"/>
    <x v="8"/>
    <x v="8"/>
    <x v="0"/>
    <x v="0"/>
    <x v="1"/>
    <x v="11"/>
    <n v="0"/>
    <n v="0"/>
    <n v="2795.0160000000001"/>
    <n v="2795.0160000000001"/>
    <n v="2795.0160000000001"/>
    <n v="2795.0160000000001"/>
    <n v="76"/>
    <x v="2"/>
    <n v="0"/>
    <n v="0"/>
    <n v="63"/>
    <n v="80"/>
    <n v="0"/>
    <n v="157.16"/>
    <n v="127.23"/>
    <m/>
    <n v="172.36592517710255"/>
    <n v="145.94857356797718"/>
    <n v="0"/>
    <n v="439264.71455999999"/>
    <n v="355609.88568000001"/>
    <n v="0"/>
    <n v="481765.51872480451"/>
    <n v="407928.598299673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3BA68-3DBE-47AA-8D6F-BD465498EBB4}" name="Efeito Resumo" cacheId="51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1040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2"/>
        <item x="5"/>
        <item x="8"/>
        <item x="0"/>
        <item x="1"/>
        <item x="3"/>
        <item x="7"/>
        <item x="6"/>
        <item x="4"/>
        <item t="default"/>
      </items>
    </pivotField>
    <pivotField axis="axisRow" showAll="0">
      <items count="10">
        <item x="7"/>
        <item x="1"/>
        <item x="8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2"/>
        <item x="1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039">
    <i>
      <x/>
    </i>
    <i r="1">
      <x v="1"/>
    </i>
    <i r="2">
      <x/>
    </i>
    <i r="3">
      <x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4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7"/>
    </i>
    <i r="4">
      <x/>
    </i>
    <i r="5">
      <x v="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1"/>
    </i>
    <i r="3">
      <x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 v="1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2"/>
    </i>
    <i r="5">
      <x v="3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4"/>
    </i>
    <i r="4">
      <x v="3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 v="3"/>
    </i>
    <i r="4">
      <x v="3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3"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 v="3"/>
    </i>
    <i r="6">
      <x v="1"/>
    </i>
    <i r="7">
      <x/>
    </i>
    <i r="8">
      <x/>
    </i>
    <i r="8">
      <x v="1"/>
    </i>
    <i r="8">
      <x v="6"/>
    </i>
    <i r="8">
      <x v="7"/>
    </i>
    <i r="7">
      <x v="2"/>
    </i>
    <i r="8">
      <x/>
    </i>
    <i r="8">
      <x v="1"/>
    </i>
    <i r="8">
      <x v="6"/>
    </i>
    <i r="8">
      <x v="7"/>
    </i>
    <i r="7">
      <x v="3"/>
    </i>
    <i r="8">
      <x/>
    </i>
    <i r="8">
      <x v="1"/>
    </i>
    <i r="8">
      <x v="6"/>
    </i>
    <i r="8">
      <x v="7"/>
    </i>
    <i r="3">
      <x v="3"/>
    </i>
    <i r="4">
      <x v="3"/>
    </i>
    <i r="5">
      <x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1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7"/>
    <dataField name="Soma de Variação TE" fld="34" baseField="0" baseItem="0" numFmtId="167"/>
    <dataField name="Soma de Variação" fld="35" baseField="0" baseItem="0" numFmtId="167"/>
  </dataFields>
  <formats count="460">
    <format dxfId="829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82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827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826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825">
      <pivotArea type="all" dataOnly="0" outline="0" fieldPosition="0"/>
    </format>
    <format dxfId="824">
      <pivotArea outline="0" collapsedLevelsAreSubtotals="1" fieldPosition="0"/>
    </format>
    <format dxfId="823">
      <pivotArea field="16" type="button" dataOnly="0" labelOnly="1" outline="0" axis="axisRow" fieldPosition="0"/>
    </format>
    <format dxfId="822">
      <pivotArea dataOnly="0" labelOnly="1" fieldPosition="0">
        <references count="1">
          <reference field="16" count="0"/>
        </references>
      </pivotArea>
    </format>
    <format dxfId="821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819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81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12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11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81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80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9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79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9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79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2">
            <x v="0"/>
            <x v="3"/>
          </reference>
          <reference field="16" count="1" selected="0">
            <x v="2"/>
          </reference>
        </references>
      </pivotArea>
    </format>
    <format dxfId="79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85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78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783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73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7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7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7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6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6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3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41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74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73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73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73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73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70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70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70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70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70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70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70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9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9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9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9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9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9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9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9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9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6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74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7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7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7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7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6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6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5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5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5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4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4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4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4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3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3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1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1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1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615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14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61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1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1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1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0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0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0"/>
            <x v="1"/>
            <x v="6"/>
            <x v="7"/>
          </reference>
          <reference field="16" count="1" selected="0">
            <x v="2"/>
          </reference>
        </references>
      </pivotArea>
    </format>
    <format dxfId="60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0"/>
            <x v="1"/>
            <x v="6"/>
            <x v="7"/>
          </reference>
          <reference field="16" count="1" selected="0">
            <x v="2"/>
          </reference>
        </references>
      </pivotArea>
    </format>
    <format dxfId="60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0"/>
            <x v="1"/>
            <x v="6"/>
            <x v="7"/>
          </reference>
          <reference field="16" count="1" selected="0">
            <x v="2"/>
          </reference>
        </references>
      </pivotArea>
    </format>
    <format dxfId="60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0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0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0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9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598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97">
      <pivotArea type="all" dataOnly="0" outline="0" fieldPosition="0"/>
    </format>
    <format dxfId="596">
      <pivotArea outline="0" collapsedLevelsAreSubtotals="1" fieldPosition="0"/>
    </format>
    <format dxfId="595">
      <pivotArea field="16" type="button" dataOnly="0" labelOnly="1" outline="0" axis="axisRow" fieldPosition="0"/>
    </format>
    <format dxfId="594">
      <pivotArea dataOnly="0" labelOnly="1" fieldPosition="0">
        <references count="1">
          <reference field="16" count="0"/>
        </references>
      </pivotArea>
    </format>
    <format dxfId="593">
      <pivotArea dataOnly="0" labelOnly="1" fieldPosition="0">
        <references count="2">
          <reference field="1" count="5">
            <x v="1"/>
            <x v="2"/>
            <x v="3"/>
            <x v="4"/>
            <x v="5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591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59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584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58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58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58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6">
            <x v="0"/>
            <x v="1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1">
            <x v="0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71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57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6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2"/>
          </reference>
        </references>
      </pivotArea>
    </format>
    <format dxfId="56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2">
            <x v="0"/>
            <x v="3"/>
          </reference>
          <reference field="16" count="1" selected="0">
            <x v="2"/>
          </reference>
        </references>
      </pivotArea>
    </format>
    <format dxfId="56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6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6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4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54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4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4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4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54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2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5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1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13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1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1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2"/>
          </reference>
        </references>
      </pivotArea>
    </format>
    <format dxfId="51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0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50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48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0"/>
          </reference>
          <reference field="16" count="1" selected="0">
            <x v="1"/>
          </reference>
        </references>
      </pivotArea>
    </format>
    <format dxfId="47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47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47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47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47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1"/>
          </reference>
          <reference field="16" count="1" selected="0">
            <x v="2"/>
          </reference>
        </references>
      </pivotArea>
    </format>
    <format dxfId="47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7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7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6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6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6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6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6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5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5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5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4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4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4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4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44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4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4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4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4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4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9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88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387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6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38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8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8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8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8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8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4">
            <x v="0"/>
            <x v="1"/>
            <x v="6"/>
            <x v="7"/>
          </reference>
          <reference field="16" count="1" selected="0">
            <x v="2"/>
          </reference>
        </references>
      </pivotArea>
    </format>
    <format dxfId="37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4">
            <x v="0"/>
            <x v="1"/>
            <x v="6"/>
            <x v="7"/>
          </reference>
          <reference field="16" count="1" selected="0">
            <x v="2"/>
          </reference>
        </references>
      </pivotArea>
    </format>
    <format dxfId="37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4">
            <x v="0"/>
            <x v="1"/>
            <x v="6"/>
            <x v="7"/>
          </reference>
          <reference field="16" count="1" selected="0">
            <x v="2"/>
          </reference>
        </references>
      </pivotArea>
    </format>
    <format dxfId="37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0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AFCFAF-294F-4986-A7D7-6F8BB9CA6206}" name="Subsidio Resumo" cacheId="515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409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9">
        <item x="7"/>
        <item x="1"/>
        <item x="0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7">
        <item x="1"/>
        <item x="4"/>
        <item x="0"/>
        <item x="5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408">
    <i>
      <x/>
    </i>
    <i r="1">
      <x/>
    </i>
    <i r="2">
      <x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3"/>
    </i>
    <i r="4">
      <x v="1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3"/>
    </i>
    <i r="4">
      <x v="1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2"/>
    </i>
    <i r="3">
      <x v="1"/>
    </i>
    <i r="4">
      <x v="4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2"/>
    </i>
    <i r="5">
      <x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 v="2"/>
    </i>
    <i r="2">
      <x v="2"/>
    </i>
    <i r="3">
      <x v="2"/>
    </i>
    <i r="4">
      <x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 v="3"/>
    </i>
    <i r="3">
      <x v="2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2"/>
    </i>
    <i r="4">
      <x v="2"/>
    </i>
    <i r="5">
      <x v="3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2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 v="1"/>
    </i>
    <i r="2">
      <x v="2"/>
    </i>
    <i r="3">
      <x v="1"/>
    </i>
    <i r="4">
      <x v="3"/>
    </i>
    <i r="5">
      <x v="3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26">
    <format dxfId="369">
      <pivotArea outline="0" collapsedLevelsAreSubtotals="1" fieldPosition="0"/>
    </format>
    <format dxfId="36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67">
      <pivotArea type="all" dataOnly="0" outline="0" fieldPosition="0"/>
    </format>
    <format dxfId="366">
      <pivotArea outline="0" collapsedLevelsAreSubtotals="1" fieldPosition="0"/>
    </format>
    <format dxfId="365">
      <pivotArea field="31" type="button" dataOnly="0" labelOnly="1" outline="0" axis="axisRow" fieldPosition="0"/>
    </format>
    <format dxfId="364">
      <pivotArea dataOnly="0" labelOnly="1" fieldPosition="0">
        <references count="1">
          <reference field="31" count="0"/>
        </references>
      </pivotArea>
    </format>
    <format dxfId="363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362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361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360">
      <pivotArea dataOnly="0" labelOnly="1" fieldPosition="0">
        <references count="2">
          <reference field="1" count="1">
            <x v="2"/>
          </reference>
          <reference field="31" count="1" selected="0">
            <x v="3"/>
          </reference>
        </references>
      </pivotArea>
    </format>
    <format dxfId="35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358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357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356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55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54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35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35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351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4"/>
          </reference>
        </references>
      </pivotArea>
    </format>
    <format dxfId="350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5"/>
          </reference>
        </references>
      </pivotArea>
    </format>
    <format dxfId="34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34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34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4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4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34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4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339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33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335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3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3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32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330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329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328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32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32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32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1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31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31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31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31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31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1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30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30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0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30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30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1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30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29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29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29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9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8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8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286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28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8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5"/>
          </reference>
        </references>
      </pivotArea>
    </format>
    <format dxfId="28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8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8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7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7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7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7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6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6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6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6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26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26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25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5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25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25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field="31" type="button" dataOnly="0" labelOnly="1" outline="0" axis="axisRow" fieldPosition="0"/>
    </format>
    <format dxfId="252">
      <pivotArea dataOnly="0" labelOnly="1" fieldPosition="0">
        <references count="1">
          <reference field="31" count="0"/>
        </references>
      </pivotArea>
    </format>
    <format dxfId="251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50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49">
      <pivotArea dataOnly="0" labelOnly="1" fieldPosition="0">
        <references count="2">
          <reference field="1" count="1">
            <x v="0"/>
          </reference>
          <reference field="31" count="1" selected="0">
            <x v="2"/>
          </reference>
        </references>
      </pivotArea>
    </format>
    <format dxfId="248">
      <pivotArea dataOnly="0" labelOnly="1" fieldPosition="0">
        <references count="2">
          <reference field="1" count="1">
            <x v="2"/>
          </reference>
          <reference field="31" count="1" selected="0">
            <x v="3"/>
          </reference>
        </references>
      </pivotArea>
    </format>
    <format dxfId="24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4"/>
          </reference>
        </references>
      </pivotArea>
    </format>
    <format dxfId="246">
      <pivotArea dataOnly="0" labelOnly="1" fieldPosition="0">
        <references count="2">
          <reference field="1" count="1">
            <x v="1"/>
          </reference>
          <reference field="31" count="1" selected="0">
            <x v="5"/>
          </reference>
        </references>
      </pivotArea>
    </format>
    <format dxfId="24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244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43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242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2"/>
          </reference>
        </references>
      </pivotArea>
    </format>
    <format dxfId="241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3"/>
          </reference>
        </references>
      </pivotArea>
    </format>
    <format dxfId="240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4"/>
          </reference>
        </references>
      </pivotArea>
    </format>
    <format dxfId="239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4"/>
          </reference>
        </references>
      </pivotArea>
    </format>
    <format dxfId="238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5"/>
          </reference>
        </references>
      </pivotArea>
    </format>
    <format dxfId="23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6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5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0"/>
          </reference>
        </references>
      </pivotArea>
    </format>
    <format dxfId="234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1"/>
          </reference>
        </references>
      </pivotArea>
    </format>
    <format dxfId="23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3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3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3"/>
          </reference>
        </references>
      </pivotArea>
    </format>
    <format dxfId="23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4"/>
          </reference>
        </references>
      </pivotArea>
    </format>
    <format dxfId="227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5"/>
          </reference>
        </references>
      </pivotArea>
    </format>
    <format dxfId="22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23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2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2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20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0"/>
          </reference>
          <reference field="31" count="1" selected="0">
            <x v="3"/>
          </reference>
        </references>
      </pivotArea>
    </format>
    <format dxfId="21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21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>
            <x v="2"/>
          </reference>
          <reference field="31" count="1" selected="0">
            <x v="4"/>
          </reference>
        </references>
      </pivotArea>
    </format>
    <format dxfId="217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2">
            <x v="0"/>
            <x v="2"/>
          </reference>
          <reference field="31" count="1" selected="0">
            <x v="4"/>
          </reference>
        </references>
      </pivotArea>
    </format>
    <format dxfId="21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31" count="1" selected="0">
            <x v="5"/>
          </reference>
        </references>
      </pivotArea>
    </format>
    <format dxfId="21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1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1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0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0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0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20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4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4"/>
          </reference>
        </references>
      </pivotArea>
    </format>
    <format dxfId="20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0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0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/>
          <reference field="31" count="1" selected="0">
            <x v="0"/>
          </reference>
        </references>
      </pivotArea>
    </format>
    <format dxfId="19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/>
          <reference field="31" count="1" selected="0">
            <x v="1"/>
          </reference>
        </references>
      </pivotArea>
    </format>
    <format dxfId="19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9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/>
          <reference field="31" count="1" selected="0">
            <x v="2"/>
          </reference>
        </references>
      </pivotArea>
    </format>
    <format dxfId="19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9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4"/>
          </reference>
        </references>
      </pivotArea>
    </format>
    <format dxfId="18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/>
          <reference field="31" count="1" selected="0">
            <x v="4"/>
          </reference>
        </references>
      </pivotArea>
    </format>
    <format dxfId="18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/>
          <reference field="31" count="1" selected="0">
            <x v="5"/>
          </reference>
        </references>
      </pivotArea>
    </format>
    <format dxfId="1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18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18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18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8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8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7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7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17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17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17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4"/>
          </reference>
        </references>
      </pivotArea>
    </format>
    <format dxfId="174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17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7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>
            <x v="2"/>
          </reference>
          <reference field="31" count="1" selected="0">
            <x v="5"/>
          </reference>
        </references>
      </pivotArea>
    </format>
    <format dxfId="1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6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6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6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4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5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6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7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5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5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5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15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4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1"/>
          </reference>
          <reference field="8" count="0"/>
          <reference field="31" count="1" selected="0">
            <x v="4"/>
          </reference>
        </references>
      </pivotArea>
    </format>
    <format dxfId="14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4"/>
          </reference>
        </references>
      </pivotArea>
    </format>
    <format dxfId="14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4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5"/>
          </reference>
        </references>
      </pivotArea>
    </format>
    <format dxfId="14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4999D80-2C4A-48DD-893F-A38FBE32DC53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6D31F03A-C079-4EDE-9396-49B136CDE506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EAEC5E47-A12A-4FD2-82A5-7FAF950CD607}" autoFormatId="0" applyNumberFormats="0" applyBorderFormats="0" applyFontFormats="1" applyPatternFormats="1" applyAlignmentFormats="0" applyWidthHeightFormats="0">
  <queryTableRefresh nextId="44">
    <queryTableFields count="43">
      <queryTableField id="1" name="SUBGRUPO" tableColumnId="44"/>
      <queryTableField id="2" name="MODALIDADE" tableColumnId="45"/>
      <queryTableField id="3" name="CLASSE" tableColumnId="46"/>
      <queryTableField id="4" name="SUBCLASSE" tableColumnId="47"/>
      <queryTableField id="5" name="DETALHE" tableColumnId="48"/>
      <queryTableField id="6" name="POSTO" tableColumnId="49"/>
      <queryTableField id="7" name="UNIDADE" tableColumnId="50"/>
      <queryTableField id="8" name="ACESSANTE" tableColumnId="51"/>
      <queryTableField id="9" name="Total TUSD" tableColumnId="52"/>
      <queryTableField id="10" name="Total TE" tableColumnId="53"/>
      <queryTableField id="11" name="TUSD_CDE_COVID" tableColumnId="54"/>
      <queryTableField id="12" name="TUSD_TFSEE" tableColumnId="55"/>
      <queryTableField id="13" name="TUSD_PeD" tableColumnId="56"/>
      <queryTableField id="14" name="TUSD_ONS" tableColumnId="57"/>
      <queryTableField id="15" name="TUSD_CCC" tableColumnId="58"/>
      <queryTableField id="16" name="TUSD_CDE" tableColumnId="59"/>
      <queryTableField id="17" name="TUSD_PROINFA" tableColumnId="60"/>
      <queryTableField id="18" name="Liminar1" tableColumnId="61"/>
      <queryTableField id="19" name="TUSD_RB" tableColumnId="62"/>
      <queryTableField id="20" name="TUSD_FR" tableColumnId="63"/>
      <queryTableField id="21" name="TUSD_CCT" tableColumnId="64"/>
      <queryTableField id="22" name="TUSD_CCD" tableColumnId="65"/>
      <queryTableField id="23" name="TUSD_CUSD" tableColumnId="66"/>
      <queryTableField id="24" name="TUSDG_T" tableColumnId="67"/>
      <queryTableField id="25" name="TUSDG_ONS" tableColumnId="68"/>
      <queryTableField id="26" name="TUSD_FioB" tableColumnId="69"/>
      <queryTableField id="27" name="TUSD Subsidio" tableColumnId="70"/>
      <queryTableField id="28" name="TUSD Outros" tableColumnId="71"/>
      <queryTableField id="29" name="TUSD_PT" tableColumnId="72"/>
      <queryTableField id="30" name="TUSD_Per_RB_D" tableColumnId="73"/>
      <queryTableField id="31" name="TUSD_PNT" tableColumnId="74"/>
      <queryTableField id="32" name="TUSD_RI" tableColumnId="75"/>
      <queryTableField id="33" name="TE_CDE_COVID" tableColumnId="76"/>
      <queryTableField id="34" name="TE_CDE_ELET" tableColumnId="77"/>
      <queryTableField id="35" name="TE_PeD" tableColumnId="78"/>
      <queryTableField id="36" name="TE_ESSERR" tableColumnId="79"/>
      <queryTableField id="37" name="TE_CFURH" tableColumnId="80"/>
      <queryTableField id="38" name="TE_ENERGIA" tableColumnId="81"/>
      <queryTableField id="39" name="TE_TRANSPORTE_ITAIPU" tableColumnId="82"/>
      <queryTableField id="40" name="TE_TUST_ITAIPU" tableColumnId="83"/>
      <queryTableField id="41" name="TE_TUST_CI" tableColumnId="84"/>
      <queryTableField id="42" name="TE Subsidio" tableColumnId="85"/>
      <queryTableField id="43" name="TE_Per_RB" tableColumnId="86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553290-7BC2-47FE-83AC-B35EA1002DAE}" name="Efeito" displayName="Efeito" ref="A1:AG1214" totalsRowShown="0" headerRowDxfId="898" dataDxfId="897">
  <autoFilter ref="A1:AG1214" xr:uid="{8A553290-7BC2-47FE-83AC-B35EA1002DAE}"/>
  <tableColumns count="33">
    <tableColumn id="1" xr3:uid="{BD3DF1B2-AD8C-472B-868D-FC088C653CEF}" name="TipoMercado" dataDxfId="896"/>
    <tableColumn id="2" xr3:uid="{DF645788-0C17-411D-94F4-EC827340B7FF}" name="Subgrupo" dataDxfId="895"/>
    <tableColumn id="3" xr3:uid="{ADFF74C7-88E2-448E-B04F-ED54ACD530E1}" name="Modalidade" dataDxfId="894"/>
    <tableColumn id="4" xr3:uid="{89D204C8-FC2B-4151-A285-ED9143682D70}" name="Classe" dataDxfId="893"/>
    <tableColumn id="5" xr3:uid="{20562C39-DF7F-4AE2-BC9C-B20498761D37}" name="Subclasse" dataDxfId="892"/>
    <tableColumn id="6" xr3:uid="{D0CD9F9F-A7F1-46A1-8F94-1D4B8D0A8A44}" name="Detalhe" dataDxfId="891"/>
    <tableColumn id="7" xr3:uid="{D8157137-45C4-4F79-BBB6-965976B301D4}" name="Agente" dataDxfId="890"/>
    <tableColumn id="8" xr3:uid="{E89C8A7A-F682-49FF-B599-4CDA77D219B3}" name="Posto" dataDxfId="889"/>
    <tableColumn id="9" xr3:uid="{E15AFE57-9FCE-486F-96E0-30A890242D80}" name="AnoMes" dataDxfId="888"/>
    <tableColumn id="10" xr3:uid="{32E0C7A8-C7CE-4A16-8578-7C42A0986BE3}" name="D" dataDxfId="887"/>
    <tableColumn id="11" xr3:uid="{FE01BBB3-84A4-47C3-A01F-3F75949D7279}" name="Daj" dataDxfId="886"/>
    <tableColumn id="12" xr3:uid="{BED89D02-180B-4332-B071-E8B1F3F2E55B}" name="TUSD_E" dataDxfId="885"/>
    <tableColumn id="13" xr3:uid="{4DFCCE05-3FFF-4F04-8932-D616D608DE87}" name="TUSD_Eaj" dataDxfId="884"/>
    <tableColumn id="14" xr3:uid="{01D4F129-12E8-4AAB-9E88-29705CD12F8D}" name="TE_E" dataDxfId="883"/>
    <tableColumn id="15" xr3:uid="{8FED8209-8B59-441D-8837-2CD31213BC8D}" name="TE_Eaj" dataDxfId="882"/>
    <tableColumn id="16" xr3:uid="{728A091B-44AD-4C75-B146-41AC119549CF}" name="UC" dataDxfId="881"/>
    <tableColumn id="17" xr3:uid="{C0733536-7665-4240-9744-4139609D8DF6}" name="OPÇÃO" dataDxfId="880"/>
    <tableColumn id="18" xr3:uid="{0CF4FE2A-DA01-4961-B2FF-21F2F9DE10A1}" name="CóD. AUX." dataDxfId="879"/>
    <tableColumn id="19" xr3:uid="{AB026566-0039-4523-BF31-65DC0D2A8E12}" name="CóD. AUX. TUSD R$/kW" dataDxfId="878"/>
    <tableColumn id="20" xr3:uid="{22FDBC30-9552-4CFA-A49D-E6EBF14E28FD}" name="CóD. AUX. TUSD R$/MWh" dataDxfId="877"/>
    <tableColumn id="21" xr3:uid="{C3E39A23-8737-4072-B91A-C9BFBEA52C7F}" name="CóD. AUX. TE R$/MWh" dataDxfId="876"/>
    <tableColumn id="22" xr3:uid="{4D2EC0D0-B153-4475-B340-376220C9CFAC}" name="TUSD (R$/kW)" dataDxfId="875"/>
    <tableColumn id="23" xr3:uid="{8E4FA38B-8D6A-4915-8734-AC69CFDD5422}" name="TUSD (R$/MWh)" dataDxfId="874"/>
    <tableColumn id="24" xr3:uid="{ADF4805F-F6FA-42EB-92DF-3F86353C97D0}" name="TE (R$/MWh)" dataDxfId="873"/>
    <tableColumn id="25" xr3:uid="{16A8183D-15C5-45C1-AF2C-153F1729270D}" name="TUSD (R$/kW) NOVA" dataDxfId="872"/>
    <tableColumn id="26" xr3:uid="{82E0021C-3FCC-4B67-A093-C04EEA6808D7}" name="TUSD (R$/MWh) NOVA" dataDxfId="871">
      <calculatedColumnFormula>('TUSD BE'!$AM$60+'TUSD BF'!$AM$60+'TUSD CVA'!$AM$60)*1</calculatedColumnFormula>
    </tableColumn>
    <tableColumn id="27" xr3:uid="{B1B91880-5048-4F88-B80B-2505109B8362}" name="TE (R$/MWh) NOVA" dataDxfId="870">
      <calculatedColumnFormula>('TE BE'!$AA$43+'TE BF'!$AA$43+'TE CVA'!$AA$43)*1</calculatedColumnFormula>
    </tableColumn>
    <tableColumn id="28" xr3:uid="{9BC8644C-4CA1-4FDC-99A8-1F8B9904096A}" name="RA0 ou RV - TUSD (kW)" dataDxfId="869"/>
    <tableColumn id="29" xr3:uid="{AF9E2CE2-A5A7-4A3B-A7D9-1B875D8EDFAA}" name="RA0 ou RV - TUSD (MWh)" dataDxfId="868"/>
    <tableColumn id="30" xr3:uid="{0466D242-161E-47C3-BA37-EACA933227BD}" name="RA0 ou RV - TE (MWh)" dataDxfId="867"/>
    <tableColumn id="31" xr3:uid="{0F9A1258-8943-4A24-A655-28A83BFCF77D}" name="RA1 ou RRD - TUSD (kW)" dataDxfId="866"/>
    <tableColumn id="32" xr3:uid="{71A0B17D-1E27-4A62-8117-5A2780502842}" name="RA1 ou RRD - TUSD (MWh)" dataDxfId="865"/>
    <tableColumn id="33" xr3:uid="{AD475C3B-0F87-4685-8A50-B7B28AA95F71}" name="RA1 ou RRD - TE (MWh)" dataDxfId="86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E531B9-6E22-461C-923C-C80B517C095E}" name="Subsidio" displayName="Subsidio" ref="A1:AF451" totalsRowShown="0" headerRowDxfId="863" dataDxfId="862">
  <autoFilter ref="A1:AF451" xr:uid="{B8E531B9-6E22-461C-923C-C80B517C095E}"/>
  <tableColumns count="32">
    <tableColumn id="1" xr3:uid="{EFF00E59-4F0F-401A-973F-20DD0FD1F955}" name="TipoMercado" dataDxfId="861"/>
    <tableColumn id="2" xr3:uid="{01C1BAC2-72A6-4D7F-A537-94BD39CEEF62}" name="Subgrupo" dataDxfId="860"/>
    <tableColumn id="3" xr3:uid="{AD8718B6-B416-4060-B8B3-DBC6CF447EC1}" name="Modalidade" dataDxfId="859"/>
    <tableColumn id="4" xr3:uid="{FD406E1F-5772-44E0-9917-DB336010BE1F}" name="Classe" dataDxfId="858"/>
    <tableColumn id="5" xr3:uid="{8394D1D5-9974-45E1-9706-FB120E5EF275}" name="Subclasse" dataDxfId="857"/>
    <tableColumn id="6" xr3:uid="{D7D3EA93-56EA-409E-B760-22EED5F2083A}" name="Detalhe" dataDxfId="856"/>
    <tableColumn id="7" xr3:uid="{9C184B61-8B93-4411-8521-CBB454FA5704}" name="Agente" dataDxfId="855"/>
    <tableColumn id="8" xr3:uid="{7ADBA448-BB36-4077-8856-7370A92AFFAA}" name="Posto" dataDxfId="854"/>
    <tableColumn id="9" xr3:uid="{C5FE08C7-5AF0-48B9-978B-6367A3D7FBC6}" name="AnoMes" dataDxfId="853"/>
    <tableColumn id="10" xr3:uid="{5AFB95D3-B1B3-4939-A387-8CD1FAEE4A27}" name="D" dataDxfId="852"/>
    <tableColumn id="11" xr3:uid="{1790A4DC-576B-4465-9A34-8EDD6109A436}" name="Daj" dataDxfId="851"/>
    <tableColumn id="12" xr3:uid="{A3702A12-7DE6-4177-802E-0C939737CFDE}" name="TUSD_E" dataDxfId="850"/>
    <tableColumn id="13" xr3:uid="{076A4546-F7FF-4D60-8BDD-EC15AF56E5AC}" name="TUSD_Eaj" dataDxfId="849"/>
    <tableColumn id="14" xr3:uid="{3EFBE2DF-661C-487F-80AD-6CE28CAD293E}" name="TE_E" dataDxfId="848"/>
    <tableColumn id="15" xr3:uid="{52AE2542-6F5A-4E21-A51E-802151C328D2}" name="TE_Eaj" dataDxfId="847"/>
    <tableColumn id="16" xr3:uid="{56C76849-58B5-4404-AD6C-68BEF04998A2}" name="UC" dataDxfId="846"/>
    <tableColumn id="17" xr3:uid="{CFE8A648-B899-44CC-A72F-C44A00D4C067}" name="OPÇÃO" dataDxfId="845"/>
    <tableColumn id="18" xr3:uid="{FD6C18E1-9FC9-4975-A30A-83DA36161441}" name="CóD. AUX." dataDxfId="844"/>
    <tableColumn id="19" xr3:uid="{D68D6F7F-D91D-472B-8DEC-9A02A01945B3}" name="CóD. AUX. TUSD R$/kW" dataDxfId="843"/>
    <tableColumn id="20" xr3:uid="{841110DC-6BE6-40CE-B1B7-853EE55DD7AB}" name="CóD. AUX. TUSD R$/MWh" dataDxfId="842"/>
    <tableColumn id="21" xr3:uid="{3BD15182-0D98-4E4E-9BC5-F6463F475942}" name="CóD. AUX. TE R$/MWh" dataDxfId="841"/>
    <tableColumn id="22" xr3:uid="{EC7F0533-5B90-4972-88F8-3AE931153EE0}" name="TUSD (R$/kW)" dataDxfId="840"/>
    <tableColumn id="23" xr3:uid="{8E6493DE-FE35-4167-8254-AC5F17580393}" name="TUSD (R$/MWh)" dataDxfId="839"/>
    <tableColumn id="24" xr3:uid="{6BCF1A71-4F37-453D-86F9-5E90591EC970}" name="TE (R$/MWh)" dataDxfId="838"/>
    <tableColumn id="25" xr3:uid="{CAB19F11-DCE7-4643-915F-F478DC5FB2F4}" name="TUSD (R$/kW) NOVA" dataDxfId="837"/>
    <tableColumn id="26" xr3:uid="{62851886-03A6-4B33-862D-CAF2D1362F5D}" name="TUSD (R$/MWh) NOVA" dataDxfId="836">
      <calculatedColumnFormula>('TUSD BE'!$AM$58+'TUSD BF'!$AM$58+'TUSD CVA'!$AM$58)*1</calculatedColumnFormula>
    </tableColumn>
    <tableColumn id="27" xr3:uid="{AF96ED8E-DE56-4DE3-ACC2-61114EE2A757}" name="TE (R$/MWh) NOVA" dataDxfId="835">
      <calculatedColumnFormula>('TE BE'!$AA$41+'TE BF'!$AA$41+'TE CVA'!$AA$41)*1</calculatedColumnFormula>
    </tableColumn>
    <tableColumn id="28" xr3:uid="{BAAA2B75-93F7-4B42-BFD8-2FA9E9F7F749}" name="SUBSIDIO kW - TV" dataDxfId="834">
      <calculatedColumnFormula>(J2-K2)*V2</calculatedColumnFormula>
    </tableColumn>
    <tableColumn id="29" xr3:uid="{D9ED767C-F7FA-4864-AC77-9AB898C235B4}" name="SUBSIDIO MWh - TV" dataDxfId="833">
      <calculatedColumnFormula>(L2-M2)*W2+(N2-O2)*X2</calculatedColumnFormula>
    </tableColumn>
    <tableColumn id="30" xr3:uid="{4AFA8BC1-4C59-48E2-9081-48BE9B285D4F}" name="SUBSIDIO kW - TN" dataDxfId="832">
      <calculatedColumnFormula>(J2-K2)*Y2</calculatedColumnFormula>
    </tableColumn>
    <tableColumn id="31" xr3:uid="{6A462C7E-53DC-4226-ACB6-064A239CE2E7}" name="SUBSIDIO MWh - TN" dataDxfId="831">
      <calculatedColumnFormula>(L2-M2)*Z2+(N2-O2)*AA2</calculatedColumnFormula>
    </tableColumn>
    <tableColumn id="32" xr3:uid="{5C4A9398-0752-4BB1-A13E-C86A36DD3657}" name="TIPO" dataDxfId="83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5D4416-1754-44C3-9F03-DBDC3A49D1D6}" name="TabelaFin" displayName="TabelaFin" ref="B3:AR64" tableType="queryTable" totalsRowShown="0" headerRowDxfId="97" dataDxfId="96" headerRowBorderDxfId="142" tableBorderDxfId="143" totalsRowBorderDxfId="141">
  <autoFilter ref="B3:AR64" xr:uid="{A15D4416-1754-44C3-9F03-DBDC3A49D1D6}"/>
  <sortState xmlns:xlrd2="http://schemas.microsoft.com/office/spreadsheetml/2017/richdata2" ref="B4:AR64">
    <sortCondition ref="B4:B64"/>
    <sortCondition ref="C4:C64"/>
    <sortCondition ref="D4:D64"/>
    <sortCondition ref="E4:E64"/>
    <sortCondition ref="F4:F64"/>
    <sortCondition descending="1" ref="G4:G64"/>
    <sortCondition descending="1" ref="H4:H64"/>
    <sortCondition ref="I4:I64"/>
  </sortState>
  <tableColumns count="43">
    <tableColumn id="44" xr3:uid="{68E8B05B-3EDF-47F7-8049-3ED5D2B0F0AA}" uniqueName="44" name="SUBGRUPO" queryTableFieldId="1" dataDxfId="140"/>
    <tableColumn id="45" xr3:uid="{1ECFCE5C-E3D3-4BC5-A43C-1310EFD1B62B}" uniqueName="45" name="MODALIDADE" queryTableFieldId="2" dataDxfId="139"/>
    <tableColumn id="46" xr3:uid="{2EFFF3AE-90DA-4349-BDDE-EB716A972B38}" uniqueName="46" name="CLASSE" queryTableFieldId="3" dataDxfId="138"/>
    <tableColumn id="47" xr3:uid="{52782836-1FA5-464D-825D-37A00C2E4490}" uniqueName="47" name="SUBCLASSE" queryTableFieldId="4" dataDxfId="137"/>
    <tableColumn id="48" xr3:uid="{3B3895CE-2E0D-4C1F-9753-D0E5799DC5DC}" uniqueName="48" name="DETALHE" queryTableFieldId="5" dataDxfId="136"/>
    <tableColumn id="49" xr3:uid="{68395FC4-8E16-4CF2-953D-47C02D4647FD}" uniqueName="49" name="POSTO" queryTableFieldId="6" dataDxfId="135"/>
    <tableColumn id="50" xr3:uid="{6888AE3C-B7D2-40BD-803C-F6422B8F6D00}" uniqueName="50" name="UNIDADE" queryTableFieldId="7" dataDxfId="134"/>
    <tableColumn id="51" xr3:uid="{1212916C-125B-4615-B6B5-DE95341B6319}" uniqueName="51" name="ACESSANTE" queryTableFieldId="8" dataDxfId="133"/>
    <tableColumn id="52" xr3:uid="{0B1E04FF-1C00-40DB-A3B4-042EA6A9EF9D}" uniqueName="52" name="Total TUSD" queryTableFieldId="9" dataDxfId="132"/>
    <tableColumn id="53" xr3:uid="{53742495-AFAC-405E-B6CD-0BDC24BAF74F}" uniqueName="53" name="Total TE" queryTableFieldId="10" dataDxfId="131"/>
    <tableColumn id="54" xr3:uid="{7916E10E-D0FE-408B-89E5-99B7CF4D9B8D}" uniqueName="54" name="TUSD_CDE_COVID" queryTableFieldId="11" dataDxfId="130"/>
    <tableColumn id="55" xr3:uid="{F61F2CD1-CEED-4C4B-8081-7C0543C67B9D}" uniqueName="55" name="TUSD_TFSEE" queryTableFieldId="12" dataDxfId="129"/>
    <tableColumn id="56" xr3:uid="{95AF21D3-5438-405E-977A-CE7AF9FBB1D9}" uniqueName="56" name="TUSD_PeD" queryTableFieldId="13" dataDxfId="128"/>
    <tableColumn id="57" xr3:uid="{E0C14EDD-E678-48E6-8E8D-A8CFB2E2A601}" uniqueName="57" name="TUSD_ONS" queryTableFieldId="14" dataDxfId="127"/>
    <tableColumn id="58" xr3:uid="{9A1309C1-F6EC-4975-A00F-171D04AE07A2}" uniqueName="58" name="TUSD_CCC" queryTableFieldId="15" dataDxfId="126"/>
    <tableColumn id="59" xr3:uid="{AEE6790D-2B4D-4935-B8D3-9DDFB544A0DD}" uniqueName="59" name="TUSD_CDE" queryTableFieldId="16" dataDxfId="125"/>
    <tableColumn id="60" xr3:uid="{C22507A8-D553-4FCB-8DEC-06C64952AE58}" uniqueName="60" name="TUSD_PROINFA" queryTableFieldId="17" dataDxfId="124"/>
    <tableColumn id="61" xr3:uid="{2EA7A637-9537-42DD-89F5-3C7A8505DCE2}" uniqueName="61" name="Liminar1" queryTableFieldId="18" dataDxfId="123"/>
    <tableColumn id="62" xr3:uid="{9B39927C-1D77-4369-B18F-232C52E888F0}" uniqueName="62" name="TUSD_RB" queryTableFieldId="19" dataDxfId="122"/>
    <tableColumn id="63" xr3:uid="{FB36533C-C7CC-43EC-9CC2-49B84A14533A}" uniqueName="63" name="TUSD_FR" queryTableFieldId="20" dataDxfId="121"/>
    <tableColumn id="64" xr3:uid="{E93DD3FB-6B2B-42A1-A095-FCF810F0FD8C}" uniqueName="64" name="TUSD_CCT" queryTableFieldId="21" dataDxfId="120"/>
    <tableColumn id="65" xr3:uid="{8A8074C9-C1B7-451F-B763-6B914F685544}" uniqueName="65" name="TUSD_CCD" queryTableFieldId="22" dataDxfId="119"/>
    <tableColumn id="66" xr3:uid="{E0F3A68B-1DDE-4B89-A4C9-0B20DCC6B58D}" uniqueName="66" name="TUSD_CUSD" queryTableFieldId="23" dataDxfId="118"/>
    <tableColumn id="67" xr3:uid="{73FD6A26-5997-4BCB-8AB8-91D5A53F0688}" uniqueName="67" name="TUSDG_T" queryTableFieldId="24" dataDxfId="117"/>
    <tableColumn id="68" xr3:uid="{11AFF733-92FF-4C72-808A-9B6FE20E7038}" uniqueName="68" name="TUSDG_ONS" queryTableFieldId="25" dataDxfId="116"/>
    <tableColumn id="69" xr3:uid="{80BF5367-8CC1-4FD6-9CD7-A141B541D3FE}" uniqueName="69" name="TUSD_FioB" queryTableFieldId="26" dataDxfId="115"/>
    <tableColumn id="70" xr3:uid="{98EC8DD7-4957-4CF6-B0AE-F677BE786F4D}" uniqueName="70" name="TUSD Subsidio" queryTableFieldId="27" dataDxfId="114"/>
    <tableColumn id="71" xr3:uid="{38D78386-7223-47E5-80BF-DC89F126D91E}" uniqueName="71" name="TUSD Outros" queryTableFieldId="28" dataDxfId="113"/>
    <tableColumn id="72" xr3:uid="{6003B204-3F84-4036-8489-1F6D2E319195}" uniqueName="72" name="TUSD_PT" queryTableFieldId="29" dataDxfId="112"/>
    <tableColumn id="73" xr3:uid="{1858BB7A-D4F9-4475-B454-B1629D7EA6E7}" uniqueName="73" name="TUSD_Per_RB_D" queryTableFieldId="30" dataDxfId="111"/>
    <tableColumn id="74" xr3:uid="{BA3CFF2D-9ED1-4D85-8DB9-73EEDF2359E3}" uniqueName="74" name="TUSD_PNT" queryTableFieldId="31" dataDxfId="110"/>
    <tableColumn id="75" xr3:uid="{BD48DCAB-FD58-4C99-88D5-0CB4317B70A4}" uniqueName="75" name="TUSD_RI" queryTableFieldId="32" dataDxfId="109"/>
    <tableColumn id="76" xr3:uid="{9172712D-FC92-4539-BB5B-A01AB4D5832D}" uniqueName="76" name="TE_CDE_COVID" queryTableFieldId="33" dataDxfId="108"/>
    <tableColumn id="77" xr3:uid="{874CF589-1150-453E-BDD5-B6718467D7AF}" uniqueName="77" name="TE_CDE_ELET" queryTableFieldId="34" dataDxfId="107"/>
    <tableColumn id="78" xr3:uid="{A7CA4559-2A72-4C80-BCFF-34932255F162}" uniqueName="78" name="TE_PeD" queryTableFieldId="35" dataDxfId="106"/>
    <tableColumn id="79" xr3:uid="{43900F5F-8B8D-40F4-A454-A73705B7758A}" uniqueName="79" name="TE_ESSERR" queryTableFieldId="36" dataDxfId="105"/>
    <tableColumn id="80" xr3:uid="{0EFCBD9E-244A-4AE9-992D-FECA653CF6B3}" uniqueName="80" name="TE_CFURH" queryTableFieldId="37" dataDxfId="104"/>
    <tableColumn id="81" xr3:uid="{7A747533-A3D1-46B5-9A57-97F5AE4D6429}" uniqueName="81" name="TE_ENERGIA" queryTableFieldId="38" dataDxfId="103"/>
    <tableColumn id="82" xr3:uid="{884EBDAD-1AAD-473B-B76B-2F0CF57C3107}" uniqueName="82" name="TE_TRANSPORTE_ITAIPU" queryTableFieldId="39" dataDxfId="102"/>
    <tableColumn id="83" xr3:uid="{4093CAFB-6074-435A-915D-F26C447B4A7F}" uniqueName="83" name="TE_TUST_ITAIPU" queryTableFieldId="40" dataDxfId="101"/>
    <tableColumn id="84" xr3:uid="{AAD616DE-B07E-486E-88A3-150E1B2FAE1D}" uniqueName="84" name="TE_TUST_CI" queryTableFieldId="41" dataDxfId="100"/>
    <tableColumn id="85" xr3:uid="{026058DD-6CCD-4971-A9B1-777A0C3F4A22}" uniqueName="85" name="TE Subsidio" queryTableFieldId="42" dataDxfId="99"/>
    <tableColumn id="86" xr3:uid="{2B376FC3-9700-413D-81D6-582F99D6E1EC}" uniqueName="86" name="TE_Per_RB" queryTableFieldId="43" dataDxfId="9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B26607A-40D7-4467-AC5B-691E6E1B05DD}" name="TabelaEc" displayName="TabelaEc" ref="B3:AR64" tableType="queryTable" totalsRowShown="0" headerRowDxfId="49" dataDxfId="48" headerRowBorderDxfId="94" tableBorderDxfId="95" totalsRowBorderDxfId="93">
  <autoFilter ref="B3:AR64" xr:uid="{8B26607A-40D7-4467-AC5B-691E6E1B05DD}"/>
  <sortState xmlns:xlrd2="http://schemas.microsoft.com/office/spreadsheetml/2017/richdata2" ref="B4:AR64">
    <sortCondition ref="B4:B64"/>
    <sortCondition ref="C4:C64"/>
    <sortCondition ref="D4:D64"/>
    <sortCondition ref="E4:E64"/>
    <sortCondition ref="F4:F64"/>
    <sortCondition descending="1" ref="G4:G64"/>
    <sortCondition descending="1" ref="H4:H64"/>
    <sortCondition ref="I4:I64"/>
  </sortState>
  <tableColumns count="43">
    <tableColumn id="44" xr3:uid="{AA2DA4D7-0811-4694-BFBA-EF6433576159}" uniqueName="44" name="SUBGRUPO" queryTableFieldId="1" dataDxfId="92"/>
    <tableColumn id="45" xr3:uid="{F1972655-C1E7-45F4-A146-DC8D3107BB4F}" uniqueName="45" name="MODALIDADE" queryTableFieldId="2" dataDxfId="91"/>
    <tableColumn id="46" xr3:uid="{B88BD958-7005-40FD-A3FC-40589775846B}" uniqueName="46" name="CLASSE" queryTableFieldId="3" dataDxfId="90"/>
    <tableColumn id="47" xr3:uid="{5C67DECE-DEAD-40EF-A1EF-B10BA2175350}" uniqueName="47" name="SUBCLASSE" queryTableFieldId="4" dataDxfId="89"/>
    <tableColumn id="48" xr3:uid="{866D853B-35C2-4A54-8B98-C22D725A53ED}" uniqueName="48" name="DETALHE" queryTableFieldId="5" dataDxfId="88"/>
    <tableColumn id="49" xr3:uid="{D4DB5560-91D3-498A-AF9E-AA69F19F0CF9}" uniqueName="49" name="POSTO" queryTableFieldId="6" dataDxfId="87"/>
    <tableColumn id="50" xr3:uid="{2BB523BB-D6F0-4535-80AF-C8F852F3D700}" uniqueName="50" name="UNIDADE" queryTableFieldId="7" dataDxfId="86"/>
    <tableColumn id="51" xr3:uid="{A8F0DA08-4844-4DF1-B321-552ED14B0533}" uniqueName="51" name="ACESSANTE" queryTableFieldId="8" dataDxfId="85"/>
    <tableColumn id="52" xr3:uid="{C2ECEB3D-F6BE-48A4-A2EC-AC0EBE8FA6BF}" uniqueName="52" name="Total TUSD" queryTableFieldId="9" dataDxfId="84"/>
    <tableColumn id="53" xr3:uid="{64DF5EA4-DA85-4431-B6D9-BEC582147411}" uniqueName="53" name="Total TE" queryTableFieldId="10" dataDxfId="83"/>
    <tableColumn id="54" xr3:uid="{6A50065D-5C3D-482C-828E-EB9F2196AB22}" uniqueName="54" name="TUSD_CDE_COVID" queryTableFieldId="11" dataDxfId="82"/>
    <tableColumn id="55" xr3:uid="{4142DC15-7D20-454C-BDC1-B4F3E9DEF65C}" uniqueName="55" name="TUSD_TFSEE" queryTableFieldId="12" dataDxfId="81"/>
    <tableColumn id="56" xr3:uid="{0865A720-0474-4019-AD20-8CBD64F5B56F}" uniqueName="56" name="TUSD_PeD" queryTableFieldId="13" dataDxfId="80"/>
    <tableColumn id="57" xr3:uid="{959ADA10-FB57-4BF1-A0B6-1CF4BD8C954C}" uniqueName="57" name="TUSD_ONS" queryTableFieldId="14" dataDxfId="79"/>
    <tableColumn id="58" xr3:uid="{98590E43-A99C-4506-9C80-0C5AD3B66198}" uniqueName="58" name="TUSD_CCC" queryTableFieldId="15" dataDxfId="78"/>
    <tableColumn id="59" xr3:uid="{661FAEDC-C98C-4055-9788-A0F185CB04BF}" uniqueName="59" name="TUSD_CDE" queryTableFieldId="16" dataDxfId="77"/>
    <tableColumn id="60" xr3:uid="{942C6DD8-0F98-4F7A-846B-67ADD55FEEB6}" uniqueName="60" name="TUSD_PROINFA" queryTableFieldId="17" dataDxfId="76"/>
    <tableColumn id="61" xr3:uid="{F26E8370-1793-41AD-81BD-B84B35F4C85E}" uniqueName="61" name="Liminar1" queryTableFieldId="18" dataDxfId="75"/>
    <tableColumn id="62" xr3:uid="{93695C0D-A73F-4766-8C16-E690A16C496F}" uniqueName="62" name="TUSD_RB" queryTableFieldId="19" dataDxfId="74"/>
    <tableColumn id="63" xr3:uid="{D4A8FFE9-6E63-4D1A-8AC2-6C21442B0EBB}" uniqueName="63" name="TUSD_FR" queryTableFieldId="20" dataDxfId="73"/>
    <tableColumn id="64" xr3:uid="{8F74770B-2E4D-4FFB-B28D-BBE9C9F0F566}" uniqueName="64" name="TUSD_CCT" queryTableFieldId="21" dataDxfId="72"/>
    <tableColumn id="65" xr3:uid="{B6F4B79F-B8EB-433A-8C8E-1722ECE59F7C}" uniqueName="65" name="TUSD_CCD" queryTableFieldId="22" dataDxfId="71"/>
    <tableColumn id="66" xr3:uid="{952A4763-4ECF-4CE5-BF4A-0B69D16E1825}" uniqueName="66" name="TUSD_CUSD" queryTableFieldId="23" dataDxfId="70"/>
    <tableColumn id="67" xr3:uid="{6E940B70-45B4-4FFD-9C69-627CEBEBB766}" uniqueName="67" name="TUSDG_T" queryTableFieldId="24" dataDxfId="69"/>
    <tableColumn id="68" xr3:uid="{0BF2CEB6-B9C7-40C7-9777-F701D90961CE}" uniqueName="68" name="TUSDG_ONS" queryTableFieldId="25" dataDxfId="68"/>
    <tableColumn id="69" xr3:uid="{4B6359A2-4577-4C2C-86DB-0280F92E2AC9}" uniqueName="69" name="TUSD_FioB" queryTableFieldId="26" dataDxfId="67"/>
    <tableColumn id="70" xr3:uid="{BCDB516C-AE27-4672-8821-BDB2D2F2CC9A}" uniqueName="70" name="TUSD Subsidio" queryTableFieldId="27" dataDxfId="66"/>
    <tableColumn id="71" xr3:uid="{E1651718-4EA0-462C-A787-4FAB6F9F5B08}" uniqueName="71" name="TUSD Outros" queryTableFieldId="28" dataDxfId="65"/>
    <tableColumn id="72" xr3:uid="{A3AB21DD-8607-4C8E-84EB-4DEC00D96973}" uniqueName="72" name="TUSD_PT" queryTableFieldId="29" dataDxfId="64"/>
    <tableColumn id="73" xr3:uid="{9AAD56A6-2178-44E7-8AB7-874EBF8C6B91}" uniqueName="73" name="TUSD_Per_RB_D" queryTableFieldId="30" dataDxfId="63"/>
    <tableColumn id="74" xr3:uid="{1AB30026-5D3B-4C24-AAD6-94E62033E198}" uniqueName="74" name="TUSD_PNT" queryTableFieldId="31" dataDxfId="62"/>
    <tableColumn id="75" xr3:uid="{9054A060-118D-4372-92C7-3419326D8FAF}" uniqueName="75" name="TUSD_RI" queryTableFieldId="32" dataDxfId="61"/>
    <tableColumn id="76" xr3:uid="{83F26784-DC22-443B-A008-54AC80D365AD}" uniqueName="76" name="TE_CDE_COVID" queryTableFieldId="33" dataDxfId="60"/>
    <tableColumn id="77" xr3:uid="{815C16A0-7F69-4ECE-9269-C2FF885576B9}" uniqueName="77" name="TE_CDE_ELET" queryTableFieldId="34" dataDxfId="59"/>
    <tableColumn id="78" xr3:uid="{CD0CB6A5-FE3F-40FF-8E21-224BEE63BA50}" uniqueName="78" name="TE_PeD" queryTableFieldId="35" dataDxfId="58"/>
    <tableColumn id="79" xr3:uid="{795426F7-7184-4EF0-8F17-96F1E7B9E4A0}" uniqueName="79" name="TE_ESSERR" queryTableFieldId="36" dataDxfId="57"/>
    <tableColumn id="80" xr3:uid="{7A85A9D6-5D0E-4745-A5C5-03AFF50B83B2}" uniqueName="80" name="TE_CFURH" queryTableFieldId="37" dataDxfId="56"/>
    <tableColumn id="81" xr3:uid="{FB5A225A-3698-4C9D-A51F-64254332FE06}" uniqueName="81" name="TE_ENERGIA" queryTableFieldId="38" dataDxfId="55"/>
    <tableColumn id="82" xr3:uid="{6F30D064-E40E-4F0B-B09D-4A4D36820A7D}" uniqueName="82" name="TE_TRANSPORTE_ITAIPU" queryTableFieldId="39" dataDxfId="54"/>
    <tableColumn id="83" xr3:uid="{912DF6DF-EAA0-461A-8B34-D29D6EE2287B}" uniqueName="83" name="TE_TUST_ITAIPU" queryTableFieldId="40" dataDxfId="53"/>
    <tableColumn id="84" xr3:uid="{9F3E9D3B-5894-4AD7-AA42-F9B6DC029170}" uniqueName="84" name="TE_TUST_CI" queryTableFieldId="41" dataDxfId="52"/>
    <tableColumn id="85" xr3:uid="{A0B461DD-70B8-43C2-A21E-A062239BB640}" uniqueName="85" name="TE Subsidio" queryTableFieldId="42" dataDxfId="51"/>
    <tableColumn id="86" xr3:uid="{352365BD-ECC3-4C33-BE55-9670D7349219}" uniqueName="86" name="TE_Per_RB" queryTableFieldId="43" dataDxfId="5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150122D-60C4-4649-86B5-A4573AC83198}" name="TabelaCVA" displayName="TabelaCVA" ref="B3:AR64" tableType="queryTable" totalsRowShown="0" headerRowDxfId="1" dataDxfId="0" headerRowBorderDxfId="46" tableBorderDxfId="47" totalsRowBorderDxfId="45">
  <autoFilter ref="B3:AR64" xr:uid="{E150122D-60C4-4649-86B5-A4573AC83198}"/>
  <sortState xmlns:xlrd2="http://schemas.microsoft.com/office/spreadsheetml/2017/richdata2" ref="B4:AR64">
    <sortCondition ref="B4:B64"/>
    <sortCondition ref="C4:C64"/>
    <sortCondition ref="D4:D64"/>
    <sortCondition ref="E4:E64"/>
    <sortCondition ref="F4:F64"/>
    <sortCondition descending="1" ref="G4:G64"/>
    <sortCondition descending="1" ref="H4:H64"/>
    <sortCondition ref="I4:I64"/>
  </sortState>
  <tableColumns count="43">
    <tableColumn id="44" xr3:uid="{CFBABB59-33BD-4930-8A05-28B6A6C4078A}" uniqueName="44" name="SUBGRUPO" queryTableFieldId="1" dataDxfId="44"/>
    <tableColumn id="45" xr3:uid="{53E4D2D1-FD03-4C47-BBEA-4E4E46546AE8}" uniqueName="45" name="MODALIDADE" queryTableFieldId="2" dataDxfId="43"/>
    <tableColumn id="46" xr3:uid="{1EEAA492-5300-45E1-AEE2-F8F42ABDBB32}" uniqueName="46" name="CLASSE" queryTableFieldId="3" dataDxfId="42"/>
    <tableColumn id="47" xr3:uid="{99873E7E-B8AE-48CC-B9A0-E755C901EEB0}" uniqueName="47" name="SUBCLASSE" queryTableFieldId="4" dataDxfId="41"/>
    <tableColumn id="48" xr3:uid="{5513376F-73A0-4B77-ADAE-713E814F64E5}" uniqueName="48" name="DETALHE" queryTableFieldId="5" dataDxfId="40"/>
    <tableColumn id="49" xr3:uid="{A814B93D-E2D4-4FBA-9587-81ECC7004816}" uniqueName="49" name="POSTO" queryTableFieldId="6" dataDxfId="39"/>
    <tableColumn id="50" xr3:uid="{7D05C668-EEF3-4787-8848-542EBDA1E260}" uniqueName="50" name="UNIDADE" queryTableFieldId="7" dataDxfId="38"/>
    <tableColumn id="51" xr3:uid="{1585153F-881B-4150-83BC-A4F29226210B}" uniqueName="51" name="ACESSANTE" queryTableFieldId="8" dataDxfId="37"/>
    <tableColumn id="52" xr3:uid="{06E67DE9-DF87-45F0-B9D7-756158D87121}" uniqueName="52" name="Total TUSD" queryTableFieldId="9" dataDxfId="36"/>
    <tableColumn id="53" xr3:uid="{F2EBFE53-2534-4430-9D4B-F9EA053F7F27}" uniqueName="53" name="Total TE" queryTableFieldId="10" dataDxfId="35"/>
    <tableColumn id="54" xr3:uid="{732AE396-8384-4851-A920-398CE29ABEAA}" uniqueName="54" name="TUSD_CDE_COVID" queryTableFieldId="11" dataDxfId="34"/>
    <tableColumn id="55" xr3:uid="{EA30F677-3A7C-4DBE-83F0-C002CDCA23CB}" uniqueName="55" name="TUSD_TFSEE" queryTableFieldId="12" dataDxfId="33"/>
    <tableColumn id="56" xr3:uid="{09FF0908-1A7B-461B-82CD-0DA3581B16C2}" uniqueName="56" name="TUSD_PeD" queryTableFieldId="13" dataDxfId="32"/>
    <tableColumn id="57" xr3:uid="{28A255A2-FCD4-4E26-9125-3472D614B117}" uniqueName="57" name="TUSD_ONS" queryTableFieldId="14" dataDxfId="31"/>
    <tableColumn id="58" xr3:uid="{34D10E9A-9156-4D7B-ABAF-AEA5FF1E3B27}" uniqueName="58" name="TUSD_CCC" queryTableFieldId="15" dataDxfId="30"/>
    <tableColumn id="59" xr3:uid="{EE293ACB-D5CB-434E-97D6-FACDC60EF0E8}" uniqueName="59" name="TUSD_CDE" queryTableFieldId="16" dataDxfId="29"/>
    <tableColumn id="60" xr3:uid="{8C54344E-1CDA-40FA-90F8-092259A08595}" uniqueName="60" name="TUSD_PROINFA" queryTableFieldId="17" dataDxfId="28"/>
    <tableColumn id="61" xr3:uid="{6D8C1C16-02AD-4A53-A2E7-557FA1265196}" uniqueName="61" name="Liminar1" queryTableFieldId="18" dataDxfId="27"/>
    <tableColumn id="62" xr3:uid="{C4EAB82C-5F82-4A85-B0C9-A9BA004DC0DF}" uniqueName="62" name="TUSD_RB" queryTableFieldId="19" dataDxfId="26"/>
    <tableColumn id="63" xr3:uid="{4B5E6095-5BC8-4F48-9744-7A5D06CCE48B}" uniqueName="63" name="TUSD_FR" queryTableFieldId="20" dataDxfId="25"/>
    <tableColumn id="64" xr3:uid="{0DAFAA20-1D9A-4ECC-B518-B8D722BDA1EA}" uniqueName="64" name="TUSD_CCT" queryTableFieldId="21" dataDxfId="24"/>
    <tableColumn id="65" xr3:uid="{13BA8A47-A014-4440-A409-928C8AC0E7D9}" uniqueName="65" name="TUSD_CCD" queryTableFieldId="22" dataDxfId="23"/>
    <tableColumn id="66" xr3:uid="{8D2A46E7-8D3B-450D-8757-0328324D854B}" uniqueName="66" name="TUSD_CUSD" queryTableFieldId="23" dataDxfId="22"/>
    <tableColumn id="67" xr3:uid="{480EEC1B-67EC-4B04-B157-E4182B361768}" uniqueName="67" name="TUSDG_T" queryTableFieldId="24" dataDxfId="21"/>
    <tableColumn id="68" xr3:uid="{16A7AD7B-905E-45C1-99ED-64302F1F8AB3}" uniqueName="68" name="TUSDG_ONS" queryTableFieldId="25" dataDxfId="20"/>
    <tableColumn id="69" xr3:uid="{A85D5E23-AB85-47D4-B2C8-2A76431924E8}" uniqueName="69" name="TUSD_FioB" queryTableFieldId="26" dataDxfId="19"/>
    <tableColumn id="70" xr3:uid="{5FEC7FF1-8C21-46D4-98BB-455343E9A5B7}" uniqueName="70" name="TUSD Subsidio" queryTableFieldId="27" dataDxfId="18"/>
    <tableColumn id="71" xr3:uid="{598F13A7-E5CF-4DDE-86D3-9590AF3DCC2E}" uniqueName="71" name="TUSD Outros" queryTableFieldId="28" dataDxfId="17"/>
    <tableColumn id="72" xr3:uid="{1027E9AB-BD6C-4A3C-A945-10224F485EB2}" uniqueName="72" name="TUSD_PT" queryTableFieldId="29" dataDxfId="16"/>
    <tableColumn id="73" xr3:uid="{B033AF6A-3924-499F-84CF-36A370755A14}" uniqueName="73" name="TUSD_Per_RB_D" queryTableFieldId="30" dataDxfId="15"/>
    <tableColumn id="74" xr3:uid="{9A89DE9D-42F0-44A0-A487-E237B3A0B1EC}" uniqueName="74" name="TUSD_PNT" queryTableFieldId="31" dataDxfId="14"/>
    <tableColumn id="75" xr3:uid="{7C704DE7-0B94-497A-BE70-5F6BB3AB2D69}" uniqueName="75" name="TUSD_RI" queryTableFieldId="32" dataDxfId="13"/>
    <tableColumn id="76" xr3:uid="{7AF9EB95-0EA0-4ACA-9AF5-EE377679F423}" uniqueName="76" name="TE_CDE_COVID" queryTableFieldId="33" dataDxfId="12"/>
    <tableColumn id="77" xr3:uid="{6964137F-4E97-4CEC-99C0-451FB8A5D276}" uniqueName="77" name="TE_CDE_ELET" queryTableFieldId="34" dataDxfId="11"/>
    <tableColumn id="78" xr3:uid="{C989ED7F-219F-41C8-B03E-8D64D3289F95}" uniqueName="78" name="TE_PeD" queryTableFieldId="35" dataDxfId="10"/>
    <tableColumn id="79" xr3:uid="{89CD1346-A1ED-4C1E-A253-D7EDD9BE7553}" uniqueName="79" name="TE_ESSERR" queryTableFieldId="36" dataDxfId="9"/>
    <tableColumn id="80" xr3:uid="{6A4E3725-9CA9-4B19-9077-F6C727844028}" uniqueName="80" name="TE_CFURH" queryTableFieldId="37" dataDxfId="8"/>
    <tableColumn id="81" xr3:uid="{D99FFD3A-BF03-44E6-881B-92D6B5FE6EFE}" uniqueName="81" name="TE_ENERGIA" queryTableFieldId="38" dataDxfId="7"/>
    <tableColumn id="82" xr3:uid="{074556AD-2003-4A4D-A0D2-6492F919202E}" uniqueName="82" name="TE_TRANSPORTE_ITAIPU" queryTableFieldId="39" dataDxfId="6"/>
    <tableColumn id="83" xr3:uid="{CF8676E0-D7AE-4BA7-AC55-B2D7CA7908F0}" uniqueName="83" name="TE_TUST_ITAIPU" queryTableFieldId="40" dataDxfId="5"/>
    <tableColumn id="84" xr3:uid="{B631BDF0-F9B1-4889-9F29-DE5B57C4CF76}" uniqueName="84" name="TE_TUST_CI" queryTableFieldId="41" dataDxfId="4"/>
    <tableColumn id="85" xr3:uid="{337C2C34-0802-4622-81BF-A4D15EB87907}" uniqueName="85" name="TE Subsidio" queryTableFieldId="42" dataDxfId="3"/>
    <tableColumn id="86" xr3:uid="{2947FE43-DBA1-4D73-BDFC-0413F84E066C}" uniqueName="86" name="TE_Per_RB" queryTableFieldId="43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320FA-27DA-465F-A397-5A919187E8BC}">
  <dimension ref="A1:W1214"/>
  <sheetViews>
    <sheetView showGridLines="0" topLeftCell="M1179" workbookViewId="0">
      <selection activeCell="T1215" sqref="T1215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2" width="7.85546875" style="6" bestFit="1" customWidth="1"/>
    <col min="13" max="13" width="8" style="6" bestFit="1" customWidth="1"/>
    <col min="14" max="15" width="7.85546875" style="6" bestFit="1" customWidth="1"/>
    <col min="16" max="16" width="8.7109375" style="6" bestFit="1" customWidth="1"/>
    <col min="17" max="17" width="11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97</v>
      </c>
      <c r="T1" s="1" t="s">
        <v>482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56</v>
      </c>
      <c r="C2" s="4" t="s">
        <v>40</v>
      </c>
      <c r="D2" s="4" t="s">
        <v>38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44228</v>
      </c>
      <c r="J2" s="6">
        <v>9989</v>
      </c>
      <c r="K2" s="6">
        <v>9989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4" t="s">
        <v>98</v>
      </c>
      <c r="U2" s="4">
        <v>4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56</v>
      </c>
      <c r="C3" s="4" t="s">
        <v>40</v>
      </c>
      <c r="D3" s="4" t="s">
        <v>38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44256</v>
      </c>
      <c r="J3" s="6">
        <v>9976</v>
      </c>
      <c r="K3" s="6">
        <v>9976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4" t="s">
        <v>99</v>
      </c>
      <c r="U3" s="4">
        <v>4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56</v>
      </c>
      <c r="C4" s="4" t="s">
        <v>40</v>
      </c>
      <c r="D4" s="4" t="s">
        <v>38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44287</v>
      </c>
      <c r="J4" s="6">
        <v>9903</v>
      </c>
      <c r="K4" s="6">
        <v>9903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4" t="s">
        <v>100</v>
      </c>
      <c r="U4" s="4">
        <v>4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56</v>
      </c>
      <c r="C5" s="4" t="s">
        <v>40</v>
      </c>
      <c r="D5" s="4" t="s">
        <v>38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44317</v>
      </c>
      <c r="J5" s="6">
        <v>9799</v>
      </c>
      <c r="K5" s="6">
        <v>9799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4" t="s">
        <v>101</v>
      </c>
      <c r="U5" s="4">
        <v>4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56</v>
      </c>
      <c r="C6" s="4" t="s">
        <v>40</v>
      </c>
      <c r="D6" s="4" t="s">
        <v>38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44348</v>
      </c>
      <c r="J6" s="6">
        <v>10067</v>
      </c>
      <c r="K6" s="6">
        <v>10067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4" t="s">
        <v>102</v>
      </c>
      <c r="U6" s="4">
        <v>4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56</v>
      </c>
      <c r="C7" s="4" t="s">
        <v>40</v>
      </c>
      <c r="D7" s="4" t="s">
        <v>38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44378</v>
      </c>
      <c r="J7" s="6">
        <v>9594</v>
      </c>
      <c r="K7" s="6">
        <v>9594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4" t="s">
        <v>103</v>
      </c>
      <c r="U7" s="4">
        <v>4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56</v>
      </c>
      <c r="C8" s="4" t="s">
        <v>40</v>
      </c>
      <c r="D8" s="4" t="s">
        <v>38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44409</v>
      </c>
      <c r="J8" s="6">
        <v>9718</v>
      </c>
      <c r="K8" s="6">
        <v>9718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4" t="s">
        <v>104</v>
      </c>
      <c r="U8" s="4">
        <v>4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56</v>
      </c>
      <c r="C9" s="4" t="s">
        <v>40</v>
      </c>
      <c r="D9" s="4" t="s">
        <v>38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44440</v>
      </c>
      <c r="J9" s="6">
        <v>9617</v>
      </c>
      <c r="K9" s="6">
        <v>9617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4" t="s">
        <v>105</v>
      </c>
      <c r="U9" s="4">
        <v>4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56</v>
      </c>
      <c r="C10" s="4" t="s">
        <v>40</v>
      </c>
      <c r="D10" s="4" t="s">
        <v>38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44470</v>
      </c>
      <c r="J10" s="6">
        <v>9570</v>
      </c>
      <c r="K10" s="6">
        <v>9570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4" t="s">
        <v>106</v>
      </c>
      <c r="U10" s="4">
        <v>4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56</v>
      </c>
      <c r="C11" s="4" t="s">
        <v>40</v>
      </c>
      <c r="D11" s="4" t="s">
        <v>38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44501</v>
      </c>
      <c r="J11" s="6">
        <v>9835</v>
      </c>
      <c r="K11" s="6">
        <v>9835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4" t="s">
        <v>107</v>
      </c>
      <c r="U11" s="4">
        <v>4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56</v>
      </c>
      <c r="C12" s="4" t="s">
        <v>40</v>
      </c>
      <c r="D12" s="4" t="s">
        <v>38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44531</v>
      </c>
      <c r="J12" s="6">
        <v>9890</v>
      </c>
      <c r="K12" s="6">
        <v>9890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4" t="s">
        <v>108</v>
      </c>
      <c r="U12" s="4">
        <v>4</v>
      </c>
      <c r="V12" s="4">
        <v>0</v>
      </c>
      <c r="W12" s="4">
        <v>0</v>
      </c>
    </row>
    <row r="13" spans="1:23" ht="11.25" customHeight="1" x14ac:dyDescent="0.25">
      <c r="A13" s="4" t="s">
        <v>55</v>
      </c>
      <c r="B13" s="4" t="s">
        <v>56</v>
      </c>
      <c r="C13" s="4" t="s">
        <v>40</v>
      </c>
      <c r="D13" s="4" t="s">
        <v>38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44562</v>
      </c>
      <c r="J13" s="6">
        <v>9890</v>
      </c>
      <c r="K13" s="6">
        <v>9890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4" t="s">
        <v>109</v>
      </c>
      <c r="U13" s="4">
        <v>4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56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44228</v>
      </c>
      <c r="J14" s="6">
        <v>0</v>
      </c>
      <c r="K14" s="6">
        <v>0</v>
      </c>
      <c r="L14" s="6">
        <v>5486.0870000000004</v>
      </c>
      <c r="M14" s="6">
        <v>5486.0870000000004</v>
      </c>
      <c r="N14" s="6">
        <v>0</v>
      </c>
      <c r="O14" s="6">
        <v>0</v>
      </c>
      <c r="P14" s="6">
        <v>1</v>
      </c>
      <c r="Q14" s="4" t="s">
        <v>57</v>
      </c>
      <c r="R14" s="4">
        <v>0</v>
      </c>
      <c r="S14" s="4" t="s">
        <v>110</v>
      </c>
      <c r="U14" s="4">
        <v>0</v>
      </c>
      <c r="V14" s="4">
        <v>1</v>
      </c>
      <c r="W14" s="4">
        <v>0</v>
      </c>
    </row>
    <row r="15" spans="1:23" ht="11.25" customHeight="1" x14ac:dyDescent="0.25">
      <c r="A15" s="4" t="s">
        <v>21</v>
      </c>
      <c r="B15" s="4" t="s">
        <v>56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44256</v>
      </c>
      <c r="J15" s="6">
        <v>0</v>
      </c>
      <c r="K15" s="6">
        <v>0</v>
      </c>
      <c r="L15" s="6">
        <v>5492.0010000000002</v>
      </c>
      <c r="M15" s="6">
        <v>5492.0010000000002</v>
      </c>
      <c r="N15" s="6">
        <v>0</v>
      </c>
      <c r="O15" s="6">
        <v>0</v>
      </c>
      <c r="P15" s="6">
        <v>1</v>
      </c>
      <c r="Q15" s="4" t="s">
        <v>57</v>
      </c>
      <c r="R15" s="4">
        <v>0</v>
      </c>
      <c r="S15" s="4" t="s">
        <v>111</v>
      </c>
      <c r="U15" s="4">
        <v>0</v>
      </c>
      <c r="V15" s="4">
        <v>1</v>
      </c>
      <c r="W15" s="4">
        <v>0</v>
      </c>
    </row>
    <row r="16" spans="1:23" ht="11.25" customHeight="1" x14ac:dyDescent="0.25">
      <c r="A16" s="4" t="s">
        <v>21</v>
      </c>
      <c r="B16" s="4" t="s">
        <v>56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44287</v>
      </c>
      <c r="J16" s="6">
        <v>0</v>
      </c>
      <c r="K16" s="6">
        <v>0</v>
      </c>
      <c r="L16" s="6">
        <v>5592.4160000000002</v>
      </c>
      <c r="M16" s="6">
        <v>5592.4160000000002</v>
      </c>
      <c r="N16" s="6">
        <v>0</v>
      </c>
      <c r="O16" s="6">
        <v>0</v>
      </c>
      <c r="P16" s="6">
        <v>1</v>
      </c>
      <c r="Q16" s="4" t="s">
        <v>57</v>
      </c>
      <c r="R16" s="4">
        <v>0</v>
      </c>
      <c r="S16" s="4" t="s">
        <v>112</v>
      </c>
      <c r="U16" s="4">
        <v>0</v>
      </c>
      <c r="V16" s="4">
        <v>1</v>
      </c>
      <c r="W16" s="4">
        <v>0</v>
      </c>
    </row>
    <row r="17" spans="1:23" ht="11.25" customHeight="1" x14ac:dyDescent="0.25">
      <c r="A17" s="4" t="s">
        <v>21</v>
      </c>
      <c r="B17" s="4" t="s">
        <v>56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44317</v>
      </c>
      <c r="J17" s="6">
        <v>0</v>
      </c>
      <c r="K17" s="6">
        <v>0</v>
      </c>
      <c r="L17" s="6">
        <v>5484.3810000000003</v>
      </c>
      <c r="M17" s="6">
        <v>5484.3810000000003</v>
      </c>
      <c r="N17" s="6">
        <v>0</v>
      </c>
      <c r="O17" s="6">
        <v>0</v>
      </c>
      <c r="P17" s="6">
        <v>1</v>
      </c>
      <c r="Q17" s="4" t="s">
        <v>57</v>
      </c>
      <c r="R17" s="4">
        <v>0</v>
      </c>
      <c r="S17" s="4" t="s">
        <v>113</v>
      </c>
      <c r="U17" s="4">
        <v>0</v>
      </c>
      <c r="V17" s="4">
        <v>1</v>
      </c>
      <c r="W17" s="4">
        <v>0</v>
      </c>
    </row>
    <row r="18" spans="1:23" ht="11.25" customHeight="1" x14ac:dyDescent="0.25">
      <c r="A18" s="4" t="s">
        <v>21</v>
      </c>
      <c r="B18" s="4" t="s">
        <v>56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44348</v>
      </c>
      <c r="J18" s="6">
        <v>0</v>
      </c>
      <c r="K18" s="6">
        <v>0</v>
      </c>
      <c r="L18" s="6">
        <v>5812.6880000000001</v>
      </c>
      <c r="M18" s="6">
        <v>5812.6880000000001</v>
      </c>
      <c r="N18" s="6">
        <v>0</v>
      </c>
      <c r="O18" s="6">
        <v>0</v>
      </c>
      <c r="P18" s="6">
        <v>1</v>
      </c>
      <c r="Q18" s="4" t="s">
        <v>57</v>
      </c>
      <c r="R18" s="4">
        <v>0</v>
      </c>
      <c r="S18" s="4" t="s">
        <v>114</v>
      </c>
      <c r="U18" s="4">
        <v>0</v>
      </c>
      <c r="V18" s="4">
        <v>1</v>
      </c>
      <c r="W18" s="4">
        <v>0</v>
      </c>
    </row>
    <row r="19" spans="1:23" ht="11.25" customHeight="1" x14ac:dyDescent="0.25">
      <c r="A19" s="4" t="s">
        <v>21</v>
      </c>
      <c r="B19" s="4" t="s">
        <v>56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44378</v>
      </c>
      <c r="J19" s="6">
        <v>0</v>
      </c>
      <c r="K19" s="6">
        <v>0</v>
      </c>
      <c r="L19" s="6">
        <v>5507.1850000000004</v>
      </c>
      <c r="M19" s="6">
        <v>5507.1850000000004</v>
      </c>
      <c r="N19" s="6">
        <v>0</v>
      </c>
      <c r="O19" s="6">
        <v>0</v>
      </c>
      <c r="P19" s="6">
        <v>1</v>
      </c>
      <c r="Q19" s="4" t="s">
        <v>57</v>
      </c>
      <c r="R19" s="4">
        <v>0</v>
      </c>
      <c r="S19" s="4" t="s">
        <v>115</v>
      </c>
      <c r="U19" s="4">
        <v>0</v>
      </c>
      <c r="V19" s="4">
        <v>1</v>
      </c>
      <c r="W19" s="4">
        <v>0</v>
      </c>
    </row>
    <row r="20" spans="1:23" ht="11.25" customHeight="1" x14ac:dyDescent="0.25">
      <c r="A20" s="4" t="s">
        <v>21</v>
      </c>
      <c r="B20" s="4" t="s">
        <v>56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44409</v>
      </c>
      <c r="J20" s="6">
        <v>0</v>
      </c>
      <c r="K20" s="6">
        <v>0</v>
      </c>
      <c r="L20" s="6">
        <v>6117.5540000000001</v>
      </c>
      <c r="M20" s="6">
        <v>6117.5540000000001</v>
      </c>
      <c r="N20" s="6">
        <v>0</v>
      </c>
      <c r="O20" s="6">
        <v>0</v>
      </c>
      <c r="P20" s="6">
        <v>1</v>
      </c>
      <c r="Q20" s="4" t="s">
        <v>57</v>
      </c>
      <c r="R20" s="4">
        <v>0</v>
      </c>
      <c r="S20" s="4" t="s">
        <v>116</v>
      </c>
      <c r="U20" s="4">
        <v>0</v>
      </c>
      <c r="V20" s="4">
        <v>1</v>
      </c>
      <c r="W20" s="4">
        <v>0</v>
      </c>
    </row>
    <row r="21" spans="1:23" ht="11.25" customHeight="1" x14ac:dyDescent="0.25">
      <c r="A21" s="4" t="s">
        <v>21</v>
      </c>
      <c r="B21" s="4" t="s">
        <v>56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44440</v>
      </c>
      <c r="J21" s="6">
        <v>0</v>
      </c>
      <c r="K21" s="6">
        <v>0</v>
      </c>
      <c r="L21" s="6">
        <v>5970.9549999999999</v>
      </c>
      <c r="M21" s="6">
        <v>5970.9549999999999</v>
      </c>
      <c r="N21" s="6">
        <v>0</v>
      </c>
      <c r="O21" s="6">
        <v>0</v>
      </c>
      <c r="P21" s="6">
        <v>1</v>
      </c>
      <c r="Q21" s="4" t="s">
        <v>57</v>
      </c>
      <c r="R21" s="4">
        <v>0</v>
      </c>
      <c r="S21" s="4" t="s">
        <v>117</v>
      </c>
      <c r="U21" s="4">
        <v>0</v>
      </c>
      <c r="V21" s="4">
        <v>1</v>
      </c>
      <c r="W21" s="4">
        <v>0</v>
      </c>
    </row>
    <row r="22" spans="1:23" ht="11.25" customHeight="1" x14ac:dyDescent="0.25">
      <c r="A22" s="4" t="s">
        <v>21</v>
      </c>
      <c r="B22" s="4" t="s">
        <v>56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44470</v>
      </c>
      <c r="J22" s="6">
        <v>0</v>
      </c>
      <c r="K22" s="6">
        <v>0</v>
      </c>
      <c r="L22" s="6">
        <v>5870.5640000000003</v>
      </c>
      <c r="M22" s="6">
        <v>5870.5640000000003</v>
      </c>
      <c r="N22" s="6">
        <v>0</v>
      </c>
      <c r="O22" s="6">
        <v>0</v>
      </c>
      <c r="P22" s="6">
        <v>1</v>
      </c>
      <c r="Q22" s="4" t="s">
        <v>57</v>
      </c>
      <c r="R22" s="4">
        <v>0</v>
      </c>
      <c r="S22" s="4" t="s">
        <v>118</v>
      </c>
      <c r="U22" s="4">
        <v>0</v>
      </c>
      <c r="V22" s="4">
        <v>1</v>
      </c>
      <c r="W22" s="4">
        <v>0</v>
      </c>
    </row>
    <row r="23" spans="1:23" ht="11.25" customHeight="1" x14ac:dyDescent="0.25">
      <c r="A23" s="4" t="s">
        <v>21</v>
      </c>
      <c r="B23" s="4" t="s">
        <v>56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44501</v>
      </c>
      <c r="J23" s="6">
        <v>0</v>
      </c>
      <c r="K23" s="6">
        <v>0</v>
      </c>
      <c r="L23" s="6">
        <v>6109.4520000000002</v>
      </c>
      <c r="M23" s="6">
        <v>6109.4520000000002</v>
      </c>
      <c r="N23" s="6">
        <v>0</v>
      </c>
      <c r="O23" s="6">
        <v>0</v>
      </c>
      <c r="P23" s="6">
        <v>1</v>
      </c>
      <c r="Q23" s="4" t="s">
        <v>57</v>
      </c>
      <c r="R23" s="4">
        <v>0</v>
      </c>
      <c r="S23" s="4" t="s">
        <v>119</v>
      </c>
      <c r="U23" s="4">
        <v>0</v>
      </c>
      <c r="V23" s="4">
        <v>1</v>
      </c>
      <c r="W23" s="4">
        <v>0</v>
      </c>
    </row>
    <row r="24" spans="1:23" ht="11.25" customHeight="1" x14ac:dyDescent="0.25">
      <c r="A24" s="4" t="s">
        <v>21</v>
      </c>
      <c r="B24" s="4" t="s">
        <v>56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44531</v>
      </c>
      <c r="J24" s="6">
        <v>0</v>
      </c>
      <c r="K24" s="6">
        <v>0</v>
      </c>
      <c r="L24" s="6">
        <v>5940.8140000000003</v>
      </c>
      <c r="M24" s="6">
        <v>5940.8140000000003</v>
      </c>
      <c r="N24" s="6">
        <v>0</v>
      </c>
      <c r="O24" s="6">
        <v>0</v>
      </c>
      <c r="P24" s="6">
        <v>1</v>
      </c>
      <c r="Q24" s="4" t="s">
        <v>57</v>
      </c>
      <c r="R24" s="4">
        <v>0</v>
      </c>
      <c r="S24" s="4" t="s">
        <v>120</v>
      </c>
      <c r="U24" s="4">
        <v>0</v>
      </c>
      <c r="V24" s="4">
        <v>1</v>
      </c>
      <c r="W24" s="4">
        <v>0</v>
      </c>
    </row>
    <row r="25" spans="1:23" ht="11.25" customHeight="1" x14ac:dyDescent="0.25">
      <c r="A25" s="4" t="s">
        <v>55</v>
      </c>
      <c r="B25" s="4" t="s">
        <v>56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44562</v>
      </c>
      <c r="J25" s="6">
        <v>0</v>
      </c>
      <c r="K25" s="6">
        <v>0</v>
      </c>
      <c r="L25" s="6">
        <v>5940.8140000000003</v>
      </c>
      <c r="M25" s="6">
        <v>5940.8140000000003</v>
      </c>
      <c r="N25" s="6">
        <v>0</v>
      </c>
      <c r="O25" s="6">
        <v>0</v>
      </c>
      <c r="P25" s="6">
        <v>1</v>
      </c>
      <c r="Q25" s="4" t="s">
        <v>57</v>
      </c>
      <c r="R25" s="4">
        <v>0</v>
      </c>
      <c r="S25" s="4" t="s">
        <v>121</v>
      </c>
      <c r="U25" s="4">
        <v>0</v>
      </c>
      <c r="V25" s="4">
        <v>1</v>
      </c>
      <c r="W25" s="4">
        <v>0</v>
      </c>
    </row>
    <row r="26" spans="1:23" ht="11.25" customHeight="1" x14ac:dyDescent="0.25">
      <c r="A26" s="4" t="s">
        <v>21</v>
      </c>
      <c r="B26" s="4" t="s">
        <v>56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44228</v>
      </c>
      <c r="J26" s="6">
        <v>9835</v>
      </c>
      <c r="K26" s="6">
        <v>9835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4" t="s">
        <v>122</v>
      </c>
      <c r="U26" s="4">
        <v>3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56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44256</v>
      </c>
      <c r="J27" s="6">
        <v>9888</v>
      </c>
      <c r="K27" s="6">
        <v>9888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 t="s">
        <v>123</v>
      </c>
      <c r="U27" s="4">
        <v>3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56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44287</v>
      </c>
      <c r="J28" s="6">
        <v>9849</v>
      </c>
      <c r="K28" s="6">
        <v>9849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 t="s">
        <v>124</v>
      </c>
      <c r="U28" s="4">
        <v>3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56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44317</v>
      </c>
      <c r="J29" s="6">
        <v>9675</v>
      </c>
      <c r="K29" s="6">
        <v>9675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 t="s">
        <v>125</v>
      </c>
      <c r="U29" s="4">
        <v>3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56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44348</v>
      </c>
      <c r="J30" s="6">
        <v>9775</v>
      </c>
      <c r="K30" s="6">
        <v>9775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 t="s">
        <v>126</v>
      </c>
      <c r="U30" s="4">
        <v>3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56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44378</v>
      </c>
      <c r="J31" s="6">
        <v>9500</v>
      </c>
      <c r="K31" s="6">
        <v>9500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 t="s">
        <v>127</v>
      </c>
      <c r="U31" s="4">
        <v>3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56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44409</v>
      </c>
      <c r="J32" s="6">
        <v>9539</v>
      </c>
      <c r="K32" s="6">
        <v>9539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 t="s">
        <v>128</v>
      </c>
      <c r="U32" s="4">
        <v>3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56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44440</v>
      </c>
      <c r="J33" s="6">
        <v>9500</v>
      </c>
      <c r="K33" s="6">
        <v>9500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 t="s">
        <v>129</v>
      </c>
      <c r="U33" s="4">
        <v>3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56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44470</v>
      </c>
      <c r="J34" s="6">
        <v>9524</v>
      </c>
      <c r="K34" s="6">
        <v>9524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 t="s">
        <v>130</v>
      </c>
      <c r="U34" s="4">
        <v>3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56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44501</v>
      </c>
      <c r="J35" s="6">
        <v>9528</v>
      </c>
      <c r="K35" s="6">
        <v>9528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 t="s">
        <v>131</v>
      </c>
      <c r="U35" s="4">
        <v>3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56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44531</v>
      </c>
      <c r="J36" s="6">
        <v>9656</v>
      </c>
      <c r="K36" s="6">
        <v>9656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 t="s">
        <v>132</v>
      </c>
      <c r="U36" s="4">
        <v>3</v>
      </c>
      <c r="V36" s="4">
        <v>0</v>
      </c>
      <c r="W36" s="4">
        <v>0</v>
      </c>
    </row>
    <row r="37" spans="1:23" ht="11.25" customHeight="1" x14ac:dyDescent="0.25">
      <c r="A37" s="4" t="s">
        <v>55</v>
      </c>
      <c r="B37" s="4" t="s">
        <v>56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44562</v>
      </c>
      <c r="J37" s="6">
        <v>9656</v>
      </c>
      <c r="K37" s="6">
        <v>9656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 t="s">
        <v>133</v>
      </c>
      <c r="U37" s="4">
        <v>3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56</v>
      </c>
      <c r="C38" s="4" t="s">
        <v>59</v>
      </c>
      <c r="D38" s="4" t="s">
        <v>25</v>
      </c>
      <c r="E38" s="4" t="s">
        <v>25</v>
      </c>
      <c r="F38" s="4" t="s">
        <v>25</v>
      </c>
      <c r="G38" s="4" t="s">
        <v>60</v>
      </c>
      <c r="H38" s="4" t="s">
        <v>35</v>
      </c>
      <c r="I38" s="5">
        <v>44228</v>
      </c>
      <c r="J38" s="6">
        <v>18000</v>
      </c>
      <c r="K38" s="6">
        <v>18000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61</v>
      </c>
      <c r="R38" s="4">
        <v>6600</v>
      </c>
      <c r="S38" s="4" t="s">
        <v>134</v>
      </c>
      <c r="U38" s="4">
        <v>78</v>
      </c>
      <c r="V38" s="4">
        <v>0</v>
      </c>
      <c r="W38" s="4">
        <v>0</v>
      </c>
    </row>
    <row r="39" spans="1:23" ht="11.25" customHeight="1" x14ac:dyDescent="0.25">
      <c r="A39" s="4" t="s">
        <v>21</v>
      </c>
      <c r="B39" s="4" t="s">
        <v>56</v>
      </c>
      <c r="C39" s="4" t="s">
        <v>59</v>
      </c>
      <c r="D39" s="4" t="s">
        <v>25</v>
      </c>
      <c r="E39" s="4" t="s">
        <v>25</v>
      </c>
      <c r="F39" s="4" t="s">
        <v>25</v>
      </c>
      <c r="G39" s="4" t="s">
        <v>60</v>
      </c>
      <c r="H39" s="4" t="s">
        <v>35</v>
      </c>
      <c r="I39" s="5">
        <v>44256</v>
      </c>
      <c r="J39" s="6">
        <v>18000</v>
      </c>
      <c r="K39" s="6">
        <v>18000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61</v>
      </c>
      <c r="R39" s="4">
        <v>6600</v>
      </c>
      <c r="S39" s="4" t="s">
        <v>135</v>
      </c>
      <c r="U39" s="4">
        <v>78</v>
      </c>
      <c r="V39" s="4">
        <v>0</v>
      </c>
      <c r="W39" s="4">
        <v>0</v>
      </c>
    </row>
    <row r="40" spans="1:23" ht="11.25" customHeight="1" x14ac:dyDescent="0.25">
      <c r="A40" s="4" t="s">
        <v>21</v>
      </c>
      <c r="B40" s="4" t="s">
        <v>56</v>
      </c>
      <c r="C40" s="4" t="s">
        <v>59</v>
      </c>
      <c r="D40" s="4" t="s">
        <v>25</v>
      </c>
      <c r="E40" s="4" t="s">
        <v>25</v>
      </c>
      <c r="F40" s="4" t="s">
        <v>25</v>
      </c>
      <c r="G40" s="4" t="s">
        <v>60</v>
      </c>
      <c r="H40" s="4" t="s">
        <v>35</v>
      </c>
      <c r="I40" s="5">
        <v>44287</v>
      </c>
      <c r="J40" s="6">
        <v>18000</v>
      </c>
      <c r="K40" s="6">
        <v>18000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61</v>
      </c>
      <c r="R40" s="4">
        <v>6600</v>
      </c>
      <c r="S40" s="4" t="s">
        <v>136</v>
      </c>
      <c r="U40" s="4">
        <v>78</v>
      </c>
      <c r="V40" s="4">
        <v>0</v>
      </c>
      <c r="W40" s="4">
        <v>0</v>
      </c>
    </row>
    <row r="41" spans="1:23" ht="11.25" customHeight="1" x14ac:dyDescent="0.25">
      <c r="A41" s="4" t="s">
        <v>21</v>
      </c>
      <c r="B41" s="4" t="s">
        <v>56</v>
      </c>
      <c r="C41" s="4" t="s">
        <v>59</v>
      </c>
      <c r="D41" s="4" t="s">
        <v>25</v>
      </c>
      <c r="E41" s="4" t="s">
        <v>25</v>
      </c>
      <c r="F41" s="4" t="s">
        <v>25</v>
      </c>
      <c r="G41" s="4" t="s">
        <v>60</v>
      </c>
      <c r="H41" s="4" t="s">
        <v>35</v>
      </c>
      <c r="I41" s="5">
        <v>44317</v>
      </c>
      <c r="J41" s="6">
        <v>18000</v>
      </c>
      <c r="K41" s="6">
        <v>18000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61</v>
      </c>
      <c r="R41" s="4">
        <v>6600</v>
      </c>
      <c r="S41" s="4" t="s">
        <v>137</v>
      </c>
      <c r="U41" s="4">
        <v>78</v>
      </c>
      <c r="V41" s="4">
        <v>0</v>
      </c>
      <c r="W41" s="4">
        <v>0</v>
      </c>
    </row>
    <row r="42" spans="1:23" ht="11.25" customHeight="1" x14ac:dyDescent="0.25">
      <c r="A42" s="4" t="s">
        <v>21</v>
      </c>
      <c r="B42" s="4" t="s">
        <v>56</v>
      </c>
      <c r="C42" s="4" t="s">
        <v>59</v>
      </c>
      <c r="D42" s="4" t="s">
        <v>25</v>
      </c>
      <c r="E42" s="4" t="s">
        <v>25</v>
      </c>
      <c r="F42" s="4" t="s">
        <v>25</v>
      </c>
      <c r="G42" s="4" t="s">
        <v>60</v>
      </c>
      <c r="H42" s="4" t="s">
        <v>35</v>
      </c>
      <c r="I42" s="5">
        <v>44348</v>
      </c>
      <c r="J42" s="6">
        <v>18000</v>
      </c>
      <c r="K42" s="6">
        <v>18000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61</v>
      </c>
      <c r="R42" s="4">
        <v>6600</v>
      </c>
      <c r="S42" s="4" t="s">
        <v>138</v>
      </c>
      <c r="U42" s="4">
        <v>78</v>
      </c>
      <c r="V42" s="4">
        <v>0</v>
      </c>
      <c r="W42" s="4">
        <v>0</v>
      </c>
    </row>
    <row r="43" spans="1:23" ht="11.25" customHeight="1" x14ac:dyDescent="0.25">
      <c r="A43" s="4" t="s">
        <v>21</v>
      </c>
      <c r="B43" s="4" t="s">
        <v>56</v>
      </c>
      <c r="C43" s="4" t="s">
        <v>59</v>
      </c>
      <c r="D43" s="4" t="s">
        <v>25</v>
      </c>
      <c r="E43" s="4" t="s">
        <v>25</v>
      </c>
      <c r="F43" s="4" t="s">
        <v>25</v>
      </c>
      <c r="G43" s="4" t="s">
        <v>60</v>
      </c>
      <c r="H43" s="4" t="s">
        <v>35</v>
      </c>
      <c r="I43" s="5">
        <v>44378</v>
      </c>
      <c r="J43" s="6">
        <v>18000</v>
      </c>
      <c r="K43" s="6">
        <v>18000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61</v>
      </c>
      <c r="R43" s="4">
        <v>6600</v>
      </c>
      <c r="S43" s="4" t="s">
        <v>139</v>
      </c>
      <c r="U43" s="4">
        <v>78</v>
      </c>
      <c r="V43" s="4">
        <v>0</v>
      </c>
      <c r="W43" s="4">
        <v>0</v>
      </c>
    </row>
    <row r="44" spans="1:23" ht="11.25" customHeight="1" x14ac:dyDescent="0.25">
      <c r="A44" s="4" t="s">
        <v>21</v>
      </c>
      <c r="B44" s="4" t="s">
        <v>56</v>
      </c>
      <c r="C44" s="4" t="s">
        <v>59</v>
      </c>
      <c r="D44" s="4" t="s">
        <v>25</v>
      </c>
      <c r="E44" s="4" t="s">
        <v>25</v>
      </c>
      <c r="F44" s="4" t="s">
        <v>25</v>
      </c>
      <c r="G44" s="4" t="s">
        <v>60</v>
      </c>
      <c r="H44" s="4" t="s">
        <v>35</v>
      </c>
      <c r="I44" s="5">
        <v>44409</v>
      </c>
      <c r="J44" s="6">
        <v>18000</v>
      </c>
      <c r="K44" s="6">
        <v>18000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61</v>
      </c>
      <c r="R44" s="4">
        <v>6600</v>
      </c>
      <c r="S44" s="4" t="s">
        <v>140</v>
      </c>
      <c r="U44" s="4">
        <v>78</v>
      </c>
      <c r="V44" s="4">
        <v>0</v>
      </c>
      <c r="W44" s="4">
        <v>0</v>
      </c>
    </row>
    <row r="45" spans="1:23" ht="11.25" customHeight="1" x14ac:dyDescent="0.25">
      <c r="A45" s="4" t="s">
        <v>21</v>
      </c>
      <c r="B45" s="4" t="s">
        <v>56</v>
      </c>
      <c r="C45" s="4" t="s">
        <v>59</v>
      </c>
      <c r="D45" s="4" t="s">
        <v>25</v>
      </c>
      <c r="E45" s="4" t="s">
        <v>25</v>
      </c>
      <c r="F45" s="4" t="s">
        <v>25</v>
      </c>
      <c r="G45" s="4" t="s">
        <v>60</v>
      </c>
      <c r="H45" s="4" t="s">
        <v>35</v>
      </c>
      <c r="I45" s="5">
        <v>44440</v>
      </c>
      <c r="J45" s="6">
        <v>18000</v>
      </c>
      <c r="K45" s="6">
        <v>18000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61</v>
      </c>
      <c r="R45" s="4">
        <v>6600</v>
      </c>
      <c r="S45" s="4" t="s">
        <v>141</v>
      </c>
      <c r="U45" s="4">
        <v>78</v>
      </c>
      <c r="V45" s="4">
        <v>0</v>
      </c>
      <c r="W45" s="4">
        <v>0</v>
      </c>
    </row>
    <row r="46" spans="1:23" ht="11.25" customHeight="1" x14ac:dyDescent="0.25">
      <c r="A46" s="4" t="s">
        <v>21</v>
      </c>
      <c r="B46" s="4" t="s">
        <v>56</v>
      </c>
      <c r="C46" s="4" t="s">
        <v>59</v>
      </c>
      <c r="D46" s="4" t="s">
        <v>25</v>
      </c>
      <c r="E46" s="4" t="s">
        <v>25</v>
      </c>
      <c r="F46" s="4" t="s">
        <v>25</v>
      </c>
      <c r="G46" s="4" t="s">
        <v>60</v>
      </c>
      <c r="H46" s="4" t="s">
        <v>35</v>
      </c>
      <c r="I46" s="5">
        <v>44470</v>
      </c>
      <c r="J46" s="6">
        <v>18000</v>
      </c>
      <c r="K46" s="6">
        <v>18000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61</v>
      </c>
      <c r="R46" s="4">
        <v>6600</v>
      </c>
      <c r="S46" s="4" t="s">
        <v>142</v>
      </c>
      <c r="U46" s="4">
        <v>78</v>
      </c>
      <c r="V46" s="4">
        <v>0</v>
      </c>
      <c r="W46" s="4">
        <v>0</v>
      </c>
    </row>
    <row r="47" spans="1:23" ht="11.25" customHeight="1" x14ac:dyDescent="0.25">
      <c r="A47" s="4" t="s">
        <v>21</v>
      </c>
      <c r="B47" s="4" t="s">
        <v>56</v>
      </c>
      <c r="C47" s="4" t="s">
        <v>59</v>
      </c>
      <c r="D47" s="4" t="s">
        <v>25</v>
      </c>
      <c r="E47" s="4" t="s">
        <v>25</v>
      </c>
      <c r="F47" s="4" t="s">
        <v>25</v>
      </c>
      <c r="G47" s="4" t="s">
        <v>60</v>
      </c>
      <c r="H47" s="4" t="s">
        <v>35</v>
      </c>
      <c r="I47" s="5">
        <v>44501</v>
      </c>
      <c r="J47" s="6">
        <v>18000</v>
      </c>
      <c r="K47" s="6">
        <v>18000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61</v>
      </c>
      <c r="R47" s="4">
        <v>6600</v>
      </c>
      <c r="S47" s="4" t="s">
        <v>143</v>
      </c>
      <c r="U47" s="4">
        <v>78</v>
      </c>
      <c r="V47" s="4">
        <v>0</v>
      </c>
      <c r="W47" s="4">
        <v>0</v>
      </c>
    </row>
    <row r="48" spans="1:23" ht="11.25" customHeight="1" x14ac:dyDescent="0.25">
      <c r="A48" s="4" t="s">
        <v>21</v>
      </c>
      <c r="B48" s="4" t="s">
        <v>56</v>
      </c>
      <c r="C48" s="4" t="s">
        <v>59</v>
      </c>
      <c r="D48" s="4" t="s">
        <v>25</v>
      </c>
      <c r="E48" s="4" t="s">
        <v>25</v>
      </c>
      <c r="F48" s="4" t="s">
        <v>25</v>
      </c>
      <c r="G48" s="4" t="s">
        <v>60</v>
      </c>
      <c r="H48" s="4" t="s">
        <v>35</v>
      </c>
      <c r="I48" s="5">
        <v>44531</v>
      </c>
      <c r="J48" s="6">
        <v>19960</v>
      </c>
      <c r="K48" s="6">
        <v>19960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61</v>
      </c>
      <c r="R48" s="4">
        <v>6600</v>
      </c>
      <c r="S48" s="4" t="s">
        <v>144</v>
      </c>
      <c r="U48" s="4">
        <v>78</v>
      </c>
      <c r="V48" s="4">
        <v>0</v>
      </c>
      <c r="W48" s="4">
        <v>0</v>
      </c>
    </row>
    <row r="49" spans="1:23" ht="11.25" customHeight="1" x14ac:dyDescent="0.25">
      <c r="A49" s="4" t="s">
        <v>55</v>
      </c>
      <c r="B49" s="4" t="s">
        <v>56</v>
      </c>
      <c r="C49" s="4" t="s">
        <v>59</v>
      </c>
      <c r="D49" s="4" t="s">
        <v>25</v>
      </c>
      <c r="E49" s="4" t="s">
        <v>25</v>
      </c>
      <c r="F49" s="4" t="s">
        <v>25</v>
      </c>
      <c r="G49" s="4" t="s">
        <v>60</v>
      </c>
      <c r="H49" s="4" t="s">
        <v>35</v>
      </c>
      <c r="I49" s="5">
        <v>44562</v>
      </c>
      <c r="J49" s="6">
        <v>19960</v>
      </c>
      <c r="K49" s="6">
        <v>19960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61</v>
      </c>
      <c r="R49" s="4">
        <v>6600</v>
      </c>
      <c r="S49" s="4" t="s">
        <v>145</v>
      </c>
      <c r="U49" s="4">
        <v>78</v>
      </c>
      <c r="V49" s="4">
        <v>0</v>
      </c>
      <c r="W49" s="4">
        <v>0</v>
      </c>
    </row>
    <row r="50" spans="1:23" ht="11.25" customHeight="1" x14ac:dyDescent="0.25">
      <c r="A50" s="4" t="s">
        <v>21</v>
      </c>
      <c r="B50" s="4" t="s">
        <v>56</v>
      </c>
      <c r="C50" s="4" t="s">
        <v>59</v>
      </c>
      <c r="D50" s="4" t="s">
        <v>25</v>
      </c>
      <c r="E50" s="4" t="s">
        <v>25</v>
      </c>
      <c r="F50" s="4" t="s">
        <v>25</v>
      </c>
      <c r="G50" s="4" t="s">
        <v>60</v>
      </c>
      <c r="H50" s="4" t="s">
        <v>25</v>
      </c>
      <c r="I50" s="5">
        <v>44228</v>
      </c>
      <c r="J50" s="6">
        <v>0</v>
      </c>
      <c r="K50" s="6">
        <v>0</v>
      </c>
      <c r="L50" s="6">
        <v>3631.2449999999999</v>
      </c>
      <c r="M50" s="6">
        <v>3631.2449999999999</v>
      </c>
      <c r="N50" s="6">
        <v>0</v>
      </c>
      <c r="O50" s="6">
        <v>0</v>
      </c>
      <c r="P50" s="6">
        <v>0</v>
      </c>
      <c r="Q50" s="4" t="s">
        <v>61</v>
      </c>
      <c r="R50" s="4">
        <v>6600</v>
      </c>
      <c r="S50" s="4" t="s">
        <v>146</v>
      </c>
      <c r="U50" s="4">
        <v>0</v>
      </c>
      <c r="V50" s="4">
        <v>8</v>
      </c>
      <c r="W50" s="4">
        <v>0</v>
      </c>
    </row>
    <row r="51" spans="1:23" ht="11.25" customHeight="1" x14ac:dyDescent="0.25">
      <c r="A51" s="4" t="s">
        <v>21</v>
      </c>
      <c r="B51" s="4" t="s">
        <v>56</v>
      </c>
      <c r="C51" s="4" t="s">
        <v>59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44256</v>
      </c>
      <c r="J51" s="6">
        <v>0</v>
      </c>
      <c r="K51" s="6">
        <v>0</v>
      </c>
      <c r="L51" s="6">
        <v>3521.2919999999999</v>
      </c>
      <c r="M51" s="6">
        <v>3521.2919999999999</v>
      </c>
      <c r="N51" s="6">
        <v>0</v>
      </c>
      <c r="O51" s="6">
        <v>0</v>
      </c>
      <c r="P51" s="6">
        <v>0</v>
      </c>
      <c r="Q51" s="4" t="s">
        <v>61</v>
      </c>
      <c r="R51" s="4">
        <v>6600</v>
      </c>
      <c r="S51" s="4" t="s">
        <v>147</v>
      </c>
      <c r="U51" s="4">
        <v>0</v>
      </c>
      <c r="V51" s="4">
        <v>8</v>
      </c>
      <c r="W51" s="4">
        <v>0</v>
      </c>
    </row>
    <row r="52" spans="1:23" ht="11.25" customHeight="1" x14ac:dyDescent="0.25">
      <c r="A52" s="4" t="s">
        <v>21</v>
      </c>
      <c r="B52" s="4" t="s">
        <v>56</v>
      </c>
      <c r="C52" s="4" t="s">
        <v>59</v>
      </c>
      <c r="D52" s="4" t="s">
        <v>25</v>
      </c>
      <c r="E52" s="4" t="s">
        <v>25</v>
      </c>
      <c r="F52" s="4" t="s">
        <v>25</v>
      </c>
      <c r="G52" s="4" t="s">
        <v>60</v>
      </c>
      <c r="H52" s="4" t="s">
        <v>25</v>
      </c>
      <c r="I52" s="5">
        <v>44287</v>
      </c>
      <c r="J52" s="6">
        <v>0</v>
      </c>
      <c r="K52" s="6">
        <v>0</v>
      </c>
      <c r="L52" s="6">
        <v>3705.5189999999998</v>
      </c>
      <c r="M52" s="6">
        <v>3705.5189999999998</v>
      </c>
      <c r="N52" s="6">
        <v>0</v>
      </c>
      <c r="O52" s="6">
        <v>0</v>
      </c>
      <c r="P52" s="6">
        <v>0</v>
      </c>
      <c r="Q52" s="4" t="s">
        <v>61</v>
      </c>
      <c r="R52" s="4">
        <v>6600</v>
      </c>
      <c r="S52" s="4" t="s">
        <v>148</v>
      </c>
      <c r="U52" s="4">
        <v>0</v>
      </c>
      <c r="V52" s="4">
        <v>8</v>
      </c>
      <c r="W52" s="4">
        <v>0</v>
      </c>
    </row>
    <row r="53" spans="1:23" ht="11.25" customHeight="1" x14ac:dyDescent="0.25">
      <c r="A53" s="4" t="s">
        <v>21</v>
      </c>
      <c r="B53" s="4" t="s">
        <v>56</v>
      </c>
      <c r="C53" s="4" t="s">
        <v>59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44317</v>
      </c>
      <c r="J53" s="6">
        <v>0</v>
      </c>
      <c r="K53" s="6">
        <v>0</v>
      </c>
      <c r="L53" s="6">
        <v>3171.585</v>
      </c>
      <c r="M53" s="6">
        <v>3171.585</v>
      </c>
      <c r="N53" s="6">
        <v>0</v>
      </c>
      <c r="O53" s="6">
        <v>0</v>
      </c>
      <c r="P53" s="6">
        <v>0</v>
      </c>
      <c r="Q53" s="4" t="s">
        <v>61</v>
      </c>
      <c r="R53" s="4">
        <v>6600</v>
      </c>
      <c r="S53" s="4" t="s">
        <v>149</v>
      </c>
      <c r="U53" s="4">
        <v>0</v>
      </c>
      <c r="V53" s="4">
        <v>8</v>
      </c>
      <c r="W53" s="4">
        <v>0</v>
      </c>
    </row>
    <row r="54" spans="1:23" ht="11.25" customHeight="1" x14ac:dyDescent="0.25">
      <c r="A54" s="4" t="s">
        <v>21</v>
      </c>
      <c r="B54" s="4" t="s">
        <v>56</v>
      </c>
      <c r="C54" s="4" t="s">
        <v>59</v>
      </c>
      <c r="D54" s="4" t="s">
        <v>25</v>
      </c>
      <c r="E54" s="4" t="s">
        <v>25</v>
      </c>
      <c r="F54" s="4" t="s">
        <v>25</v>
      </c>
      <c r="G54" s="4" t="s">
        <v>60</v>
      </c>
      <c r="H54" s="4" t="s">
        <v>25</v>
      </c>
      <c r="I54" s="5">
        <v>44348</v>
      </c>
      <c r="J54" s="6">
        <v>0</v>
      </c>
      <c r="K54" s="6">
        <v>0</v>
      </c>
      <c r="L54" s="6">
        <v>3439.7919999999999</v>
      </c>
      <c r="M54" s="6">
        <v>3439.7919999999999</v>
      </c>
      <c r="N54" s="6">
        <v>0</v>
      </c>
      <c r="O54" s="6">
        <v>0</v>
      </c>
      <c r="P54" s="6">
        <v>0</v>
      </c>
      <c r="Q54" s="4" t="s">
        <v>61</v>
      </c>
      <c r="R54" s="4">
        <v>6600</v>
      </c>
      <c r="S54" s="4" t="s">
        <v>150</v>
      </c>
      <c r="U54" s="4">
        <v>0</v>
      </c>
      <c r="V54" s="4">
        <v>8</v>
      </c>
      <c r="W54" s="4">
        <v>0</v>
      </c>
    </row>
    <row r="55" spans="1:23" ht="11.25" customHeight="1" x14ac:dyDescent="0.25">
      <c r="A55" s="4" t="s">
        <v>21</v>
      </c>
      <c r="B55" s="4" t="s">
        <v>56</v>
      </c>
      <c r="C55" s="4" t="s">
        <v>59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44378</v>
      </c>
      <c r="J55" s="6">
        <v>0</v>
      </c>
      <c r="K55" s="6">
        <v>0</v>
      </c>
      <c r="L55" s="6">
        <v>3213.2269999999999</v>
      </c>
      <c r="M55" s="6">
        <v>3213.2269999999999</v>
      </c>
      <c r="N55" s="6">
        <v>0</v>
      </c>
      <c r="O55" s="6">
        <v>0</v>
      </c>
      <c r="P55" s="6">
        <v>0</v>
      </c>
      <c r="Q55" s="4" t="s">
        <v>61</v>
      </c>
      <c r="R55" s="4">
        <v>6600</v>
      </c>
      <c r="S55" s="4" t="s">
        <v>151</v>
      </c>
      <c r="U55" s="4">
        <v>0</v>
      </c>
      <c r="V55" s="4">
        <v>8</v>
      </c>
      <c r="W55" s="4">
        <v>0</v>
      </c>
    </row>
    <row r="56" spans="1:23" ht="11.25" customHeight="1" x14ac:dyDescent="0.25">
      <c r="A56" s="4" t="s">
        <v>21</v>
      </c>
      <c r="B56" s="4" t="s">
        <v>56</v>
      </c>
      <c r="C56" s="4" t="s">
        <v>59</v>
      </c>
      <c r="D56" s="4" t="s">
        <v>25</v>
      </c>
      <c r="E56" s="4" t="s">
        <v>25</v>
      </c>
      <c r="F56" s="4" t="s">
        <v>25</v>
      </c>
      <c r="G56" s="4" t="s">
        <v>60</v>
      </c>
      <c r="H56" s="4" t="s">
        <v>25</v>
      </c>
      <c r="I56" s="5">
        <v>44409</v>
      </c>
      <c r="J56" s="6">
        <v>0</v>
      </c>
      <c r="K56" s="6">
        <v>0</v>
      </c>
      <c r="L56" s="6">
        <v>3284.6260000000002</v>
      </c>
      <c r="M56" s="6">
        <v>3284.6260000000002</v>
      </c>
      <c r="N56" s="6">
        <v>0</v>
      </c>
      <c r="O56" s="6">
        <v>0</v>
      </c>
      <c r="P56" s="6">
        <v>0</v>
      </c>
      <c r="Q56" s="4" t="s">
        <v>61</v>
      </c>
      <c r="R56" s="4">
        <v>6600</v>
      </c>
      <c r="S56" s="4" t="s">
        <v>152</v>
      </c>
      <c r="U56" s="4">
        <v>0</v>
      </c>
      <c r="V56" s="4">
        <v>8</v>
      </c>
      <c r="W56" s="4">
        <v>0</v>
      </c>
    </row>
    <row r="57" spans="1:23" ht="11.25" customHeight="1" x14ac:dyDescent="0.25">
      <c r="A57" s="4" t="s">
        <v>21</v>
      </c>
      <c r="B57" s="4" t="s">
        <v>56</v>
      </c>
      <c r="C57" s="4" t="s">
        <v>59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44440</v>
      </c>
      <c r="J57" s="6">
        <v>0</v>
      </c>
      <c r="K57" s="6">
        <v>0</v>
      </c>
      <c r="L57" s="6">
        <v>3266.6419999999998</v>
      </c>
      <c r="M57" s="6">
        <v>3266.6419999999998</v>
      </c>
      <c r="N57" s="6">
        <v>0</v>
      </c>
      <c r="O57" s="6">
        <v>0</v>
      </c>
      <c r="P57" s="6">
        <v>0</v>
      </c>
      <c r="Q57" s="4" t="s">
        <v>61</v>
      </c>
      <c r="R57" s="4">
        <v>6600</v>
      </c>
      <c r="S57" s="4" t="s">
        <v>153</v>
      </c>
      <c r="U57" s="4">
        <v>0</v>
      </c>
      <c r="V57" s="4">
        <v>8</v>
      </c>
      <c r="W57" s="4">
        <v>0</v>
      </c>
    </row>
    <row r="58" spans="1:23" ht="11.25" customHeight="1" x14ac:dyDescent="0.25">
      <c r="A58" s="4" t="s">
        <v>21</v>
      </c>
      <c r="B58" s="4" t="s">
        <v>56</v>
      </c>
      <c r="C58" s="4" t="s">
        <v>59</v>
      </c>
      <c r="D58" s="4" t="s">
        <v>25</v>
      </c>
      <c r="E58" s="4" t="s">
        <v>25</v>
      </c>
      <c r="F58" s="4" t="s">
        <v>25</v>
      </c>
      <c r="G58" s="4" t="s">
        <v>60</v>
      </c>
      <c r="H58" s="4" t="s">
        <v>25</v>
      </c>
      <c r="I58" s="5">
        <v>44470</v>
      </c>
      <c r="J58" s="6">
        <v>0</v>
      </c>
      <c r="K58" s="6">
        <v>0</v>
      </c>
      <c r="L58" s="6">
        <v>3490.26</v>
      </c>
      <c r="M58" s="6">
        <v>3490.26</v>
      </c>
      <c r="N58" s="6">
        <v>0</v>
      </c>
      <c r="O58" s="6">
        <v>0</v>
      </c>
      <c r="P58" s="6">
        <v>0</v>
      </c>
      <c r="Q58" s="4" t="s">
        <v>61</v>
      </c>
      <c r="R58" s="4">
        <v>6600</v>
      </c>
      <c r="S58" s="4" t="s">
        <v>154</v>
      </c>
      <c r="U58" s="4">
        <v>0</v>
      </c>
      <c r="V58" s="4">
        <v>8</v>
      </c>
      <c r="W58" s="4">
        <v>0</v>
      </c>
    </row>
    <row r="59" spans="1:23" ht="11.25" customHeight="1" x14ac:dyDescent="0.25">
      <c r="A59" s="4" t="s">
        <v>21</v>
      </c>
      <c r="B59" s="4" t="s">
        <v>56</v>
      </c>
      <c r="C59" s="4" t="s">
        <v>59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44501</v>
      </c>
      <c r="J59" s="6">
        <v>0</v>
      </c>
      <c r="K59" s="6">
        <v>0</v>
      </c>
      <c r="L59" s="6">
        <v>3623.9630000000002</v>
      </c>
      <c r="M59" s="6">
        <v>3623.9630000000002</v>
      </c>
      <c r="N59" s="6">
        <v>0</v>
      </c>
      <c r="O59" s="6">
        <v>0</v>
      </c>
      <c r="P59" s="6">
        <v>0</v>
      </c>
      <c r="Q59" s="4" t="s">
        <v>61</v>
      </c>
      <c r="R59" s="4">
        <v>6600</v>
      </c>
      <c r="S59" s="4" t="s">
        <v>155</v>
      </c>
      <c r="U59" s="4">
        <v>0</v>
      </c>
      <c r="V59" s="4">
        <v>8</v>
      </c>
      <c r="W59" s="4">
        <v>0</v>
      </c>
    </row>
    <row r="60" spans="1:23" ht="11.25" customHeight="1" x14ac:dyDescent="0.25">
      <c r="A60" s="4" t="s">
        <v>21</v>
      </c>
      <c r="B60" s="4" t="s">
        <v>56</v>
      </c>
      <c r="C60" s="4" t="s">
        <v>59</v>
      </c>
      <c r="D60" s="4" t="s">
        <v>25</v>
      </c>
      <c r="E60" s="4" t="s">
        <v>25</v>
      </c>
      <c r="F60" s="4" t="s">
        <v>25</v>
      </c>
      <c r="G60" s="4" t="s">
        <v>60</v>
      </c>
      <c r="H60" s="4" t="s">
        <v>25</v>
      </c>
      <c r="I60" s="5">
        <v>44531</v>
      </c>
      <c r="J60" s="6">
        <v>0</v>
      </c>
      <c r="K60" s="6">
        <v>0</v>
      </c>
      <c r="L60" s="6">
        <v>3811.665</v>
      </c>
      <c r="M60" s="6">
        <v>3811.665</v>
      </c>
      <c r="N60" s="6">
        <v>0</v>
      </c>
      <c r="O60" s="6">
        <v>0</v>
      </c>
      <c r="P60" s="6">
        <v>0</v>
      </c>
      <c r="Q60" s="4" t="s">
        <v>61</v>
      </c>
      <c r="R60" s="4">
        <v>6600</v>
      </c>
      <c r="S60" s="4" t="s">
        <v>156</v>
      </c>
      <c r="U60" s="4">
        <v>0</v>
      </c>
      <c r="V60" s="4">
        <v>8</v>
      </c>
      <c r="W60" s="4">
        <v>0</v>
      </c>
    </row>
    <row r="61" spans="1:23" ht="11.25" customHeight="1" x14ac:dyDescent="0.25">
      <c r="A61" s="4" t="s">
        <v>55</v>
      </c>
      <c r="B61" s="4" t="s">
        <v>56</v>
      </c>
      <c r="C61" s="4" t="s">
        <v>59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0</v>
      </c>
      <c r="K61" s="6">
        <v>0</v>
      </c>
      <c r="L61" s="6">
        <v>3811.665</v>
      </c>
      <c r="M61" s="6">
        <v>3811.665</v>
      </c>
      <c r="N61" s="6">
        <v>0</v>
      </c>
      <c r="O61" s="6">
        <v>0</v>
      </c>
      <c r="P61" s="6">
        <v>0</v>
      </c>
      <c r="Q61" s="4" t="s">
        <v>61</v>
      </c>
      <c r="R61" s="4">
        <v>6600</v>
      </c>
      <c r="S61" s="4" t="s">
        <v>157</v>
      </c>
      <c r="U61" s="4">
        <v>0</v>
      </c>
      <c r="V61" s="4">
        <v>8</v>
      </c>
      <c r="W61" s="4">
        <v>0</v>
      </c>
    </row>
    <row r="62" spans="1:23" ht="11.25" customHeight="1" x14ac:dyDescent="0.25">
      <c r="A62" s="4" t="s">
        <v>21</v>
      </c>
      <c r="B62" s="4" t="s">
        <v>56</v>
      </c>
      <c r="C62" s="4" t="s">
        <v>59</v>
      </c>
      <c r="D62" s="4" t="s">
        <v>25</v>
      </c>
      <c r="E62" s="4" t="s">
        <v>25</v>
      </c>
      <c r="F62" s="4" t="s">
        <v>25</v>
      </c>
      <c r="G62" s="4" t="s">
        <v>60</v>
      </c>
      <c r="H62" s="4" t="s">
        <v>34</v>
      </c>
      <c r="I62" s="5">
        <v>44228</v>
      </c>
      <c r="J62" s="6">
        <v>18000</v>
      </c>
      <c r="K62" s="6">
        <v>18000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61</v>
      </c>
      <c r="R62" s="4">
        <v>6600</v>
      </c>
      <c r="S62" s="4" t="s">
        <v>158</v>
      </c>
      <c r="U62" s="4">
        <v>28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56</v>
      </c>
      <c r="C63" s="4" t="s">
        <v>59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34</v>
      </c>
      <c r="I63" s="5">
        <v>44256</v>
      </c>
      <c r="J63" s="6">
        <v>18000</v>
      </c>
      <c r="K63" s="6">
        <v>18000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61</v>
      </c>
      <c r="R63" s="4">
        <v>6600</v>
      </c>
      <c r="S63" s="4" t="s">
        <v>159</v>
      </c>
      <c r="U63" s="4">
        <v>28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56</v>
      </c>
      <c r="C64" s="4" t="s">
        <v>59</v>
      </c>
      <c r="D64" s="4" t="s">
        <v>25</v>
      </c>
      <c r="E64" s="4" t="s">
        <v>25</v>
      </c>
      <c r="F64" s="4" t="s">
        <v>25</v>
      </c>
      <c r="G64" s="4" t="s">
        <v>60</v>
      </c>
      <c r="H64" s="4" t="s">
        <v>34</v>
      </c>
      <c r="I64" s="5">
        <v>44287</v>
      </c>
      <c r="J64" s="6">
        <v>18000</v>
      </c>
      <c r="K64" s="6">
        <v>18000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61</v>
      </c>
      <c r="R64" s="4">
        <v>6600</v>
      </c>
      <c r="S64" s="4" t="s">
        <v>160</v>
      </c>
      <c r="U64" s="4">
        <v>28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56</v>
      </c>
      <c r="C65" s="4" t="s">
        <v>59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34</v>
      </c>
      <c r="I65" s="5">
        <v>44317</v>
      </c>
      <c r="J65" s="6">
        <v>18000</v>
      </c>
      <c r="K65" s="6">
        <v>18000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61</v>
      </c>
      <c r="R65" s="4">
        <v>6600</v>
      </c>
      <c r="S65" s="4" t="s">
        <v>161</v>
      </c>
      <c r="U65" s="4">
        <v>28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56</v>
      </c>
      <c r="C66" s="4" t="s">
        <v>59</v>
      </c>
      <c r="D66" s="4" t="s">
        <v>25</v>
      </c>
      <c r="E66" s="4" t="s">
        <v>25</v>
      </c>
      <c r="F66" s="4" t="s">
        <v>25</v>
      </c>
      <c r="G66" s="4" t="s">
        <v>60</v>
      </c>
      <c r="H66" s="4" t="s">
        <v>34</v>
      </c>
      <c r="I66" s="5">
        <v>44348</v>
      </c>
      <c r="J66" s="6">
        <v>18000</v>
      </c>
      <c r="K66" s="6">
        <v>18000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61</v>
      </c>
      <c r="R66" s="4">
        <v>6600</v>
      </c>
      <c r="S66" s="4" t="s">
        <v>162</v>
      </c>
      <c r="U66" s="4">
        <v>28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56</v>
      </c>
      <c r="C67" s="4" t="s">
        <v>59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34</v>
      </c>
      <c r="I67" s="5">
        <v>44378</v>
      </c>
      <c r="J67" s="6">
        <v>18000</v>
      </c>
      <c r="K67" s="6">
        <v>18000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61</v>
      </c>
      <c r="R67" s="4">
        <v>6600</v>
      </c>
      <c r="S67" s="4" t="s">
        <v>163</v>
      </c>
      <c r="U67" s="4">
        <v>28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56</v>
      </c>
      <c r="C68" s="4" t="s">
        <v>59</v>
      </c>
      <c r="D68" s="4" t="s">
        <v>25</v>
      </c>
      <c r="E68" s="4" t="s">
        <v>25</v>
      </c>
      <c r="F68" s="4" t="s">
        <v>25</v>
      </c>
      <c r="G68" s="4" t="s">
        <v>60</v>
      </c>
      <c r="H68" s="4" t="s">
        <v>34</v>
      </c>
      <c r="I68" s="5">
        <v>44409</v>
      </c>
      <c r="J68" s="6">
        <v>18000</v>
      </c>
      <c r="K68" s="6">
        <v>18000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61</v>
      </c>
      <c r="R68" s="4">
        <v>6600</v>
      </c>
      <c r="S68" s="4" t="s">
        <v>164</v>
      </c>
      <c r="U68" s="4">
        <v>28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56</v>
      </c>
      <c r="C69" s="4" t="s">
        <v>59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34</v>
      </c>
      <c r="I69" s="5">
        <v>44440</v>
      </c>
      <c r="J69" s="6">
        <v>18000</v>
      </c>
      <c r="K69" s="6">
        <v>18000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61</v>
      </c>
      <c r="R69" s="4">
        <v>6600</v>
      </c>
      <c r="S69" s="4" t="s">
        <v>165</v>
      </c>
      <c r="U69" s="4">
        <v>28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56</v>
      </c>
      <c r="C70" s="4" t="s">
        <v>59</v>
      </c>
      <c r="D70" s="4" t="s">
        <v>25</v>
      </c>
      <c r="E70" s="4" t="s">
        <v>25</v>
      </c>
      <c r="F70" s="4" t="s">
        <v>25</v>
      </c>
      <c r="G70" s="4" t="s">
        <v>60</v>
      </c>
      <c r="H70" s="4" t="s">
        <v>34</v>
      </c>
      <c r="I70" s="5">
        <v>44470</v>
      </c>
      <c r="J70" s="6">
        <v>18624</v>
      </c>
      <c r="K70" s="6">
        <v>18624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61</v>
      </c>
      <c r="R70" s="4">
        <v>6600</v>
      </c>
      <c r="S70" s="4" t="s">
        <v>166</v>
      </c>
      <c r="U70" s="4">
        <v>28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56</v>
      </c>
      <c r="C71" s="4" t="s">
        <v>59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34</v>
      </c>
      <c r="I71" s="5">
        <v>44501</v>
      </c>
      <c r="J71" s="6">
        <v>18000</v>
      </c>
      <c r="K71" s="6">
        <v>18000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61</v>
      </c>
      <c r="R71" s="4">
        <v>6600</v>
      </c>
      <c r="S71" s="4" t="s">
        <v>167</v>
      </c>
      <c r="U71" s="4">
        <v>28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56</v>
      </c>
      <c r="C72" s="4" t="s">
        <v>59</v>
      </c>
      <c r="D72" s="4" t="s">
        <v>25</v>
      </c>
      <c r="E72" s="4" t="s">
        <v>25</v>
      </c>
      <c r="F72" s="4" t="s">
        <v>25</v>
      </c>
      <c r="G72" s="4" t="s">
        <v>60</v>
      </c>
      <c r="H72" s="4" t="s">
        <v>34</v>
      </c>
      <c r="I72" s="5">
        <v>44531</v>
      </c>
      <c r="J72" s="6">
        <v>18000</v>
      </c>
      <c r="K72" s="6">
        <v>18000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61</v>
      </c>
      <c r="R72" s="4">
        <v>6600</v>
      </c>
      <c r="S72" s="4" t="s">
        <v>168</v>
      </c>
      <c r="U72" s="4">
        <v>28</v>
      </c>
      <c r="V72" s="4">
        <v>0</v>
      </c>
      <c r="W72" s="4">
        <v>0</v>
      </c>
    </row>
    <row r="73" spans="1:23" ht="11.25" customHeight="1" x14ac:dyDescent="0.25">
      <c r="A73" s="4" t="s">
        <v>55</v>
      </c>
      <c r="B73" s="4" t="s">
        <v>56</v>
      </c>
      <c r="C73" s="4" t="s">
        <v>59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34</v>
      </c>
      <c r="I73" s="5">
        <v>44562</v>
      </c>
      <c r="J73" s="6">
        <v>18000</v>
      </c>
      <c r="K73" s="6">
        <v>18000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61</v>
      </c>
      <c r="R73" s="4">
        <v>6600</v>
      </c>
      <c r="S73" s="4" t="s">
        <v>169</v>
      </c>
      <c r="U73" s="4">
        <v>28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39</v>
      </c>
      <c r="C74" s="4" t="s">
        <v>40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44228</v>
      </c>
      <c r="J74" s="6">
        <v>2248</v>
      </c>
      <c r="K74" s="6">
        <v>2248</v>
      </c>
      <c r="L74" s="6">
        <v>785.98</v>
      </c>
      <c r="M74" s="6">
        <v>785.98</v>
      </c>
      <c r="N74" s="6">
        <v>785.98</v>
      </c>
      <c r="O74" s="6">
        <v>785.98</v>
      </c>
      <c r="P74" s="6">
        <v>0</v>
      </c>
      <c r="Q74" s="4" t="s">
        <v>26</v>
      </c>
      <c r="R74" s="4">
        <v>0</v>
      </c>
      <c r="S74" s="4" t="s">
        <v>170</v>
      </c>
      <c r="T74" s="4" t="s">
        <v>483</v>
      </c>
      <c r="U74" s="4">
        <v>10</v>
      </c>
      <c r="V74" s="4">
        <v>11</v>
      </c>
      <c r="W74" s="4">
        <v>68</v>
      </c>
    </row>
    <row r="75" spans="1:23" ht="11.25" customHeight="1" x14ac:dyDescent="0.25">
      <c r="A75" s="4" t="s">
        <v>28</v>
      </c>
      <c r="B75" s="4" t="s">
        <v>39</v>
      </c>
      <c r="C75" s="4" t="s">
        <v>40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44228</v>
      </c>
      <c r="J75" s="6">
        <v>240</v>
      </c>
      <c r="K75" s="6">
        <v>240</v>
      </c>
      <c r="L75" s="6">
        <v>79.8</v>
      </c>
      <c r="M75" s="6">
        <v>79.8</v>
      </c>
      <c r="N75" s="6">
        <v>79.8</v>
      </c>
      <c r="O75" s="6">
        <v>79.8</v>
      </c>
      <c r="P75" s="6">
        <v>0</v>
      </c>
      <c r="Q75" s="4" t="s">
        <v>26</v>
      </c>
      <c r="R75" s="4">
        <v>0</v>
      </c>
      <c r="S75" s="4" t="s">
        <v>170</v>
      </c>
      <c r="T75" s="4" t="s">
        <v>483</v>
      </c>
      <c r="U75" s="4">
        <v>10</v>
      </c>
      <c r="V75" s="4">
        <v>11</v>
      </c>
      <c r="W75" s="4">
        <v>68</v>
      </c>
    </row>
    <row r="76" spans="1:23" ht="11.25" customHeight="1" x14ac:dyDescent="0.25">
      <c r="A76" s="4" t="s">
        <v>21</v>
      </c>
      <c r="B76" s="4" t="s">
        <v>39</v>
      </c>
      <c r="C76" s="4" t="s">
        <v>40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44256</v>
      </c>
      <c r="J76" s="6">
        <v>2224</v>
      </c>
      <c r="K76" s="6">
        <v>2224</v>
      </c>
      <c r="L76" s="6">
        <v>828.03599999999994</v>
      </c>
      <c r="M76" s="6">
        <v>828.03599999999994</v>
      </c>
      <c r="N76" s="6">
        <v>828.03599999999994</v>
      </c>
      <c r="O76" s="6">
        <v>828.03599999999994</v>
      </c>
      <c r="P76" s="6">
        <v>0</v>
      </c>
      <c r="Q76" s="4" t="s">
        <v>26</v>
      </c>
      <c r="R76" s="4">
        <v>0</v>
      </c>
      <c r="S76" s="4" t="s">
        <v>171</v>
      </c>
      <c r="T76" s="4" t="s">
        <v>484</v>
      </c>
      <c r="U76" s="4">
        <v>10</v>
      </c>
      <c r="V76" s="4">
        <v>11</v>
      </c>
      <c r="W76" s="4">
        <v>68</v>
      </c>
    </row>
    <row r="77" spans="1:23" ht="11.25" customHeight="1" x14ac:dyDescent="0.25">
      <c r="A77" s="4" t="s">
        <v>27</v>
      </c>
      <c r="B77" s="4" t="s">
        <v>39</v>
      </c>
      <c r="C77" s="4" t="s">
        <v>40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44256</v>
      </c>
      <c r="J77" s="6">
        <v>-237</v>
      </c>
      <c r="K77" s="6">
        <v>-237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26</v>
      </c>
      <c r="R77" s="4">
        <v>0</v>
      </c>
      <c r="S77" s="4" t="s">
        <v>171</v>
      </c>
      <c r="T77" s="4" t="s">
        <v>484</v>
      </c>
      <c r="U77" s="4">
        <v>10</v>
      </c>
      <c r="V77" s="4">
        <v>0</v>
      </c>
      <c r="W77" s="4">
        <v>0</v>
      </c>
    </row>
    <row r="78" spans="1:23" ht="11.25" customHeight="1" x14ac:dyDescent="0.25">
      <c r="A78" s="4" t="s">
        <v>28</v>
      </c>
      <c r="B78" s="4" t="s">
        <v>39</v>
      </c>
      <c r="C78" s="4" t="s">
        <v>40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44256</v>
      </c>
      <c r="J78" s="6">
        <v>240</v>
      </c>
      <c r="K78" s="6">
        <v>240</v>
      </c>
      <c r="L78" s="6">
        <v>89.32</v>
      </c>
      <c r="M78" s="6">
        <v>89.32</v>
      </c>
      <c r="N78" s="6">
        <v>89.32</v>
      </c>
      <c r="O78" s="6">
        <v>89.32</v>
      </c>
      <c r="P78" s="6">
        <v>0</v>
      </c>
      <c r="Q78" s="4" t="s">
        <v>26</v>
      </c>
      <c r="R78" s="4">
        <v>0</v>
      </c>
      <c r="S78" s="4" t="s">
        <v>171</v>
      </c>
      <c r="T78" s="4" t="s">
        <v>484</v>
      </c>
      <c r="U78" s="4">
        <v>10</v>
      </c>
      <c r="V78" s="4">
        <v>11</v>
      </c>
      <c r="W78" s="4">
        <v>68</v>
      </c>
    </row>
    <row r="79" spans="1:23" ht="11.25" customHeight="1" x14ac:dyDescent="0.25">
      <c r="A79" s="4" t="s">
        <v>21</v>
      </c>
      <c r="B79" s="4" t="s">
        <v>39</v>
      </c>
      <c r="C79" s="4" t="s">
        <v>40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44287</v>
      </c>
      <c r="J79" s="6">
        <v>2231</v>
      </c>
      <c r="K79" s="6">
        <v>2231</v>
      </c>
      <c r="L79" s="6">
        <v>821.19399999999996</v>
      </c>
      <c r="M79" s="6">
        <v>821.19399999999996</v>
      </c>
      <c r="N79" s="6">
        <v>821.19399999999996</v>
      </c>
      <c r="O79" s="6">
        <v>821.19399999999996</v>
      </c>
      <c r="P79" s="6">
        <v>0</v>
      </c>
      <c r="Q79" s="4" t="s">
        <v>26</v>
      </c>
      <c r="R79" s="4">
        <v>0</v>
      </c>
      <c r="S79" s="4" t="s">
        <v>172</v>
      </c>
      <c r="T79" s="4" t="s">
        <v>485</v>
      </c>
      <c r="U79" s="4">
        <v>10</v>
      </c>
      <c r="V79" s="4">
        <v>11</v>
      </c>
      <c r="W79" s="4">
        <v>68</v>
      </c>
    </row>
    <row r="80" spans="1:23" ht="11.25" customHeight="1" x14ac:dyDescent="0.25">
      <c r="A80" s="4" t="s">
        <v>28</v>
      </c>
      <c r="B80" s="4" t="s">
        <v>39</v>
      </c>
      <c r="C80" s="4" t="s">
        <v>40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44287</v>
      </c>
      <c r="J80" s="6">
        <v>235</v>
      </c>
      <c r="K80" s="6">
        <v>235</v>
      </c>
      <c r="L80" s="6">
        <v>93.24</v>
      </c>
      <c r="M80" s="6">
        <v>93.24</v>
      </c>
      <c r="N80" s="6">
        <v>93.24</v>
      </c>
      <c r="O80" s="6">
        <v>93.24</v>
      </c>
      <c r="P80" s="6">
        <v>0</v>
      </c>
      <c r="Q80" s="4" t="s">
        <v>26</v>
      </c>
      <c r="R80" s="4">
        <v>0</v>
      </c>
      <c r="S80" s="4" t="s">
        <v>172</v>
      </c>
      <c r="T80" s="4" t="s">
        <v>485</v>
      </c>
      <c r="U80" s="4">
        <v>10</v>
      </c>
      <c r="V80" s="4">
        <v>11</v>
      </c>
      <c r="W80" s="4">
        <v>68</v>
      </c>
    </row>
    <row r="81" spans="1:23" ht="11.25" customHeight="1" x14ac:dyDescent="0.25">
      <c r="A81" s="4" t="s">
        <v>21</v>
      </c>
      <c r="B81" s="4" t="s">
        <v>39</v>
      </c>
      <c r="C81" s="4" t="s">
        <v>40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44317</v>
      </c>
      <c r="J81" s="6">
        <v>2133</v>
      </c>
      <c r="K81" s="6">
        <v>2133</v>
      </c>
      <c r="L81" s="6">
        <v>806.96100000000001</v>
      </c>
      <c r="M81" s="6">
        <v>806.96100000000001</v>
      </c>
      <c r="N81" s="6">
        <v>806.96100000000001</v>
      </c>
      <c r="O81" s="6">
        <v>806.96100000000001</v>
      </c>
      <c r="P81" s="6">
        <v>0</v>
      </c>
      <c r="Q81" s="4" t="s">
        <v>26</v>
      </c>
      <c r="R81" s="4">
        <v>0</v>
      </c>
      <c r="S81" s="4" t="s">
        <v>173</v>
      </c>
      <c r="T81" s="4" t="s">
        <v>486</v>
      </c>
      <c r="U81" s="4">
        <v>10</v>
      </c>
      <c r="V81" s="4">
        <v>11</v>
      </c>
      <c r="W81" s="4">
        <v>68</v>
      </c>
    </row>
    <row r="82" spans="1:23" ht="11.25" customHeight="1" x14ac:dyDescent="0.25">
      <c r="A82" s="4" t="s">
        <v>28</v>
      </c>
      <c r="B82" s="4" t="s">
        <v>39</v>
      </c>
      <c r="C82" s="4" t="s">
        <v>40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44317</v>
      </c>
      <c r="J82" s="6">
        <v>243</v>
      </c>
      <c r="K82" s="6">
        <v>243</v>
      </c>
      <c r="L82" s="6">
        <v>98.56</v>
      </c>
      <c r="M82" s="6">
        <v>98.56</v>
      </c>
      <c r="N82" s="6">
        <v>98.56</v>
      </c>
      <c r="O82" s="6">
        <v>98.56</v>
      </c>
      <c r="P82" s="6">
        <v>0</v>
      </c>
      <c r="Q82" s="4" t="s">
        <v>26</v>
      </c>
      <c r="R82" s="4">
        <v>0</v>
      </c>
      <c r="S82" s="4" t="s">
        <v>173</v>
      </c>
      <c r="T82" s="4" t="s">
        <v>486</v>
      </c>
      <c r="U82" s="4">
        <v>10</v>
      </c>
      <c r="V82" s="4">
        <v>11</v>
      </c>
      <c r="W82" s="4">
        <v>68</v>
      </c>
    </row>
    <row r="83" spans="1:23" ht="11.25" customHeight="1" x14ac:dyDescent="0.25">
      <c r="A83" s="4" t="s">
        <v>21</v>
      </c>
      <c r="B83" s="4" t="s">
        <v>39</v>
      </c>
      <c r="C83" s="4" t="s">
        <v>40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44348</v>
      </c>
      <c r="J83" s="6">
        <v>2124</v>
      </c>
      <c r="K83" s="6">
        <v>2124</v>
      </c>
      <c r="L83" s="6">
        <v>767.54200000000003</v>
      </c>
      <c r="M83" s="6">
        <v>767.54200000000003</v>
      </c>
      <c r="N83" s="6">
        <v>767.54200000000003</v>
      </c>
      <c r="O83" s="6">
        <v>767.54200000000003</v>
      </c>
      <c r="P83" s="6">
        <v>0</v>
      </c>
      <c r="Q83" s="4" t="s">
        <v>26</v>
      </c>
      <c r="R83" s="4">
        <v>0</v>
      </c>
      <c r="S83" s="4" t="s">
        <v>174</v>
      </c>
      <c r="T83" s="4" t="s">
        <v>487</v>
      </c>
      <c r="U83" s="4">
        <v>10</v>
      </c>
      <c r="V83" s="4">
        <v>11</v>
      </c>
      <c r="W83" s="4">
        <v>68</v>
      </c>
    </row>
    <row r="84" spans="1:23" ht="11.25" customHeight="1" x14ac:dyDescent="0.25">
      <c r="A84" s="4" t="s">
        <v>28</v>
      </c>
      <c r="B84" s="4" t="s">
        <v>39</v>
      </c>
      <c r="C84" s="4" t="s">
        <v>40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44348</v>
      </c>
      <c r="J84" s="6">
        <v>246</v>
      </c>
      <c r="K84" s="6">
        <v>246</v>
      </c>
      <c r="L84" s="6">
        <v>91.28</v>
      </c>
      <c r="M84" s="6">
        <v>91.28</v>
      </c>
      <c r="N84" s="6">
        <v>91.28</v>
      </c>
      <c r="O84" s="6">
        <v>91.28</v>
      </c>
      <c r="P84" s="6">
        <v>0</v>
      </c>
      <c r="Q84" s="4" t="s">
        <v>26</v>
      </c>
      <c r="R84" s="4">
        <v>0</v>
      </c>
      <c r="S84" s="4" t="s">
        <v>174</v>
      </c>
      <c r="T84" s="4" t="s">
        <v>487</v>
      </c>
      <c r="U84" s="4">
        <v>10</v>
      </c>
      <c r="V84" s="4">
        <v>11</v>
      </c>
      <c r="W84" s="4">
        <v>68</v>
      </c>
    </row>
    <row r="85" spans="1:23" ht="11.25" customHeight="1" x14ac:dyDescent="0.25">
      <c r="A85" s="4" t="s">
        <v>21</v>
      </c>
      <c r="B85" s="4" t="s">
        <v>39</v>
      </c>
      <c r="C85" s="4" t="s">
        <v>40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44378</v>
      </c>
      <c r="J85" s="6">
        <v>2094</v>
      </c>
      <c r="K85" s="6">
        <v>2094</v>
      </c>
      <c r="L85" s="6">
        <v>764.072</v>
      </c>
      <c r="M85" s="6">
        <v>764.072</v>
      </c>
      <c r="N85" s="6">
        <v>764.072</v>
      </c>
      <c r="O85" s="6">
        <v>764.072</v>
      </c>
      <c r="P85" s="6">
        <v>0</v>
      </c>
      <c r="Q85" s="4" t="s">
        <v>26</v>
      </c>
      <c r="R85" s="4">
        <v>0</v>
      </c>
      <c r="S85" s="4" t="s">
        <v>175</v>
      </c>
      <c r="T85" s="4" t="s">
        <v>488</v>
      </c>
      <c r="U85" s="4">
        <v>10</v>
      </c>
      <c r="V85" s="4">
        <v>11</v>
      </c>
      <c r="W85" s="4">
        <v>68</v>
      </c>
    </row>
    <row r="86" spans="1:23" ht="11.25" customHeight="1" x14ac:dyDescent="0.25">
      <c r="A86" s="4" t="s">
        <v>28</v>
      </c>
      <c r="B86" s="4" t="s">
        <v>39</v>
      </c>
      <c r="C86" s="4" t="s">
        <v>40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44378</v>
      </c>
      <c r="J86" s="6">
        <v>226</v>
      </c>
      <c r="K86" s="6">
        <v>226</v>
      </c>
      <c r="L86" s="6">
        <v>88.76</v>
      </c>
      <c r="M86" s="6">
        <v>88.76</v>
      </c>
      <c r="N86" s="6">
        <v>88.76</v>
      </c>
      <c r="O86" s="6">
        <v>88.76</v>
      </c>
      <c r="P86" s="6">
        <v>0</v>
      </c>
      <c r="Q86" s="4" t="s">
        <v>26</v>
      </c>
      <c r="R86" s="4">
        <v>0</v>
      </c>
      <c r="S86" s="4" t="s">
        <v>175</v>
      </c>
      <c r="T86" s="4" t="s">
        <v>488</v>
      </c>
      <c r="U86" s="4">
        <v>10</v>
      </c>
      <c r="V86" s="4">
        <v>11</v>
      </c>
      <c r="W86" s="4">
        <v>68</v>
      </c>
    </row>
    <row r="87" spans="1:23" ht="11.25" customHeight="1" x14ac:dyDescent="0.25">
      <c r="A87" s="4" t="s">
        <v>21</v>
      </c>
      <c r="B87" s="4" t="s">
        <v>39</v>
      </c>
      <c r="C87" s="4" t="s">
        <v>40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44409</v>
      </c>
      <c r="J87" s="6">
        <v>2133</v>
      </c>
      <c r="K87" s="6">
        <v>2133</v>
      </c>
      <c r="L87" s="6">
        <v>756.49099999999999</v>
      </c>
      <c r="M87" s="6">
        <v>756.49099999999999</v>
      </c>
      <c r="N87" s="6">
        <v>756.49099999999999</v>
      </c>
      <c r="O87" s="6">
        <v>756.49099999999999</v>
      </c>
      <c r="P87" s="6">
        <v>0</v>
      </c>
      <c r="Q87" s="4" t="s">
        <v>26</v>
      </c>
      <c r="R87" s="4">
        <v>0</v>
      </c>
      <c r="S87" s="4" t="s">
        <v>176</v>
      </c>
      <c r="T87" s="4" t="s">
        <v>489</v>
      </c>
      <c r="U87" s="4">
        <v>10</v>
      </c>
      <c r="V87" s="4">
        <v>11</v>
      </c>
      <c r="W87" s="4">
        <v>68</v>
      </c>
    </row>
    <row r="88" spans="1:23" ht="11.25" customHeight="1" x14ac:dyDescent="0.25">
      <c r="A88" s="4" t="s">
        <v>28</v>
      </c>
      <c r="B88" s="4" t="s">
        <v>39</v>
      </c>
      <c r="C88" s="4" t="s">
        <v>40</v>
      </c>
      <c r="D88" s="4" t="s">
        <v>42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44409</v>
      </c>
      <c r="J88" s="6">
        <v>420</v>
      </c>
      <c r="K88" s="6">
        <v>420</v>
      </c>
      <c r="L88" s="6">
        <v>185.57</v>
      </c>
      <c r="M88" s="6">
        <v>185.57</v>
      </c>
      <c r="N88" s="6">
        <v>185.57</v>
      </c>
      <c r="O88" s="6">
        <v>185.57</v>
      </c>
      <c r="P88" s="6">
        <v>0</v>
      </c>
      <c r="Q88" s="4" t="s">
        <v>26</v>
      </c>
      <c r="R88" s="4">
        <v>0</v>
      </c>
      <c r="S88" s="4" t="s">
        <v>176</v>
      </c>
      <c r="T88" s="4" t="s">
        <v>489</v>
      </c>
      <c r="U88" s="4">
        <v>10</v>
      </c>
      <c r="V88" s="4">
        <v>11</v>
      </c>
      <c r="W88" s="4">
        <v>68</v>
      </c>
    </row>
    <row r="89" spans="1:23" ht="11.25" customHeight="1" x14ac:dyDescent="0.25">
      <c r="A89" s="4" t="s">
        <v>21</v>
      </c>
      <c r="B89" s="4" t="s">
        <v>39</v>
      </c>
      <c r="C89" s="4" t="s">
        <v>40</v>
      </c>
      <c r="D89" s="4" t="s">
        <v>42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44440</v>
      </c>
      <c r="J89" s="6">
        <v>2100</v>
      </c>
      <c r="K89" s="6">
        <v>2100</v>
      </c>
      <c r="L89" s="6">
        <v>775.72799999999995</v>
      </c>
      <c r="M89" s="6">
        <v>775.72799999999995</v>
      </c>
      <c r="N89" s="6">
        <v>775.72799999999995</v>
      </c>
      <c r="O89" s="6">
        <v>775.72799999999995</v>
      </c>
      <c r="P89" s="6">
        <v>0</v>
      </c>
      <c r="Q89" s="4" t="s">
        <v>26</v>
      </c>
      <c r="R89" s="4">
        <v>0</v>
      </c>
      <c r="S89" s="4" t="s">
        <v>177</v>
      </c>
      <c r="T89" s="4" t="s">
        <v>490</v>
      </c>
      <c r="U89" s="4">
        <v>10</v>
      </c>
      <c r="V89" s="4">
        <v>11</v>
      </c>
      <c r="W89" s="4">
        <v>68</v>
      </c>
    </row>
    <row r="90" spans="1:23" ht="11.25" customHeight="1" x14ac:dyDescent="0.25">
      <c r="A90" s="4" t="s">
        <v>28</v>
      </c>
      <c r="B90" s="4" t="s">
        <v>39</v>
      </c>
      <c r="C90" s="4" t="s">
        <v>40</v>
      </c>
      <c r="D90" s="4" t="s">
        <v>42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44440</v>
      </c>
      <c r="J90" s="6">
        <v>603</v>
      </c>
      <c r="K90" s="6">
        <v>603</v>
      </c>
      <c r="L90" s="6">
        <v>173.6</v>
      </c>
      <c r="M90" s="6">
        <v>173.6</v>
      </c>
      <c r="N90" s="6">
        <v>173.6</v>
      </c>
      <c r="O90" s="6">
        <v>173.6</v>
      </c>
      <c r="P90" s="6">
        <v>0</v>
      </c>
      <c r="Q90" s="4" t="s">
        <v>26</v>
      </c>
      <c r="R90" s="4">
        <v>0</v>
      </c>
      <c r="S90" s="4" t="s">
        <v>177</v>
      </c>
      <c r="T90" s="4" t="s">
        <v>490</v>
      </c>
      <c r="U90" s="4">
        <v>10</v>
      </c>
      <c r="V90" s="4">
        <v>11</v>
      </c>
      <c r="W90" s="4">
        <v>68</v>
      </c>
    </row>
    <row r="91" spans="1:23" ht="11.25" customHeight="1" x14ac:dyDescent="0.25">
      <c r="A91" s="4" t="s">
        <v>21</v>
      </c>
      <c r="B91" s="4" t="s">
        <v>39</v>
      </c>
      <c r="C91" s="4" t="s">
        <v>40</v>
      </c>
      <c r="D91" s="4" t="s">
        <v>42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44470</v>
      </c>
      <c r="J91" s="6">
        <v>2116</v>
      </c>
      <c r="K91" s="6">
        <v>2116</v>
      </c>
      <c r="L91" s="6">
        <v>837.22500000000002</v>
      </c>
      <c r="M91" s="6">
        <v>837.22500000000002</v>
      </c>
      <c r="N91" s="6">
        <v>837.22500000000002</v>
      </c>
      <c r="O91" s="6">
        <v>837.22500000000002</v>
      </c>
      <c r="P91" s="6">
        <v>0</v>
      </c>
      <c r="Q91" s="4" t="s">
        <v>26</v>
      </c>
      <c r="R91" s="4">
        <v>0</v>
      </c>
      <c r="S91" s="4" t="s">
        <v>178</v>
      </c>
      <c r="T91" s="4" t="s">
        <v>491</v>
      </c>
      <c r="U91" s="4">
        <v>10</v>
      </c>
      <c r="V91" s="4">
        <v>11</v>
      </c>
      <c r="W91" s="4">
        <v>68</v>
      </c>
    </row>
    <row r="92" spans="1:23" ht="11.25" customHeight="1" x14ac:dyDescent="0.25">
      <c r="A92" s="4" t="s">
        <v>28</v>
      </c>
      <c r="B92" s="4" t="s">
        <v>39</v>
      </c>
      <c r="C92" s="4" t="s">
        <v>40</v>
      </c>
      <c r="D92" s="4" t="s">
        <v>42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44470</v>
      </c>
      <c r="J92" s="6">
        <v>606</v>
      </c>
      <c r="K92" s="6">
        <v>606</v>
      </c>
      <c r="L92" s="6">
        <v>166.32</v>
      </c>
      <c r="M92" s="6">
        <v>166.32</v>
      </c>
      <c r="N92" s="6">
        <v>166.32</v>
      </c>
      <c r="O92" s="6">
        <v>166.32</v>
      </c>
      <c r="P92" s="6">
        <v>0</v>
      </c>
      <c r="Q92" s="4" t="s">
        <v>26</v>
      </c>
      <c r="R92" s="4">
        <v>0</v>
      </c>
      <c r="S92" s="4" t="s">
        <v>178</v>
      </c>
      <c r="T92" s="4" t="s">
        <v>491</v>
      </c>
      <c r="U92" s="4">
        <v>10</v>
      </c>
      <c r="V92" s="4">
        <v>11</v>
      </c>
      <c r="W92" s="4">
        <v>68</v>
      </c>
    </row>
    <row r="93" spans="1:23" ht="11.25" customHeight="1" x14ac:dyDescent="0.25">
      <c r="A93" s="4" t="s">
        <v>21</v>
      </c>
      <c r="B93" s="4" t="s">
        <v>39</v>
      </c>
      <c r="C93" s="4" t="s">
        <v>40</v>
      </c>
      <c r="D93" s="4" t="s">
        <v>42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44501</v>
      </c>
      <c r="J93" s="6">
        <v>2166</v>
      </c>
      <c r="K93" s="6">
        <v>2166</v>
      </c>
      <c r="L93" s="6">
        <v>844.43600000000004</v>
      </c>
      <c r="M93" s="6">
        <v>844.43600000000004</v>
      </c>
      <c r="N93" s="6">
        <v>844.43600000000004</v>
      </c>
      <c r="O93" s="6">
        <v>844.43600000000004</v>
      </c>
      <c r="P93" s="6">
        <v>0</v>
      </c>
      <c r="Q93" s="4" t="s">
        <v>26</v>
      </c>
      <c r="R93" s="4">
        <v>0</v>
      </c>
      <c r="S93" s="4" t="s">
        <v>179</v>
      </c>
      <c r="T93" s="4" t="s">
        <v>492</v>
      </c>
      <c r="U93" s="4">
        <v>10</v>
      </c>
      <c r="V93" s="4">
        <v>11</v>
      </c>
      <c r="W93" s="4">
        <v>68</v>
      </c>
    </row>
    <row r="94" spans="1:23" ht="11.25" customHeight="1" x14ac:dyDescent="0.25">
      <c r="A94" s="4" t="s">
        <v>28</v>
      </c>
      <c r="B94" s="4" t="s">
        <v>39</v>
      </c>
      <c r="C94" s="4" t="s">
        <v>40</v>
      </c>
      <c r="D94" s="4" t="s">
        <v>42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44501</v>
      </c>
      <c r="J94" s="6">
        <v>589</v>
      </c>
      <c r="K94" s="6">
        <v>589</v>
      </c>
      <c r="L94" s="6">
        <v>141.88999999999999</v>
      </c>
      <c r="M94" s="6">
        <v>141.88999999999999</v>
      </c>
      <c r="N94" s="6">
        <v>141.88999999999999</v>
      </c>
      <c r="O94" s="6">
        <v>141.88999999999999</v>
      </c>
      <c r="P94" s="6">
        <v>0</v>
      </c>
      <c r="Q94" s="4" t="s">
        <v>26</v>
      </c>
      <c r="R94" s="4">
        <v>0</v>
      </c>
      <c r="S94" s="4" t="s">
        <v>179</v>
      </c>
      <c r="T94" s="4" t="s">
        <v>492</v>
      </c>
      <c r="U94" s="4">
        <v>10</v>
      </c>
      <c r="V94" s="4">
        <v>11</v>
      </c>
      <c r="W94" s="4">
        <v>68</v>
      </c>
    </row>
    <row r="95" spans="1:23" ht="11.25" customHeight="1" x14ac:dyDescent="0.25">
      <c r="A95" s="4" t="s">
        <v>21</v>
      </c>
      <c r="B95" s="4" t="s">
        <v>39</v>
      </c>
      <c r="C95" s="4" t="s">
        <v>40</v>
      </c>
      <c r="D95" s="4" t="s">
        <v>42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44531</v>
      </c>
      <c r="J95" s="6">
        <v>2149</v>
      </c>
      <c r="K95" s="6">
        <v>2149</v>
      </c>
      <c r="L95" s="6">
        <v>860.60500000000002</v>
      </c>
      <c r="M95" s="6">
        <v>860.60500000000002</v>
      </c>
      <c r="N95" s="6">
        <v>860.60500000000002</v>
      </c>
      <c r="O95" s="6">
        <v>860.60500000000002</v>
      </c>
      <c r="P95" s="6">
        <v>0</v>
      </c>
      <c r="Q95" s="4" t="s">
        <v>26</v>
      </c>
      <c r="R95" s="4">
        <v>0</v>
      </c>
      <c r="S95" s="4" t="s">
        <v>180</v>
      </c>
      <c r="T95" s="4" t="s">
        <v>493</v>
      </c>
      <c r="U95" s="4">
        <v>10</v>
      </c>
      <c r="V95" s="4">
        <v>11</v>
      </c>
      <c r="W95" s="4">
        <v>68</v>
      </c>
    </row>
    <row r="96" spans="1:23" ht="11.25" customHeight="1" x14ac:dyDescent="0.25">
      <c r="A96" s="4" t="s">
        <v>28</v>
      </c>
      <c r="B96" s="4" t="s">
        <v>39</v>
      </c>
      <c r="C96" s="4" t="s">
        <v>40</v>
      </c>
      <c r="D96" s="4" t="s">
        <v>42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44531</v>
      </c>
      <c r="J96" s="6">
        <v>606</v>
      </c>
      <c r="K96" s="6">
        <v>606</v>
      </c>
      <c r="L96" s="6">
        <v>123.69</v>
      </c>
      <c r="M96" s="6">
        <v>123.69</v>
      </c>
      <c r="N96" s="6">
        <v>123.69</v>
      </c>
      <c r="O96" s="6">
        <v>123.69</v>
      </c>
      <c r="P96" s="6">
        <v>0</v>
      </c>
      <c r="Q96" s="4" t="s">
        <v>26</v>
      </c>
      <c r="R96" s="4">
        <v>0</v>
      </c>
      <c r="S96" s="4" t="s">
        <v>180</v>
      </c>
      <c r="T96" s="4" t="s">
        <v>493</v>
      </c>
      <c r="U96" s="4">
        <v>10</v>
      </c>
      <c r="V96" s="4">
        <v>11</v>
      </c>
      <c r="W96" s="4">
        <v>68</v>
      </c>
    </row>
    <row r="97" spans="1:23" ht="11.25" customHeight="1" x14ac:dyDescent="0.25">
      <c r="A97" s="4" t="s">
        <v>55</v>
      </c>
      <c r="B97" s="4" t="s">
        <v>39</v>
      </c>
      <c r="C97" s="4" t="s">
        <v>40</v>
      </c>
      <c r="D97" s="4" t="s">
        <v>42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44562</v>
      </c>
      <c r="J97" s="6">
        <v>2149</v>
      </c>
      <c r="K97" s="6">
        <v>2149</v>
      </c>
      <c r="L97" s="6">
        <v>860.60500000000002</v>
      </c>
      <c r="M97" s="6">
        <v>860.60500000000002</v>
      </c>
      <c r="N97" s="6">
        <v>860.60500000000002</v>
      </c>
      <c r="O97" s="6">
        <v>860.60500000000002</v>
      </c>
      <c r="P97" s="6">
        <v>0</v>
      </c>
      <c r="Q97" s="4" t="s">
        <v>26</v>
      </c>
      <c r="R97" s="4">
        <v>0</v>
      </c>
      <c r="S97" s="4" t="s">
        <v>181</v>
      </c>
      <c r="T97" s="4" t="s">
        <v>494</v>
      </c>
      <c r="U97" s="4">
        <v>10</v>
      </c>
      <c r="V97" s="4">
        <v>11</v>
      </c>
      <c r="W97" s="4">
        <v>68</v>
      </c>
    </row>
    <row r="98" spans="1:23" ht="11.25" customHeight="1" x14ac:dyDescent="0.25">
      <c r="A98" s="4" t="s">
        <v>55</v>
      </c>
      <c r="B98" s="4" t="s">
        <v>39</v>
      </c>
      <c r="C98" s="4" t="s">
        <v>40</v>
      </c>
      <c r="D98" s="4" t="s">
        <v>42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44562</v>
      </c>
      <c r="J98" s="6">
        <v>606</v>
      </c>
      <c r="K98" s="6">
        <v>606</v>
      </c>
      <c r="L98" s="6">
        <v>123.69</v>
      </c>
      <c r="M98" s="6">
        <v>123.69</v>
      </c>
      <c r="N98" s="6">
        <v>123.69</v>
      </c>
      <c r="O98" s="6">
        <v>123.69</v>
      </c>
      <c r="P98" s="6">
        <v>0</v>
      </c>
      <c r="Q98" s="4" t="s">
        <v>26</v>
      </c>
      <c r="R98" s="4">
        <v>0</v>
      </c>
      <c r="S98" s="4" t="s">
        <v>181</v>
      </c>
      <c r="T98" s="4" t="s">
        <v>494</v>
      </c>
      <c r="U98" s="4">
        <v>10</v>
      </c>
      <c r="V98" s="4">
        <v>11</v>
      </c>
      <c r="W98" s="4">
        <v>68</v>
      </c>
    </row>
    <row r="99" spans="1:23" ht="11.25" customHeight="1" x14ac:dyDescent="0.25">
      <c r="A99" s="4" t="s">
        <v>21</v>
      </c>
      <c r="B99" s="4" t="s">
        <v>39</v>
      </c>
      <c r="C99" s="4" t="s">
        <v>40</v>
      </c>
      <c r="D99" s="4" t="s">
        <v>42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44228</v>
      </c>
      <c r="J99" s="6">
        <v>2076</v>
      </c>
      <c r="K99" s="6">
        <v>2076</v>
      </c>
      <c r="L99" s="6">
        <v>84.090999999999994</v>
      </c>
      <c r="M99" s="6">
        <v>84.090999999999994</v>
      </c>
      <c r="N99" s="6">
        <v>84.090999999999994</v>
      </c>
      <c r="O99" s="6">
        <v>84.090999999999994</v>
      </c>
      <c r="P99" s="6">
        <v>0</v>
      </c>
      <c r="Q99" s="4" t="s">
        <v>26</v>
      </c>
      <c r="R99" s="4">
        <v>0</v>
      </c>
      <c r="S99" s="4" t="s">
        <v>182</v>
      </c>
      <c r="T99" s="4" t="s">
        <v>495</v>
      </c>
      <c r="U99" s="4">
        <v>9</v>
      </c>
      <c r="V99" s="4">
        <v>11</v>
      </c>
      <c r="W99" s="4">
        <v>67</v>
      </c>
    </row>
    <row r="100" spans="1:23" ht="11.25" customHeight="1" x14ac:dyDescent="0.25">
      <c r="A100" s="4" t="s">
        <v>28</v>
      </c>
      <c r="B100" s="4" t="s">
        <v>39</v>
      </c>
      <c r="C100" s="4" t="s">
        <v>40</v>
      </c>
      <c r="D100" s="4" t="s">
        <v>42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44228</v>
      </c>
      <c r="J100" s="6">
        <v>225</v>
      </c>
      <c r="K100" s="6">
        <v>225</v>
      </c>
      <c r="L100" s="6">
        <v>10.36</v>
      </c>
      <c r="M100" s="6">
        <v>10.36</v>
      </c>
      <c r="N100" s="6">
        <v>10.36</v>
      </c>
      <c r="O100" s="6">
        <v>10.36</v>
      </c>
      <c r="P100" s="6">
        <v>0</v>
      </c>
      <c r="Q100" s="4" t="s">
        <v>26</v>
      </c>
      <c r="R100" s="4">
        <v>0</v>
      </c>
      <c r="S100" s="4" t="s">
        <v>182</v>
      </c>
      <c r="T100" s="4" t="s">
        <v>495</v>
      </c>
      <c r="U100" s="4">
        <v>9</v>
      </c>
      <c r="V100" s="4">
        <v>11</v>
      </c>
      <c r="W100" s="4">
        <v>67</v>
      </c>
    </row>
    <row r="101" spans="1:23" ht="11.25" customHeight="1" x14ac:dyDescent="0.25">
      <c r="A101" s="4" t="s">
        <v>21</v>
      </c>
      <c r="B101" s="4" t="s">
        <v>39</v>
      </c>
      <c r="C101" s="4" t="s">
        <v>40</v>
      </c>
      <c r="D101" s="4" t="s">
        <v>42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44256</v>
      </c>
      <c r="J101" s="6">
        <v>2062</v>
      </c>
      <c r="K101" s="6">
        <v>2062</v>
      </c>
      <c r="L101" s="6">
        <v>96.058000000000007</v>
      </c>
      <c r="M101" s="6">
        <v>96.058000000000007</v>
      </c>
      <c r="N101" s="6">
        <v>96.058000000000007</v>
      </c>
      <c r="O101" s="6">
        <v>96.058000000000007</v>
      </c>
      <c r="P101" s="6">
        <v>0</v>
      </c>
      <c r="Q101" s="4" t="s">
        <v>26</v>
      </c>
      <c r="R101" s="4">
        <v>0</v>
      </c>
      <c r="S101" s="4" t="s">
        <v>183</v>
      </c>
      <c r="T101" s="4" t="s">
        <v>496</v>
      </c>
      <c r="U101" s="4">
        <v>9</v>
      </c>
      <c r="V101" s="4">
        <v>11</v>
      </c>
      <c r="W101" s="4">
        <v>67</v>
      </c>
    </row>
    <row r="102" spans="1:23" ht="11.25" customHeight="1" x14ac:dyDescent="0.25">
      <c r="A102" s="4" t="s">
        <v>27</v>
      </c>
      <c r="B102" s="4" t="s">
        <v>39</v>
      </c>
      <c r="C102" s="4" t="s">
        <v>40</v>
      </c>
      <c r="D102" s="4" t="s">
        <v>42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44256</v>
      </c>
      <c r="J102" s="6">
        <v>-235</v>
      </c>
      <c r="K102" s="6">
        <v>-235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26</v>
      </c>
      <c r="R102" s="4">
        <v>0</v>
      </c>
      <c r="S102" s="4" t="s">
        <v>183</v>
      </c>
      <c r="T102" s="4" t="s">
        <v>496</v>
      </c>
      <c r="U102" s="4">
        <v>9</v>
      </c>
      <c r="V102" s="4">
        <v>0</v>
      </c>
      <c r="W102" s="4">
        <v>0</v>
      </c>
    </row>
    <row r="103" spans="1:23" ht="11.25" customHeight="1" x14ac:dyDescent="0.25">
      <c r="A103" s="4" t="s">
        <v>28</v>
      </c>
      <c r="B103" s="4" t="s">
        <v>39</v>
      </c>
      <c r="C103" s="4" t="s">
        <v>40</v>
      </c>
      <c r="D103" s="4" t="s">
        <v>42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44256</v>
      </c>
      <c r="J103" s="6">
        <v>225</v>
      </c>
      <c r="K103" s="6">
        <v>225</v>
      </c>
      <c r="L103" s="6">
        <v>11.76</v>
      </c>
      <c r="M103" s="6">
        <v>11.76</v>
      </c>
      <c r="N103" s="6">
        <v>11.76</v>
      </c>
      <c r="O103" s="6">
        <v>11.76</v>
      </c>
      <c r="P103" s="6">
        <v>0</v>
      </c>
      <c r="Q103" s="4" t="s">
        <v>26</v>
      </c>
      <c r="R103" s="4">
        <v>0</v>
      </c>
      <c r="S103" s="4" t="s">
        <v>183</v>
      </c>
      <c r="T103" s="4" t="s">
        <v>496</v>
      </c>
      <c r="U103" s="4">
        <v>9</v>
      </c>
      <c r="V103" s="4">
        <v>11</v>
      </c>
      <c r="W103" s="4">
        <v>67</v>
      </c>
    </row>
    <row r="104" spans="1:23" ht="11.25" customHeight="1" x14ac:dyDescent="0.25">
      <c r="A104" s="4" t="s">
        <v>21</v>
      </c>
      <c r="B104" s="4" t="s">
        <v>39</v>
      </c>
      <c r="C104" s="4" t="s">
        <v>40</v>
      </c>
      <c r="D104" s="4" t="s">
        <v>42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44287</v>
      </c>
      <c r="J104" s="6">
        <v>2071</v>
      </c>
      <c r="K104" s="6">
        <v>2071</v>
      </c>
      <c r="L104" s="6">
        <v>86.956999999999994</v>
      </c>
      <c r="M104" s="6">
        <v>86.956999999999994</v>
      </c>
      <c r="N104" s="6">
        <v>86.956999999999994</v>
      </c>
      <c r="O104" s="6">
        <v>86.956999999999994</v>
      </c>
      <c r="P104" s="6">
        <v>0</v>
      </c>
      <c r="Q104" s="4" t="s">
        <v>26</v>
      </c>
      <c r="R104" s="4">
        <v>0</v>
      </c>
      <c r="S104" s="4" t="s">
        <v>184</v>
      </c>
      <c r="T104" s="4" t="s">
        <v>497</v>
      </c>
      <c r="U104" s="4">
        <v>9</v>
      </c>
      <c r="V104" s="4">
        <v>11</v>
      </c>
      <c r="W104" s="4">
        <v>67</v>
      </c>
    </row>
    <row r="105" spans="1:23" ht="11.25" customHeight="1" x14ac:dyDescent="0.25">
      <c r="A105" s="4" t="s">
        <v>28</v>
      </c>
      <c r="B105" s="4" t="s">
        <v>39</v>
      </c>
      <c r="C105" s="4" t="s">
        <v>40</v>
      </c>
      <c r="D105" s="4" t="s">
        <v>42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44287</v>
      </c>
      <c r="J105" s="6">
        <v>225</v>
      </c>
      <c r="K105" s="6">
        <v>225</v>
      </c>
      <c r="L105" s="6">
        <v>10.92</v>
      </c>
      <c r="M105" s="6">
        <v>10.92</v>
      </c>
      <c r="N105" s="6">
        <v>10.92</v>
      </c>
      <c r="O105" s="6">
        <v>10.92</v>
      </c>
      <c r="P105" s="6">
        <v>0</v>
      </c>
      <c r="Q105" s="4" t="s">
        <v>26</v>
      </c>
      <c r="R105" s="4">
        <v>0</v>
      </c>
      <c r="S105" s="4" t="s">
        <v>184</v>
      </c>
      <c r="T105" s="4" t="s">
        <v>497</v>
      </c>
      <c r="U105" s="4">
        <v>9</v>
      </c>
      <c r="V105" s="4">
        <v>11</v>
      </c>
      <c r="W105" s="4">
        <v>67</v>
      </c>
    </row>
    <row r="106" spans="1:23" ht="11.25" customHeight="1" x14ac:dyDescent="0.25">
      <c r="A106" s="4" t="s">
        <v>21</v>
      </c>
      <c r="B106" s="4" t="s">
        <v>39</v>
      </c>
      <c r="C106" s="4" t="s">
        <v>40</v>
      </c>
      <c r="D106" s="4" t="s">
        <v>42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44317</v>
      </c>
      <c r="J106" s="6">
        <v>1970</v>
      </c>
      <c r="K106" s="6">
        <v>1970</v>
      </c>
      <c r="L106" s="6">
        <v>85.091999999999999</v>
      </c>
      <c r="M106" s="6">
        <v>85.091999999999999</v>
      </c>
      <c r="N106" s="6">
        <v>85.091999999999999</v>
      </c>
      <c r="O106" s="6">
        <v>85.091999999999999</v>
      </c>
      <c r="P106" s="6">
        <v>0</v>
      </c>
      <c r="Q106" s="4" t="s">
        <v>26</v>
      </c>
      <c r="R106" s="4">
        <v>0</v>
      </c>
      <c r="S106" s="4" t="s">
        <v>185</v>
      </c>
      <c r="T106" s="4" t="s">
        <v>498</v>
      </c>
      <c r="U106" s="4">
        <v>9</v>
      </c>
      <c r="V106" s="4">
        <v>11</v>
      </c>
      <c r="W106" s="4">
        <v>67</v>
      </c>
    </row>
    <row r="107" spans="1:23" ht="11.25" customHeight="1" x14ac:dyDescent="0.25">
      <c r="A107" s="4" t="s">
        <v>28</v>
      </c>
      <c r="B107" s="4" t="s">
        <v>39</v>
      </c>
      <c r="C107" s="4" t="s">
        <v>40</v>
      </c>
      <c r="D107" s="4" t="s">
        <v>42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44317</v>
      </c>
      <c r="J107" s="6">
        <v>225</v>
      </c>
      <c r="K107" s="6">
        <v>225</v>
      </c>
      <c r="L107" s="6">
        <v>10.92</v>
      </c>
      <c r="M107" s="6">
        <v>10.92</v>
      </c>
      <c r="N107" s="6">
        <v>10.92</v>
      </c>
      <c r="O107" s="6">
        <v>10.92</v>
      </c>
      <c r="P107" s="6">
        <v>0</v>
      </c>
      <c r="Q107" s="4" t="s">
        <v>26</v>
      </c>
      <c r="R107" s="4">
        <v>0</v>
      </c>
      <c r="S107" s="4" t="s">
        <v>185</v>
      </c>
      <c r="T107" s="4" t="s">
        <v>498</v>
      </c>
      <c r="U107" s="4">
        <v>9</v>
      </c>
      <c r="V107" s="4">
        <v>11</v>
      </c>
      <c r="W107" s="4">
        <v>67</v>
      </c>
    </row>
    <row r="108" spans="1:23" ht="11.25" customHeight="1" x14ac:dyDescent="0.25">
      <c r="A108" s="4" t="s">
        <v>21</v>
      </c>
      <c r="B108" s="4" t="s">
        <v>39</v>
      </c>
      <c r="C108" s="4" t="s">
        <v>40</v>
      </c>
      <c r="D108" s="4" t="s">
        <v>42</v>
      </c>
      <c r="E108" s="4" t="s">
        <v>25</v>
      </c>
      <c r="F108" s="4" t="s">
        <v>25</v>
      </c>
      <c r="G108" s="4" t="s">
        <v>25</v>
      </c>
      <c r="H108" s="4" t="s">
        <v>34</v>
      </c>
      <c r="I108" s="5">
        <v>44348</v>
      </c>
      <c r="J108" s="6">
        <v>1947</v>
      </c>
      <c r="K108" s="6">
        <v>1947</v>
      </c>
      <c r="L108" s="6">
        <v>83.697000000000003</v>
      </c>
      <c r="M108" s="6">
        <v>83.697000000000003</v>
      </c>
      <c r="N108" s="6">
        <v>83.697000000000003</v>
      </c>
      <c r="O108" s="6">
        <v>83.697000000000003</v>
      </c>
      <c r="P108" s="6">
        <v>0</v>
      </c>
      <c r="Q108" s="4" t="s">
        <v>26</v>
      </c>
      <c r="R108" s="4">
        <v>0</v>
      </c>
      <c r="S108" s="4" t="s">
        <v>186</v>
      </c>
      <c r="T108" s="4" t="s">
        <v>499</v>
      </c>
      <c r="U108" s="4">
        <v>9</v>
      </c>
      <c r="V108" s="4">
        <v>11</v>
      </c>
      <c r="W108" s="4">
        <v>67</v>
      </c>
    </row>
    <row r="109" spans="1:23" ht="11.25" customHeight="1" x14ac:dyDescent="0.25">
      <c r="A109" s="4" t="s">
        <v>28</v>
      </c>
      <c r="B109" s="4" t="s">
        <v>39</v>
      </c>
      <c r="C109" s="4" t="s">
        <v>40</v>
      </c>
      <c r="D109" s="4" t="s">
        <v>42</v>
      </c>
      <c r="E109" s="4" t="s">
        <v>25</v>
      </c>
      <c r="F109" s="4" t="s">
        <v>25</v>
      </c>
      <c r="G109" s="4" t="s">
        <v>25</v>
      </c>
      <c r="H109" s="4" t="s">
        <v>34</v>
      </c>
      <c r="I109" s="5">
        <v>44348</v>
      </c>
      <c r="J109" s="6">
        <v>232</v>
      </c>
      <c r="K109" s="6">
        <v>232</v>
      </c>
      <c r="L109" s="6">
        <v>10.36</v>
      </c>
      <c r="M109" s="6">
        <v>10.36</v>
      </c>
      <c r="N109" s="6">
        <v>10.36</v>
      </c>
      <c r="O109" s="6">
        <v>10.36</v>
      </c>
      <c r="P109" s="6">
        <v>0</v>
      </c>
      <c r="Q109" s="4" t="s">
        <v>26</v>
      </c>
      <c r="R109" s="4">
        <v>0</v>
      </c>
      <c r="S109" s="4" t="s">
        <v>186</v>
      </c>
      <c r="T109" s="4" t="s">
        <v>499</v>
      </c>
      <c r="U109" s="4">
        <v>9</v>
      </c>
      <c r="V109" s="4">
        <v>11</v>
      </c>
      <c r="W109" s="4">
        <v>67</v>
      </c>
    </row>
    <row r="110" spans="1:23" ht="11.25" customHeight="1" x14ac:dyDescent="0.25">
      <c r="A110" s="4" t="s">
        <v>21</v>
      </c>
      <c r="B110" s="4" t="s">
        <v>39</v>
      </c>
      <c r="C110" s="4" t="s">
        <v>40</v>
      </c>
      <c r="D110" s="4" t="s">
        <v>42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44378</v>
      </c>
      <c r="J110" s="6">
        <v>1941</v>
      </c>
      <c r="K110" s="6">
        <v>1941</v>
      </c>
      <c r="L110" s="6">
        <v>83.596999999999994</v>
      </c>
      <c r="M110" s="6">
        <v>83.596999999999994</v>
      </c>
      <c r="N110" s="6">
        <v>83.596999999999994</v>
      </c>
      <c r="O110" s="6">
        <v>83.596999999999994</v>
      </c>
      <c r="P110" s="6">
        <v>0</v>
      </c>
      <c r="Q110" s="4" t="s">
        <v>26</v>
      </c>
      <c r="R110" s="4">
        <v>0</v>
      </c>
      <c r="S110" s="4" t="s">
        <v>187</v>
      </c>
      <c r="T110" s="4" t="s">
        <v>500</v>
      </c>
      <c r="U110" s="4">
        <v>9</v>
      </c>
      <c r="V110" s="4">
        <v>11</v>
      </c>
      <c r="W110" s="4">
        <v>67</v>
      </c>
    </row>
    <row r="111" spans="1:23" ht="11.25" customHeight="1" x14ac:dyDescent="0.25">
      <c r="A111" s="4" t="s">
        <v>28</v>
      </c>
      <c r="B111" s="4" t="s">
        <v>39</v>
      </c>
      <c r="C111" s="4" t="s">
        <v>40</v>
      </c>
      <c r="D111" s="4" t="s">
        <v>42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44378</v>
      </c>
      <c r="J111" s="6">
        <v>225</v>
      </c>
      <c r="K111" s="6">
        <v>225</v>
      </c>
      <c r="L111" s="6">
        <v>10.64</v>
      </c>
      <c r="M111" s="6">
        <v>10.64</v>
      </c>
      <c r="N111" s="6">
        <v>10.64</v>
      </c>
      <c r="O111" s="6">
        <v>10.64</v>
      </c>
      <c r="P111" s="6">
        <v>0</v>
      </c>
      <c r="Q111" s="4" t="s">
        <v>26</v>
      </c>
      <c r="R111" s="4">
        <v>0</v>
      </c>
      <c r="S111" s="4" t="s">
        <v>187</v>
      </c>
      <c r="T111" s="4" t="s">
        <v>500</v>
      </c>
      <c r="U111" s="4">
        <v>9</v>
      </c>
      <c r="V111" s="4">
        <v>11</v>
      </c>
      <c r="W111" s="4">
        <v>67</v>
      </c>
    </row>
    <row r="112" spans="1:23" ht="11.25" customHeight="1" x14ac:dyDescent="0.25">
      <c r="A112" s="4" t="s">
        <v>21</v>
      </c>
      <c r="B112" s="4" t="s">
        <v>39</v>
      </c>
      <c r="C112" s="4" t="s">
        <v>40</v>
      </c>
      <c r="D112" s="4" t="s">
        <v>42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44409</v>
      </c>
      <c r="J112" s="6">
        <v>1903</v>
      </c>
      <c r="K112" s="6">
        <v>1903</v>
      </c>
      <c r="L112" s="6">
        <v>82.36</v>
      </c>
      <c r="M112" s="6">
        <v>82.36</v>
      </c>
      <c r="N112" s="6">
        <v>82.36</v>
      </c>
      <c r="O112" s="6">
        <v>82.36</v>
      </c>
      <c r="P112" s="6">
        <v>0</v>
      </c>
      <c r="Q112" s="4" t="s">
        <v>26</v>
      </c>
      <c r="R112" s="4">
        <v>0</v>
      </c>
      <c r="S112" s="4" t="s">
        <v>188</v>
      </c>
      <c r="T112" s="4" t="s">
        <v>501</v>
      </c>
      <c r="U112" s="4">
        <v>9</v>
      </c>
      <c r="V112" s="4">
        <v>11</v>
      </c>
      <c r="W112" s="4">
        <v>67</v>
      </c>
    </row>
    <row r="113" spans="1:23" ht="11.25" customHeight="1" x14ac:dyDescent="0.25">
      <c r="A113" s="4" t="s">
        <v>28</v>
      </c>
      <c r="B113" s="4" t="s">
        <v>39</v>
      </c>
      <c r="C113" s="4" t="s">
        <v>40</v>
      </c>
      <c r="D113" s="4" t="s">
        <v>42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44409</v>
      </c>
      <c r="J113" s="6">
        <v>420</v>
      </c>
      <c r="K113" s="6">
        <v>420</v>
      </c>
      <c r="L113" s="6">
        <v>22.12</v>
      </c>
      <c r="M113" s="6">
        <v>22.12</v>
      </c>
      <c r="N113" s="6">
        <v>22.12</v>
      </c>
      <c r="O113" s="6">
        <v>22.12</v>
      </c>
      <c r="P113" s="6">
        <v>0</v>
      </c>
      <c r="Q113" s="4" t="s">
        <v>26</v>
      </c>
      <c r="R113" s="4">
        <v>0</v>
      </c>
      <c r="S113" s="4" t="s">
        <v>188</v>
      </c>
      <c r="T113" s="4" t="s">
        <v>501</v>
      </c>
      <c r="U113" s="4">
        <v>9</v>
      </c>
      <c r="V113" s="4">
        <v>11</v>
      </c>
      <c r="W113" s="4">
        <v>67</v>
      </c>
    </row>
    <row r="114" spans="1:23" ht="11.25" customHeight="1" x14ac:dyDescent="0.25">
      <c r="A114" s="4" t="s">
        <v>21</v>
      </c>
      <c r="B114" s="4" t="s">
        <v>39</v>
      </c>
      <c r="C114" s="4" t="s">
        <v>40</v>
      </c>
      <c r="D114" s="4" t="s">
        <v>42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44440</v>
      </c>
      <c r="J114" s="6">
        <v>1896</v>
      </c>
      <c r="K114" s="6">
        <v>1896</v>
      </c>
      <c r="L114" s="6">
        <v>81.682000000000002</v>
      </c>
      <c r="M114" s="6">
        <v>81.682000000000002</v>
      </c>
      <c r="N114" s="6">
        <v>81.682000000000002</v>
      </c>
      <c r="O114" s="6">
        <v>81.682000000000002</v>
      </c>
      <c r="P114" s="6">
        <v>0</v>
      </c>
      <c r="Q114" s="4" t="s">
        <v>26</v>
      </c>
      <c r="R114" s="4">
        <v>0</v>
      </c>
      <c r="S114" s="4" t="s">
        <v>189</v>
      </c>
      <c r="T114" s="4" t="s">
        <v>502</v>
      </c>
      <c r="U114" s="4">
        <v>9</v>
      </c>
      <c r="V114" s="4">
        <v>11</v>
      </c>
      <c r="W114" s="4">
        <v>67</v>
      </c>
    </row>
    <row r="115" spans="1:23" ht="11.25" customHeight="1" x14ac:dyDescent="0.25">
      <c r="A115" s="4" t="s">
        <v>28</v>
      </c>
      <c r="B115" s="4" t="s">
        <v>39</v>
      </c>
      <c r="C115" s="4" t="s">
        <v>40</v>
      </c>
      <c r="D115" s="4" t="s">
        <v>42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44440</v>
      </c>
      <c r="J115" s="6">
        <v>643</v>
      </c>
      <c r="K115" s="6">
        <v>643</v>
      </c>
      <c r="L115" s="6">
        <v>20.86</v>
      </c>
      <c r="M115" s="6">
        <v>20.86</v>
      </c>
      <c r="N115" s="6">
        <v>20.86</v>
      </c>
      <c r="O115" s="6">
        <v>20.86</v>
      </c>
      <c r="P115" s="6">
        <v>0</v>
      </c>
      <c r="Q115" s="4" t="s">
        <v>26</v>
      </c>
      <c r="R115" s="4">
        <v>0</v>
      </c>
      <c r="S115" s="4" t="s">
        <v>189</v>
      </c>
      <c r="T115" s="4" t="s">
        <v>502</v>
      </c>
      <c r="U115" s="4">
        <v>9</v>
      </c>
      <c r="V115" s="4">
        <v>11</v>
      </c>
      <c r="W115" s="4">
        <v>67</v>
      </c>
    </row>
    <row r="116" spans="1:23" ht="11.25" customHeight="1" x14ac:dyDescent="0.25">
      <c r="A116" s="4" t="s">
        <v>21</v>
      </c>
      <c r="B116" s="4" t="s">
        <v>39</v>
      </c>
      <c r="C116" s="4" t="s">
        <v>40</v>
      </c>
      <c r="D116" s="4" t="s">
        <v>42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44470</v>
      </c>
      <c r="J116" s="6">
        <v>1900</v>
      </c>
      <c r="K116" s="6">
        <v>1900</v>
      </c>
      <c r="L116" s="6">
        <v>81.308999999999997</v>
      </c>
      <c r="M116" s="6">
        <v>81.308999999999997</v>
      </c>
      <c r="N116" s="6">
        <v>81.308999999999997</v>
      </c>
      <c r="O116" s="6">
        <v>81.308999999999997</v>
      </c>
      <c r="P116" s="6">
        <v>0</v>
      </c>
      <c r="Q116" s="4" t="s">
        <v>26</v>
      </c>
      <c r="R116" s="4">
        <v>0</v>
      </c>
      <c r="S116" s="4" t="s">
        <v>190</v>
      </c>
      <c r="T116" s="4" t="s">
        <v>503</v>
      </c>
      <c r="U116" s="4">
        <v>9</v>
      </c>
      <c r="V116" s="4">
        <v>11</v>
      </c>
      <c r="W116" s="4">
        <v>67</v>
      </c>
    </row>
    <row r="117" spans="1:23" ht="11.25" customHeight="1" x14ac:dyDescent="0.25">
      <c r="A117" s="4" t="s">
        <v>28</v>
      </c>
      <c r="B117" s="4" t="s">
        <v>39</v>
      </c>
      <c r="C117" s="4" t="s">
        <v>40</v>
      </c>
      <c r="D117" s="4" t="s">
        <v>42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44470</v>
      </c>
      <c r="J117" s="6">
        <v>638</v>
      </c>
      <c r="K117" s="6">
        <v>638</v>
      </c>
      <c r="L117" s="6">
        <v>21.49</v>
      </c>
      <c r="M117" s="6">
        <v>21.49</v>
      </c>
      <c r="N117" s="6">
        <v>21.49</v>
      </c>
      <c r="O117" s="6">
        <v>21.49</v>
      </c>
      <c r="P117" s="6">
        <v>0</v>
      </c>
      <c r="Q117" s="4" t="s">
        <v>26</v>
      </c>
      <c r="R117" s="4">
        <v>0</v>
      </c>
      <c r="S117" s="4" t="s">
        <v>190</v>
      </c>
      <c r="T117" s="4" t="s">
        <v>503</v>
      </c>
      <c r="U117" s="4">
        <v>9</v>
      </c>
      <c r="V117" s="4">
        <v>11</v>
      </c>
      <c r="W117" s="4">
        <v>67</v>
      </c>
    </row>
    <row r="118" spans="1:23" ht="11.25" customHeight="1" x14ac:dyDescent="0.25">
      <c r="A118" s="4" t="s">
        <v>21</v>
      </c>
      <c r="B118" s="4" t="s">
        <v>39</v>
      </c>
      <c r="C118" s="4" t="s">
        <v>40</v>
      </c>
      <c r="D118" s="4" t="s">
        <v>42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44501</v>
      </c>
      <c r="J118" s="6">
        <v>1981</v>
      </c>
      <c r="K118" s="6">
        <v>1981</v>
      </c>
      <c r="L118" s="6">
        <v>82.853999999999999</v>
      </c>
      <c r="M118" s="6">
        <v>82.853999999999999</v>
      </c>
      <c r="N118" s="6">
        <v>82.853999999999999</v>
      </c>
      <c r="O118" s="6">
        <v>82.853999999999999</v>
      </c>
      <c r="P118" s="6">
        <v>0</v>
      </c>
      <c r="Q118" s="4" t="s">
        <v>26</v>
      </c>
      <c r="R118" s="4">
        <v>0</v>
      </c>
      <c r="S118" s="4" t="s">
        <v>191</v>
      </c>
      <c r="T118" s="4" t="s">
        <v>504</v>
      </c>
      <c r="U118" s="4">
        <v>9</v>
      </c>
      <c r="V118" s="4">
        <v>11</v>
      </c>
      <c r="W118" s="4">
        <v>67</v>
      </c>
    </row>
    <row r="119" spans="1:23" ht="11.25" customHeight="1" x14ac:dyDescent="0.25">
      <c r="A119" s="4" t="s">
        <v>28</v>
      </c>
      <c r="B119" s="4" t="s">
        <v>39</v>
      </c>
      <c r="C119" s="4" t="s">
        <v>40</v>
      </c>
      <c r="D119" s="4" t="s">
        <v>42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44501</v>
      </c>
      <c r="J119" s="6">
        <v>632</v>
      </c>
      <c r="K119" s="6">
        <v>632</v>
      </c>
      <c r="L119" s="6">
        <v>19.88</v>
      </c>
      <c r="M119" s="6">
        <v>19.88</v>
      </c>
      <c r="N119" s="6">
        <v>19.88</v>
      </c>
      <c r="O119" s="6">
        <v>19.88</v>
      </c>
      <c r="P119" s="6">
        <v>0</v>
      </c>
      <c r="Q119" s="4" t="s">
        <v>26</v>
      </c>
      <c r="R119" s="4">
        <v>0</v>
      </c>
      <c r="S119" s="4" t="s">
        <v>191</v>
      </c>
      <c r="T119" s="4" t="s">
        <v>504</v>
      </c>
      <c r="U119" s="4">
        <v>9</v>
      </c>
      <c r="V119" s="4">
        <v>11</v>
      </c>
      <c r="W119" s="4">
        <v>67</v>
      </c>
    </row>
    <row r="120" spans="1:23" ht="11.25" customHeight="1" x14ac:dyDescent="0.25">
      <c r="A120" s="4" t="s">
        <v>21</v>
      </c>
      <c r="B120" s="4" t="s">
        <v>39</v>
      </c>
      <c r="C120" s="4" t="s">
        <v>40</v>
      </c>
      <c r="D120" s="4" t="s">
        <v>42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44531</v>
      </c>
      <c r="J120" s="6">
        <v>1997</v>
      </c>
      <c r="K120" s="6">
        <v>1997</v>
      </c>
      <c r="L120" s="6">
        <v>94.159000000000006</v>
      </c>
      <c r="M120" s="6">
        <v>94.159000000000006</v>
      </c>
      <c r="N120" s="6">
        <v>94.159000000000006</v>
      </c>
      <c r="O120" s="6">
        <v>94.159000000000006</v>
      </c>
      <c r="P120" s="6">
        <v>0</v>
      </c>
      <c r="Q120" s="4" t="s">
        <v>26</v>
      </c>
      <c r="R120" s="4">
        <v>0</v>
      </c>
      <c r="S120" s="4" t="s">
        <v>192</v>
      </c>
      <c r="T120" s="4" t="s">
        <v>505</v>
      </c>
      <c r="U120" s="4">
        <v>9</v>
      </c>
      <c r="V120" s="4">
        <v>11</v>
      </c>
      <c r="W120" s="4">
        <v>67</v>
      </c>
    </row>
    <row r="121" spans="1:23" ht="11.25" customHeight="1" x14ac:dyDescent="0.25">
      <c r="A121" s="4" t="s">
        <v>28</v>
      </c>
      <c r="B121" s="4" t="s">
        <v>39</v>
      </c>
      <c r="C121" s="4" t="s">
        <v>40</v>
      </c>
      <c r="D121" s="4" t="s">
        <v>42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44531</v>
      </c>
      <c r="J121" s="6">
        <v>640</v>
      </c>
      <c r="K121" s="6">
        <v>640</v>
      </c>
      <c r="L121" s="6">
        <v>21.42</v>
      </c>
      <c r="M121" s="6">
        <v>21.42</v>
      </c>
      <c r="N121" s="6">
        <v>21.42</v>
      </c>
      <c r="O121" s="6">
        <v>21.42</v>
      </c>
      <c r="P121" s="6">
        <v>0</v>
      </c>
      <c r="Q121" s="4" t="s">
        <v>26</v>
      </c>
      <c r="R121" s="4">
        <v>0</v>
      </c>
      <c r="S121" s="4" t="s">
        <v>192</v>
      </c>
      <c r="T121" s="4" t="s">
        <v>505</v>
      </c>
      <c r="U121" s="4">
        <v>9</v>
      </c>
      <c r="V121" s="4">
        <v>11</v>
      </c>
      <c r="W121" s="4">
        <v>67</v>
      </c>
    </row>
    <row r="122" spans="1:23" ht="11.25" customHeight="1" x14ac:dyDescent="0.25">
      <c r="A122" s="4" t="s">
        <v>55</v>
      </c>
      <c r="B122" s="4" t="s">
        <v>39</v>
      </c>
      <c r="C122" s="4" t="s">
        <v>40</v>
      </c>
      <c r="D122" s="4" t="s">
        <v>42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1997</v>
      </c>
      <c r="K122" s="6">
        <v>1997</v>
      </c>
      <c r="L122" s="6">
        <v>94.159000000000006</v>
      </c>
      <c r="M122" s="6">
        <v>94.159000000000006</v>
      </c>
      <c r="N122" s="6">
        <v>94.159000000000006</v>
      </c>
      <c r="O122" s="6">
        <v>94.159000000000006</v>
      </c>
      <c r="P122" s="6">
        <v>0</v>
      </c>
      <c r="Q122" s="4" t="s">
        <v>26</v>
      </c>
      <c r="R122" s="4">
        <v>0</v>
      </c>
      <c r="S122" s="4" t="s">
        <v>193</v>
      </c>
      <c r="T122" s="4" t="s">
        <v>506</v>
      </c>
      <c r="U122" s="4">
        <v>9</v>
      </c>
      <c r="V122" s="4">
        <v>11</v>
      </c>
      <c r="W122" s="4">
        <v>67</v>
      </c>
    </row>
    <row r="123" spans="1:23" ht="11.25" customHeight="1" x14ac:dyDescent="0.25">
      <c r="A123" s="4" t="s">
        <v>55</v>
      </c>
      <c r="B123" s="4" t="s">
        <v>39</v>
      </c>
      <c r="C123" s="4" t="s">
        <v>40</v>
      </c>
      <c r="D123" s="4" t="s">
        <v>42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44562</v>
      </c>
      <c r="J123" s="6">
        <v>640</v>
      </c>
      <c r="K123" s="6">
        <v>640</v>
      </c>
      <c r="L123" s="6">
        <v>21.42</v>
      </c>
      <c r="M123" s="6">
        <v>21.42</v>
      </c>
      <c r="N123" s="6">
        <v>21.42</v>
      </c>
      <c r="O123" s="6">
        <v>21.42</v>
      </c>
      <c r="P123" s="6">
        <v>0</v>
      </c>
      <c r="Q123" s="4" t="s">
        <v>26</v>
      </c>
      <c r="R123" s="4">
        <v>0</v>
      </c>
      <c r="S123" s="4" t="s">
        <v>193</v>
      </c>
      <c r="T123" s="4" t="s">
        <v>506</v>
      </c>
      <c r="U123" s="4">
        <v>9</v>
      </c>
      <c r="V123" s="4">
        <v>11</v>
      </c>
      <c r="W123" s="4">
        <v>67</v>
      </c>
    </row>
    <row r="124" spans="1:23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58</v>
      </c>
      <c r="G124" s="4" t="s">
        <v>25</v>
      </c>
      <c r="H124" s="4" t="s">
        <v>35</v>
      </c>
      <c r="I124" s="5">
        <v>44228</v>
      </c>
      <c r="J124" s="6">
        <v>4352</v>
      </c>
      <c r="K124" s="6">
        <v>2191.5733708799999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4" t="s">
        <v>170</v>
      </c>
      <c r="U124" s="4">
        <v>10</v>
      </c>
      <c r="V124" s="4">
        <v>0</v>
      </c>
      <c r="W124" s="4">
        <v>0</v>
      </c>
    </row>
    <row r="125" spans="1:23" ht="11.25" customHeight="1" x14ac:dyDescent="0.25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58</v>
      </c>
      <c r="G125" s="4" t="s">
        <v>25</v>
      </c>
      <c r="H125" s="4" t="s">
        <v>35</v>
      </c>
      <c r="I125" s="5">
        <v>44256</v>
      </c>
      <c r="J125" s="6">
        <v>4395</v>
      </c>
      <c r="K125" s="6">
        <v>2211.1419921000002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4" t="s">
        <v>171</v>
      </c>
      <c r="U125" s="4">
        <v>10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58</v>
      </c>
      <c r="G126" s="4" t="s">
        <v>25</v>
      </c>
      <c r="H126" s="4" t="s">
        <v>35</v>
      </c>
      <c r="I126" s="5">
        <v>44287</v>
      </c>
      <c r="J126" s="6">
        <v>4292</v>
      </c>
      <c r="K126" s="6">
        <v>2157.1214304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4" t="s">
        <v>172</v>
      </c>
      <c r="U126" s="4">
        <v>10</v>
      </c>
      <c r="V126" s="4">
        <v>0</v>
      </c>
      <c r="W126" s="4">
        <v>0</v>
      </c>
    </row>
    <row r="127" spans="1:23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58</v>
      </c>
      <c r="G127" s="4" t="s">
        <v>25</v>
      </c>
      <c r="H127" s="4" t="s">
        <v>35</v>
      </c>
      <c r="I127" s="5">
        <v>44317</v>
      </c>
      <c r="J127" s="6">
        <v>4274</v>
      </c>
      <c r="K127" s="6">
        <v>2162.4691934000002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4" t="s">
        <v>173</v>
      </c>
      <c r="U127" s="4">
        <v>10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58</v>
      </c>
      <c r="G128" s="4" t="s">
        <v>25</v>
      </c>
      <c r="H128" s="4" t="s">
        <v>35</v>
      </c>
      <c r="I128" s="5">
        <v>44348</v>
      </c>
      <c r="J128" s="6">
        <v>4301</v>
      </c>
      <c r="K128" s="6">
        <v>2168.7002406299998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4" t="s">
        <v>174</v>
      </c>
      <c r="U128" s="4">
        <v>10</v>
      </c>
      <c r="V128" s="4">
        <v>0</v>
      </c>
      <c r="W128" s="4">
        <v>0</v>
      </c>
    </row>
    <row r="129" spans="1:23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58</v>
      </c>
      <c r="G129" s="4" t="s">
        <v>25</v>
      </c>
      <c r="H129" s="4" t="s">
        <v>35</v>
      </c>
      <c r="I129" s="5">
        <v>44378</v>
      </c>
      <c r="J129" s="6">
        <v>4273</v>
      </c>
      <c r="K129" s="6">
        <v>2150.35229686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4" t="s">
        <v>175</v>
      </c>
      <c r="U129" s="4">
        <v>10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58</v>
      </c>
      <c r="G130" s="4" t="s">
        <v>25</v>
      </c>
      <c r="H130" s="4" t="s">
        <v>35</v>
      </c>
      <c r="I130" s="5">
        <v>44409</v>
      </c>
      <c r="J130" s="6">
        <v>4273</v>
      </c>
      <c r="K130" s="6">
        <v>2157.3046815100001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4" t="s">
        <v>176</v>
      </c>
      <c r="U130" s="4">
        <v>10</v>
      </c>
      <c r="V130" s="4">
        <v>0</v>
      </c>
      <c r="W130" s="4">
        <v>0</v>
      </c>
    </row>
    <row r="131" spans="1:23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58</v>
      </c>
      <c r="G131" s="4" t="s">
        <v>25</v>
      </c>
      <c r="H131" s="4" t="s">
        <v>35</v>
      </c>
      <c r="I131" s="5">
        <v>44440</v>
      </c>
      <c r="J131" s="6">
        <v>3869</v>
      </c>
      <c r="K131" s="6">
        <v>1955.4475011100001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4" t="s">
        <v>177</v>
      </c>
      <c r="U131" s="4">
        <v>10</v>
      </c>
      <c r="V131" s="4">
        <v>0</v>
      </c>
      <c r="W131" s="4">
        <v>0</v>
      </c>
    </row>
    <row r="132" spans="1:23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58</v>
      </c>
      <c r="G132" s="4" t="s">
        <v>25</v>
      </c>
      <c r="H132" s="4" t="s">
        <v>35</v>
      </c>
      <c r="I132" s="5">
        <v>44470</v>
      </c>
      <c r="J132" s="6">
        <v>3907</v>
      </c>
      <c r="K132" s="6">
        <v>1996.1270500099999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4" t="s">
        <v>178</v>
      </c>
      <c r="U132" s="4">
        <v>10</v>
      </c>
      <c r="V132" s="4">
        <v>0</v>
      </c>
      <c r="W132" s="4">
        <v>0</v>
      </c>
    </row>
    <row r="133" spans="1:23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58</v>
      </c>
      <c r="G133" s="4" t="s">
        <v>25</v>
      </c>
      <c r="H133" s="4" t="s">
        <v>35</v>
      </c>
      <c r="I133" s="5">
        <v>44501</v>
      </c>
      <c r="J133" s="6">
        <v>4018</v>
      </c>
      <c r="K133" s="6">
        <v>2032.73545104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4" t="s">
        <v>179</v>
      </c>
      <c r="U133" s="4">
        <v>10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58</v>
      </c>
      <c r="G134" s="4" t="s">
        <v>25</v>
      </c>
      <c r="H134" s="4" t="s">
        <v>35</v>
      </c>
      <c r="I134" s="5">
        <v>44531</v>
      </c>
      <c r="J134" s="6">
        <v>3929</v>
      </c>
      <c r="K134" s="6">
        <v>2000.29480089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57</v>
      </c>
      <c r="R134" s="4">
        <v>0</v>
      </c>
      <c r="S134" s="4" t="s">
        <v>180</v>
      </c>
      <c r="U134" s="4">
        <v>10</v>
      </c>
      <c r="V134" s="4">
        <v>0</v>
      </c>
      <c r="W134" s="4">
        <v>0</v>
      </c>
    </row>
    <row r="135" spans="1:23" ht="11.25" customHeight="1" x14ac:dyDescent="0.25">
      <c r="A135" s="4" t="s">
        <v>55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58</v>
      </c>
      <c r="G135" s="4" t="s">
        <v>25</v>
      </c>
      <c r="H135" s="4" t="s">
        <v>35</v>
      </c>
      <c r="I135" s="5">
        <v>44562</v>
      </c>
      <c r="J135" s="6">
        <v>3929</v>
      </c>
      <c r="K135" s="6">
        <v>2000.29480089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57</v>
      </c>
      <c r="R135" s="4">
        <v>0</v>
      </c>
      <c r="S135" s="4" t="s">
        <v>181</v>
      </c>
      <c r="U135" s="4">
        <v>10</v>
      </c>
      <c r="V135" s="4">
        <v>0</v>
      </c>
      <c r="W135" s="4">
        <v>0</v>
      </c>
    </row>
    <row r="136" spans="1:23" ht="11.25" customHeight="1" x14ac:dyDescent="0.25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58</v>
      </c>
      <c r="G136" s="4" t="s">
        <v>25</v>
      </c>
      <c r="H136" s="4" t="s">
        <v>25</v>
      </c>
      <c r="I136" s="5">
        <v>44228</v>
      </c>
      <c r="J136" s="6">
        <v>0</v>
      </c>
      <c r="K136" s="6">
        <v>0</v>
      </c>
      <c r="L136" s="6">
        <v>1755.146</v>
      </c>
      <c r="M136" s="6">
        <v>1755.146</v>
      </c>
      <c r="N136" s="6">
        <v>0</v>
      </c>
      <c r="O136" s="6">
        <v>0</v>
      </c>
      <c r="P136" s="6">
        <v>9</v>
      </c>
      <c r="Q136" s="4" t="s">
        <v>57</v>
      </c>
      <c r="R136" s="4">
        <v>0</v>
      </c>
      <c r="S136" s="4" t="s">
        <v>194</v>
      </c>
      <c r="U136" s="4">
        <v>0</v>
      </c>
      <c r="V136" s="4">
        <v>11</v>
      </c>
      <c r="W136" s="4">
        <v>0</v>
      </c>
    </row>
    <row r="137" spans="1:23" ht="11.25" customHeight="1" x14ac:dyDescent="0.25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58</v>
      </c>
      <c r="G137" s="4" t="s">
        <v>25</v>
      </c>
      <c r="H137" s="4" t="s">
        <v>25</v>
      </c>
      <c r="I137" s="5">
        <v>44256</v>
      </c>
      <c r="J137" s="6">
        <v>0</v>
      </c>
      <c r="K137" s="6">
        <v>0</v>
      </c>
      <c r="L137" s="6">
        <v>1701.3219999999999</v>
      </c>
      <c r="M137" s="6">
        <v>1701.3219999999999</v>
      </c>
      <c r="N137" s="6">
        <v>0</v>
      </c>
      <c r="O137" s="6">
        <v>0</v>
      </c>
      <c r="P137" s="6">
        <v>9</v>
      </c>
      <c r="Q137" s="4" t="s">
        <v>57</v>
      </c>
      <c r="R137" s="4">
        <v>0</v>
      </c>
      <c r="S137" s="4" t="s">
        <v>195</v>
      </c>
      <c r="U137" s="4">
        <v>0</v>
      </c>
      <c r="V137" s="4">
        <v>11</v>
      </c>
      <c r="W137" s="4">
        <v>0</v>
      </c>
    </row>
    <row r="138" spans="1:23" ht="11.25" customHeight="1" x14ac:dyDescent="0.25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58</v>
      </c>
      <c r="G138" s="4" t="s">
        <v>25</v>
      </c>
      <c r="H138" s="4" t="s">
        <v>25</v>
      </c>
      <c r="I138" s="5">
        <v>44287</v>
      </c>
      <c r="J138" s="6">
        <v>0</v>
      </c>
      <c r="K138" s="6">
        <v>0</v>
      </c>
      <c r="L138" s="6">
        <v>1674.5419999999999</v>
      </c>
      <c r="M138" s="6">
        <v>1674.5419999999999</v>
      </c>
      <c r="N138" s="6">
        <v>0</v>
      </c>
      <c r="O138" s="6">
        <v>0</v>
      </c>
      <c r="P138" s="6">
        <v>9</v>
      </c>
      <c r="Q138" s="4" t="s">
        <v>57</v>
      </c>
      <c r="R138" s="4">
        <v>0</v>
      </c>
      <c r="S138" s="4" t="s">
        <v>196</v>
      </c>
      <c r="U138" s="4">
        <v>0</v>
      </c>
      <c r="V138" s="4">
        <v>11</v>
      </c>
      <c r="W138" s="4">
        <v>0</v>
      </c>
    </row>
    <row r="139" spans="1:23" ht="11.25" customHeight="1" x14ac:dyDescent="0.25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58</v>
      </c>
      <c r="G139" s="4" t="s">
        <v>25</v>
      </c>
      <c r="H139" s="4" t="s">
        <v>25</v>
      </c>
      <c r="I139" s="5">
        <v>44317</v>
      </c>
      <c r="J139" s="6">
        <v>0</v>
      </c>
      <c r="K139" s="6">
        <v>0</v>
      </c>
      <c r="L139" s="6">
        <v>1683.701</v>
      </c>
      <c r="M139" s="6">
        <v>1683.701</v>
      </c>
      <c r="N139" s="6">
        <v>0</v>
      </c>
      <c r="O139" s="6">
        <v>0</v>
      </c>
      <c r="P139" s="6">
        <v>9</v>
      </c>
      <c r="Q139" s="4" t="s">
        <v>57</v>
      </c>
      <c r="R139" s="4">
        <v>0</v>
      </c>
      <c r="S139" s="4" t="s">
        <v>197</v>
      </c>
      <c r="U139" s="4">
        <v>0</v>
      </c>
      <c r="V139" s="4">
        <v>11</v>
      </c>
      <c r="W139" s="4">
        <v>0</v>
      </c>
    </row>
    <row r="140" spans="1:23" ht="11.25" customHeight="1" x14ac:dyDescent="0.25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58</v>
      </c>
      <c r="G140" s="4" t="s">
        <v>25</v>
      </c>
      <c r="H140" s="4" t="s">
        <v>25</v>
      </c>
      <c r="I140" s="5">
        <v>44348</v>
      </c>
      <c r="J140" s="6">
        <v>0</v>
      </c>
      <c r="K140" s="6">
        <v>0</v>
      </c>
      <c r="L140" s="6">
        <v>1695.1780000000001</v>
      </c>
      <c r="M140" s="6">
        <v>1695.1780000000001</v>
      </c>
      <c r="N140" s="6">
        <v>0</v>
      </c>
      <c r="O140" s="6">
        <v>0</v>
      </c>
      <c r="P140" s="6">
        <v>9</v>
      </c>
      <c r="Q140" s="4" t="s">
        <v>57</v>
      </c>
      <c r="R140" s="4">
        <v>0</v>
      </c>
      <c r="S140" s="4" t="s">
        <v>198</v>
      </c>
      <c r="U140" s="4">
        <v>0</v>
      </c>
      <c r="V140" s="4">
        <v>11</v>
      </c>
      <c r="W140" s="4">
        <v>0</v>
      </c>
    </row>
    <row r="141" spans="1:23" ht="11.25" customHeight="1" x14ac:dyDescent="0.25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58</v>
      </c>
      <c r="G141" s="4" t="s">
        <v>25</v>
      </c>
      <c r="H141" s="4" t="s">
        <v>25</v>
      </c>
      <c r="I141" s="5">
        <v>44378</v>
      </c>
      <c r="J141" s="6">
        <v>0</v>
      </c>
      <c r="K141" s="6">
        <v>0</v>
      </c>
      <c r="L141" s="6">
        <v>1473.6510000000001</v>
      </c>
      <c r="M141" s="6">
        <v>1473.6510000000001</v>
      </c>
      <c r="N141" s="6">
        <v>0</v>
      </c>
      <c r="O141" s="6">
        <v>0</v>
      </c>
      <c r="P141" s="6">
        <v>9</v>
      </c>
      <c r="Q141" s="4" t="s">
        <v>57</v>
      </c>
      <c r="R141" s="4">
        <v>0</v>
      </c>
      <c r="S141" s="4" t="s">
        <v>199</v>
      </c>
      <c r="U141" s="4">
        <v>0</v>
      </c>
      <c r="V141" s="4">
        <v>11</v>
      </c>
      <c r="W141" s="4">
        <v>0</v>
      </c>
    </row>
    <row r="142" spans="1:23" ht="11.25" customHeight="1" x14ac:dyDescent="0.25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58</v>
      </c>
      <c r="G142" s="4" t="s">
        <v>25</v>
      </c>
      <c r="H142" s="4" t="s">
        <v>25</v>
      </c>
      <c r="I142" s="5">
        <v>44409</v>
      </c>
      <c r="J142" s="6">
        <v>0</v>
      </c>
      <c r="K142" s="6">
        <v>0</v>
      </c>
      <c r="L142" s="6">
        <v>1617.5</v>
      </c>
      <c r="M142" s="6">
        <v>1617.5</v>
      </c>
      <c r="N142" s="6">
        <v>0</v>
      </c>
      <c r="O142" s="6">
        <v>0</v>
      </c>
      <c r="P142" s="6">
        <v>9</v>
      </c>
      <c r="Q142" s="4" t="s">
        <v>57</v>
      </c>
      <c r="R142" s="4">
        <v>0</v>
      </c>
      <c r="S142" s="4" t="s">
        <v>200</v>
      </c>
      <c r="U142" s="4">
        <v>0</v>
      </c>
      <c r="V142" s="4">
        <v>11</v>
      </c>
      <c r="W142" s="4">
        <v>0</v>
      </c>
    </row>
    <row r="143" spans="1:23" ht="11.25" customHeight="1" x14ac:dyDescent="0.25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58</v>
      </c>
      <c r="G143" s="4" t="s">
        <v>25</v>
      </c>
      <c r="H143" s="4" t="s">
        <v>25</v>
      </c>
      <c r="I143" s="5">
        <v>44440</v>
      </c>
      <c r="J143" s="6">
        <v>0</v>
      </c>
      <c r="K143" s="6">
        <v>0</v>
      </c>
      <c r="L143" s="6">
        <v>1539.8150000000001</v>
      </c>
      <c r="M143" s="6">
        <v>1539.8150000000001</v>
      </c>
      <c r="N143" s="6">
        <v>0</v>
      </c>
      <c r="O143" s="6">
        <v>0</v>
      </c>
      <c r="P143" s="6">
        <v>8</v>
      </c>
      <c r="Q143" s="4" t="s">
        <v>57</v>
      </c>
      <c r="R143" s="4">
        <v>0</v>
      </c>
      <c r="S143" s="4" t="s">
        <v>201</v>
      </c>
      <c r="U143" s="4">
        <v>0</v>
      </c>
      <c r="V143" s="4">
        <v>11</v>
      </c>
      <c r="W143" s="4">
        <v>0</v>
      </c>
    </row>
    <row r="144" spans="1:23" ht="11.25" customHeight="1" x14ac:dyDescent="0.25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58</v>
      </c>
      <c r="G144" s="4" t="s">
        <v>25</v>
      </c>
      <c r="H144" s="4" t="s">
        <v>25</v>
      </c>
      <c r="I144" s="5">
        <v>44470</v>
      </c>
      <c r="J144" s="6">
        <v>0</v>
      </c>
      <c r="K144" s="6">
        <v>0</v>
      </c>
      <c r="L144" s="6">
        <v>1584.8879999999999</v>
      </c>
      <c r="M144" s="6">
        <v>1584.8879999999999</v>
      </c>
      <c r="N144" s="6">
        <v>0</v>
      </c>
      <c r="O144" s="6">
        <v>0</v>
      </c>
      <c r="P144" s="6">
        <v>8</v>
      </c>
      <c r="Q144" s="4" t="s">
        <v>57</v>
      </c>
      <c r="R144" s="4">
        <v>0</v>
      </c>
      <c r="S144" s="4" t="s">
        <v>202</v>
      </c>
      <c r="U144" s="4">
        <v>0</v>
      </c>
      <c r="V144" s="4">
        <v>11</v>
      </c>
      <c r="W144" s="4">
        <v>0</v>
      </c>
    </row>
    <row r="145" spans="1:23" ht="11.25" customHeight="1" x14ac:dyDescent="0.25">
      <c r="A145" s="4" t="s">
        <v>21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58</v>
      </c>
      <c r="G145" s="4" t="s">
        <v>25</v>
      </c>
      <c r="H145" s="4" t="s">
        <v>25</v>
      </c>
      <c r="I145" s="5">
        <v>44501</v>
      </c>
      <c r="J145" s="6">
        <v>0</v>
      </c>
      <c r="K145" s="6">
        <v>0</v>
      </c>
      <c r="L145" s="6">
        <v>1784.5709999999999</v>
      </c>
      <c r="M145" s="6">
        <v>1784.5709999999999</v>
      </c>
      <c r="N145" s="6">
        <v>0</v>
      </c>
      <c r="O145" s="6">
        <v>0</v>
      </c>
      <c r="P145" s="6">
        <v>8</v>
      </c>
      <c r="Q145" s="4" t="s">
        <v>57</v>
      </c>
      <c r="R145" s="4">
        <v>0</v>
      </c>
      <c r="S145" s="4" t="s">
        <v>203</v>
      </c>
      <c r="U145" s="4">
        <v>0</v>
      </c>
      <c r="V145" s="4">
        <v>11</v>
      </c>
      <c r="W145" s="4">
        <v>0</v>
      </c>
    </row>
    <row r="146" spans="1:23" ht="11.25" customHeight="1" x14ac:dyDescent="0.25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58</v>
      </c>
      <c r="G146" s="4" t="s">
        <v>25</v>
      </c>
      <c r="H146" s="4" t="s">
        <v>25</v>
      </c>
      <c r="I146" s="5">
        <v>44531</v>
      </c>
      <c r="J146" s="6">
        <v>0</v>
      </c>
      <c r="K146" s="6">
        <v>0</v>
      </c>
      <c r="L146" s="6">
        <v>1738.9190000000001</v>
      </c>
      <c r="M146" s="6">
        <v>1738.9190000000001</v>
      </c>
      <c r="N146" s="6">
        <v>0</v>
      </c>
      <c r="O146" s="6">
        <v>0</v>
      </c>
      <c r="P146" s="6">
        <v>8</v>
      </c>
      <c r="Q146" s="4" t="s">
        <v>57</v>
      </c>
      <c r="R146" s="4">
        <v>0</v>
      </c>
      <c r="S146" s="4" t="s">
        <v>204</v>
      </c>
      <c r="U146" s="4">
        <v>0</v>
      </c>
      <c r="V146" s="4">
        <v>11</v>
      </c>
      <c r="W146" s="4">
        <v>0</v>
      </c>
    </row>
    <row r="147" spans="1:23" ht="11.25" customHeight="1" x14ac:dyDescent="0.25">
      <c r="A147" s="4" t="s">
        <v>55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58</v>
      </c>
      <c r="G147" s="4" t="s">
        <v>25</v>
      </c>
      <c r="H147" s="4" t="s">
        <v>25</v>
      </c>
      <c r="I147" s="5">
        <v>44562</v>
      </c>
      <c r="J147" s="6">
        <v>0</v>
      </c>
      <c r="K147" s="6">
        <v>0</v>
      </c>
      <c r="L147" s="6">
        <v>1738.9190000000001</v>
      </c>
      <c r="M147" s="6">
        <v>1738.9190000000001</v>
      </c>
      <c r="N147" s="6">
        <v>0</v>
      </c>
      <c r="O147" s="6">
        <v>0</v>
      </c>
      <c r="P147" s="6">
        <v>8</v>
      </c>
      <c r="Q147" s="4" t="s">
        <v>57</v>
      </c>
      <c r="R147" s="4">
        <v>0</v>
      </c>
      <c r="S147" s="4" t="s">
        <v>205</v>
      </c>
      <c r="U147" s="4">
        <v>0</v>
      </c>
      <c r="V147" s="4">
        <v>11</v>
      </c>
      <c r="W147" s="4">
        <v>0</v>
      </c>
    </row>
    <row r="148" spans="1:23" ht="11.25" customHeight="1" x14ac:dyDescent="0.25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58</v>
      </c>
      <c r="G148" s="4" t="s">
        <v>25</v>
      </c>
      <c r="H148" s="4" t="s">
        <v>34</v>
      </c>
      <c r="I148" s="5">
        <v>44228</v>
      </c>
      <c r="J148" s="6">
        <v>4030</v>
      </c>
      <c r="K148" s="6">
        <v>2029.3389414999999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4" t="s">
        <v>182</v>
      </c>
      <c r="U148" s="4">
        <v>9</v>
      </c>
      <c r="V148" s="4">
        <v>0</v>
      </c>
      <c r="W148" s="4">
        <v>0</v>
      </c>
    </row>
    <row r="149" spans="1:23" ht="11.25" customHeight="1" x14ac:dyDescent="0.25">
      <c r="A149" s="4" t="s">
        <v>21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58</v>
      </c>
      <c r="G149" s="4" t="s">
        <v>25</v>
      </c>
      <c r="H149" s="4" t="s">
        <v>34</v>
      </c>
      <c r="I149" s="5">
        <v>44256</v>
      </c>
      <c r="J149" s="6">
        <v>3977</v>
      </c>
      <c r="K149" s="6">
        <v>2006.71692689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4" t="s">
        <v>183</v>
      </c>
      <c r="U149" s="4">
        <v>9</v>
      </c>
      <c r="V149" s="4">
        <v>0</v>
      </c>
      <c r="W149" s="4">
        <v>0</v>
      </c>
    </row>
    <row r="150" spans="1:23" ht="11.25" customHeight="1" x14ac:dyDescent="0.25">
      <c r="A150" s="4" t="s">
        <v>21</v>
      </c>
      <c r="B150" s="4" t="s">
        <v>39</v>
      </c>
      <c r="C150" s="4" t="s">
        <v>40</v>
      </c>
      <c r="D150" s="4" t="s">
        <v>38</v>
      </c>
      <c r="E150" s="4" t="s">
        <v>25</v>
      </c>
      <c r="F150" s="4" t="s">
        <v>58</v>
      </c>
      <c r="G150" s="4" t="s">
        <v>25</v>
      </c>
      <c r="H150" s="4" t="s">
        <v>34</v>
      </c>
      <c r="I150" s="5">
        <v>44287</v>
      </c>
      <c r="J150" s="6">
        <v>3935</v>
      </c>
      <c r="K150" s="6">
        <v>1982.83064195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4" t="s">
        <v>184</v>
      </c>
      <c r="U150" s="4">
        <v>9</v>
      </c>
      <c r="V150" s="4">
        <v>0</v>
      </c>
      <c r="W150" s="4">
        <v>0</v>
      </c>
    </row>
    <row r="151" spans="1:23" ht="11.25" customHeight="1" x14ac:dyDescent="0.25">
      <c r="A151" s="4" t="s">
        <v>21</v>
      </c>
      <c r="B151" s="4" t="s">
        <v>39</v>
      </c>
      <c r="C151" s="4" t="s">
        <v>40</v>
      </c>
      <c r="D151" s="4" t="s">
        <v>38</v>
      </c>
      <c r="E151" s="4" t="s">
        <v>25</v>
      </c>
      <c r="F151" s="4" t="s">
        <v>58</v>
      </c>
      <c r="G151" s="4" t="s">
        <v>25</v>
      </c>
      <c r="H151" s="4" t="s">
        <v>34</v>
      </c>
      <c r="I151" s="5">
        <v>44317</v>
      </c>
      <c r="J151" s="6">
        <v>3934</v>
      </c>
      <c r="K151" s="6">
        <v>2002.9792231399999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4" t="s">
        <v>185</v>
      </c>
      <c r="U151" s="4">
        <v>9</v>
      </c>
      <c r="V151" s="4">
        <v>0</v>
      </c>
      <c r="W151" s="4">
        <v>0</v>
      </c>
    </row>
    <row r="152" spans="1:23" ht="11.25" customHeight="1" x14ac:dyDescent="0.25">
      <c r="A152" s="4" t="s">
        <v>21</v>
      </c>
      <c r="B152" s="4" t="s">
        <v>39</v>
      </c>
      <c r="C152" s="4" t="s">
        <v>40</v>
      </c>
      <c r="D152" s="4" t="s">
        <v>38</v>
      </c>
      <c r="E152" s="4" t="s">
        <v>25</v>
      </c>
      <c r="F152" s="4" t="s">
        <v>58</v>
      </c>
      <c r="G152" s="4" t="s">
        <v>25</v>
      </c>
      <c r="H152" s="4" t="s">
        <v>34</v>
      </c>
      <c r="I152" s="5">
        <v>44348</v>
      </c>
      <c r="J152" s="6">
        <v>3934</v>
      </c>
      <c r="K152" s="6">
        <v>1984.1832005799999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4" t="s">
        <v>186</v>
      </c>
      <c r="U152" s="4">
        <v>9</v>
      </c>
      <c r="V152" s="4">
        <v>0</v>
      </c>
      <c r="W152" s="4">
        <v>0</v>
      </c>
    </row>
    <row r="153" spans="1:23" ht="11.25" customHeight="1" x14ac:dyDescent="0.25">
      <c r="A153" s="4" t="s">
        <v>21</v>
      </c>
      <c r="B153" s="4" t="s">
        <v>39</v>
      </c>
      <c r="C153" s="4" t="s">
        <v>40</v>
      </c>
      <c r="D153" s="4" t="s">
        <v>38</v>
      </c>
      <c r="E153" s="4" t="s">
        <v>25</v>
      </c>
      <c r="F153" s="4" t="s">
        <v>58</v>
      </c>
      <c r="G153" s="4" t="s">
        <v>25</v>
      </c>
      <c r="H153" s="4" t="s">
        <v>34</v>
      </c>
      <c r="I153" s="5">
        <v>44378</v>
      </c>
      <c r="J153" s="6">
        <v>3934</v>
      </c>
      <c r="K153" s="6">
        <v>1979.7195661600001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4" t="s">
        <v>187</v>
      </c>
      <c r="U153" s="4">
        <v>9</v>
      </c>
      <c r="V153" s="4">
        <v>0</v>
      </c>
      <c r="W153" s="4">
        <v>0</v>
      </c>
    </row>
    <row r="154" spans="1:23" ht="11.25" customHeight="1" x14ac:dyDescent="0.25">
      <c r="A154" s="4" t="s">
        <v>21</v>
      </c>
      <c r="B154" s="4" t="s">
        <v>39</v>
      </c>
      <c r="C154" s="4" t="s">
        <v>40</v>
      </c>
      <c r="D154" s="4" t="s">
        <v>38</v>
      </c>
      <c r="E154" s="4" t="s">
        <v>25</v>
      </c>
      <c r="F154" s="4" t="s">
        <v>58</v>
      </c>
      <c r="G154" s="4" t="s">
        <v>25</v>
      </c>
      <c r="H154" s="4" t="s">
        <v>34</v>
      </c>
      <c r="I154" s="5">
        <v>44409</v>
      </c>
      <c r="J154" s="6">
        <v>3934</v>
      </c>
      <c r="K154" s="6">
        <v>1986.3820705400001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4" t="s">
        <v>188</v>
      </c>
      <c r="U154" s="4">
        <v>9</v>
      </c>
      <c r="V154" s="4">
        <v>0</v>
      </c>
      <c r="W154" s="4">
        <v>0</v>
      </c>
    </row>
    <row r="155" spans="1:23" ht="11.25" customHeight="1" x14ac:dyDescent="0.25">
      <c r="A155" s="4" t="s">
        <v>21</v>
      </c>
      <c r="B155" s="4" t="s">
        <v>39</v>
      </c>
      <c r="C155" s="4" t="s">
        <v>40</v>
      </c>
      <c r="D155" s="4" t="s">
        <v>38</v>
      </c>
      <c r="E155" s="4" t="s">
        <v>25</v>
      </c>
      <c r="F155" s="4" t="s">
        <v>58</v>
      </c>
      <c r="G155" s="4" t="s">
        <v>25</v>
      </c>
      <c r="H155" s="4" t="s">
        <v>34</v>
      </c>
      <c r="I155" s="5">
        <v>44440</v>
      </c>
      <c r="J155" s="6">
        <v>3511</v>
      </c>
      <c r="K155" s="6">
        <v>1774.8026704700001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4" t="s">
        <v>189</v>
      </c>
      <c r="U155" s="4">
        <v>9</v>
      </c>
      <c r="V155" s="4">
        <v>0</v>
      </c>
      <c r="W155" s="4">
        <v>0</v>
      </c>
    </row>
    <row r="156" spans="1:23" ht="11.25" customHeight="1" x14ac:dyDescent="0.25">
      <c r="A156" s="4" t="s">
        <v>21</v>
      </c>
      <c r="B156" s="4" t="s">
        <v>39</v>
      </c>
      <c r="C156" s="4" t="s">
        <v>40</v>
      </c>
      <c r="D156" s="4" t="s">
        <v>38</v>
      </c>
      <c r="E156" s="4" t="s">
        <v>25</v>
      </c>
      <c r="F156" s="4" t="s">
        <v>58</v>
      </c>
      <c r="G156" s="4" t="s">
        <v>25</v>
      </c>
      <c r="H156" s="4" t="s">
        <v>34</v>
      </c>
      <c r="I156" s="5">
        <v>44470</v>
      </c>
      <c r="J156" s="6">
        <v>3680</v>
      </c>
      <c r="K156" s="6">
        <v>1879.7369344000001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4" t="s">
        <v>190</v>
      </c>
      <c r="U156" s="4">
        <v>9</v>
      </c>
      <c r="V156" s="4">
        <v>0</v>
      </c>
      <c r="W156" s="4">
        <v>0</v>
      </c>
    </row>
    <row r="157" spans="1:23" ht="11.25" customHeight="1" x14ac:dyDescent="0.25">
      <c r="A157" s="4" t="s">
        <v>21</v>
      </c>
      <c r="B157" s="4" t="s">
        <v>39</v>
      </c>
      <c r="C157" s="4" t="s">
        <v>40</v>
      </c>
      <c r="D157" s="4" t="s">
        <v>38</v>
      </c>
      <c r="E157" s="4" t="s">
        <v>25</v>
      </c>
      <c r="F157" s="4" t="s">
        <v>58</v>
      </c>
      <c r="G157" s="4" t="s">
        <v>25</v>
      </c>
      <c r="H157" s="4" t="s">
        <v>34</v>
      </c>
      <c r="I157" s="5">
        <v>44501</v>
      </c>
      <c r="J157" s="6">
        <v>3698</v>
      </c>
      <c r="K157" s="6">
        <v>1870.6379964600001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4" t="s">
        <v>191</v>
      </c>
      <c r="U157" s="4">
        <v>9</v>
      </c>
      <c r="V157" s="4">
        <v>0</v>
      </c>
      <c r="W157" s="4">
        <v>0</v>
      </c>
    </row>
    <row r="158" spans="1:23" ht="11.25" customHeight="1" x14ac:dyDescent="0.25">
      <c r="A158" s="4" t="s">
        <v>21</v>
      </c>
      <c r="B158" s="4" t="s">
        <v>39</v>
      </c>
      <c r="C158" s="4" t="s">
        <v>40</v>
      </c>
      <c r="D158" s="4" t="s">
        <v>38</v>
      </c>
      <c r="E158" s="4" t="s">
        <v>25</v>
      </c>
      <c r="F158" s="4" t="s">
        <v>58</v>
      </c>
      <c r="G158" s="4" t="s">
        <v>25</v>
      </c>
      <c r="H158" s="4" t="s">
        <v>34</v>
      </c>
      <c r="I158" s="5">
        <v>44531</v>
      </c>
      <c r="J158" s="6">
        <v>3726</v>
      </c>
      <c r="K158" s="6">
        <v>1896.8934472200001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57</v>
      </c>
      <c r="R158" s="4">
        <v>0</v>
      </c>
      <c r="S158" s="4" t="s">
        <v>192</v>
      </c>
      <c r="U158" s="4">
        <v>9</v>
      </c>
      <c r="V158" s="4">
        <v>0</v>
      </c>
      <c r="W158" s="4">
        <v>0</v>
      </c>
    </row>
    <row r="159" spans="1:23" ht="11.25" customHeight="1" x14ac:dyDescent="0.25">
      <c r="A159" s="4" t="s">
        <v>55</v>
      </c>
      <c r="B159" s="4" t="s">
        <v>39</v>
      </c>
      <c r="C159" s="4" t="s">
        <v>40</v>
      </c>
      <c r="D159" s="4" t="s">
        <v>38</v>
      </c>
      <c r="E159" s="4" t="s">
        <v>25</v>
      </c>
      <c r="F159" s="4" t="s">
        <v>58</v>
      </c>
      <c r="G159" s="4" t="s">
        <v>25</v>
      </c>
      <c r="H159" s="4" t="s">
        <v>34</v>
      </c>
      <c r="I159" s="5">
        <v>44562</v>
      </c>
      <c r="J159" s="6">
        <v>3726</v>
      </c>
      <c r="K159" s="6">
        <v>1896.8934472200001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57</v>
      </c>
      <c r="R159" s="4">
        <v>0</v>
      </c>
      <c r="S159" s="4" t="s">
        <v>193</v>
      </c>
      <c r="U159" s="4">
        <v>9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39</v>
      </c>
      <c r="C160" s="4" t="s">
        <v>40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44228</v>
      </c>
      <c r="J160" s="6">
        <v>835</v>
      </c>
      <c r="K160" s="6">
        <v>835</v>
      </c>
      <c r="L160" s="6">
        <v>103.95399999999999</v>
      </c>
      <c r="M160" s="6">
        <v>103.95399999999999</v>
      </c>
      <c r="N160" s="6">
        <v>103.95399999999999</v>
      </c>
      <c r="O160" s="6">
        <v>103.95399999999999</v>
      </c>
      <c r="P160" s="6">
        <v>0</v>
      </c>
      <c r="Q160" s="4" t="s">
        <v>26</v>
      </c>
      <c r="R160" s="4">
        <v>0</v>
      </c>
      <c r="S160" s="4" t="s">
        <v>170</v>
      </c>
      <c r="T160" s="4" t="s">
        <v>483</v>
      </c>
      <c r="U160" s="4">
        <v>10</v>
      </c>
      <c r="V160" s="4">
        <v>11</v>
      </c>
      <c r="W160" s="4">
        <v>68</v>
      </c>
    </row>
    <row r="161" spans="1:23" ht="11.25" customHeight="1" x14ac:dyDescent="0.25">
      <c r="A161" s="4" t="s">
        <v>21</v>
      </c>
      <c r="B161" s="4" t="s">
        <v>39</v>
      </c>
      <c r="C161" s="4" t="s">
        <v>40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44256</v>
      </c>
      <c r="J161" s="6">
        <v>835</v>
      </c>
      <c r="K161" s="6">
        <v>835</v>
      </c>
      <c r="L161" s="6">
        <v>97.451999999999998</v>
      </c>
      <c r="M161" s="6">
        <v>97.451999999999998</v>
      </c>
      <c r="N161" s="6">
        <v>97.451999999999998</v>
      </c>
      <c r="O161" s="6">
        <v>97.451999999999998</v>
      </c>
      <c r="P161" s="6">
        <v>0</v>
      </c>
      <c r="Q161" s="4" t="s">
        <v>26</v>
      </c>
      <c r="R161" s="4">
        <v>0</v>
      </c>
      <c r="S161" s="4" t="s">
        <v>171</v>
      </c>
      <c r="T161" s="4" t="s">
        <v>484</v>
      </c>
      <c r="U161" s="4">
        <v>10</v>
      </c>
      <c r="V161" s="4">
        <v>11</v>
      </c>
      <c r="W161" s="4">
        <v>68</v>
      </c>
    </row>
    <row r="162" spans="1:23" ht="11.25" customHeight="1" x14ac:dyDescent="0.25">
      <c r="A162" s="4" t="s">
        <v>21</v>
      </c>
      <c r="B162" s="4" t="s">
        <v>39</v>
      </c>
      <c r="C162" s="4" t="s">
        <v>40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44287</v>
      </c>
      <c r="J162" s="6">
        <v>835</v>
      </c>
      <c r="K162" s="6">
        <v>835</v>
      </c>
      <c r="L162" s="6">
        <v>62.758000000000003</v>
      </c>
      <c r="M162" s="6">
        <v>62.758000000000003</v>
      </c>
      <c r="N162" s="6">
        <v>62.758000000000003</v>
      </c>
      <c r="O162" s="6">
        <v>62.758000000000003</v>
      </c>
      <c r="P162" s="6">
        <v>0</v>
      </c>
      <c r="Q162" s="4" t="s">
        <v>26</v>
      </c>
      <c r="R162" s="4">
        <v>0</v>
      </c>
      <c r="S162" s="4" t="s">
        <v>172</v>
      </c>
      <c r="T162" s="4" t="s">
        <v>485</v>
      </c>
      <c r="U162" s="4">
        <v>10</v>
      </c>
      <c r="V162" s="4">
        <v>11</v>
      </c>
      <c r="W162" s="4">
        <v>68</v>
      </c>
    </row>
    <row r="163" spans="1:23" ht="11.25" customHeight="1" x14ac:dyDescent="0.25">
      <c r="A163" s="4" t="s">
        <v>21</v>
      </c>
      <c r="B163" s="4" t="s">
        <v>39</v>
      </c>
      <c r="C163" s="4" t="s">
        <v>40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44317</v>
      </c>
      <c r="J163" s="6">
        <v>835</v>
      </c>
      <c r="K163" s="6">
        <v>835</v>
      </c>
      <c r="L163" s="6">
        <v>97.274000000000001</v>
      </c>
      <c r="M163" s="6">
        <v>97.274000000000001</v>
      </c>
      <c r="N163" s="6">
        <v>97.274000000000001</v>
      </c>
      <c r="O163" s="6">
        <v>97.274000000000001</v>
      </c>
      <c r="P163" s="6">
        <v>0</v>
      </c>
      <c r="Q163" s="4" t="s">
        <v>26</v>
      </c>
      <c r="R163" s="4">
        <v>0</v>
      </c>
      <c r="S163" s="4" t="s">
        <v>173</v>
      </c>
      <c r="T163" s="4" t="s">
        <v>486</v>
      </c>
      <c r="U163" s="4">
        <v>10</v>
      </c>
      <c r="V163" s="4">
        <v>11</v>
      </c>
      <c r="W163" s="4">
        <v>68</v>
      </c>
    </row>
    <row r="164" spans="1:23" ht="11.25" customHeight="1" x14ac:dyDescent="0.25">
      <c r="A164" s="4" t="s">
        <v>21</v>
      </c>
      <c r="B164" s="4" t="s">
        <v>39</v>
      </c>
      <c r="C164" s="4" t="s">
        <v>40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44348</v>
      </c>
      <c r="J164" s="6">
        <v>835</v>
      </c>
      <c r="K164" s="6">
        <v>835</v>
      </c>
      <c r="L164" s="6">
        <v>110.58</v>
      </c>
      <c r="M164" s="6">
        <v>110.58</v>
      </c>
      <c r="N164" s="6">
        <v>110.58</v>
      </c>
      <c r="O164" s="6">
        <v>110.58</v>
      </c>
      <c r="P164" s="6">
        <v>0</v>
      </c>
      <c r="Q164" s="4" t="s">
        <v>26</v>
      </c>
      <c r="R164" s="4">
        <v>0</v>
      </c>
      <c r="S164" s="4" t="s">
        <v>174</v>
      </c>
      <c r="T164" s="4" t="s">
        <v>487</v>
      </c>
      <c r="U164" s="4">
        <v>10</v>
      </c>
      <c r="V164" s="4">
        <v>11</v>
      </c>
      <c r="W164" s="4">
        <v>68</v>
      </c>
    </row>
    <row r="165" spans="1:23" ht="11.25" customHeight="1" x14ac:dyDescent="0.25">
      <c r="A165" s="4" t="s">
        <v>21</v>
      </c>
      <c r="B165" s="4" t="s">
        <v>39</v>
      </c>
      <c r="C165" s="4" t="s">
        <v>40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44378</v>
      </c>
      <c r="J165" s="6">
        <v>835</v>
      </c>
      <c r="K165" s="6">
        <v>835</v>
      </c>
      <c r="L165" s="6">
        <v>101.02</v>
      </c>
      <c r="M165" s="6">
        <v>101.02</v>
      </c>
      <c r="N165" s="6">
        <v>101.02</v>
      </c>
      <c r="O165" s="6">
        <v>101.02</v>
      </c>
      <c r="P165" s="6">
        <v>0</v>
      </c>
      <c r="Q165" s="4" t="s">
        <v>26</v>
      </c>
      <c r="R165" s="4">
        <v>0</v>
      </c>
      <c r="S165" s="4" t="s">
        <v>175</v>
      </c>
      <c r="T165" s="4" t="s">
        <v>488</v>
      </c>
      <c r="U165" s="4">
        <v>10</v>
      </c>
      <c r="V165" s="4">
        <v>11</v>
      </c>
      <c r="W165" s="4">
        <v>68</v>
      </c>
    </row>
    <row r="166" spans="1:23" ht="11.25" customHeight="1" x14ac:dyDescent="0.25">
      <c r="A166" s="4" t="s">
        <v>21</v>
      </c>
      <c r="B166" s="4" t="s">
        <v>39</v>
      </c>
      <c r="C166" s="4" t="s">
        <v>40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44409</v>
      </c>
      <c r="J166" s="6">
        <v>835</v>
      </c>
      <c r="K166" s="6">
        <v>835</v>
      </c>
      <c r="L166" s="6">
        <v>103.64400000000001</v>
      </c>
      <c r="M166" s="6">
        <v>103.64400000000001</v>
      </c>
      <c r="N166" s="6">
        <v>103.64400000000001</v>
      </c>
      <c r="O166" s="6">
        <v>103.64400000000001</v>
      </c>
      <c r="P166" s="6">
        <v>0</v>
      </c>
      <c r="Q166" s="4" t="s">
        <v>26</v>
      </c>
      <c r="R166" s="4">
        <v>0</v>
      </c>
      <c r="S166" s="4" t="s">
        <v>176</v>
      </c>
      <c r="T166" s="4" t="s">
        <v>489</v>
      </c>
      <c r="U166" s="4">
        <v>10</v>
      </c>
      <c r="V166" s="4">
        <v>11</v>
      </c>
      <c r="W166" s="4">
        <v>68</v>
      </c>
    </row>
    <row r="167" spans="1:23" ht="11.25" customHeight="1" x14ac:dyDescent="0.25">
      <c r="A167" s="4" t="s">
        <v>21</v>
      </c>
      <c r="B167" s="4" t="s">
        <v>39</v>
      </c>
      <c r="C167" s="4" t="s">
        <v>40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44440</v>
      </c>
      <c r="J167" s="6">
        <v>835</v>
      </c>
      <c r="K167" s="6">
        <v>835</v>
      </c>
      <c r="L167" s="6">
        <v>112.166</v>
      </c>
      <c r="M167" s="6">
        <v>112.166</v>
      </c>
      <c r="N167" s="6">
        <v>112.166</v>
      </c>
      <c r="O167" s="6">
        <v>112.166</v>
      </c>
      <c r="P167" s="6">
        <v>0</v>
      </c>
      <c r="Q167" s="4" t="s">
        <v>26</v>
      </c>
      <c r="R167" s="4">
        <v>0</v>
      </c>
      <c r="S167" s="4" t="s">
        <v>177</v>
      </c>
      <c r="T167" s="4" t="s">
        <v>490</v>
      </c>
      <c r="U167" s="4">
        <v>10</v>
      </c>
      <c r="V167" s="4">
        <v>11</v>
      </c>
      <c r="W167" s="4">
        <v>68</v>
      </c>
    </row>
    <row r="168" spans="1:23" ht="11.25" customHeight="1" x14ac:dyDescent="0.25">
      <c r="A168" s="4" t="s">
        <v>21</v>
      </c>
      <c r="B168" s="4" t="s">
        <v>39</v>
      </c>
      <c r="C168" s="4" t="s">
        <v>40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44470</v>
      </c>
      <c r="J168" s="6">
        <v>835</v>
      </c>
      <c r="K168" s="6">
        <v>835</v>
      </c>
      <c r="L168" s="6">
        <v>74.494</v>
      </c>
      <c r="M168" s="6">
        <v>74.494</v>
      </c>
      <c r="N168" s="6">
        <v>74.494</v>
      </c>
      <c r="O168" s="6">
        <v>74.494</v>
      </c>
      <c r="P168" s="6">
        <v>0</v>
      </c>
      <c r="Q168" s="4" t="s">
        <v>26</v>
      </c>
      <c r="R168" s="4">
        <v>0</v>
      </c>
      <c r="S168" s="4" t="s">
        <v>178</v>
      </c>
      <c r="T168" s="4" t="s">
        <v>491</v>
      </c>
      <c r="U168" s="4">
        <v>10</v>
      </c>
      <c r="V168" s="4">
        <v>11</v>
      </c>
      <c r="W168" s="4">
        <v>68</v>
      </c>
    </row>
    <row r="169" spans="1:23" ht="11.25" customHeight="1" x14ac:dyDescent="0.25">
      <c r="A169" s="4" t="s">
        <v>21</v>
      </c>
      <c r="B169" s="4" t="s">
        <v>39</v>
      </c>
      <c r="C169" s="4" t="s">
        <v>40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44501</v>
      </c>
      <c r="J169" s="6">
        <v>835</v>
      </c>
      <c r="K169" s="6">
        <v>835</v>
      </c>
      <c r="L169" s="6">
        <v>72.061999999999998</v>
      </c>
      <c r="M169" s="6">
        <v>72.061999999999998</v>
      </c>
      <c r="N169" s="6">
        <v>72.061999999999998</v>
      </c>
      <c r="O169" s="6">
        <v>72.061999999999998</v>
      </c>
      <c r="P169" s="6">
        <v>0</v>
      </c>
      <c r="Q169" s="4" t="s">
        <v>26</v>
      </c>
      <c r="R169" s="4">
        <v>0</v>
      </c>
      <c r="S169" s="4" t="s">
        <v>179</v>
      </c>
      <c r="T169" s="4" t="s">
        <v>492</v>
      </c>
      <c r="U169" s="4">
        <v>10</v>
      </c>
      <c r="V169" s="4">
        <v>11</v>
      </c>
      <c r="W169" s="4">
        <v>68</v>
      </c>
    </row>
    <row r="170" spans="1:23" ht="11.25" customHeight="1" x14ac:dyDescent="0.25">
      <c r="A170" s="4" t="s">
        <v>21</v>
      </c>
      <c r="B170" s="4" t="s">
        <v>39</v>
      </c>
      <c r="C170" s="4" t="s">
        <v>40</v>
      </c>
      <c r="D170" s="4" t="s">
        <v>38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44531</v>
      </c>
      <c r="J170" s="6">
        <v>835</v>
      </c>
      <c r="K170" s="6">
        <v>835</v>
      </c>
      <c r="L170" s="6">
        <v>77.415999999999997</v>
      </c>
      <c r="M170" s="6">
        <v>77.415999999999997</v>
      </c>
      <c r="N170" s="6">
        <v>77.415999999999997</v>
      </c>
      <c r="O170" s="6">
        <v>77.415999999999997</v>
      </c>
      <c r="P170" s="6">
        <v>0</v>
      </c>
      <c r="Q170" s="4" t="s">
        <v>26</v>
      </c>
      <c r="R170" s="4">
        <v>0</v>
      </c>
      <c r="S170" s="4" t="s">
        <v>180</v>
      </c>
      <c r="T170" s="4" t="s">
        <v>493</v>
      </c>
      <c r="U170" s="4">
        <v>10</v>
      </c>
      <c r="V170" s="4">
        <v>11</v>
      </c>
      <c r="W170" s="4">
        <v>68</v>
      </c>
    </row>
    <row r="171" spans="1:23" ht="11.25" customHeight="1" x14ac:dyDescent="0.25">
      <c r="A171" s="4" t="s">
        <v>55</v>
      </c>
      <c r="B171" s="4" t="s">
        <v>39</v>
      </c>
      <c r="C171" s="4" t="s">
        <v>40</v>
      </c>
      <c r="D171" s="4" t="s">
        <v>38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44562</v>
      </c>
      <c r="J171" s="6">
        <v>835</v>
      </c>
      <c r="K171" s="6">
        <v>835</v>
      </c>
      <c r="L171" s="6">
        <v>77.415999999999997</v>
      </c>
      <c r="M171" s="6">
        <v>77.415999999999997</v>
      </c>
      <c r="N171" s="6">
        <v>77.415999999999997</v>
      </c>
      <c r="O171" s="6">
        <v>77.415999999999997</v>
      </c>
      <c r="P171" s="6">
        <v>0</v>
      </c>
      <c r="Q171" s="4" t="s">
        <v>26</v>
      </c>
      <c r="R171" s="4">
        <v>0</v>
      </c>
      <c r="S171" s="4" t="s">
        <v>181</v>
      </c>
      <c r="T171" s="4" t="s">
        <v>494</v>
      </c>
      <c r="U171" s="4">
        <v>10</v>
      </c>
      <c r="V171" s="4">
        <v>11</v>
      </c>
      <c r="W171" s="4">
        <v>68</v>
      </c>
    </row>
    <row r="172" spans="1:23" ht="11.25" customHeight="1" x14ac:dyDescent="0.25">
      <c r="A172" s="4" t="s">
        <v>21</v>
      </c>
      <c r="B172" s="4" t="s">
        <v>39</v>
      </c>
      <c r="C172" s="4" t="s">
        <v>40</v>
      </c>
      <c r="D172" s="4" t="s">
        <v>38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44228</v>
      </c>
      <c r="J172" s="6">
        <v>115</v>
      </c>
      <c r="K172" s="6">
        <v>115</v>
      </c>
      <c r="L172" s="6">
        <v>3.6760000000000002</v>
      </c>
      <c r="M172" s="6">
        <v>3.6760000000000002</v>
      </c>
      <c r="N172" s="6">
        <v>3.6760000000000002</v>
      </c>
      <c r="O172" s="6">
        <v>3.6760000000000002</v>
      </c>
      <c r="P172" s="6">
        <v>0</v>
      </c>
      <c r="Q172" s="4" t="s">
        <v>26</v>
      </c>
      <c r="R172" s="4">
        <v>0</v>
      </c>
      <c r="S172" s="4" t="s">
        <v>182</v>
      </c>
      <c r="T172" s="4" t="s">
        <v>495</v>
      </c>
      <c r="U172" s="4">
        <v>9</v>
      </c>
      <c r="V172" s="4">
        <v>11</v>
      </c>
      <c r="W172" s="4">
        <v>67</v>
      </c>
    </row>
    <row r="173" spans="1:23" ht="11.25" customHeight="1" x14ac:dyDescent="0.25">
      <c r="A173" s="4" t="s">
        <v>21</v>
      </c>
      <c r="B173" s="4" t="s">
        <v>39</v>
      </c>
      <c r="C173" s="4" t="s">
        <v>40</v>
      </c>
      <c r="D173" s="4" t="s">
        <v>38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44256</v>
      </c>
      <c r="J173" s="6">
        <v>115</v>
      </c>
      <c r="K173" s="6">
        <v>115</v>
      </c>
      <c r="L173" s="6">
        <v>4.1680000000000001</v>
      </c>
      <c r="M173" s="6">
        <v>4.1680000000000001</v>
      </c>
      <c r="N173" s="6">
        <v>4.1680000000000001</v>
      </c>
      <c r="O173" s="6">
        <v>4.1680000000000001</v>
      </c>
      <c r="P173" s="6">
        <v>0</v>
      </c>
      <c r="Q173" s="4" t="s">
        <v>26</v>
      </c>
      <c r="R173" s="4">
        <v>0</v>
      </c>
      <c r="S173" s="4" t="s">
        <v>183</v>
      </c>
      <c r="T173" s="4" t="s">
        <v>496</v>
      </c>
      <c r="U173" s="4">
        <v>9</v>
      </c>
      <c r="V173" s="4">
        <v>11</v>
      </c>
      <c r="W173" s="4">
        <v>67</v>
      </c>
    </row>
    <row r="174" spans="1:23" ht="11.25" customHeight="1" x14ac:dyDescent="0.25">
      <c r="A174" s="4" t="s">
        <v>21</v>
      </c>
      <c r="B174" s="4" t="s">
        <v>39</v>
      </c>
      <c r="C174" s="4" t="s">
        <v>40</v>
      </c>
      <c r="D174" s="4" t="s">
        <v>38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44287</v>
      </c>
      <c r="J174" s="6">
        <v>115</v>
      </c>
      <c r="K174" s="6">
        <v>115</v>
      </c>
      <c r="L174" s="6">
        <v>3.3479999999999999</v>
      </c>
      <c r="M174" s="6">
        <v>3.3479999999999999</v>
      </c>
      <c r="N174" s="6">
        <v>3.3479999999999999</v>
      </c>
      <c r="O174" s="6">
        <v>3.3479999999999999</v>
      </c>
      <c r="P174" s="6">
        <v>0</v>
      </c>
      <c r="Q174" s="4" t="s">
        <v>26</v>
      </c>
      <c r="R174" s="4">
        <v>0</v>
      </c>
      <c r="S174" s="4" t="s">
        <v>184</v>
      </c>
      <c r="T174" s="4" t="s">
        <v>497</v>
      </c>
      <c r="U174" s="4">
        <v>9</v>
      </c>
      <c r="V174" s="4">
        <v>11</v>
      </c>
      <c r="W174" s="4">
        <v>67</v>
      </c>
    </row>
    <row r="175" spans="1:23" ht="11.25" customHeight="1" x14ac:dyDescent="0.25">
      <c r="A175" s="4" t="s">
        <v>21</v>
      </c>
      <c r="B175" s="4" t="s">
        <v>39</v>
      </c>
      <c r="C175" s="4" t="s">
        <v>40</v>
      </c>
      <c r="D175" s="4" t="s">
        <v>38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44317</v>
      </c>
      <c r="J175" s="6">
        <v>115</v>
      </c>
      <c r="K175" s="6">
        <v>115</v>
      </c>
      <c r="L175" s="6">
        <v>3.3479999999999999</v>
      </c>
      <c r="M175" s="6">
        <v>3.3479999999999999</v>
      </c>
      <c r="N175" s="6">
        <v>3.3479999999999999</v>
      </c>
      <c r="O175" s="6">
        <v>3.3479999999999999</v>
      </c>
      <c r="P175" s="6">
        <v>0</v>
      </c>
      <c r="Q175" s="4" t="s">
        <v>26</v>
      </c>
      <c r="R175" s="4">
        <v>0</v>
      </c>
      <c r="S175" s="4" t="s">
        <v>185</v>
      </c>
      <c r="T175" s="4" t="s">
        <v>498</v>
      </c>
      <c r="U175" s="4">
        <v>9</v>
      </c>
      <c r="V175" s="4">
        <v>11</v>
      </c>
      <c r="W175" s="4">
        <v>67</v>
      </c>
    </row>
    <row r="176" spans="1:23" ht="11.25" customHeight="1" x14ac:dyDescent="0.25">
      <c r="A176" s="4" t="s">
        <v>21</v>
      </c>
      <c r="B176" s="4" t="s">
        <v>39</v>
      </c>
      <c r="C176" s="4" t="s">
        <v>40</v>
      </c>
      <c r="D176" s="4" t="s">
        <v>38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44348</v>
      </c>
      <c r="J176" s="6">
        <v>115</v>
      </c>
      <c r="K176" s="6">
        <v>115</v>
      </c>
      <c r="L176" s="6">
        <v>4.0039999999999996</v>
      </c>
      <c r="M176" s="6">
        <v>4.0039999999999996</v>
      </c>
      <c r="N176" s="6">
        <v>4.0039999999999996</v>
      </c>
      <c r="O176" s="6">
        <v>4.0039999999999996</v>
      </c>
      <c r="P176" s="6">
        <v>0</v>
      </c>
      <c r="Q176" s="4" t="s">
        <v>26</v>
      </c>
      <c r="R176" s="4">
        <v>0</v>
      </c>
      <c r="S176" s="4" t="s">
        <v>186</v>
      </c>
      <c r="T176" s="4" t="s">
        <v>499</v>
      </c>
      <c r="U176" s="4">
        <v>9</v>
      </c>
      <c r="V176" s="4">
        <v>11</v>
      </c>
      <c r="W176" s="4">
        <v>67</v>
      </c>
    </row>
    <row r="177" spans="1:23" ht="11.25" customHeight="1" x14ac:dyDescent="0.25">
      <c r="A177" s="4" t="s">
        <v>21</v>
      </c>
      <c r="B177" s="4" t="s">
        <v>39</v>
      </c>
      <c r="C177" s="4" t="s">
        <v>40</v>
      </c>
      <c r="D177" s="4" t="s">
        <v>38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44378</v>
      </c>
      <c r="J177" s="6">
        <v>115</v>
      </c>
      <c r="K177" s="6">
        <v>115</v>
      </c>
      <c r="L177" s="6">
        <v>3.6080000000000001</v>
      </c>
      <c r="M177" s="6">
        <v>3.6080000000000001</v>
      </c>
      <c r="N177" s="6">
        <v>3.6080000000000001</v>
      </c>
      <c r="O177" s="6">
        <v>3.6080000000000001</v>
      </c>
      <c r="P177" s="6">
        <v>0</v>
      </c>
      <c r="Q177" s="4" t="s">
        <v>26</v>
      </c>
      <c r="R177" s="4">
        <v>0</v>
      </c>
      <c r="S177" s="4" t="s">
        <v>187</v>
      </c>
      <c r="T177" s="4" t="s">
        <v>500</v>
      </c>
      <c r="U177" s="4">
        <v>9</v>
      </c>
      <c r="V177" s="4">
        <v>11</v>
      </c>
      <c r="W177" s="4">
        <v>67</v>
      </c>
    </row>
    <row r="178" spans="1:23" ht="11.25" customHeight="1" x14ac:dyDescent="0.25">
      <c r="A178" s="4" t="s">
        <v>21</v>
      </c>
      <c r="B178" s="4" t="s">
        <v>39</v>
      </c>
      <c r="C178" s="4" t="s">
        <v>40</v>
      </c>
      <c r="D178" s="4" t="s">
        <v>38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44409</v>
      </c>
      <c r="J178" s="6">
        <v>115</v>
      </c>
      <c r="K178" s="6">
        <v>115</v>
      </c>
      <c r="L178" s="6">
        <v>4.1680000000000001</v>
      </c>
      <c r="M178" s="6">
        <v>4.1680000000000001</v>
      </c>
      <c r="N178" s="6">
        <v>4.1680000000000001</v>
      </c>
      <c r="O178" s="6">
        <v>4.1680000000000001</v>
      </c>
      <c r="P178" s="6">
        <v>0</v>
      </c>
      <c r="Q178" s="4" t="s">
        <v>26</v>
      </c>
      <c r="R178" s="4">
        <v>0</v>
      </c>
      <c r="S178" s="4" t="s">
        <v>188</v>
      </c>
      <c r="T178" s="4" t="s">
        <v>501</v>
      </c>
      <c r="U178" s="4">
        <v>9</v>
      </c>
      <c r="V178" s="4">
        <v>11</v>
      </c>
      <c r="W178" s="4">
        <v>67</v>
      </c>
    </row>
    <row r="179" spans="1:23" ht="11.25" customHeight="1" x14ac:dyDescent="0.25">
      <c r="A179" s="4" t="s">
        <v>21</v>
      </c>
      <c r="B179" s="4" t="s">
        <v>39</v>
      </c>
      <c r="C179" s="4" t="s">
        <v>40</v>
      </c>
      <c r="D179" s="4" t="s">
        <v>38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44440</v>
      </c>
      <c r="J179" s="6">
        <v>115</v>
      </c>
      <c r="K179" s="6">
        <v>115</v>
      </c>
      <c r="L179" s="6">
        <v>4.1680000000000001</v>
      </c>
      <c r="M179" s="6">
        <v>4.1680000000000001</v>
      </c>
      <c r="N179" s="6">
        <v>4.1680000000000001</v>
      </c>
      <c r="O179" s="6">
        <v>4.1680000000000001</v>
      </c>
      <c r="P179" s="6">
        <v>0</v>
      </c>
      <c r="Q179" s="4" t="s">
        <v>26</v>
      </c>
      <c r="R179" s="4">
        <v>0</v>
      </c>
      <c r="S179" s="4" t="s">
        <v>189</v>
      </c>
      <c r="T179" s="4" t="s">
        <v>502</v>
      </c>
      <c r="U179" s="4">
        <v>9</v>
      </c>
      <c r="V179" s="4">
        <v>11</v>
      </c>
      <c r="W179" s="4">
        <v>67</v>
      </c>
    </row>
    <row r="180" spans="1:23" ht="11.25" customHeight="1" x14ac:dyDescent="0.25">
      <c r="A180" s="4" t="s">
        <v>21</v>
      </c>
      <c r="B180" s="4" t="s">
        <v>39</v>
      </c>
      <c r="C180" s="4" t="s">
        <v>40</v>
      </c>
      <c r="D180" s="4" t="s">
        <v>38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44470</v>
      </c>
      <c r="J180" s="6">
        <v>115</v>
      </c>
      <c r="K180" s="6">
        <v>115</v>
      </c>
      <c r="L180" s="6">
        <v>3.758</v>
      </c>
      <c r="M180" s="6">
        <v>3.758</v>
      </c>
      <c r="N180" s="6">
        <v>3.758</v>
      </c>
      <c r="O180" s="6">
        <v>3.758</v>
      </c>
      <c r="P180" s="6">
        <v>0</v>
      </c>
      <c r="Q180" s="4" t="s">
        <v>26</v>
      </c>
      <c r="R180" s="4">
        <v>0</v>
      </c>
      <c r="S180" s="4" t="s">
        <v>190</v>
      </c>
      <c r="T180" s="4" t="s">
        <v>503</v>
      </c>
      <c r="U180" s="4">
        <v>9</v>
      </c>
      <c r="V180" s="4">
        <v>11</v>
      </c>
      <c r="W180" s="4">
        <v>67</v>
      </c>
    </row>
    <row r="181" spans="1:23" ht="11.25" customHeight="1" x14ac:dyDescent="0.25">
      <c r="A181" s="4" t="s">
        <v>21</v>
      </c>
      <c r="B181" s="4" t="s">
        <v>39</v>
      </c>
      <c r="C181" s="4" t="s">
        <v>40</v>
      </c>
      <c r="D181" s="4" t="s">
        <v>38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44501</v>
      </c>
      <c r="J181" s="6">
        <v>115</v>
      </c>
      <c r="K181" s="6">
        <v>115</v>
      </c>
      <c r="L181" s="6">
        <v>3.84</v>
      </c>
      <c r="M181" s="6">
        <v>3.84</v>
      </c>
      <c r="N181" s="6">
        <v>3.84</v>
      </c>
      <c r="O181" s="6">
        <v>3.84</v>
      </c>
      <c r="P181" s="6">
        <v>0</v>
      </c>
      <c r="Q181" s="4" t="s">
        <v>26</v>
      </c>
      <c r="R181" s="4">
        <v>0</v>
      </c>
      <c r="S181" s="4" t="s">
        <v>191</v>
      </c>
      <c r="T181" s="4" t="s">
        <v>504</v>
      </c>
      <c r="U181" s="4">
        <v>9</v>
      </c>
      <c r="V181" s="4">
        <v>11</v>
      </c>
      <c r="W181" s="4">
        <v>67</v>
      </c>
    </row>
    <row r="182" spans="1:23" ht="11.25" customHeight="1" x14ac:dyDescent="0.25">
      <c r="A182" s="4" t="s">
        <v>21</v>
      </c>
      <c r="B182" s="4" t="s">
        <v>39</v>
      </c>
      <c r="C182" s="4" t="s">
        <v>40</v>
      </c>
      <c r="D182" s="4" t="s">
        <v>38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44531</v>
      </c>
      <c r="J182" s="6">
        <v>115</v>
      </c>
      <c r="K182" s="6">
        <v>115</v>
      </c>
      <c r="L182" s="6">
        <v>4.0039999999999996</v>
      </c>
      <c r="M182" s="6">
        <v>4.0039999999999996</v>
      </c>
      <c r="N182" s="6">
        <v>4.0039999999999996</v>
      </c>
      <c r="O182" s="6">
        <v>4.0039999999999996</v>
      </c>
      <c r="P182" s="6">
        <v>0</v>
      </c>
      <c r="Q182" s="4" t="s">
        <v>26</v>
      </c>
      <c r="R182" s="4">
        <v>0</v>
      </c>
      <c r="S182" s="4" t="s">
        <v>192</v>
      </c>
      <c r="T182" s="4" t="s">
        <v>505</v>
      </c>
      <c r="U182" s="4">
        <v>9</v>
      </c>
      <c r="V182" s="4">
        <v>11</v>
      </c>
      <c r="W182" s="4">
        <v>67</v>
      </c>
    </row>
    <row r="183" spans="1:23" ht="11.25" customHeight="1" x14ac:dyDescent="0.25">
      <c r="A183" s="4" t="s">
        <v>55</v>
      </c>
      <c r="B183" s="4" t="s">
        <v>39</v>
      </c>
      <c r="C183" s="4" t="s">
        <v>40</v>
      </c>
      <c r="D183" s="4" t="s">
        <v>38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44562</v>
      </c>
      <c r="J183" s="6">
        <v>115</v>
      </c>
      <c r="K183" s="6">
        <v>115</v>
      </c>
      <c r="L183" s="6">
        <v>4.0039999999999996</v>
      </c>
      <c r="M183" s="6">
        <v>4.0039999999999996</v>
      </c>
      <c r="N183" s="6">
        <v>4.0039999999999996</v>
      </c>
      <c r="O183" s="6">
        <v>4.0039999999999996</v>
      </c>
      <c r="P183" s="6">
        <v>0</v>
      </c>
      <c r="Q183" s="4" t="s">
        <v>26</v>
      </c>
      <c r="R183" s="4">
        <v>0</v>
      </c>
      <c r="S183" s="4" t="s">
        <v>193</v>
      </c>
      <c r="T183" s="4" t="s">
        <v>506</v>
      </c>
      <c r="U183" s="4">
        <v>9</v>
      </c>
      <c r="V183" s="4">
        <v>11</v>
      </c>
      <c r="W183" s="4">
        <v>67</v>
      </c>
    </row>
    <row r="184" spans="1:23" ht="11.25" customHeight="1" x14ac:dyDescent="0.25">
      <c r="A184" s="4" t="s">
        <v>21</v>
      </c>
      <c r="B184" s="4" t="s">
        <v>39</v>
      </c>
      <c r="C184" s="4" t="s">
        <v>40</v>
      </c>
      <c r="D184" s="4" t="s">
        <v>45</v>
      </c>
      <c r="E184" s="4" t="s">
        <v>25</v>
      </c>
      <c r="F184" s="4" t="s">
        <v>25</v>
      </c>
      <c r="G184" s="4" t="s">
        <v>25</v>
      </c>
      <c r="H184" s="4" t="s">
        <v>35</v>
      </c>
      <c r="I184" s="5">
        <v>44228</v>
      </c>
      <c r="J184" s="6">
        <v>469</v>
      </c>
      <c r="K184" s="6">
        <v>469</v>
      </c>
      <c r="L184" s="6">
        <v>55.271000000000001</v>
      </c>
      <c r="M184" s="6">
        <v>55.271000000000001</v>
      </c>
      <c r="N184" s="6">
        <v>55.271000000000001</v>
      </c>
      <c r="O184" s="6">
        <v>55.271000000000001</v>
      </c>
      <c r="P184" s="6">
        <v>0</v>
      </c>
      <c r="Q184" s="4" t="s">
        <v>26</v>
      </c>
      <c r="R184" s="4">
        <v>0</v>
      </c>
      <c r="S184" s="4" t="s">
        <v>170</v>
      </c>
      <c r="T184" s="4" t="s">
        <v>483</v>
      </c>
      <c r="U184" s="4">
        <v>10</v>
      </c>
      <c r="V184" s="4">
        <v>11</v>
      </c>
      <c r="W184" s="4">
        <v>68</v>
      </c>
    </row>
    <row r="185" spans="1:23" ht="11.25" customHeight="1" x14ac:dyDescent="0.25">
      <c r="A185" s="4" t="s">
        <v>21</v>
      </c>
      <c r="B185" s="4" t="s">
        <v>39</v>
      </c>
      <c r="C185" s="4" t="s">
        <v>40</v>
      </c>
      <c r="D185" s="4" t="s">
        <v>45</v>
      </c>
      <c r="E185" s="4" t="s">
        <v>25</v>
      </c>
      <c r="F185" s="4" t="s">
        <v>25</v>
      </c>
      <c r="G185" s="4" t="s">
        <v>25</v>
      </c>
      <c r="H185" s="4" t="s">
        <v>35</v>
      </c>
      <c r="I185" s="5">
        <v>44256</v>
      </c>
      <c r="J185" s="6">
        <v>471</v>
      </c>
      <c r="K185" s="6">
        <v>471</v>
      </c>
      <c r="L185" s="6">
        <v>57.054000000000002</v>
      </c>
      <c r="M185" s="6">
        <v>57.054000000000002</v>
      </c>
      <c r="N185" s="6">
        <v>57.054000000000002</v>
      </c>
      <c r="O185" s="6">
        <v>57.054000000000002</v>
      </c>
      <c r="P185" s="6">
        <v>0</v>
      </c>
      <c r="Q185" s="4" t="s">
        <v>26</v>
      </c>
      <c r="R185" s="4">
        <v>0</v>
      </c>
      <c r="S185" s="4" t="s">
        <v>171</v>
      </c>
      <c r="T185" s="4" t="s">
        <v>484</v>
      </c>
      <c r="U185" s="4">
        <v>10</v>
      </c>
      <c r="V185" s="4">
        <v>11</v>
      </c>
      <c r="W185" s="4">
        <v>68</v>
      </c>
    </row>
    <row r="186" spans="1:23" ht="11.25" customHeight="1" x14ac:dyDescent="0.25">
      <c r="A186" s="4" t="s">
        <v>21</v>
      </c>
      <c r="B186" s="4" t="s">
        <v>39</v>
      </c>
      <c r="C186" s="4" t="s">
        <v>40</v>
      </c>
      <c r="D186" s="4" t="s">
        <v>45</v>
      </c>
      <c r="E186" s="4" t="s">
        <v>25</v>
      </c>
      <c r="F186" s="4" t="s">
        <v>25</v>
      </c>
      <c r="G186" s="4" t="s">
        <v>25</v>
      </c>
      <c r="H186" s="4" t="s">
        <v>35</v>
      </c>
      <c r="I186" s="5">
        <v>44287</v>
      </c>
      <c r="J186" s="6">
        <v>470</v>
      </c>
      <c r="K186" s="6">
        <v>470</v>
      </c>
      <c r="L186" s="6">
        <v>60.46</v>
      </c>
      <c r="M186" s="6">
        <v>60.46</v>
      </c>
      <c r="N186" s="6">
        <v>60.46</v>
      </c>
      <c r="O186" s="6">
        <v>60.46</v>
      </c>
      <c r="P186" s="6">
        <v>0</v>
      </c>
      <c r="Q186" s="4" t="s">
        <v>26</v>
      </c>
      <c r="R186" s="4">
        <v>0</v>
      </c>
      <c r="S186" s="4" t="s">
        <v>172</v>
      </c>
      <c r="T186" s="4" t="s">
        <v>485</v>
      </c>
      <c r="U186" s="4">
        <v>10</v>
      </c>
      <c r="V186" s="4">
        <v>11</v>
      </c>
      <c r="W186" s="4">
        <v>68</v>
      </c>
    </row>
    <row r="187" spans="1:23" ht="11.25" customHeight="1" x14ac:dyDescent="0.25">
      <c r="A187" s="4" t="s">
        <v>21</v>
      </c>
      <c r="B187" s="4" t="s">
        <v>39</v>
      </c>
      <c r="C187" s="4" t="s">
        <v>40</v>
      </c>
      <c r="D187" s="4" t="s">
        <v>45</v>
      </c>
      <c r="E187" s="4" t="s">
        <v>25</v>
      </c>
      <c r="F187" s="4" t="s">
        <v>25</v>
      </c>
      <c r="G187" s="4" t="s">
        <v>25</v>
      </c>
      <c r="H187" s="4" t="s">
        <v>35</v>
      </c>
      <c r="I187" s="5">
        <v>44317</v>
      </c>
      <c r="J187" s="6">
        <v>468</v>
      </c>
      <c r="K187" s="6">
        <v>468</v>
      </c>
      <c r="L187" s="6">
        <v>54.082999999999998</v>
      </c>
      <c r="M187" s="6">
        <v>54.082999999999998</v>
      </c>
      <c r="N187" s="6">
        <v>54.082999999999998</v>
      </c>
      <c r="O187" s="6">
        <v>54.082999999999998</v>
      </c>
      <c r="P187" s="6">
        <v>0</v>
      </c>
      <c r="Q187" s="4" t="s">
        <v>26</v>
      </c>
      <c r="R187" s="4">
        <v>0</v>
      </c>
      <c r="S187" s="4" t="s">
        <v>173</v>
      </c>
      <c r="T187" s="4" t="s">
        <v>486</v>
      </c>
      <c r="U187" s="4">
        <v>10</v>
      </c>
      <c r="V187" s="4">
        <v>11</v>
      </c>
      <c r="W187" s="4">
        <v>68</v>
      </c>
    </row>
    <row r="188" spans="1:23" ht="11.25" customHeight="1" x14ac:dyDescent="0.25">
      <c r="A188" s="4" t="s">
        <v>21</v>
      </c>
      <c r="B188" s="4" t="s">
        <v>39</v>
      </c>
      <c r="C188" s="4" t="s">
        <v>40</v>
      </c>
      <c r="D188" s="4" t="s">
        <v>45</v>
      </c>
      <c r="E188" s="4" t="s">
        <v>25</v>
      </c>
      <c r="F188" s="4" t="s">
        <v>25</v>
      </c>
      <c r="G188" s="4" t="s">
        <v>25</v>
      </c>
      <c r="H188" s="4" t="s">
        <v>35</v>
      </c>
      <c r="I188" s="5">
        <v>44348</v>
      </c>
      <c r="J188" s="6">
        <v>465</v>
      </c>
      <c r="K188" s="6">
        <v>465</v>
      </c>
      <c r="L188" s="6">
        <v>57.091000000000001</v>
      </c>
      <c r="M188" s="6">
        <v>57.091000000000001</v>
      </c>
      <c r="N188" s="6">
        <v>57.091000000000001</v>
      </c>
      <c r="O188" s="6">
        <v>57.091000000000001</v>
      </c>
      <c r="P188" s="6">
        <v>0</v>
      </c>
      <c r="Q188" s="4" t="s">
        <v>26</v>
      </c>
      <c r="R188" s="4">
        <v>0</v>
      </c>
      <c r="S188" s="4" t="s">
        <v>174</v>
      </c>
      <c r="T188" s="4" t="s">
        <v>487</v>
      </c>
      <c r="U188" s="4">
        <v>10</v>
      </c>
      <c r="V188" s="4">
        <v>11</v>
      </c>
      <c r="W188" s="4">
        <v>68</v>
      </c>
    </row>
    <row r="189" spans="1:23" ht="11.25" customHeight="1" x14ac:dyDescent="0.25">
      <c r="A189" s="4" t="s">
        <v>21</v>
      </c>
      <c r="B189" s="4" t="s">
        <v>39</v>
      </c>
      <c r="C189" s="4" t="s">
        <v>40</v>
      </c>
      <c r="D189" s="4" t="s">
        <v>45</v>
      </c>
      <c r="E189" s="4" t="s">
        <v>25</v>
      </c>
      <c r="F189" s="4" t="s">
        <v>25</v>
      </c>
      <c r="G189" s="4" t="s">
        <v>25</v>
      </c>
      <c r="H189" s="4" t="s">
        <v>35</v>
      </c>
      <c r="I189" s="5">
        <v>44378</v>
      </c>
      <c r="J189" s="6">
        <v>464</v>
      </c>
      <c r="K189" s="6">
        <v>464</v>
      </c>
      <c r="L189" s="6">
        <v>47.957000000000001</v>
      </c>
      <c r="M189" s="6">
        <v>47.957000000000001</v>
      </c>
      <c r="N189" s="6">
        <v>47.957000000000001</v>
      </c>
      <c r="O189" s="6">
        <v>47.957000000000001</v>
      </c>
      <c r="P189" s="6">
        <v>0</v>
      </c>
      <c r="Q189" s="4" t="s">
        <v>26</v>
      </c>
      <c r="R189" s="4">
        <v>0</v>
      </c>
      <c r="S189" s="4" t="s">
        <v>175</v>
      </c>
      <c r="T189" s="4" t="s">
        <v>488</v>
      </c>
      <c r="U189" s="4">
        <v>10</v>
      </c>
      <c r="V189" s="4">
        <v>11</v>
      </c>
      <c r="W189" s="4">
        <v>68</v>
      </c>
    </row>
    <row r="190" spans="1:23" ht="11.25" customHeight="1" x14ac:dyDescent="0.25">
      <c r="A190" s="4" t="s">
        <v>21</v>
      </c>
      <c r="B190" s="4" t="s">
        <v>39</v>
      </c>
      <c r="C190" s="4" t="s">
        <v>40</v>
      </c>
      <c r="D190" s="4" t="s">
        <v>45</v>
      </c>
      <c r="E190" s="4" t="s">
        <v>25</v>
      </c>
      <c r="F190" s="4" t="s">
        <v>25</v>
      </c>
      <c r="G190" s="4" t="s">
        <v>25</v>
      </c>
      <c r="H190" s="4" t="s">
        <v>35</v>
      </c>
      <c r="I190" s="5">
        <v>44409</v>
      </c>
      <c r="J190" s="6">
        <v>470</v>
      </c>
      <c r="K190" s="6">
        <v>470</v>
      </c>
      <c r="L190" s="6">
        <v>44.831000000000003</v>
      </c>
      <c r="M190" s="6">
        <v>44.831000000000003</v>
      </c>
      <c r="N190" s="6">
        <v>44.831000000000003</v>
      </c>
      <c r="O190" s="6">
        <v>44.831000000000003</v>
      </c>
      <c r="P190" s="6">
        <v>0</v>
      </c>
      <c r="Q190" s="4" t="s">
        <v>26</v>
      </c>
      <c r="R190" s="4">
        <v>0</v>
      </c>
      <c r="S190" s="4" t="s">
        <v>176</v>
      </c>
      <c r="T190" s="4" t="s">
        <v>489</v>
      </c>
      <c r="U190" s="4">
        <v>10</v>
      </c>
      <c r="V190" s="4">
        <v>11</v>
      </c>
      <c r="W190" s="4">
        <v>68</v>
      </c>
    </row>
    <row r="191" spans="1:23" ht="11.25" customHeight="1" x14ac:dyDescent="0.25">
      <c r="A191" s="4" t="s">
        <v>21</v>
      </c>
      <c r="B191" s="4" t="s">
        <v>39</v>
      </c>
      <c r="C191" s="4" t="s">
        <v>40</v>
      </c>
      <c r="D191" s="4" t="s">
        <v>45</v>
      </c>
      <c r="E191" s="4" t="s">
        <v>25</v>
      </c>
      <c r="F191" s="4" t="s">
        <v>25</v>
      </c>
      <c r="G191" s="4" t="s">
        <v>25</v>
      </c>
      <c r="H191" s="4" t="s">
        <v>35</v>
      </c>
      <c r="I191" s="5">
        <v>44440</v>
      </c>
      <c r="J191" s="6">
        <v>465</v>
      </c>
      <c r="K191" s="6">
        <v>465</v>
      </c>
      <c r="L191" s="6">
        <v>46.805999999999997</v>
      </c>
      <c r="M191" s="6">
        <v>46.805999999999997</v>
      </c>
      <c r="N191" s="6">
        <v>46.805999999999997</v>
      </c>
      <c r="O191" s="6">
        <v>46.805999999999997</v>
      </c>
      <c r="P191" s="6">
        <v>0</v>
      </c>
      <c r="Q191" s="4" t="s">
        <v>26</v>
      </c>
      <c r="R191" s="4">
        <v>0</v>
      </c>
      <c r="S191" s="4" t="s">
        <v>177</v>
      </c>
      <c r="T191" s="4" t="s">
        <v>490</v>
      </c>
      <c r="U191" s="4">
        <v>10</v>
      </c>
      <c r="V191" s="4">
        <v>11</v>
      </c>
      <c r="W191" s="4">
        <v>68</v>
      </c>
    </row>
    <row r="192" spans="1:23" ht="11.25" customHeight="1" x14ac:dyDescent="0.25">
      <c r="A192" s="4" t="s">
        <v>21</v>
      </c>
      <c r="B192" s="4" t="s">
        <v>39</v>
      </c>
      <c r="C192" s="4" t="s">
        <v>40</v>
      </c>
      <c r="D192" s="4" t="s">
        <v>45</v>
      </c>
      <c r="E192" s="4" t="s">
        <v>25</v>
      </c>
      <c r="F192" s="4" t="s">
        <v>25</v>
      </c>
      <c r="G192" s="4" t="s">
        <v>25</v>
      </c>
      <c r="H192" s="4" t="s">
        <v>35</v>
      </c>
      <c r="I192" s="5">
        <v>44470</v>
      </c>
      <c r="J192" s="6">
        <v>468</v>
      </c>
      <c r="K192" s="6">
        <v>468</v>
      </c>
      <c r="L192" s="6">
        <v>52.966000000000001</v>
      </c>
      <c r="M192" s="6">
        <v>52.966000000000001</v>
      </c>
      <c r="N192" s="6">
        <v>52.966000000000001</v>
      </c>
      <c r="O192" s="6">
        <v>52.966000000000001</v>
      </c>
      <c r="P192" s="6">
        <v>0</v>
      </c>
      <c r="Q192" s="4" t="s">
        <v>26</v>
      </c>
      <c r="R192" s="4">
        <v>0</v>
      </c>
      <c r="S192" s="4" t="s">
        <v>178</v>
      </c>
      <c r="T192" s="4" t="s">
        <v>491</v>
      </c>
      <c r="U192" s="4">
        <v>10</v>
      </c>
      <c r="V192" s="4">
        <v>11</v>
      </c>
      <c r="W192" s="4">
        <v>68</v>
      </c>
    </row>
    <row r="193" spans="1:23" ht="11.25" customHeight="1" x14ac:dyDescent="0.25">
      <c r="A193" s="4" t="s">
        <v>21</v>
      </c>
      <c r="B193" s="4" t="s">
        <v>39</v>
      </c>
      <c r="C193" s="4" t="s">
        <v>40</v>
      </c>
      <c r="D193" s="4" t="s">
        <v>45</v>
      </c>
      <c r="E193" s="4" t="s">
        <v>25</v>
      </c>
      <c r="F193" s="4" t="s">
        <v>25</v>
      </c>
      <c r="G193" s="4" t="s">
        <v>25</v>
      </c>
      <c r="H193" s="4" t="s">
        <v>35</v>
      </c>
      <c r="I193" s="5">
        <v>44501</v>
      </c>
      <c r="J193" s="6">
        <v>468</v>
      </c>
      <c r="K193" s="6">
        <v>468</v>
      </c>
      <c r="L193" s="6">
        <v>58.508000000000003</v>
      </c>
      <c r="M193" s="6">
        <v>58.508000000000003</v>
      </c>
      <c r="N193" s="6">
        <v>58.508000000000003</v>
      </c>
      <c r="O193" s="6">
        <v>58.508000000000003</v>
      </c>
      <c r="P193" s="6">
        <v>0</v>
      </c>
      <c r="Q193" s="4" t="s">
        <v>26</v>
      </c>
      <c r="R193" s="4">
        <v>0</v>
      </c>
      <c r="S193" s="4" t="s">
        <v>179</v>
      </c>
      <c r="T193" s="4" t="s">
        <v>492</v>
      </c>
      <c r="U193" s="4">
        <v>10</v>
      </c>
      <c r="V193" s="4">
        <v>11</v>
      </c>
      <c r="W193" s="4">
        <v>68</v>
      </c>
    </row>
    <row r="194" spans="1:23" ht="11.25" customHeight="1" x14ac:dyDescent="0.25">
      <c r="A194" s="4" t="s">
        <v>21</v>
      </c>
      <c r="B194" s="4" t="s">
        <v>39</v>
      </c>
      <c r="C194" s="4" t="s">
        <v>40</v>
      </c>
      <c r="D194" s="4" t="s">
        <v>45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44531</v>
      </c>
      <c r="J194" s="6">
        <v>470</v>
      </c>
      <c r="K194" s="6">
        <v>470</v>
      </c>
      <c r="L194" s="6">
        <v>60.901000000000003</v>
      </c>
      <c r="M194" s="6">
        <v>60.901000000000003</v>
      </c>
      <c r="N194" s="6">
        <v>60.901000000000003</v>
      </c>
      <c r="O194" s="6">
        <v>60.901000000000003</v>
      </c>
      <c r="P194" s="6">
        <v>0</v>
      </c>
      <c r="Q194" s="4" t="s">
        <v>26</v>
      </c>
      <c r="R194" s="4">
        <v>0</v>
      </c>
      <c r="S194" s="4" t="s">
        <v>180</v>
      </c>
      <c r="T194" s="4" t="s">
        <v>493</v>
      </c>
      <c r="U194" s="4">
        <v>10</v>
      </c>
      <c r="V194" s="4">
        <v>11</v>
      </c>
      <c r="W194" s="4">
        <v>68</v>
      </c>
    </row>
    <row r="195" spans="1:23" ht="11.25" customHeight="1" x14ac:dyDescent="0.25">
      <c r="A195" s="4" t="s">
        <v>55</v>
      </c>
      <c r="B195" s="4" t="s">
        <v>39</v>
      </c>
      <c r="C195" s="4" t="s">
        <v>40</v>
      </c>
      <c r="D195" s="4" t="s">
        <v>45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44562</v>
      </c>
      <c r="J195" s="6">
        <v>470</v>
      </c>
      <c r="K195" s="6">
        <v>470</v>
      </c>
      <c r="L195" s="6">
        <v>60.901000000000003</v>
      </c>
      <c r="M195" s="6">
        <v>60.901000000000003</v>
      </c>
      <c r="N195" s="6">
        <v>60.901000000000003</v>
      </c>
      <c r="O195" s="6">
        <v>60.901000000000003</v>
      </c>
      <c r="P195" s="6">
        <v>0</v>
      </c>
      <c r="Q195" s="4" t="s">
        <v>26</v>
      </c>
      <c r="R195" s="4">
        <v>0</v>
      </c>
      <c r="S195" s="4" t="s">
        <v>181</v>
      </c>
      <c r="T195" s="4" t="s">
        <v>494</v>
      </c>
      <c r="U195" s="4">
        <v>10</v>
      </c>
      <c r="V195" s="4">
        <v>11</v>
      </c>
      <c r="W195" s="4">
        <v>68</v>
      </c>
    </row>
    <row r="196" spans="1:23" ht="11.25" customHeight="1" x14ac:dyDescent="0.25">
      <c r="A196" s="4" t="s">
        <v>21</v>
      </c>
      <c r="B196" s="4" t="s">
        <v>39</v>
      </c>
      <c r="C196" s="4" t="s">
        <v>40</v>
      </c>
      <c r="D196" s="4" t="s">
        <v>45</v>
      </c>
      <c r="E196" s="4" t="s">
        <v>25</v>
      </c>
      <c r="F196" s="4" t="s">
        <v>25</v>
      </c>
      <c r="G196" s="4" t="s">
        <v>25</v>
      </c>
      <c r="H196" s="4" t="s">
        <v>34</v>
      </c>
      <c r="I196" s="5">
        <v>44228</v>
      </c>
      <c r="J196" s="6">
        <v>337</v>
      </c>
      <c r="K196" s="6">
        <v>337</v>
      </c>
      <c r="L196" s="6">
        <v>5.6589999999999998</v>
      </c>
      <c r="M196" s="6">
        <v>5.6589999999999998</v>
      </c>
      <c r="N196" s="6">
        <v>5.6589999999999998</v>
      </c>
      <c r="O196" s="6">
        <v>5.6589999999999998</v>
      </c>
      <c r="P196" s="6">
        <v>0</v>
      </c>
      <c r="Q196" s="4" t="s">
        <v>26</v>
      </c>
      <c r="R196" s="4">
        <v>0</v>
      </c>
      <c r="S196" s="4" t="s">
        <v>182</v>
      </c>
      <c r="T196" s="4" t="s">
        <v>495</v>
      </c>
      <c r="U196" s="4">
        <v>9</v>
      </c>
      <c r="V196" s="4">
        <v>11</v>
      </c>
      <c r="W196" s="4">
        <v>67</v>
      </c>
    </row>
    <row r="197" spans="1:23" ht="11.25" customHeight="1" x14ac:dyDescent="0.25">
      <c r="A197" s="4" t="s">
        <v>21</v>
      </c>
      <c r="B197" s="4" t="s">
        <v>39</v>
      </c>
      <c r="C197" s="4" t="s">
        <v>40</v>
      </c>
      <c r="D197" s="4" t="s">
        <v>45</v>
      </c>
      <c r="E197" s="4" t="s">
        <v>25</v>
      </c>
      <c r="F197" s="4" t="s">
        <v>25</v>
      </c>
      <c r="G197" s="4" t="s">
        <v>25</v>
      </c>
      <c r="H197" s="4" t="s">
        <v>34</v>
      </c>
      <c r="I197" s="5">
        <v>44256</v>
      </c>
      <c r="J197" s="6">
        <v>340</v>
      </c>
      <c r="K197" s="6">
        <v>340</v>
      </c>
      <c r="L197" s="6">
        <v>6.0730000000000004</v>
      </c>
      <c r="M197" s="6">
        <v>6.0730000000000004</v>
      </c>
      <c r="N197" s="6">
        <v>6.0730000000000004</v>
      </c>
      <c r="O197" s="6">
        <v>6.0730000000000004</v>
      </c>
      <c r="P197" s="6">
        <v>0</v>
      </c>
      <c r="Q197" s="4" t="s">
        <v>26</v>
      </c>
      <c r="R197" s="4">
        <v>0</v>
      </c>
      <c r="S197" s="4" t="s">
        <v>183</v>
      </c>
      <c r="T197" s="4" t="s">
        <v>496</v>
      </c>
      <c r="U197" s="4">
        <v>9</v>
      </c>
      <c r="V197" s="4">
        <v>11</v>
      </c>
      <c r="W197" s="4">
        <v>67</v>
      </c>
    </row>
    <row r="198" spans="1:23" ht="11.25" customHeight="1" x14ac:dyDescent="0.25">
      <c r="A198" s="4" t="s">
        <v>21</v>
      </c>
      <c r="B198" s="4" t="s">
        <v>39</v>
      </c>
      <c r="C198" s="4" t="s">
        <v>40</v>
      </c>
      <c r="D198" s="4" t="s">
        <v>45</v>
      </c>
      <c r="E198" s="4" t="s">
        <v>25</v>
      </c>
      <c r="F198" s="4" t="s">
        <v>25</v>
      </c>
      <c r="G198" s="4" t="s">
        <v>25</v>
      </c>
      <c r="H198" s="4" t="s">
        <v>34</v>
      </c>
      <c r="I198" s="5">
        <v>44287</v>
      </c>
      <c r="J198" s="6">
        <v>338</v>
      </c>
      <c r="K198" s="6">
        <v>338</v>
      </c>
      <c r="L198" s="6">
        <v>5.1970000000000001</v>
      </c>
      <c r="M198" s="6">
        <v>5.1970000000000001</v>
      </c>
      <c r="N198" s="6">
        <v>5.1970000000000001</v>
      </c>
      <c r="O198" s="6">
        <v>5.1970000000000001</v>
      </c>
      <c r="P198" s="6">
        <v>0</v>
      </c>
      <c r="Q198" s="4" t="s">
        <v>26</v>
      </c>
      <c r="R198" s="4">
        <v>0</v>
      </c>
      <c r="S198" s="4" t="s">
        <v>184</v>
      </c>
      <c r="T198" s="4" t="s">
        <v>497</v>
      </c>
      <c r="U198" s="4">
        <v>9</v>
      </c>
      <c r="V198" s="4">
        <v>11</v>
      </c>
      <c r="W198" s="4">
        <v>67</v>
      </c>
    </row>
    <row r="199" spans="1:23" ht="11.25" customHeight="1" x14ac:dyDescent="0.25">
      <c r="A199" s="4" t="s">
        <v>21</v>
      </c>
      <c r="B199" s="4" t="s">
        <v>39</v>
      </c>
      <c r="C199" s="4" t="s">
        <v>40</v>
      </c>
      <c r="D199" s="4" t="s">
        <v>45</v>
      </c>
      <c r="E199" s="4" t="s">
        <v>25</v>
      </c>
      <c r="F199" s="4" t="s">
        <v>25</v>
      </c>
      <c r="G199" s="4" t="s">
        <v>25</v>
      </c>
      <c r="H199" s="4" t="s">
        <v>34</v>
      </c>
      <c r="I199" s="5">
        <v>44317</v>
      </c>
      <c r="J199" s="6">
        <v>337</v>
      </c>
      <c r="K199" s="6">
        <v>337</v>
      </c>
      <c r="L199" s="6">
        <v>5.585</v>
      </c>
      <c r="M199" s="6">
        <v>5.585</v>
      </c>
      <c r="N199" s="6">
        <v>5.585</v>
      </c>
      <c r="O199" s="6">
        <v>5.585</v>
      </c>
      <c r="P199" s="6">
        <v>0</v>
      </c>
      <c r="Q199" s="4" t="s">
        <v>26</v>
      </c>
      <c r="R199" s="4">
        <v>0</v>
      </c>
      <c r="S199" s="4" t="s">
        <v>185</v>
      </c>
      <c r="T199" s="4" t="s">
        <v>498</v>
      </c>
      <c r="U199" s="4">
        <v>9</v>
      </c>
      <c r="V199" s="4">
        <v>11</v>
      </c>
      <c r="W199" s="4">
        <v>67</v>
      </c>
    </row>
    <row r="200" spans="1:23" ht="11.25" customHeight="1" x14ac:dyDescent="0.25">
      <c r="A200" s="4" t="s">
        <v>21</v>
      </c>
      <c r="B200" s="4" t="s">
        <v>39</v>
      </c>
      <c r="C200" s="4" t="s">
        <v>40</v>
      </c>
      <c r="D200" s="4" t="s">
        <v>45</v>
      </c>
      <c r="E200" s="4" t="s">
        <v>25</v>
      </c>
      <c r="F200" s="4" t="s">
        <v>25</v>
      </c>
      <c r="G200" s="4" t="s">
        <v>25</v>
      </c>
      <c r="H200" s="4" t="s">
        <v>34</v>
      </c>
      <c r="I200" s="5">
        <v>44348</v>
      </c>
      <c r="J200" s="6">
        <v>336</v>
      </c>
      <c r="K200" s="6">
        <v>336</v>
      </c>
      <c r="L200" s="6">
        <v>5.4820000000000002</v>
      </c>
      <c r="M200" s="6">
        <v>5.4820000000000002</v>
      </c>
      <c r="N200" s="6">
        <v>5.4820000000000002</v>
      </c>
      <c r="O200" s="6">
        <v>5.4820000000000002</v>
      </c>
      <c r="P200" s="6">
        <v>0</v>
      </c>
      <c r="Q200" s="4" t="s">
        <v>26</v>
      </c>
      <c r="R200" s="4">
        <v>0</v>
      </c>
      <c r="S200" s="4" t="s">
        <v>186</v>
      </c>
      <c r="T200" s="4" t="s">
        <v>499</v>
      </c>
      <c r="U200" s="4">
        <v>9</v>
      </c>
      <c r="V200" s="4">
        <v>11</v>
      </c>
      <c r="W200" s="4">
        <v>67</v>
      </c>
    </row>
    <row r="201" spans="1:23" ht="11.25" customHeight="1" x14ac:dyDescent="0.25">
      <c r="A201" s="4" t="s">
        <v>21</v>
      </c>
      <c r="B201" s="4" t="s">
        <v>39</v>
      </c>
      <c r="C201" s="4" t="s">
        <v>40</v>
      </c>
      <c r="D201" s="4" t="s">
        <v>45</v>
      </c>
      <c r="E201" s="4" t="s">
        <v>25</v>
      </c>
      <c r="F201" s="4" t="s">
        <v>25</v>
      </c>
      <c r="G201" s="4" t="s">
        <v>25</v>
      </c>
      <c r="H201" s="4" t="s">
        <v>34</v>
      </c>
      <c r="I201" s="5">
        <v>44378</v>
      </c>
      <c r="J201" s="6">
        <v>332</v>
      </c>
      <c r="K201" s="6">
        <v>332</v>
      </c>
      <c r="L201" s="6">
        <v>5.1219999999999999</v>
      </c>
      <c r="M201" s="6">
        <v>5.1219999999999999</v>
      </c>
      <c r="N201" s="6">
        <v>5.1219999999999999</v>
      </c>
      <c r="O201" s="6">
        <v>5.1219999999999999</v>
      </c>
      <c r="P201" s="6">
        <v>0</v>
      </c>
      <c r="Q201" s="4" t="s">
        <v>26</v>
      </c>
      <c r="R201" s="4">
        <v>0</v>
      </c>
      <c r="S201" s="4" t="s">
        <v>187</v>
      </c>
      <c r="T201" s="4" t="s">
        <v>500</v>
      </c>
      <c r="U201" s="4">
        <v>9</v>
      </c>
      <c r="V201" s="4">
        <v>11</v>
      </c>
      <c r="W201" s="4">
        <v>67</v>
      </c>
    </row>
    <row r="202" spans="1:23" ht="11.25" customHeight="1" x14ac:dyDescent="0.25">
      <c r="A202" s="4" t="s">
        <v>21</v>
      </c>
      <c r="B202" s="4" t="s">
        <v>39</v>
      </c>
      <c r="C202" s="4" t="s">
        <v>40</v>
      </c>
      <c r="D202" s="4" t="s">
        <v>45</v>
      </c>
      <c r="E202" s="4" t="s">
        <v>25</v>
      </c>
      <c r="F202" s="4" t="s">
        <v>25</v>
      </c>
      <c r="G202" s="4" t="s">
        <v>25</v>
      </c>
      <c r="H202" s="4" t="s">
        <v>34</v>
      </c>
      <c r="I202" s="5">
        <v>44409</v>
      </c>
      <c r="J202" s="6">
        <v>332</v>
      </c>
      <c r="K202" s="6">
        <v>332</v>
      </c>
      <c r="L202" s="6">
        <v>5.165</v>
      </c>
      <c r="M202" s="6">
        <v>5.165</v>
      </c>
      <c r="N202" s="6">
        <v>5.165</v>
      </c>
      <c r="O202" s="6">
        <v>5.165</v>
      </c>
      <c r="P202" s="6">
        <v>0</v>
      </c>
      <c r="Q202" s="4" t="s">
        <v>26</v>
      </c>
      <c r="R202" s="4">
        <v>0</v>
      </c>
      <c r="S202" s="4" t="s">
        <v>188</v>
      </c>
      <c r="T202" s="4" t="s">
        <v>501</v>
      </c>
      <c r="U202" s="4">
        <v>9</v>
      </c>
      <c r="V202" s="4">
        <v>11</v>
      </c>
      <c r="W202" s="4">
        <v>67</v>
      </c>
    </row>
    <row r="203" spans="1:23" ht="11.25" customHeight="1" x14ac:dyDescent="0.25">
      <c r="A203" s="4" t="s">
        <v>21</v>
      </c>
      <c r="B203" s="4" t="s">
        <v>39</v>
      </c>
      <c r="C203" s="4" t="s">
        <v>40</v>
      </c>
      <c r="D203" s="4" t="s">
        <v>45</v>
      </c>
      <c r="E203" s="4" t="s">
        <v>25</v>
      </c>
      <c r="F203" s="4" t="s">
        <v>25</v>
      </c>
      <c r="G203" s="4" t="s">
        <v>25</v>
      </c>
      <c r="H203" s="4" t="s">
        <v>34</v>
      </c>
      <c r="I203" s="5">
        <v>44440</v>
      </c>
      <c r="J203" s="6">
        <v>332</v>
      </c>
      <c r="K203" s="6">
        <v>332</v>
      </c>
      <c r="L203" s="6">
        <v>5.2670000000000003</v>
      </c>
      <c r="M203" s="6">
        <v>5.2670000000000003</v>
      </c>
      <c r="N203" s="6">
        <v>5.2670000000000003</v>
      </c>
      <c r="O203" s="6">
        <v>5.2670000000000003</v>
      </c>
      <c r="P203" s="6">
        <v>0</v>
      </c>
      <c r="Q203" s="4" t="s">
        <v>26</v>
      </c>
      <c r="R203" s="4">
        <v>0</v>
      </c>
      <c r="S203" s="4" t="s">
        <v>189</v>
      </c>
      <c r="T203" s="4" t="s">
        <v>502</v>
      </c>
      <c r="U203" s="4">
        <v>9</v>
      </c>
      <c r="V203" s="4">
        <v>11</v>
      </c>
      <c r="W203" s="4">
        <v>67</v>
      </c>
    </row>
    <row r="204" spans="1:23" ht="11.25" customHeight="1" x14ac:dyDescent="0.25">
      <c r="A204" s="4" t="s">
        <v>21</v>
      </c>
      <c r="B204" s="4" t="s">
        <v>39</v>
      </c>
      <c r="C204" s="4" t="s">
        <v>40</v>
      </c>
      <c r="D204" s="4" t="s">
        <v>45</v>
      </c>
      <c r="E204" s="4" t="s">
        <v>25</v>
      </c>
      <c r="F204" s="4" t="s">
        <v>25</v>
      </c>
      <c r="G204" s="4" t="s">
        <v>25</v>
      </c>
      <c r="H204" s="4" t="s">
        <v>34</v>
      </c>
      <c r="I204" s="5">
        <v>44470</v>
      </c>
      <c r="J204" s="6">
        <v>339</v>
      </c>
      <c r="K204" s="6">
        <v>339</v>
      </c>
      <c r="L204" s="6">
        <v>5.7130000000000001</v>
      </c>
      <c r="M204" s="6">
        <v>5.7130000000000001</v>
      </c>
      <c r="N204" s="6">
        <v>5.7130000000000001</v>
      </c>
      <c r="O204" s="6">
        <v>5.7130000000000001</v>
      </c>
      <c r="P204" s="6">
        <v>0</v>
      </c>
      <c r="Q204" s="4" t="s">
        <v>26</v>
      </c>
      <c r="R204" s="4">
        <v>0</v>
      </c>
      <c r="S204" s="4" t="s">
        <v>190</v>
      </c>
      <c r="T204" s="4" t="s">
        <v>503</v>
      </c>
      <c r="U204" s="4">
        <v>9</v>
      </c>
      <c r="V204" s="4">
        <v>11</v>
      </c>
      <c r="W204" s="4">
        <v>67</v>
      </c>
    </row>
    <row r="205" spans="1:23" ht="11.25" customHeight="1" x14ac:dyDescent="0.25">
      <c r="A205" s="4" t="s">
        <v>21</v>
      </c>
      <c r="B205" s="4" t="s">
        <v>39</v>
      </c>
      <c r="C205" s="4" t="s">
        <v>40</v>
      </c>
      <c r="D205" s="4" t="s">
        <v>45</v>
      </c>
      <c r="E205" s="4" t="s">
        <v>25</v>
      </c>
      <c r="F205" s="4" t="s">
        <v>25</v>
      </c>
      <c r="G205" s="4" t="s">
        <v>25</v>
      </c>
      <c r="H205" s="4" t="s">
        <v>34</v>
      </c>
      <c r="I205" s="5">
        <v>44501</v>
      </c>
      <c r="J205" s="6">
        <v>339</v>
      </c>
      <c r="K205" s="6">
        <v>339</v>
      </c>
      <c r="L205" s="6">
        <v>5.726</v>
      </c>
      <c r="M205" s="6">
        <v>5.726</v>
      </c>
      <c r="N205" s="6">
        <v>5.726</v>
      </c>
      <c r="O205" s="6">
        <v>5.726</v>
      </c>
      <c r="P205" s="6">
        <v>0</v>
      </c>
      <c r="Q205" s="4" t="s">
        <v>26</v>
      </c>
      <c r="R205" s="4">
        <v>0</v>
      </c>
      <c r="S205" s="4" t="s">
        <v>191</v>
      </c>
      <c r="T205" s="4" t="s">
        <v>504</v>
      </c>
      <c r="U205" s="4">
        <v>9</v>
      </c>
      <c r="V205" s="4">
        <v>11</v>
      </c>
      <c r="W205" s="4">
        <v>67</v>
      </c>
    </row>
    <row r="206" spans="1:23" ht="11.25" customHeight="1" x14ac:dyDescent="0.25">
      <c r="A206" s="4" t="s">
        <v>21</v>
      </c>
      <c r="B206" s="4" t="s">
        <v>39</v>
      </c>
      <c r="C206" s="4" t="s">
        <v>40</v>
      </c>
      <c r="D206" s="4" t="s">
        <v>45</v>
      </c>
      <c r="E206" s="4" t="s">
        <v>25</v>
      </c>
      <c r="F206" s="4" t="s">
        <v>25</v>
      </c>
      <c r="G206" s="4" t="s">
        <v>25</v>
      </c>
      <c r="H206" s="4" t="s">
        <v>34</v>
      </c>
      <c r="I206" s="5">
        <v>44531</v>
      </c>
      <c r="J206" s="6">
        <v>339</v>
      </c>
      <c r="K206" s="6">
        <v>339</v>
      </c>
      <c r="L206" s="6">
        <v>6.3410000000000002</v>
      </c>
      <c r="M206" s="6">
        <v>6.3410000000000002</v>
      </c>
      <c r="N206" s="6">
        <v>6.3410000000000002</v>
      </c>
      <c r="O206" s="6">
        <v>6.3410000000000002</v>
      </c>
      <c r="P206" s="6">
        <v>0</v>
      </c>
      <c r="Q206" s="4" t="s">
        <v>26</v>
      </c>
      <c r="R206" s="4">
        <v>0</v>
      </c>
      <c r="S206" s="4" t="s">
        <v>192</v>
      </c>
      <c r="T206" s="4" t="s">
        <v>505</v>
      </c>
      <c r="U206" s="4">
        <v>9</v>
      </c>
      <c r="V206" s="4">
        <v>11</v>
      </c>
      <c r="W206" s="4">
        <v>67</v>
      </c>
    </row>
    <row r="207" spans="1:23" ht="11.25" customHeight="1" x14ac:dyDescent="0.25">
      <c r="A207" s="4" t="s">
        <v>55</v>
      </c>
      <c r="B207" s="4" t="s">
        <v>39</v>
      </c>
      <c r="C207" s="4" t="s">
        <v>40</v>
      </c>
      <c r="D207" s="4" t="s">
        <v>45</v>
      </c>
      <c r="E207" s="4" t="s">
        <v>25</v>
      </c>
      <c r="F207" s="4" t="s">
        <v>25</v>
      </c>
      <c r="G207" s="4" t="s">
        <v>25</v>
      </c>
      <c r="H207" s="4" t="s">
        <v>34</v>
      </c>
      <c r="I207" s="5">
        <v>44562</v>
      </c>
      <c r="J207" s="6">
        <v>339</v>
      </c>
      <c r="K207" s="6">
        <v>339</v>
      </c>
      <c r="L207" s="6">
        <v>6.3410000000000002</v>
      </c>
      <c r="M207" s="6">
        <v>6.3410000000000002</v>
      </c>
      <c r="N207" s="6">
        <v>6.3410000000000002</v>
      </c>
      <c r="O207" s="6">
        <v>6.3410000000000002</v>
      </c>
      <c r="P207" s="6">
        <v>0</v>
      </c>
      <c r="Q207" s="4" t="s">
        <v>26</v>
      </c>
      <c r="R207" s="4">
        <v>0</v>
      </c>
      <c r="S207" s="4" t="s">
        <v>193</v>
      </c>
      <c r="T207" s="4" t="s">
        <v>506</v>
      </c>
      <c r="U207" s="4">
        <v>9</v>
      </c>
      <c r="V207" s="4">
        <v>11</v>
      </c>
      <c r="W207" s="4">
        <v>67</v>
      </c>
    </row>
    <row r="208" spans="1:23" ht="11.25" customHeight="1" x14ac:dyDescent="0.25">
      <c r="A208" s="4" t="s">
        <v>21</v>
      </c>
      <c r="B208" s="4" t="s">
        <v>39</v>
      </c>
      <c r="C208" s="4" t="s">
        <v>40</v>
      </c>
      <c r="D208" s="4" t="s">
        <v>49</v>
      </c>
      <c r="E208" s="4" t="s">
        <v>50</v>
      </c>
      <c r="F208" s="4" t="s">
        <v>25</v>
      </c>
      <c r="G208" s="4" t="s">
        <v>25</v>
      </c>
      <c r="H208" s="4" t="s">
        <v>35</v>
      </c>
      <c r="I208" s="5">
        <v>44228</v>
      </c>
      <c r="J208" s="6">
        <v>1414</v>
      </c>
      <c r="K208" s="6">
        <v>1329.16</v>
      </c>
      <c r="L208" s="6">
        <v>678.25300000000004</v>
      </c>
      <c r="M208" s="6">
        <v>637.55781999999999</v>
      </c>
      <c r="N208" s="6">
        <v>678.25300000000004</v>
      </c>
      <c r="O208" s="6">
        <v>637.55781999999999</v>
      </c>
      <c r="P208" s="6">
        <v>0</v>
      </c>
      <c r="Q208" s="4" t="s">
        <v>26</v>
      </c>
      <c r="R208" s="4">
        <v>0</v>
      </c>
      <c r="S208" s="4" t="s">
        <v>170</v>
      </c>
      <c r="T208" s="4" t="s">
        <v>483</v>
      </c>
      <c r="U208" s="4">
        <v>10</v>
      </c>
      <c r="V208" s="4">
        <v>11</v>
      </c>
      <c r="W208" s="4">
        <v>68</v>
      </c>
    </row>
    <row r="209" spans="1:23" ht="11.25" customHeight="1" x14ac:dyDescent="0.25">
      <c r="A209" s="4" t="s">
        <v>21</v>
      </c>
      <c r="B209" s="4" t="s">
        <v>39</v>
      </c>
      <c r="C209" s="4" t="s">
        <v>40</v>
      </c>
      <c r="D209" s="4" t="s">
        <v>49</v>
      </c>
      <c r="E209" s="4" t="s">
        <v>50</v>
      </c>
      <c r="F209" s="4" t="s">
        <v>25</v>
      </c>
      <c r="G209" s="4" t="s">
        <v>25</v>
      </c>
      <c r="H209" s="4" t="s">
        <v>35</v>
      </c>
      <c r="I209" s="5">
        <v>44256</v>
      </c>
      <c r="J209" s="6">
        <v>1427</v>
      </c>
      <c r="K209" s="6">
        <v>1341.38</v>
      </c>
      <c r="L209" s="6">
        <v>716.32799999999997</v>
      </c>
      <c r="M209" s="6">
        <v>673.34831999999994</v>
      </c>
      <c r="N209" s="6">
        <v>716.32799999999997</v>
      </c>
      <c r="O209" s="6">
        <v>673.34831999999994</v>
      </c>
      <c r="P209" s="6">
        <v>0</v>
      </c>
      <c r="Q209" s="4" t="s">
        <v>26</v>
      </c>
      <c r="R209" s="4">
        <v>0</v>
      </c>
      <c r="S209" s="4" t="s">
        <v>171</v>
      </c>
      <c r="T209" s="4" t="s">
        <v>484</v>
      </c>
      <c r="U209" s="4">
        <v>10</v>
      </c>
      <c r="V209" s="4">
        <v>11</v>
      </c>
      <c r="W209" s="4">
        <v>68</v>
      </c>
    </row>
    <row r="210" spans="1:23" ht="11.25" customHeight="1" x14ac:dyDescent="0.25">
      <c r="A210" s="4" t="s">
        <v>21</v>
      </c>
      <c r="B210" s="4" t="s">
        <v>39</v>
      </c>
      <c r="C210" s="4" t="s">
        <v>40</v>
      </c>
      <c r="D210" s="4" t="s">
        <v>49</v>
      </c>
      <c r="E210" s="4" t="s">
        <v>50</v>
      </c>
      <c r="F210" s="4" t="s">
        <v>25</v>
      </c>
      <c r="G210" s="4" t="s">
        <v>25</v>
      </c>
      <c r="H210" s="4" t="s">
        <v>35</v>
      </c>
      <c r="I210" s="5">
        <v>44287</v>
      </c>
      <c r="J210" s="6">
        <v>1426</v>
      </c>
      <c r="K210" s="6">
        <v>1340.44</v>
      </c>
      <c r="L210" s="6">
        <v>698.07299999999998</v>
      </c>
      <c r="M210" s="6">
        <v>656.18862000000001</v>
      </c>
      <c r="N210" s="6">
        <v>698.07299999999998</v>
      </c>
      <c r="O210" s="6">
        <v>656.18862000000001</v>
      </c>
      <c r="P210" s="6">
        <v>0</v>
      </c>
      <c r="Q210" s="4" t="s">
        <v>26</v>
      </c>
      <c r="R210" s="4">
        <v>0</v>
      </c>
      <c r="S210" s="4" t="s">
        <v>172</v>
      </c>
      <c r="T210" s="4" t="s">
        <v>485</v>
      </c>
      <c r="U210" s="4">
        <v>10</v>
      </c>
      <c r="V210" s="4">
        <v>11</v>
      </c>
      <c r="W210" s="4">
        <v>68</v>
      </c>
    </row>
    <row r="211" spans="1:23" ht="11.25" customHeight="1" x14ac:dyDescent="0.25">
      <c r="A211" s="4" t="s">
        <v>21</v>
      </c>
      <c r="B211" s="4" t="s">
        <v>39</v>
      </c>
      <c r="C211" s="4" t="s">
        <v>40</v>
      </c>
      <c r="D211" s="4" t="s">
        <v>49</v>
      </c>
      <c r="E211" s="4" t="s">
        <v>50</v>
      </c>
      <c r="F211" s="4" t="s">
        <v>25</v>
      </c>
      <c r="G211" s="4" t="s">
        <v>25</v>
      </c>
      <c r="H211" s="4" t="s">
        <v>35</v>
      </c>
      <c r="I211" s="5">
        <v>44317</v>
      </c>
      <c r="J211" s="6">
        <v>1394</v>
      </c>
      <c r="K211" s="6">
        <v>1310.3599999999999</v>
      </c>
      <c r="L211" s="6">
        <v>692.47199999999998</v>
      </c>
      <c r="M211" s="6">
        <v>650.92367999999999</v>
      </c>
      <c r="N211" s="6">
        <v>692.47199999999998</v>
      </c>
      <c r="O211" s="6">
        <v>650.92367999999999</v>
      </c>
      <c r="P211" s="6">
        <v>0</v>
      </c>
      <c r="Q211" s="4" t="s">
        <v>26</v>
      </c>
      <c r="R211" s="4">
        <v>0</v>
      </c>
      <c r="S211" s="4" t="s">
        <v>173</v>
      </c>
      <c r="T211" s="4" t="s">
        <v>486</v>
      </c>
      <c r="U211" s="4">
        <v>10</v>
      </c>
      <c r="V211" s="4">
        <v>11</v>
      </c>
      <c r="W211" s="4">
        <v>68</v>
      </c>
    </row>
    <row r="212" spans="1:23" ht="11.25" customHeight="1" x14ac:dyDescent="0.25">
      <c r="A212" s="4" t="s">
        <v>21</v>
      </c>
      <c r="B212" s="4" t="s">
        <v>39</v>
      </c>
      <c r="C212" s="4" t="s">
        <v>40</v>
      </c>
      <c r="D212" s="4" t="s">
        <v>49</v>
      </c>
      <c r="E212" s="4" t="s">
        <v>50</v>
      </c>
      <c r="F212" s="4" t="s">
        <v>25</v>
      </c>
      <c r="G212" s="4" t="s">
        <v>25</v>
      </c>
      <c r="H212" s="4" t="s">
        <v>35</v>
      </c>
      <c r="I212" s="5">
        <v>44348</v>
      </c>
      <c r="J212" s="6">
        <v>1406</v>
      </c>
      <c r="K212" s="6">
        <v>1321.64</v>
      </c>
      <c r="L212" s="6">
        <v>738.70799999999997</v>
      </c>
      <c r="M212" s="6">
        <v>694.38552000000004</v>
      </c>
      <c r="N212" s="6">
        <v>738.70799999999997</v>
      </c>
      <c r="O212" s="6">
        <v>694.38552000000004</v>
      </c>
      <c r="P212" s="6">
        <v>0</v>
      </c>
      <c r="Q212" s="4" t="s">
        <v>26</v>
      </c>
      <c r="R212" s="4">
        <v>0</v>
      </c>
      <c r="S212" s="4" t="s">
        <v>174</v>
      </c>
      <c r="T212" s="4" t="s">
        <v>487</v>
      </c>
      <c r="U212" s="4">
        <v>10</v>
      </c>
      <c r="V212" s="4">
        <v>11</v>
      </c>
      <c r="W212" s="4">
        <v>68</v>
      </c>
    </row>
    <row r="213" spans="1:23" ht="11.25" customHeight="1" x14ac:dyDescent="0.25">
      <c r="A213" s="4" t="s">
        <v>21</v>
      </c>
      <c r="B213" s="4" t="s">
        <v>39</v>
      </c>
      <c r="C213" s="4" t="s">
        <v>40</v>
      </c>
      <c r="D213" s="4" t="s">
        <v>49</v>
      </c>
      <c r="E213" s="4" t="s">
        <v>50</v>
      </c>
      <c r="F213" s="4" t="s">
        <v>25</v>
      </c>
      <c r="G213" s="4" t="s">
        <v>25</v>
      </c>
      <c r="H213" s="4" t="s">
        <v>35</v>
      </c>
      <c r="I213" s="5">
        <v>44378</v>
      </c>
      <c r="J213" s="6">
        <v>1425</v>
      </c>
      <c r="K213" s="6">
        <v>1339.5</v>
      </c>
      <c r="L213" s="6">
        <v>693.28700000000003</v>
      </c>
      <c r="M213" s="6">
        <v>651.68978000000004</v>
      </c>
      <c r="N213" s="6">
        <v>693.28700000000003</v>
      </c>
      <c r="O213" s="6">
        <v>651.68978000000004</v>
      </c>
      <c r="P213" s="6">
        <v>0</v>
      </c>
      <c r="Q213" s="4" t="s">
        <v>26</v>
      </c>
      <c r="R213" s="4">
        <v>0</v>
      </c>
      <c r="S213" s="4" t="s">
        <v>175</v>
      </c>
      <c r="T213" s="4" t="s">
        <v>488</v>
      </c>
      <c r="U213" s="4">
        <v>10</v>
      </c>
      <c r="V213" s="4">
        <v>11</v>
      </c>
      <c r="W213" s="4">
        <v>68</v>
      </c>
    </row>
    <row r="214" spans="1:23" ht="11.25" customHeight="1" x14ac:dyDescent="0.25">
      <c r="A214" s="4" t="s">
        <v>21</v>
      </c>
      <c r="B214" s="4" t="s">
        <v>39</v>
      </c>
      <c r="C214" s="4" t="s">
        <v>40</v>
      </c>
      <c r="D214" s="4" t="s">
        <v>49</v>
      </c>
      <c r="E214" s="4" t="s">
        <v>50</v>
      </c>
      <c r="F214" s="4" t="s">
        <v>25</v>
      </c>
      <c r="G214" s="4" t="s">
        <v>25</v>
      </c>
      <c r="H214" s="4" t="s">
        <v>35</v>
      </c>
      <c r="I214" s="5">
        <v>44409</v>
      </c>
      <c r="J214" s="6">
        <v>1396</v>
      </c>
      <c r="K214" s="6">
        <v>1312.24</v>
      </c>
      <c r="L214" s="6">
        <v>709.65800000000002</v>
      </c>
      <c r="M214" s="6">
        <v>667.07852000000003</v>
      </c>
      <c r="N214" s="6">
        <v>709.65800000000002</v>
      </c>
      <c r="O214" s="6">
        <v>667.07852000000003</v>
      </c>
      <c r="P214" s="6">
        <v>0</v>
      </c>
      <c r="Q214" s="4" t="s">
        <v>26</v>
      </c>
      <c r="R214" s="4">
        <v>0</v>
      </c>
      <c r="S214" s="4" t="s">
        <v>176</v>
      </c>
      <c r="T214" s="4" t="s">
        <v>489</v>
      </c>
      <c r="U214" s="4">
        <v>10</v>
      </c>
      <c r="V214" s="4">
        <v>11</v>
      </c>
      <c r="W214" s="4">
        <v>68</v>
      </c>
    </row>
    <row r="215" spans="1:23" ht="11.25" customHeight="1" x14ac:dyDescent="0.25">
      <c r="A215" s="4" t="s">
        <v>21</v>
      </c>
      <c r="B215" s="4" t="s">
        <v>39</v>
      </c>
      <c r="C215" s="4" t="s">
        <v>40</v>
      </c>
      <c r="D215" s="4" t="s">
        <v>49</v>
      </c>
      <c r="E215" s="4" t="s">
        <v>50</v>
      </c>
      <c r="F215" s="4" t="s">
        <v>25</v>
      </c>
      <c r="G215" s="4" t="s">
        <v>25</v>
      </c>
      <c r="H215" s="4" t="s">
        <v>35</v>
      </c>
      <c r="I215" s="5">
        <v>44440</v>
      </c>
      <c r="J215" s="6">
        <v>1412</v>
      </c>
      <c r="K215" s="6">
        <v>1327.28</v>
      </c>
      <c r="L215" s="6">
        <v>700.89499999999998</v>
      </c>
      <c r="M215" s="6">
        <v>658.84130000000005</v>
      </c>
      <c r="N215" s="6">
        <v>700.89499999999998</v>
      </c>
      <c r="O215" s="6">
        <v>658.84130000000005</v>
      </c>
      <c r="P215" s="6">
        <v>0</v>
      </c>
      <c r="Q215" s="4" t="s">
        <v>26</v>
      </c>
      <c r="R215" s="4">
        <v>0</v>
      </c>
      <c r="S215" s="4" t="s">
        <v>177</v>
      </c>
      <c r="T215" s="4" t="s">
        <v>490</v>
      </c>
      <c r="U215" s="4">
        <v>10</v>
      </c>
      <c r="V215" s="4">
        <v>11</v>
      </c>
      <c r="W215" s="4">
        <v>68</v>
      </c>
    </row>
    <row r="216" spans="1:23" ht="11.25" customHeight="1" x14ac:dyDescent="0.25">
      <c r="A216" s="4" t="s">
        <v>21</v>
      </c>
      <c r="B216" s="4" t="s">
        <v>39</v>
      </c>
      <c r="C216" s="4" t="s">
        <v>40</v>
      </c>
      <c r="D216" s="4" t="s">
        <v>49</v>
      </c>
      <c r="E216" s="4" t="s">
        <v>50</v>
      </c>
      <c r="F216" s="4" t="s">
        <v>25</v>
      </c>
      <c r="G216" s="4" t="s">
        <v>25</v>
      </c>
      <c r="H216" s="4" t="s">
        <v>35</v>
      </c>
      <c r="I216" s="5">
        <v>44470</v>
      </c>
      <c r="J216" s="6">
        <v>1430</v>
      </c>
      <c r="K216" s="6">
        <v>1344.2</v>
      </c>
      <c r="L216" s="6">
        <v>723.44799999999998</v>
      </c>
      <c r="M216" s="6">
        <v>680.04111999999998</v>
      </c>
      <c r="N216" s="6">
        <v>723.44799999999998</v>
      </c>
      <c r="O216" s="6">
        <v>680.04111999999998</v>
      </c>
      <c r="P216" s="6">
        <v>0</v>
      </c>
      <c r="Q216" s="4" t="s">
        <v>26</v>
      </c>
      <c r="R216" s="4">
        <v>0</v>
      </c>
      <c r="S216" s="4" t="s">
        <v>178</v>
      </c>
      <c r="T216" s="4" t="s">
        <v>491</v>
      </c>
      <c r="U216" s="4">
        <v>10</v>
      </c>
      <c r="V216" s="4">
        <v>11</v>
      </c>
      <c r="W216" s="4">
        <v>68</v>
      </c>
    </row>
    <row r="217" spans="1:23" ht="11.25" customHeight="1" x14ac:dyDescent="0.25">
      <c r="A217" s="4" t="s">
        <v>21</v>
      </c>
      <c r="B217" s="4" t="s">
        <v>39</v>
      </c>
      <c r="C217" s="4" t="s">
        <v>40</v>
      </c>
      <c r="D217" s="4" t="s">
        <v>49</v>
      </c>
      <c r="E217" s="4" t="s">
        <v>50</v>
      </c>
      <c r="F217" s="4" t="s">
        <v>25</v>
      </c>
      <c r="G217" s="4" t="s">
        <v>25</v>
      </c>
      <c r="H217" s="4" t="s">
        <v>35</v>
      </c>
      <c r="I217" s="5">
        <v>44501</v>
      </c>
      <c r="J217" s="6">
        <v>1427</v>
      </c>
      <c r="K217" s="6">
        <v>1341.38</v>
      </c>
      <c r="L217" s="6">
        <v>752.68200000000002</v>
      </c>
      <c r="M217" s="6">
        <v>707.52107999999998</v>
      </c>
      <c r="N217" s="6">
        <v>752.68200000000002</v>
      </c>
      <c r="O217" s="6">
        <v>707.52107999999998</v>
      </c>
      <c r="P217" s="6">
        <v>0</v>
      </c>
      <c r="Q217" s="4" t="s">
        <v>26</v>
      </c>
      <c r="R217" s="4">
        <v>0</v>
      </c>
      <c r="S217" s="4" t="s">
        <v>179</v>
      </c>
      <c r="T217" s="4" t="s">
        <v>492</v>
      </c>
      <c r="U217" s="4">
        <v>10</v>
      </c>
      <c r="V217" s="4">
        <v>11</v>
      </c>
      <c r="W217" s="4">
        <v>68</v>
      </c>
    </row>
    <row r="218" spans="1:23" ht="11.25" customHeight="1" x14ac:dyDescent="0.25">
      <c r="A218" s="4" t="s">
        <v>21</v>
      </c>
      <c r="B218" s="4" t="s">
        <v>39</v>
      </c>
      <c r="C218" s="4" t="s">
        <v>40</v>
      </c>
      <c r="D218" s="4" t="s">
        <v>49</v>
      </c>
      <c r="E218" s="4" t="s">
        <v>50</v>
      </c>
      <c r="F218" s="4" t="s">
        <v>25</v>
      </c>
      <c r="G218" s="4" t="s">
        <v>25</v>
      </c>
      <c r="H218" s="4" t="s">
        <v>35</v>
      </c>
      <c r="I218" s="5">
        <v>44531</v>
      </c>
      <c r="J218" s="6">
        <v>1427</v>
      </c>
      <c r="K218" s="6">
        <v>1341.38</v>
      </c>
      <c r="L218" s="6">
        <v>766.65099999999995</v>
      </c>
      <c r="M218" s="6">
        <v>720.65193999999997</v>
      </c>
      <c r="N218" s="6">
        <v>766.65099999999995</v>
      </c>
      <c r="O218" s="6">
        <v>720.65193999999997</v>
      </c>
      <c r="P218" s="6">
        <v>0</v>
      </c>
      <c r="Q218" s="4" t="s">
        <v>26</v>
      </c>
      <c r="R218" s="4">
        <v>0</v>
      </c>
      <c r="S218" s="4" t="s">
        <v>180</v>
      </c>
      <c r="T218" s="4" t="s">
        <v>493</v>
      </c>
      <c r="U218" s="4">
        <v>10</v>
      </c>
      <c r="V218" s="4">
        <v>11</v>
      </c>
      <c r="W218" s="4">
        <v>68</v>
      </c>
    </row>
    <row r="219" spans="1:23" ht="11.25" customHeight="1" x14ac:dyDescent="0.25">
      <c r="A219" s="4" t="s">
        <v>55</v>
      </c>
      <c r="B219" s="4" t="s">
        <v>39</v>
      </c>
      <c r="C219" s="4" t="s">
        <v>40</v>
      </c>
      <c r="D219" s="4" t="s">
        <v>49</v>
      </c>
      <c r="E219" s="4" t="s">
        <v>50</v>
      </c>
      <c r="F219" s="4" t="s">
        <v>25</v>
      </c>
      <c r="G219" s="4" t="s">
        <v>25</v>
      </c>
      <c r="H219" s="4" t="s">
        <v>35</v>
      </c>
      <c r="I219" s="5">
        <v>44562</v>
      </c>
      <c r="J219" s="6">
        <v>1427</v>
      </c>
      <c r="K219" s="6">
        <v>1341.38</v>
      </c>
      <c r="L219" s="6">
        <v>766.65099999999995</v>
      </c>
      <c r="M219" s="6">
        <v>720.65193999999997</v>
      </c>
      <c r="N219" s="6">
        <v>766.65099999999995</v>
      </c>
      <c r="O219" s="6">
        <v>720.65193999999997</v>
      </c>
      <c r="P219" s="6">
        <v>0</v>
      </c>
      <c r="Q219" s="4" t="s">
        <v>26</v>
      </c>
      <c r="R219" s="4">
        <v>0</v>
      </c>
      <c r="S219" s="4" t="s">
        <v>181</v>
      </c>
      <c r="T219" s="4" t="s">
        <v>494</v>
      </c>
      <c r="U219" s="4">
        <v>10</v>
      </c>
      <c r="V219" s="4">
        <v>11</v>
      </c>
      <c r="W219" s="4">
        <v>68</v>
      </c>
    </row>
    <row r="220" spans="1:23" ht="11.25" customHeight="1" x14ac:dyDescent="0.25">
      <c r="A220" s="4" t="s">
        <v>21</v>
      </c>
      <c r="B220" s="4" t="s">
        <v>39</v>
      </c>
      <c r="C220" s="4" t="s">
        <v>40</v>
      </c>
      <c r="D220" s="4" t="s">
        <v>49</v>
      </c>
      <c r="E220" s="4" t="s">
        <v>50</v>
      </c>
      <c r="F220" s="4" t="s">
        <v>25</v>
      </c>
      <c r="G220" s="4" t="s">
        <v>25</v>
      </c>
      <c r="H220" s="4" t="s">
        <v>34</v>
      </c>
      <c r="I220" s="5">
        <v>44228</v>
      </c>
      <c r="J220" s="6">
        <v>1365</v>
      </c>
      <c r="K220" s="6">
        <v>1283.0999999999999</v>
      </c>
      <c r="L220" s="6">
        <v>70.594999999999999</v>
      </c>
      <c r="M220" s="6">
        <v>66.359300000000005</v>
      </c>
      <c r="N220" s="6">
        <v>70.594999999999999</v>
      </c>
      <c r="O220" s="6">
        <v>66.359300000000005</v>
      </c>
      <c r="P220" s="6">
        <v>0</v>
      </c>
      <c r="Q220" s="4" t="s">
        <v>26</v>
      </c>
      <c r="R220" s="4">
        <v>0</v>
      </c>
      <c r="S220" s="4" t="s">
        <v>182</v>
      </c>
      <c r="T220" s="4" t="s">
        <v>495</v>
      </c>
      <c r="U220" s="4">
        <v>9</v>
      </c>
      <c r="V220" s="4">
        <v>11</v>
      </c>
      <c r="W220" s="4">
        <v>67</v>
      </c>
    </row>
    <row r="221" spans="1:23" ht="11.25" customHeight="1" x14ac:dyDescent="0.25">
      <c r="A221" s="4" t="s">
        <v>21</v>
      </c>
      <c r="B221" s="4" t="s">
        <v>39</v>
      </c>
      <c r="C221" s="4" t="s">
        <v>40</v>
      </c>
      <c r="D221" s="4" t="s">
        <v>49</v>
      </c>
      <c r="E221" s="4" t="s">
        <v>50</v>
      </c>
      <c r="F221" s="4" t="s">
        <v>25</v>
      </c>
      <c r="G221" s="4" t="s">
        <v>25</v>
      </c>
      <c r="H221" s="4" t="s">
        <v>34</v>
      </c>
      <c r="I221" s="5">
        <v>44256</v>
      </c>
      <c r="J221" s="6">
        <v>1361</v>
      </c>
      <c r="K221" s="6">
        <v>1279.3399999999999</v>
      </c>
      <c r="L221" s="6">
        <v>77.448999999999998</v>
      </c>
      <c r="M221" s="6">
        <v>72.802059999999997</v>
      </c>
      <c r="N221" s="6">
        <v>77.448999999999998</v>
      </c>
      <c r="O221" s="6">
        <v>72.802059999999997</v>
      </c>
      <c r="P221" s="6">
        <v>0</v>
      </c>
      <c r="Q221" s="4" t="s">
        <v>26</v>
      </c>
      <c r="R221" s="4">
        <v>0</v>
      </c>
      <c r="S221" s="4" t="s">
        <v>183</v>
      </c>
      <c r="T221" s="4" t="s">
        <v>496</v>
      </c>
      <c r="U221" s="4">
        <v>9</v>
      </c>
      <c r="V221" s="4">
        <v>11</v>
      </c>
      <c r="W221" s="4">
        <v>67</v>
      </c>
    </row>
    <row r="222" spans="1:23" ht="11.25" customHeight="1" x14ac:dyDescent="0.25">
      <c r="A222" s="4" t="s">
        <v>21</v>
      </c>
      <c r="B222" s="4" t="s">
        <v>39</v>
      </c>
      <c r="C222" s="4" t="s">
        <v>40</v>
      </c>
      <c r="D222" s="4" t="s">
        <v>49</v>
      </c>
      <c r="E222" s="4" t="s">
        <v>50</v>
      </c>
      <c r="F222" s="4" t="s">
        <v>25</v>
      </c>
      <c r="G222" s="4" t="s">
        <v>25</v>
      </c>
      <c r="H222" s="4" t="s">
        <v>34</v>
      </c>
      <c r="I222" s="5">
        <v>44287</v>
      </c>
      <c r="J222" s="6">
        <v>1359</v>
      </c>
      <c r="K222" s="6">
        <v>1277.46</v>
      </c>
      <c r="L222" s="6">
        <v>66.813000000000002</v>
      </c>
      <c r="M222" s="6">
        <v>62.804220000000001</v>
      </c>
      <c r="N222" s="6">
        <v>66.813000000000002</v>
      </c>
      <c r="O222" s="6">
        <v>62.804220000000001</v>
      </c>
      <c r="P222" s="6">
        <v>0</v>
      </c>
      <c r="Q222" s="4" t="s">
        <v>26</v>
      </c>
      <c r="R222" s="4">
        <v>0</v>
      </c>
      <c r="S222" s="4" t="s">
        <v>184</v>
      </c>
      <c r="T222" s="4" t="s">
        <v>497</v>
      </c>
      <c r="U222" s="4">
        <v>9</v>
      </c>
      <c r="V222" s="4">
        <v>11</v>
      </c>
      <c r="W222" s="4">
        <v>67</v>
      </c>
    </row>
    <row r="223" spans="1:23" ht="11.25" customHeight="1" x14ac:dyDescent="0.25">
      <c r="A223" s="4" t="s">
        <v>21</v>
      </c>
      <c r="B223" s="4" t="s">
        <v>39</v>
      </c>
      <c r="C223" s="4" t="s">
        <v>40</v>
      </c>
      <c r="D223" s="4" t="s">
        <v>49</v>
      </c>
      <c r="E223" s="4" t="s">
        <v>50</v>
      </c>
      <c r="F223" s="4" t="s">
        <v>25</v>
      </c>
      <c r="G223" s="4" t="s">
        <v>25</v>
      </c>
      <c r="H223" s="4" t="s">
        <v>34</v>
      </c>
      <c r="I223" s="5">
        <v>44317</v>
      </c>
      <c r="J223" s="6">
        <v>1345</v>
      </c>
      <c r="K223" s="6">
        <v>1264.3</v>
      </c>
      <c r="L223" s="6">
        <v>64.272000000000006</v>
      </c>
      <c r="M223" s="6">
        <v>60.415680000000002</v>
      </c>
      <c r="N223" s="6">
        <v>64.272000000000006</v>
      </c>
      <c r="O223" s="6">
        <v>60.415680000000002</v>
      </c>
      <c r="P223" s="6">
        <v>0</v>
      </c>
      <c r="Q223" s="4" t="s">
        <v>26</v>
      </c>
      <c r="R223" s="4">
        <v>0</v>
      </c>
      <c r="S223" s="4" t="s">
        <v>185</v>
      </c>
      <c r="T223" s="4" t="s">
        <v>498</v>
      </c>
      <c r="U223" s="4">
        <v>9</v>
      </c>
      <c r="V223" s="4">
        <v>11</v>
      </c>
      <c r="W223" s="4">
        <v>67</v>
      </c>
    </row>
    <row r="224" spans="1:23" ht="11.25" customHeight="1" x14ac:dyDescent="0.25">
      <c r="A224" s="4" t="s">
        <v>21</v>
      </c>
      <c r="B224" s="4" t="s">
        <v>39</v>
      </c>
      <c r="C224" s="4" t="s">
        <v>40</v>
      </c>
      <c r="D224" s="4" t="s">
        <v>49</v>
      </c>
      <c r="E224" s="4" t="s">
        <v>50</v>
      </c>
      <c r="F224" s="4" t="s">
        <v>25</v>
      </c>
      <c r="G224" s="4" t="s">
        <v>25</v>
      </c>
      <c r="H224" s="4" t="s">
        <v>34</v>
      </c>
      <c r="I224" s="5">
        <v>44348</v>
      </c>
      <c r="J224" s="6">
        <v>1378</v>
      </c>
      <c r="K224" s="6">
        <v>1295.32</v>
      </c>
      <c r="L224" s="6">
        <v>67.081000000000003</v>
      </c>
      <c r="M224" s="6">
        <v>63.056139999999999</v>
      </c>
      <c r="N224" s="6">
        <v>67.081000000000003</v>
      </c>
      <c r="O224" s="6">
        <v>63.056139999999999</v>
      </c>
      <c r="P224" s="6">
        <v>0</v>
      </c>
      <c r="Q224" s="4" t="s">
        <v>26</v>
      </c>
      <c r="R224" s="4">
        <v>0</v>
      </c>
      <c r="S224" s="4" t="s">
        <v>186</v>
      </c>
      <c r="T224" s="4" t="s">
        <v>499</v>
      </c>
      <c r="U224" s="4">
        <v>9</v>
      </c>
      <c r="V224" s="4">
        <v>11</v>
      </c>
      <c r="W224" s="4">
        <v>67</v>
      </c>
    </row>
    <row r="225" spans="1:23" ht="11.25" customHeight="1" x14ac:dyDescent="0.25">
      <c r="A225" s="4" t="s">
        <v>21</v>
      </c>
      <c r="B225" s="4" t="s">
        <v>39</v>
      </c>
      <c r="C225" s="4" t="s">
        <v>40</v>
      </c>
      <c r="D225" s="4" t="s">
        <v>49</v>
      </c>
      <c r="E225" s="4" t="s">
        <v>50</v>
      </c>
      <c r="F225" s="4" t="s">
        <v>25</v>
      </c>
      <c r="G225" s="4" t="s">
        <v>25</v>
      </c>
      <c r="H225" s="4" t="s">
        <v>34</v>
      </c>
      <c r="I225" s="5">
        <v>44378</v>
      </c>
      <c r="J225" s="6">
        <v>1403</v>
      </c>
      <c r="K225" s="6">
        <v>1318.82</v>
      </c>
      <c r="L225" s="6">
        <v>71.475999999999999</v>
      </c>
      <c r="M225" s="6">
        <v>67.187439999999995</v>
      </c>
      <c r="N225" s="6">
        <v>71.475999999999999</v>
      </c>
      <c r="O225" s="6">
        <v>67.187439999999995</v>
      </c>
      <c r="P225" s="6">
        <v>0</v>
      </c>
      <c r="Q225" s="4" t="s">
        <v>26</v>
      </c>
      <c r="R225" s="4">
        <v>0</v>
      </c>
      <c r="S225" s="4" t="s">
        <v>187</v>
      </c>
      <c r="T225" s="4" t="s">
        <v>500</v>
      </c>
      <c r="U225" s="4">
        <v>9</v>
      </c>
      <c r="V225" s="4">
        <v>11</v>
      </c>
      <c r="W225" s="4">
        <v>67</v>
      </c>
    </row>
    <row r="226" spans="1:23" ht="11.25" customHeight="1" x14ac:dyDescent="0.25">
      <c r="A226" s="4" t="s">
        <v>21</v>
      </c>
      <c r="B226" s="4" t="s">
        <v>39</v>
      </c>
      <c r="C226" s="4" t="s">
        <v>40</v>
      </c>
      <c r="D226" s="4" t="s">
        <v>49</v>
      </c>
      <c r="E226" s="4" t="s">
        <v>50</v>
      </c>
      <c r="F226" s="4" t="s">
        <v>25</v>
      </c>
      <c r="G226" s="4" t="s">
        <v>25</v>
      </c>
      <c r="H226" s="4" t="s">
        <v>34</v>
      </c>
      <c r="I226" s="5">
        <v>44409</v>
      </c>
      <c r="J226" s="6">
        <v>1207</v>
      </c>
      <c r="K226" s="6">
        <v>1134.58</v>
      </c>
      <c r="L226" s="6">
        <v>70.837999999999994</v>
      </c>
      <c r="M226" s="6">
        <v>66.587720000000004</v>
      </c>
      <c r="N226" s="6">
        <v>70.837999999999994</v>
      </c>
      <c r="O226" s="6">
        <v>66.587720000000004</v>
      </c>
      <c r="P226" s="6">
        <v>0</v>
      </c>
      <c r="Q226" s="4" t="s">
        <v>26</v>
      </c>
      <c r="R226" s="4">
        <v>0</v>
      </c>
      <c r="S226" s="4" t="s">
        <v>188</v>
      </c>
      <c r="T226" s="4" t="s">
        <v>501</v>
      </c>
      <c r="U226" s="4">
        <v>9</v>
      </c>
      <c r="V226" s="4">
        <v>11</v>
      </c>
      <c r="W226" s="4">
        <v>67</v>
      </c>
    </row>
    <row r="227" spans="1:23" ht="11.25" customHeight="1" x14ac:dyDescent="0.25">
      <c r="A227" s="4" t="s">
        <v>21</v>
      </c>
      <c r="B227" s="4" t="s">
        <v>39</v>
      </c>
      <c r="C227" s="4" t="s">
        <v>40</v>
      </c>
      <c r="D227" s="4" t="s">
        <v>49</v>
      </c>
      <c r="E227" s="4" t="s">
        <v>50</v>
      </c>
      <c r="F227" s="4" t="s">
        <v>25</v>
      </c>
      <c r="G227" s="4" t="s">
        <v>25</v>
      </c>
      <c r="H227" s="4" t="s">
        <v>34</v>
      </c>
      <c r="I227" s="5">
        <v>44440</v>
      </c>
      <c r="J227" s="6">
        <v>1342</v>
      </c>
      <c r="K227" s="6">
        <v>1261.48</v>
      </c>
      <c r="L227" s="6">
        <v>71.135000000000005</v>
      </c>
      <c r="M227" s="6">
        <v>66.866900000000001</v>
      </c>
      <c r="N227" s="6">
        <v>71.135000000000005</v>
      </c>
      <c r="O227" s="6">
        <v>66.866900000000001</v>
      </c>
      <c r="P227" s="6">
        <v>0</v>
      </c>
      <c r="Q227" s="4" t="s">
        <v>26</v>
      </c>
      <c r="R227" s="4">
        <v>0</v>
      </c>
      <c r="S227" s="4" t="s">
        <v>189</v>
      </c>
      <c r="T227" s="4" t="s">
        <v>502</v>
      </c>
      <c r="U227" s="4">
        <v>9</v>
      </c>
      <c r="V227" s="4">
        <v>11</v>
      </c>
      <c r="W227" s="4">
        <v>67</v>
      </c>
    </row>
    <row r="228" spans="1:23" ht="11.25" customHeight="1" x14ac:dyDescent="0.25">
      <c r="A228" s="4" t="s">
        <v>21</v>
      </c>
      <c r="B228" s="4" t="s">
        <v>39</v>
      </c>
      <c r="C228" s="4" t="s">
        <v>40</v>
      </c>
      <c r="D228" s="4" t="s">
        <v>49</v>
      </c>
      <c r="E228" s="4" t="s">
        <v>50</v>
      </c>
      <c r="F228" s="4" t="s">
        <v>25</v>
      </c>
      <c r="G228" s="4" t="s">
        <v>25</v>
      </c>
      <c r="H228" s="4" t="s">
        <v>34</v>
      </c>
      <c r="I228" s="5">
        <v>44470</v>
      </c>
      <c r="J228" s="6">
        <v>1407</v>
      </c>
      <c r="K228" s="6">
        <v>1322.58</v>
      </c>
      <c r="L228" s="6">
        <v>70.917000000000002</v>
      </c>
      <c r="M228" s="6">
        <v>66.66198</v>
      </c>
      <c r="N228" s="6">
        <v>70.917000000000002</v>
      </c>
      <c r="O228" s="6">
        <v>66.66198</v>
      </c>
      <c r="P228" s="6">
        <v>0</v>
      </c>
      <c r="Q228" s="4" t="s">
        <v>26</v>
      </c>
      <c r="R228" s="4">
        <v>0</v>
      </c>
      <c r="S228" s="4" t="s">
        <v>190</v>
      </c>
      <c r="T228" s="4" t="s">
        <v>503</v>
      </c>
      <c r="U228" s="4">
        <v>9</v>
      </c>
      <c r="V228" s="4">
        <v>11</v>
      </c>
      <c r="W228" s="4">
        <v>67</v>
      </c>
    </row>
    <row r="229" spans="1:23" ht="11.25" customHeight="1" x14ac:dyDescent="0.25">
      <c r="A229" s="4" t="s">
        <v>21</v>
      </c>
      <c r="B229" s="4" t="s">
        <v>39</v>
      </c>
      <c r="C229" s="4" t="s">
        <v>40</v>
      </c>
      <c r="D229" s="4" t="s">
        <v>49</v>
      </c>
      <c r="E229" s="4" t="s">
        <v>50</v>
      </c>
      <c r="F229" s="4" t="s">
        <v>25</v>
      </c>
      <c r="G229" s="4" t="s">
        <v>25</v>
      </c>
      <c r="H229" s="4" t="s">
        <v>34</v>
      </c>
      <c r="I229" s="5">
        <v>44501</v>
      </c>
      <c r="J229" s="6">
        <v>1408</v>
      </c>
      <c r="K229" s="6">
        <v>1323.52</v>
      </c>
      <c r="L229" s="6">
        <v>72.337999999999994</v>
      </c>
      <c r="M229" s="6">
        <v>67.997720000000001</v>
      </c>
      <c r="N229" s="6">
        <v>72.337999999999994</v>
      </c>
      <c r="O229" s="6">
        <v>67.997720000000001</v>
      </c>
      <c r="P229" s="6">
        <v>0</v>
      </c>
      <c r="Q229" s="4" t="s">
        <v>26</v>
      </c>
      <c r="R229" s="4">
        <v>0</v>
      </c>
      <c r="S229" s="4" t="s">
        <v>191</v>
      </c>
      <c r="T229" s="4" t="s">
        <v>504</v>
      </c>
      <c r="U229" s="4">
        <v>9</v>
      </c>
      <c r="V229" s="4">
        <v>11</v>
      </c>
      <c r="W229" s="4">
        <v>67</v>
      </c>
    </row>
    <row r="230" spans="1:23" ht="11.25" customHeight="1" x14ac:dyDescent="0.25">
      <c r="A230" s="4" t="s">
        <v>21</v>
      </c>
      <c r="B230" s="4" t="s">
        <v>39</v>
      </c>
      <c r="C230" s="4" t="s">
        <v>40</v>
      </c>
      <c r="D230" s="4" t="s">
        <v>49</v>
      </c>
      <c r="E230" s="4" t="s">
        <v>50</v>
      </c>
      <c r="F230" s="4" t="s">
        <v>25</v>
      </c>
      <c r="G230" s="4" t="s">
        <v>25</v>
      </c>
      <c r="H230" s="4" t="s">
        <v>34</v>
      </c>
      <c r="I230" s="5">
        <v>44531</v>
      </c>
      <c r="J230" s="6">
        <v>1412</v>
      </c>
      <c r="K230" s="6">
        <v>1327.28</v>
      </c>
      <c r="L230" s="6">
        <v>80.700999999999993</v>
      </c>
      <c r="M230" s="6">
        <v>75.858940000000004</v>
      </c>
      <c r="N230" s="6">
        <v>80.700999999999993</v>
      </c>
      <c r="O230" s="6">
        <v>75.858940000000004</v>
      </c>
      <c r="P230" s="6">
        <v>0</v>
      </c>
      <c r="Q230" s="4" t="s">
        <v>26</v>
      </c>
      <c r="R230" s="4">
        <v>0</v>
      </c>
      <c r="S230" s="4" t="s">
        <v>192</v>
      </c>
      <c r="T230" s="4" t="s">
        <v>505</v>
      </c>
      <c r="U230" s="4">
        <v>9</v>
      </c>
      <c r="V230" s="4">
        <v>11</v>
      </c>
      <c r="W230" s="4">
        <v>67</v>
      </c>
    </row>
    <row r="231" spans="1:23" ht="11.25" customHeight="1" x14ac:dyDescent="0.25">
      <c r="A231" s="4" t="s">
        <v>55</v>
      </c>
      <c r="B231" s="4" t="s">
        <v>39</v>
      </c>
      <c r="C231" s="4" t="s">
        <v>40</v>
      </c>
      <c r="D231" s="4" t="s">
        <v>49</v>
      </c>
      <c r="E231" s="4" t="s">
        <v>50</v>
      </c>
      <c r="F231" s="4" t="s">
        <v>25</v>
      </c>
      <c r="G231" s="4" t="s">
        <v>25</v>
      </c>
      <c r="H231" s="4" t="s">
        <v>34</v>
      </c>
      <c r="I231" s="5">
        <v>44562</v>
      </c>
      <c r="J231" s="6">
        <v>1412</v>
      </c>
      <c r="K231" s="6">
        <v>1327.28</v>
      </c>
      <c r="L231" s="6">
        <v>80.700999999999993</v>
      </c>
      <c r="M231" s="6">
        <v>75.858940000000004</v>
      </c>
      <c r="N231" s="6">
        <v>80.700999999999993</v>
      </c>
      <c r="O231" s="6">
        <v>75.858940000000004</v>
      </c>
      <c r="P231" s="6">
        <v>0</v>
      </c>
      <c r="Q231" s="4" t="s">
        <v>26</v>
      </c>
      <c r="R231" s="4">
        <v>0</v>
      </c>
      <c r="S231" s="4" t="s">
        <v>193</v>
      </c>
      <c r="T231" s="4" t="s">
        <v>506</v>
      </c>
      <c r="U231" s="4">
        <v>9</v>
      </c>
      <c r="V231" s="4">
        <v>11</v>
      </c>
      <c r="W231" s="4">
        <v>67</v>
      </c>
    </row>
    <row r="232" spans="1:23" ht="11.25" customHeight="1" x14ac:dyDescent="0.25">
      <c r="A232" s="4" t="s">
        <v>21</v>
      </c>
      <c r="B232" s="4" t="s">
        <v>39</v>
      </c>
      <c r="C232" s="4" t="s">
        <v>59</v>
      </c>
      <c r="D232" s="4" t="s">
        <v>25</v>
      </c>
      <c r="E232" s="4" t="s">
        <v>25</v>
      </c>
      <c r="F232" s="4" t="s">
        <v>25</v>
      </c>
      <c r="G232" s="4" t="s">
        <v>60</v>
      </c>
      <c r="H232" s="4" t="s">
        <v>35</v>
      </c>
      <c r="I232" s="5">
        <v>44228</v>
      </c>
      <c r="J232" s="6">
        <v>150</v>
      </c>
      <c r="K232" s="6">
        <v>150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61</v>
      </c>
      <c r="R232" s="4">
        <v>6600</v>
      </c>
      <c r="S232" s="4" t="s">
        <v>206</v>
      </c>
      <c r="U232" s="4">
        <v>20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39</v>
      </c>
      <c r="C233" s="4" t="s">
        <v>59</v>
      </c>
      <c r="D233" s="4" t="s">
        <v>25</v>
      </c>
      <c r="E233" s="4" t="s">
        <v>25</v>
      </c>
      <c r="F233" s="4" t="s">
        <v>25</v>
      </c>
      <c r="G233" s="4" t="s">
        <v>60</v>
      </c>
      <c r="H233" s="4" t="s">
        <v>35</v>
      </c>
      <c r="I233" s="5">
        <v>44256</v>
      </c>
      <c r="J233" s="6">
        <v>150</v>
      </c>
      <c r="K233" s="6">
        <v>150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61</v>
      </c>
      <c r="R233" s="4">
        <v>6600</v>
      </c>
      <c r="S233" s="4" t="s">
        <v>207</v>
      </c>
      <c r="U233" s="4">
        <v>20</v>
      </c>
      <c r="V233" s="4">
        <v>0</v>
      </c>
      <c r="W233" s="4">
        <v>0</v>
      </c>
    </row>
    <row r="234" spans="1:23" ht="11.25" customHeight="1" x14ac:dyDescent="0.25">
      <c r="A234" s="4" t="s">
        <v>21</v>
      </c>
      <c r="B234" s="4" t="s">
        <v>39</v>
      </c>
      <c r="C234" s="4" t="s">
        <v>59</v>
      </c>
      <c r="D234" s="4" t="s">
        <v>25</v>
      </c>
      <c r="E234" s="4" t="s">
        <v>25</v>
      </c>
      <c r="F234" s="4" t="s">
        <v>25</v>
      </c>
      <c r="G234" s="4" t="s">
        <v>60</v>
      </c>
      <c r="H234" s="4" t="s">
        <v>35</v>
      </c>
      <c r="I234" s="5">
        <v>44287</v>
      </c>
      <c r="J234" s="6">
        <v>150</v>
      </c>
      <c r="K234" s="6">
        <v>150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61</v>
      </c>
      <c r="R234" s="4">
        <v>6600</v>
      </c>
      <c r="S234" s="4" t="s">
        <v>208</v>
      </c>
      <c r="U234" s="4">
        <v>20</v>
      </c>
      <c r="V234" s="4">
        <v>0</v>
      </c>
      <c r="W234" s="4">
        <v>0</v>
      </c>
    </row>
    <row r="235" spans="1:23" ht="11.25" customHeight="1" x14ac:dyDescent="0.25">
      <c r="A235" s="4" t="s">
        <v>21</v>
      </c>
      <c r="B235" s="4" t="s">
        <v>39</v>
      </c>
      <c r="C235" s="4" t="s">
        <v>59</v>
      </c>
      <c r="D235" s="4" t="s">
        <v>25</v>
      </c>
      <c r="E235" s="4" t="s">
        <v>25</v>
      </c>
      <c r="F235" s="4" t="s">
        <v>25</v>
      </c>
      <c r="G235" s="4" t="s">
        <v>60</v>
      </c>
      <c r="H235" s="4" t="s">
        <v>35</v>
      </c>
      <c r="I235" s="5">
        <v>44317</v>
      </c>
      <c r="J235" s="6">
        <v>150</v>
      </c>
      <c r="K235" s="6">
        <v>150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61</v>
      </c>
      <c r="R235" s="4">
        <v>6600</v>
      </c>
      <c r="S235" s="4" t="s">
        <v>209</v>
      </c>
      <c r="U235" s="4">
        <v>20</v>
      </c>
      <c r="V235" s="4">
        <v>0</v>
      </c>
      <c r="W235" s="4">
        <v>0</v>
      </c>
    </row>
    <row r="236" spans="1:23" ht="11.25" customHeight="1" x14ac:dyDescent="0.25">
      <c r="A236" s="4" t="s">
        <v>21</v>
      </c>
      <c r="B236" s="4" t="s">
        <v>39</v>
      </c>
      <c r="C236" s="4" t="s">
        <v>59</v>
      </c>
      <c r="D236" s="4" t="s">
        <v>25</v>
      </c>
      <c r="E236" s="4" t="s">
        <v>25</v>
      </c>
      <c r="F236" s="4" t="s">
        <v>25</v>
      </c>
      <c r="G236" s="4" t="s">
        <v>60</v>
      </c>
      <c r="H236" s="4" t="s">
        <v>35</v>
      </c>
      <c r="I236" s="5">
        <v>44348</v>
      </c>
      <c r="J236" s="6">
        <v>150</v>
      </c>
      <c r="K236" s="6">
        <v>150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61</v>
      </c>
      <c r="R236" s="4">
        <v>6600</v>
      </c>
      <c r="S236" s="4" t="s">
        <v>210</v>
      </c>
      <c r="U236" s="4">
        <v>20</v>
      </c>
      <c r="V236" s="4">
        <v>0</v>
      </c>
      <c r="W236" s="4">
        <v>0</v>
      </c>
    </row>
    <row r="237" spans="1:23" ht="11.25" customHeight="1" x14ac:dyDescent="0.25">
      <c r="A237" s="4" t="s">
        <v>21</v>
      </c>
      <c r="B237" s="4" t="s">
        <v>39</v>
      </c>
      <c r="C237" s="4" t="s">
        <v>59</v>
      </c>
      <c r="D237" s="4" t="s">
        <v>25</v>
      </c>
      <c r="E237" s="4" t="s">
        <v>25</v>
      </c>
      <c r="F237" s="4" t="s">
        <v>25</v>
      </c>
      <c r="G237" s="4" t="s">
        <v>60</v>
      </c>
      <c r="H237" s="4" t="s">
        <v>35</v>
      </c>
      <c r="I237" s="5">
        <v>44378</v>
      </c>
      <c r="J237" s="6">
        <v>150</v>
      </c>
      <c r="K237" s="6">
        <v>150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61</v>
      </c>
      <c r="R237" s="4">
        <v>6600</v>
      </c>
      <c r="S237" s="4" t="s">
        <v>211</v>
      </c>
      <c r="U237" s="4">
        <v>20</v>
      </c>
      <c r="V237" s="4">
        <v>0</v>
      </c>
      <c r="W237" s="4">
        <v>0</v>
      </c>
    </row>
    <row r="238" spans="1:23" ht="11.25" customHeight="1" x14ac:dyDescent="0.25">
      <c r="A238" s="4" t="s">
        <v>21</v>
      </c>
      <c r="B238" s="4" t="s">
        <v>39</v>
      </c>
      <c r="C238" s="4" t="s">
        <v>59</v>
      </c>
      <c r="D238" s="4" t="s">
        <v>25</v>
      </c>
      <c r="E238" s="4" t="s">
        <v>25</v>
      </c>
      <c r="F238" s="4" t="s">
        <v>25</v>
      </c>
      <c r="G238" s="4" t="s">
        <v>60</v>
      </c>
      <c r="H238" s="4" t="s">
        <v>35</v>
      </c>
      <c r="I238" s="5">
        <v>44409</v>
      </c>
      <c r="J238" s="6">
        <v>150</v>
      </c>
      <c r="K238" s="6">
        <v>150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61</v>
      </c>
      <c r="R238" s="4">
        <v>6600</v>
      </c>
      <c r="S238" s="4" t="s">
        <v>212</v>
      </c>
      <c r="U238" s="4">
        <v>20</v>
      </c>
      <c r="V238" s="4">
        <v>0</v>
      </c>
      <c r="W238" s="4">
        <v>0</v>
      </c>
    </row>
    <row r="239" spans="1:23" ht="11.25" customHeight="1" x14ac:dyDescent="0.25">
      <c r="A239" s="4" t="s">
        <v>21</v>
      </c>
      <c r="B239" s="4" t="s">
        <v>39</v>
      </c>
      <c r="C239" s="4" t="s">
        <v>59</v>
      </c>
      <c r="D239" s="4" t="s">
        <v>25</v>
      </c>
      <c r="E239" s="4" t="s">
        <v>25</v>
      </c>
      <c r="F239" s="4" t="s">
        <v>25</v>
      </c>
      <c r="G239" s="4" t="s">
        <v>60</v>
      </c>
      <c r="H239" s="4" t="s">
        <v>35</v>
      </c>
      <c r="I239" s="5">
        <v>44440</v>
      </c>
      <c r="J239" s="6">
        <v>150</v>
      </c>
      <c r="K239" s="6">
        <v>150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61</v>
      </c>
      <c r="R239" s="4">
        <v>6600</v>
      </c>
      <c r="S239" s="4" t="s">
        <v>213</v>
      </c>
      <c r="U239" s="4">
        <v>20</v>
      </c>
      <c r="V239" s="4">
        <v>0</v>
      </c>
      <c r="W239" s="4">
        <v>0</v>
      </c>
    </row>
    <row r="240" spans="1:23" ht="11.25" customHeight="1" x14ac:dyDescent="0.25">
      <c r="A240" s="4" t="s">
        <v>21</v>
      </c>
      <c r="B240" s="4" t="s">
        <v>39</v>
      </c>
      <c r="C240" s="4" t="s">
        <v>59</v>
      </c>
      <c r="D240" s="4" t="s">
        <v>25</v>
      </c>
      <c r="E240" s="4" t="s">
        <v>25</v>
      </c>
      <c r="F240" s="4" t="s">
        <v>25</v>
      </c>
      <c r="G240" s="4" t="s">
        <v>60</v>
      </c>
      <c r="H240" s="4" t="s">
        <v>35</v>
      </c>
      <c r="I240" s="5">
        <v>44470</v>
      </c>
      <c r="J240" s="6">
        <v>150</v>
      </c>
      <c r="K240" s="6">
        <v>150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61</v>
      </c>
      <c r="R240" s="4">
        <v>6600</v>
      </c>
      <c r="S240" s="4" t="s">
        <v>214</v>
      </c>
      <c r="U240" s="4">
        <v>20</v>
      </c>
      <c r="V240" s="4">
        <v>0</v>
      </c>
      <c r="W240" s="4">
        <v>0</v>
      </c>
    </row>
    <row r="241" spans="1:23" ht="11.25" customHeight="1" x14ac:dyDescent="0.25">
      <c r="A241" s="4" t="s">
        <v>21</v>
      </c>
      <c r="B241" s="4" t="s">
        <v>39</v>
      </c>
      <c r="C241" s="4" t="s">
        <v>59</v>
      </c>
      <c r="D241" s="4" t="s">
        <v>25</v>
      </c>
      <c r="E241" s="4" t="s">
        <v>25</v>
      </c>
      <c r="F241" s="4" t="s">
        <v>25</v>
      </c>
      <c r="G241" s="4" t="s">
        <v>60</v>
      </c>
      <c r="H241" s="4" t="s">
        <v>35</v>
      </c>
      <c r="I241" s="5">
        <v>44501</v>
      </c>
      <c r="J241" s="6">
        <v>150</v>
      </c>
      <c r="K241" s="6">
        <v>150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61</v>
      </c>
      <c r="R241" s="4">
        <v>6600</v>
      </c>
      <c r="S241" s="4" t="s">
        <v>215</v>
      </c>
      <c r="U241" s="4">
        <v>20</v>
      </c>
      <c r="V241" s="4">
        <v>0</v>
      </c>
      <c r="W241" s="4">
        <v>0</v>
      </c>
    </row>
    <row r="242" spans="1:23" ht="11.25" customHeight="1" x14ac:dyDescent="0.25">
      <c r="A242" s="4" t="s">
        <v>21</v>
      </c>
      <c r="B242" s="4" t="s">
        <v>39</v>
      </c>
      <c r="C242" s="4" t="s">
        <v>59</v>
      </c>
      <c r="D242" s="4" t="s">
        <v>25</v>
      </c>
      <c r="E242" s="4" t="s">
        <v>25</v>
      </c>
      <c r="F242" s="4" t="s">
        <v>25</v>
      </c>
      <c r="G242" s="4" t="s">
        <v>60</v>
      </c>
      <c r="H242" s="4" t="s">
        <v>35</v>
      </c>
      <c r="I242" s="5">
        <v>44531</v>
      </c>
      <c r="J242" s="6">
        <v>152</v>
      </c>
      <c r="K242" s="6">
        <v>152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61</v>
      </c>
      <c r="R242" s="4">
        <v>6600</v>
      </c>
      <c r="S242" s="4" t="s">
        <v>216</v>
      </c>
      <c r="U242" s="4">
        <v>20</v>
      </c>
      <c r="V242" s="4">
        <v>0</v>
      </c>
      <c r="W242" s="4">
        <v>0</v>
      </c>
    </row>
    <row r="243" spans="1:23" ht="11.25" customHeight="1" x14ac:dyDescent="0.25">
      <c r="A243" s="4" t="s">
        <v>55</v>
      </c>
      <c r="B243" s="4" t="s">
        <v>39</v>
      </c>
      <c r="C243" s="4" t="s">
        <v>59</v>
      </c>
      <c r="D243" s="4" t="s">
        <v>25</v>
      </c>
      <c r="E243" s="4" t="s">
        <v>25</v>
      </c>
      <c r="F243" s="4" t="s">
        <v>25</v>
      </c>
      <c r="G243" s="4" t="s">
        <v>60</v>
      </c>
      <c r="H243" s="4" t="s">
        <v>35</v>
      </c>
      <c r="I243" s="5">
        <v>44562</v>
      </c>
      <c r="J243" s="6">
        <v>152</v>
      </c>
      <c r="K243" s="6">
        <v>152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61</v>
      </c>
      <c r="R243" s="4">
        <v>6600</v>
      </c>
      <c r="S243" s="4" t="s">
        <v>217</v>
      </c>
      <c r="U243" s="4">
        <v>20</v>
      </c>
      <c r="V243" s="4">
        <v>0</v>
      </c>
      <c r="W243" s="4">
        <v>0</v>
      </c>
    </row>
    <row r="244" spans="1:23" ht="11.25" customHeight="1" x14ac:dyDescent="0.25">
      <c r="A244" s="4" t="s">
        <v>21</v>
      </c>
      <c r="B244" s="4" t="s">
        <v>39</v>
      </c>
      <c r="C244" s="4" t="s">
        <v>59</v>
      </c>
      <c r="D244" s="4" t="s">
        <v>25</v>
      </c>
      <c r="E244" s="4" t="s">
        <v>25</v>
      </c>
      <c r="F244" s="4" t="s">
        <v>25</v>
      </c>
      <c r="G244" s="4" t="s">
        <v>60</v>
      </c>
      <c r="H244" s="4" t="s">
        <v>25</v>
      </c>
      <c r="I244" s="5">
        <v>44228</v>
      </c>
      <c r="J244" s="6">
        <v>0</v>
      </c>
      <c r="K244" s="6">
        <v>0</v>
      </c>
      <c r="L244" s="6">
        <v>63.761000000000003</v>
      </c>
      <c r="M244" s="6">
        <v>63.761000000000003</v>
      </c>
      <c r="N244" s="6">
        <v>0</v>
      </c>
      <c r="O244" s="6">
        <v>0</v>
      </c>
      <c r="P244" s="6">
        <v>0</v>
      </c>
      <c r="Q244" s="4" t="s">
        <v>61</v>
      </c>
      <c r="R244" s="4">
        <v>6600</v>
      </c>
      <c r="S244" s="4" t="s">
        <v>218</v>
      </c>
      <c r="U244" s="4">
        <v>0</v>
      </c>
      <c r="V244" s="4">
        <v>21</v>
      </c>
      <c r="W244" s="4">
        <v>0</v>
      </c>
    </row>
    <row r="245" spans="1:23" ht="11.25" customHeight="1" x14ac:dyDescent="0.25">
      <c r="A245" s="4" t="s">
        <v>21</v>
      </c>
      <c r="B245" s="4" t="s">
        <v>39</v>
      </c>
      <c r="C245" s="4" t="s">
        <v>59</v>
      </c>
      <c r="D245" s="4" t="s">
        <v>25</v>
      </c>
      <c r="E245" s="4" t="s">
        <v>25</v>
      </c>
      <c r="F245" s="4" t="s">
        <v>25</v>
      </c>
      <c r="G245" s="4" t="s">
        <v>60</v>
      </c>
      <c r="H245" s="4" t="s">
        <v>25</v>
      </c>
      <c r="I245" s="5">
        <v>44256</v>
      </c>
      <c r="J245" s="6">
        <v>0</v>
      </c>
      <c r="K245" s="6">
        <v>0</v>
      </c>
      <c r="L245" s="6">
        <v>56.863</v>
      </c>
      <c r="M245" s="6">
        <v>56.863</v>
      </c>
      <c r="N245" s="6">
        <v>0</v>
      </c>
      <c r="O245" s="6">
        <v>0</v>
      </c>
      <c r="P245" s="6">
        <v>0</v>
      </c>
      <c r="Q245" s="4" t="s">
        <v>61</v>
      </c>
      <c r="R245" s="4">
        <v>6600</v>
      </c>
      <c r="S245" s="4" t="s">
        <v>219</v>
      </c>
      <c r="U245" s="4">
        <v>0</v>
      </c>
      <c r="V245" s="4">
        <v>21</v>
      </c>
      <c r="W245" s="4">
        <v>0</v>
      </c>
    </row>
    <row r="246" spans="1:23" ht="11.25" customHeight="1" x14ac:dyDescent="0.25">
      <c r="A246" s="4" t="s">
        <v>21</v>
      </c>
      <c r="B246" s="4" t="s">
        <v>39</v>
      </c>
      <c r="C246" s="4" t="s">
        <v>59</v>
      </c>
      <c r="D246" s="4" t="s">
        <v>25</v>
      </c>
      <c r="E246" s="4" t="s">
        <v>25</v>
      </c>
      <c r="F246" s="4" t="s">
        <v>25</v>
      </c>
      <c r="G246" s="4" t="s">
        <v>60</v>
      </c>
      <c r="H246" s="4" t="s">
        <v>25</v>
      </c>
      <c r="I246" s="5">
        <v>44287</v>
      </c>
      <c r="J246" s="6">
        <v>0</v>
      </c>
      <c r="K246" s="6">
        <v>0</v>
      </c>
      <c r="L246" s="6">
        <v>57.767000000000003</v>
      </c>
      <c r="M246" s="6">
        <v>57.767000000000003</v>
      </c>
      <c r="N246" s="6">
        <v>0</v>
      </c>
      <c r="O246" s="6">
        <v>0</v>
      </c>
      <c r="P246" s="6">
        <v>0</v>
      </c>
      <c r="Q246" s="4" t="s">
        <v>61</v>
      </c>
      <c r="R246" s="4">
        <v>6600</v>
      </c>
      <c r="S246" s="4" t="s">
        <v>220</v>
      </c>
      <c r="U246" s="4">
        <v>0</v>
      </c>
      <c r="V246" s="4">
        <v>21</v>
      </c>
      <c r="W246" s="4">
        <v>0</v>
      </c>
    </row>
    <row r="247" spans="1:23" ht="11.25" customHeight="1" x14ac:dyDescent="0.25">
      <c r="A247" s="4" t="s">
        <v>21</v>
      </c>
      <c r="B247" s="4" t="s">
        <v>39</v>
      </c>
      <c r="C247" s="4" t="s">
        <v>59</v>
      </c>
      <c r="D247" s="4" t="s">
        <v>25</v>
      </c>
      <c r="E247" s="4" t="s">
        <v>25</v>
      </c>
      <c r="F247" s="4" t="s">
        <v>25</v>
      </c>
      <c r="G247" s="4" t="s">
        <v>60</v>
      </c>
      <c r="H247" s="4" t="s">
        <v>25</v>
      </c>
      <c r="I247" s="5">
        <v>44317</v>
      </c>
      <c r="J247" s="6">
        <v>0</v>
      </c>
      <c r="K247" s="6">
        <v>0</v>
      </c>
      <c r="L247" s="6">
        <v>58.203000000000003</v>
      </c>
      <c r="M247" s="6">
        <v>58.203000000000003</v>
      </c>
      <c r="N247" s="6">
        <v>0</v>
      </c>
      <c r="O247" s="6">
        <v>0</v>
      </c>
      <c r="P247" s="6">
        <v>0</v>
      </c>
      <c r="Q247" s="4" t="s">
        <v>61</v>
      </c>
      <c r="R247" s="4">
        <v>6600</v>
      </c>
      <c r="S247" s="4" t="s">
        <v>221</v>
      </c>
      <c r="U247" s="4">
        <v>0</v>
      </c>
      <c r="V247" s="4">
        <v>21</v>
      </c>
      <c r="W247" s="4">
        <v>0</v>
      </c>
    </row>
    <row r="248" spans="1:23" ht="11.25" customHeight="1" x14ac:dyDescent="0.25">
      <c r="A248" s="4" t="s">
        <v>21</v>
      </c>
      <c r="B248" s="4" t="s">
        <v>39</v>
      </c>
      <c r="C248" s="4" t="s">
        <v>59</v>
      </c>
      <c r="D248" s="4" t="s">
        <v>25</v>
      </c>
      <c r="E248" s="4" t="s">
        <v>25</v>
      </c>
      <c r="F248" s="4" t="s">
        <v>25</v>
      </c>
      <c r="G248" s="4" t="s">
        <v>60</v>
      </c>
      <c r="H248" s="4" t="s">
        <v>25</v>
      </c>
      <c r="I248" s="5">
        <v>44348</v>
      </c>
      <c r="J248" s="6">
        <v>0</v>
      </c>
      <c r="K248" s="6">
        <v>0</v>
      </c>
      <c r="L248" s="6">
        <v>55.857999999999997</v>
      </c>
      <c r="M248" s="6">
        <v>55.857999999999997</v>
      </c>
      <c r="N248" s="6">
        <v>0</v>
      </c>
      <c r="O248" s="6">
        <v>0</v>
      </c>
      <c r="P248" s="6">
        <v>0</v>
      </c>
      <c r="Q248" s="4" t="s">
        <v>61</v>
      </c>
      <c r="R248" s="4">
        <v>6600</v>
      </c>
      <c r="S248" s="4" t="s">
        <v>222</v>
      </c>
      <c r="U248" s="4">
        <v>0</v>
      </c>
      <c r="V248" s="4">
        <v>21</v>
      </c>
      <c r="W248" s="4">
        <v>0</v>
      </c>
    </row>
    <row r="249" spans="1:23" ht="11.25" customHeight="1" x14ac:dyDescent="0.25">
      <c r="A249" s="4" t="s">
        <v>21</v>
      </c>
      <c r="B249" s="4" t="s">
        <v>39</v>
      </c>
      <c r="C249" s="4" t="s">
        <v>59</v>
      </c>
      <c r="D249" s="4" t="s">
        <v>25</v>
      </c>
      <c r="E249" s="4" t="s">
        <v>25</v>
      </c>
      <c r="F249" s="4" t="s">
        <v>25</v>
      </c>
      <c r="G249" s="4" t="s">
        <v>60</v>
      </c>
      <c r="H249" s="4" t="s">
        <v>25</v>
      </c>
      <c r="I249" s="5">
        <v>44378</v>
      </c>
      <c r="J249" s="6">
        <v>0</v>
      </c>
      <c r="K249" s="6">
        <v>0</v>
      </c>
      <c r="L249" s="6">
        <v>56.055999999999997</v>
      </c>
      <c r="M249" s="6">
        <v>56.055999999999997</v>
      </c>
      <c r="N249" s="6">
        <v>0</v>
      </c>
      <c r="O249" s="6">
        <v>0</v>
      </c>
      <c r="P249" s="6">
        <v>0</v>
      </c>
      <c r="Q249" s="4" t="s">
        <v>61</v>
      </c>
      <c r="R249" s="4">
        <v>6600</v>
      </c>
      <c r="S249" s="4" t="s">
        <v>223</v>
      </c>
      <c r="U249" s="4">
        <v>0</v>
      </c>
      <c r="V249" s="4">
        <v>21</v>
      </c>
      <c r="W249" s="4">
        <v>0</v>
      </c>
    </row>
    <row r="250" spans="1:23" ht="11.25" customHeight="1" x14ac:dyDescent="0.25">
      <c r="A250" s="4" t="s">
        <v>21</v>
      </c>
      <c r="B250" s="4" t="s">
        <v>39</v>
      </c>
      <c r="C250" s="4" t="s">
        <v>59</v>
      </c>
      <c r="D250" s="4" t="s">
        <v>25</v>
      </c>
      <c r="E250" s="4" t="s">
        <v>25</v>
      </c>
      <c r="F250" s="4" t="s">
        <v>25</v>
      </c>
      <c r="G250" s="4" t="s">
        <v>60</v>
      </c>
      <c r="H250" s="4" t="s">
        <v>25</v>
      </c>
      <c r="I250" s="5">
        <v>44409</v>
      </c>
      <c r="J250" s="6">
        <v>0</v>
      </c>
      <c r="K250" s="6">
        <v>0</v>
      </c>
      <c r="L250" s="6">
        <v>58.896999999999998</v>
      </c>
      <c r="M250" s="6">
        <v>58.896999999999998</v>
      </c>
      <c r="N250" s="6">
        <v>0</v>
      </c>
      <c r="O250" s="6">
        <v>0</v>
      </c>
      <c r="P250" s="6">
        <v>0</v>
      </c>
      <c r="Q250" s="4" t="s">
        <v>61</v>
      </c>
      <c r="R250" s="4">
        <v>6600</v>
      </c>
      <c r="S250" s="4" t="s">
        <v>224</v>
      </c>
      <c r="U250" s="4">
        <v>0</v>
      </c>
      <c r="V250" s="4">
        <v>21</v>
      </c>
      <c r="W250" s="4">
        <v>0</v>
      </c>
    </row>
    <row r="251" spans="1:23" ht="11.25" customHeight="1" x14ac:dyDescent="0.25">
      <c r="A251" s="4" t="s">
        <v>21</v>
      </c>
      <c r="B251" s="4" t="s">
        <v>39</v>
      </c>
      <c r="C251" s="4" t="s">
        <v>59</v>
      </c>
      <c r="D251" s="4" t="s">
        <v>25</v>
      </c>
      <c r="E251" s="4" t="s">
        <v>25</v>
      </c>
      <c r="F251" s="4" t="s">
        <v>25</v>
      </c>
      <c r="G251" s="4" t="s">
        <v>60</v>
      </c>
      <c r="H251" s="4" t="s">
        <v>25</v>
      </c>
      <c r="I251" s="5">
        <v>44440</v>
      </c>
      <c r="J251" s="6">
        <v>0</v>
      </c>
      <c r="K251" s="6">
        <v>0</v>
      </c>
      <c r="L251" s="6">
        <v>55.802</v>
      </c>
      <c r="M251" s="6">
        <v>55.802</v>
      </c>
      <c r="N251" s="6">
        <v>0</v>
      </c>
      <c r="O251" s="6">
        <v>0</v>
      </c>
      <c r="P251" s="6">
        <v>0</v>
      </c>
      <c r="Q251" s="4" t="s">
        <v>61</v>
      </c>
      <c r="R251" s="4">
        <v>6600</v>
      </c>
      <c r="S251" s="4" t="s">
        <v>225</v>
      </c>
      <c r="U251" s="4">
        <v>0</v>
      </c>
      <c r="V251" s="4">
        <v>21</v>
      </c>
      <c r="W251" s="4">
        <v>0</v>
      </c>
    </row>
    <row r="252" spans="1:23" ht="11.25" customHeight="1" x14ac:dyDescent="0.25">
      <c r="A252" s="4" t="s">
        <v>21</v>
      </c>
      <c r="B252" s="4" t="s">
        <v>39</v>
      </c>
      <c r="C252" s="4" t="s">
        <v>59</v>
      </c>
      <c r="D252" s="4" t="s">
        <v>25</v>
      </c>
      <c r="E252" s="4" t="s">
        <v>25</v>
      </c>
      <c r="F252" s="4" t="s">
        <v>25</v>
      </c>
      <c r="G252" s="4" t="s">
        <v>60</v>
      </c>
      <c r="H252" s="4" t="s">
        <v>25</v>
      </c>
      <c r="I252" s="5">
        <v>44470</v>
      </c>
      <c r="J252" s="6">
        <v>0</v>
      </c>
      <c r="K252" s="6">
        <v>0</v>
      </c>
      <c r="L252" s="6">
        <v>58.435000000000002</v>
      </c>
      <c r="M252" s="6">
        <v>58.435000000000002</v>
      </c>
      <c r="N252" s="6">
        <v>0</v>
      </c>
      <c r="O252" s="6">
        <v>0</v>
      </c>
      <c r="P252" s="6">
        <v>0</v>
      </c>
      <c r="Q252" s="4" t="s">
        <v>61</v>
      </c>
      <c r="R252" s="4">
        <v>6600</v>
      </c>
      <c r="S252" s="4" t="s">
        <v>226</v>
      </c>
      <c r="U252" s="4">
        <v>0</v>
      </c>
      <c r="V252" s="4">
        <v>21</v>
      </c>
      <c r="W252" s="4">
        <v>0</v>
      </c>
    </row>
    <row r="253" spans="1:23" ht="11.25" customHeight="1" x14ac:dyDescent="0.25">
      <c r="A253" s="4" t="s">
        <v>21</v>
      </c>
      <c r="B253" s="4" t="s">
        <v>39</v>
      </c>
      <c r="C253" s="4" t="s">
        <v>59</v>
      </c>
      <c r="D253" s="4" t="s">
        <v>25</v>
      </c>
      <c r="E253" s="4" t="s">
        <v>25</v>
      </c>
      <c r="F253" s="4" t="s">
        <v>25</v>
      </c>
      <c r="G253" s="4" t="s">
        <v>60</v>
      </c>
      <c r="H253" s="4" t="s">
        <v>25</v>
      </c>
      <c r="I253" s="5">
        <v>44501</v>
      </c>
      <c r="J253" s="6">
        <v>0</v>
      </c>
      <c r="K253" s="6">
        <v>0</v>
      </c>
      <c r="L253" s="6">
        <v>63.966999999999999</v>
      </c>
      <c r="M253" s="6">
        <v>63.966999999999999</v>
      </c>
      <c r="N253" s="6">
        <v>0</v>
      </c>
      <c r="O253" s="6">
        <v>0</v>
      </c>
      <c r="P253" s="6">
        <v>0</v>
      </c>
      <c r="Q253" s="4" t="s">
        <v>61</v>
      </c>
      <c r="R253" s="4">
        <v>6600</v>
      </c>
      <c r="S253" s="4" t="s">
        <v>227</v>
      </c>
      <c r="U253" s="4">
        <v>0</v>
      </c>
      <c r="V253" s="4">
        <v>21</v>
      </c>
      <c r="W253" s="4">
        <v>0</v>
      </c>
    </row>
    <row r="254" spans="1:23" ht="11.25" customHeight="1" x14ac:dyDescent="0.25">
      <c r="A254" s="4" t="s">
        <v>21</v>
      </c>
      <c r="B254" s="4" t="s">
        <v>39</v>
      </c>
      <c r="C254" s="4" t="s">
        <v>59</v>
      </c>
      <c r="D254" s="4" t="s">
        <v>25</v>
      </c>
      <c r="E254" s="4" t="s">
        <v>25</v>
      </c>
      <c r="F254" s="4" t="s">
        <v>25</v>
      </c>
      <c r="G254" s="4" t="s">
        <v>60</v>
      </c>
      <c r="H254" s="4" t="s">
        <v>25</v>
      </c>
      <c r="I254" s="5">
        <v>44531</v>
      </c>
      <c r="J254" s="6">
        <v>0</v>
      </c>
      <c r="K254" s="6">
        <v>0</v>
      </c>
      <c r="L254" s="6">
        <v>72.697000000000003</v>
      </c>
      <c r="M254" s="6">
        <v>72.697000000000003</v>
      </c>
      <c r="N254" s="6">
        <v>0</v>
      </c>
      <c r="O254" s="6">
        <v>0</v>
      </c>
      <c r="P254" s="6">
        <v>0</v>
      </c>
      <c r="Q254" s="4" t="s">
        <v>61</v>
      </c>
      <c r="R254" s="4">
        <v>6600</v>
      </c>
      <c r="S254" s="4" t="s">
        <v>228</v>
      </c>
      <c r="U254" s="4">
        <v>0</v>
      </c>
      <c r="V254" s="4">
        <v>21</v>
      </c>
      <c r="W254" s="4">
        <v>0</v>
      </c>
    </row>
    <row r="255" spans="1:23" ht="11.25" customHeight="1" x14ac:dyDescent="0.25">
      <c r="A255" s="4" t="s">
        <v>55</v>
      </c>
      <c r="B255" s="4" t="s">
        <v>39</v>
      </c>
      <c r="C255" s="4" t="s">
        <v>59</v>
      </c>
      <c r="D255" s="4" t="s">
        <v>25</v>
      </c>
      <c r="E255" s="4" t="s">
        <v>25</v>
      </c>
      <c r="F255" s="4" t="s">
        <v>25</v>
      </c>
      <c r="G255" s="4" t="s">
        <v>60</v>
      </c>
      <c r="H255" s="4" t="s">
        <v>25</v>
      </c>
      <c r="I255" s="5">
        <v>44562</v>
      </c>
      <c r="J255" s="6">
        <v>0</v>
      </c>
      <c r="K255" s="6">
        <v>0</v>
      </c>
      <c r="L255" s="6">
        <v>72.697000000000003</v>
      </c>
      <c r="M255" s="6">
        <v>72.697000000000003</v>
      </c>
      <c r="N255" s="6">
        <v>0</v>
      </c>
      <c r="O255" s="6">
        <v>0</v>
      </c>
      <c r="P255" s="6">
        <v>0</v>
      </c>
      <c r="Q255" s="4" t="s">
        <v>61</v>
      </c>
      <c r="R255" s="4">
        <v>6600</v>
      </c>
      <c r="S255" s="4" t="s">
        <v>229</v>
      </c>
      <c r="U255" s="4">
        <v>0</v>
      </c>
      <c r="V255" s="4">
        <v>21</v>
      </c>
      <c r="W255" s="4">
        <v>0</v>
      </c>
    </row>
    <row r="256" spans="1:23" ht="11.25" customHeight="1" x14ac:dyDescent="0.25">
      <c r="A256" s="4" t="s">
        <v>21</v>
      </c>
      <c r="B256" s="4" t="s">
        <v>39</v>
      </c>
      <c r="C256" s="4" t="s">
        <v>59</v>
      </c>
      <c r="D256" s="4" t="s">
        <v>25</v>
      </c>
      <c r="E256" s="4" t="s">
        <v>25</v>
      </c>
      <c r="F256" s="4" t="s">
        <v>25</v>
      </c>
      <c r="G256" s="4" t="s">
        <v>60</v>
      </c>
      <c r="H256" s="4" t="s">
        <v>34</v>
      </c>
      <c r="I256" s="5">
        <v>44228</v>
      </c>
      <c r="J256" s="6">
        <v>150</v>
      </c>
      <c r="K256" s="6">
        <v>150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61</v>
      </c>
      <c r="R256" s="4">
        <v>6600</v>
      </c>
      <c r="S256" s="4" t="s">
        <v>230</v>
      </c>
      <c r="U256" s="4">
        <v>30</v>
      </c>
      <c r="V256" s="4">
        <v>0</v>
      </c>
      <c r="W256" s="4">
        <v>0</v>
      </c>
    </row>
    <row r="257" spans="1:23" ht="11.25" customHeight="1" x14ac:dyDescent="0.25">
      <c r="A257" s="4" t="s">
        <v>21</v>
      </c>
      <c r="B257" s="4" t="s">
        <v>39</v>
      </c>
      <c r="C257" s="4" t="s">
        <v>59</v>
      </c>
      <c r="D257" s="4" t="s">
        <v>25</v>
      </c>
      <c r="E257" s="4" t="s">
        <v>25</v>
      </c>
      <c r="F257" s="4" t="s">
        <v>25</v>
      </c>
      <c r="G257" s="4" t="s">
        <v>60</v>
      </c>
      <c r="H257" s="4" t="s">
        <v>34</v>
      </c>
      <c r="I257" s="5">
        <v>44256</v>
      </c>
      <c r="J257" s="6">
        <v>150</v>
      </c>
      <c r="K257" s="6">
        <v>150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61</v>
      </c>
      <c r="R257" s="4">
        <v>6600</v>
      </c>
      <c r="S257" s="4" t="s">
        <v>231</v>
      </c>
      <c r="U257" s="4">
        <v>30</v>
      </c>
      <c r="V257" s="4">
        <v>0</v>
      </c>
      <c r="W257" s="4">
        <v>0</v>
      </c>
    </row>
    <row r="258" spans="1:23" ht="11.25" customHeight="1" x14ac:dyDescent="0.25">
      <c r="A258" s="4" t="s">
        <v>21</v>
      </c>
      <c r="B258" s="4" t="s">
        <v>39</v>
      </c>
      <c r="C258" s="4" t="s">
        <v>59</v>
      </c>
      <c r="D258" s="4" t="s">
        <v>25</v>
      </c>
      <c r="E258" s="4" t="s">
        <v>25</v>
      </c>
      <c r="F258" s="4" t="s">
        <v>25</v>
      </c>
      <c r="G258" s="4" t="s">
        <v>60</v>
      </c>
      <c r="H258" s="4" t="s">
        <v>34</v>
      </c>
      <c r="I258" s="5">
        <v>44287</v>
      </c>
      <c r="J258" s="6">
        <v>150</v>
      </c>
      <c r="K258" s="6">
        <v>150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61</v>
      </c>
      <c r="R258" s="4">
        <v>6600</v>
      </c>
      <c r="S258" s="4" t="s">
        <v>232</v>
      </c>
      <c r="U258" s="4">
        <v>30</v>
      </c>
      <c r="V258" s="4">
        <v>0</v>
      </c>
      <c r="W258" s="4">
        <v>0</v>
      </c>
    </row>
    <row r="259" spans="1:23" ht="11.25" customHeight="1" x14ac:dyDescent="0.25">
      <c r="A259" s="4" t="s">
        <v>21</v>
      </c>
      <c r="B259" s="4" t="s">
        <v>39</v>
      </c>
      <c r="C259" s="4" t="s">
        <v>59</v>
      </c>
      <c r="D259" s="4" t="s">
        <v>25</v>
      </c>
      <c r="E259" s="4" t="s">
        <v>25</v>
      </c>
      <c r="F259" s="4" t="s">
        <v>25</v>
      </c>
      <c r="G259" s="4" t="s">
        <v>60</v>
      </c>
      <c r="H259" s="4" t="s">
        <v>34</v>
      </c>
      <c r="I259" s="5">
        <v>44317</v>
      </c>
      <c r="J259" s="6">
        <v>150</v>
      </c>
      <c r="K259" s="6">
        <v>150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61</v>
      </c>
      <c r="R259" s="4">
        <v>6600</v>
      </c>
      <c r="S259" s="4" t="s">
        <v>233</v>
      </c>
      <c r="U259" s="4">
        <v>30</v>
      </c>
      <c r="V259" s="4">
        <v>0</v>
      </c>
      <c r="W259" s="4">
        <v>0</v>
      </c>
    </row>
    <row r="260" spans="1:23" ht="11.25" customHeight="1" x14ac:dyDescent="0.25">
      <c r="A260" s="4" t="s">
        <v>21</v>
      </c>
      <c r="B260" s="4" t="s">
        <v>39</v>
      </c>
      <c r="C260" s="4" t="s">
        <v>59</v>
      </c>
      <c r="D260" s="4" t="s">
        <v>25</v>
      </c>
      <c r="E260" s="4" t="s">
        <v>25</v>
      </c>
      <c r="F260" s="4" t="s">
        <v>25</v>
      </c>
      <c r="G260" s="4" t="s">
        <v>60</v>
      </c>
      <c r="H260" s="4" t="s">
        <v>34</v>
      </c>
      <c r="I260" s="5">
        <v>44348</v>
      </c>
      <c r="J260" s="6">
        <v>150</v>
      </c>
      <c r="K260" s="6">
        <v>150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61</v>
      </c>
      <c r="R260" s="4">
        <v>6600</v>
      </c>
      <c r="S260" s="4" t="s">
        <v>234</v>
      </c>
      <c r="U260" s="4">
        <v>30</v>
      </c>
      <c r="V260" s="4">
        <v>0</v>
      </c>
      <c r="W260" s="4">
        <v>0</v>
      </c>
    </row>
    <row r="261" spans="1:23" ht="11.25" customHeight="1" x14ac:dyDescent="0.25">
      <c r="A261" s="4" t="s">
        <v>21</v>
      </c>
      <c r="B261" s="4" t="s">
        <v>39</v>
      </c>
      <c r="C261" s="4" t="s">
        <v>59</v>
      </c>
      <c r="D261" s="4" t="s">
        <v>25</v>
      </c>
      <c r="E261" s="4" t="s">
        <v>25</v>
      </c>
      <c r="F261" s="4" t="s">
        <v>25</v>
      </c>
      <c r="G261" s="4" t="s">
        <v>60</v>
      </c>
      <c r="H261" s="4" t="s">
        <v>34</v>
      </c>
      <c r="I261" s="5">
        <v>44378</v>
      </c>
      <c r="J261" s="6">
        <v>150</v>
      </c>
      <c r="K261" s="6">
        <v>150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61</v>
      </c>
      <c r="R261" s="4">
        <v>6600</v>
      </c>
      <c r="S261" s="4" t="s">
        <v>235</v>
      </c>
      <c r="U261" s="4">
        <v>30</v>
      </c>
      <c r="V261" s="4">
        <v>0</v>
      </c>
      <c r="W261" s="4">
        <v>0</v>
      </c>
    </row>
    <row r="262" spans="1:23" ht="11.25" customHeight="1" x14ac:dyDescent="0.25">
      <c r="A262" s="4" t="s">
        <v>21</v>
      </c>
      <c r="B262" s="4" t="s">
        <v>39</v>
      </c>
      <c r="C262" s="4" t="s">
        <v>59</v>
      </c>
      <c r="D262" s="4" t="s">
        <v>25</v>
      </c>
      <c r="E262" s="4" t="s">
        <v>25</v>
      </c>
      <c r="F262" s="4" t="s">
        <v>25</v>
      </c>
      <c r="G262" s="4" t="s">
        <v>60</v>
      </c>
      <c r="H262" s="4" t="s">
        <v>34</v>
      </c>
      <c r="I262" s="5">
        <v>44409</v>
      </c>
      <c r="J262" s="6">
        <v>150</v>
      </c>
      <c r="K262" s="6">
        <v>150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61</v>
      </c>
      <c r="R262" s="4">
        <v>6600</v>
      </c>
      <c r="S262" s="4" t="s">
        <v>236</v>
      </c>
      <c r="U262" s="4">
        <v>30</v>
      </c>
      <c r="V262" s="4">
        <v>0</v>
      </c>
      <c r="W262" s="4">
        <v>0</v>
      </c>
    </row>
    <row r="263" spans="1:23" ht="11.25" customHeight="1" x14ac:dyDescent="0.25">
      <c r="A263" s="4" t="s">
        <v>21</v>
      </c>
      <c r="B263" s="4" t="s">
        <v>39</v>
      </c>
      <c r="C263" s="4" t="s">
        <v>59</v>
      </c>
      <c r="D263" s="4" t="s">
        <v>25</v>
      </c>
      <c r="E263" s="4" t="s">
        <v>25</v>
      </c>
      <c r="F263" s="4" t="s">
        <v>25</v>
      </c>
      <c r="G263" s="4" t="s">
        <v>60</v>
      </c>
      <c r="H263" s="4" t="s">
        <v>34</v>
      </c>
      <c r="I263" s="5">
        <v>44440</v>
      </c>
      <c r="J263" s="6">
        <v>150</v>
      </c>
      <c r="K263" s="6">
        <v>150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61</v>
      </c>
      <c r="R263" s="4">
        <v>6600</v>
      </c>
      <c r="S263" s="4" t="s">
        <v>237</v>
      </c>
      <c r="U263" s="4">
        <v>30</v>
      </c>
      <c r="V263" s="4">
        <v>0</v>
      </c>
      <c r="W263" s="4">
        <v>0</v>
      </c>
    </row>
    <row r="264" spans="1:23" ht="11.25" customHeight="1" x14ac:dyDescent="0.25">
      <c r="A264" s="4" t="s">
        <v>21</v>
      </c>
      <c r="B264" s="4" t="s">
        <v>39</v>
      </c>
      <c r="C264" s="4" t="s">
        <v>59</v>
      </c>
      <c r="D264" s="4" t="s">
        <v>25</v>
      </c>
      <c r="E264" s="4" t="s">
        <v>25</v>
      </c>
      <c r="F264" s="4" t="s">
        <v>25</v>
      </c>
      <c r="G264" s="4" t="s">
        <v>60</v>
      </c>
      <c r="H264" s="4" t="s">
        <v>34</v>
      </c>
      <c r="I264" s="5">
        <v>44470</v>
      </c>
      <c r="J264" s="6">
        <v>150</v>
      </c>
      <c r="K264" s="6">
        <v>150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61</v>
      </c>
      <c r="R264" s="4">
        <v>6600</v>
      </c>
      <c r="S264" s="4" t="s">
        <v>238</v>
      </c>
      <c r="U264" s="4">
        <v>30</v>
      </c>
      <c r="V264" s="4">
        <v>0</v>
      </c>
      <c r="W264" s="4">
        <v>0</v>
      </c>
    </row>
    <row r="265" spans="1:23" ht="11.25" customHeight="1" x14ac:dyDescent="0.25">
      <c r="A265" s="4" t="s">
        <v>21</v>
      </c>
      <c r="B265" s="4" t="s">
        <v>39</v>
      </c>
      <c r="C265" s="4" t="s">
        <v>59</v>
      </c>
      <c r="D265" s="4" t="s">
        <v>25</v>
      </c>
      <c r="E265" s="4" t="s">
        <v>25</v>
      </c>
      <c r="F265" s="4" t="s">
        <v>25</v>
      </c>
      <c r="G265" s="4" t="s">
        <v>60</v>
      </c>
      <c r="H265" s="4" t="s">
        <v>34</v>
      </c>
      <c r="I265" s="5">
        <v>44501</v>
      </c>
      <c r="J265" s="6">
        <v>150</v>
      </c>
      <c r="K265" s="6">
        <v>150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61</v>
      </c>
      <c r="R265" s="4">
        <v>6600</v>
      </c>
      <c r="S265" s="4" t="s">
        <v>239</v>
      </c>
      <c r="U265" s="4">
        <v>30</v>
      </c>
      <c r="V265" s="4">
        <v>0</v>
      </c>
      <c r="W265" s="4">
        <v>0</v>
      </c>
    </row>
    <row r="266" spans="1:23" ht="11.25" customHeight="1" x14ac:dyDescent="0.25">
      <c r="A266" s="4" t="s">
        <v>21</v>
      </c>
      <c r="B266" s="4" t="s">
        <v>39</v>
      </c>
      <c r="C266" s="4" t="s">
        <v>59</v>
      </c>
      <c r="D266" s="4" t="s">
        <v>25</v>
      </c>
      <c r="E266" s="4" t="s">
        <v>25</v>
      </c>
      <c r="F266" s="4" t="s">
        <v>25</v>
      </c>
      <c r="G266" s="4" t="s">
        <v>60</v>
      </c>
      <c r="H266" s="4" t="s">
        <v>34</v>
      </c>
      <c r="I266" s="5">
        <v>44531</v>
      </c>
      <c r="J266" s="6">
        <v>152</v>
      </c>
      <c r="K266" s="6">
        <v>152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61</v>
      </c>
      <c r="R266" s="4">
        <v>6600</v>
      </c>
      <c r="S266" s="4" t="s">
        <v>240</v>
      </c>
      <c r="U266" s="4">
        <v>30</v>
      </c>
      <c r="V266" s="4">
        <v>0</v>
      </c>
      <c r="W266" s="4">
        <v>0</v>
      </c>
    </row>
    <row r="267" spans="1:23" ht="11.25" customHeight="1" x14ac:dyDescent="0.25">
      <c r="A267" s="4" t="s">
        <v>55</v>
      </c>
      <c r="B267" s="4" t="s">
        <v>39</v>
      </c>
      <c r="C267" s="4" t="s">
        <v>59</v>
      </c>
      <c r="D267" s="4" t="s">
        <v>25</v>
      </c>
      <c r="E267" s="4" t="s">
        <v>25</v>
      </c>
      <c r="F267" s="4" t="s">
        <v>25</v>
      </c>
      <c r="G267" s="4" t="s">
        <v>60</v>
      </c>
      <c r="H267" s="4" t="s">
        <v>34</v>
      </c>
      <c r="I267" s="5">
        <v>44562</v>
      </c>
      <c r="J267" s="6">
        <v>152</v>
      </c>
      <c r="K267" s="6">
        <v>152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61</v>
      </c>
      <c r="R267" s="4">
        <v>6600</v>
      </c>
      <c r="S267" s="4" t="s">
        <v>241</v>
      </c>
      <c r="U267" s="4">
        <v>30</v>
      </c>
      <c r="V267" s="4">
        <v>0</v>
      </c>
      <c r="W267" s="4">
        <v>0</v>
      </c>
    </row>
    <row r="268" spans="1:23" ht="11.25" customHeight="1" x14ac:dyDescent="0.25">
      <c r="A268" s="4" t="s">
        <v>21</v>
      </c>
      <c r="B268" s="4" t="s">
        <v>39</v>
      </c>
      <c r="C268" s="4" t="s">
        <v>41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35</v>
      </c>
      <c r="I268" s="5">
        <v>44228</v>
      </c>
      <c r="J268" s="6">
        <v>0</v>
      </c>
      <c r="K268" s="6">
        <v>0</v>
      </c>
      <c r="L268" s="6">
        <v>2306.8510000000001</v>
      </c>
      <c r="M268" s="6">
        <v>2306.8510000000001</v>
      </c>
      <c r="N268" s="6">
        <v>2306.8510000000001</v>
      </c>
      <c r="O268" s="6">
        <v>2306.8510000000001</v>
      </c>
      <c r="P268" s="6">
        <v>0</v>
      </c>
      <c r="Q268" s="4" t="s">
        <v>26</v>
      </c>
      <c r="R268" s="4">
        <v>0</v>
      </c>
      <c r="S268" s="4" t="s">
        <v>242</v>
      </c>
      <c r="T268" s="4" t="s">
        <v>483</v>
      </c>
      <c r="U268" s="4">
        <v>0</v>
      </c>
      <c r="V268" s="4">
        <v>25</v>
      </c>
      <c r="W268" s="4">
        <v>68</v>
      </c>
    </row>
    <row r="269" spans="1:23" ht="11.25" customHeight="1" x14ac:dyDescent="0.25">
      <c r="A269" s="4" t="s">
        <v>27</v>
      </c>
      <c r="B269" s="4" t="s">
        <v>39</v>
      </c>
      <c r="C269" s="4" t="s">
        <v>41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35</v>
      </c>
      <c r="I269" s="5">
        <v>44228</v>
      </c>
      <c r="J269" s="6">
        <v>0</v>
      </c>
      <c r="K269" s="6">
        <v>0</v>
      </c>
      <c r="L269" s="6">
        <v>-36.494999999999997</v>
      </c>
      <c r="M269" s="6">
        <v>-36.494999999999997</v>
      </c>
      <c r="N269" s="6">
        <v>-36.494999999999997</v>
      </c>
      <c r="O269" s="6">
        <v>-36.494999999999997</v>
      </c>
      <c r="P269" s="6">
        <v>0</v>
      </c>
      <c r="Q269" s="4" t="s">
        <v>26</v>
      </c>
      <c r="R269" s="4">
        <v>0</v>
      </c>
      <c r="S269" s="4" t="s">
        <v>242</v>
      </c>
      <c r="T269" s="4" t="s">
        <v>483</v>
      </c>
      <c r="U269" s="4">
        <v>0</v>
      </c>
      <c r="V269" s="4">
        <v>25</v>
      </c>
      <c r="W269" s="4">
        <v>68</v>
      </c>
    </row>
    <row r="270" spans="1:23" ht="11.25" customHeight="1" x14ac:dyDescent="0.25">
      <c r="A270" s="4" t="s">
        <v>28</v>
      </c>
      <c r="B270" s="4" t="s">
        <v>39</v>
      </c>
      <c r="C270" s="4" t="s">
        <v>41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35</v>
      </c>
      <c r="I270" s="5">
        <v>44228</v>
      </c>
      <c r="J270" s="6">
        <v>0</v>
      </c>
      <c r="K270" s="6">
        <v>0</v>
      </c>
      <c r="L270" s="6">
        <v>69.009</v>
      </c>
      <c r="M270" s="6">
        <v>69.009</v>
      </c>
      <c r="N270" s="6">
        <v>69.009</v>
      </c>
      <c r="O270" s="6">
        <v>69.009</v>
      </c>
      <c r="P270" s="6">
        <v>0</v>
      </c>
      <c r="Q270" s="4" t="s">
        <v>26</v>
      </c>
      <c r="R270" s="4">
        <v>0</v>
      </c>
      <c r="S270" s="4" t="s">
        <v>242</v>
      </c>
      <c r="T270" s="4" t="s">
        <v>483</v>
      </c>
      <c r="U270" s="4">
        <v>0</v>
      </c>
      <c r="V270" s="4">
        <v>25</v>
      </c>
      <c r="W270" s="4">
        <v>68</v>
      </c>
    </row>
    <row r="271" spans="1:23" ht="11.25" customHeight="1" x14ac:dyDescent="0.25">
      <c r="A271" s="4" t="s">
        <v>21</v>
      </c>
      <c r="B271" s="4" t="s">
        <v>39</v>
      </c>
      <c r="C271" s="4" t="s">
        <v>41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35</v>
      </c>
      <c r="I271" s="5">
        <v>44228</v>
      </c>
      <c r="J271" s="6">
        <v>0</v>
      </c>
      <c r="K271" s="6">
        <v>0</v>
      </c>
      <c r="L271" s="6">
        <v>19.748000000000001</v>
      </c>
      <c r="M271" s="6">
        <v>19.748000000000001</v>
      </c>
      <c r="N271" s="6">
        <v>0</v>
      </c>
      <c r="O271" s="6">
        <v>0</v>
      </c>
      <c r="P271" s="6">
        <v>0</v>
      </c>
      <c r="Q271" s="4" t="s">
        <v>57</v>
      </c>
      <c r="R271" s="4">
        <v>0</v>
      </c>
      <c r="S271" s="4" t="s">
        <v>242</v>
      </c>
      <c r="U271" s="4">
        <v>0</v>
      </c>
      <c r="V271" s="4">
        <v>25</v>
      </c>
      <c r="W271" s="4">
        <v>0</v>
      </c>
    </row>
    <row r="272" spans="1:23" ht="11.25" customHeight="1" x14ac:dyDescent="0.25">
      <c r="A272" s="4" t="s">
        <v>21</v>
      </c>
      <c r="B272" s="4" t="s">
        <v>39</v>
      </c>
      <c r="C272" s="4" t="s">
        <v>41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35</v>
      </c>
      <c r="I272" s="5">
        <v>44256</v>
      </c>
      <c r="J272" s="6">
        <v>0</v>
      </c>
      <c r="K272" s="6">
        <v>0</v>
      </c>
      <c r="L272" s="6">
        <v>2294.0990000000002</v>
      </c>
      <c r="M272" s="6">
        <v>2294.0990000000002</v>
      </c>
      <c r="N272" s="6">
        <v>2294.0990000000002</v>
      </c>
      <c r="O272" s="6">
        <v>2294.0990000000002</v>
      </c>
      <c r="P272" s="6">
        <v>0</v>
      </c>
      <c r="Q272" s="4" t="s">
        <v>26</v>
      </c>
      <c r="R272" s="4">
        <v>0</v>
      </c>
      <c r="S272" s="4" t="s">
        <v>243</v>
      </c>
      <c r="T272" s="4" t="s">
        <v>484</v>
      </c>
      <c r="U272" s="4">
        <v>0</v>
      </c>
      <c r="V272" s="4">
        <v>25</v>
      </c>
      <c r="W272" s="4">
        <v>68</v>
      </c>
    </row>
    <row r="273" spans="1:23" ht="11.25" customHeight="1" x14ac:dyDescent="0.25">
      <c r="A273" s="4" t="s">
        <v>28</v>
      </c>
      <c r="B273" s="4" t="s">
        <v>39</v>
      </c>
      <c r="C273" s="4" t="s">
        <v>41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35</v>
      </c>
      <c r="I273" s="5">
        <v>44256</v>
      </c>
      <c r="J273" s="6">
        <v>0</v>
      </c>
      <c r="K273" s="6">
        <v>0</v>
      </c>
      <c r="L273" s="6">
        <v>131.018</v>
      </c>
      <c r="M273" s="6">
        <v>131.018</v>
      </c>
      <c r="N273" s="6">
        <v>131.018</v>
      </c>
      <c r="O273" s="6">
        <v>131.018</v>
      </c>
      <c r="P273" s="6">
        <v>0</v>
      </c>
      <c r="Q273" s="4" t="s">
        <v>26</v>
      </c>
      <c r="R273" s="4">
        <v>0</v>
      </c>
      <c r="S273" s="4" t="s">
        <v>243</v>
      </c>
      <c r="T273" s="4" t="s">
        <v>484</v>
      </c>
      <c r="U273" s="4">
        <v>0</v>
      </c>
      <c r="V273" s="4">
        <v>25</v>
      </c>
      <c r="W273" s="4">
        <v>68</v>
      </c>
    </row>
    <row r="274" spans="1:23" ht="11.25" customHeight="1" x14ac:dyDescent="0.25">
      <c r="A274" s="4" t="s">
        <v>21</v>
      </c>
      <c r="B274" s="4" t="s">
        <v>39</v>
      </c>
      <c r="C274" s="4" t="s">
        <v>41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35</v>
      </c>
      <c r="I274" s="5">
        <v>44256</v>
      </c>
      <c r="J274" s="6">
        <v>0</v>
      </c>
      <c r="K274" s="6">
        <v>0</v>
      </c>
      <c r="L274" s="6">
        <v>17.541</v>
      </c>
      <c r="M274" s="6">
        <v>17.541</v>
      </c>
      <c r="N274" s="6">
        <v>0</v>
      </c>
      <c r="O274" s="6">
        <v>0</v>
      </c>
      <c r="P274" s="6">
        <v>0</v>
      </c>
      <c r="Q274" s="4" t="s">
        <v>57</v>
      </c>
      <c r="R274" s="4">
        <v>0</v>
      </c>
      <c r="S274" s="4" t="s">
        <v>243</v>
      </c>
      <c r="U274" s="4">
        <v>0</v>
      </c>
      <c r="V274" s="4">
        <v>25</v>
      </c>
      <c r="W274" s="4">
        <v>0</v>
      </c>
    </row>
    <row r="275" spans="1:23" ht="11.25" customHeight="1" x14ac:dyDescent="0.25">
      <c r="A275" s="4" t="s">
        <v>21</v>
      </c>
      <c r="B275" s="4" t="s">
        <v>39</v>
      </c>
      <c r="C275" s="4" t="s">
        <v>41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35</v>
      </c>
      <c r="I275" s="5">
        <v>44287</v>
      </c>
      <c r="J275" s="6">
        <v>0</v>
      </c>
      <c r="K275" s="6">
        <v>0</v>
      </c>
      <c r="L275" s="6">
        <v>2291.538</v>
      </c>
      <c r="M275" s="6">
        <v>2291.538</v>
      </c>
      <c r="N275" s="6">
        <v>2291.538</v>
      </c>
      <c r="O275" s="6">
        <v>2291.538</v>
      </c>
      <c r="P275" s="6">
        <v>0</v>
      </c>
      <c r="Q275" s="4" t="s">
        <v>26</v>
      </c>
      <c r="R275" s="4">
        <v>0</v>
      </c>
      <c r="S275" s="4" t="s">
        <v>244</v>
      </c>
      <c r="T275" s="4" t="s">
        <v>485</v>
      </c>
      <c r="U275" s="4">
        <v>0</v>
      </c>
      <c r="V275" s="4">
        <v>25</v>
      </c>
      <c r="W275" s="4">
        <v>68</v>
      </c>
    </row>
    <row r="276" spans="1:23" ht="11.25" customHeight="1" x14ac:dyDescent="0.25">
      <c r="A276" s="4" t="s">
        <v>28</v>
      </c>
      <c r="B276" s="4" t="s">
        <v>39</v>
      </c>
      <c r="C276" s="4" t="s">
        <v>41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35</v>
      </c>
      <c r="I276" s="5">
        <v>44287</v>
      </c>
      <c r="J276" s="6">
        <v>0</v>
      </c>
      <c r="K276" s="6">
        <v>0</v>
      </c>
      <c r="L276" s="6">
        <v>124.126</v>
      </c>
      <c r="M276" s="6">
        <v>124.126</v>
      </c>
      <c r="N276" s="6">
        <v>124.126</v>
      </c>
      <c r="O276" s="6">
        <v>124.126</v>
      </c>
      <c r="P276" s="6">
        <v>0</v>
      </c>
      <c r="Q276" s="4" t="s">
        <v>26</v>
      </c>
      <c r="R276" s="4">
        <v>0</v>
      </c>
      <c r="S276" s="4" t="s">
        <v>244</v>
      </c>
      <c r="T276" s="4" t="s">
        <v>485</v>
      </c>
      <c r="U276" s="4">
        <v>0</v>
      </c>
      <c r="V276" s="4">
        <v>25</v>
      </c>
      <c r="W276" s="4">
        <v>68</v>
      </c>
    </row>
    <row r="277" spans="1:23" ht="11.25" customHeight="1" x14ac:dyDescent="0.25">
      <c r="A277" s="4" t="s">
        <v>21</v>
      </c>
      <c r="B277" s="4" t="s">
        <v>39</v>
      </c>
      <c r="C277" s="4" t="s">
        <v>41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35</v>
      </c>
      <c r="I277" s="5">
        <v>44317</v>
      </c>
      <c r="J277" s="6">
        <v>0</v>
      </c>
      <c r="K277" s="6">
        <v>0</v>
      </c>
      <c r="L277" s="6">
        <v>2251.297</v>
      </c>
      <c r="M277" s="6">
        <v>2251.297</v>
      </c>
      <c r="N277" s="6">
        <v>2251.297</v>
      </c>
      <c r="O277" s="6">
        <v>2251.297</v>
      </c>
      <c r="P277" s="6">
        <v>0</v>
      </c>
      <c r="Q277" s="4" t="s">
        <v>26</v>
      </c>
      <c r="R277" s="4">
        <v>0</v>
      </c>
      <c r="S277" s="4" t="s">
        <v>245</v>
      </c>
      <c r="T277" s="4" t="s">
        <v>486</v>
      </c>
      <c r="U277" s="4">
        <v>0</v>
      </c>
      <c r="V277" s="4">
        <v>25</v>
      </c>
      <c r="W277" s="4">
        <v>68</v>
      </c>
    </row>
    <row r="278" spans="1:23" ht="11.25" customHeight="1" x14ac:dyDescent="0.25">
      <c r="A278" s="4" t="s">
        <v>28</v>
      </c>
      <c r="B278" s="4" t="s">
        <v>39</v>
      </c>
      <c r="C278" s="4" t="s">
        <v>41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35</v>
      </c>
      <c r="I278" s="5">
        <v>44317</v>
      </c>
      <c r="J278" s="6">
        <v>0</v>
      </c>
      <c r="K278" s="6">
        <v>0</v>
      </c>
      <c r="L278" s="6">
        <v>143.03800000000001</v>
      </c>
      <c r="M278" s="6">
        <v>143.03800000000001</v>
      </c>
      <c r="N278" s="6">
        <v>143.03800000000001</v>
      </c>
      <c r="O278" s="6">
        <v>143.03800000000001</v>
      </c>
      <c r="P278" s="6">
        <v>0</v>
      </c>
      <c r="Q278" s="4" t="s">
        <v>26</v>
      </c>
      <c r="R278" s="4">
        <v>0</v>
      </c>
      <c r="S278" s="4" t="s">
        <v>245</v>
      </c>
      <c r="T278" s="4" t="s">
        <v>486</v>
      </c>
      <c r="U278" s="4">
        <v>0</v>
      </c>
      <c r="V278" s="4">
        <v>25</v>
      </c>
      <c r="W278" s="4">
        <v>68</v>
      </c>
    </row>
    <row r="279" spans="1:23" ht="11.25" customHeight="1" x14ac:dyDescent="0.25">
      <c r="A279" s="4" t="s">
        <v>21</v>
      </c>
      <c r="B279" s="4" t="s">
        <v>39</v>
      </c>
      <c r="C279" s="4" t="s">
        <v>41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35</v>
      </c>
      <c r="I279" s="5">
        <v>44348</v>
      </c>
      <c r="J279" s="6">
        <v>0</v>
      </c>
      <c r="K279" s="6">
        <v>0</v>
      </c>
      <c r="L279" s="6">
        <v>1952.595</v>
      </c>
      <c r="M279" s="6">
        <v>1952.595</v>
      </c>
      <c r="N279" s="6">
        <v>1952.595</v>
      </c>
      <c r="O279" s="6">
        <v>1952.595</v>
      </c>
      <c r="P279" s="6">
        <v>0</v>
      </c>
      <c r="Q279" s="4" t="s">
        <v>26</v>
      </c>
      <c r="R279" s="4">
        <v>0</v>
      </c>
      <c r="S279" s="4" t="s">
        <v>246</v>
      </c>
      <c r="T279" s="4" t="s">
        <v>487</v>
      </c>
      <c r="U279" s="4">
        <v>0</v>
      </c>
      <c r="V279" s="4">
        <v>25</v>
      </c>
      <c r="W279" s="4">
        <v>68</v>
      </c>
    </row>
    <row r="280" spans="1:23" ht="11.25" customHeight="1" x14ac:dyDescent="0.25">
      <c r="A280" s="4" t="s">
        <v>28</v>
      </c>
      <c r="B280" s="4" t="s">
        <v>39</v>
      </c>
      <c r="C280" s="4" t="s">
        <v>41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35</v>
      </c>
      <c r="I280" s="5">
        <v>44348</v>
      </c>
      <c r="J280" s="6">
        <v>0</v>
      </c>
      <c r="K280" s="6">
        <v>0</v>
      </c>
      <c r="L280" s="6">
        <v>132.74600000000001</v>
      </c>
      <c r="M280" s="6">
        <v>132.74600000000001</v>
      </c>
      <c r="N280" s="6">
        <v>132.74600000000001</v>
      </c>
      <c r="O280" s="6">
        <v>132.74600000000001</v>
      </c>
      <c r="P280" s="6">
        <v>0</v>
      </c>
      <c r="Q280" s="4" t="s">
        <v>26</v>
      </c>
      <c r="R280" s="4">
        <v>0</v>
      </c>
      <c r="S280" s="4" t="s">
        <v>246</v>
      </c>
      <c r="T280" s="4" t="s">
        <v>487</v>
      </c>
      <c r="U280" s="4">
        <v>0</v>
      </c>
      <c r="V280" s="4">
        <v>25</v>
      </c>
      <c r="W280" s="4">
        <v>68</v>
      </c>
    </row>
    <row r="281" spans="1:23" ht="11.25" customHeight="1" x14ac:dyDescent="0.25">
      <c r="A281" s="4" t="s">
        <v>21</v>
      </c>
      <c r="B281" s="4" t="s">
        <v>39</v>
      </c>
      <c r="C281" s="4" t="s">
        <v>41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35</v>
      </c>
      <c r="I281" s="5">
        <v>44378</v>
      </c>
      <c r="J281" s="6">
        <v>0</v>
      </c>
      <c r="K281" s="6">
        <v>0</v>
      </c>
      <c r="L281" s="6">
        <v>1859.2339999999999</v>
      </c>
      <c r="M281" s="6">
        <v>1859.2339999999999</v>
      </c>
      <c r="N281" s="6">
        <v>1859.2339999999999</v>
      </c>
      <c r="O281" s="6">
        <v>1859.2339999999999</v>
      </c>
      <c r="P281" s="6">
        <v>0</v>
      </c>
      <c r="Q281" s="4" t="s">
        <v>26</v>
      </c>
      <c r="R281" s="4">
        <v>0</v>
      </c>
      <c r="S281" s="4" t="s">
        <v>247</v>
      </c>
      <c r="T281" s="4" t="s">
        <v>488</v>
      </c>
      <c r="U281" s="4">
        <v>0</v>
      </c>
      <c r="V281" s="4">
        <v>25</v>
      </c>
      <c r="W281" s="4">
        <v>68</v>
      </c>
    </row>
    <row r="282" spans="1:23" ht="11.25" customHeight="1" x14ac:dyDescent="0.25">
      <c r="A282" s="4" t="s">
        <v>28</v>
      </c>
      <c r="B282" s="4" t="s">
        <v>39</v>
      </c>
      <c r="C282" s="4" t="s">
        <v>41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44378</v>
      </c>
      <c r="J282" s="6">
        <v>0</v>
      </c>
      <c r="K282" s="6">
        <v>0</v>
      </c>
      <c r="L282" s="6">
        <v>239.047</v>
      </c>
      <c r="M282" s="6">
        <v>239.047</v>
      </c>
      <c r="N282" s="6">
        <v>239.047</v>
      </c>
      <c r="O282" s="6">
        <v>239.047</v>
      </c>
      <c r="P282" s="6">
        <v>0</v>
      </c>
      <c r="Q282" s="4" t="s">
        <v>26</v>
      </c>
      <c r="R282" s="4">
        <v>0</v>
      </c>
      <c r="S282" s="4" t="s">
        <v>247</v>
      </c>
      <c r="T282" s="4" t="s">
        <v>488</v>
      </c>
      <c r="U282" s="4">
        <v>0</v>
      </c>
      <c r="V282" s="4">
        <v>25</v>
      </c>
      <c r="W282" s="4">
        <v>68</v>
      </c>
    </row>
    <row r="283" spans="1:23" ht="11.25" customHeight="1" x14ac:dyDescent="0.25">
      <c r="A283" s="4" t="s">
        <v>21</v>
      </c>
      <c r="B283" s="4" t="s">
        <v>39</v>
      </c>
      <c r="C283" s="4" t="s">
        <v>41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44409</v>
      </c>
      <c r="J283" s="6">
        <v>0</v>
      </c>
      <c r="K283" s="6">
        <v>0</v>
      </c>
      <c r="L283" s="6">
        <v>1770.7670000000001</v>
      </c>
      <c r="M283" s="6">
        <v>1770.7670000000001</v>
      </c>
      <c r="N283" s="6">
        <v>1770.7670000000001</v>
      </c>
      <c r="O283" s="6">
        <v>1770.7670000000001</v>
      </c>
      <c r="P283" s="6">
        <v>0</v>
      </c>
      <c r="Q283" s="4" t="s">
        <v>26</v>
      </c>
      <c r="R283" s="4">
        <v>0</v>
      </c>
      <c r="S283" s="4" t="s">
        <v>248</v>
      </c>
      <c r="T283" s="4" t="s">
        <v>489</v>
      </c>
      <c r="U283" s="4">
        <v>0</v>
      </c>
      <c r="V283" s="4">
        <v>25</v>
      </c>
      <c r="W283" s="4">
        <v>68</v>
      </c>
    </row>
    <row r="284" spans="1:23" ht="11.25" customHeight="1" x14ac:dyDescent="0.25">
      <c r="A284" s="4" t="s">
        <v>28</v>
      </c>
      <c r="B284" s="4" t="s">
        <v>39</v>
      </c>
      <c r="C284" s="4" t="s">
        <v>41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44409</v>
      </c>
      <c r="J284" s="6">
        <v>0</v>
      </c>
      <c r="K284" s="6">
        <v>0</v>
      </c>
      <c r="L284" s="6">
        <v>229.97300000000001</v>
      </c>
      <c r="M284" s="6">
        <v>229.97300000000001</v>
      </c>
      <c r="N284" s="6">
        <v>229.97300000000001</v>
      </c>
      <c r="O284" s="6">
        <v>229.97300000000001</v>
      </c>
      <c r="P284" s="6">
        <v>0</v>
      </c>
      <c r="Q284" s="4" t="s">
        <v>26</v>
      </c>
      <c r="R284" s="4">
        <v>0</v>
      </c>
      <c r="S284" s="4" t="s">
        <v>248</v>
      </c>
      <c r="T284" s="4" t="s">
        <v>489</v>
      </c>
      <c r="U284" s="4">
        <v>0</v>
      </c>
      <c r="V284" s="4">
        <v>25</v>
      </c>
      <c r="W284" s="4">
        <v>68</v>
      </c>
    </row>
    <row r="285" spans="1:23" ht="11.25" customHeight="1" x14ac:dyDescent="0.25">
      <c r="A285" s="4" t="s">
        <v>21</v>
      </c>
      <c r="B285" s="4" t="s">
        <v>39</v>
      </c>
      <c r="C285" s="4" t="s">
        <v>41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44409</v>
      </c>
      <c r="J285" s="6">
        <v>0</v>
      </c>
      <c r="K285" s="6">
        <v>0</v>
      </c>
      <c r="L285" s="6">
        <v>225.64599999999999</v>
      </c>
      <c r="M285" s="6">
        <v>225.64599999999999</v>
      </c>
      <c r="N285" s="6">
        <v>0</v>
      </c>
      <c r="O285" s="6">
        <v>0</v>
      </c>
      <c r="P285" s="6">
        <v>0</v>
      </c>
      <c r="Q285" s="4" t="s">
        <v>57</v>
      </c>
      <c r="R285" s="4">
        <v>0</v>
      </c>
      <c r="S285" s="4" t="s">
        <v>248</v>
      </c>
      <c r="U285" s="4">
        <v>0</v>
      </c>
      <c r="V285" s="4">
        <v>25</v>
      </c>
      <c r="W285" s="4">
        <v>0</v>
      </c>
    </row>
    <row r="286" spans="1:23" ht="11.25" customHeight="1" x14ac:dyDescent="0.25">
      <c r="A286" s="4" t="s">
        <v>21</v>
      </c>
      <c r="B286" s="4" t="s">
        <v>39</v>
      </c>
      <c r="C286" s="4" t="s">
        <v>41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44440</v>
      </c>
      <c r="J286" s="6">
        <v>0</v>
      </c>
      <c r="K286" s="6">
        <v>0</v>
      </c>
      <c r="L286" s="6">
        <v>1871.1179999999999</v>
      </c>
      <c r="M286" s="6">
        <v>1871.1179999999999</v>
      </c>
      <c r="N286" s="6">
        <v>1871.1179999999999</v>
      </c>
      <c r="O286" s="6">
        <v>1871.1179999999999</v>
      </c>
      <c r="P286" s="6">
        <v>0</v>
      </c>
      <c r="Q286" s="4" t="s">
        <v>26</v>
      </c>
      <c r="R286" s="4">
        <v>0</v>
      </c>
      <c r="S286" s="4" t="s">
        <v>249</v>
      </c>
      <c r="T286" s="4" t="s">
        <v>490</v>
      </c>
      <c r="U286" s="4">
        <v>0</v>
      </c>
      <c r="V286" s="4">
        <v>25</v>
      </c>
      <c r="W286" s="4">
        <v>68</v>
      </c>
    </row>
    <row r="287" spans="1:23" ht="11.25" customHeight="1" x14ac:dyDescent="0.25">
      <c r="A287" s="4" t="s">
        <v>28</v>
      </c>
      <c r="B287" s="4" t="s">
        <v>39</v>
      </c>
      <c r="C287" s="4" t="s">
        <v>41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44440</v>
      </c>
      <c r="J287" s="6">
        <v>0</v>
      </c>
      <c r="K287" s="6">
        <v>0</v>
      </c>
      <c r="L287" s="6">
        <v>226.03399999999999</v>
      </c>
      <c r="M287" s="6">
        <v>226.03399999999999</v>
      </c>
      <c r="N287" s="6">
        <v>226.03399999999999</v>
      </c>
      <c r="O287" s="6">
        <v>226.03399999999999</v>
      </c>
      <c r="P287" s="6">
        <v>0</v>
      </c>
      <c r="Q287" s="4" t="s">
        <v>26</v>
      </c>
      <c r="R287" s="4">
        <v>0</v>
      </c>
      <c r="S287" s="4" t="s">
        <v>249</v>
      </c>
      <c r="T287" s="4" t="s">
        <v>490</v>
      </c>
      <c r="U287" s="4">
        <v>0</v>
      </c>
      <c r="V287" s="4">
        <v>25</v>
      </c>
      <c r="W287" s="4">
        <v>68</v>
      </c>
    </row>
    <row r="288" spans="1:23" ht="11.25" customHeight="1" x14ac:dyDescent="0.25">
      <c r="A288" s="4" t="s">
        <v>28</v>
      </c>
      <c r="B288" s="4" t="s">
        <v>39</v>
      </c>
      <c r="C288" s="4" t="s">
        <v>41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44440</v>
      </c>
      <c r="J288" s="6">
        <v>0</v>
      </c>
      <c r="K288" s="6">
        <v>0</v>
      </c>
      <c r="L288" s="6">
        <v>-14.91</v>
      </c>
      <c r="M288" s="6">
        <v>-14.91</v>
      </c>
      <c r="N288" s="6">
        <v>-14.91</v>
      </c>
      <c r="O288" s="6">
        <v>-14.91</v>
      </c>
      <c r="P288" s="6">
        <v>0</v>
      </c>
      <c r="Q288" s="4" t="s">
        <v>26</v>
      </c>
      <c r="R288" s="4">
        <v>0</v>
      </c>
      <c r="S288" s="4" t="s">
        <v>249</v>
      </c>
      <c r="T288" s="4" t="s">
        <v>490</v>
      </c>
      <c r="U288" s="4">
        <v>0</v>
      </c>
      <c r="V288" s="4">
        <v>25</v>
      </c>
      <c r="W288" s="4">
        <v>68</v>
      </c>
    </row>
    <row r="289" spans="1:23" ht="11.25" customHeight="1" x14ac:dyDescent="0.25">
      <c r="A289" s="4" t="s">
        <v>21</v>
      </c>
      <c r="B289" s="4" t="s">
        <v>39</v>
      </c>
      <c r="C289" s="4" t="s">
        <v>41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44440</v>
      </c>
      <c r="J289" s="6">
        <v>0</v>
      </c>
      <c r="K289" s="6">
        <v>0</v>
      </c>
      <c r="L289" s="6">
        <v>229.39</v>
      </c>
      <c r="M289" s="6">
        <v>229.39</v>
      </c>
      <c r="N289" s="6">
        <v>0</v>
      </c>
      <c r="O289" s="6">
        <v>0</v>
      </c>
      <c r="P289" s="6">
        <v>0</v>
      </c>
      <c r="Q289" s="4" t="s">
        <v>57</v>
      </c>
      <c r="R289" s="4">
        <v>0</v>
      </c>
      <c r="S289" s="4" t="s">
        <v>249</v>
      </c>
      <c r="U289" s="4">
        <v>0</v>
      </c>
      <c r="V289" s="4">
        <v>25</v>
      </c>
      <c r="W289" s="4">
        <v>0</v>
      </c>
    </row>
    <row r="290" spans="1:23" ht="11.25" customHeight="1" x14ac:dyDescent="0.25">
      <c r="A290" s="4" t="s">
        <v>21</v>
      </c>
      <c r="B290" s="4" t="s">
        <v>39</v>
      </c>
      <c r="C290" s="4" t="s">
        <v>41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44470</v>
      </c>
      <c r="J290" s="6">
        <v>0</v>
      </c>
      <c r="K290" s="6">
        <v>0</v>
      </c>
      <c r="L290" s="6">
        <v>2082.4140000000002</v>
      </c>
      <c r="M290" s="6">
        <v>2082.4140000000002</v>
      </c>
      <c r="N290" s="6">
        <v>2082.4140000000002</v>
      </c>
      <c r="O290" s="6">
        <v>2082.4140000000002</v>
      </c>
      <c r="P290" s="6">
        <v>0</v>
      </c>
      <c r="Q290" s="4" t="s">
        <v>26</v>
      </c>
      <c r="R290" s="4">
        <v>0</v>
      </c>
      <c r="S290" s="4" t="s">
        <v>250</v>
      </c>
      <c r="T290" s="4" t="s">
        <v>491</v>
      </c>
      <c r="U290" s="4">
        <v>0</v>
      </c>
      <c r="V290" s="4">
        <v>25</v>
      </c>
      <c r="W290" s="4">
        <v>68</v>
      </c>
    </row>
    <row r="291" spans="1:23" ht="11.25" customHeight="1" x14ac:dyDescent="0.25">
      <c r="A291" s="4" t="s">
        <v>28</v>
      </c>
      <c r="B291" s="4" t="s">
        <v>39</v>
      </c>
      <c r="C291" s="4" t="s">
        <v>41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44470</v>
      </c>
      <c r="J291" s="6">
        <v>0</v>
      </c>
      <c r="K291" s="6">
        <v>0</v>
      </c>
      <c r="L291" s="6">
        <v>247.19800000000001</v>
      </c>
      <c r="M291" s="6">
        <v>247.19800000000001</v>
      </c>
      <c r="N291" s="6">
        <v>247.19800000000001</v>
      </c>
      <c r="O291" s="6">
        <v>247.19800000000001</v>
      </c>
      <c r="P291" s="6">
        <v>0</v>
      </c>
      <c r="Q291" s="4" t="s">
        <v>26</v>
      </c>
      <c r="R291" s="4">
        <v>0</v>
      </c>
      <c r="S291" s="4" t="s">
        <v>250</v>
      </c>
      <c r="T291" s="4" t="s">
        <v>491</v>
      </c>
      <c r="U291" s="4">
        <v>0</v>
      </c>
      <c r="V291" s="4">
        <v>25</v>
      </c>
      <c r="W291" s="4">
        <v>68</v>
      </c>
    </row>
    <row r="292" spans="1:23" ht="11.25" customHeight="1" x14ac:dyDescent="0.25">
      <c r="A292" s="4" t="s">
        <v>21</v>
      </c>
      <c r="B292" s="4" t="s">
        <v>39</v>
      </c>
      <c r="C292" s="4" t="s">
        <v>41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44501</v>
      </c>
      <c r="J292" s="6">
        <v>0</v>
      </c>
      <c r="K292" s="6">
        <v>0</v>
      </c>
      <c r="L292" s="6">
        <v>2128.8130000000001</v>
      </c>
      <c r="M292" s="6">
        <v>2128.8130000000001</v>
      </c>
      <c r="N292" s="6">
        <v>2128.8130000000001</v>
      </c>
      <c r="O292" s="6">
        <v>2128.8130000000001</v>
      </c>
      <c r="P292" s="6">
        <v>0</v>
      </c>
      <c r="Q292" s="4" t="s">
        <v>26</v>
      </c>
      <c r="R292" s="4">
        <v>0</v>
      </c>
      <c r="S292" s="4" t="s">
        <v>251</v>
      </c>
      <c r="T292" s="4" t="s">
        <v>492</v>
      </c>
      <c r="U292" s="4">
        <v>0</v>
      </c>
      <c r="V292" s="4">
        <v>25</v>
      </c>
      <c r="W292" s="4">
        <v>68</v>
      </c>
    </row>
    <row r="293" spans="1:23" ht="11.25" customHeight="1" x14ac:dyDescent="0.25">
      <c r="A293" s="4" t="s">
        <v>28</v>
      </c>
      <c r="B293" s="4" t="s">
        <v>39</v>
      </c>
      <c r="C293" s="4" t="s">
        <v>41</v>
      </c>
      <c r="D293" s="4" t="s">
        <v>42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44501</v>
      </c>
      <c r="J293" s="6">
        <v>0</v>
      </c>
      <c r="K293" s="6">
        <v>0</v>
      </c>
      <c r="L293" s="6">
        <v>184.01499999999999</v>
      </c>
      <c r="M293" s="6">
        <v>184.01499999999999</v>
      </c>
      <c r="N293" s="6">
        <v>184.01499999999999</v>
      </c>
      <c r="O293" s="6">
        <v>184.01499999999999</v>
      </c>
      <c r="P293" s="6">
        <v>0</v>
      </c>
      <c r="Q293" s="4" t="s">
        <v>26</v>
      </c>
      <c r="R293" s="4">
        <v>0</v>
      </c>
      <c r="S293" s="4" t="s">
        <v>251</v>
      </c>
      <c r="T293" s="4" t="s">
        <v>492</v>
      </c>
      <c r="U293" s="4">
        <v>0</v>
      </c>
      <c r="V293" s="4">
        <v>25</v>
      </c>
      <c r="W293" s="4">
        <v>68</v>
      </c>
    </row>
    <row r="294" spans="1:23" ht="11.25" customHeight="1" x14ac:dyDescent="0.25">
      <c r="A294" s="4" t="s">
        <v>21</v>
      </c>
      <c r="B294" s="4" t="s">
        <v>39</v>
      </c>
      <c r="C294" s="4" t="s">
        <v>41</v>
      </c>
      <c r="D294" s="4" t="s">
        <v>42</v>
      </c>
      <c r="E294" s="4" t="s">
        <v>25</v>
      </c>
      <c r="F294" s="4" t="s">
        <v>25</v>
      </c>
      <c r="G294" s="4" t="s">
        <v>25</v>
      </c>
      <c r="H294" s="4" t="s">
        <v>35</v>
      </c>
      <c r="I294" s="5">
        <v>44531</v>
      </c>
      <c r="J294" s="6">
        <v>0</v>
      </c>
      <c r="K294" s="6">
        <v>0</v>
      </c>
      <c r="L294" s="6">
        <v>2145.5210000000002</v>
      </c>
      <c r="M294" s="6">
        <v>2145.5210000000002</v>
      </c>
      <c r="N294" s="6">
        <v>2145.5210000000002</v>
      </c>
      <c r="O294" s="6">
        <v>2145.5210000000002</v>
      </c>
      <c r="P294" s="6">
        <v>0</v>
      </c>
      <c r="Q294" s="4" t="s">
        <v>26</v>
      </c>
      <c r="R294" s="4">
        <v>0</v>
      </c>
      <c r="S294" s="4" t="s">
        <v>252</v>
      </c>
      <c r="T294" s="4" t="s">
        <v>493</v>
      </c>
      <c r="U294" s="4">
        <v>0</v>
      </c>
      <c r="V294" s="4">
        <v>25</v>
      </c>
      <c r="W294" s="4">
        <v>68</v>
      </c>
    </row>
    <row r="295" spans="1:23" ht="11.25" customHeight="1" x14ac:dyDescent="0.25">
      <c r="A295" s="4" t="s">
        <v>28</v>
      </c>
      <c r="B295" s="4" t="s">
        <v>39</v>
      </c>
      <c r="C295" s="4" t="s">
        <v>41</v>
      </c>
      <c r="D295" s="4" t="s">
        <v>42</v>
      </c>
      <c r="E295" s="4" t="s">
        <v>25</v>
      </c>
      <c r="F295" s="4" t="s">
        <v>25</v>
      </c>
      <c r="G295" s="4" t="s">
        <v>25</v>
      </c>
      <c r="H295" s="4" t="s">
        <v>35</v>
      </c>
      <c r="I295" s="5">
        <v>44531</v>
      </c>
      <c r="J295" s="6">
        <v>0</v>
      </c>
      <c r="K295" s="6">
        <v>0</v>
      </c>
      <c r="L295" s="6">
        <v>157.102</v>
      </c>
      <c r="M295" s="6">
        <v>157.102</v>
      </c>
      <c r="N295" s="6">
        <v>157.102</v>
      </c>
      <c r="O295" s="6">
        <v>157.102</v>
      </c>
      <c r="P295" s="6">
        <v>0</v>
      </c>
      <c r="Q295" s="4" t="s">
        <v>26</v>
      </c>
      <c r="R295" s="4">
        <v>0</v>
      </c>
      <c r="S295" s="4" t="s">
        <v>252</v>
      </c>
      <c r="T295" s="4" t="s">
        <v>493</v>
      </c>
      <c r="U295" s="4">
        <v>0</v>
      </c>
      <c r="V295" s="4">
        <v>25</v>
      </c>
      <c r="W295" s="4">
        <v>68</v>
      </c>
    </row>
    <row r="296" spans="1:23" ht="11.25" customHeight="1" x14ac:dyDescent="0.25">
      <c r="A296" s="4" t="s">
        <v>55</v>
      </c>
      <c r="B296" s="4" t="s">
        <v>39</v>
      </c>
      <c r="C296" s="4" t="s">
        <v>41</v>
      </c>
      <c r="D296" s="4" t="s">
        <v>42</v>
      </c>
      <c r="E296" s="4" t="s">
        <v>25</v>
      </c>
      <c r="F296" s="4" t="s">
        <v>25</v>
      </c>
      <c r="G296" s="4" t="s">
        <v>25</v>
      </c>
      <c r="H296" s="4" t="s">
        <v>35</v>
      </c>
      <c r="I296" s="5">
        <v>44562</v>
      </c>
      <c r="J296" s="6">
        <v>0</v>
      </c>
      <c r="K296" s="6">
        <v>0</v>
      </c>
      <c r="L296" s="6">
        <v>2145.5210000000002</v>
      </c>
      <c r="M296" s="6">
        <v>2145.5210000000002</v>
      </c>
      <c r="N296" s="6">
        <v>2145.5210000000002</v>
      </c>
      <c r="O296" s="6">
        <v>2145.5210000000002</v>
      </c>
      <c r="P296" s="6">
        <v>0</v>
      </c>
      <c r="Q296" s="4" t="s">
        <v>26</v>
      </c>
      <c r="R296" s="4">
        <v>0</v>
      </c>
      <c r="S296" s="4" t="s">
        <v>253</v>
      </c>
      <c r="T296" s="4" t="s">
        <v>494</v>
      </c>
      <c r="U296" s="4">
        <v>0</v>
      </c>
      <c r="V296" s="4">
        <v>25</v>
      </c>
      <c r="W296" s="4">
        <v>68</v>
      </c>
    </row>
    <row r="297" spans="1:23" ht="11.25" customHeight="1" x14ac:dyDescent="0.25">
      <c r="A297" s="4" t="s">
        <v>55</v>
      </c>
      <c r="B297" s="4" t="s">
        <v>39</v>
      </c>
      <c r="C297" s="4" t="s">
        <v>41</v>
      </c>
      <c r="D297" s="4" t="s">
        <v>42</v>
      </c>
      <c r="E297" s="4" t="s">
        <v>25</v>
      </c>
      <c r="F297" s="4" t="s">
        <v>25</v>
      </c>
      <c r="G297" s="4" t="s">
        <v>25</v>
      </c>
      <c r="H297" s="4" t="s">
        <v>35</v>
      </c>
      <c r="I297" s="5">
        <v>44562</v>
      </c>
      <c r="J297" s="6">
        <v>0</v>
      </c>
      <c r="K297" s="6">
        <v>0</v>
      </c>
      <c r="L297" s="6">
        <v>157.102</v>
      </c>
      <c r="M297" s="6">
        <v>157.102</v>
      </c>
      <c r="N297" s="6">
        <v>157.102</v>
      </c>
      <c r="O297" s="6">
        <v>157.102</v>
      </c>
      <c r="P297" s="6">
        <v>0</v>
      </c>
      <c r="Q297" s="4" t="s">
        <v>26</v>
      </c>
      <c r="R297" s="4">
        <v>0</v>
      </c>
      <c r="S297" s="4" t="s">
        <v>253</v>
      </c>
      <c r="T297" s="4" t="s">
        <v>494</v>
      </c>
      <c r="U297" s="4">
        <v>0</v>
      </c>
      <c r="V297" s="4">
        <v>25</v>
      </c>
      <c r="W297" s="4">
        <v>68</v>
      </c>
    </row>
    <row r="298" spans="1:23" ht="11.25" customHeight="1" x14ac:dyDescent="0.25">
      <c r="A298" s="4" t="s">
        <v>21</v>
      </c>
      <c r="B298" s="4" t="s">
        <v>39</v>
      </c>
      <c r="C298" s="4" t="s">
        <v>41</v>
      </c>
      <c r="D298" s="4" t="s">
        <v>42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44228</v>
      </c>
      <c r="J298" s="6">
        <v>14628</v>
      </c>
      <c r="K298" s="6">
        <v>14628</v>
      </c>
      <c r="L298" s="6">
        <v>0</v>
      </c>
      <c r="M298" s="6">
        <v>0</v>
      </c>
      <c r="N298" s="6">
        <v>0</v>
      </c>
      <c r="O298" s="6">
        <v>0</v>
      </c>
      <c r="P298" s="6">
        <v>140</v>
      </c>
      <c r="Q298" s="4" t="s">
        <v>26</v>
      </c>
      <c r="R298" s="4">
        <v>0</v>
      </c>
      <c r="S298" s="4" t="s">
        <v>254</v>
      </c>
      <c r="U298" s="4">
        <v>23</v>
      </c>
      <c r="V298" s="4">
        <v>0</v>
      </c>
      <c r="W298" s="4">
        <v>0</v>
      </c>
    </row>
    <row r="299" spans="1:23" ht="11.25" customHeight="1" x14ac:dyDescent="0.25">
      <c r="A299" s="4" t="s">
        <v>28</v>
      </c>
      <c r="B299" s="4" t="s">
        <v>39</v>
      </c>
      <c r="C299" s="4" t="s">
        <v>41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44228</v>
      </c>
      <c r="J299" s="6">
        <v>1020</v>
      </c>
      <c r="K299" s="6">
        <v>1020</v>
      </c>
      <c r="L299" s="6">
        <v>0</v>
      </c>
      <c r="M299" s="6">
        <v>0</v>
      </c>
      <c r="N299" s="6">
        <v>0</v>
      </c>
      <c r="O299" s="6">
        <v>0</v>
      </c>
      <c r="P299" s="6">
        <v>7</v>
      </c>
      <c r="Q299" s="4" t="s">
        <v>26</v>
      </c>
      <c r="R299" s="4">
        <v>0</v>
      </c>
      <c r="S299" s="4" t="s">
        <v>254</v>
      </c>
      <c r="U299" s="4">
        <v>23</v>
      </c>
      <c r="V299" s="4">
        <v>0</v>
      </c>
      <c r="W299" s="4">
        <v>0</v>
      </c>
    </row>
    <row r="300" spans="1:23" ht="11.25" customHeight="1" x14ac:dyDescent="0.25">
      <c r="A300" s="4" t="s">
        <v>21</v>
      </c>
      <c r="B300" s="4" t="s">
        <v>39</v>
      </c>
      <c r="C300" s="4" t="s">
        <v>41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44228</v>
      </c>
      <c r="J300" s="6">
        <v>120</v>
      </c>
      <c r="K300" s="6">
        <v>120</v>
      </c>
      <c r="L300" s="6">
        <v>0</v>
      </c>
      <c r="M300" s="6">
        <v>0</v>
      </c>
      <c r="N300" s="6">
        <v>0</v>
      </c>
      <c r="O300" s="6">
        <v>0</v>
      </c>
      <c r="P300" s="6">
        <v>1</v>
      </c>
      <c r="Q300" s="4" t="s">
        <v>57</v>
      </c>
      <c r="R300" s="4">
        <v>0</v>
      </c>
      <c r="S300" s="4" t="s">
        <v>254</v>
      </c>
      <c r="U300" s="4">
        <v>23</v>
      </c>
      <c r="V300" s="4">
        <v>0</v>
      </c>
      <c r="W300" s="4">
        <v>0</v>
      </c>
    </row>
    <row r="301" spans="1:23" ht="11.25" customHeight="1" x14ac:dyDescent="0.25">
      <c r="A301" s="4" t="s">
        <v>21</v>
      </c>
      <c r="B301" s="4" t="s">
        <v>39</v>
      </c>
      <c r="C301" s="4" t="s">
        <v>41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44256</v>
      </c>
      <c r="J301" s="6">
        <v>14404</v>
      </c>
      <c r="K301" s="6">
        <v>14404</v>
      </c>
      <c r="L301" s="6">
        <v>0</v>
      </c>
      <c r="M301" s="6">
        <v>0</v>
      </c>
      <c r="N301" s="6">
        <v>0</v>
      </c>
      <c r="O301" s="6">
        <v>0</v>
      </c>
      <c r="P301" s="6">
        <v>140</v>
      </c>
      <c r="Q301" s="4" t="s">
        <v>26</v>
      </c>
      <c r="R301" s="4">
        <v>0</v>
      </c>
      <c r="S301" s="4" t="s">
        <v>255</v>
      </c>
      <c r="U301" s="4">
        <v>23</v>
      </c>
      <c r="V301" s="4">
        <v>0</v>
      </c>
      <c r="W301" s="4">
        <v>0</v>
      </c>
    </row>
    <row r="302" spans="1:23" ht="11.25" customHeight="1" x14ac:dyDescent="0.25">
      <c r="A302" s="4" t="s">
        <v>27</v>
      </c>
      <c r="B302" s="4" t="s">
        <v>39</v>
      </c>
      <c r="C302" s="4" t="s">
        <v>41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44256</v>
      </c>
      <c r="J302" s="6">
        <v>-120</v>
      </c>
      <c r="K302" s="6">
        <v>-120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4" t="s">
        <v>26</v>
      </c>
      <c r="R302" s="4">
        <v>0</v>
      </c>
      <c r="S302" s="4" t="s">
        <v>255</v>
      </c>
      <c r="U302" s="4">
        <v>23</v>
      </c>
      <c r="V302" s="4">
        <v>0</v>
      </c>
      <c r="W302" s="4">
        <v>0</v>
      </c>
    </row>
    <row r="303" spans="1:23" ht="11.25" customHeight="1" x14ac:dyDescent="0.25">
      <c r="A303" s="4" t="s">
        <v>28</v>
      </c>
      <c r="B303" s="4" t="s">
        <v>39</v>
      </c>
      <c r="C303" s="4" t="s">
        <v>41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44256</v>
      </c>
      <c r="J303" s="6">
        <v>1222</v>
      </c>
      <c r="K303" s="6">
        <v>1222</v>
      </c>
      <c r="L303" s="6">
        <v>0</v>
      </c>
      <c r="M303" s="6">
        <v>0</v>
      </c>
      <c r="N303" s="6">
        <v>0</v>
      </c>
      <c r="O303" s="6">
        <v>0</v>
      </c>
      <c r="P303" s="6">
        <v>8</v>
      </c>
      <c r="Q303" s="4" t="s">
        <v>26</v>
      </c>
      <c r="R303" s="4">
        <v>0</v>
      </c>
      <c r="S303" s="4" t="s">
        <v>255</v>
      </c>
      <c r="U303" s="4">
        <v>23</v>
      </c>
      <c r="V303" s="4">
        <v>0</v>
      </c>
      <c r="W303" s="4">
        <v>0</v>
      </c>
    </row>
    <row r="304" spans="1:23" ht="11.25" customHeight="1" x14ac:dyDescent="0.25">
      <c r="A304" s="4" t="s">
        <v>21</v>
      </c>
      <c r="B304" s="4" t="s">
        <v>39</v>
      </c>
      <c r="C304" s="4" t="s">
        <v>41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44256</v>
      </c>
      <c r="J304" s="6">
        <v>120</v>
      </c>
      <c r="K304" s="6">
        <v>120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4" t="s">
        <v>57</v>
      </c>
      <c r="R304" s="4">
        <v>0</v>
      </c>
      <c r="S304" s="4" t="s">
        <v>255</v>
      </c>
      <c r="U304" s="4">
        <v>23</v>
      </c>
      <c r="V304" s="4">
        <v>0</v>
      </c>
      <c r="W304" s="4">
        <v>0</v>
      </c>
    </row>
    <row r="305" spans="1:23" ht="11.25" customHeight="1" x14ac:dyDescent="0.25">
      <c r="A305" s="4" t="s">
        <v>21</v>
      </c>
      <c r="B305" s="4" t="s">
        <v>39</v>
      </c>
      <c r="C305" s="4" t="s">
        <v>41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44287</v>
      </c>
      <c r="J305" s="6">
        <v>14350</v>
      </c>
      <c r="K305" s="6">
        <v>14350</v>
      </c>
      <c r="L305" s="6">
        <v>0</v>
      </c>
      <c r="M305" s="6">
        <v>0</v>
      </c>
      <c r="N305" s="6">
        <v>0</v>
      </c>
      <c r="O305" s="6">
        <v>0</v>
      </c>
      <c r="P305" s="6">
        <v>145</v>
      </c>
      <c r="Q305" s="4" t="s">
        <v>26</v>
      </c>
      <c r="R305" s="4">
        <v>0</v>
      </c>
      <c r="S305" s="4" t="s">
        <v>256</v>
      </c>
      <c r="U305" s="4">
        <v>23</v>
      </c>
      <c r="V305" s="4">
        <v>0</v>
      </c>
      <c r="W305" s="4">
        <v>0</v>
      </c>
    </row>
    <row r="306" spans="1:23" ht="11.25" customHeight="1" x14ac:dyDescent="0.25">
      <c r="A306" s="4" t="s">
        <v>28</v>
      </c>
      <c r="B306" s="4" t="s">
        <v>39</v>
      </c>
      <c r="C306" s="4" t="s">
        <v>41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44287</v>
      </c>
      <c r="J306" s="6">
        <v>1450</v>
      </c>
      <c r="K306" s="6">
        <v>1450</v>
      </c>
      <c r="L306" s="6">
        <v>0</v>
      </c>
      <c r="M306" s="6">
        <v>0</v>
      </c>
      <c r="N306" s="6">
        <v>0</v>
      </c>
      <c r="O306" s="6">
        <v>0</v>
      </c>
      <c r="P306" s="6">
        <v>8</v>
      </c>
      <c r="Q306" s="4" t="s">
        <v>26</v>
      </c>
      <c r="R306" s="4">
        <v>0</v>
      </c>
      <c r="S306" s="4" t="s">
        <v>256</v>
      </c>
      <c r="U306" s="4">
        <v>23</v>
      </c>
      <c r="V306" s="4">
        <v>0</v>
      </c>
      <c r="W306" s="4">
        <v>0</v>
      </c>
    </row>
    <row r="307" spans="1:23" ht="11.25" customHeight="1" x14ac:dyDescent="0.25">
      <c r="A307" s="4" t="s">
        <v>21</v>
      </c>
      <c r="B307" s="4" t="s">
        <v>39</v>
      </c>
      <c r="C307" s="4" t="s">
        <v>41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44317</v>
      </c>
      <c r="J307" s="6">
        <v>14470</v>
      </c>
      <c r="K307" s="6">
        <v>14470</v>
      </c>
      <c r="L307" s="6">
        <v>0</v>
      </c>
      <c r="M307" s="6">
        <v>0</v>
      </c>
      <c r="N307" s="6">
        <v>0</v>
      </c>
      <c r="O307" s="6">
        <v>0</v>
      </c>
      <c r="P307" s="6">
        <v>145</v>
      </c>
      <c r="Q307" s="4" t="s">
        <v>26</v>
      </c>
      <c r="R307" s="4">
        <v>0</v>
      </c>
      <c r="S307" s="4" t="s">
        <v>257</v>
      </c>
      <c r="U307" s="4">
        <v>23</v>
      </c>
      <c r="V307" s="4">
        <v>0</v>
      </c>
      <c r="W307" s="4">
        <v>0</v>
      </c>
    </row>
    <row r="308" spans="1:23" ht="11.25" customHeight="1" x14ac:dyDescent="0.25">
      <c r="A308" s="4" t="s">
        <v>28</v>
      </c>
      <c r="B308" s="4" t="s">
        <v>39</v>
      </c>
      <c r="C308" s="4" t="s">
        <v>41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44317</v>
      </c>
      <c r="J308" s="6">
        <v>1456</v>
      </c>
      <c r="K308" s="6">
        <v>1456</v>
      </c>
      <c r="L308" s="6">
        <v>0</v>
      </c>
      <c r="M308" s="6">
        <v>0</v>
      </c>
      <c r="N308" s="6">
        <v>0</v>
      </c>
      <c r="O308" s="6">
        <v>0</v>
      </c>
      <c r="P308" s="6">
        <v>8</v>
      </c>
      <c r="Q308" s="4" t="s">
        <v>26</v>
      </c>
      <c r="R308" s="4">
        <v>0</v>
      </c>
      <c r="S308" s="4" t="s">
        <v>257</v>
      </c>
      <c r="U308" s="4">
        <v>23</v>
      </c>
      <c r="V308" s="4">
        <v>0</v>
      </c>
      <c r="W308" s="4">
        <v>0</v>
      </c>
    </row>
    <row r="309" spans="1:23" ht="11.25" customHeight="1" x14ac:dyDescent="0.25">
      <c r="A309" s="4" t="s">
        <v>21</v>
      </c>
      <c r="B309" s="4" t="s">
        <v>39</v>
      </c>
      <c r="C309" s="4" t="s">
        <v>41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44348</v>
      </c>
      <c r="J309" s="6">
        <v>13638</v>
      </c>
      <c r="K309" s="6">
        <v>13638</v>
      </c>
      <c r="L309" s="6">
        <v>0</v>
      </c>
      <c r="M309" s="6">
        <v>0</v>
      </c>
      <c r="N309" s="6">
        <v>0</v>
      </c>
      <c r="O309" s="6">
        <v>0</v>
      </c>
      <c r="P309" s="6">
        <v>141</v>
      </c>
      <c r="Q309" s="4" t="s">
        <v>26</v>
      </c>
      <c r="R309" s="4">
        <v>0</v>
      </c>
      <c r="S309" s="4" t="s">
        <v>258</v>
      </c>
      <c r="U309" s="4">
        <v>23</v>
      </c>
      <c r="V309" s="4">
        <v>0</v>
      </c>
      <c r="W309" s="4">
        <v>0</v>
      </c>
    </row>
    <row r="310" spans="1:23" ht="11.25" customHeight="1" x14ac:dyDescent="0.25">
      <c r="A310" s="4" t="s">
        <v>28</v>
      </c>
      <c r="B310" s="4" t="s">
        <v>39</v>
      </c>
      <c r="C310" s="4" t="s">
        <v>41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44348</v>
      </c>
      <c r="J310" s="6">
        <v>1440</v>
      </c>
      <c r="K310" s="6">
        <v>1440</v>
      </c>
      <c r="L310" s="6">
        <v>0</v>
      </c>
      <c r="M310" s="6">
        <v>0</v>
      </c>
      <c r="N310" s="6">
        <v>0</v>
      </c>
      <c r="O310" s="6">
        <v>0</v>
      </c>
      <c r="P310" s="6">
        <v>8</v>
      </c>
      <c r="Q310" s="4" t="s">
        <v>26</v>
      </c>
      <c r="R310" s="4">
        <v>0</v>
      </c>
      <c r="S310" s="4" t="s">
        <v>258</v>
      </c>
      <c r="U310" s="4">
        <v>23</v>
      </c>
      <c r="V310" s="4">
        <v>0</v>
      </c>
      <c r="W310" s="4">
        <v>0</v>
      </c>
    </row>
    <row r="311" spans="1:23" ht="11.25" customHeight="1" x14ac:dyDescent="0.25">
      <c r="A311" s="4" t="s">
        <v>21</v>
      </c>
      <c r="B311" s="4" t="s">
        <v>39</v>
      </c>
      <c r="C311" s="4" t="s">
        <v>41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44378</v>
      </c>
      <c r="J311" s="6">
        <v>13250</v>
      </c>
      <c r="K311" s="6">
        <v>13250</v>
      </c>
      <c r="L311" s="6">
        <v>0</v>
      </c>
      <c r="M311" s="6">
        <v>0</v>
      </c>
      <c r="N311" s="6">
        <v>0</v>
      </c>
      <c r="O311" s="6">
        <v>0</v>
      </c>
      <c r="P311" s="6">
        <v>138</v>
      </c>
      <c r="Q311" s="4" t="s">
        <v>26</v>
      </c>
      <c r="R311" s="4">
        <v>0</v>
      </c>
      <c r="S311" s="4" t="s">
        <v>259</v>
      </c>
      <c r="U311" s="4">
        <v>23</v>
      </c>
      <c r="V311" s="4">
        <v>0</v>
      </c>
      <c r="W311" s="4">
        <v>0</v>
      </c>
    </row>
    <row r="312" spans="1:23" ht="11.25" customHeight="1" x14ac:dyDescent="0.25">
      <c r="A312" s="4" t="s">
        <v>28</v>
      </c>
      <c r="B312" s="4" t="s">
        <v>39</v>
      </c>
      <c r="C312" s="4" t="s">
        <v>41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44378</v>
      </c>
      <c r="J312" s="6">
        <v>1786</v>
      </c>
      <c r="K312" s="6">
        <v>1786</v>
      </c>
      <c r="L312" s="6">
        <v>0</v>
      </c>
      <c r="M312" s="6">
        <v>0</v>
      </c>
      <c r="N312" s="6">
        <v>0</v>
      </c>
      <c r="O312" s="6">
        <v>0</v>
      </c>
      <c r="P312" s="6">
        <v>11</v>
      </c>
      <c r="Q312" s="4" t="s">
        <v>26</v>
      </c>
      <c r="R312" s="4">
        <v>0</v>
      </c>
      <c r="S312" s="4" t="s">
        <v>259</v>
      </c>
      <c r="U312" s="4">
        <v>23</v>
      </c>
      <c r="V312" s="4">
        <v>0</v>
      </c>
      <c r="W312" s="4">
        <v>0</v>
      </c>
    </row>
    <row r="313" spans="1:23" ht="11.25" customHeight="1" x14ac:dyDescent="0.25">
      <c r="A313" s="4" t="s">
        <v>21</v>
      </c>
      <c r="B313" s="4" t="s">
        <v>39</v>
      </c>
      <c r="C313" s="4" t="s">
        <v>41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44409</v>
      </c>
      <c r="J313" s="6">
        <v>13126</v>
      </c>
      <c r="K313" s="6">
        <v>13126</v>
      </c>
      <c r="L313" s="6">
        <v>0</v>
      </c>
      <c r="M313" s="6">
        <v>0</v>
      </c>
      <c r="N313" s="6">
        <v>0</v>
      </c>
      <c r="O313" s="6">
        <v>0</v>
      </c>
      <c r="P313" s="6">
        <v>137</v>
      </c>
      <c r="Q313" s="4" t="s">
        <v>26</v>
      </c>
      <c r="R313" s="4">
        <v>0</v>
      </c>
      <c r="S313" s="4" t="s">
        <v>260</v>
      </c>
      <c r="U313" s="4">
        <v>23</v>
      </c>
      <c r="V313" s="4">
        <v>0</v>
      </c>
      <c r="W313" s="4">
        <v>0</v>
      </c>
    </row>
    <row r="314" spans="1:23" ht="11.25" customHeight="1" x14ac:dyDescent="0.25">
      <c r="A314" s="4" t="s">
        <v>28</v>
      </c>
      <c r="B314" s="4" t="s">
        <v>39</v>
      </c>
      <c r="C314" s="4" t="s">
        <v>41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1795</v>
      </c>
      <c r="K314" s="6">
        <v>1795</v>
      </c>
      <c r="L314" s="6">
        <v>0</v>
      </c>
      <c r="M314" s="6">
        <v>0</v>
      </c>
      <c r="N314" s="6">
        <v>0</v>
      </c>
      <c r="O314" s="6">
        <v>0</v>
      </c>
      <c r="P314" s="6">
        <v>11</v>
      </c>
      <c r="Q314" s="4" t="s">
        <v>26</v>
      </c>
      <c r="R314" s="4">
        <v>0</v>
      </c>
      <c r="S314" s="4" t="s">
        <v>260</v>
      </c>
      <c r="U314" s="4">
        <v>23</v>
      </c>
      <c r="V314" s="4">
        <v>0</v>
      </c>
      <c r="W314" s="4">
        <v>0</v>
      </c>
    </row>
    <row r="315" spans="1:23" ht="11.25" customHeight="1" x14ac:dyDescent="0.25">
      <c r="A315" s="4" t="s">
        <v>21</v>
      </c>
      <c r="B315" s="4" t="s">
        <v>39</v>
      </c>
      <c r="C315" s="4" t="s">
        <v>41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44409</v>
      </c>
      <c r="J315" s="6">
        <v>650</v>
      </c>
      <c r="K315" s="6">
        <v>650</v>
      </c>
      <c r="L315" s="6">
        <v>0</v>
      </c>
      <c r="M315" s="6">
        <v>0</v>
      </c>
      <c r="N315" s="6">
        <v>0</v>
      </c>
      <c r="O315" s="6">
        <v>0</v>
      </c>
      <c r="P315" s="6">
        <v>1</v>
      </c>
      <c r="Q315" s="4" t="s">
        <v>57</v>
      </c>
      <c r="R315" s="4">
        <v>0</v>
      </c>
      <c r="S315" s="4" t="s">
        <v>260</v>
      </c>
      <c r="U315" s="4">
        <v>23</v>
      </c>
      <c r="V315" s="4">
        <v>0</v>
      </c>
      <c r="W315" s="4">
        <v>0</v>
      </c>
    </row>
    <row r="316" spans="1:23" ht="11.25" customHeight="1" x14ac:dyDescent="0.25">
      <c r="A316" s="4" t="s">
        <v>21</v>
      </c>
      <c r="B316" s="4" t="s">
        <v>39</v>
      </c>
      <c r="C316" s="4" t="s">
        <v>41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44440</v>
      </c>
      <c r="J316" s="6">
        <v>13168</v>
      </c>
      <c r="K316" s="6">
        <v>13168</v>
      </c>
      <c r="L316" s="6">
        <v>0</v>
      </c>
      <c r="M316" s="6">
        <v>0</v>
      </c>
      <c r="N316" s="6">
        <v>0</v>
      </c>
      <c r="O316" s="6">
        <v>0</v>
      </c>
      <c r="P316" s="6">
        <v>137</v>
      </c>
      <c r="Q316" s="4" t="s">
        <v>26</v>
      </c>
      <c r="R316" s="4">
        <v>0</v>
      </c>
      <c r="S316" s="4" t="s">
        <v>261</v>
      </c>
      <c r="U316" s="4">
        <v>23</v>
      </c>
      <c r="V316" s="4">
        <v>0</v>
      </c>
      <c r="W316" s="4">
        <v>0</v>
      </c>
    </row>
    <row r="317" spans="1:23" ht="11.25" customHeight="1" x14ac:dyDescent="0.25">
      <c r="A317" s="4" t="s">
        <v>28</v>
      </c>
      <c r="B317" s="4" t="s">
        <v>39</v>
      </c>
      <c r="C317" s="4" t="s">
        <v>41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44440</v>
      </c>
      <c r="J317" s="6">
        <v>2516</v>
      </c>
      <c r="K317" s="6">
        <v>2516</v>
      </c>
      <c r="L317" s="6">
        <v>0</v>
      </c>
      <c r="M317" s="6">
        <v>0</v>
      </c>
      <c r="N317" s="6">
        <v>0</v>
      </c>
      <c r="O317" s="6">
        <v>0</v>
      </c>
      <c r="P317" s="6">
        <v>11</v>
      </c>
      <c r="Q317" s="4" t="s">
        <v>26</v>
      </c>
      <c r="R317" s="4">
        <v>0</v>
      </c>
      <c r="S317" s="4" t="s">
        <v>261</v>
      </c>
      <c r="U317" s="4">
        <v>23</v>
      </c>
      <c r="V317" s="4">
        <v>0</v>
      </c>
      <c r="W317" s="4">
        <v>0</v>
      </c>
    </row>
    <row r="318" spans="1:23" ht="11.25" customHeight="1" x14ac:dyDescent="0.25">
      <c r="A318" s="4" t="s">
        <v>21</v>
      </c>
      <c r="B318" s="4" t="s">
        <v>39</v>
      </c>
      <c r="C318" s="4" t="s">
        <v>41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44440</v>
      </c>
      <c r="J318" s="6">
        <v>650</v>
      </c>
      <c r="K318" s="6">
        <v>650</v>
      </c>
      <c r="L318" s="6">
        <v>0</v>
      </c>
      <c r="M318" s="6">
        <v>0</v>
      </c>
      <c r="N318" s="6">
        <v>0</v>
      </c>
      <c r="O318" s="6">
        <v>0</v>
      </c>
      <c r="P318" s="6">
        <v>1</v>
      </c>
      <c r="Q318" s="4" t="s">
        <v>57</v>
      </c>
      <c r="R318" s="4">
        <v>0</v>
      </c>
      <c r="S318" s="4" t="s">
        <v>261</v>
      </c>
      <c r="U318" s="4">
        <v>23</v>
      </c>
      <c r="V318" s="4">
        <v>0</v>
      </c>
      <c r="W318" s="4">
        <v>0</v>
      </c>
    </row>
    <row r="319" spans="1:23" ht="11.25" customHeight="1" x14ac:dyDescent="0.25">
      <c r="A319" s="4" t="s">
        <v>21</v>
      </c>
      <c r="B319" s="4" t="s">
        <v>39</v>
      </c>
      <c r="C319" s="4" t="s">
        <v>41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44470</v>
      </c>
      <c r="J319" s="6">
        <v>13164</v>
      </c>
      <c r="K319" s="6">
        <v>13164</v>
      </c>
      <c r="L319" s="6">
        <v>0</v>
      </c>
      <c r="M319" s="6">
        <v>0</v>
      </c>
      <c r="N319" s="6">
        <v>0</v>
      </c>
      <c r="O319" s="6">
        <v>0</v>
      </c>
      <c r="P319" s="6">
        <v>132</v>
      </c>
      <c r="Q319" s="4" t="s">
        <v>26</v>
      </c>
      <c r="R319" s="4">
        <v>0</v>
      </c>
      <c r="S319" s="4" t="s">
        <v>262</v>
      </c>
      <c r="U319" s="4">
        <v>23</v>
      </c>
      <c r="V319" s="4">
        <v>0</v>
      </c>
      <c r="W319" s="4">
        <v>0</v>
      </c>
    </row>
    <row r="320" spans="1:23" ht="11.25" customHeight="1" x14ac:dyDescent="0.25">
      <c r="A320" s="4" t="s">
        <v>28</v>
      </c>
      <c r="B320" s="4" t="s">
        <v>39</v>
      </c>
      <c r="C320" s="4" t="s">
        <v>41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44470</v>
      </c>
      <c r="J320" s="6">
        <v>3076</v>
      </c>
      <c r="K320" s="6">
        <v>3076</v>
      </c>
      <c r="L320" s="6">
        <v>0</v>
      </c>
      <c r="M320" s="6">
        <v>0</v>
      </c>
      <c r="N320" s="6">
        <v>0</v>
      </c>
      <c r="O320" s="6">
        <v>0</v>
      </c>
      <c r="P320" s="6">
        <v>14</v>
      </c>
      <c r="Q320" s="4" t="s">
        <v>26</v>
      </c>
      <c r="R320" s="4">
        <v>0</v>
      </c>
      <c r="S320" s="4" t="s">
        <v>262</v>
      </c>
      <c r="U320" s="4">
        <v>23</v>
      </c>
      <c r="V320" s="4">
        <v>0</v>
      </c>
      <c r="W320" s="4">
        <v>0</v>
      </c>
    </row>
    <row r="321" spans="1:23" ht="11.25" customHeight="1" x14ac:dyDescent="0.25">
      <c r="A321" s="4" t="s">
        <v>21</v>
      </c>
      <c r="B321" s="4" t="s">
        <v>39</v>
      </c>
      <c r="C321" s="4" t="s">
        <v>41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44501</v>
      </c>
      <c r="J321" s="6">
        <v>13264</v>
      </c>
      <c r="K321" s="6">
        <v>13264</v>
      </c>
      <c r="L321" s="6">
        <v>0</v>
      </c>
      <c r="M321" s="6">
        <v>0</v>
      </c>
      <c r="N321" s="6">
        <v>0</v>
      </c>
      <c r="O321" s="6">
        <v>0</v>
      </c>
      <c r="P321" s="6">
        <v>132</v>
      </c>
      <c r="Q321" s="4" t="s">
        <v>26</v>
      </c>
      <c r="R321" s="4">
        <v>0</v>
      </c>
      <c r="S321" s="4" t="s">
        <v>263</v>
      </c>
      <c r="U321" s="4">
        <v>23</v>
      </c>
      <c r="V321" s="4">
        <v>0</v>
      </c>
      <c r="W321" s="4">
        <v>0</v>
      </c>
    </row>
    <row r="322" spans="1:23" ht="11.25" customHeight="1" x14ac:dyDescent="0.25">
      <c r="A322" s="4" t="s">
        <v>28</v>
      </c>
      <c r="B322" s="4" t="s">
        <v>39</v>
      </c>
      <c r="C322" s="4" t="s">
        <v>41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44501</v>
      </c>
      <c r="J322" s="6">
        <v>3304</v>
      </c>
      <c r="K322" s="6">
        <v>3304</v>
      </c>
      <c r="L322" s="6">
        <v>0</v>
      </c>
      <c r="M322" s="6">
        <v>0</v>
      </c>
      <c r="N322" s="6">
        <v>0</v>
      </c>
      <c r="O322" s="6">
        <v>0</v>
      </c>
      <c r="P322" s="6">
        <v>15</v>
      </c>
      <c r="Q322" s="4" t="s">
        <v>26</v>
      </c>
      <c r="R322" s="4">
        <v>0</v>
      </c>
      <c r="S322" s="4" t="s">
        <v>263</v>
      </c>
      <c r="U322" s="4">
        <v>23</v>
      </c>
      <c r="V322" s="4">
        <v>0</v>
      </c>
      <c r="W322" s="4">
        <v>0</v>
      </c>
    </row>
    <row r="323" spans="1:23" ht="11.25" customHeight="1" x14ac:dyDescent="0.25">
      <c r="A323" s="4" t="s">
        <v>21</v>
      </c>
      <c r="B323" s="4" t="s">
        <v>39</v>
      </c>
      <c r="C323" s="4" t="s">
        <v>41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44531</v>
      </c>
      <c r="J323" s="6">
        <v>13228</v>
      </c>
      <c r="K323" s="6">
        <v>13228</v>
      </c>
      <c r="L323" s="6">
        <v>0</v>
      </c>
      <c r="M323" s="6">
        <v>0</v>
      </c>
      <c r="N323" s="6">
        <v>0</v>
      </c>
      <c r="O323" s="6">
        <v>0</v>
      </c>
      <c r="P323" s="6">
        <v>130</v>
      </c>
      <c r="Q323" s="4" t="s">
        <v>26</v>
      </c>
      <c r="R323" s="4">
        <v>0</v>
      </c>
      <c r="S323" s="4" t="s">
        <v>264</v>
      </c>
      <c r="U323" s="4">
        <v>23</v>
      </c>
      <c r="V323" s="4">
        <v>0</v>
      </c>
      <c r="W323" s="4">
        <v>0</v>
      </c>
    </row>
    <row r="324" spans="1:23" ht="11.25" customHeight="1" x14ac:dyDescent="0.25">
      <c r="A324" s="4" t="s">
        <v>27</v>
      </c>
      <c r="B324" s="4" t="s">
        <v>39</v>
      </c>
      <c r="C324" s="4" t="s">
        <v>41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44531</v>
      </c>
      <c r="J324" s="6">
        <v>30</v>
      </c>
      <c r="K324" s="6">
        <v>30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4" t="s">
        <v>26</v>
      </c>
      <c r="R324" s="4">
        <v>0</v>
      </c>
      <c r="S324" s="4" t="s">
        <v>264</v>
      </c>
      <c r="U324" s="4">
        <v>23</v>
      </c>
      <c r="V324" s="4">
        <v>0</v>
      </c>
      <c r="W324" s="4">
        <v>0</v>
      </c>
    </row>
    <row r="325" spans="1:23" ht="11.25" customHeight="1" x14ac:dyDescent="0.25">
      <c r="A325" s="4" t="s">
        <v>28</v>
      </c>
      <c r="B325" s="4" t="s">
        <v>39</v>
      </c>
      <c r="C325" s="4" t="s">
        <v>41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44531</v>
      </c>
      <c r="J325" s="6">
        <v>3353</v>
      </c>
      <c r="K325" s="6">
        <v>3353</v>
      </c>
      <c r="L325" s="6">
        <v>0</v>
      </c>
      <c r="M325" s="6">
        <v>0</v>
      </c>
      <c r="N325" s="6">
        <v>0</v>
      </c>
      <c r="O325" s="6">
        <v>0</v>
      </c>
      <c r="P325" s="6">
        <v>16</v>
      </c>
      <c r="Q325" s="4" t="s">
        <v>26</v>
      </c>
      <c r="R325" s="4">
        <v>0</v>
      </c>
      <c r="S325" s="4" t="s">
        <v>264</v>
      </c>
      <c r="U325" s="4">
        <v>23</v>
      </c>
      <c r="V325" s="4">
        <v>0</v>
      </c>
      <c r="W325" s="4">
        <v>0</v>
      </c>
    </row>
    <row r="326" spans="1:23" ht="11.25" customHeight="1" x14ac:dyDescent="0.25">
      <c r="A326" s="4" t="s">
        <v>55</v>
      </c>
      <c r="B326" s="4" t="s">
        <v>39</v>
      </c>
      <c r="C326" s="4" t="s">
        <v>41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44562</v>
      </c>
      <c r="J326" s="6">
        <v>13228</v>
      </c>
      <c r="K326" s="6">
        <v>13228</v>
      </c>
      <c r="L326" s="6">
        <v>0</v>
      </c>
      <c r="M326" s="6">
        <v>0</v>
      </c>
      <c r="N326" s="6">
        <v>0</v>
      </c>
      <c r="O326" s="6">
        <v>0</v>
      </c>
      <c r="P326" s="6">
        <v>130</v>
      </c>
      <c r="Q326" s="4" t="s">
        <v>26</v>
      </c>
      <c r="R326" s="4">
        <v>0</v>
      </c>
      <c r="S326" s="4" t="s">
        <v>265</v>
      </c>
      <c r="U326" s="4">
        <v>23</v>
      </c>
      <c r="V326" s="4">
        <v>0</v>
      </c>
      <c r="W326" s="4">
        <v>0</v>
      </c>
    </row>
    <row r="327" spans="1:23" ht="11.25" customHeight="1" x14ac:dyDescent="0.25">
      <c r="A327" s="4" t="s">
        <v>55</v>
      </c>
      <c r="B327" s="4" t="s">
        <v>39</v>
      </c>
      <c r="C327" s="4" t="s">
        <v>41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44562</v>
      </c>
      <c r="J327" s="6">
        <v>30</v>
      </c>
      <c r="K327" s="6">
        <v>30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4" t="s">
        <v>26</v>
      </c>
      <c r="R327" s="4">
        <v>0</v>
      </c>
      <c r="S327" s="4" t="s">
        <v>265</v>
      </c>
      <c r="U327" s="4">
        <v>23</v>
      </c>
      <c r="V327" s="4">
        <v>0</v>
      </c>
      <c r="W327" s="4">
        <v>0</v>
      </c>
    </row>
    <row r="328" spans="1:23" ht="11.25" customHeight="1" x14ac:dyDescent="0.25">
      <c r="A328" s="4" t="s">
        <v>55</v>
      </c>
      <c r="B328" s="4" t="s">
        <v>39</v>
      </c>
      <c r="C328" s="4" t="s">
        <v>41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44562</v>
      </c>
      <c r="J328" s="6">
        <v>3353</v>
      </c>
      <c r="K328" s="6">
        <v>3353</v>
      </c>
      <c r="L328" s="6">
        <v>0</v>
      </c>
      <c r="M328" s="6">
        <v>0</v>
      </c>
      <c r="N328" s="6">
        <v>0</v>
      </c>
      <c r="O328" s="6">
        <v>0</v>
      </c>
      <c r="P328" s="6">
        <v>16</v>
      </c>
      <c r="Q328" s="4" t="s">
        <v>26</v>
      </c>
      <c r="R328" s="4">
        <v>0</v>
      </c>
      <c r="S328" s="4" t="s">
        <v>265</v>
      </c>
      <c r="U328" s="4">
        <v>23</v>
      </c>
      <c r="V328" s="4">
        <v>0</v>
      </c>
      <c r="W328" s="4">
        <v>0</v>
      </c>
    </row>
    <row r="329" spans="1:23" ht="11.25" customHeight="1" x14ac:dyDescent="0.25">
      <c r="A329" s="4" t="s">
        <v>21</v>
      </c>
      <c r="B329" s="4" t="s">
        <v>39</v>
      </c>
      <c r="C329" s="4" t="s">
        <v>41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34</v>
      </c>
      <c r="I329" s="5">
        <v>44228</v>
      </c>
      <c r="J329" s="6">
        <v>0</v>
      </c>
      <c r="K329" s="6">
        <v>0</v>
      </c>
      <c r="L329" s="6">
        <v>173.36600000000001</v>
      </c>
      <c r="M329" s="6">
        <v>173.36600000000001</v>
      </c>
      <c r="N329" s="6">
        <v>173.36600000000001</v>
      </c>
      <c r="O329" s="6">
        <v>173.36600000000001</v>
      </c>
      <c r="P329" s="6">
        <v>0</v>
      </c>
      <c r="Q329" s="4" t="s">
        <v>26</v>
      </c>
      <c r="R329" s="4">
        <v>0</v>
      </c>
      <c r="S329" s="4" t="s">
        <v>266</v>
      </c>
      <c r="T329" s="4" t="s">
        <v>495</v>
      </c>
      <c r="U329" s="4">
        <v>0</v>
      </c>
      <c r="V329" s="4">
        <v>24</v>
      </c>
      <c r="W329" s="4">
        <v>67</v>
      </c>
    </row>
    <row r="330" spans="1:23" ht="11.25" customHeight="1" x14ac:dyDescent="0.25">
      <c r="A330" s="4" t="s">
        <v>27</v>
      </c>
      <c r="B330" s="4" t="s">
        <v>39</v>
      </c>
      <c r="C330" s="4" t="s">
        <v>41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34</v>
      </c>
      <c r="I330" s="5">
        <v>44228</v>
      </c>
      <c r="J330" s="6">
        <v>0</v>
      </c>
      <c r="K330" s="6">
        <v>0</v>
      </c>
      <c r="L330" s="6">
        <v>-0.315</v>
      </c>
      <c r="M330" s="6">
        <v>-0.315</v>
      </c>
      <c r="N330" s="6">
        <v>-0.315</v>
      </c>
      <c r="O330" s="6">
        <v>-0.315</v>
      </c>
      <c r="P330" s="6">
        <v>0</v>
      </c>
      <c r="Q330" s="4" t="s">
        <v>26</v>
      </c>
      <c r="R330" s="4">
        <v>0</v>
      </c>
      <c r="S330" s="4" t="s">
        <v>266</v>
      </c>
      <c r="T330" s="4" t="s">
        <v>495</v>
      </c>
      <c r="U330" s="4">
        <v>0</v>
      </c>
      <c r="V330" s="4">
        <v>24</v>
      </c>
      <c r="W330" s="4">
        <v>67</v>
      </c>
    </row>
    <row r="331" spans="1:23" ht="11.25" customHeight="1" x14ac:dyDescent="0.25">
      <c r="A331" s="4" t="s">
        <v>28</v>
      </c>
      <c r="B331" s="4" t="s">
        <v>39</v>
      </c>
      <c r="C331" s="4" t="s">
        <v>41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34</v>
      </c>
      <c r="I331" s="5">
        <v>44228</v>
      </c>
      <c r="J331" s="6">
        <v>0</v>
      </c>
      <c r="K331" s="6">
        <v>0</v>
      </c>
      <c r="L331" s="6">
        <v>10.997999999999999</v>
      </c>
      <c r="M331" s="6">
        <v>10.997999999999999</v>
      </c>
      <c r="N331" s="6">
        <v>10.997999999999999</v>
      </c>
      <c r="O331" s="6">
        <v>10.997999999999999</v>
      </c>
      <c r="P331" s="6">
        <v>0</v>
      </c>
      <c r="Q331" s="4" t="s">
        <v>26</v>
      </c>
      <c r="R331" s="4">
        <v>0</v>
      </c>
      <c r="S331" s="4" t="s">
        <v>266</v>
      </c>
      <c r="T331" s="4" t="s">
        <v>495</v>
      </c>
      <c r="U331" s="4">
        <v>0</v>
      </c>
      <c r="V331" s="4">
        <v>24</v>
      </c>
      <c r="W331" s="4">
        <v>67</v>
      </c>
    </row>
    <row r="332" spans="1:23" ht="11.25" customHeight="1" x14ac:dyDescent="0.25">
      <c r="A332" s="4" t="s">
        <v>21</v>
      </c>
      <c r="B332" s="4" t="s">
        <v>39</v>
      </c>
      <c r="C332" s="4" t="s">
        <v>41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34</v>
      </c>
      <c r="I332" s="5">
        <v>44228</v>
      </c>
      <c r="J332" s="6">
        <v>0</v>
      </c>
      <c r="K332" s="6">
        <v>0</v>
      </c>
      <c r="L332" s="6">
        <v>3.1859999999999999</v>
      </c>
      <c r="M332" s="6">
        <v>3.1859999999999999</v>
      </c>
      <c r="N332" s="6">
        <v>0</v>
      </c>
      <c r="O332" s="6">
        <v>0</v>
      </c>
      <c r="P332" s="6">
        <v>0</v>
      </c>
      <c r="Q332" s="4" t="s">
        <v>57</v>
      </c>
      <c r="R332" s="4">
        <v>0</v>
      </c>
      <c r="S332" s="4" t="s">
        <v>266</v>
      </c>
      <c r="U332" s="4">
        <v>0</v>
      </c>
      <c r="V332" s="4">
        <v>24</v>
      </c>
      <c r="W332" s="4">
        <v>0</v>
      </c>
    </row>
    <row r="333" spans="1:23" ht="11.25" customHeight="1" x14ac:dyDescent="0.25">
      <c r="A333" s="4" t="s">
        <v>21</v>
      </c>
      <c r="B333" s="4" t="s">
        <v>39</v>
      </c>
      <c r="C333" s="4" t="s">
        <v>41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44256</v>
      </c>
      <c r="J333" s="6">
        <v>0</v>
      </c>
      <c r="K333" s="6">
        <v>0</v>
      </c>
      <c r="L333" s="6">
        <v>173.99799999999999</v>
      </c>
      <c r="M333" s="6">
        <v>173.99799999999999</v>
      </c>
      <c r="N333" s="6">
        <v>173.99799999999999</v>
      </c>
      <c r="O333" s="6">
        <v>173.99799999999999</v>
      </c>
      <c r="P333" s="6">
        <v>0</v>
      </c>
      <c r="Q333" s="4" t="s">
        <v>26</v>
      </c>
      <c r="R333" s="4">
        <v>0</v>
      </c>
      <c r="S333" s="4" t="s">
        <v>267</v>
      </c>
      <c r="T333" s="4" t="s">
        <v>496</v>
      </c>
      <c r="U333" s="4">
        <v>0</v>
      </c>
      <c r="V333" s="4">
        <v>24</v>
      </c>
      <c r="W333" s="4">
        <v>67</v>
      </c>
    </row>
    <row r="334" spans="1:23" ht="11.25" customHeight="1" x14ac:dyDescent="0.25">
      <c r="A334" s="4" t="s">
        <v>28</v>
      </c>
      <c r="B334" s="4" t="s">
        <v>39</v>
      </c>
      <c r="C334" s="4" t="s">
        <v>41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44256</v>
      </c>
      <c r="J334" s="6">
        <v>0</v>
      </c>
      <c r="K334" s="6">
        <v>0</v>
      </c>
      <c r="L334" s="6">
        <v>21.936</v>
      </c>
      <c r="M334" s="6">
        <v>21.936</v>
      </c>
      <c r="N334" s="6">
        <v>21.936</v>
      </c>
      <c r="O334" s="6">
        <v>21.936</v>
      </c>
      <c r="P334" s="6">
        <v>0</v>
      </c>
      <c r="Q334" s="4" t="s">
        <v>26</v>
      </c>
      <c r="R334" s="4">
        <v>0</v>
      </c>
      <c r="S334" s="4" t="s">
        <v>267</v>
      </c>
      <c r="T334" s="4" t="s">
        <v>496</v>
      </c>
      <c r="U334" s="4">
        <v>0</v>
      </c>
      <c r="V334" s="4">
        <v>24</v>
      </c>
      <c r="W334" s="4">
        <v>67</v>
      </c>
    </row>
    <row r="335" spans="1:23" ht="11.25" customHeight="1" x14ac:dyDescent="0.25">
      <c r="A335" s="4" t="s">
        <v>21</v>
      </c>
      <c r="B335" s="4" t="s">
        <v>39</v>
      </c>
      <c r="C335" s="4" t="s">
        <v>41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44256</v>
      </c>
      <c r="J335" s="6">
        <v>0</v>
      </c>
      <c r="K335" s="6">
        <v>0</v>
      </c>
      <c r="L335" s="6">
        <v>2.875</v>
      </c>
      <c r="M335" s="6">
        <v>2.875</v>
      </c>
      <c r="N335" s="6">
        <v>0</v>
      </c>
      <c r="O335" s="6">
        <v>0</v>
      </c>
      <c r="P335" s="6">
        <v>0</v>
      </c>
      <c r="Q335" s="4" t="s">
        <v>57</v>
      </c>
      <c r="R335" s="4">
        <v>0</v>
      </c>
      <c r="S335" s="4" t="s">
        <v>267</v>
      </c>
      <c r="U335" s="4">
        <v>0</v>
      </c>
      <c r="V335" s="4">
        <v>24</v>
      </c>
      <c r="W335" s="4">
        <v>0</v>
      </c>
    </row>
    <row r="336" spans="1:23" ht="11.25" customHeight="1" x14ac:dyDescent="0.25">
      <c r="A336" s="4" t="s">
        <v>21</v>
      </c>
      <c r="B336" s="4" t="s">
        <v>39</v>
      </c>
      <c r="C336" s="4" t="s">
        <v>41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44287</v>
      </c>
      <c r="J336" s="6">
        <v>0</v>
      </c>
      <c r="K336" s="6">
        <v>0</v>
      </c>
      <c r="L336" s="6">
        <v>171.767</v>
      </c>
      <c r="M336" s="6">
        <v>171.767</v>
      </c>
      <c r="N336" s="6">
        <v>171.767</v>
      </c>
      <c r="O336" s="6">
        <v>171.767</v>
      </c>
      <c r="P336" s="6">
        <v>0</v>
      </c>
      <c r="Q336" s="4" t="s">
        <v>26</v>
      </c>
      <c r="R336" s="4">
        <v>0</v>
      </c>
      <c r="S336" s="4" t="s">
        <v>268</v>
      </c>
      <c r="T336" s="4" t="s">
        <v>497</v>
      </c>
      <c r="U336" s="4">
        <v>0</v>
      </c>
      <c r="V336" s="4">
        <v>24</v>
      </c>
      <c r="W336" s="4">
        <v>67</v>
      </c>
    </row>
    <row r="337" spans="1:23" ht="11.25" customHeight="1" x14ac:dyDescent="0.25">
      <c r="A337" s="4" t="s">
        <v>28</v>
      </c>
      <c r="B337" s="4" t="s">
        <v>39</v>
      </c>
      <c r="C337" s="4" t="s">
        <v>41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44287</v>
      </c>
      <c r="J337" s="6">
        <v>0</v>
      </c>
      <c r="K337" s="6">
        <v>0</v>
      </c>
      <c r="L337" s="6">
        <v>19.146999999999998</v>
      </c>
      <c r="M337" s="6">
        <v>19.146999999999998</v>
      </c>
      <c r="N337" s="6">
        <v>19.146999999999998</v>
      </c>
      <c r="O337" s="6">
        <v>19.146999999999998</v>
      </c>
      <c r="P337" s="6">
        <v>0</v>
      </c>
      <c r="Q337" s="4" t="s">
        <v>26</v>
      </c>
      <c r="R337" s="4">
        <v>0</v>
      </c>
      <c r="S337" s="4" t="s">
        <v>268</v>
      </c>
      <c r="T337" s="4" t="s">
        <v>497</v>
      </c>
      <c r="U337" s="4">
        <v>0</v>
      </c>
      <c r="V337" s="4">
        <v>24</v>
      </c>
      <c r="W337" s="4">
        <v>67</v>
      </c>
    </row>
    <row r="338" spans="1:23" ht="11.25" customHeight="1" x14ac:dyDescent="0.25">
      <c r="A338" s="4" t="s">
        <v>21</v>
      </c>
      <c r="B338" s="4" t="s">
        <v>39</v>
      </c>
      <c r="C338" s="4" t="s">
        <v>41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44317</v>
      </c>
      <c r="J338" s="6">
        <v>0</v>
      </c>
      <c r="K338" s="6">
        <v>0</v>
      </c>
      <c r="L338" s="6">
        <v>170.976</v>
      </c>
      <c r="M338" s="6">
        <v>170.976</v>
      </c>
      <c r="N338" s="6">
        <v>170.976</v>
      </c>
      <c r="O338" s="6">
        <v>170.976</v>
      </c>
      <c r="P338" s="6">
        <v>0</v>
      </c>
      <c r="Q338" s="4" t="s">
        <v>26</v>
      </c>
      <c r="R338" s="4">
        <v>0</v>
      </c>
      <c r="S338" s="4" t="s">
        <v>269</v>
      </c>
      <c r="T338" s="4" t="s">
        <v>498</v>
      </c>
      <c r="U338" s="4">
        <v>0</v>
      </c>
      <c r="V338" s="4">
        <v>24</v>
      </c>
      <c r="W338" s="4">
        <v>67</v>
      </c>
    </row>
    <row r="339" spans="1:23" ht="11.25" customHeight="1" x14ac:dyDescent="0.25">
      <c r="A339" s="4" t="s">
        <v>28</v>
      </c>
      <c r="B339" s="4" t="s">
        <v>39</v>
      </c>
      <c r="C339" s="4" t="s">
        <v>41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44317</v>
      </c>
      <c r="J339" s="6">
        <v>0</v>
      </c>
      <c r="K339" s="6">
        <v>0</v>
      </c>
      <c r="L339" s="6">
        <v>20.213999999999999</v>
      </c>
      <c r="M339" s="6">
        <v>20.213999999999999</v>
      </c>
      <c r="N339" s="6">
        <v>20.213999999999999</v>
      </c>
      <c r="O339" s="6">
        <v>20.213999999999999</v>
      </c>
      <c r="P339" s="6">
        <v>0</v>
      </c>
      <c r="Q339" s="4" t="s">
        <v>26</v>
      </c>
      <c r="R339" s="4">
        <v>0</v>
      </c>
      <c r="S339" s="4" t="s">
        <v>269</v>
      </c>
      <c r="T339" s="4" t="s">
        <v>498</v>
      </c>
      <c r="U339" s="4">
        <v>0</v>
      </c>
      <c r="V339" s="4">
        <v>24</v>
      </c>
      <c r="W339" s="4">
        <v>67</v>
      </c>
    </row>
    <row r="340" spans="1:23" ht="11.25" customHeight="1" x14ac:dyDescent="0.25">
      <c r="A340" s="4" t="s">
        <v>21</v>
      </c>
      <c r="B340" s="4" t="s">
        <v>39</v>
      </c>
      <c r="C340" s="4" t="s">
        <v>41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44348</v>
      </c>
      <c r="J340" s="6">
        <v>0</v>
      </c>
      <c r="K340" s="6">
        <v>0</v>
      </c>
      <c r="L340" s="6">
        <v>161.262</v>
      </c>
      <c r="M340" s="6">
        <v>161.262</v>
      </c>
      <c r="N340" s="6">
        <v>161.262</v>
      </c>
      <c r="O340" s="6">
        <v>161.262</v>
      </c>
      <c r="P340" s="6">
        <v>0</v>
      </c>
      <c r="Q340" s="4" t="s">
        <v>26</v>
      </c>
      <c r="R340" s="4">
        <v>0</v>
      </c>
      <c r="S340" s="4" t="s">
        <v>270</v>
      </c>
      <c r="T340" s="4" t="s">
        <v>499</v>
      </c>
      <c r="U340" s="4">
        <v>0</v>
      </c>
      <c r="V340" s="4">
        <v>24</v>
      </c>
      <c r="W340" s="4">
        <v>67</v>
      </c>
    </row>
    <row r="341" spans="1:23" ht="11.25" customHeight="1" x14ac:dyDescent="0.25">
      <c r="A341" s="4" t="s">
        <v>28</v>
      </c>
      <c r="B341" s="4" t="s">
        <v>39</v>
      </c>
      <c r="C341" s="4" t="s">
        <v>41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44348</v>
      </c>
      <c r="J341" s="6">
        <v>0</v>
      </c>
      <c r="K341" s="6">
        <v>0</v>
      </c>
      <c r="L341" s="6">
        <v>20.029</v>
      </c>
      <c r="M341" s="6">
        <v>20.029</v>
      </c>
      <c r="N341" s="6">
        <v>20.029</v>
      </c>
      <c r="O341" s="6">
        <v>20.029</v>
      </c>
      <c r="P341" s="6">
        <v>0</v>
      </c>
      <c r="Q341" s="4" t="s">
        <v>26</v>
      </c>
      <c r="R341" s="4">
        <v>0</v>
      </c>
      <c r="S341" s="4" t="s">
        <v>270</v>
      </c>
      <c r="T341" s="4" t="s">
        <v>499</v>
      </c>
      <c r="U341" s="4">
        <v>0</v>
      </c>
      <c r="V341" s="4">
        <v>24</v>
      </c>
      <c r="W341" s="4">
        <v>67</v>
      </c>
    </row>
    <row r="342" spans="1:23" ht="11.25" customHeight="1" x14ac:dyDescent="0.25">
      <c r="A342" s="4" t="s">
        <v>21</v>
      </c>
      <c r="B342" s="4" t="s">
        <v>39</v>
      </c>
      <c r="C342" s="4" t="s">
        <v>41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44378</v>
      </c>
      <c r="J342" s="6">
        <v>0</v>
      </c>
      <c r="K342" s="6">
        <v>0</v>
      </c>
      <c r="L342" s="6">
        <v>163.68700000000001</v>
      </c>
      <c r="M342" s="6">
        <v>163.68700000000001</v>
      </c>
      <c r="N342" s="6">
        <v>163.68700000000001</v>
      </c>
      <c r="O342" s="6">
        <v>163.68700000000001</v>
      </c>
      <c r="P342" s="6">
        <v>0</v>
      </c>
      <c r="Q342" s="4" t="s">
        <v>26</v>
      </c>
      <c r="R342" s="4">
        <v>0</v>
      </c>
      <c r="S342" s="4" t="s">
        <v>271</v>
      </c>
      <c r="T342" s="4" t="s">
        <v>500</v>
      </c>
      <c r="U342" s="4">
        <v>0</v>
      </c>
      <c r="V342" s="4">
        <v>24</v>
      </c>
      <c r="W342" s="4">
        <v>67</v>
      </c>
    </row>
    <row r="343" spans="1:23" ht="11.25" customHeight="1" x14ac:dyDescent="0.25">
      <c r="A343" s="4" t="s">
        <v>28</v>
      </c>
      <c r="B343" s="4" t="s">
        <v>39</v>
      </c>
      <c r="C343" s="4" t="s">
        <v>41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44378</v>
      </c>
      <c r="J343" s="6">
        <v>0</v>
      </c>
      <c r="K343" s="6">
        <v>0</v>
      </c>
      <c r="L343" s="6">
        <v>27.645</v>
      </c>
      <c r="M343" s="6">
        <v>27.645</v>
      </c>
      <c r="N343" s="6">
        <v>27.645</v>
      </c>
      <c r="O343" s="6">
        <v>27.645</v>
      </c>
      <c r="P343" s="6">
        <v>0</v>
      </c>
      <c r="Q343" s="4" t="s">
        <v>26</v>
      </c>
      <c r="R343" s="4">
        <v>0</v>
      </c>
      <c r="S343" s="4" t="s">
        <v>271</v>
      </c>
      <c r="T343" s="4" t="s">
        <v>500</v>
      </c>
      <c r="U343" s="4">
        <v>0</v>
      </c>
      <c r="V343" s="4">
        <v>24</v>
      </c>
      <c r="W343" s="4">
        <v>67</v>
      </c>
    </row>
    <row r="344" spans="1:23" ht="11.25" customHeight="1" x14ac:dyDescent="0.25">
      <c r="A344" s="4" t="s">
        <v>21</v>
      </c>
      <c r="B344" s="4" t="s">
        <v>39</v>
      </c>
      <c r="C344" s="4" t="s">
        <v>41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44409</v>
      </c>
      <c r="J344" s="6">
        <v>0</v>
      </c>
      <c r="K344" s="6">
        <v>0</v>
      </c>
      <c r="L344" s="6">
        <v>154.27000000000001</v>
      </c>
      <c r="M344" s="6">
        <v>154.27000000000001</v>
      </c>
      <c r="N344" s="6">
        <v>154.27000000000001</v>
      </c>
      <c r="O344" s="6">
        <v>154.27000000000001</v>
      </c>
      <c r="P344" s="6">
        <v>0</v>
      </c>
      <c r="Q344" s="4" t="s">
        <v>26</v>
      </c>
      <c r="R344" s="4">
        <v>0</v>
      </c>
      <c r="S344" s="4" t="s">
        <v>272</v>
      </c>
      <c r="T344" s="4" t="s">
        <v>501</v>
      </c>
      <c r="U344" s="4">
        <v>0</v>
      </c>
      <c r="V344" s="4">
        <v>24</v>
      </c>
      <c r="W344" s="4">
        <v>67</v>
      </c>
    </row>
    <row r="345" spans="1:23" ht="11.25" customHeight="1" x14ac:dyDescent="0.25">
      <c r="A345" s="4" t="s">
        <v>28</v>
      </c>
      <c r="B345" s="4" t="s">
        <v>39</v>
      </c>
      <c r="C345" s="4" t="s">
        <v>41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44409</v>
      </c>
      <c r="J345" s="6">
        <v>0</v>
      </c>
      <c r="K345" s="6">
        <v>0</v>
      </c>
      <c r="L345" s="6">
        <v>29.376000000000001</v>
      </c>
      <c r="M345" s="6">
        <v>29.376000000000001</v>
      </c>
      <c r="N345" s="6">
        <v>29.376000000000001</v>
      </c>
      <c r="O345" s="6">
        <v>29.376000000000001</v>
      </c>
      <c r="P345" s="6">
        <v>0</v>
      </c>
      <c r="Q345" s="4" t="s">
        <v>26</v>
      </c>
      <c r="R345" s="4">
        <v>0</v>
      </c>
      <c r="S345" s="4" t="s">
        <v>272</v>
      </c>
      <c r="T345" s="4" t="s">
        <v>501</v>
      </c>
      <c r="U345" s="4">
        <v>0</v>
      </c>
      <c r="V345" s="4">
        <v>24</v>
      </c>
      <c r="W345" s="4">
        <v>67</v>
      </c>
    </row>
    <row r="346" spans="1:23" ht="11.25" customHeight="1" x14ac:dyDescent="0.25">
      <c r="A346" s="4" t="s">
        <v>21</v>
      </c>
      <c r="B346" s="4" t="s">
        <v>39</v>
      </c>
      <c r="C346" s="4" t="s">
        <v>41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44409</v>
      </c>
      <c r="J346" s="6">
        <v>0</v>
      </c>
      <c r="K346" s="6">
        <v>0</v>
      </c>
      <c r="L346" s="6">
        <v>21.254999999999999</v>
      </c>
      <c r="M346" s="6">
        <v>21.254999999999999</v>
      </c>
      <c r="N346" s="6">
        <v>0</v>
      </c>
      <c r="O346" s="6">
        <v>0</v>
      </c>
      <c r="P346" s="6">
        <v>0</v>
      </c>
      <c r="Q346" s="4" t="s">
        <v>57</v>
      </c>
      <c r="R346" s="4">
        <v>0</v>
      </c>
      <c r="S346" s="4" t="s">
        <v>272</v>
      </c>
      <c r="U346" s="4">
        <v>0</v>
      </c>
      <c r="V346" s="4">
        <v>24</v>
      </c>
      <c r="W346" s="4">
        <v>0</v>
      </c>
    </row>
    <row r="347" spans="1:23" ht="11.25" customHeight="1" x14ac:dyDescent="0.25">
      <c r="A347" s="4" t="s">
        <v>21</v>
      </c>
      <c r="B347" s="4" t="s">
        <v>39</v>
      </c>
      <c r="C347" s="4" t="s">
        <v>41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44440</v>
      </c>
      <c r="J347" s="6">
        <v>0</v>
      </c>
      <c r="K347" s="6">
        <v>0</v>
      </c>
      <c r="L347" s="6">
        <v>162.05799999999999</v>
      </c>
      <c r="M347" s="6">
        <v>162.05799999999999</v>
      </c>
      <c r="N347" s="6">
        <v>162.05799999999999</v>
      </c>
      <c r="O347" s="6">
        <v>162.05799999999999</v>
      </c>
      <c r="P347" s="6">
        <v>0</v>
      </c>
      <c r="Q347" s="4" t="s">
        <v>26</v>
      </c>
      <c r="R347" s="4">
        <v>0</v>
      </c>
      <c r="S347" s="4" t="s">
        <v>273</v>
      </c>
      <c r="T347" s="4" t="s">
        <v>502</v>
      </c>
      <c r="U347" s="4">
        <v>0</v>
      </c>
      <c r="V347" s="4">
        <v>24</v>
      </c>
      <c r="W347" s="4">
        <v>67</v>
      </c>
    </row>
    <row r="348" spans="1:23" ht="11.25" customHeight="1" x14ac:dyDescent="0.25">
      <c r="A348" s="4" t="s">
        <v>28</v>
      </c>
      <c r="B348" s="4" t="s">
        <v>39</v>
      </c>
      <c r="C348" s="4" t="s">
        <v>41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44440</v>
      </c>
      <c r="J348" s="6">
        <v>0</v>
      </c>
      <c r="K348" s="6">
        <v>0</v>
      </c>
      <c r="L348" s="6">
        <v>30.436</v>
      </c>
      <c r="M348" s="6">
        <v>30.436</v>
      </c>
      <c r="N348" s="6">
        <v>30.436</v>
      </c>
      <c r="O348" s="6">
        <v>30.436</v>
      </c>
      <c r="P348" s="6">
        <v>0</v>
      </c>
      <c r="Q348" s="4" t="s">
        <v>26</v>
      </c>
      <c r="R348" s="4">
        <v>0</v>
      </c>
      <c r="S348" s="4" t="s">
        <v>273</v>
      </c>
      <c r="T348" s="4" t="s">
        <v>502</v>
      </c>
      <c r="U348" s="4">
        <v>0</v>
      </c>
      <c r="V348" s="4">
        <v>24</v>
      </c>
      <c r="W348" s="4">
        <v>67</v>
      </c>
    </row>
    <row r="349" spans="1:23" ht="11.25" customHeight="1" x14ac:dyDescent="0.25">
      <c r="A349" s="4" t="s">
        <v>28</v>
      </c>
      <c r="B349" s="4" t="s">
        <v>39</v>
      </c>
      <c r="C349" s="4" t="s">
        <v>41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44440</v>
      </c>
      <c r="J349" s="6">
        <v>0</v>
      </c>
      <c r="K349" s="6">
        <v>0</v>
      </c>
      <c r="L349" s="6">
        <v>-1.68</v>
      </c>
      <c r="M349" s="6">
        <v>-1.68</v>
      </c>
      <c r="N349" s="6">
        <v>-1.68</v>
      </c>
      <c r="O349" s="6">
        <v>-1.68</v>
      </c>
      <c r="P349" s="6">
        <v>0</v>
      </c>
      <c r="Q349" s="4" t="s">
        <v>26</v>
      </c>
      <c r="R349" s="4">
        <v>0</v>
      </c>
      <c r="S349" s="4" t="s">
        <v>273</v>
      </c>
      <c r="T349" s="4" t="s">
        <v>502</v>
      </c>
      <c r="U349" s="4">
        <v>0</v>
      </c>
      <c r="V349" s="4">
        <v>24</v>
      </c>
      <c r="W349" s="4">
        <v>67</v>
      </c>
    </row>
    <row r="350" spans="1:23" ht="11.25" customHeight="1" x14ac:dyDescent="0.25">
      <c r="A350" s="4" t="s">
        <v>21</v>
      </c>
      <c r="B350" s="4" t="s">
        <v>39</v>
      </c>
      <c r="C350" s="4" t="s">
        <v>41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44440</v>
      </c>
      <c r="J350" s="6">
        <v>0</v>
      </c>
      <c r="K350" s="6">
        <v>0</v>
      </c>
      <c r="L350" s="6">
        <v>21.91</v>
      </c>
      <c r="M350" s="6">
        <v>21.91</v>
      </c>
      <c r="N350" s="6">
        <v>0</v>
      </c>
      <c r="O350" s="6">
        <v>0</v>
      </c>
      <c r="P350" s="6">
        <v>0</v>
      </c>
      <c r="Q350" s="4" t="s">
        <v>57</v>
      </c>
      <c r="R350" s="4">
        <v>0</v>
      </c>
      <c r="S350" s="4" t="s">
        <v>273</v>
      </c>
      <c r="U350" s="4">
        <v>0</v>
      </c>
      <c r="V350" s="4">
        <v>24</v>
      </c>
      <c r="W350" s="4">
        <v>0</v>
      </c>
    </row>
    <row r="351" spans="1:23" ht="11.25" customHeight="1" x14ac:dyDescent="0.25">
      <c r="A351" s="4" t="s">
        <v>21</v>
      </c>
      <c r="B351" s="4" t="s">
        <v>39</v>
      </c>
      <c r="C351" s="4" t="s">
        <v>41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44470</v>
      </c>
      <c r="J351" s="6">
        <v>0</v>
      </c>
      <c r="K351" s="6">
        <v>0</v>
      </c>
      <c r="L351" s="6">
        <v>172.59</v>
      </c>
      <c r="M351" s="6">
        <v>172.59</v>
      </c>
      <c r="N351" s="6">
        <v>172.59</v>
      </c>
      <c r="O351" s="6">
        <v>172.59</v>
      </c>
      <c r="P351" s="6">
        <v>0</v>
      </c>
      <c r="Q351" s="4" t="s">
        <v>26</v>
      </c>
      <c r="R351" s="4">
        <v>0</v>
      </c>
      <c r="S351" s="4" t="s">
        <v>274</v>
      </c>
      <c r="T351" s="4" t="s">
        <v>503</v>
      </c>
      <c r="U351" s="4">
        <v>0</v>
      </c>
      <c r="V351" s="4">
        <v>24</v>
      </c>
      <c r="W351" s="4">
        <v>67</v>
      </c>
    </row>
    <row r="352" spans="1:23" ht="11.25" customHeight="1" x14ac:dyDescent="0.25">
      <c r="A352" s="4" t="s">
        <v>28</v>
      </c>
      <c r="B352" s="4" t="s">
        <v>39</v>
      </c>
      <c r="C352" s="4" t="s">
        <v>41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44470</v>
      </c>
      <c r="J352" s="6">
        <v>0</v>
      </c>
      <c r="K352" s="6">
        <v>0</v>
      </c>
      <c r="L352" s="6">
        <v>28.795000000000002</v>
      </c>
      <c r="M352" s="6">
        <v>28.795000000000002</v>
      </c>
      <c r="N352" s="6">
        <v>28.795000000000002</v>
      </c>
      <c r="O352" s="6">
        <v>28.795000000000002</v>
      </c>
      <c r="P352" s="6">
        <v>0</v>
      </c>
      <c r="Q352" s="4" t="s">
        <v>26</v>
      </c>
      <c r="R352" s="4">
        <v>0</v>
      </c>
      <c r="S352" s="4" t="s">
        <v>274</v>
      </c>
      <c r="T352" s="4" t="s">
        <v>503</v>
      </c>
      <c r="U352" s="4">
        <v>0</v>
      </c>
      <c r="V352" s="4">
        <v>24</v>
      </c>
      <c r="W352" s="4">
        <v>67</v>
      </c>
    </row>
    <row r="353" spans="1:23" ht="11.25" customHeight="1" x14ac:dyDescent="0.25">
      <c r="A353" s="4" t="s">
        <v>21</v>
      </c>
      <c r="B353" s="4" t="s">
        <v>39</v>
      </c>
      <c r="C353" s="4" t="s">
        <v>41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44501</v>
      </c>
      <c r="J353" s="6">
        <v>0</v>
      </c>
      <c r="K353" s="6">
        <v>0</v>
      </c>
      <c r="L353" s="6">
        <v>173.96100000000001</v>
      </c>
      <c r="M353" s="6">
        <v>173.96100000000001</v>
      </c>
      <c r="N353" s="6">
        <v>173.96100000000001</v>
      </c>
      <c r="O353" s="6">
        <v>173.96100000000001</v>
      </c>
      <c r="P353" s="6">
        <v>0</v>
      </c>
      <c r="Q353" s="4" t="s">
        <v>26</v>
      </c>
      <c r="R353" s="4">
        <v>0</v>
      </c>
      <c r="S353" s="4" t="s">
        <v>275</v>
      </c>
      <c r="T353" s="4" t="s">
        <v>504</v>
      </c>
      <c r="U353" s="4">
        <v>0</v>
      </c>
      <c r="V353" s="4">
        <v>24</v>
      </c>
      <c r="W353" s="4">
        <v>67</v>
      </c>
    </row>
    <row r="354" spans="1:23" ht="11.25" customHeight="1" x14ac:dyDescent="0.25">
      <c r="A354" s="4" t="s">
        <v>28</v>
      </c>
      <c r="B354" s="4" t="s">
        <v>39</v>
      </c>
      <c r="C354" s="4" t="s">
        <v>41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44501</v>
      </c>
      <c r="J354" s="6">
        <v>0</v>
      </c>
      <c r="K354" s="6">
        <v>0</v>
      </c>
      <c r="L354" s="6">
        <v>28.105</v>
      </c>
      <c r="M354" s="6">
        <v>28.105</v>
      </c>
      <c r="N354" s="6">
        <v>28.105</v>
      </c>
      <c r="O354" s="6">
        <v>28.105</v>
      </c>
      <c r="P354" s="6">
        <v>0</v>
      </c>
      <c r="Q354" s="4" t="s">
        <v>26</v>
      </c>
      <c r="R354" s="4">
        <v>0</v>
      </c>
      <c r="S354" s="4" t="s">
        <v>275</v>
      </c>
      <c r="T354" s="4" t="s">
        <v>504</v>
      </c>
      <c r="U354" s="4">
        <v>0</v>
      </c>
      <c r="V354" s="4">
        <v>24</v>
      </c>
      <c r="W354" s="4">
        <v>67</v>
      </c>
    </row>
    <row r="355" spans="1:23" ht="11.25" customHeight="1" x14ac:dyDescent="0.25">
      <c r="A355" s="4" t="s">
        <v>21</v>
      </c>
      <c r="B355" s="4" t="s">
        <v>39</v>
      </c>
      <c r="C355" s="4" t="s">
        <v>41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44531</v>
      </c>
      <c r="J355" s="6">
        <v>0</v>
      </c>
      <c r="K355" s="6">
        <v>0</v>
      </c>
      <c r="L355" s="6">
        <v>185.75700000000001</v>
      </c>
      <c r="M355" s="6">
        <v>185.75700000000001</v>
      </c>
      <c r="N355" s="6">
        <v>185.75700000000001</v>
      </c>
      <c r="O355" s="6">
        <v>185.75700000000001</v>
      </c>
      <c r="P355" s="6">
        <v>0</v>
      </c>
      <c r="Q355" s="4" t="s">
        <v>26</v>
      </c>
      <c r="R355" s="4">
        <v>0</v>
      </c>
      <c r="S355" s="4" t="s">
        <v>276</v>
      </c>
      <c r="T355" s="4" t="s">
        <v>505</v>
      </c>
      <c r="U355" s="4">
        <v>0</v>
      </c>
      <c r="V355" s="4">
        <v>24</v>
      </c>
      <c r="W355" s="4">
        <v>67</v>
      </c>
    </row>
    <row r="356" spans="1:23" ht="11.25" customHeight="1" x14ac:dyDescent="0.25">
      <c r="A356" s="4" t="s">
        <v>28</v>
      </c>
      <c r="B356" s="4" t="s">
        <v>39</v>
      </c>
      <c r="C356" s="4" t="s">
        <v>41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44531</v>
      </c>
      <c r="J356" s="6">
        <v>0</v>
      </c>
      <c r="K356" s="6">
        <v>0</v>
      </c>
      <c r="L356" s="6">
        <v>42.701000000000001</v>
      </c>
      <c r="M356" s="6">
        <v>42.701000000000001</v>
      </c>
      <c r="N356" s="6">
        <v>42.701000000000001</v>
      </c>
      <c r="O356" s="6">
        <v>42.701000000000001</v>
      </c>
      <c r="P356" s="6">
        <v>0</v>
      </c>
      <c r="Q356" s="4" t="s">
        <v>26</v>
      </c>
      <c r="R356" s="4">
        <v>0</v>
      </c>
      <c r="S356" s="4" t="s">
        <v>276</v>
      </c>
      <c r="T356" s="4" t="s">
        <v>505</v>
      </c>
      <c r="U356" s="4">
        <v>0</v>
      </c>
      <c r="V356" s="4">
        <v>24</v>
      </c>
      <c r="W356" s="4">
        <v>67</v>
      </c>
    </row>
    <row r="357" spans="1:23" ht="11.25" customHeight="1" x14ac:dyDescent="0.25">
      <c r="A357" s="4" t="s">
        <v>55</v>
      </c>
      <c r="B357" s="4" t="s">
        <v>39</v>
      </c>
      <c r="C357" s="4" t="s">
        <v>41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44562</v>
      </c>
      <c r="J357" s="6">
        <v>0</v>
      </c>
      <c r="K357" s="6">
        <v>0</v>
      </c>
      <c r="L357" s="6">
        <v>185.75700000000001</v>
      </c>
      <c r="M357" s="6">
        <v>185.75700000000001</v>
      </c>
      <c r="N357" s="6">
        <v>185.75700000000001</v>
      </c>
      <c r="O357" s="6">
        <v>185.75700000000001</v>
      </c>
      <c r="P357" s="6">
        <v>0</v>
      </c>
      <c r="Q357" s="4" t="s">
        <v>26</v>
      </c>
      <c r="R357" s="4">
        <v>0</v>
      </c>
      <c r="S357" s="4" t="s">
        <v>277</v>
      </c>
      <c r="T357" s="4" t="s">
        <v>506</v>
      </c>
      <c r="U357" s="4">
        <v>0</v>
      </c>
      <c r="V357" s="4">
        <v>24</v>
      </c>
      <c r="W357" s="4">
        <v>67</v>
      </c>
    </row>
    <row r="358" spans="1:23" ht="11.25" customHeight="1" x14ac:dyDescent="0.25">
      <c r="A358" s="4" t="s">
        <v>55</v>
      </c>
      <c r="B358" s="4" t="s">
        <v>39</v>
      </c>
      <c r="C358" s="4" t="s">
        <v>41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44562</v>
      </c>
      <c r="J358" s="6">
        <v>0</v>
      </c>
      <c r="K358" s="6">
        <v>0</v>
      </c>
      <c r="L358" s="6">
        <v>42.701000000000001</v>
      </c>
      <c r="M358" s="6">
        <v>42.701000000000001</v>
      </c>
      <c r="N358" s="6">
        <v>42.701000000000001</v>
      </c>
      <c r="O358" s="6">
        <v>42.701000000000001</v>
      </c>
      <c r="P358" s="6">
        <v>0</v>
      </c>
      <c r="Q358" s="4" t="s">
        <v>26</v>
      </c>
      <c r="R358" s="4">
        <v>0</v>
      </c>
      <c r="S358" s="4" t="s">
        <v>277</v>
      </c>
      <c r="T358" s="4" t="s">
        <v>506</v>
      </c>
      <c r="U358" s="4">
        <v>0</v>
      </c>
      <c r="V358" s="4">
        <v>24</v>
      </c>
      <c r="W358" s="4">
        <v>67</v>
      </c>
    </row>
    <row r="359" spans="1:23" ht="11.25" customHeight="1" x14ac:dyDescent="0.25">
      <c r="A359" s="4" t="s">
        <v>21</v>
      </c>
      <c r="B359" s="4" t="s">
        <v>39</v>
      </c>
      <c r="C359" s="4" t="s">
        <v>41</v>
      </c>
      <c r="D359" s="4" t="s">
        <v>51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44228</v>
      </c>
      <c r="J359" s="6">
        <v>0</v>
      </c>
      <c r="K359" s="6">
        <v>0</v>
      </c>
      <c r="L359" s="6">
        <v>14.76</v>
      </c>
      <c r="M359" s="6">
        <v>14.76</v>
      </c>
      <c r="N359" s="6">
        <v>14.76</v>
      </c>
      <c r="O359" s="6">
        <v>14.76</v>
      </c>
      <c r="P359" s="6">
        <v>0</v>
      </c>
      <c r="Q359" s="4" t="s">
        <v>26</v>
      </c>
      <c r="R359" s="4">
        <v>0</v>
      </c>
      <c r="S359" s="4" t="s">
        <v>242</v>
      </c>
      <c r="T359" s="4" t="s">
        <v>483</v>
      </c>
      <c r="U359" s="4">
        <v>0</v>
      </c>
      <c r="V359" s="4">
        <v>25</v>
      </c>
      <c r="W359" s="4">
        <v>68</v>
      </c>
    </row>
    <row r="360" spans="1:23" ht="11.25" customHeight="1" x14ac:dyDescent="0.25">
      <c r="A360" s="4" t="s">
        <v>21</v>
      </c>
      <c r="B360" s="4" t="s">
        <v>39</v>
      </c>
      <c r="C360" s="4" t="s">
        <v>41</v>
      </c>
      <c r="D360" s="4" t="s">
        <v>51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44256</v>
      </c>
      <c r="J360" s="6">
        <v>0</v>
      </c>
      <c r="K360" s="6">
        <v>0</v>
      </c>
      <c r="L360" s="6">
        <v>15.016</v>
      </c>
      <c r="M360" s="6">
        <v>15.016</v>
      </c>
      <c r="N360" s="6">
        <v>15.016</v>
      </c>
      <c r="O360" s="6">
        <v>15.016</v>
      </c>
      <c r="P360" s="6">
        <v>0</v>
      </c>
      <c r="Q360" s="4" t="s">
        <v>26</v>
      </c>
      <c r="R360" s="4">
        <v>0</v>
      </c>
      <c r="S360" s="4" t="s">
        <v>243</v>
      </c>
      <c r="T360" s="4" t="s">
        <v>484</v>
      </c>
      <c r="U360" s="4">
        <v>0</v>
      </c>
      <c r="V360" s="4">
        <v>25</v>
      </c>
      <c r="W360" s="4">
        <v>68</v>
      </c>
    </row>
    <row r="361" spans="1:23" ht="11.25" customHeight="1" x14ac:dyDescent="0.25">
      <c r="A361" s="4" t="s">
        <v>21</v>
      </c>
      <c r="B361" s="4" t="s">
        <v>39</v>
      </c>
      <c r="C361" s="4" t="s">
        <v>41</v>
      </c>
      <c r="D361" s="4" t="s">
        <v>51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44287</v>
      </c>
      <c r="J361" s="6">
        <v>0</v>
      </c>
      <c r="K361" s="6">
        <v>0</v>
      </c>
      <c r="L361" s="6">
        <v>14.35</v>
      </c>
      <c r="M361" s="6">
        <v>14.35</v>
      </c>
      <c r="N361" s="6">
        <v>14.35</v>
      </c>
      <c r="O361" s="6">
        <v>14.35</v>
      </c>
      <c r="P361" s="6">
        <v>0</v>
      </c>
      <c r="Q361" s="4" t="s">
        <v>26</v>
      </c>
      <c r="R361" s="4">
        <v>0</v>
      </c>
      <c r="S361" s="4" t="s">
        <v>244</v>
      </c>
      <c r="T361" s="4" t="s">
        <v>485</v>
      </c>
      <c r="U361" s="4">
        <v>0</v>
      </c>
      <c r="V361" s="4">
        <v>25</v>
      </c>
      <c r="W361" s="4">
        <v>68</v>
      </c>
    </row>
    <row r="362" spans="1:23" ht="11.25" customHeight="1" x14ac:dyDescent="0.25">
      <c r="A362" s="4" t="s">
        <v>21</v>
      </c>
      <c r="B362" s="4" t="s">
        <v>39</v>
      </c>
      <c r="C362" s="4" t="s">
        <v>41</v>
      </c>
      <c r="D362" s="4" t="s">
        <v>51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44317</v>
      </c>
      <c r="J362" s="6">
        <v>0</v>
      </c>
      <c r="K362" s="6">
        <v>0</v>
      </c>
      <c r="L362" s="6">
        <v>15.478</v>
      </c>
      <c r="M362" s="6">
        <v>15.478</v>
      </c>
      <c r="N362" s="6">
        <v>15.478</v>
      </c>
      <c r="O362" s="6">
        <v>15.478</v>
      </c>
      <c r="P362" s="6">
        <v>0</v>
      </c>
      <c r="Q362" s="4" t="s">
        <v>26</v>
      </c>
      <c r="R362" s="4">
        <v>0</v>
      </c>
      <c r="S362" s="4" t="s">
        <v>245</v>
      </c>
      <c r="T362" s="4" t="s">
        <v>486</v>
      </c>
      <c r="U362" s="4">
        <v>0</v>
      </c>
      <c r="V362" s="4">
        <v>25</v>
      </c>
      <c r="W362" s="4">
        <v>68</v>
      </c>
    </row>
    <row r="363" spans="1:23" ht="11.25" customHeight="1" x14ac:dyDescent="0.25">
      <c r="A363" s="4" t="s">
        <v>21</v>
      </c>
      <c r="B363" s="4" t="s">
        <v>39</v>
      </c>
      <c r="C363" s="4" t="s">
        <v>41</v>
      </c>
      <c r="D363" s="4" t="s">
        <v>51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44348</v>
      </c>
      <c r="J363" s="6">
        <v>0</v>
      </c>
      <c r="K363" s="6">
        <v>0</v>
      </c>
      <c r="L363" s="6">
        <v>12.3</v>
      </c>
      <c r="M363" s="6">
        <v>12.3</v>
      </c>
      <c r="N363" s="6">
        <v>12.3</v>
      </c>
      <c r="O363" s="6">
        <v>12.3</v>
      </c>
      <c r="P363" s="6">
        <v>0</v>
      </c>
      <c r="Q363" s="4" t="s">
        <v>26</v>
      </c>
      <c r="R363" s="4">
        <v>0</v>
      </c>
      <c r="S363" s="4" t="s">
        <v>246</v>
      </c>
      <c r="T363" s="4" t="s">
        <v>487</v>
      </c>
      <c r="U363" s="4">
        <v>0</v>
      </c>
      <c r="V363" s="4">
        <v>25</v>
      </c>
      <c r="W363" s="4">
        <v>68</v>
      </c>
    </row>
    <row r="364" spans="1:23" ht="11.25" customHeight="1" x14ac:dyDescent="0.25">
      <c r="A364" s="4" t="s">
        <v>21</v>
      </c>
      <c r="B364" s="4" t="s">
        <v>39</v>
      </c>
      <c r="C364" s="4" t="s">
        <v>41</v>
      </c>
      <c r="D364" s="4" t="s">
        <v>51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44378</v>
      </c>
      <c r="J364" s="6">
        <v>0</v>
      </c>
      <c r="K364" s="6">
        <v>0</v>
      </c>
      <c r="L364" s="6">
        <v>11.224</v>
      </c>
      <c r="M364" s="6">
        <v>11.224</v>
      </c>
      <c r="N364" s="6">
        <v>11.224</v>
      </c>
      <c r="O364" s="6">
        <v>11.224</v>
      </c>
      <c r="P364" s="6">
        <v>0</v>
      </c>
      <c r="Q364" s="4" t="s">
        <v>26</v>
      </c>
      <c r="R364" s="4">
        <v>0</v>
      </c>
      <c r="S364" s="4" t="s">
        <v>247</v>
      </c>
      <c r="T364" s="4" t="s">
        <v>488</v>
      </c>
      <c r="U364" s="4">
        <v>0</v>
      </c>
      <c r="V364" s="4">
        <v>25</v>
      </c>
      <c r="W364" s="4">
        <v>68</v>
      </c>
    </row>
    <row r="365" spans="1:23" ht="11.25" customHeight="1" x14ac:dyDescent="0.25">
      <c r="A365" s="4" t="s">
        <v>21</v>
      </c>
      <c r="B365" s="4" t="s">
        <v>39</v>
      </c>
      <c r="C365" s="4" t="s">
        <v>41</v>
      </c>
      <c r="D365" s="4" t="s">
        <v>51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44409</v>
      </c>
      <c r="J365" s="6">
        <v>0</v>
      </c>
      <c r="K365" s="6">
        <v>0</v>
      </c>
      <c r="L365" s="6">
        <v>11.634</v>
      </c>
      <c r="M365" s="6">
        <v>11.634</v>
      </c>
      <c r="N365" s="6">
        <v>11.634</v>
      </c>
      <c r="O365" s="6">
        <v>11.634</v>
      </c>
      <c r="P365" s="6">
        <v>0</v>
      </c>
      <c r="Q365" s="4" t="s">
        <v>26</v>
      </c>
      <c r="R365" s="4">
        <v>0</v>
      </c>
      <c r="S365" s="4" t="s">
        <v>248</v>
      </c>
      <c r="T365" s="4" t="s">
        <v>489</v>
      </c>
      <c r="U365" s="4">
        <v>0</v>
      </c>
      <c r="V365" s="4">
        <v>25</v>
      </c>
      <c r="W365" s="4">
        <v>68</v>
      </c>
    </row>
    <row r="366" spans="1:23" ht="11.25" customHeight="1" x14ac:dyDescent="0.25">
      <c r="A366" s="4" t="s">
        <v>21</v>
      </c>
      <c r="B366" s="4" t="s">
        <v>39</v>
      </c>
      <c r="C366" s="4" t="s">
        <v>41</v>
      </c>
      <c r="D366" s="4" t="s">
        <v>51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44440</v>
      </c>
      <c r="J366" s="6">
        <v>0</v>
      </c>
      <c r="K366" s="6">
        <v>0</v>
      </c>
      <c r="L366" s="6">
        <v>10.353</v>
      </c>
      <c r="M366" s="6">
        <v>10.353</v>
      </c>
      <c r="N366" s="6">
        <v>10.353</v>
      </c>
      <c r="O366" s="6">
        <v>10.353</v>
      </c>
      <c r="P366" s="6">
        <v>0</v>
      </c>
      <c r="Q366" s="4" t="s">
        <v>26</v>
      </c>
      <c r="R366" s="4">
        <v>0</v>
      </c>
      <c r="S366" s="4" t="s">
        <v>249</v>
      </c>
      <c r="T366" s="4" t="s">
        <v>490</v>
      </c>
      <c r="U366" s="4">
        <v>0</v>
      </c>
      <c r="V366" s="4">
        <v>25</v>
      </c>
      <c r="W366" s="4">
        <v>68</v>
      </c>
    </row>
    <row r="367" spans="1:23" ht="11.25" customHeight="1" x14ac:dyDescent="0.25">
      <c r="A367" s="4" t="s">
        <v>21</v>
      </c>
      <c r="B367" s="4" t="s">
        <v>39</v>
      </c>
      <c r="C367" s="4" t="s">
        <v>41</v>
      </c>
      <c r="D367" s="4" t="s">
        <v>51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44470</v>
      </c>
      <c r="J367" s="6">
        <v>0</v>
      </c>
      <c r="K367" s="6">
        <v>0</v>
      </c>
      <c r="L367" s="6">
        <v>11.993</v>
      </c>
      <c r="M367" s="6">
        <v>11.993</v>
      </c>
      <c r="N367" s="6">
        <v>11.993</v>
      </c>
      <c r="O367" s="6">
        <v>11.993</v>
      </c>
      <c r="P367" s="6">
        <v>0</v>
      </c>
      <c r="Q367" s="4" t="s">
        <v>26</v>
      </c>
      <c r="R367" s="4">
        <v>0</v>
      </c>
      <c r="S367" s="4" t="s">
        <v>250</v>
      </c>
      <c r="T367" s="4" t="s">
        <v>491</v>
      </c>
      <c r="U367" s="4">
        <v>0</v>
      </c>
      <c r="V367" s="4">
        <v>25</v>
      </c>
      <c r="W367" s="4">
        <v>68</v>
      </c>
    </row>
    <row r="368" spans="1:23" ht="11.25" customHeight="1" x14ac:dyDescent="0.25">
      <c r="A368" s="4" t="s">
        <v>21</v>
      </c>
      <c r="B368" s="4" t="s">
        <v>39</v>
      </c>
      <c r="C368" s="4" t="s">
        <v>41</v>
      </c>
      <c r="D368" s="4" t="s">
        <v>51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44501</v>
      </c>
      <c r="J368" s="6">
        <v>0</v>
      </c>
      <c r="K368" s="6">
        <v>0</v>
      </c>
      <c r="L368" s="6">
        <v>12.403</v>
      </c>
      <c r="M368" s="6">
        <v>12.403</v>
      </c>
      <c r="N368" s="6">
        <v>12.403</v>
      </c>
      <c r="O368" s="6">
        <v>12.403</v>
      </c>
      <c r="P368" s="6">
        <v>0</v>
      </c>
      <c r="Q368" s="4" t="s">
        <v>26</v>
      </c>
      <c r="R368" s="4">
        <v>0</v>
      </c>
      <c r="S368" s="4" t="s">
        <v>251</v>
      </c>
      <c r="T368" s="4" t="s">
        <v>492</v>
      </c>
      <c r="U368" s="4">
        <v>0</v>
      </c>
      <c r="V368" s="4">
        <v>25</v>
      </c>
      <c r="W368" s="4">
        <v>68</v>
      </c>
    </row>
    <row r="369" spans="1:23" ht="11.25" customHeight="1" x14ac:dyDescent="0.25">
      <c r="A369" s="4" t="s">
        <v>21</v>
      </c>
      <c r="B369" s="4" t="s">
        <v>39</v>
      </c>
      <c r="C369" s="4" t="s">
        <v>41</v>
      </c>
      <c r="D369" s="4" t="s">
        <v>51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44531</v>
      </c>
      <c r="J369" s="6">
        <v>0</v>
      </c>
      <c r="K369" s="6">
        <v>0</v>
      </c>
      <c r="L369" s="6">
        <v>13.324999999999999</v>
      </c>
      <c r="M369" s="6">
        <v>13.324999999999999</v>
      </c>
      <c r="N369" s="6">
        <v>13.324999999999999</v>
      </c>
      <c r="O369" s="6">
        <v>13.324999999999999</v>
      </c>
      <c r="P369" s="6">
        <v>0</v>
      </c>
      <c r="Q369" s="4" t="s">
        <v>26</v>
      </c>
      <c r="R369" s="4">
        <v>0</v>
      </c>
      <c r="S369" s="4" t="s">
        <v>252</v>
      </c>
      <c r="T369" s="4" t="s">
        <v>493</v>
      </c>
      <c r="U369" s="4">
        <v>0</v>
      </c>
      <c r="V369" s="4">
        <v>25</v>
      </c>
      <c r="W369" s="4">
        <v>68</v>
      </c>
    </row>
    <row r="370" spans="1:23" ht="11.25" customHeight="1" x14ac:dyDescent="0.25">
      <c r="A370" s="4" t="s">
        <v>55</v>
      </c>
      <c r="B370" s="4" t="s">
        <v>39</v>
      </c>
      <c r="C370" s="4" t="s">
        <v>41</v>
      </c>
      <c r="D370" s="4" t="s">
        <v>51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44562</v>
      </c>
      <c r="J370" s="6">
        <v>0</v>
      </c>
      <c r="K370" s="6">
        <v>0</v>
      </c>
      <c r="L370" s="6">
        <v>13.324999999999999</v>
      </c>
      <c r="M370" s="6">
        <v>13.324999999999999</v>
      </c>
      <c r="N370" s="6">
        <v>13.324999999999999</v>
      </c>
      <c r="O370" s="6">
        <v>13.324999999999999</v>
      </c>
      <c r="P370" s="6">
        <v>0</v>
      </c>
      <c r="Q370" s="4" t="s">
        <v>26</v>
      </c>
      <c r="R370" s="4">
        <v>0</v>
      </c>
      <c r="S370" s="4" t="s">
        <v>253</v>
      </c>
      <c r="T370" s="4" t="s">
        <v>494</v>
      </c>
      <c r="U370" s="4">
        <v>0</v>
      </c>
      <c r="V370" s="4">
        <v>25</v>
      </c>
      <c r="W370" s="4">
        <v>68</v>
      </c>
    </row>
    <row r="371" spans="1:23" ht="11.25" customHeight="1" x14ac:dyDescent="0.25">
      <c r="A371" s="4" t="s">
        <v>21</v>
      </c>
      <c r="B371" s="4" t="s">
        <v>39</v>
      </c>
      <c r="C371" s="4" t="s">
        <v>41</v>
      </c>
      <c r="D371" s="4" t="s">
        <v>51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44228</v>
      </c>
      <c r="J371" s="6">
        <v>61</v>
      </c>
      <c r="K371" s="6">
        <v>61</v>
      </c>
      <c r="L371" s="6">
        <v>0</v>
      </c>
      <c r="M371" s="6">
        <v>0</v>
      </c>
      <c r="N371" s="6">
        <v>0</v>
      </c>
      <c r="O371" s="6">
        <v>0</v>
      </c>
      <c r="P371" s="6">
        <v>1</v>
      </c>
      <c r="Q371" s="4" t="s">
        <v>26</v>
      </c>
      <c r="R371" s="4">
        <v>0</v>
      </c>
      <c r="S371" s="4" t="s">
        <v>254</v>
      </c>
      <c r="U371" s="4">
        <v>23</v>
      </c>
      <c r="V371" s="4">
        <v>0</v>
      </c>
      <c r="W371" s="4">
        <v>0</v>
      </c>
    </row>
    <row r="372" spans="1:23" ht="11.25" customHeight="1" x14ac:dyDescent="0.25">
      <c r="A372" s="4" t="s">
        <v>21</v>
      </c>
      <c r="B372" s="4" t="s">
        <v>39</v>
      </c>
      <c r="C372" s="4" t="s">
        <v>41</v>
      </c>
      <c r="D372" s="4" t="s">
        <v>51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44256</v>
      </c>
      <c r="J372" s="6">
        <v>61</v>
      </c>
      <c r="K372" s="6">
        <v>61</v>
      </c>
      <c r="L372" s="6">
        <v>0</v>
      </c>
      <c r="M372" s="6">
        <v>0</v>
      </c>
      <c r="N372" s="6">
        <v>0</v>
      </c>
      <c r="O372" s="6">
        <v>0</v>
      </c>
      <c r="P372" s="6">
        <v>1</v>
      </c>
      <c r="Q372" s="4" t="s">
        <v>26</v>
      </c>
      <c r="R372" s="4">
        <v>0</v>
      </c>
      <c r="S372" s="4" t="s">
        <v>255</v>
      </c>
      <c r="U372" s="4">
        <v>23</v>
      </c>
      <c r="V372" s="4">
        <v>0</v>
      </c>
      <c r="W372" s="4">
        <v>0</v>
      </c>
    </row>
    <row r="373" spans="1:23" ht="11.25" customHeight="1" x14ac:dyDescent="0.25">
      <c r="A373" s="4" t="s">
        <v>21</v>
      </c>
      <c r="B373" s="4" t="s">
        <v>39</v>
      </c>
      <c r="C373" s="4" t="s">
        <v>41</v>
      </c>
      <c r="D373" s="4" t="s">
        <v>51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44287</v>
      </c>
      <c r="J373" s="6">
        <v>61</v>
      </c>
      <c r="K373" s="6">
        <v>61</v>
      </c>
      <c r="L373" s="6">
        <v>0</v>
      </c>
      <c r="M373" s="6">
        <v>0</v>
      </c>
      <c r="N373" s="6">
        <v>0</v>
      </c>
      <c r="O373" s="6">
        <v>0</v>
      </c>
      <c r="P373" s="6">
        <v>1</v>
      </c>
      <c r="Q373" s="4" t="s">
        <v>26</v>
      </c>
      <c r="R373" s="4">
        <v>0</v>
      </c>
      <c r="S373" s="4" t="s">
        <v>256</v>
      </c>
      <c r="U373" s="4">
        <v>23</v>
      </c>
      <c r="V373" s="4">
        <v>0</v>
      </c>
      <c r="W373" s="4">
        <v>0</v>
      </c>
    </row>
    <row r="374" spans="1:23" ht="11.25" customHeight="1" x14ac:dyDescent="0.25">
      <c r="A374" s="4" t="s">
        <v>21</v>
      </c>
      <c r="B374" s="4" t="s">
        <v>39</v>
      </c>
      <c r="C374" s="4" t="s">
        <v>41</v>
      </c>
      <c r="D374" s="4" t="s">
        <v>51</v>
      </c>
      <c r="E374" s="4" t="s">
        <v>25</v>
      </c>
      <c r="F374" s="4" t="s">
        <v>25</v>
      </c>
      <c r="G374" s="4" t="s">
        <v>25</v>
      </c>
      <c r="H374" s="4" t="s">
        <v>25</v>
      </c>
      <c r="I374" s="5">
        <v>44317</v>
      </c>
      <c r="J374" s="6">
        <v>61</v>
      </c>
      <c r="K374" s="6">
        <v>61</v>
      </c>
      <c r="L374" s="6">
        <v>0</v>
      </c>
      <c r="M374" s="6">
        <v>0</v>
      </c>
      <c r="N374" s="6">
        <v>0</v>
      </c>
      <c r="O374" s="6">
        <v>0</v>
      </c>
      <c r="P374" s="6">
        <v>1</v>
      </c>
      <c r="Q374" s="4" t="s">
        <v>26</v>
      </c>
      <c r="R374" s="4">
        <v>0</v>
      </c>
      <c r="S374" s="4" t="s">
        <v>257</v>
      </c>
      <c r="U374" s="4">
        <v>23</v>
      </c>
      <c r="V374" s="4">
        <v>0</v>
      </c>
      <c r="W374" s="4">
        <v>0</v>
      </c>
    </row>
    <row r="375" spans="1:23" ht="11.25" customHeight="1" x14ac:dyDescent="0.25">
      <c r="A375" s="4" t="s">
        <v>21</v>
      </c>
      <c r="B375" s="4" t="s">
        <v>39</v>
      </c>
      <c r="C375" s="4" t="s">
        <v>41</v>
      </c>
      <c r="D375" s="4" t="s">
        <v>51</v>
      </c>
      <c r="E375" s="4" t="s">
        <v>25</v>
      </c>
      <c r="F375" s="4" t="s">
        <v>25</v>
      </c>
      <c r="G375" s="4" t="s">
        <v>25</v>
      </c>
      <c r="H375" s="4" t="s">
        <v>25</v>
      </c>
      <c r="I375" s="5">
        <v>44348</v>
      </c>
      <c r="J375" s="6">
        <v>61</v>
      </c>
      <c r="K375" s="6">
        <v>61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4" t="s">
        <v>26</v>
      </c>
      <c r="R375" s="4">
        <v>0</v>
      </c>
      <c r="S375" s="4" t="s">
        <v>258</v>
      </c>
      <c r="U375" s="4">
        <v>23</v>
      </c>
      <c r="V375" s="4">
        <v>0</v>
      </c>
      <c r="W375" s="4">
        <v>0</v>
      </c>
    </row>
    <row r="376" spans="1:23" ht="11.25" customHeight="1" x14ac:dyDescent="0.25">
      <c r="A376" s="4" t="s">
        <v>21</v>
      </c>
      <c r="B376" s="4" t="s">
        <v>39</v>
      </c>
      <c r="C376" s="4" t="s">
        <v>41</v>
      </c>
      <c r="D376" s="4" t="s">
        <v>51</v>
      </c>
      <c r="E376" s="4" t="s">
        <v>25</v>
      </c>
      <c r="F376" s="4" t="s">
        <v>25</v>
      </c>
      <c r="G376" s="4" t="s">
        <v>25</v>
      </c>
      <c r="H376" s="4" t="s">
        <v>25</v>
      </c>
      <c r="I376" s="5">
        <v>44378</v>
      </c>
      <c r="J376" s="6">
        <v>61</v>
      </c>
      <c r="K376" s="6">
        <v>61</v>
      </c>
      <c r="L376" s="6">
        <v>0</v>
      </c>
      <c r="M376" s="6">
        <v>0</v>
      </c>
      <c r="N376" s="6">
        <v>0</v>
      </c>
      <c r="O376" s="6">
        <v>0</v>
      </c>
      <c r="P376" s="6">
        <v>1</v>
      </c>
      <c r="Q376" s="4" t="s">
        <v>26</v>
      </c>
      <c r="R376" s="4">
        <v>0</v>
      </c>
      <c r="S376" s="4" t="s">
        <v>259</v>
      </c>
      <c r="U376" s="4">
        <v>23</v>
      </c>
      <c r="V376" s="4">
        <v>0</v>
      </c>
      <c r="W376" s="4">
        <v>0</v>
      </c>
    </row>
    <row r="377" spans="1:23" ht="11.25" customHeight="1" x14ac:dyDescent="0.25">
      <c r="A377" s="4" t="s">
        <v>21</v>
      </c>
      <c r="B377" s="4" t="s">
        <v>39</v>
      </c>
      <c r="C377" s="4" t="s">
        <v>41</v>
      </c>
      <c r="D377" s="4" t="s">
        <v>51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44409</v>
      </c>
      <c r="J377" s="6">
        <v>62</v>
      </c>
      <c r="K377" s="6">
        <v>62</v>
      </c>
      <c r="L377" s="6">
        <v>0</v>
      </c>
      <c r="M377" s="6">
        <v>0</v>
      </c>
      <c r="N377" s="6">
        <v>0</v>
      </c>
      <c r="O377" s="6">
        <v>0</v>
      </c>
      <c r="P377" s="6">
        <v>1</v>
      </c>
      <c r="Q377" s="4" t="s">
        <v>26</v>
      </c>
      <c r="R377" s="4">
        <v>0</v>
      </c>
      <c r="S377" s="4" t="s">
        <v>260</v>
      </c>
      <c r="U377" s="4">
        <v>23</v>
      </c>
      <c r="V377" s="4">
        <v>0</v>
      </c>
      <c r="W377" s="4">
        <v>0</v>
      </c>
    </row>
    <row r="378" spans="1:23" ht="11.25" customHeight="1" x14ac:dyDescent="0.25">
      <c r="A378" s="4" t="s">
        <v>21</v>
      </c>
      <c r="B378" s="4" t="s">
        <v>39</v>
      </c>
      <c r="C378" s="4" t="s">
        <v>41</v>
      </c>
      <c r="D378" s="4" t="s">
        <v>51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44440</v>
      </c>
      <c r="J378" s="6">
        <v>61</v>
      </c>
      <c r="K378" s="6">
        <v>61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4" t="s">
        <v>26</v>
      </c>
      <c r="R378" s="4">
        <v>0</v>
      </c>
      <c r="S378" s="4" t="s">
        <v>261</v>
      </c>
      <c r="U378" s="4">
        <v>23</v>
      </c>
      <c r="V378" s="4">
        <v>0</v>
      </c>
      <c r="W378" s="4">
        <v>0</v>
      </c>
    </row>
    <row r="379" spans="1:23" ht="11.25" customHeight="1" x14ac:dyDescent="0.25">
      <c r="A379" s="4" t="s">
        <v>21</v>
      </c>
      <c r="B379" s="4" t="s">
        <v>39</v>
      </c>
      <c r="C379" s="4" t="s">
        <v>41</v>
      </c>
      <c r="D379" s="4" t="s">
        <v>51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44470</v>
      </c>
      <c r="J379" s="6">
        <v>61</v>
      </c>
      <c r="K379" s="6">
        <v>61</v>
      </c>
      <c r="L379" s="6">
        <v>0</v>
      </c>
      <c r="M379" s="6">
        <v>0</v>
      </c>
      <c r="N379" s="6">
        <v>0</v>
      </c>
      <c r="O379" s="6">
        <v>0</v>
      </c>
      <c r="P379" s="6">
        <v>1</v>
      </c>
      <c r="Q379" s="4" t="s">
        <v>26</v>
      </c>
      <c r="R379" s="4">
        <v>0</v>
      </c>
      <c r="S379" s="4" t="s">
        <v>262</v>
      </c>
      <c r="U379" s="4">
        <v>23</v>
      </c>
      <c r="V379" s="4">
        <v>0</v>
      </c>
      <c r="W379" s="4">
        <v>0</v>
      </c>
    </row>
    <row r="380" spans="1:23" ht="11.25" customHeight="1" x14ac:dyDescent="0.25">
      <c r="A380" s="4" t="s">
        <v>21</v>
      </c>
      <c r="B380" s="4" t="s">
        <v>39</v>
      </c>
      <c r="C380" s="4" t="s">
        <v>41</v>
      </c>
      <c r="D380" s="4" t="s">
        <v>51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44501</v>
      </c>
      <c r="J380" s="6">
        <v>61</v>
      </c>
      <c r="K380" s="6">
        <v>61</v>
      </c>
      <c r="L380" s="6">
        <v>0</v>
      </c>
      <c r="M380" s="6">
        <v>0</v>
      </c>
      <c r="N380" s="6">
        <v>0</v>
      </c>
      <c r="O380" s="6">
        <v>0</v>
      </c>
      <c r="P380" s="6">
        <v>1</v>
      </c>
      <c r="Q380" s="4" t="s">
        <v>26</v>
      </c>
      <c r="R380" s="4">
        <v>0</v>
      </c>
      <c r="S380" s="4" t="s">
        <v>263</v>
      </c>
      <c r="U380" s="4">
        <v>23</v>
      </c>
      <c r="V380" s="4">
        <v>0</v>
      </c>
      <c r="W380" s="4">
        <v>0</v>
      </c>
    </row>
    <row r="381" spans="1:23" ht="11.25" customHeight="1" x14ac:dyDescent="0.25">
      <c r="A381" s="4" t="s">
        <v>21</v>
      </c>
      <c r="B381" s="4" t="s">
        <v>39</v>
      </c>
      <c r="C381" s="4" t="s">
        <v>41</v>
      </c>
      <c r="D381" s="4" t="s">
        <v>51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44531</v>
      </c>
      <c r="J381" s="6">
        <v>61</v>
      </c>
      <c r="K381" s="6">
        <v>61</v>
      </c>
      <c r="L381" s="6">
        <v>0</v>
      </c>
      <c r="M381" s="6">
        <v>0</v>
      </c>
      <c r="N381" s="6">
        <v>0</v>
      </c>
      <c r="O381" s="6">
        <v>0</v>
      </c>
      <c r="P381" s="6">
        <v>1</v>
      </c>
      <c r="Q381" s="4" t="s">
        <v>26</v>
      </c>
      <c r="R381" s="4">
        <v>0</v>
      </c>
      <c r="S381" s="4" t="s">
        <v>264</v>
      </c>
      <c r="U381" s="4">
        <v>23</v>
      </c>
      <c r="V381" s="4">
        <v>0</v>
      </c>
      <c r="W381" s="4">
        <v>0</v>
      </c>
    </row>
    <row r="382" spans="1:23" ht="11.25" customHeight="1" x14ac:dyDescent="0.25">
      <c r="A382" s="4" t="s">
        <v>55</v>
      </c>
      <c r="B382" s="4" t="s">
        <v>39</v>
      </c>
      <c r="C382" s="4" t="s">
        <v>41</v>
      </c>
      <c r="D382" s="4" t="s">
        <v>51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44562</v>
      </c>
      <c r="J382" s="6">
        <v>61</v>
      </c>
      <c r="K382" s="6">
        <v>61</v>
      </c>
      <c r="L382" s="6">
        <v>0</v>
      </c>
      <c r="M382" s="6">
        <v>0</v>
      </c>
      <c r="N382" s="6">
        <v>0</v>
      </c>
      <c r="O382" s="6">
        <v>0</v>
      </c>
      <c r="P382" s="6">
        <v>1</v>
      </c>
      <c r="Q382" s="4" t="s">
        <v>26</v>
      </c>
      <c r="R382" s="4">
        <v>0</v>
      </c>
      <c r="S382" s="4" t="s">
        <v>265</v>
      </c>
      <c r="U382" s="4">
        <v>23</v>
      </c>
      <c r="V382" s="4">
        <v>0</v>
      </c>
      <c r="W382" s="4">
        <v>0</v>
      </c>
    </row>
    <row r="383" spans="1:23" ht="11.25" customHeight="1" x14ac:dyDescent="0.25">
      <c r="A383" s="4" t="s">
        <v>21</v>
      </c>
      <c r="B383" s="4" t="s">
        <v>39</v>
      </c>
      <c r="C383" s="4" t="s">
        <v>41</v>
      </c>
      <c r="D383" s="4" t="s">
        <v>51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44228</v>
      </c>
      <c r="J383" s="6">
        <v>0</v>
      </c>
      <c r="K383" s="6">
        <v>0</v>
      </c>
      <c r="L383" s="6">
        <v>1.589</v>
      </c>
      <c r="M383" s="6">
        <v>1.589</v>
      </c>
      <c r="N383" s="6">
        <v>1.589</v>
      </c>
      <c r="O383" s="6">
        <v>1.589</v>
      </c>
      <c r="P383" s="6">
        <v>0</v>
      </c>
      <c r="Q383" s="4" t="s">
        <v>26</v>
      </c>
      <c r="R383" s="4">
        <v>0</v>
      </c>
      <c r="S383" s="4" t="s">
        <v>266</v>
      </c>
      <c r="T383" s="4" t="s">
        <v>495</v>
      </c>
      <c r="U383" s="4">
        <v>0</v>
      </c>
      <c r="V383" s="4">
        <v>24</v>
      </c>
      <c r="W383" s="4">
        <v>67</v>
      </c>
    </row>
    <row r="384" spans="1:23" ht="11.25" customHeight="1" x14ac:dyDescent="0.25">
      <c r="A384" s="4" t="s">
        <v>21</v>
      </c>
      <c r="B384" s="4" t="s">
        <v>39</v>
      </c>
      <c r="C384" s="4" t="s">
        <v>41</v>
      </c>
      <c r="D384" s="4" t="s">
        <v>51</v>
      </c>
      <c r="E384" s="4" t="s">
        <v>25</v>
      </c>
      <c r="F384" s="4" t="s">
        <v>25</v>
      </c>
      <c r="G384" s="4" t="s">
        <v>25</v>
      </c>
      <c r="H384" s="4" t="s">
        <v>34</v>
      </c>
      <c r="I384" s="5">
        <v>44256</v>
      </c>
      <c r="J384" s="6">
        <v>0</v>
      </c>
      <c r="K384" s="6">
        <v>0</v>
      </c>
      <c r="L384" s="6">
        <v>1.589</v>
      </c>
      <c r="M384" s="6">
        <v>1.589</v>
      </c>
      <c r="N384" s="6">
        <v>1.589</v>
      </c>
      <c r="O384" s="6">
        <v>1.589</v>
      </c>
      <c r="P384" s="6">
        <v>0</v>
      </c>
      <c r="Q384" s="4" t="s">
        <v>26</v>
      </c>
      <c r="R384" s="4">
        <v>0</v>
      </c>
      <c r="S384" s="4" t="s">
        <v>267</v>
      </c>
      <c r="T384" s="4" t="s">
        <v>496</v>
      </c>
      <c r="U384" s="4">
        <v>0</v>
      </c>
      <c r="V384" s="4">
        <v>24</v>
      </c>
      <c r="W384" s="4">
        <v>67</v>
      </c>
    </row>
    <row r="385" spans="1:23" ht="11.25" customHeight="1" x14ac:dyDescent="0.25">
      <c r="A385" s="4" t="s">
        <v>21</v>
      </c>
      <c r="B385" s="4" t="s">
        <v>39</v>
      </c>
      <c r="C385" s="4" t="s">
        <v>41</v>
      </c>
      <c r="D385" s="4" t="s">
        <v>51</v>
      </c>
      <c r="E385" s="4" t="s">
        <v>25</v>
      </c>
      <c r="F385" s="4" t="s">
        <v>25</v>
      </c>
      <c r="G385" s="4" t="s">
        <v>25</v>
      </c>
      <c r="H385" s="4" t="s">
        <v>34</v>
      </c>
      <c r="I385" s="5">
        <v>44287</v>
      </c>
      <c r="J385" s="6">
        <v>0</v>
      </c>
      <c r="K385" s="6">
        <v>0</v>
      </c>
      <c r="L385" s="6">
        <v>1.538</v>
      </c>
      <c r="M385" s="6">
        <v>1.538</v>
      </c>
      <c r="N385" s="6">
        <v>1.538</v>
      </c>
      <c r="O385" s="6">
        <v>1.538</v>
      </c>
      <c r="P385" s="6">
        <v>0</v>
      </c>
      <c r="Q385" s="4" t="s">
        <v>26</v>
      </c>
      <c r="R385" s="4">
        <v>0</v>
      </c>
      <c r="S385" s="4" t="s">
        <v>268</v>
      </c>
      <c r="T385" s="4" t="s">
        <v>497</v>
      </c>
      <c r="U385" s="4">
        <v>0</v>
      </c>
      <c r="V385" s="4">
        <v>24</v>
      </c>
      <c r="W385" s="4">
        <v>67</v>
      </c>
    </row>
    <row r="386" spans="1:23" ht="11.25" customHeight="1" x14ac:dyDescent="0.25">
      <c r="A386" s="4" t="s">
        <v>21</v>
      </c>
      <c r="B386" s="4" t="s">
        <v>39</v>
      </c>
      <c r="C386" s="4" t="s">
        <v>41</v>
      </c>
      <c r="D386" s="4" t="s">
        <v>51</v>
      </c>
      <c r="E386" s="4" t="s">
        <v>25</v>
      </c>
      <c r="F386" s="4" t="s">
        <v>25</v>
      </c>
      <c r="G386" s="4" t="s">
        <v>25</v>
      </c>
      <c r="H386" s="4" t="s">
        <v>34</v>
      </c>
      <c r="I386" s="5">
        <v>44317</v>
      </c>
      <c r="J386" s="6">
        <v>0</v>
      </c>
      <c r="K386" s="6">
        <v>0</v>
      </c>
      <c r="L386" s="6">
        <v>1.7430000000000001</v>
      </c>
      <c r="M386" s="6">
        <v>1.7430000000000001</v>
      </c>
      <c r="N386" s="6">
        <v>1.7430000000000001</v>
      </c>
      <c r="O386" s="6">
        <v>1.7430000000000001</v>
      </c>
      <c r="P386" s="6">
        <v>0</v>
      </c>
      <c r="Q386" s="4" t="s">
        <v>26</v>
      </c>
      <c r="R386" s="4">
        <v>0</v>
      </c>
      <c r="S386" s="4" t="s">
        <v>269</v>
      </c>
      <c r="T386" s="4" t="s">
        <v>498</v>
      </c>
      <c r="U386" s="4">
        <v>0</v>
      </c>
      <c r="V386" s="4">
        <v>24</v>
      </c>
      <c r="W386" s="4">
        <v>67</v>
      </c>
    </row>
    <row r="387" spans="1:23" ht="11.25" customHeight="1" x14ac:dyDescent="0.25">
      <c r="A387" s="4" t="s">
        <v>21</v>
      </c>
      <c r="B387" s="4" t="s">
        <v>39</v>
      </c>
      <c r="C387" s="4" t="s">
        <v>41</v>
      </c>
      <c r="D387" s="4" t="s">
        <v>51</v>
      </c>
      <c r="E387" s="4" t="s">
        <v>25</v>
      </c>
      <c r="F387" s="4" t="s">
        <v>25</v>
      </c>
      <c r="G387" s="4" t="s">
        <v>25</v>
      </c>
      <c r="H387" s="4" t="s">
        <v>34</v>
      </c>
      <c r="I387" s="5">
        <v>44348</v>
      </c>
      <c r="J387" s="6">
        <v>0</v>
      </c>
      <c r="K387" s="6">
        <v>0</v>
      </c>
      <c r="L387" s="6">
        <v>1.23</v>
      </c>
      <c r="M387" s="6">
        <v>1.23</v>
      </c>
      <c r="N387" s="6">
        <v>1.23</v>
      </c>
      <c r="O387" s="6">
        <v>1.23</v>
      </c>
      <c r="P387" s="6">
        <v>0</v>
      </c>
      <c r="Q387" s="4" t="s">
        <v>26</v>
      </c>
      <c r="R387" s="4">
        <v>0</v>
      </c>
      <c r="S387" s="4" t="s">
        <v>270</v>
      </c>
      <c r="T387" s="4" t="s">
        <v>499</v>
      </c>
      <c r="U387" s="4">
        <v>0</v>
      </c>
      <c r="V387" s="4">
        <v>24</v>
      </c>
      <c r="W387" s="4">
        <v>67</v>
      </c>
    </row>
    <row r="388" spans="1:23" ht="11.25" customHeight="1" x14ac:dyDescent="0.25">
      <c r="A388" s="4" t="s">
        <v>21</v>
      </c>
      <c r="B388" s="4" t="s">
        <v>39</v>
      </c>
      <c r="C388" s="4" t="s">
        <v>41</v>
      </c>
      <c r="D388" s="4" t="s">
        <v>51</v>
      </c>
      <c r="E388" s="4" t="s">
        <v>25</v>
      </c>
      <c r="F388" s="4" t="s">
        <v>25</v>
      </c>
      <c r="G388" s="4" t="s">
        <v>25</v>
      </c>
      <c r="H388" s="4" t="s">
        <v>34</v>
      </c>
      <c r="I388" s="5">
        <v>44378</v>
      </c>
      <c r="J388" s="6">
        <v>0</v>
      </c>
      <c r="K388" s="6">
        <v>0</v>
      </c>
      <c r="L388" s="6">
        <v>1.333</v>
      </c>
      <c r="M388" s="6">
        <v>1.333</v>
      </c>
      <c r="N388" s="6">
        <v>1.333</v>
      </c>
      <c r="O388" s="6">
        <v>1.333</v>
      </c>
      <c r="P388" s="6">
        <v>0</v>
      </c>
      <c r="Q388" s="4" t="s">
        <v>26</v>
      </c>
      <c r="R388" s="4">
        <v>0</v>
      </c>
      <c r="S388" s="4" t="s">
        <v>271</v>
      </c>
      <c r="T388" s="4" t="s">
        <v>500</v>
      </c>
      <c r="U388" s="4">
        <v>0</v>
      </c>
      <c r="V388" s="4">
        <v>24</v>
      </c>
      <c r="W388" s="4">
        <v>67</v>
      </c>
    </row>
    <row r="389" spans="1:23" ht="11.25" customHeight="1" x14ac:dyDescent="0.25">
      <c r="A389" s="4" t="s">
        <v>21</v>
      </c>
      <c r="B389" s="4" t="s">
        <v>39</v>
      </c>
      <c r="C389" s="4" t="s">
        <v>41</v>
      </c>
      <c r="D389" s="4" t="s">
        <v>51</v>
      </c>
      <c r="E389" s="4" t="s">
        <v>25</v>
      </c>
      <c r="F389" s="4" t="s">
        <v>25</v>
      </c>
      <c r="G389" s="4" t="s">
        <v>25</v>
      </c>
      <c r="H389" s="4" t="s">
        <v>34</v>
      </c>
      <c r="I389" s="5">
        <v>44409</v>
      </c>
      <c r="J389" s="6">
        <v>0</v>
      </c>
      <c r="K389" s="6">
        <v>0</v>
      </c>
      <c r="L389" s="6">
        <v>1.3839999999999999</v>
      </c>
      <c r="M389" s="6">
        <v>1.3839999999999999</v>
      </c>
      <c r="N389" s="6">
        <v>1.3839999999999999</v>
      </c>
      <c r="O389" s="6">
        <v>1.3839999999999999</v>
      </c>
      <c r="P389" s="6">
        <v>0</v>
      </c>
      <c r="Q389" s="4" t="s">
        <v>26</v>
      </c>
      <c r="R389" s="4">
        <v>0</v>
      </c>
      <c r="S389" s="4" t="s">
        <v>272</v>
      </c>
      <c r="T389" s="4" t="s">
        <v>501</v>
      </c>
      <c r="U389" s="4">
        <v>0</v>
      </c>
      <c r="V389" s="4">
        <v>24</v>
      </c>
      <c r="W389" s="4">
        <v>67</v>
      </c>
    </row>
    <row r="390" spans="1:23" ht="11.25" customHeight="1" x14ac:dyDescent="0.25">
      <c r="A390" s="4" t="s">
        <v>21</v>
      </c>
      <c r="B390" s="4" t="s">
        <v>39</v>
      </c>
      <c r="C390" s="4" t="s">
        <v>41</v>
      </c>
      <c r="D390" s="4" t="s">
        <v>51</v>
      </c>
      <c r="E390" s="4" t="s">
        <v>25</v>
      </c>
      <c r="F390" s="4" t="s">
        <v>25</v>
      </c>
      <c r="G390" s="4" t="s">
        <v>25</v>
      </c>
      <c r="H390" s="4" t="s">
        <v>34</v>
      </c>
      <c r="I390" s="5">
        <v>44440</v>
      </c>
      <c r="J390" s="6">
        <v>0</v>
      </c>
      <c r="K390" s="6">
        <v>0</v>
      </c>
      <c r="L390" s="6">
        <v>1.179</v>
      </c>
      <c r="M390" s="6">
        <v>1.179</v>
      </c>
      <c r="N390" s="6">
        <v>1.179</v>
      </c>
      <c r="O390" s="6">
        <v>1.179</v>
      </c>
      <c r="P390" s="6">
        <v>0</v>
      </c>
      <c r="Q390" s="4" t="s">
        <v>26</v>
      </c>
      <c r="R390" s="4">
        <v>0</v>
      </c>
      <c r="S390" s="4" t="s">
        <v>273</v>
      </c>
      <c r="T390" s="4" t="s">
        <v>502</v>
      </c>
      <c r="U390" s="4">
        <v>0</v>
      </c>
      <c r="V390" s="4">
        <v>24</v>
      </c>
      <c r="W390" s="4">
        <v>67</v>
      </c>
    </row>
    <row r="391" spans="1:23" ht="11.25" customHeight="1" x14ac:dyDescent="0.25">
      <c r="A391" s="4" t="s">
        <v>21</v>
      </c>
      <c r="B391" s="4" t="s">
        <v>39</v>
      </c>
      <c r="C391" s="4" t="s">
        <v>41</v>
      </c>
      <c r="D391" s="4" t="s">
        <v>51</v>
      </c>
      <c r="E391" s="4" t="s">
        <v>25</v>
      </c>
      <c r="F391" s="4" t="s">
        <v>25</v>
      </c>
      <c r="G391" s="4" t="s">
        <v>25</v>
      </c>
      <c r="H391" s="4" t="s">
        <v>34</v>
      </c>
      <c r="I391" s="5">
        <v>44470</v>
      </c>
      <c r="J391" s="6">
        <v>0</v>
      </c>
      <c r="K391" s="6">
        <v>0</v>
      </c>
      <c r="L391" s="6">
        <v>1.2809999999999999</v>
      </c>
      <c r="M391" s="6">
        <v>1.2809999999999999</v>
      </c>
      <c r="N391" s="6">
        <v>1.2809999999999999</v>
      </c>
      <c r="O391" s="6">
        <v>1.2809999999999999</v>
      </c>
      <c r="P391" s="6">
        <v>0</v>
      </c>
      <c r="Q391" s="4" t="s">
        <v>26</v>
      </c>
      <c r="R391" s="4">
        <v>0</v>
      </c>
      <c r="S391" s="4" t="s">
        <v>274</v>
      </c>
      <c r="T391" s="4" t="s">
        <v>503</v>
      </c>
      <c r="U391" s="4">
        <v>0</v>
      </c>
      <c r="V391" s="4">
        <v>24</v>
      </c>
      <c r="W391" s="4">
        <v>67</v>
      </c>
    </row>
    <row r="392" spans="1:23" ht="11.25" customHeight="1" x14ac:dyDescent="0.25">
      <c r="A392" s="4" t="s">
        <v>21</v>
      </c>
      <c r="B392" s="4" t="s">
        <v>39</v>
      </c>
      <c r="C392" s="4" t="s">
        <v>41</v>
      </c>
      <c r="D392" s="4" t="s">
        <v>51</v>
      </c>
      <c r="E392" s="4" t="s">
        <v>25</v>
      </c>
      <c r="F392" s="4" t="s">
        <v>25</v>
      </c>
      <c r="G392" s="4" t="s">
        <v>25</v>
      </c>
      <c r="H392" s="4" t="s">
        <v>34</v>
      </c>
      <c r="I392" s="5">
        <v>44501</v>
      </c>
      <c r="J392" s="6">
        <v>0</v>
      </c>
      <c r="K392" s="6">
        <v>0</v>
      </c>
      <c r="L392" s="6">
        <v>1.1279999999999999</v>
      </c>
      <c r="M392" s="6">
        <v>1.1279999999999999</v>
      </c>
      <c r="N392" s="6">
        <v>1.1279999999999999</v>
      </c>
      <c r="O392" s="6">
        <v>1.1279999999999999</v>
      </c>
      <c r="P392" s="6">
        <v>0</v>
      </c>
      <c r="Q392" s="4" t="s">
        <v>26</v>
      </c>
      <c r="R392" s="4">
        <v>0</v>
      </c>
      <c r="S392" s="4" t="s">
        <v>275</v>
      </c>
      <c r="T392" s="4" t="s">
        <v>504</v>
      </c>
      <c r="U392" s="4">
        <v>0</v>
      </c>
      <c r="V392" s="4">
        <v>24</v>
      </c>
      <c r="W392" s="4">
        <v>67</v>
      </c>
    </row>
    <row r="393" spans="1:23" ht="11.25" customHeight="1" x14ac:dyDescent="0.25">
      <c r="A393" s="4" t="s">
        <v>21</v>
      </c>
      <c r="B393" s="4" t="s">
        <v>39</v>
      </c>
      <c r="C393" s="4" t="s">
        <v>41</v>
      </c>
      <c r="D393" s="4" t="s">
        <v>51</v>
      </c>
      <c r="E393" s="4" t="s">
        <v>25</v>
      </c>
      <c r="F393" s="4" t="s">
        <v>25</v>
      </c>
      <c r="G393" s="4" t="s">
        <v>25</v>
      </c>
      <c r="H393" s="4" t="s">
        <v>34</v>
      </c>
      <c r="I393" s="5">
        <v>44531</v>
      </c>
      <c r="J393" s="6">
        <v>0</v>
      </c>
      <c r="K393" s="6">
        <v>0</v>
      </c>
      <c r="L393" s="6">
        <v>1.1279999999999999</v>
      </c>
      <c r="M393" s="6">
        <v>1.1279999999999999</v>
      </c>
      <c r="N393" s="6">
        <v>1.1279999999999999</v>
      </c>
      <c r="O393" s="6">
        <v>1.1279999999999999</v>
      </c>
      <c r="P393" s="6">
        <v>0</v>
      </c>
      <c r="Q393" s="4" t="s">
        <v>26</v>
      </c>
      <c r="R393" s="4">
        <v>0</v>
      </c>
      <c r="S393" s="4" t="s">
        <v>276</v>
      </c>
      <c r="T393" s="4" t="s">
        <v>505</v>
      </c>
      <c r="U393" s="4">
        <v>0</v>
      </c>
      <c r="V393" s="4">
        <v>24</v>
      </c>
      <c r="W393" s="4">
        <v>67</v>
      </c>
    </row>
    <row r="394" spans="1:23" ht="11.25" customHeight="1" x14ac:dyDescent="0.25">
      <c r="A394" s="4" t="s">
        <v>55</v>
      </c>
      <c r="B394" s="4" t="s">
        <v>39</v>
      </c>
      <c r="C394" s="4" t="s">
        <v>41</v>
      </c>
      <c r="D394" s="4" t="s">
        <v>51</v>
      </c>
      <c r="E394" s="4" t="s">
        <v>25</v>
      </c>
      <c r="F394" s="4" t="s">
        <v>25</v>
      </c>
      <c r="G394" s="4" t="s">
        <v>25</v>
      </c>
      <c r="H394" s="4" t="s">
        <v>34</v>
      </c>
      <c r="I394" s="5">
        <v>44562</v>
      </c>
      <c r="J394" s="6">
        <v>0</v>
      </c>
      <c r="K394" s="6">
        <v>0</v>
      </c>
      <c r="L394" s="6">
        <v>1.1279999999999999</v>
      </c>
      <c r="M394" s="6">
        <v>1.1279999999999999</v>
      </c>
      <c r="N394" s="6">
        <v>1.1279999999999999</v>
      </c>
      <c r="O394" s="6">
        <v>1.1279999999999999</v>
      </c>
      <c r="P394" s="6">
        <v>0</v>
      </c>
      <c r="Q394" s="4" t="s">
        <v>26</v>
      </c>
      <c r="R394" s="4">
        <v>0</v>
      </c>
      <c r="S394" s="4" t="s">
        <v>277</v>
      </c>
      <c r="T394" s="4" t="s">
        <v>506</v>
      </c>
      <c r="U394" s="4">
        <v>0</v>
      </c>
      <c r="V394" s="4">
        <v>24</v>
      </c>
      <c r="W394" s="4">
        <v>67</v>
      </c>
    </row>
    <row r="395" spans="1:23" ht="11.25" customHeight="1" x14ac:dyDescent="0.25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58</v>
      </c>
      <c r="G395" s="4" t="s">
        <v>25</v>
      </c>
      <c r="H395" s="4" t="s">
        <v>35</v>
      </c>
      <c r="I395" s="5">
        <v>44228</v>
      </c>
      <c r="J395" s="6">
        <v>0</v>
      </c>
      <c r="K395" s="6">
        <v>0</v>
      </c>
      <c r="L395" s="6">
        <v>3771.5549999999998</v>
      </c>
      <c r="M395" s="6">
        <v>3771.5549999999998</v>
      </c>
      <c r="N395" s="6">
        <v>0</v>
      </c>
      <c r="O395" s="6">
        <v>0</v>
      </c>
      <c r="P395" s="6">
        <v>0</v>
      </c>
      <c r="Q395" s="4" t="s">
        <v>57</v>
      </c>
      <c r="R395" s="4">
        <v>0</v>
      </c>
      <c r="S395" s="4" t="s">
        <v>242</v>
      </c>
      <c r="U395" s="4">
        <v>0</v>
      </c>
      <c r="V395" s="4">
        <v>25</v>
      </c>
      <c r="W395" s="4">
        <v>0</v>
      </c>
    </row>
    <row r="396" spans="1:23" ht="11.25" customHeight="1" x14ac:dyDescent="0.25">
      <c r="A396" s="4" t="s">
        <v>21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58</v>
      </c>
      <c r="G396" s="4" t="s">
        <v>25</v>
      </c>
      <c r="H396" s="4" t="s">
        <v>35</v>
      </c>
      <c r="I396" s="5">
        <v>44256</v>
      </c>
      <c r="J396" s="6">
        <v>0</v>
      </c>
      <c r="K396" s="6">
        <v>0</v>
      </c>
      <c r="L396" s="6">
        <v>3462.8890000000001</v>
      </c>
      <c r="M396" s="6">
        <v>3462.8890000000001</v>
      </c>
      <c r="N396" s="6">
        <v>0</v>
      </c>
      <c r="O396" s="6">
        <v>0</v>
      </c>
      <c r="P396" s="6">
        <v>0</v>
      </c>
      <c r="Q396" s="4" t="s">
        <v>57</v>
      </c>
      <c r="R396" s="4">
        <v>0</v>
      </c>
      <c r="S396" s="4" t="s">
        <v>243</v>
      </c>
      <c r="U396" s="4">
        <v>0</v>
      </c>
      <c r="V396" s="4">
        <v>25</v>
      </c>
      <c r="W396" s="4">
        <v>0</v>
      </c>
    </row>
    <row r="397" spans="1:23" ht="11.25" customHeight="1" x14ac:dyDescent="0.25">
      <c r="A397" s="4" t="s">
        <v>21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58</v>
      </c>
      <c r="G397" s="4" t="s">
        <v>25</v>
      </c>
      <c r="H397" s="4" t="s">
        <v>35</v>
      </c>
      <c r="I397" s="5">
        <v>44287</v>
      </c>
      <c r="J397" s="6">
        <v>0</v>
      </c>
      <c r="K397" s="6">
        <v>0</v>
      </c>
      <c r="L397" s="6">
        <v>3515.2710000000002</v>
      </c>
      <c r="M397" s="6">
        <v>3515.2710000000002</v>
      </c>
      <c r="N397" s="6">
        <v>0</v>
      </c>
      <c r="O397" s="6">
        <v>0</v>
      </c>
      <c r="P397" s="6">
        <v>0</v>
      </c>
      <c r="Q397" s="4" t="s">
        <v>57</v>
      </c>
      <c r="R397" s="4">
        <v>0</v>
      </c>
      <c r="S397" s="4" t="s">
        <v>244</v>
      </c>
      <c r="U397" s="4">
        <v>0</v>
      </c>
      <c r="V397" s="4">
        <v>25</v>
      </c>
      <c r="W397" s="4">
        <v>0</v>
      </c>
    </row>
    <row r="398" spans="1:23" ht="11.25" customHeight="1" x14ac:dyDescent="0.25">
      <c r="A398" s="4" t="s">
        <v>21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58</v>
      </c>
      <c r="G398" s="4" t="s">
        <v>25</v>
      </c>
      <c r="H398" s="4" t="s">
        <v>35</v>
      </c>
      <c r="I398" s="5">
        <v>44317</v>
      </c>
      <c r="J398" s="6">
        <v>0</v>
      </c>
      <c r="K398" s="6">
        <v>0</v>
      </c>
      <c r="L398" s="6">
        <v>3651.1619999999998</v>
      </c>
      <c r="M398" s="6">
        <v>3651.1619999999998</v>
      </c>
      <c r="N398" s="6">
        <v>0</v>
      </c>
      <c r="O398" s="6">
        <v>0</v>
      </c>
      <c r="P398" s="6">
        <v>0</v>
      </c>
      <c r="Q398" s="4" t="s">
        <v>57</v>
      </c>
      <c r="R398" s="4">
        <v>0</v>
      </c>
      <c r="S398" s="4" t="s">
        <v>245</v>
      </c>
      <c r="U398" s="4">
        <v>0</v>
      </c>
      <c r="V398" s="4">
        <v>25</v>
      </c>
      <c r="W398" s="4">
        <v>0</v>
      </c>
    </row>
    <row r="399" spans="1:23" ht="11.25" customHeight="1" x14ac:dyDescent="0.25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58</v>
      </c>
      <c r="G399" s="4" t="s">
        <v>25</v>
      </c>
      <c r="H399" s="4" t="s">
        <v>35</v>
      </c>
      <c r="I399" s="5">
        <v>44348</v>
      </c>
      <c r="J399" s="6">
        <v>0</v>
      </c>
      <c r="K399" s="6">
        <v>0</v>
      </c>
      <c r="L399" s="6">
        <v>3664.721</v>
      </c>
      <c r="M399" s="6">
        <v>3664.721</v>
      </c>
      <c r="N399" s="6">
        <v>0</v>
      </c>
      <c r="O399" s="6">
        <v>0</v>
      </c>
      <c r="P399" s="6">
        <v>0</v>
      </c>
      <c r="Q399" s="4" t="s">
        <v>57</v>
      </c>
      <c r="R399" s="4">
        <v>0</v>
      </c>
      <c r="S399" s="4" t="s">
        <v>246</v>
      </c>
      <c r="U399" s="4">
        <v>0</v>
      </c>
      <c r="V399" s="4">
        <v>25</v>
      </c>
      <c r="W399" s="4">
        <v>0</v>
      </c>
    </row>
    <row r="400" spans="1:23" ht="11.25" customHeight="1" x14ac:dyDescent="0.25">
      <c r="A400" s="4" t="s">
        <v>21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58</v>
      </c>
      <c r="G400" s="4" t="s">
        <v>25</v>
      </c>
      <c r="H400" s="4" t="s">
        <v>35</v>
      </c>
      <c r="I400" s="5">
        <v>44378</v>
      </c>
      <c r="J400" s="6">
        <v>0</v>
      </c>
      <c r="K400" s="6">
        <v>0</v>
      </c>
      <c r="L400" s="6">
        <v>3867.5659999999998</v>
      </c>
      <c r="M400" s="6">
        <v>3867.5659999999998</v>
      </c>
      <c r="N400" s="6">
        <v>0</v>
      </c>
      <c r="O400" s="6">
        <v>0</v>
      </c>
      <c r="P400" s="6">
        <v>0</v>
      </c>
      <c r="Q400" s="4" t="s">
        <v>57</v>
      </c>
      <c r="R400" s="4">
        <v>0</v>
      </c>
      <c r="S400" s="4" t="s">
        <v>247</v>
      </c>
      <c r="U400" s="4">
        <v>0</v>
      </c>
      <c r="V400" s="4">
        <v>25</v>
      </c>
      <c r="W400" s="4">
        <v>0</v>
      </c>
    </row>
    <row r="401" spans="1:23" ht="11.25" customHeight="1" x14ac:dyDescent="0.25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58</v>
      </c>
      <c r="G401" s="4" t="s">
        <v>25</v>
      </c>
      <c r="H401" s="4" t="s">
        <v>35</v>
      </c>
      <c r="I401" s="5">
        <v>44409</v>
      </c>
      <c r="J401" s="6">
        <v>0</v>
      </c>
      <c r="K401" s="6">
        <v>0</v>
      </c>
      <c r="L401" s="6">
        <v>3906.3690000000001</v>
      </c>
      <c r="M401" s="6">
        <v>3906.3690000000001</v>
      </c>
      <c r="N401" s="6">
        <v>0</v>
      </c>
      <c r="O401" s="6">
        <v>0</v>
      </c>
      <c r="P401" s="6">
        <v>0</v>
      </c>
      <c r="Q401" s="4" t="s">
        <v>57</v>
      </c>
      <c r="R401" s="4">
        <v>0</v>
      </c>
      <c r="S401" s="4" t="s">
        <v>248</v>
      </c>
      <c r="U401" s="4">
        <v>0</v>
      </c>
      <c r="V401" s="4">
        <v>25</v>
      </c>
      <c r="W401" s="4">
        <v>0</v>
      </c>
    </row>
    <row r="402" spans="1:23" ht="11.25" customHeight="1" x14ac:dyDescent="0.25">
      <c r="A402" s="4" t="s">
        <v>21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58</v>
      </c>
      <c r="G402" s="4" t="s">
        <v>25</v>
      </c>
      <c r="H402" s="4" t="s">
        <v>35</v>
      </c>
      <c r="I402" s="5">
        <v>44440</v>
      </c>
      <c r="J402" s="6">
        <v>0</v>
      </c>
      <c r="K402" s="6">
        <v>0</v>
      </c>
      <c r="L402" s="6">
        <v>3932.1239999999998</v>
      </c>
      <c r="M402" s="6">
        <v>3932.1239999999998</v>
      </c>
      <c r="N402" s="6">
        <v>0</v>
      </c>
      <c r="O402" s="6">
        <v>0</v>
      </c>
      <c r="P402" s="6">
        <v>0</v>
      </c>
      <c r="Q402" s="4" t="s">
        <v>57</v>
      </c>
      <c r="R402" s="4">
        <v>0</v>
      </c>
      <c r="S402" s="4" t="s">
        <v>249</v>
      </c>
      <c r="U402" s="4">
        <v>0</v>
      </c>
      <c r="V402" s="4">
        <v>25</v>
      </c>
      <c r="W402" s="4">
        <v>0</v>
      </c>
    </row>
    <row r="403" spans="1:23" ht="11.25" customHeight="1" x14ac:dyDescent="0.25">
      <c r="A403" s="4" t="s">
        <v>21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58</v>
      </c>
      <c r="G403" s="4" t="s">
        <v>25</v>
      </c>
      <c r="H403" s="4" t="s">
        <v>35</v>
      </c>
      <c r="I403" s="5">
        <v>44470</v>
      </c>
      <c r="J403" s="6">
        <v>0</v>
      </c>
      <c r="K403" s="6">
        <v>0</v>
      </c>
      <c r="L403" s="6">
        <v>4174.8879999999999</v>
      </c>
      <c r="M403" s="6">
        <v>4174.8879999999999</v>
      </c>
      <c r="N403" s="6">
        <v>0</v>
      </c>
      <c r="O403" s="6">
        <v>0</v>
      </c>
      <c r="P403" s="6">
        <v>0</v>
      </c>
      <c r="Q403" s="4" t="s">
        <v>57</v>
      </c>
      <c r="R403" s="4">
        <v>0</v>
      </c>
      <c r="S403" s="4" t="s">
        <v>250</v>
      </c>
      <c r="U403" s="4">
        <v>0</v>
      </c>
      <c r="V403" s="4">
        <v>25</v>
      </c>
      <c r="W403" s="4">
        <v>0</v>
      </c>
    </row>
    <row r="404" spans="1:23" ht="11.25" customHeight="1" x14ac:dyDescent="0.25">
      <c r="A404" s="4" t="s">
        <v>21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58</v>
      </c>
      <c r="G404" s="4" t="s">
        <v>25</v>
      </c>
      <c r="H404" s="4" t="s">
        <v>35</v>
      </c>
      <c r="I404" s="5">
        <v>44501</v>
      </c>
      <c r="J404" s="6">
        <v>0</v>
      </c>
      <c r="K404" s="6">
        <v>0</v>
      </c>
      <c r="L404" s="6">
        <v>4378.2280000000001</v>
      </c>
      <c r="M404" s="6">
        <v>4378.2280000000001</v>
      </c>
      <c r="N404" s="6">
        <v>0</v>
      </c>
      <c r="O404" s="6">
        <v>0</v>
      </c>
      <c r="P404" s="6">
        <v>0</v>
      </c>
      <c r="Q404" s="4" t="s">
        <v>57</v>
      </c>
      <c r="R404" s="4">
        <v>0</v>
      </c>
      <c r="S404" s="4" t="s">
        <v>251</v>
      </c>
      <c r="U404" s="4">
        <v>0</v>
      </c>
      <c r="V404" s="4">
        <v>25</v>
      </c>
      <c r="W404" s="4">
        <v>0</v>
      </c>
    </row>
    <row r="405" spans="1:23" ht="11.25" customHeight="1" x14ac:dyDescent="0.25">
      <c r="A405" s="4" t="s">
        <v>21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58</v>
      </c>
      <c r="G405" s="4" t="s">
        <v>25</v>
      </c>
      <c r="H405" s="4" t="s">
        <v>35</v>
      </c>
      <c r="I405" s="5">
        <v>44531</v>
      </c>
      <c r="J405" s="6">
        <v>0</v>
      </c>
      <c r="K405" s="6">
        <v>0</v>
      </c>
      <c r="L405" s="6">
        <v>4499.5730000000003</v>
      </c>
      <c r="M405" s="6">
        <v>4499.5730000000003</v>
      </c>
      <c r="N405" s="6">
        <v>0</v>
      </c>
      <c r="O405" s="6">
        <v>0</v>
      </c>
      <c r="P405" s="6">
        <v>0</v>
      </c>
      <c r="Q405" s="4" t="s">
        <v>57</v>
      </c>
      <c r="R405" s="4">
        <v>0</v>
      </c>
      <c r="S405" s="4" t="s">
        <v>252</v>
      </c>
      <c r="U405" s="4">
        <v>0</v>
      </c>
      <c r="V405" s="4">
        <v>25</v>
      </c>
      <c r="W405" s="4">
        <v>0</v>
      </c>
    </row>
    <row r="406" spans="1:23" ht="11.25" customHeight="1" x14ac:dyDescent="0.25">
      <c r="A406" s="4" t="s">
        <v>55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58</v>
      </c>
      <c r="G406" s="4" t="s">
        <v>25</v>
      </c>
      <c r="H406" s="4" t="s">
        <v>35</v>
      </c>
      <c r="I406" s="5">
        <v>44562</v>
      </c>
      <c r="J406" s="6">
        <v>0</v>
      </c>
      <c r="K406" s="6">
        <v>0</v>
      </c>
      <c r="L406" s="6">
        <v>4499.5730000000003</v>
      </c>
      <c r="M406" s="6">
        <v>4499.5730000000003</v>
      </c>
      <c r="N406" s="6">
        <v>0</v>
      </c>
      <c r="O406" s="6">
        <v>0</v>
      </c>
      <c r="P406" s="6">
        <v>0</v>
      </c>
      <c r="Q406" s="4" t="s">
        <v>57</v>
      </c>
      <c r="R406" s="4">
        <v>0</v>
      </c>
      <c r="S406" s="4" t="s">
        <v>253</v>
      </c>
      <c r="U406" s="4">
        <v>0</v>
      </c>
      <c r="V406" s="4">
        <v>25</v>
      </c>
      <c r="W406" s="4">
        <v>0</v>
      </c>
    </row>
    <row r="407" spans="1:23" ht="11.25" customHeight="1" x14ac:dyDescent="0.25">
      <c r="A407" s="4" t="s">
        <v>21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58</v>
      </c>
      <c r="G407" s="4" t="s">
        <v>25</v>
      </c>
      <c r="H407" s="4" t="s">
        <v>25</v>
      </c>
      <c r="I407" s="5">
        <v>44228</v>
      </c>
      <c r="J407" s="6">
        <v>12638</v>
      </c>
      <c r="K407" s="6">
        <v>5883.4054220999997</v>
      </c>
      <c r="L407" s="6">
        <v>0</v>
      </c>
      <c r="M407" s="6">
        <v>0</v>
      </c>
      <c r="N407" s="6">
        <v>0</v>
      </c>
      <c r="O407" s="6">
        <v>0</v>
      </c>
      <c r="P407" s="6">
        <v>17</v>
      </c>
      <c r="Q407" s="4" t="s">
        <v>57</v>
      </c>
      <c r="R407" s="4">
        <v>0</v>
      </c>
      <c r="S407" s="4" t="s">
        <v>254</v>
      </c>
      <c r="U407" s="4">
        <v>23</v>
      </c>
      <c r="V407" s="4">
        <v>0</v>
      </c>
      <c r="W407" s="4">
        <v>0</v>
      </c>
    </row>
    <row r="408" spans="1:23" ht="11.25" customHeight="1" x14ac:dyDescent="0.25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58</v>
      </c>
      <c r="G408" s="4" t="s">
        <v>25</v>
      </c>
      <c r="H408" s="4" t="s">
        <v>25</v>
      </c>
      <c r="I408" s="5">
        <v>44256</v>
      </c>
      <c r="J408" s="6">
        <v>12227</v>
      </c>
      <c r="K408" s="6">
        <v>5603.72078943</v>
      </c>
      <c r="L408" s="6">
        <v>0</v>
      </c>
      <c r="M408" s="6">
        <v>0</v>
      </c>
      <c r="N408" s="6">
        <v>0</v>
      </c>
      <c r="O408" s="6">
        <v>0</v>
      </c>
      <c r="P408" s="6">
        <v>16</v>
      </c>
      <c r="Q408" s="4" t="s">
        <v>57</v>
      </c>
      <c r="R408" s="4">
        <v>0</v>
      </c>
      <c r="S408" s="4" t="s">
        <v>255</v>
      </c>
      <c r="U408" s="4">
        <v>23</v>
      </c>
      <c r="V408" s="4">
        <v>0</v>
      </c>
      <c r="W408" s="4">
        <v>0</v>
      </c>
    </row>
    <row r="409" spans="1:23" ht="11.25" customHeight="1" x14ac:dyDescent="0.25">
      <c r="A409" s="4" t="s">
        <v>21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58</v>
      </c>
      <c r="G409" s="4" t="s">
        <v>25</v>
      </c>
      <c r="H409" s="4" t="s">
        <v>25</v>
      </c>
      <c r="I409" s="5">
        <v>44287</v>
      </c>
      <c r="J409" s="6">
        <v>12336</v>
      </c>
      <c r="K409" s="6">
        <v>5574.4267142400004</v>
      </c>
      <c r="L409" s="6">
        <v>0</v>
      </c>
      <c r="M409" s="6">
        <v>0</v>
      </c>
      <c r="N409" s="6">
        <v>0</v>
      </c>
      <c r="O409" s="6">
        <v>0</v>
      </c>
      <c r="P409" s="6">
        <v>17</v>
      </c>
      <c r="Q409" s="4" t="s">
        <v>57</v>
      </c>
      <c r="R409" s="4">
        <v>0</v>
      </c>
      <c r="S409" s="4" t="s">
        <v>256</v>
      </c>
      <c r="U409" s="4">
        <v>23</v>
      </c>
      <c r="V409" s="4">
        <v>0</v>
      </c>
      <c r="W409" s="4">
        <v>0</v>
      </c>
    </row>
    <row r="410" spans="1:23" ht="11.25" customHeight="1" x14ac:dyDescent="0.25">
      <c r="A410" s="4" t="s">
        <v>21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58</v>
      </c>
      <c r="G410" s="4" t="s">
        <v>25</v>
      </c>
      <c r="H410" s="4" t="s">
        <v>25</v>
      </c>
      <c r="I410" s="5">
        <v>44317</v>
      </c>
      <c r="J410" s="6">
        <v>12822</v>
      </c>
      <c r="K410" s="6">
        <v>5666.2982400000001</v>
      </c>
      <c r="L410" s="6">
        <v>0</v>
      </c>
      <c r="M410" s="6">
        <v>0</v>
      </c>
      <c r="N410" s="6">
        <v>0</v>
      </c>
      <c r="O410" s="6">
        <v>0</v>
      </c>
      <c r="P410" s="6">
        <v>18</v>
      </c>
      <c r="Q410" s="4" t="s">
        <v>57</v>
      </c>
      <c r="R410" s="4">
        <v>0</v>
      </c>
      <c r="S410" s="4" t="s">
        <v>257</v>
      </c>
      <c r="U410" s="4">
        <v>23</v>
      </c>
      <c r="V410" s="4">
        <v>0</v>
      </c>
      <c r="W410" s="4">
        <v>0</v>
      </c>
    </row>
    <row r="411" spans="1:23" ht="11.25" customHeight="1" x14ac:dyDescent="0.25">
      <c r="A411" s="4" t="s">
        <v>21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58</v>
      </c>
      <c r="G411" s="4" t="s">
        <v>25</v>
      </c>
      <c r="H411" s="4" t="s">
        <v>25</v>
      </c>
      <c r="I411" s="5">
        <v>44348</v>
      </c>
      <c r="J411" s="6">
        <v>12803</v>
      </c>
      <c r="K411" s="6">
        <v>5693.5665649800003</v>
      </c>
      <c r="L411" s="6">
        <v>0</v>
      </c>
      <c r="M411" s="6">
        <v>0</v>
      </c>
      <c r="N411" s="6">
        <v>0</v>
      </c>
      <c r="O411" s="6">
        <v>0</v>
      </c>
      <c r="P411" s="6">
        <v>19</v>
      </c>
      <c r="Q411" s="4" t="s">
        <v>57</v>
      </c>
      <c r="R411" s="4">
        <v>0</v>
      </c>
      <c r="S411" s="4" t="s">
        <v>258</v>
      </c>
      <c r="U411" s="4">
        <v>23</v>
      </c>
      <c r="V411" s="4">
        <v>0</v>
      </c>
      <c r="W411" s="4">
        <v>0</v>
      </c>
    </row>
    <row r="412" spans="1:23" ht="11.25" customHeight="1" x14ac:dyDescent="0.25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58</v>
      </c>
      <c r="G412" s="4" t="s">
        <v>25</v>
      </c>
      <c r="H412" s="4" t="s">
        <v>25</v>
      </c>
      <c r="I412" s="5">
        <v>44378</v>
      </c>
      <c r="J412" s="6">
        <v>13457</v>
      </c>
      <c r="K412" s="6">
        <v>6167.46461671</v>
      </c>
      <c r="L412" s="6">
        <v>0</v>
      </c>
      <c r="M412" s="6">
        <v>0</v>
      </c>
      <c r="N412" s="6">
        <v>0</v>
      </c>
      <c r="O412" s="6">
        <v>0</v>
      </c>
      <c r="P412" s="6">
        <v>19</v>
      </c>
      <c r="Q412" s="4" t="s">
        <v>57</v>
      </c>
      <c r="R412" s="4">
        <v>0</v>
      </c>
      <c r="S412" s="4" t="s">
        <v>259</v>
      </c>
      <c r="U412" s="4">
        <v>23</v>
      </c>
      <c r="V412" s="4">
        <v>0</v>
      </c>
      <c r="W412" s="4">
        <v>0</v>
      </c>
    </row>
    <row r="413" spans="1:23" ht="11.25" customHeight="1" x14ac:dyDescent="0.25">
      <c r="A413" s="4" t="s">
        <v>21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58</v>
      </c>
      <c r="G413" s="4" t="s">
        <v>25</v>
      </c>
      <c r="H413" s="4" t="s">
        <v>25</v>
      </c>
      <c r="I413" s="5">
        <v>44409</v>
      </c>
      <c r="J413" s="6">
        <v>12931</v>
      </c>
      <c r="K413" s="6">
        <v>5909.1049320000002</v>
      </c>
      <c r="L413" s="6">
        <v>0</v>
      </c>
      <c r="M413" s="6">
        <v>0</v>
      </c>
      <c r="N413" s="6">
        <v>0</v>
      </c>
      <c r="O413" s="6">
        <v>0</v>
      </c>
      <c r="P413" s="6">
        <v>18</v>
      </c>
      <c r="Q413" s="4" t="s">
        <v>57</v>
      </c>
      <c r="R413" s="4">
        <v>0</v>
      </c>
      <c r="S413" s="4" t="s">
        <v>260</v>
      </c>
      <c r="U413" s="4">
        <v>23</v>
      </c>
      <c r="V413" s="4">
        <v>0</v>
      </c>
      <c r="W413" s="4">
        <v>0</v>
      </c>
    </row>
    <row r="414" spans="1:23" ht="11.25" customHeight="1" x14ac:dyDescent="0.25">
      <c r="A414" s="4" t="s">
        <v>21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58</v>
      </c>
      <c r="G414" s="4" t="s">
        <v>25</v>
      </c>
      <c r="H414" s="4" t="s">
        <v>25</v>
      </c>
      <c r="I414" s="5">
        <v>44440</v>
      </c>
      <c r="J414" s="6">
        <v>13298</v>
      </c>
      <c r="K414" s="6">
        <v>5922.5875743799998</v>
      </c>
      <c r="L414" s="6">
        <v>0</v>
      </c>
      <c r="M414" s="6">
        <v>0</v>
      </c>
      <c r="N414" s="6">
        <v>0</v>
      </c>
      <c r="O414" s="6">
        <v>0</v>
      </c>
      <c r="P414" s="6">
        <v>19</v>
      </c>
      <c r="Q414" s="4" t="s">
        <v>57</v>
      </c>
      <c r="R414" s="4">
        <v>0</v>
      </c>
      <c r="S414" s="4" t="s">
        <v>261</v>
      </c>
      <c r="U414" s="4">
        <v>23</v>
      </c>
      <c r="V414" s="4">
        <v>0</v>
      </c>
      <c r="W414" s="4">
        <v>0</v>
      </c>
    </row>
    <row r="415" spans="1:23" ht="11.25" customHeight="1" x14ac:dyDescent="0.25">
      <c r="A415" s="4" t="s">
        <v>21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58</v>
      </c>
      <c r="G415" s="4" t="s">
        <v>25</v>
      </c>
      <c r="H415" s="4" t="s">
        <v>25</v>
      </c>
      <c r="I415" s="5">
        <v>44470</v>
      </c>
      <c r="J415" s="6">
        <v>14086</v>
      </c>
      <c r="K415" s="6">
        <v>7714.3517191199999</v>
      </c>
      <c r="L415" s="6">
        <v>0</v>
      </c>
      <c r="M415" s="6">
        <v>0</v>
      </c>
      <c r="N415" s="6">
        <v>0</v>
      </c>
      <c r="O415" s="6">
        <v>0</v>
      </c>
      <c r="P415" s="6">
        <v>21</v>
      </c>
      <c r="Q415" s="4" t="s">
        <v>57</v>
      </c>
      <c r="R415" s="4">
        <v>0</v>
      </c>
      <c r="S415" s="4" t="s">
        <v>262</v>
      </c>
      <c r="U415" s="4">
        <v>23</v>
      </c>
      <c r="V415" s="4">
        <v>0</v>
      </c>
      <c r="W415" s="4">
        <v>0</v>
      </c>
    </row>
    <row r="416" spans="1:23" ht="11.25" customHeight="1" x14ac:dyDescent="0.25">
      <c r="A416" s="4" t="s">
        <v>21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58</v>
      </c>
      <c r="G416" s="4" t="s">
        <v>25</v>
      </c>
      <c r="H416" s="4" t="s">
        <v>25</v>
      </c>
      <c r="I416" s="5">
        <v>44501</v>
      </c>
      <c r="J416" s="6">
        <v>14029</v>
      </c>
      <c r="K416" s="6">
        <v>5351.5402182999997</v>
      </c>
      <c r="L416" s="6">
        <v>0</v>
      </c>
      <c r="M416" s="6">
        <v>0</v>
      </c>
      <c r="N416" s="6">
        <v>0</v>
      </c>
      <c r="O416" s="6">
        <v>0</v>
      </c>
      <c r="P416" s="6">
        <v>21</v>
      </c>
      <c r="Q416" s="4" t="s">
        <v>57</v>
      </c>
      <c r="R416" s="4">
        <v>0</v>
      </c>
      <c r="S416" s="4" t="s">
        <v>263</v>
      </c>
      <c r="U416" s="4">
        <v>23</v>
      </c>
      <c r="V416" s="4">
        <v>0</v>
      </c>
      <c r="W416" s="4">
        <v>0</v>
      </c>
    </row>
    <row r="417" spans="1:23" ht="11.25" customHeight="1" x14ac:dyDescent="0.25">
      <c r="A417" s="4" t="s">
        <v>21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58</v>
      </c>
      <c r="G417" s="4" t="s">
        <v>25</v>
      </c>
      <c r="H417" s="4" t="s">
        <v>25</v>
      </c>
      <c r="I417" s="5">
        <v>44531</v>
      </c>
      <c r="J417" s="6">
        <v>14125</v>
      </c>
      <c r="K417" s="6">
        <v>6051.2837637499997</v>
      </c>
      <c r="L417" s="6">
        <v>0</v>
      </c>
      <c r="M417" s="6">
        <v>0</v>
      </c>
      <c r="N417" s="6">
        <v>0</v>
      </c>
      <c r="O417" s="6">
        <v>0</v>
      </c>
      <c r="P417" s="6">
        <v>22</v>
      </c>
      <c r="Q417" s="4" t="s">
        <v>57</v>
      </c>
      <c r="R417" s="4">
        <v>0</v>
      </c>
      <c r="S417" s="4" t="s">
        <v>264</v>
      </c>
      <c r="U417" s="4">
        <v>23</v>
      </c>
      <c r="V417" s="4">
        <v>0</v>
      </c>
      <c r="W417" s="4">
        <v>0</v>
      </c>
    </row>
    <row r="418" spans="1:23" ht="11.25" customHeight="1" x14ac:dyDescent="0.25">
      <c r="A418" s="4" t="s">
        <v>55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58</v>
      </c>
      <c r="G418" s="4" t="s">
        <v>25</v>
      </c>
      <c r="H418" s="4" t="s">
        <v>25</v>
      </c>
      <c r="I418" s="5">
        <v>44562</v>
      </c>
      <c r="J418" s="6">
        <v>14125</v>
      </c>
      <c r="K418" s="6">
        <v>6051.2837637499997</v>
      </c>
      <c r="L418" s="6">
        <v>0</v>
      </c>
      <c r="M418" s="6">
        <v>0</v>
      </c>
      <c r="N418" s="6">
        <v>0</v>
      </c>
      <c r="O418" s="6">
        <v>0</v>
      </c>
      <c r="P418" s="6">
        <v>22</v>
      </c>
      <c r="Q418" s="4" t="s">
        <v>57</v>
      </c>
      <c r="R418" s="4">
        <v>0</v>
      </c>
      <c r="S418" s="4" t="s">
        <v>265</v>
      </c>
      <c r="U418" s="4">
        <v>23</v>
      </c>
      <c r="V418" s="4">
        <v>0</v>
      </c>
      <c r="W418" s="4">
        <v>0</v>
      </c>
    </row>
    <row r="419" spans="1:23" ht="11.25" customHeight="1" x14ac:dyDescent="0.25">
      <c r="A419" s="4" t="s">
        <v>21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58</v>
      </c>
      <c r="G419" s="4" t="s">
        <v>25</v>
      </c>
      <c r="H419" s="4" t="s">
        <v>34</v>
      </c>
      <c r="I419" s="5">
        <v>44228</v>
      </c>
      <c r="J419" s="6">
        <v>0</v>
      </c>
      <c r="K419" s="6">
        <v>0</v>
      </c>
      <c r="L419" s="6">
        <v>319.24799999999999</v>
      </c>
      <c r="M419" s="6">
        <v>162.45768675023999</v>
      </c>
      <c r="N419" s="6">
        <v>0</v>
      </c>
      <c r="O419" s="6">
        <v>0</v>
      </c>
      <c r="P419" s="6">
        <v>0</v>
      </c>
      <c r="Q419" s="4" t="s">
        <v>57</v>
      </c>
      <c r="R419" s="4">
        <v>0</v>
      </c>
      <c r="S419" s="4" t="s">
        <v>266</v>
      </c>
      <c r="U419" s="4">
        <v>0</v>
      </c>
      <c r="V419" s="4">
        <v>24</v>
      </c>
      <c r="W419" s="4">
        <v>0</v>
      </c>
    </row>
    <row r="420" spans="1:23" ht="11.25" customHeight="1" x14ac:dyDescent="0.25">
      <c r="A420" s="4" t="s">
        <v>21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58</v>
      </c>
      <c r="G420" s="4" t="s">
        <v>25</v>
      </c>
      <c r="H420" s="4" t="s">
        <v>34</v>
      </c>
      <c r="I420" s="5">
        <v>44256</v>
      </c>
      <c r="J420" s="6">
        <v>0</v>
      </c>
      <c r="K420" s="6">
        <v>0</v>
      </c>
      <c r="L420" s="6">
        <v>246.649</v>
      </c>
      <c r="M420" s="6">
        <v>126.17443300188999</v>
      </c>
      <c r="N420" s="6">
        <v>0</v>
      </c>
      <c r="O420" s="6">
        <v>0</v>
      </c>
      <c r="P420" s="6">
        <v>0</v>
      </c>
      <c r="Q420" s="4" t="s">
        <v>57</v>
      </c>
      <c r="R420" s="4">
        <v>0</v>
      </c>
      <c r="S420" s="4" t="s">
        <v>267</v>
      </c>
      <c r="U420" s="4">
        <v>0</v>
      </c>
      <c r="V420" s="4">
        <v>24</v>
      </c>
      <c r="W420" s="4">
        <v>0</v>
      </c>
    </row>
    <row r="421" spans="1:23" ht="11.25" customHeight="1" x14ac:dyDescent="0.25">
      <c r="A421" s="4" t="s">
        <v>21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58</v>
      </c>
      <c r="G421" s="4" t="s">
        <v>25</v>
      </c>
      <c r="H421" s="4" t="s">
        <v>34</v>
      </c>
      <c r="I421" s="5">
        <v>44287</v>
      </c>
      <c r="J421" s="6">
        <v>0</v>
      </c>
      <c r="K421" s="6">
        <v>0</v>
      </c>
      <c r="L421" s="6">
        <v>307.983</v>
      </c>
      <c r="M421" s="6">
        <v>155.59023667317001</v>
      </c>
      <c r="N421" s="6">
        <v>0</v>
      </c>
      <c r="O421" s="6">
        <v>0</v>
      </c>
      <c r="P421" s="6">
        <v>0</v>
      </c>
      <c r="Q421" s="4" t="s">
        <v>57</v>
      </c>
      <c r="R421" s="4">
        <v>0</v>
      </c>
      <c r="S421" s="4" t="s">
        <v>268</v>
      </c>
      <c r="U421" s="4">
        <v>0</v>
      </c>
      <c r="V421" s="4">
        <v>24</v>
      </c>
      <c r="W421" s="4">
        <v>0</v>
      </c>
    </row>
    <row r="422" spans="1:23" ht="11.25" customHeight="1" x14ac:dyDescent="0.25">
      <c r="A422" s="4" t="s">
        <v>21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58</v>
      </c>
      <c r="G422" s="4" t="s">
        <v>25</v>
      </c>
      <c r="H422" s="4" t="s">
        <v>34</v>
      </c>
      <c r="I422" s="5">
        <v>44317</v>
      </c>
      <c r="J422" s="6">
        <v>0</v>
      </c>
      <c r="K422" s="6">
        <v>0</v>
      </c>
      <c r="L422" s="6">
        <v>282.05099999999999</v>
      </c>
      <c r="M422" s="6">
        <v>141.56884586691001</v>
      </c>
      <c r="N422" s="6">
        <v>0</v>
      </c>
      <c r="O422" s="6">
        <v>0</v>
      </c>
      <c r="P422" s="6">
        <v>0</v>
      </c>
      <c r="Q422" s="4" t="s">
        <v>57</v>
      </c>
      <c r="R422" s="4">
        <v>0</v>
      </c>
      <c r="S422" s="4" t="s">
        <v>269</v>
      </c>
      <c r="U422" s="4">
        <v>0</v>
      </c>
      <c r="V422" s="4">
        <v>24</v>
      </c>
      <c r="W422" s="4">
        <v>0</v>
      </c>
    </row>
    <row r="423" spans="1:23" ht="11.25" customHeight="1" x14ac:dyDescent="0.25">
      <c r="A423" s="4" t="s">
        <v>21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58</v>
      </c>
      <c r="G423" s="4" t="s">
        <v>25</v>
      </c>
      <c r="H423" s="4" t="s">
        <v>34</v>
      </c>
      <c r="I423" s="5">
        <v>44348</v>
      </c>
      <c r="J423" s="6">
        <v>0</v>
      </c>
      <c r="K423" s="6">
        <v>0</v>
      </c>
      <c r="L423" s="6">
        <v>295.66399999999999</v>
      </c>
      <c r="M423" s="6">
        <v>146.53186782288</v>
      </c>
      <c r="N423" s="6">
        <v>0</v>
      </c>
      <c r="O423" s="6">
        <v>0</v>
      </c>
      <c r="P423" s="6">
        <v>0</v>
      </c>
      <c r="Q423" s="4" t="s">
        <v>57</v>
      </c>
      <c r="R423" s="4">
        <v>0</v>
      </c>
      <c r="S423" s="4" t="s">
        <v>270</v>
      </c>
      <c r="U423" s="4">
        <v>0</v>
      </c>
      <c r="V423" s="4">
        <v>24</v>
      </c>
      <c r="W423" s="4">
        <v>0</v>
      </c>
    </row>
    <row r="424" spans="1:23" ht="11.25" customHeight="1" x14ac:dyDescent="0.25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58</v>
      </c>
      <c r="G424" s="4" t="s">
        <v>25</v>
      </c>
      <c r="H424" s="4" t="s">
        <v>34</v>
      </c>
      <c r="I424" s="5">
        <v>44378</v>
      </c>
      <c r="J424" s="6">
        <v>0</v>
      </c>
      <c r="K424" s="6">
        <v>0</v>
      </c>
      <c r="L424" s="6">
        <v>314.65300000000002</v>
      </c>
      <c r="M424" s="6">
        <v>158.83230968986001</v>
      </c>
      <c r="N424" s="6">
        <v>0</v>
      </c>
      <c r="O424" s="6">
        <v>0</v>
      </c>
      <c r="P424" s="6">
        <v>0</v>
      </c>
      <c r="Q424" s="4" t="s">
        <v>57</v>
      </c>
      <c r="R424" s="4">
        <v>0</v>
      </c>
      <c r="S424" s="4" t="s">
        <v>271</v>
      </c>
      <c r="U424" s="4">
        <v>0</v>
      </c>
      <c r="V424" s="4">
        <v>24</v>
      </c>
      <c r="W424" s="4">
        <v>0</v>
      </c>
    </row>
    <row r="425" spans="1:23" ht="11.25" customHeight="1" x14ac:dyDescent="0.25">
      <c r="A425" s="4" t="s">
        <v>21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58</v>
      </c>
      <c r="G425" s="4" t="s">
        <v>25</v>
      </c>
      <c r="H425" s="4" t="s">
        <v>34</v>
      </c>
      <c r="I425" s="5">
        <v>44409</v>
      </c>
      <c r="J425" s="6">
        <v>0</v>
      </c>
      <c r="K425" s="6">
        <v>0</v>
      </c>
      <c r="L425" s="6">
        <v>320.17700000000002</v>
      </c>
      <c r="M425" s="6">
        <v>161.80249392879</v>
      </c>
      <c r="N425" s="6">
        <v>0</v>
      </c>
      <c r="O425" s="6">
        <v>0</v>
      </c>
      <c r="P425" s="6">
        <v>0</v>
      </c>
      <c r="Q425" s="4" t="s">
        <v>57</v>
      </c>
      <c r="R425" s="4">
        <v>0</v>
      </c>
      <c r="S425" s="4" t="s">
        <v>272</v>
      </c>
      <c r="U425" s="4">
        <v>0</v>
      </c>
      <c r="V425" s="4">
        <v>24</v>
      </c>
      <c r="W425" s="4">
        <v>0</v>
      </c>
    </row>
    <row r="426" spans="1:23" ht="11.25" customHeight="1" x14ac:dyDescent="0.25">
      <c r="A426" s="4" t="s">
        <v>21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58</v>
      </c>
      <c r="G426" s="4" t="s">
        <v>25</v>
      </c>
      <c r="H426" s="4" t="s">
        <v>34</v>
      </c>
      <c r="I426" s="5">
        <v>44440</v>
      </c>
      <c r="J426" s="6">
        <v>0</v>
      </c>
      <c r="K426" s="6">
        <v>0</v>
      </c>
      <c r="L426" s="6">
        <v>336.60399999999998</v>
      </c>
      <c r="M426" s="6">
        <v>170.07936000308001</v>
      </c>
      <c r="N426" s="6">
        <v>0</v>
      </c>
      <c r="O426" s="6">
        <v>0</v>
      </c>
      <c r="P426" s="6">
        <v>0</v>
      </c>
      <c r="Q426" s="4" t="s">
        <v>57</v>
      </c>
      <c r="R426" s="4">
        <v>0</v>
      </c>
      <c r="S426" s="4" t="s">
        <v>273</v>
      </c>
      <c r="U426" s="4">
        <v>0</v>
      </c>
      <c r="V426" s="4">
        <v>24</v>
      </c>
      <c r="W426" s="4">
        <v>0</v>
      </c>
    </row>
    <row r="427" spans="1:23" ht="11.25" customHeight="1" x14ac:dyDescent="0.25">
      <c r="A427" s="4" t="s">
        <v>21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58</v>
      </c>
      <c r="G427" s="4" t="s">
        <v>25</v>
      </c>
      <c r="H427" s="4" t="s">
        <v>34</v>
      </c>
      <c r="I427" s="5">
        <v>44470</v>
      </c>
      <c r="J427" s="6">
        <v>0</v>
      </c>
      <c r="K427" s="6">
        <v>0</v>
      </c>
      <c r="L427" s="6">
        <v>364.46199999999999</v>
      </c>
      <c r="M427" s="6">
        <v>217.80432808847999</v>
      </c>
      <c r="N427" s="6">
        <v>0</v>
      </c>
      <c r="O427" s="6">
        <v>0</v>
      </c>
      <c r="P427" s="6">
        <v>0</v>
      </c>
      <c r="Q427" s="4" t="s">
        <v>57</v>
      </c>
      <c r="R427" s="4">
        <v>0</v>
      </c>
      <c r="S427" s="4" t="s">
        <v>274</v>
      </c>
      <c r="U427" s="4">
        <v>0</v>
      </c>
      <c r="V427" s="4">
        <v>24</v>
      </c>
      <c r="W427" s="4">
        <v>0</v>
      </c>
    </row>
    <row r="428" spans="1:23" ht="11.25" customHeight="1" x14ac:dyDescent="0.25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58</v>
      </c>
      <c r="G428" s="4" t="s">
        <v>25</v>
      </c>
      <c r="H428" s="4" t="s">
        <v>34</v>
      </c>
      <c r="I428" s="5">
        <v>44501</v>
      </c>
      <c r="J428" s="6">
        <v>0</v>
      </c>
      <c r="K428" s="6">
        <v>0</v>
      </c>
      <c r="L428" s="6">
        <v>369.31900000000002</v>
      </c>
      <c r="M428" s="6">
        <v>160.29784858651001</v>
      </c>
      <c r="N428" s="6">
        <v>0</v>
      </c>
      <c r="O428" s="6">
        <v>0</v>
      </c>
      <c r="P428" s="6">
        <v>0</v>
      </c>
      <c r="Q428" s="4" t="s">
        <v>57</v>
      </c>
      <c r="R428" s="4">
        <v>0</v>
      </c>
      <c r="S428" s="4" t="s">
        <v>275</v>
      </c>
      <c r="U428" s="4">
        <v>0</v>
      </c>
      <c r="V428" s="4">
        <v>24</v>
      </c>
      <c r="W428" s="4">
        <v>0</v>
      </c>
    </row>
    <row r="429" spans="1:23" ht="11.25" customHeight="1" x14ac:dyDescent="0.25">
      <c r="A429" s="4" t="s">
        <v>21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58</v>
      </c>
      <c r="G429" s="4" t="s">
        <v>25</v>
      </c>
      <c r="H429" s="4" t="s">
        <v>34</v>
      </c>
      <c r="I429" s="5">
        <v>44531</v>
      </c>
      <c r="J429" s="6">
        <v>0</v>
      </c>
      <c r="K429" s="6">
        <v>0</v>
      </c>
      <c r="L429" s="6">
        <v>404.59399999999999</v>
      </c>
      <c r="M429" s="6">
        <v>198.21775786786</v>
      </c>
      <c r="N429" s="6">
        <v>0</v>
      </c>
      <c r="O429" s="6">
        <v>0</v>
      </c>
      <c r="P429" s="6">
        <v>0</v>
      </c>
      <c r="Q429" s="4" t="s">
        <v>57</v>
      </c>
      <c r="R429" s="4">
        <v>0</v>
      </c>
      <c r="S429" s="4" t="s">
        <v>276</v>
      </c>
      <c r="U429" s="4">
        <v>0</v>
      </c>
      <c r="V429" s="4">
        <v>24</v>
      </c>
      <c r="W429" s="4">
        <v>0</v>
      </c>
    </row>
    <row r="430" spans="1:23" ht="11.25" customHeight="1" x14ac:dyDescent="0.25">
      <c r="A430" s="4" t="s">
        <v>55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58</v>
      </c>
      <c r="G430" s="4" t="s">
        <v>25</v>
      </c>
      <c r="H430" s="4" t="s">
        <v>34</v>
      </c>
      <c r="I430" s="5">
        <v>44562</v>
      </c>
      <c r="J430" s="6">
        <v>0</v>
      </c>
      <c r="K430" s="6">
        <v>0</v>
      </c>
      <c r="L430" s="6">
        <v>404.59399999999999</v>
      </c>
      <c r="M430" s="6">
        <v>198.21775786786</v>
      </c>
      <c r="N430" s="6">
        <v>0</v>
      </c>
      <c r="O430" s="6">
        <v>0</v>
      </c>
      <c r="P430" s="6">
        <v>0</v>
      </c>
      <c r="Q430" s="4" t="s">
        <v>57</v>
      </c>
      <c r="R430" s="4">
        <v>0</v>
      </c>
      <c r="S430" s="4" t="s">
        <v>277</v>
      </c>
      <c r="U430" s="4">
        <v>0</v>
      </c>
      <c r="V430" s="4">
        <v>24</v>
      </c>
      <c r="W430" s="4">
        <v>0</v>
      </c>
    </row>
    <row r="431" spans="1:23" ht="11.25" customHeight="1" x14ac:dyDescent="0.25">
      <c r="A431" s="4" t="s">
        <v>21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35</v>
      </c>
      <c r="I431" s="5">
        <v>44228</v>
      </c>
      <c r="J431" s="6">
        <v>0</v>
      </c>
      <c r="K431" s="6">
        <v>0</v>
      </c>
      <c r="L431" s="6">
        <v>3174.884</v>
      </c>
      <c r="M431" s="6">
        <v>3174.884</v>
      </c>
      <c r="N431" s="6">
        <v>3174.884</v>
      </c>
      <c r="O431" s="6">
        <v>3174.884</v>
      </c>
      <c r="P431" s="6">
        <v>0</v>
      </c>
      <c r="Q431" s="4" t="s">
        <v>26</v>
      </c>
      <c r="R431" s="4">
        <v>0</v>
      </c>
      <c r="S431" s="4" t="s">
        <v>242</v>
      </c>
      <c r="T431" s="4" t="s">
        <v>483</v>
      </c>
      <c r="U431" s="4">
        <v>0</v>
      </c>
      <c r="V431" s="4">
        <v>25</v>
      </c>
      <c r="W431" s="4">
        <v>68</v>
      </c>
    </row>
    <row r="432" spans="1:23" ht="11.25" customHeight="1" x14ac:dyDescent="0.25">
      <c r="A432" s="4" t="s">
        <v>28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35</v>
      </c>
      <c r="I432" s="5">
        <v>44228</v>
      </c>
      <c r="J432" s="6">
        <v>0</v>
      </c>
      <c r="K432" s="6">
        <v>0</v>
      </c>
      <c r="L432" s="6">
        <v>97.778000000000006</v>
      </c>
      <c r="M432" s="6">
        <v>97.778000000000006</v>
      </c>
      <c r="N432" s="6">
        <v>97.778000000000006</v>
      </c>
      <c r="O432" s="6">
        <v>97.778000000000006</v>
      </c>
      <c r="P432" s="6">
        <v>0</v>
      </c>
      <c r="Q432" s="4" t="s">
        <v>26</v>
      </c>
      <c r="R432" s="4">
        <v>0</v>
      </c>
      <c r="S432" s="4" t="s">
        <v>242</v>
      </c>
      <c r="T432" s="4" t="s">
        <v>483</v>
      </c>
      <c r="U432" s="4">
        <v>0</v>
      </c>
      <c r="V432" s="4">
        <v>25</v>
      </c>
      <c r="W432" s="4">
        <v>68</v>
      </c>
    </row>
    <row r="433" spans="1:23" ht="11.25" customHeight="1" x14ac:dyDescent="0.25">
      <c r="A433" s="4" t="s">
        <v>21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35</v>
      </c>
      <c r="I433" s="5">
        <v>44228</v>
      </c>
      <c r="J433" s="6">
        <v>0</v>
      </c>
      <c r="K433" s="6">
        <v>0</v>
      </c>
      <c r="L433" s="6">
        <v>817.31899999999996</v>
      </c>
      <c r="M433" s="6">
        <v>817.31899999999996</v>
      </c>
      <c r="N433" s="6">
        <v>0</v>
      </c>
      <c r="O433" s="6">
        <v>0</v>
      </c>
      <c r="P433" s="6">
        <v>0</v>
      </c>
      <c r="Q433" s="4" t="s">
        <v>57</v>
      </c>
      <c r="R433" s="4">
        <v>0</v>
      </c>
      <c r="S433" s="4" t="s">
        <v>242</v>
      </c>
      <c r="U433" s="4">
        <v>0</v>
      </c>
      <c r="V433" s="4">
        <v>25</v>
      </c>
      <c r="W433" s="4">
        <v>0</v>
      </c>
    </row>
    <row r="434" spans="1:23" ht="11.25" customHeight="1" x14ac:dyDescent="0.25">
      <c r="A434" s="4" t="s">
        <v>21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35</v>
      </c>
      <c r="I434" s="5">
        <v>44256</v>
      </c>
      <c r="J434" s="6">
        <v>0</v>
      </c>
      <c r="K434" s="6">
        <v>0</v>
      </c>
      <c r="L434" s="6">
        <v>3143.56</v>
      </c>
      <c r="M434" s="6">
        <v>3143.56</v>
      </c>
      <c r="N434" s="6">
        <v>3143.56</v>
      </c>
      <c r="O434" s="6">
        <v>3143.56</v>
      </c>
      <c r="P434" s="6">
        <v>0</v>
      </c>
      <c r="Q434" s="4" t="s">
        <v>26</v>
      </c>
      <c r="R434" s="4">
        <v>0</v>
      </c>
      <c r="S434" s="4" t="s">
        <v>243</v>
      </c>
      <c r="T434" s="4" t="s">
        <v>484</v>
      </c>
      <c r="U434" s="4">
        <v>0</v>
      </c>
      <c r="V434" s="4">
        <v>25</v>
      </c>
      <c r="W434" s="4">
        <v>68</v>
      </c>
    </row>
    <row r="435" spans="1:23" ht="11.25" customHeight="1" x14ac:dyDescent="0.25">
      <c r="A435" s="4" t="s">
        <v>27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35</v>
      </c>
      <c r="I435" s="5">
        <v>44256</v>
      </c>
      <c r="J435" s="6">
        <v>0</v>
      </c>
      <c r="K435" s="6">
        <v>0</v>
      </c>
      <c r="L435" s="6">
        <v>-65.292000000000002</v>
      </c>
      <c r="M435" s="6">
        <v>-65.292000000000002</v>
      </c>
      <c r="N435" s="6">
        <v>-65.292000000000002</v>
      </c>
      <c r="O435" s="6">
        <v>-65.292000000000002</v>
      </c>
      <c r="P435" s="6">
        <v>0</v>
      </c>
      <c r="Q435" s="4" t="s">
        <v>26</v>
      </c>
      <c r="R435" s="4">
        <v>0</v>
      </c>
      <c r="S435" s="4" t="s">
        <v>243</v>
      </c>
      <c r="T435" s="4" t="s">
        <v>484</v>
      </c>
      <c r="U435" s="4">
        <v>0</v>
      </c>
      <c r="V435" s="4">
        <v>25</v>
      </c>
      <c r="W435" s="4">
        <v>68</v>
      </c>
    </row>
    <row r="436" spans="1:23" ht="11.25" customHeight="1" x14ac:dyDescent="0.25">
      <c r="A436" s="4" t="s">
        <v>28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35</v>
      </c>
      <c r="I436" s="5">
        <v>44256</v>
      </c>
      <c r="J436" s="6">
        <v>0</v>
      </c>
      <c r="K436" s="6">
        <v>0</v>
      </c>
      <c r="L436" s="6">
        <v>136.6</v>
      </c>
      <c r="M436" s="6">
        <v>136.6</v>
      </c>
      <c r="N436" s="6">
        <v>136.6</v>
      </c>
      <c r="O436" s="6">
        <v>136.6</v>
      </c>
      <c r="P436" s="6">
        <v>0</v>
      </c>
      <c r="Q436" s="4" t="s">
        <v>26</v>
      </c>
      <c r="R436" s="4">
        <v>0</v>
      </c>
      <c r="S436" s="4" t="s">
        <v>243</v>
      </c>
      <c r="T436" s="4" t="s">
        <v>484</v>
      </c>
      <c r="U436" s="4">
        <v>0</v>
      </c>
      <c r="V436" s="4">
        <v>25</v>
      </c>
      <c r="W436" s="4">
        <v>68</v>
      </c>
    </row>
    <row r="437" spans="1:23" ht="11.25" customHeight="1" x14ac:dyDescent="0.25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35</v>
      </c>
      <c r="I437" s="5">
        <v>44256</v>
      </c>
      <c r="J437" s="6">
        <v>0</v>
      </c>
      <c r="K437" s="6">
        <v>0</v>
      </c>
      <c r="L437" s="6">
        <v>963.17100000000005</v>
      </c>
      <c r="M437" s="6">
        <v>963.17100000000005</v>
      </c>
      <c r="N437" s="6">
        <v>0</v>
      </c>
      <c r="O437" s="6">
        <v>0</v>
      </c>
      <c r="P437" s="6">
        <v>0</v>
      </c>
      <c r="Q437" s="4" t="s">
        <v>57</v>
      </c>
      <c r="R437" s="4">
        <v>0</v>
      </c>
      <c r="S437" s="4" t="s">
        <v>243</v>
      </c>
      <c r="U437" s="4">
        <v>0</v>
      </c>
      <c r="V437" s="4">
        <v>25</v>
      </c>
      <c r="W437" s="4">
        <v>0</v>
      </c>
    </row>
    <row r="438" spans="1:23" ht="11.25" customHeight="1" x14ac:dyDescent="0.25">
      <c r="A438" s="4" t="s">
        <v>21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35</v>
      </c>
      <c r="I438" s="5">
        <v>44287</v>
      </c>
      <c r="J438" s="6">
        <v>0</v>
      </c>
      <c r="K438" s="6">
        <v>0</v>
      </c>
      <c r="L438" s="6">
        <v>3095.029</v>
      </c>
      <c r="M438" s="6">
        <v>3095.029</v>
      </c>
      <c r="N438" s="6">
        <v>3095.029</v>
      </c>
      <c r="O438" s="6">
        <v>3095.029</v>
      </c>
      <c r="P438" s="6">
        <v>0</v>
      </c>
      <c r="Q438" s="4" t="s">
        <v>26</v>
      </c>
      <c r="R438" s="4">
        <v>0</v>
      </c>
      <c r="S438" s="4" t="s">
        <v>244</v>
      </c>
      <c r="T438" s="4" t="s">
        <v>485</v>
      </c>
      <c r="U438" s="4">
        <v>0</v>
      </c>
      <c r="V438" s="4">
        <v>25</v>
      </c>
      <c r="W438" s="4">
        <v>68</v>
      </c>
    </row>
    <row r="439" spans="1:23" ht="11.25" customHeight="1" x14ac:dyDescent="0.25">
      <c r="A439" s="4" t="s">
        <v>28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35</v>
      </c>
      <c r="I439" s="5">
        <v>44287</v>
      </c>
      <c r="J439" s="6">
        <v>0</v>
      </c>
      <c r="K439" s="6">
        <v>0</v>
      </c>
      <c r="L439" s="6">
        <v>137.72300000000001</v>
      </c>
      <c r="M439" s="6">
        <v>137.72300000000001</v>
      </c>
      <c r="N439" s="6">
        <v>137.72300000000001</v>
      </c>
      <c r="O439" s="6">
        <v>137.72300000000001</v>
      </c>
      <c r="P439" s="6">
        <v>0</v>
      </c>
      <c r="Q439" s="4" t="s">
        <v>26</v>
      </c>
      <c r="R439" s="4">
        <v>0</v>
      </c>
      <c r="S439" s="4" t="s">
        <v>244</v>
      </c>
      <c r="T439" s="4" t="s">
        <v>485</v>
      </c>
      <c r="U439" s="4">
        <v>0</v>
      </c>
      <c r="V439" s="4">
        <v>25</v>
      </c>
      <c r="W439" s="4">
        <v>68</v>
      </c>
    </row>
    <row r="440" spans="1:23" ht="11.25" customHeight="1" x14ac:dyDescent="0.25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35</v>
      </c>
      <c r="I440" s="5">
        <v>44287</v>
      </c>
      <c r="J440" s="6">
        <v>0</v>
      </c>
      <c r="K440" s="6">
        <v>0</v>
      </c>
      <c r="L440" s="6">
        <v>1000.342</v>
      </c>
      <c r="M440" s="6">
        <v>1000.342</v>
      </c>
      <c r="N440" s="6">
        <v>0</v>
      </c>
      <c r="O440" s="6">
        <v>0</v>
      </c>
      <c r="P440" s="6">
        <v>0</v>
      </c>
      <c r="Q440" s="4" t="s">
        <v>57</v>
      </c>
      <c r="R440" s="4">
        <v>0</v>
      </c>
      <c r="S440" s="4" t="s">
        <v>244</v>
      </c>
      <c r="U440" s="4">
        <v>0</v>
      </c>
      <c r="V440" s="4">
        <v>25</v>
      </c>
      <c r="W440" s="4">
        <v>0</v>
      </c>
    </row>
    <row r="441" spans="1:23" ht="11.25" customHeight="1" x14ac:dyDescent="0.25">
      <c r="A441" s="4" t="s">
        <v>21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44317</v>
      </c>
      <c r="J441" s="6">
        <v>0</v>
      </c>
      <c r="K441" s="6">
        <v>0</v>
      </c>
      <c r="L441" s="6">
        <v>3253.5410000000002</v>
      </c>
      <c r="M441" s="6">
        <v>3253.5410000000002</v>
      </c>
      <c r="N441" s="6">
        <v>3253.5410000000002</v>
      </c>
      <c r="O441" s="6">
        <v>3253.5410000000002</v>
      </c>
      <c r="P441" s="6">
        <v>0</v>
      </c>
      <c r="Q441" s="4" t="s">
        <v>26</v>
      </c>
      <c r="R441" s="4">
        <v>0</v>
      </c>
      <c r="S441" s="4" t="s">
        <v>245</v>
      </c>
      <c r="T441" s="4" t="s">
        <v>486</v>
      </c>
      <c r="U441" s="4">
        <v>0</v>
      </c>
      <c r="V441" s="4">
        <v>25</v>
      </c>
      <c r="W441" s="4">
        <v>68</v>
      </c>
    </row>
    <row r="442" spans="1:23" ht="11.25" customHeight="1" x14ac:dyDescent="0.25">
      <c r="A442" s="4" t="s">
        <v>28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44317</v>
      </c>
      <c r="J442" s="6">
        <v>0</v>
      </c>
      <c r="K442" s="6">
        <v>0</v>
      </c>
      <c r="L442" s="6">
        <v>124.56399999999999</v>
      </c>
      <c r="M442" s="6">
        <v>124.56399999999999</v>
      </c>
      <c r="N442" s="6">
        <v>124.56399999999999</v>
      </c>
      <c r="O442" s="6">
        <v>124.56399999999999</v>
      </c>
      <c r="P442" s="6">
        <v>0</v>
      </c>
      <c r="Q442" s="4" t="s">
        <v>26</v>
      </c>
      <c r="R442" s="4">
        <v>0</v>
      </c>
      <c r="S442" s="4" t="s">
        <v>245</v>
      </c>
      <c r="T442" s="4" t="s">
        <v>486</v>
      </c>
      <c r="U442" s="4">
        <v>0</v>
      </c>
      <c r="V442" s="4">
        <v>25</v>
      </c>
      <c r="W442" s="4">
        <v>68</v>
      </c>
    </row>
    <row r="443" spans="1:23" ht="11.25" customHeight="1" x14ac:dyDescent="0.25">
      <c r="A443" s="4" t="s">
        <v>21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44317</v>
      </c>
      <c r="J443" s="6">
        <v>0</v>
      </c>
      <c r="K443" s="6">
        <v>0</v>
      </c>
      <c r="L443" s="6">
        <v>723.61599999999999</v>
      </c>
      <c r="M443" s="6">
        <v>723.61599999999999</v>
      </c>
      <c r="N443" s="6">
        <v>0</v>
      </c>
      <c r="O443" s="6">
        <v>0</v>
      </c>
      <c r="P443" s="6">
        <v>0</v>
      </c>
      <c r="Q443" s="4" t="s">
        <v>57</v>
      </c>
      <c r="R443" s="4">
        <v>0</v>
      </c>
      <c r="S443" s="4" t="s">
        <v>245</v>
      </c>
      <c r="U443" s="4">
        <v>0</v>
      </c>
      <c r="V443" s="4">
        <v>25</v>
      </c>
      <c r="W443" s="4">
        <v>0</v>
      </c>
    </row>
    <row r="444" spans="1:23" ht="11.25" customHeight="1" x14ac:dyDescent="0.25">
      <c r="A444" s="4" t="s">
        <v>21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44348</v>
      </c>
      <c r="J444" s="6">
        <v>0</v>
      </c>
      <c r="K444" s="6">
        <v>0</v>
      </c>
      <c r="L444" s="6">
        <v>3175.163</v>
      </c>
      <c r="M444" s="6">
        <v>3175.163</v>
      </c>
      <c r="N444" s="6">
        <v>3175.163</v>
      </c>
      <c r="O444" s="6">
        <v>3175.163</v>
      </c>
      <c r="P444" s="6">
        <v>0</v>
      </c>
      <c r="Q444" s="4" t="s">
        <v>26</v>
      </c>
      <c r="R444" s="4">
        <v>0</v>
      </c>
      <c r="S444" s="4" t="s">
        <v>246</v>
      </c>
      <c r="T444" s="4" t="s">
        <v>487</v>
      </c>
      <c r="U444" s="4">
        <v>0</v>
      </c>
      <c r="V444" s="4">
        <v>25</v>
      </c>
      <c r="W444" s="4">
        <v>68</v>
      </c>
    </row>
    <row r="445" spans="1:23" ht="11.25" customHeight="1" x14ac:dyDescent="0.25">
      <c r="A445" s="4" t="s">
        <v>27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44348</v>
      </c>
      <c r="J445" s="6">
        <v>0</v>
      </c>
      <c r="K445" s="6">
        <v>0</v>
      </c>
      <c r="L445" s="6">
        <v>-85.05</v>
      </c>
      <c r="M445" s="6">
        <v>-85.05</v>
      </c>
      <c r="N445" s="6">
        <v>-85.05</v>
      </c>
      <c r="O445" s="6">
        <v>-85.05</v>
      </c>
      <c r="P445" s="6">
        <v>0</v>
      </c>
      <c r="Q445" s="4" t="s">
        <v>26</v>
      </c>
      <c r="R445" s="4">
        <v>0</v>
      </c>
      <c r="S445" s="4" t="s">
        <v>246</v>
      </c>
      <c r="T445" s="4" t="s">
        <v>487</v>
      </c>
      <c r="U445" s="4">
        <v>0</v>
      </c>
      <c r="V445" s="4">
        <v>25</v>
      </c>
      <c r="W445" s="4">
        <v>68</v>
      </c>
    </row>
    <row r="446" spans="1:23" ht="11.25" customHeight="1" x14ac:dyDescent="0.25">
      <c r="A446" s="4" t="s">
        <v>28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44348</v>
      </c>
      <c r="J446" s="6">
        <v>0</v>
      </c>
      <c r="K446" s="6">
        <v>0</v>
      </c>
      <c r="L446" s="6">
        <v>134.35599999999999</v>
      </c>
      <c r="M446" s="6">
        <v>134.35599999999999</v>
      </c>
      <c r="N446" s="6">
        <v>134.35599999999999</v>
      </c>
      <c r="O446" s="6">
        <v>134.35599999999999</v>
      </c>
      <c r="P446" s="6">
        <v>0</v>
      </c>
      <c r="Q446" s="4" t="s">
        <v>26</v>
      </c>
      <c r="R446" s="4">
        <v>0</v>
      </c>
      <c r="S446" s="4" t="s">
        <v>246</v>
      </c>
      <c r="T446" s="4" t="s">
        <v>487</v>
      </c>
      <c r="U446" s="4">
        <v>0</v>
      </c>
      <c r="V446" s="4">
        <v>25</v>
      </c>
      <c r="W446" s="4">
        <v>68</v>
      </c>
    </row>
    <row r="447" spans="1:23" ht="11.25" customHeight="1" x14ac:dyDescent="0.25">
      <c r="A447" s="4" t="s">
        <v>21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44348</v>
      </c>
      <c r="J447" s="6">
        <v>0</v>
      </c>
      <c r="K447" s="6">
        <v>0</v>
      </c>
      <c r="L447" s="6">
        <v>827.64599999999996</v>
      </c>
      <c r="M447" s="6">
        <v>827.64599999999996</v>
      </c>
      <c r="N447" s="6">
        <v>0</v>
      </c>
      <c r="O447" s="6">
        <v>0</v>
      </c>
      <c r="P447" s="6">
        <v>0</v>
      </c>
      <c r="Q447" s="4" t="s">
        <v>57</v>
      </c>
      <c r="R447" s="4">
        <v>0</v>
      </c>
      <c r="S447" s="4" t="s">
        <v>246</v>
      </c>
      <c r="U447" s="4">
        <v>0</v>
      </c>
      <c r="V447" s="4">
        <v>25</v>
      </c>
      <c r="W447" s="4">
        <v>0</v>
      </c>
    </row>
    <row r="448" spans="1:23" ht="11.25" customHeight="1" x14ac:dyDescent="0.25">
      <c r="A448" s="4" t="s">
        <v>21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44378</v>
      </c>
      <c r="J448" s="6">
        <v>0</v>
      </c>
      <c r="K448" s="6">
        <v>0</v>
      </c>
      <c r="L448" s="6">
        <v>3473.0369999999998</v>
      </c>
      <c r="M448" s="6">
        <v>3473.0369999999998</v>
      </c>
      <c r="N448" s="6">
        <v>3473.0369999999998</v>
      </c>
      <c r="O448" s="6">
        <v>3473.0369999999998</v>
      </c>
      <c r="P448" s="6">
        <v>0</v>
      </c>
      <c r="Q448" s="4" t="s">
        <v>26</v>
      </c>
      <c r="R448" s="4">
        <v>0</v>
      </c>
      <c r="S448" s="4" t="s">
        <v>247</v>
      </c>
      <c r="T448" s="4" t="s">
        <v>488</v>
      </c>
      <c r="U448" s="4">
        <v>0</v>
      </c>
      <c r="V448" s="4">
        <v>25</v>
      </c>
      <c r="W448" s="4">
        <v>68</v>
      </c>
    </row>
    <row r="449" spans="1:23" ht="11.25" customHeight="1" x14ac:dyDescent="0.25">
      <c r="A449" s="4" t="s">
        <v>28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44378</v>
      </c>
      <c r="J449" s="6">
        <v>0</v>
      </c>
      <c r="K449" s="6">
        <v>0</v>
      </c>
      <c r="L449" s="6">
        <v>154.327</v>
      </c>
      <c r="M449" s="6">
        <v>154.327</v>
      </c>
      <c r="N449" s="6">
        <v>154.327</v>
      </c>
      <c r="O449" s="6">
        <v>154.327</v>
      </c>
      <c r="P449" s="6">
        <v>0</v>
      </c>
      <c r="Q449" s="4" t="s">
        <v>26</v>
      </c>
      <c r="R449" s="4">
        <v>0</v>
      </c>
      <c r="S449" s="4" t="s">
        <v>247</v>
      </c>
      <c r="T449" s="4" t="s">
        <v>488</v>
      </c>
      <c r="U449" s="4">
        <v>0</v>
      </c>
      <c r="V449" s="4">
        <v>25</v>
      </c>
      <c r="W449" s="4">
        <v>68</v>
      </c>
    </row>
    <row r="450" spans="1:23" ht="11.25" customHeight="1" x14ac:dyDescent="0.25">
      <c r="A450" s="4" t="s">
        <v>21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44378</v>
      </c>
      <c r="J450" s="6">
        <v>0</v>
      </c>
      <c r="K450" s="6">
        <v>0</v>
      </c>
      <c r="L450" s="6">
        <v>858.02099999999996</v>
      </c>
      <c r="M450" s="6">
        <v>858.02099999999996</v>
      </c>
      <c r="N450" s="6">
        <v>0</v>
      </c>
      <c r="O450" s="6">
        <v>0</v>
      </c>
      <c r="P450" s="6">
        <v>0</v>
      </c>
      <c r="Q450" s="4" t="s">
        <v>57</v>
      </c>
      <c r="R450" s="4">
        <v>0</v>
      </c>
      <c r="S450" s="4" t="s">
        <v>247</v>
      </c>
      <c r="U450" s="4">
        <v>0</v>
      </c>
      <c r="V450" s="4">
        <v>25</v>
      </c>
      <c r="W450" s="4">
        <v>0</v>
      </c>
    </row>
    <row r="451" spans="1:23" ht="11.25" customHeight="1" x14ac:dyDescent="0.25">
      <c r="A451" s="4" t="s">
        <v>21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44409</v>
      </c>
      <c r="J451" s="6">
        <v>0</v>
      </c>
      <c r="K451" s="6">
        <v>0</v>
      </c>
      <c r="L451" s="6">
        <v>3332.6840000000002</v>
      </c>
      <c r="M451" s="6">
        <v>3332.6840000000002</v>
      </c>
      <c r="N451" s="6">
        <v>3332.6840000000002</v>
      </c>
      <c r="O451" s="6">
        <v>3332.6840000000002</v>
      </c>
      <c r="P451" s="6">
        <v>0</v>
      </c>
      <c r="Q451" s="4" t="s">
        <v>26</v>
      </c>
      <c r="R451" s="4">
        <v>0</v>
      </c>
      <c r="S451" s="4" t="s">
        <v>248</v>
      </c>
      <c r="T451" s="4" t="s">
        <v>489</v>
      </c>
      <c r="U451" s="4">
        <v>0</v>
      </c>
      <c r="V451" s="4">
        <v>25</v>
      </c>
      <c r="W451" s="4">
        <v>68</v>
      </c>
    </row>
    <row r="452" spans="1:23" ht="11.25" customHeight="1" x14ac:dyDescent="0.25">
      <c r="A452" s="4" t="s">
        <v>28</v>
      </c>
      <c r="B452" s="4" t="s">
        <v>39</v>
      </c>
      <c r="C452" s="4" t="s">
        <v>41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44409</v>
      </c>
      <c r="J452" s="6">
        <v>0</v>
      </c>
      <c r="K452" s="6">
        <v>0</v>
      </c>
      <c r="L452" s="6">
        <v>186.53800000000001</v>
      </c>
      <c r="M452" s="6">
        <v>186.53800000000001</v>
      </c>
      <c r="N452" s="6">
        <v>186.53800000000001</v>
      </c>
      <c r="O452" s="6">
        <v>186.53800000000001</v>
      </c>
      <c r="P452" s="6">
        <v>0</v>
      </c>
      <c r="Q452" s="4" t="s">
        <v>26</v>
      </c>
      <c r="R452" s="4">
        <v>0</v>
      </c>
      <c r="S452" s="4" t="s">
        <v>248</v>
      </c>
      <c r="T452" s="4" t="s">
        <v>489</v>
      </c>
      <c r="U452" s="4">
        <v>0</v>
      </c>
      <c r="V452" s="4">
        <v>25</v>
      </c>
      <c r="W452" s="4">
        <v>68</v>
      </c>
    </row>
    <row r="453" spans="1:23" ht="11.25" customHeight="1" x14ac:dyDescent="0.25">
      <c r="A453" s="4" t="s">
        <v>21</v>
      </c>
      <c r="B453" s="4" t="s">
        <v>39</v>
      </c>
      <c r="C453" s="4" t="s">
        <v>41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44409</v>
      </c>
      <c r="J453" s="6">
        <v>0</v>
      </c>
      <c r="K453" s="6">
        <v>0</v>
      </c>
      <c r="L453" s="6">
        <v>990.97799999999995</v>
      </c>
      <c r="M453" s="6">
        <v>990.97799999999995</v>
      </c>
      <c r="N453" s="6">
        <v>0</v>
      </c>
      <c r="O453" s="6">
        <v>0</v>
      </c>
      <c r="P453" s="6">
        <v>0</v>
      </c>
      <c r="Q453" s="4" t="s">
        <v>57</v>
      </c>
      <c r="R453" s="4">
        <v>0</v>
      </c>
      <c r="S453" s="4" t="s">
        <v>248</v>
      </c>
      <c r="U453" s="4">
        <v>0</v>
      </c>
      <c r="V453" s="4">
        <v>25</v>
      </c>
      <c r="W453" s="4">
        <v>0</v>
      </c>
    </row>
    <row r="454" spans="1:23" ht="11.25" customHeight="1" x14ac:dyDescent="0.25">
      <c r="A454" s="4" t="s">
        <v>21</v>
      </c>
      <c r="B454" s="4" t="s">
        <v>39</v>
      </c>
      <c r="C454" s="4" t="s">
        <v>41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44440</v>
      </c>
      <c r="J454" s="6">
        <v>0</v>
      </c>
      <c r="K454" s="6">
        <v>0</v>
      </c>
      <c r="L454" s="6">
        <v>3231.2550000000001</v>
      </c>
      <c r="M454" s="6">
        <v>3231.2550000000001</v>
      </c>
      <c r="N454" s="6">
        <v>3231.2550000000001</v>
      </c>
      <c r="O454" s="6">
        <v>3231.2550000000001</v>
      </c>
      <c r="P454" s="6">
        <v>0</v>
      </c>
      <c r="Q454" s="4" t="s">
        <v>26</v>
      </c>
      <c r="R454" s="4">
        <v>0</v>
      </c>
      <c r="S454" s="4" t="s">
        <v>249</v>
      </c>
      <c r="T454" s="4" t="s">
        <v>490</v>
      </c>
      <c r="U454" s="4">
        <v>0</v>
      </c>
      <c r="V454" s="4">
        <v>25</v>
      </c>
      <c r="W454" s="4">
        <v>68</v>
      </c>
    </row>
    <row r="455" spans="1:23" ht="11.25" customHeight="1" x14ac:dyDescent="0.25">
      <c r="A455" s="4" t="s">
        <v>28</v>
      </c>
      <c r="B455" s="4" t="s">
        <v>39</v>
      </c>
      <c r="C455" s="4" t="s">
        <v>41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44440</v>
      </c>
      <c r="J455" s="6">
        <v>0</v>
      </c>
      <c r="K455" s="6">
        <v>0</v>
      </c>
      <c r="L455" s="6">
        <v>161.72399999999999</v>
      </c>
      <c r="M455" s="6">
        <v>161.72399999999999</v>
      </c>
      <c r="N455" s="6">
        <v>161.72399999999999</v>
      </c>
      <c r="O455" s="6">
        <v>161.72399999999999</v>
      </c>
      <c r="P455" s="6">
        <v>0</v>
      </c>
      <c r="Q455" s="4" t="s">
        <v>26</v>
      </c>
      <c r="R455" s="4">
        <v>0</v>
      </c>
      <c r="S455" s="4" t="s">
        <v>249</v>
      </c>
      <c r="T455" s="4" t="s">
        <v>490</v>
      </c>
      <c r="U455" s="4">
        <v>0</v>
      </c>
      <c r="V455" s="4">
        <v>25</v>
      </c>
      <c r="W455" s="4">
        <v>68</v>
      </c>
    </row>
    <row r="456" spans="1:23" ht="11.25" customHeight="1" x14ac:dyDescent="0.25">
      <c r="A456" s="4" t="s">
        <v>21</v>
      </c>
      <c r="B456" s="4" t="s">
        <v>39</v>
      </c>
      <c r="C456" s="4" t="s">
        <v>41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44440</v>
      </c>
      <c r="J456" s="6">
        <v>0</v>
      </c>
      <c r="K456" s="6">
        <v>0</v>
      </c>
      <c r="L456" s="6">
        <v>1058.7919999999999</v>
      </c>
      <c r="M456" s="6">
        <v>1058.7919999999999</v>
      </c>
      <c r="N456" s="6">
        <v>0</v>
      </c>
      <c r="O456" s="6">
        <v>0</v>
      </c>
      <c r="P456" s="6">
        <v>0</v>
      </c>
      <c r="Q456" s="4" t="s">
        <v>57</v>
      </c>
      <c r="R456" s="4">
        <v>0</v>
      </c>
      <c r="S456" s="4" t="s">
        <v>249</v>
      </c>
      <c r="U456" s="4">
        <v>0</v>
      </c>
      <c r="V456" s="4">
        <v>25</v>
      </c>
      <c r="W456" s="4">
        <v>0</v>
      </c>
    </row>
    <row r="457" spans="1:23" ht="11.25" customHeight="1" x14ac:dyDescent="0.25">
      <c r="A457" s="4" t="s">
        <v>21</v>
      </c>
      <c r="B457" s="4" t="s">
        <v>39</v>
      </c>
      <c r="C457" s="4" t="s">
        <v>41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44470</v>
      </c>
      <c r="J457" s="6">
        <v>0</v>
      </c>
      <c r="K457" s="6">
        <v>0</v>
      </c>
      <c r="L457" s="6">
        <v>3330.3270000000002</v>
      </c>
      <c r="M457" s="6">
        <v>3330.3270000000002</v>
      </c>
      <c r="N457" s="6">
        <v>3330.3270000000002</v>
      </c>
      <c r="O457" s="6">
        <v>3330.3270000000002</v>
      </c>
      <c r="P457" s="6">
        <v>0</v>
      </c>
      <c r="Q457" s="4" t="s">
        <v>26</v>
      </c>
      <c r="R457" s="4">
        <v>0</v>
      </c>
      <c r="S457" s="4" t="s">
        <v>250</v>
      </c>
      <c r="T457" s="4" t="s">
        <v>491</v>
      </c>
      <c r="U457" s="4">
        <v>0</v>
      </c>
      <c r="V457" s="4">
        <v>25</v>
      </c>
      <c r="W457" s="4">
        <v>68</v>
      </c>
    </row>
    <row r="458" spans="1:23" ht="11.25" customHeight="1" x14ac:dyDescent="0.25">
      <c r="A458" s="4" t="s">
        <v>28</v>
      </c>
      <c r="B458" s="4" t="s">
        <v>39</v>
      </c>
      <c r="C458" s="4" t="s">
        <v>41</v>
      </c>
      <c r="D458" s="4" t="s">
        <v>38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44470</v>
      </c>
      <c r="J458" s="6">
        <v>0</v>
      </c>
      <c r="K458" s="6">
        <v>0</v>
      </c>
      <c r="L458" s="6">
        <v>148.917</v>
      </c>
      <c r="M458" s="6">
        <v>148.917</v>
      </c>
      <c r="N458" s="6">
        <v>148.917</v>
      </c>
      <c r="O458" s="6">
        <v>148.917</v>
      </c>
      <c r="P458" s="6">
        <v>0</v>
      </c>
      <c r="Q458" s="4" t="s">
        <v>26</v>
      </c>
      <c r="R458" s="4">
        <v>0</v>
      </c>
      <c r="S458" s="4" t="s">
        <v>250</v>
      </c>
      <c r="T458" s="4" t="s">
        <v>491</v>
      </c>
      <c r="U458" s="4">
        <v>0</v>
      </c>
      <c r="V458" s="4">
        <v>25</v>
      </c>
      <c r="W458" s="4">
        <v>68</v>
      </c>
    </row>
    <row r="459" spans="1:23" ht="11.25" customHeight="1" x14ac:dyDescent="0.25">
      <c r="A459" s="4" t="s">
        <v>21</v>
      </c>
      <c r="B459" s="4" t="s">
        <v>39</v>
      </c>
      <c r="C459" s="4" t="s">
        <v>41</v>
      </c>
      <c r="D459" s="4" t="s">
        <v>38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44470</v>
      </c>
      <c r="J459" s="6">
        <v>0</v>
      </c>
      <c r="K459" s="6">
        <v>0</v>
      </c>
      <c r="L459" s="6">
        <v>1001.95</v>
      </c>
      <c r="M459" s="6">
        <v>1001.95</v>
      </c>
      <c r="N459" s="6">
        <v>0</v>
      </c>
      <c r="O459" s="6">
        <v>0</v>
      </c>
      <c r="P459" s="6">
        <v>0</v>
      </c>
      <c r="Q459" s="4" t="s">
        <v>57</v>
      </c>
      <c r="R459" s="4">
        <v>0</v>
      </c>
      <c r="S459" s="4" t="s">
        <v>250</v>
      </c>
      <c r="U459" s="4">
        <v>0</v>
      </c>
      <c r="V459" s="4">
        <v>25</v>
      </c>
      <c r="W459" s="4">
        <v>0</v>
      </c>
    </row>
    <row r="460" spans="1:23" ht="11.25" customHeight="1" x14ac:dyDescent="0.25">
      <c r="A460" s="4" t="s">
        <v>21</v>
      </c>
      <c r="B460" s="4" t="s">
        <v>39</v>
      </c>
      <c r="C460" s="4" t="s">
        <v>41</v>
      </c>
      <c r="D460" s="4" t="s">
        <v>38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44501</v>
      </c>
      <c r="J460" s="6">
        <v>0</v>
      </c>
      <c r="K460" s="6">
        <v>0</v>
      </c>
      <c r="L460" s="6">
        <v>3276.5410000000002</v>
      </c>
      <c r="M460" s="6">
        <v>3276.5410000000002</v>
      </c>
      <c r="N460" s="6">
        <v>3276.5410000000002</v>
      </c>
      <c r="O460" s="6">
        <v>3276.5410000000002</v>
      </c>
      <c r="P460" s="6">
        <v>0</v>
      </c>
      <c r="Q460" s="4" t="s">
        <v>26</v>
      </c>
      <c r="R460" s="4">
        <v>0</v>
      </c>
      <c r="S460" s="4" t="s">
        <v>251</v>
      </c>
      <c r="T460" s="4" t="s">
        <v>492</v>
      </c>
      <c r="U460" s="4">
        <v>0</v>
      </c>
      <c r="V460" s="4">
        <v>25</v>
      </c>
      <c r="W460" s="4">
        <v>68</v>
      </c>
    </row>
    <row r="461" spans="1:23" ht="11.25" customHeight="1" x14ac:dyDescent="0.25">
      <c r="A461" s="4" t="s">
        <v>28</v>
      </c>
      <c r="B461" s="4" t="s">
        <v>39</v>
      </c>
      <c r="C461" s="4" t="s">
        <v>41</v>
      </c>
      <c r="D461" s="4" t="s">
        <v>38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44501</v>
      </c>
      <c r="J461" s="6">
        <v>0</v>
      </c>
      <c r="K461" s="6">
        <v>0</v>
      </c>
      <c r="L461" s="6">
        <v>109.134</v>
      </c>
      <c r="M461" s="6">
        <v>109.134</v>
      </c>
      <c r="N461" s="6">
        <v>109.134</v>
      </c>
      <c r="O461" s="6">
        <v>109.134</v>
      </c>
      <c r="P461" s="6">
        <v>0</v>
      </c>
      <c r="Q461" s="4" t="s">
        <v>26</v>
      </c>
      <c r="R461" s="4">
        <v>0</v>
      </c>
      <c r="S461" s="4" t="s">
        <v>251</v>
      </c>
      <c r="T461" s="4" t="s">
        <v>492</v>
      </c>
      <c r="U461" s="4">
        <v>0</v>
      </c>
      <c r="V461" s="4">
        <v>25</v>
      </c>
      <c r="W461" s="4">
        <v>68</v>
      </c>
    </row>
    <row r="462" spans="1:23" ht="11.25" customHeight="1" x14ac:dyDescent="0.25">
      <c r="A462" s="4" t="s">
        <v>21</v>
      </c>
      <c r="B462" s="4" t="s">
        <v>39</v>
      </c>
      <c r="C462" s="4" t="s">
        <v>41</v>
      </c>
      <c r="D462" s="4" t="s">
        <v>38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44501</v>
      </c>
      <c r="J462" s="6">
        <v>0</v>
      </c>
      <c r="K462" s="6">
        <v>0</v>
      </c>
      <c r="L462" s="6">
        <v>1051.575</v>
      </c>
      <c r="M462" s="6">
        <v>1051.575</v>
      </c>
      <c r="N462" s="6">
        <v>0</v>
      </c>
      <c r="O462" s="6">
        <v>0</v>
      </c>
      <c r="P462" s="6">
        <v>0</v>
      </c>
      <c r="Q462" s="4" t="s">
        <v>57</v>
      </c>
      <c r="R462" s="4">
        <v>0</v>
      </c>
      <c r="S462" s="4" t="s">
        <v>251</v>
      </c>
      <c r="U462" s="4">
        <v>0</v>
      </c>
      <c r="V462" s="4">
        <v>25</v>
      </c>
      <c r="W462" s="4">
        <v>0</v>
      </c>
    </row>
    <row r="463" spans="1:23" ht="11.25" customHeight="1" x14ac:dyDescent="0.25">
      <c r="A463" s="4" t="s">
        <v>21</v>
      </c>
      <c r="B463" s="4" t="s">
        <v>39</v>
      </c>
      <c r="C463" s="4" t="s">
        <v>41</v>
      </c>
      <c r="D463" s="4" t="s">
        <v>38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44531</v>
      </c>
      <c r="J463" s="6">
        <v>0</v>
      </c>
      <c r="K463" s="6">
        <v>0</v>
      </c>
      <c r="L463" s="6">
        <v>3011.28</v>
      </c>
      <c r="M463" s="6">
        <v>3011.28</v>
      </c>
      <c r="N463" s="6">
        <v>3011.28</v>
      </c>
      <c r="O463" s="6">
        <v>3011.28</v>
      </c>
      <c r="P463" s="6">
        <v>0</v>
      </c>
      <c r="Q463" s="4" t="s">
        <v>26</v>
      </c>
      <c r="R463" s="4">
        <v>0</v>
      </c>
      <c r="S463" s="4" t="s">
        <v>252</v>
      </c>
      <c r="T463" s="4" t="s">
        <v>493</v>
      </c>
      <c r="U463" s="4">
        <v>0</v>
      </c>
      <c r="V463" s="4">
        <v>25</v>
      </c>
      <c r="W463" s="4">
        <v>68</v>
      </c>
    </row>
    <row r="464" spans="1:23" ht="11.25" customHeight="1" x14ac:dyDescent="0.25">
      <c r="A464" s="4" t="s">
        <v>28</v>
      </c>
      <c r="B464" s="4" t="s">
        <v>39</v>
      </c>
      <c r="C464" s="4" t="s">
        <v>41</v>
      </c>
      <c r="D464" s="4" t="s">
        <v>38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44531</v>
      </c>
      <c r="J464" s="6">
        <v>0</v>
      </c>
      <c r="K464" s="6">
        <v>0</v>
      </c>
      <c r="L464" s="6">
        <v>121.90600000000001</v>
      </c>
      <c r="M464" s="6">
        <v>121.90600000000001</v>
      </c>
      <c r="N464" s="6">
        <v>121.90600000000001</v>
      </c>
      <c r="O464" s="6">
        <v>121.90600000000001</v>
      </c>
      <c r="P464" s="6">
        <v>0</v>
      </c>
      <c r="Q464" s="4" t="s">
        <v>26</v>
      </c>
      <c r="R464" s="4">
        <v>0</v>
      </c>
      <c r="S464" s="4" t="s">
        <v>252</v>
      </c>
      <c r="T464" s="4" t="s">
        <v>493</v>
      </c>
      <c r="U464" s="4">
        <v>0</v>
      </c>
      <c r="V464" s="4">
        <v>25</v>
      </c>
      <c r="W464" s="4">
        <v>68</v>
      </c>
    </row>
    <row r="465" spans="1:23" ht="11.25" customHeight="1" x14ac:dyDescent="0.25">
      <c r="A465" s="4" t="s">
        <v>21</v>
      </c>
      <c r="B465" s="4" t="s">
        <v>39</v>
      </c>
      <c r="C465" s="4" t="s">
        <v>41</v>
      </c>
      <c r="D465" s="4" t="s">
        <v>38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44531</v>
      </c>
      <c r="J465" s="6">
        <v>0</v>
      </c>
      <c r="K465" s="6">
        <v>0</v>
      </c>
      <c r="L465" s="6">
        <v>952.65</v>
      </c>
      <c r="M465" s="6">
        <v>952.65</v>
      </c>
      <c r="N465" s="6">
        <v>0</v>
      </c>
      <c r="O465" s="6">
        <v>0</v>
      </c>
      <c r="P465" s="6">
        <v>0</v>
      </c>
      <c r="Q465" s="4" t="s">
        <v>57</v>
      </c>
      <c r="R465" s="4">
        <v>0</v>
      </c>
      <c r="S465" s="4" t="s">
        <v>252</v>
      </c>
      <c r="U465" s="4">
        <v>0</v>
      </c>
      <c r="V465" s="4">
        <v>25</v>
      </c>
      <c r="W465" s="4">
        <v>0</v>
      </c>
    </row>
    <row r="466" spans="1:23" ht="11.25" customHeight="1" x14ac:dyDescent="0.25">
      <c r="A466" s="4" t="s">
        <v>55</v>
      </c>
      <c r="B466" s="4" t="s">
        <v>39</v>
      </c>
      <c r="C466" s="4" t="s">
        <v>41</v>
      </c>
      <c r="D466" s="4" t="s">
        <v>38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44562</v>
      </c>
      <c r="J466" s="6">
        <v>0</v>
      </c>
      <c r="K466" s="6">
        <v>0</v>
      </c>
      <c r="L466" s="6">
        <v>3011.28</v>
      </c>
      <c r="M466" s="6">
        <v>3011.28</v>
      </c>
      <c r="N466" s="6">
        <v>3011.28</v>
      </c>
      <c r="O466" s="6">
        <v>3011.28</v>
      </c>
      <c r="P466" s="6">
        <v>0</v>
      </c>
      <c r="Q466" s="4" t="s">
        <v>26</v>
      </c>
      <c r="R466" s="4">
        <v>0</v>
      </c>
      <c r="S466" s="4" t="s">
        <v>253</v>
      </c>
      <c r="T466" s="4" t="s">
        <v>494</v>
      </c>
      <c r="U466" s="4">
        <v>0</v>
      </c>
      <c r="V466" s="4">
        <v>25</v>
      </c>
      <c r="W466" s="4">
        <v>68</v>
      </c>
    </row>
    <row r="467" spans="1:23" ht="11.25" customHeight="1" x14ac:dyDescent="0.25">
      <c r="A467" s="4" t="s">
        <v>55</v>
      </c>
      <c r="B467" s="4" t="s">
        <v>39</v>
      </c>
      <c r="C467" s="4" t="s">
        <v>41</v>
      </c>
      <c r="D467" s="4" t="s">
        <v>38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44562</v>
      </c>
      <c r="J467" s="6">
        <v>0</v>
      </c>
      <c r="K467" s="6">
        <v>0</v>
      </c>
      <c r="L467" s="6">
        <v>121.90600000000001</v>
      </c>
      <c r="M467" s="6">
        <v>121.90600000000001</v>
      </c>
      <c r="N467" s="6">
        <v>121.90600000000001</v>
      </c>
      <c r="O467" s="6">
        <v>121.90600000000001</v>
      </c>
      <c r="P467" s="6">
        <v>0</v>
      </c>
      <c r="Q467" s="4" t="s">
        <v>26</v>
      </c>
      <c r="R467" s="4">
        <v>0</v>
      </c>
      <c r="S467" s="4" t="s">
        <v>253</v>
      </c>
      <c r="T467" s="4" t="s">
        <v>494</v>
      </c>
      <c r="U467" s="4">
        <v>0</v>
      </c>
      <c r="V467" s="4">
        <v>25</v>
      </c>
      <c r="W467" s="4">
        <v>68</v>
      </c>
    </row>
    <row r="468" spans="1:23" ht="11.25" customHeight="1" x14ac:dyDescent="0.25">
      <c r="A468" s="4" t="s">
        <v>55</v>
      </c>
      <c r="B468" s="4" t="s">
        <v>39</v>
      </c>
      <c r="C468" s="4" t="s">
        <v>41</v>
      </c>
      <c r="D468" s="4" t="s">
        <v>38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44562</v>
      </c>
      <c r="J468" s="6">
        <v>0</v>
      </c>
      <c r="K468" s="6">
        <v>0</v>
      </c>
      <c r="L468" s="6">
        <v>952.65</v>
      </c>
      <c r="M468" s="6">
        <v>952.65</v>
      </c>
      <c r="N468" s="6">
        <v>0</v>
      </c>
      <c r="O468" s="6">
        <v>0</v>
      </c>
      <c r="P468" s="6">
        <v>0</v>
      </c>
      <c r="Q468" s="4" t="s">
        <v>57</v>
      </c>
      <c r="R468" s="4">
        <v>0</v>
      </c>
      <c r="S468" s="4" t="s">
        <v>253</v>
      </c>
      <c r="U468" s="4">
        <v>0</v>
      </c>
      <c r="V468" s="4">
        <v>25</v>
      </c>
      <c r="W468" s="4">
        <v>0</v>
      </c>
    </row>
    <row r="469" spans="1:23" ht="11.25" customHeight="1" x14ac:dyDescent="0.25">
      <c r="A469" s="4" t="s">
        <v>21</v>
      </c>
      <c r="B469" s="4" t="s">
        <v>39</v>
      </c>
      <c r="C469" s="4" t="s">
        <v>41</v>
      </c>
      <c r="D469" s="4" t="s">
        <v>38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44228</v>
      </c>
      <c r="J469" s="6">
        <v>18649</v>
      </c>
      <c r="K469" s="6">
        <v>18649</v>
      </c>
      <c r="L469" s="6">
        <v>0</v>
      </c>
      <c r="M469" s="6">
        <v>0</v>
      </c>
      <c r="N469" s="6">
        <v>0</v>
      </c>
      <c r="O469" s="6">
        <v>0</v>
      </c>
      <c r="P469" s="6">
        <v>103</v>
      </c>
      <c r="Q469" s="4" t="s">
        <v>26</v>
      </c>
      <c r="R469" s="4">
        <v>0</v>
      </c>
      <c r="S469" s="4" t="s">
        <v>254</v>
      </c>
      <c r="U469" s="4">
        <v>23</v>
      </c>
      <c r="V469" s="4">
        <v>0</v>
      </c>
      <c r="W469" s="4">
        <v>0</v>
      </c>
    </row>
    <row r="470" spans="1:23" ht="11.25" customHeight="1" x14ac:dyDescent="0.25">
      <c r="A470" s="4" t="s">
        <v>28</v>
      </c>
      <c r="B470" s="4" t="s">
        <v>39</v>
      </c>
      <c r="C470" s="4" t="s">
        <v>41</v>
      </c>
      <c r="D470" s="4" t="s">
        <v>38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44228</v>
      </c>
      <c r="J470" s="6">
        <v>1371</v>
      </c>
      <c r="K470" s="6">
        <v>1371</v>
      </c>
      <c r="L470" s="6">
        <v>0</v>
      </c>
      <c r="M470" s="6">
        <v>0</v>
      </c>
      <c r="N470" s="6">
        <v>0</v>
      </c>
      <c r="O470" s="6">
        <v>0</v>
      </c>
      <c r="P470" s="6">
        <v>8</v>
      </c>
      <c r="Q470" s="4" t="s">
        <v>26</v>
      </c>
      <c r="R470" s="4">
        <v>0</v>
      </c>
      <c r="S470" s="4" t="s">
        <v>254</v>
      </c>
      <c r="U470" s="4">
        <v>23</v>
      </c>
      <c r="V470" s="4">
        <v>0</v>
      </c>
      <c r="W470" s="4">
        <v>0</v>
      </c>
    </row>
    <row r="471" spans="1:23" ht="11.25" customHeight="1" x14ac:dyDescent="0.25">
      <c r="A471" s="4" t="s">
        <v>21</v>
      </c>
      <c r="B471" s="4" t="s">
        <v>39</v>
      </c>
      <c r="C471" s="4" t="s">
        <v>41</v>
      </c>
      <c r="D471" s="4" t="s">
        <v>38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44228</v>
      </c>
      <c r="J471" s="6">
        <v>2500</v>
      </c>
      <c r="K471" s="6">
        <v>2500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57</v>
      </c>
      <c r="R471" s="4">
        <v>0</v>
      </c>
      <c r="S471" s="4" t="s">
        <v>254</v>
      </c>
      <c r="U471" s="4">
        <v>23</v>
      </c>
      <c r="V471" s="4">
        <v>0</v>
      </c>
      <c r="W471" s="4">
        <v>0</v>
      </c>
    </row>
    <row r="472" spans="1:23" ht="11.25" customHeight="1" x14ac:dyDescent="0.25">
      <c r="A472" s="4" t="s">
        <v>21</v>
      </c>
      <c r="B472" s="4" t="s">
        <v>39</v>
      </c>
      <c r="C472" s="4" t="s">
        <v>41</v>
      </c>
      <c r="D472" s="4" t="s">
        <v>38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44256</v>
      </c>
      <c r="J472" s="6">
        <v>18209</v>
      </c>
      <c r="K472" s="6">
        <v>18209</v>
      </c>
      <c r="L472" s="6">
        <v>0</v>
      </c>
      <c r="M472" s="6">
        <v>0</v>
      </c>
      <c r="N472" s="6">
        <v>0</v>
      </c>
      <c r="O472" s="6">
        <v>0</v>
      </c>
      <c r="P472" s="6">
        <v>101</v>
      </c>
      <c r="Q472" s="4" t="s">
        <v>26</v>
      </c>
      <c r="R472" s="4">
        <v>0</v>
      </c>
      <c r="S472" s="4" t="s">
        <v>255</v>
      </c>
      <c r="U472" s="4">
        <v>23</v>
      </c>
      <c r="V472" s="4">
        <v>0</v>
      </c>
      <c r="W472" s="4">
        <v>0</v>
      </c>
    </row>
    <row r="473" spans="1:23" ht="11.25" customHeight="1" x14ac:dyDescent="0.25">
      <c r="A473" s="4" t="s">
        <v>28</v>
      </c>
      <c r="B473" s="4" t="s">
        <v>39</v>
      </c>
      <c r="C473" s="4" t="s">
        <v>41</v>
      </c>
      <c r="D473" s="4" t="s">
        <v>38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44256</v>
      </c>
      <c r="J473" s="6">
        <v>1574</v>
      </c>
      <c r="K473" s="6">
        <v>1574</v>
      </c>
      <c r="L473" s="6">
        <v>0</v>
      </c>
      <c r="M473" s="6">
        <v>0</v>
      </c>
      <c r="N473" s="6">
        <v>0</v>
      </c>
      <c r="O473" s="6">
        <v>0</v>
      </c>
      <c r="P473" s="6">
        <v>9</v>
      </c>
      <c r="Q473" s="4" t="s">
        <v>26</v>
      </c>
      <c r="R473" s="4">
        <v>0</v>
      </c>
      <c r="S473" s="4" t="s">
        <v>255</v>
      </c>
      <c r="U473" s="4">
        <v>23</v>
      </c>
      <c r="V473" s="4">
        <v>0</v>
      </c>
      <c r="W473" s="4">
        <v>0</v>
      </c>
    </row>
    <row r="474" spans="1:23" ht="11.25" customHeight="1" x14ac:dyDescent="0.25">
      <c r="A474" s="4" t="s">
        <v>21</v>
      </c>
      <c r="B474" s="4" t="s">
        <v>39</v>
      </c>
      <c r="C474" s="4" t="s">
        <v>41</v>
      </c>
      <c r="D474" s="4" t="s">
        <v>38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44256</v>
      </c>
      <c r="J474" s="6">
        <v>2934</v>
      </c>
      <c r="K474" s="6">
        <v>2934</v>
      </c>
      <c r="L474" s="6">
        <v>0</v>
      </c>
      <c r="M474" s="6">
        <v>0</v>
      </c>
      <c r="N474" s="6">
        <v>0</v>
      </c>
      <c r="O474" s="6">
        <v>0</v>
      </c>
      <c r="P474" s="6">
        <v>2</v>
      </c>
      <c r="Q474" s="4" t="s">
        <v>57</v>
      </c>
      <c r="R474" s="4">
        <v>0</v>
      </c>
      <c r="S474" s="4" t="s">
        <v>255</v>
      </c>
      <c r="U474" s="4">
        <v>23</v>
      </c>
      <c r="V474" s="4">
        <v>0</v>
      </c>
      <c r="W474" s="4">
        <v>0</v>
      </c>
    </row>
    <row r="475" spans="1:23" ht="11.25" customHeight="1" x14ac:dyDescent="0.25">
      <c r="A475" s="4" t="s">
        <v>21</v>
      </c>
      <c r="B475" s="4" t="s">
        <v>39</v>
      </c>
      <c r="C475" s="4" t="s">
        <v>41</v>
      </c>
      <c r="D475" s="4" t="s">
        <v>38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44287</v>
      </c>
      <c r="J475" s="6">
        <v>18113</v>
      </c>
      <c r="K475" s="6">
        <v>18113</v>
      </c>
      <c r="L475" s="6">
        <v>0</v>
      </c>
      <c r="M475" s="6">
        <v>0</v>
      </c>
      <c r="N475" s="6">
        <v>0</v>
      </c>
      <c r="O475" s="6">
        <v>0</v>
      </c>
      <c r="P475" s="6">
        <v>106</v>
      </c>
      <c r="Q475" s="4" t="s">
        <v>26</v>
      </c>
      <c r="R475" s="4">
        <v>0</v>
      </c>
      <c r="S475" s="4" t="s">
        <v>256</v>
      </c>
      <c r="U475" s="4">
        <v>23</v>
      </c>
      <c r="V475" s="4">
        <v>0</v>
      </c>
      <c r="W475" s="4">
        <v>0</v>
      </c>
    </row>
    <row r="476" spans="1:23" ht="11.25" customHeight="1" x14ac:dyDescent="0.25">
      <c r="A476" s="4" t="s">
        <v>28</v>
      </c>
      <c r="B476" s="4" t="s">
        <v>39</v>
      </c>
      <c r="C476" s="4" t="s">
        <v>41</v>
      </c>
      <c r="D476" s="4" t="s">
        <v>38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44287</v>
      </c>
      <c r="J476" s="6">
        <v>1551</v>
      </c>
      <c r="K476" s="6">
        <v>1551</v>
      </c>
      <c r="L476" s="6">
        <v>0</v>
      </c>
      <c r="M476" s="6">
        <v>0</v>
      </c>
      <c r="N476" s="6">
        <v>0</v>
      </c>
      <c r="O476" s="6">
        <v>0</v>
      </c>
      <c r="P476" s="6">
        <v>9</v>
      </c>
      <c r="Q476" s="4" t="s">
        <v>26</v>
      </c>
      <c r="R476" s="4">
        <v>0</v>
      </c>
      <c r="S476" s="4" t="s">
        <v>256</v>
      </c>
      <c r="U476" s="4">
        <v>23</v>
      </c>
      <c r="V476" s="4">
        <v>0</v>
      </c>
      <c r="W476" s="4">
        <v>0</v>
      </c>
    </row>
    <row r="477" spans="1:23" ht="11.25" customHeight="1" x14ac:dyDescent="0.25">
      <c r="A477" s="4" t="s">
        <v>21</v>
      </c>
      <c r="B477" s="4" t="s">
        <v>39</v>
      </c>
      <c r="C477" s="4" t="s">
        <v>41</v>
      </c>
      <c r="D477" s="4" t="s">
        <v>38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44287</v>
      </c>
      <c r="J477" s="6">
        <v>2934</v>
      </c>
      <c r="K477" s="6">
        <v>2934</v>
      </c>
      <c r="L477" s="6">
        <v>0</v>
      </c>
      <c r="M477" s="6">
        <v>0</v>
      </c>
      <c r="N477" s="6">
        <v>0</v>
      </c>
      <c r="O477" s="6">
        <v>0</v>
      </c>
      <c r="P477" s="6">
        <v>2</v>
      </c>
      <c r="Q477" s="4" t="s">
        <v>57</v>
      </c>
      <c r="R477" s="4">
        <v>0</v>
      </c>
      <c r="S477" s="4" t="s">
        <v>256</v>
      </c>
      <c r="U477" s="4">
        <v>23</v>
      </c>
      <c r="V477" s="4">
        <v>0</v>
      </c>
      <c r="W477" s="4">
        <v>0</v>
      </c>
    </row>
    <row r="478" spans="1:23" ht="11.25" customHeight="1" x14ac:dyDescent="0.25">
      <c r="A478" s="4" t="s">
        <v>21</v>
      </c>
      <c r="B478" s="4" t="s">
        <v>39</v>
      </c>
      <c r="C478" s="4" t="s">
        <v>41</v>
      </c>
      <c r="D478" s="4" t="s">
        <v>38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44317</v>
      </c>
      <c r="J478" s="6">
        <v>17669</v>
      </c>
      <c r="K478" s="6">
        <v>17669</v>
      </c>
      <c r="L478" s="6">
        <v>0</v>
      </c>
      <c r="M478" s="6">
        <v>0</v>
      </c>
      <c r="N478" s="6">
        <v>0</v>
      </c>
      <c r="O478" s="6">
        <v>0</v>
      </c>
      <c r="P478" s="6">
        <v>102</v>
      </c>
      <c r="Q478" s="4" t="s">
        <v>26</v>
      </c>
      <c r="R478" s="4">
        <v>0</v>
      </c>
      <c r="S478" s="4" t="s">
        <v>257</v>
      </c>
      <c r="U478" s="4">
        <v>23</v>
      </c>
      <c r="V478" s="4">
        <v>0</v>
      </c>
      <c r="W478" s="4">
        <v>0</v>
      </c>
    </row>
    <row r="479" spans="1:23" ht="11.25" customHeight="1" x14ac:dyDescent="0.25">
      <c r="A479" s="4" t="s">
        <v>28</v>
      </c>
      <c r="B479" s="4" t="s">
        <v>39</v>
      </c>
      <c r="C479" s="4" t="s">
        <v>41</v>
      </c>
      <c r="D479" s="4" t="s">
        <v>38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44317</v>
      </c>
      <c r="J479" s="6">
        <v>1563</v>
      </c>
      <c r="K479" s="6">
        <v>1563</v>
      </c>
      <c r="L479" s="6">
        <v>0</v>
      </c>
      <c r="M479" s="6">
        <v>0</v>
      </c>
      <c r="N479" s="6">
        <v>0</v>
      </c>
      <c r="O479" s="6">
        <v>0</v>
      </c>
      <c r="P479" s="6">
        <v>9</v>
      </c>
      <c r="Q479" s="4" t="s">
        <v>26</v>
      </c>
      <c r="R479" s="4">
        <v>0</v>
      </c>
      <c r="S479" s="4" t="s">
        <v>257</v>
      </c>
      <c r="U479" s="4">
        <v>23</v>
      </c>
      <c r="V479" s="4">
        <v>0</v>
      </c>
      <c r="W479" s="4">
        <v>0</v>
      </c>
    </row>
    <row r="480" spans="1:23" ht="11.25" customHeight="1" x14ac:dyDescent="0.25">
      <c r="A480" s="4" t="s">
        <v>21</v>
      </c>
      <c r="B480" s="4" t="s">
        <v>39</v>
      </c>
      <c r="C480" s="4" t="s">
        <v>41</v>
      </c>
      <c r="D480" s="4" t="s">
        <v>38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44317</v>
      </c>
      <c r="J480" s="6">
        <v>2500</v>
      </c>
      <c r="K480" s="6">
        <v>2500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57</v>
      </c>
      <c r="R480" s="4">
        <v>0</v>
      </c>
      <c r="S480" s="4" t="s">
        <v>257</v>
      </c>
      <c r="U480" s="4">
        <v>23</v>
      </c>
      <c r="V480" s="4">
        <v>0</v>
      </c>
      <c r="W480" s="4">
        <v>0</v>
      </c>
    </row>
    <row r="481" spans="1:23" ht="11.25" customHeight="1" x14ac:dyDescent="0.25">
      <c r="A481" s="4" t="s">
        <v>21</v>
      </c>
      <c r="B481" s="4" t="s">
        <v>39</v>
      </c>
      <c r="C481" s="4" t="s">
        <v>41</v>
      </c>
      <c r="D481" s="4" t="s">
        <v>38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44348</v>
      </c>
      <c r="J481" s="6">
        <v>17822</v>
      </c>
      <c r="K481" s="6">
        <v>17822</v>
      </c>
      <c r="L481" s="6">
        <v>0</v>
      </c>
      <c r="M481" s="6">
        <v>0</v>
      </c>
      <c r="N481" s="6">
        <v>0</v>
      </c>
      <c r="O481" s="6">
        <v>0</v>
      </c>
      <c r="P481" s="6">
        <v>101</v>
      </c>
      <c r="Q481" s="4" t="s">
        <v>26</v>
      </c>
      <c r="R481" s="4">
        <v>0</v>
      </c>
      <c r="S481" s="4" t="s">
        <v>258</v>
      </c>
      <c r="U481" s="4">
        <v>23</v>
      </c>
      <c r="V481" s="4">
        <v>0</v>
      </c>
      <c r="W481" s="4">
        <v>0</v>
      </c>
    </row>
    <row r="482" spans="1:23" ht="11.25" customHeight="1" x14ac:dyDescent="0.25">
      <c r="A482" s="4" t="s">
        <v>28</v>
      </c>
      <c r="B482" s="4" t="s">
        <v>39</v>
      </c>
      <c r="C482" s="4" t="s">
        <v>41</v>
      </c>
      <c r="D482" s="4" t="s">
        <v>38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44348</v>
      </c>
      <c r="J482" s="6">
        <v>1552</v>
      </c>
      <c r="K482" s="6">
        <v>1552</v>
      </c>
      <c r="L482" s="6">
        <v>0</v>
      </c>
      <c r="M482" s="6">
        <v>0</v>
      </c>
      <c r="N482" s="6">
        <v>0</v>
      </c>
      <c r="O482" s="6">
        <v>0</v>
      </c>
      <c r="P482" s="6">
        <v>9</v>
      </c>
      <c r="Q482" s="4" t="s">
        <v>26</v>
      </c>
      <c r="R482" s="4">
        <v>0</v>
      </c>
      <c r="S482" s="4" t="s">
        <v>258</v>
      </c>
      <c r="U482" s="4">
        <v>23</v>
      </c>
      <c r="V482" s="4">
        <v>0</v>
      </c>
      <c r="W482" s="4">
        <v>0</v>
      </c>
    </row>
    <row r="483" spans="1:23" ht="11.25" customHeight="1" x14ac:dyDescent="0.25">
      <c r="A483" s="4" t="s">
        <v>21</v>
      </c>
      <c r="B483" s="4" t="s">
        <v>39</v>
      </c>
      <c r="C483" s="4" t="s">
        <v>41</v>
      </c>
      <c r="D483" s="4" t="s">
        <v>38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44348</v>
      </c>
      <c r="J483" s="6">
        <v>2500</v>
      </c>
      <c r="K483" s="6">
        <v>2500</v>
      </c>
      <c r="L483" s="6">
        <v>0</v>
      </c>
      <c r="M483" s="6">
        <v>0</v>
      </c>
      <c r="N483" s="6">
        <v>0</v>
      </c>
      <c r="O483" s="6">
        <v>0</v>
      </c>
      <c r="P483" s="6">
        <v>1</v>
      </c>
      <c r="Q483" s="4" t="s">
        <v>57</v>
      </c>
      <c r="R483" s="4">
        <v>0</v>
      </c>
      <c r="S483" s="4" t="s">
        <v>258</v>
      </c>
      <c r="U483" s="4">
        <v>23</v>
      </c>
      <c r="V483" s="4">
        <v>0</v>
      </c>
      <c r="W483" s="4">
        <v>0</v>
      </c>
    </row>
    <row r="484" spans="1:23" ht="11.25" customHeight="1" x14ac:dyDescent="0.25">
      <c r="A484" s="4" t="s">
        <v>21</v>
      </c>
      <c r="B484" s="4" t="s">
        <v>39</v>
      </c>
      <c r="C484" s="4" t="s">
        <v>41</v>
      </c>
      <c r="D484" s="4" t="s">
        <v>38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44378</v>
      </c>
      <c r="J484" s="6">
        <v>17769</v>
      </c>
      <c r="K484" s="6">
        <v>17769</v>
      </c>
      <c r="L484" s="6">
        <v>0</v>
      </c>
      <c r="M484" s="6">
        <v>0</v>
      </c>
      <c r="N484" s="6">
        <v>0</v>
      </c>
      <c r="O484" s="6">
        <v>0</v>
      </c>
      <c r="P484" s="6">
        <v>103</v>
      </c>
      <c r="Q484" s="4" t="s">
        <v>26</v>
      </c>
      <c r="R484" s="4">
        <v>0</v>
      </c>
      <c r="S484" s="4" t="s">
        <v>259</v>
      </c>
      <c r="U484" s="4">
        <v>23</v>
      </c>
      <c r="V484" s="4">
        <v>0</v>
      </c>
      <c r="W484" s="4">
        <v>0</v>
      </c>
    </row>
    <row r="485" spans="1:23" ht="11.25" customHeight="1" x14ac:dyDescent="0.25">
      <c r="A485" s="4" t="s">
        <v>28</v>
      </c>
      <c r="B485" s="4" t="s">
        <v>39</v>
      </c>
      <c r="C485" s="4" t="s">
        <v>41</v>
      </c>
      <c r="D485" s="4" t="s">
        <v>38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44378</v>
      </c>
      <c r="J485" s="6">
        <v>1787</v>
      </c>
      <c r="K485" s="6">
        <v>1787</v>
      </c>
      <c r="L485" s="6">
        <v>0</v>
      </c>
      <c r="M485" s="6">
        <v>0</v>
      </c>
      <c r="N485" s="6">
        <v>0</v>
      </c>
      <c r="O485" s="6">
        <v>0</v>
      </c>
      <c r="P485" s="6">
        <v>10</v>
      </c>
      <c r="Q485" s="4" t="s">
        <v>26</v>
      </c>
      <c r="R485" s="4">
        <v>0</v>
      </c>
      <c r="S485" s="4" t="s">
        <v>259</v>
      </c>
      <c r="U485" s="4">
        <v>23</v>
      </c>
      <c r="V485" s="4">
        <v>0</v>
      </c>
      <c r="W485" s="4">
        <v>0</v>
      </c>
    </row>
    <row r="486" spans="1:23" ht="11.25" customHeight="1" x14ac:dyDescent="0.25">
      <c r="A486" s="4" t="s">
        <v>21</v>
      </c>
      <c r="B486" s="4" t="s">
        <v>39</v>
      </c>
      <c r="C486" s="4" t="s">
        <v>41</v>
      </c>
      <c r="D486" s="4" t="s">
        <v>38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44378</v>
      </c>
      <c r="J486" s="6">
        <v>2550</v>
      </c>
      <c r="K486" s="6">
        <v>2550</v>
      </c>
      <c r="L486" s="6">
        <v>0</v>
      </c>
      <c r="M486" s="6">
        <v>0</v>
      </c>
      <c r="N486" s="6">
        <v>0</v>
      </c>
      <c r="O486" s="6">
        <v>0</v>
      </c>
      <c r="P486" s="6">
        <v>2</v>
      </c>
      <c r="Q486" s="4" t="s">
        <v>57</v>
      </c>
      <c r="R486" s="4">
        <v>0</v>
      </c>
      <c r="S486" s="4" t="s">
        <v>259</v>
      </c>
      <c r="U486" s="4">
        <v>23</v>
      </c>
      <c r="V486" s="4">
        <v>0</v>
      </c>
      <c r="W486" s="4">
        <v>0</v>
      </c>
    </row>
    <row r="487" spans="1:23" ht="11.25" customHeight="1" x14ac:dyDescent="0.25">
      <c r="A487" s="4" t="s">
        <v>21</v>
      </c>
      <c r="B487" s="4" t="s">
        <v>39</v>
      </c>
      <c r="C487" s="4" t="s">
        <v>41</v>
      </c>
      <c r="D487" s="4" t="s">
        <v>38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44409</v>
      </c>
      <c r="J487" s="6">
        <v>17628</v>
      </c>
      <c r="K487" s="6">
        <v>17628</v>
      </c>
      <c r="L487" s="6">
        <v>0</v>
      </c>
      <c r="M487" s="6">
        <v>0</v>
      </c>
      <c r="N487" s="6">
        <v>0</v>
      </c>
      <c r="O487" s="6">
        <v>0</v>
      </c>
      <c r="P487" s="6">
        <v>101</v>
      </c>
      <c r="Q487" s="4" t="s">
        <v>26</v>
      </c>
      <c r="R487" s="4">
        <v>0</v>
      </c>
      <c r="S487" s="4" t="s">
        <v>260</v>
      </c>
      <c r="U487" s="4">
        <v>23</v>
      </c>
      <c r="V487" s="4">
        <v>0</v>
      </c>
      <c r="W487" s="4">
        <v>0</v>
      </c>
    </row>
    <row r="488" spans="1:23" ht="11.25" customHeight="1" x14ac:dyDescent="0.25">
      <c r="A488" s="4" t="s">
        <v>28</v>
      </c>
      <c r="B488" s="4" t="s">
        <v>39</v>
      </c>
      <c r="C488" s="4" t="s">
        <v>41</v>
      </c>
      <c r="D488" s="4" t="s">
        <v>38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44409</v>
      </c>
      <c r="J488" s="6">
        <v>2001</v>
      </c>
      <c r="K488" s="6">
        <v>2001</v>
      </c>
      <c r="L488" s="6">
        <v>0</v>
      </c>
      <c r="M488" s="6">
        <v>0</v>
      </c>
      <c r="N488" s="6">
        <v>0</v>
      </c>
      <c r="O488" s="6">
        <v>0</v>
      </c>
      <c r="P488" s="6">
        <v>11</v>
      </c>
      <c r="Q488" s="4" t="s">
        <v>26</v>
      </c>
      <c r="R488" s="4">
        <v>0</v>
      </c>
      <c r="S488" s="4" t="s">
        <v>260</v>
      </c>
      <c r="U488" s="4">
        <v>23</v>
      </c>
      <c r="V488" s="4">
        <v>0</v>
      </c>
      <c r="W488" s="4">
        <v>0</v>
      </c>
    </row>
    <row r="489" spans="1:23" ht="11.25" customHeight="1" x14ac:dyDescent="0.25">
      <c r="A489" s="4" t="s">
        <v>21</v>
      </c>
      <c r="B489" s="4" t="s">
        <v>39</v>
      </c>
      <c r="C489" s="4" t="s">
        <v>41</v>
      </c>
      <c r="D489" s="4" t="s">
        <v>38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44409</v>
      </c>
      <c r="J489" s="6">
        <v>2550</v>
      </c>
      <c r="K489" s="6">
        <v>2550</v>
      </c>
      <c r="L489" s="6">
        <v>0</v>
      </c>
      <c r="M489" s="6">
        <v>0</v>
      </c>
      <c r="N489" s="6">
        <v>0</v>
      </c>
      <c r="O489" s="6">
        <v>0</v>
      </c>
      <c r="P489" s="6">
        <v>2</v>
      </c>
      <c r="Q489" s="4" t="s">
        <v>57</v>
      </c>
      <c r="R489" s="4">
        <v>0</v>
      </c>
      <c r="S489" s="4" t="s">
        <v>260</v>
      </c>
      <c r="U489" s="4">
        <v>23</v>
      </c>
      <c r="V489" s="4">
        <v>0</v>
      </c>
      <c r="W489" s="4">
        <v>0</v>
      </c>
    </row>
    <row r="490" spans="1:23" ht="11.25" customHeight="1" x14ac:dyDescent="0.25">
      <c r="A490" s="4" t="s">
        <v>21</v>
      </c>
      <c r="B490" s="4" t="s">
        <v>39</v>
      </c>
      <c r="C490" s="4" t="s">
        <v>41</v>
      </c>
      <c r="D490" s="4" t="s">
        <v>38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44440</v>
      </c>
      <c r="J490" s="6">
        <v>17540</v>
      </c>
      <c r="K490" s="6">
        <v>17540</v>
      </c>
      <c r="L490" s="6">
        <v>0</v>
      </c>
      <c r="M490" s="6">
        <v>0</v>
      </c>
      <c r="N490" s="6">
        <v>0</v>
      </c>
      <c r="O490" s="6">
        <v>0</v>
      </c>
      <c r="P490" s="6">
        <v>100</v>
      </c>
      <c r="Q490" s="4" t="s">
        <v>26</v>
      </c>
      <c r="R490" s="4">
        <v>0</v>
      </c>
      <c r="S490" s="4" t="s">
        <v>261</v>
      </c>
      <c r="U490" s="4">
        <v>23</v>
      </c>
      <c r="V490" s="4">
        <v>0</v>
      </c>
      <c r="W490" s="4">
        <v>0</v>
      </c>
    </row>
    <row r="491" spans="1:23" ht="11.25" customHeight="1" x14ac:dyDescent="0.25">
      <c r="A491" s="4" t="s">
        <v>28</v>
      </c>
      <c r="B491" s="4" t="s">
        <v>39</v>
      </c>
      <c r="C491" s="4" t="s">
        <v>41</v>
      </c>
      <c r="D491" s="4" t="s">
        <v>38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44440</v>
      </c>
      <c r="J491" s="6">
        <v>1980</v>
      </c>
      <c r="K491" s="6">
        <v>1980</v>
      </c>
      <c r="L491" s="6">
        <v>0</v>
      </c>
      <c r="M491" s="6">
        <v>0</v>
      </c>
      <c r="N491" s="6">
        <v>0</v>
      </c>
      <c r="O491" s="6">
        <v>0</v>
      </c>
      <c r="P491" s="6">
        <v>11</v>
      </c>
      <c r="Q491" s="4" t="s">
        <v>26</v>
      </c>
      <c r="R491" s="4">
        <v>0</v>
      </c>
      <c r="S491" s="4" t="s">
        <v>261</v>
      </c>
      <c r="U491" s="4">
        <v>23</v>
      </c>
      <c r="V491" s="4">
        <v>0</v>
      </c>
      <c r="W491" s="4">
        <v>0</v>
      </c>
    </row>
    <row r="492" spans="1:23" ht="11.25" customHeight="1" x14ac:dyDescent="0.25">
      <c r="A492" s="4" t="s">
        <v>21</v>
      </c>
      <c r="B492" s="4" t="s">
        <v>39</v>
      </c>
      <c r="C492" s="4" t="s">
        <v>41</v>
      </c>
      <c r="D492" s="4" t="s">
        <v>38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44440</v>
      </c>
      <c r="J492" s="6">
        <v>2550</v>
      </c>
      <c r="K492" s="6">
        <v>2550</v>
      </c>
      <c r="L492" s="6">
        <v>0</v>
      </c>
      <c r="M492" s="6">
        <v>0</v>
      </c>
      <c r="N492" s="6">
        <v>0</v>
      </c>
      <c r="O492" s="6">
        <v>0</v>
      </c>
      <c r="P492" s="6">
        <v>2</v>
      </c>
      <c r="Q492" s="4" t="s">
        <v>57</v>
      </c>
      <c r="R492" s="4">
        <v>0</v>
      </c>
      <c r="S492" s="4" t="s">
        <v>261</v>
      </c>
      <c r="U492" s="4">
        <v>23</v>
      </c>
      <c r="V492" s="4">
        <v>0</v>
      </c>
      <c r="W492" s="4">
        <v>0</v>
      </c>
    </row>
    <row r="493" spans="1:23" ht="11.25" customHeight="1" x14ac:dyDescent="0.25">
      <c r="A493" s="4" t="s">
        <v>21</v>
      </c>
      <c r="B493" s="4" t="s">
        <v>39</v>
      </c>
      <c r="C493" s="4" t="s">
        <v>41</v>
      </c>
      <c r="D493" s="4" t="s">
        <v>38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44470</v>
      </c>
      <c r="J493" s="6">
        <v>17330</v>
      </c>
      <c r="K493" s="6">
        <v>17330</v>
      </c>
      <c r="L493" s="6">
        <v>0</v>
      </c>
      <c r="M493" s="6">
        <v>0</v>
      </c>
      <c r="N493" s="6">
        <v>0</v>
      </c>
      <c r="O493" s="6">
        <v>0</v>
      </c>
      <c r="P493" s="6">
        <v>101</v>
      </c>
      <c r="Q493" s="4" t="s">
        <v>26</v>
      </c>
      <c r="R493" s="4">
        <v>0</v>
      </c>
      <c r="S493" s="4" t="s">
        <v>262</v>
      </c>
      <c r="U493" s="4">
        <v>23</v>
      </c>
      <c r="V493" s="4">
        <v>0</v>
      </c>
      <c r="W493" s="4">
        <v>0</v>
      </c>
    </row>
    <row r="494" spans="1:23" ht="11.25" customHeight="1" x14ac:dyDescent="0.25">
      <c r="A494" s="4" t="s">
        <v>28</v>
      </c>
      <c r="B494" s="4" t="s">
        <v>39</v>
      </c>
      <c r="C494" s="4" t="s">
        <v>41</v>
      </c>
      <c r="D494" s="4" t="s">
        <v>38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44470</v>
      </c>
      <c r="J494" s="6">
        <v>2727</v>
      </c>
      <c r="K494" s="6">
        <v>2727</v>
      </c>
      <c r="L494" s="6">
        <v>0</v>
      </c>
      <c r="M494" s="6">
        <v>0</v>
      </c>
      <c r="N494" s="6">
        <v>0</v>
      </c>
      <c r="O494" s="6">
        <v>0</v>
      </c>
      <c r="P494" s="6">
        <v>12</v>
      </c>
      <c r="Q494" s="4" t="s">
        <v>26</v>
      </c>
      <c r="R494" s="4">
        <v>0</v>
      </c>
      <c r="S494" s="4" t="s">
        <v>262</v>
      </c>
      <c r="U494" s="4">
        <v>23</v>
      </c>
      <c r="V494" s="4">
        <v>0</v>
      </c>
      <c r="W494" s="4">
        <v>0</v>
      </c>
    </row>
    <row r="495" spans="1:23" ht="11.25" customHeight="1" x14ac:dyDescent="0.25">
      <c r="A495" s="4" t="s">
        <v>21</v>
      </c>
      <c r="B495" s="4" t="s">
        <v>39</v>
      </c>
      <c r="C495" s="4" t="s">
        <v>41</v>
      </c>
      <c r="D495" s="4" t="s">
        <v>38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44470</v>
      </c>
      <c r="J495" s="6">
        <v>2550</v>
      </c>
      <c r="K495" s="6">
        <v>2550</v>
      </c>
      <c r="L495" s="6">
        <v>0</v>
      </c>
      <c r="M495" s="6">
        <v>0</v>
      </c>
      <c r="N495" s="6">
        <v>0</v>
      </c>
      <c r="O495" s="6">
        <v>0</v>
      </c>
      <c r="P495" s="6">
        <v>2</v>
      </c>
      <c r="Q495" s="4" t="s">
        <v>57</v>
      </c>
      <c r="R495" s="4">
        <v>0</v>
      </c>
      <c r="S495" s="4" t="s">
        <v>262</v>
      </c>
      <c r="U495" s="4">
        <v>23</v>
      </c>
      <c r="V495" s="4">
        <v>0</v>
      </c>
      <c r="W495" s="4">
        <v>0</v>
      </c>
    </row>
    <row r="496" spans="1:23" ht="11.25" customHeight="1" x14ac:dyDescent="0.25">
      <c r="A496" s="4" t="s">
        <v>21</v>
      </c>
      <c r="B496" s="4" t="s">
        <v>39</v>
      </c>
      <c r="C496" s="4" t="s">
        <v>41</v>
      </c>
      <c r="D496" s="4" t="s">
        <v>38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44501</v>
      </c>
      <c r="J496" s="6">
        <v>17527</v>
      </c>
      <c r="K496" s="6">
        <v>17527</v>
      </c>
      <c r="L496" s="6">
        <v>0</v>
      </c>
      <c r="M496" s="6">
        <v>0</v>
      </c>
      <c r="N496" s="6">
        <v>0</v>
      </c>
      <c r="O496" s="6">
        <v>0</v>
      </c>
      <c r="P496" s="6">
        <v>101</v>
      </c>
      <c r="Q496" s="4" t="s">
        <v>26</v>
      </c>
      <c r="R496" s="4">
        <v>0</v>
      </c>
      <c r="S496" s="4" t="s">
        <v>263</v>
      </c>
      <c r="U496" s="4">
        <v>23</v>
      </c>
      <c r="V496" s="4">
        <v>0</v>
      </c>
      <c r="W496" s="4">
        <v>0</v>
      </c>
    </row>
    <row r="497" spans="1:23" ht="11.25" customHeight="1" x14ac:dyDescent="0.25">
      <c r="A497" s="4" t="s">
        <v>27</v>
      </c>
      <c r="B497" s="4" t="s">
        <v>39</v>
      </c>
      <c r="C497" s="4" t="s">
        <v>41</v>
      </c>
      <c r="D497" s="4" t="s">
        <v>38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44501</v>
      </c>
      <c r="J497" s="6">
        <v>59</v>
      </c>
      <c r="K497" s="6">
        <v>59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4" t="s">
        <v>26</v>
      </c>
      <c r="R497" s="4">
        <v>0</v>
      </c>
      <c r="S497" s="4" t="s">
        <v>263</v>
      </c>
      <c r="U497" s="4">
        <v>23</v>
      </c>
      <c r="V497" s="4">
        <v>0</v>
      </c>
      <c r="W497" s="4">
        <v>0</v>
      </c>
    </row>
    <row r="498" spans="1:23" ht="11.25" customHeight="1" x14ac:dyDescent="0.25">
      <c r="A498" s="4" t="s">
        <v>28</v>
      </c>
      <c r="B498" s="4" t="s">
        <v>39</v>
      </c>
      <c r="C498" s="4" t="s">
        <v>41</v>
      </c>
      <c r="D498" s="4" t="s">
        <v>38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44501</v>
      </c>
      <c r="J498" s="6">
        <v>2727</v>
      </c>
      <c r="K498" s="6">
        <v>2727</v>
      </c>
      <c r="L498" s="6">
        <v>0</v>
      </c>
      <c r="M498" s="6">
        <v>0</v>
      </c>
      <c r="N498" s="6">
        <v>0</v>
      </c>
      <c r="O498" s="6">
        <v>0</v>
      </c>
      <c r="P498" s="6">
        <v>12</v>
      </c>
      <c r="Q498" s="4" t="s">
        <v>26</v>
      </c>
      <c r="R498" s="4">
        <v>0</v>
      </c>
      <c r="S498" s="4" t="s">
        <v>263</v>
      </c>
      <c r="U498" s="4">
        <v>23</v>
      </c>
      <c r="V498" s="4">
        <v>0</v>
      </c>
      <c r="W498" s="4">
        <v>0</v>
      </c>
    </row>
    <row r="499" spans="1:23" ht="11.25" customHeight="1" x14ac:dyDescent="0.25">
      <c r="A499" s="4" t="s">
        <v>21</v>
      </c>
      <c r="B499" s="4" t="s">
        <v>39</v>
      </c>
      <c r="C499" s="4" t="s">
        <v>41</v>
      </c>
      <c r="D499" s="4" t="s">
        <v>38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44501</v>
      </c>
      <c r="J499" s="6">
        <v>2550</v>
      </c>
      <c r="K499" s="6">
        <v>2550</v>
      </c>
      <c r="L499" s="6">
        <v>0</v>
      </c>
      <c r="M499" s="6">
        <v>0</v>
      </c>
      <c r="N499" s="6">
        <v>0</v>
      </c>
      <c r="O499" s="6">
        <v>0</v>
      </c>
      <c r="P499" s="6">
        <v>2</v>
      </c>
      <c r="Q499" s="4" t="s">
        <v>57</v>
      </c>
      <c r="R499" s="4">
        <v>0</v>
      </c>
      <c r="S499" s="4" t="s">
        <v>263</v>
      </c>
      <c r="U499" s="4">
        <v>23</v>
      </c>
      <c r="V499" s="4">
        <v>0</v>
      </c>
      <c r="W499" s="4">
        <v>0</v>
      </c>
    </row>
    <row r="500" spans="1:23" ht="11.25" customHeight="1" x14ac:dyDescent="0.25">
      <c r="A500" s="4" t="s">
        <v>21</v>
      </c>
      <c r="B500" s="4" t="s">
        <v>39</v>
      </c>
      <c r="C500" s="4" t="s">
        <v>41</v>
      </c>
      <c r="D500" s="4" t="s">
        <v>38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44531</v>
      </c>
      <c r="J500" s="6">
        <v>17088</v>
      </c>
      <c r="K500" s="6">
        <v>17088</v>
      </c>
      <c r="L500" s="6">
        <v>0</v>
      </c>
      <c r="M500" s="6">
        <v>0</v>
      </c>
      <c r="N500" s="6">
        <v>0</v>
      </c>
      <c r="O500" s="6">
        <v>0</v>
      </c>
      <c r="P500" s="6">
        <v>102</v>
      </c>
      <c r="Q500" s="4" t="s">
        <v>26</v>
      </c>
      <c r="R500" s="4">
        <v>0</v>
      </c>
      <c r="S500" s="4" t="s">
        <v>264</v>
      </c>
      <c r="U500" s="4">
        <v>23</v>
      </c>
      <c r="V500" s="4">
        <v>0</v>
      </c>
      <c r="W500" s="4">
        <v>0</v>
      </c>
    </row>
    <row r="501" spans="1:23" ht="11.25" customHeight="1" x14ac:dyDescent="0.25">
      <c r="A501" s="4" t="s">
        <v>28</v>
      </c>
      <c r="B501" s="4" t="s">
        <v>39</v>
      </c>
      <c r="C501" s="4" t="s">
        <v>41</v>
      </c>
      <c r="D501" s="4" t="s">
        <v>38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44531</v>
      </c>
      <c r="J501" s="6">
        <v>2691</v>
      </c>
      <c r="K501" s="6">
        <v>2691</v>
      </c>
      <c r="L501" s="6">
        <v>0</v>
      </c>
      <c r="M501" s="6">
        <v>0</v>
      </c>
      <c r="N501" s="6">
        <v>0</v>
      </c>
      <c r="O501" s="6">
        <v>0</v>
      </c>
      <c r="P501" s="6">
        <v>12</v>
      </c>
      <c r="Q501" s="4" t="s">
        <v>26</v>
      </c>
      <c r="R501" s="4">
        <v>0</v>
      </c>
      <c r="S501" s="4" t="s">
        <v>264</v>
      </c>
      <c r="U501" s="4">
        <v>23</v>
      </c>
      <c r="V501" s="4">
        <v>0</v>
      </c>
      <c r="W501" s="4">
        <v>0</v>
      </c>
    </row>
    <row r="502" spans="1:23" ht="11.25" customHeight="1" x14ac:dyDescent="0.25">
      <c r="A502" s="4" t="s">
        <v>21</v>
      </c>
      <c r="B502" s="4" t="s">
        <v>39</v>
      </c>
      <c r="C502" s="4" t="s">
        <v>41</v>
      </c>
      <c r="D502" s="4" t="s">
        <v>38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44531</v>
      </c>
      <c r="J502" s="6">
        <v>2500</v>
      </c>
      <c r="K502" s="6">
        <v>2500</v>
      </c>
      <c r="L502" s="6">
        <v>0</v>
      </c>
      <c r="M502" s="6">
        <v>0</v>
      </c>
      <c r="N502" s="6">
        <v>0</v>
      </c>
      <c r="O502" s="6">
        <v>0</v>
      </c>
      <c r="P502" s="6">
        <v>1</v>
      </c>
      <c r="Q502" s="4" t="s">
        <v>57</v>
      </c>
      <c r="R502" s="4">
        <v>0</v>
      </c>
      <c r="S502" s="4" t="s">
        <v>264</v>
      </c>
      <c r="U502" s="4">
        <v>23</v>
      </c>
      <c r="V502" s="4">
        <v>0</v>
      </c>
      <c r="W502" s="4">
        <v>0</v>
      </c>
    </row>
    <row r="503" spans="1:23" ht="11.25" customHeight="1" x14ac:dyDescent="0.25">
      <c r="A503" s="4" t="s">
        <v>55</v>
      </c>
      <c r="B503" s="4" t="s">
        <v>39</v>
      </c>
      <c r="C503" s="4" t="s">
        <v>41</v>
      </c>
      <c r="D503" s="4" t="s">
        <v>38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44562</v>
      </c>
      <c r="J503" s="6">
        <v>17088</v>
      </c>
      <c r="K503" s="6">
        <v>17088</v>
      </c>
      <c r="L503" s="6">
        <v>0</v>
      </c>
      <c r="M503" s="6">
        <v>0</v>
      </c>
      <c r="N503" s="6">
        <v>0</v>
      </c>
      <c r="O503" s="6">
        <v>0</v>
      </c>
      <c r="P503" s="6">
        <v>102</v>
      </c>
      <c r="Q503" s="4" t="s">
        <v>26</v>
      </c>
      <c r="R503" s="4">
        <v>0</v>
      </c>
      <c r="S503" s="4" t="s">
        <v>265</v>
      </c>
      <c r="U503" s="4">
        <v>23</v>
      </c>
      <c r="V503" s="4">
        <v>0</v>
      </c>
      <c r="W503" s="4">
        <v>0</v>
      </c>
    </row>
    <row r="504" spans="1:23" ht="11.25" customHeight="1" x14ac:dyDescent="0.25">
      <c r="A504" s="4" t="s">
        <v>55</v>
      </c>
      <c r="B504" s="4" t="s">
        <v>39</v>
      </c>
      <c r="C504" s="4" t="s">
        <v>41</v>
      </c>
      <c r="D504" s="4" t="s">
        <v>38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44562</v>
      </c>
      <c r="J504" s="6">
        <v>2691</v>
      </c>
      <c r="K504" s="6">
        <v>2691</v>
      </c>
      <c r="L504" s="6">
        <v>0</v>
      </c>
      <c r="M504" s="6">
        <v>0</v>
      </c>
      <c r="N504" s="6">
        <v>0</v>
      </c>
      <c r="O504" s="6">
        <v>0</v>
      </c>
      <c r="P504" s="6">
        <v>12</v>
      </c>
      <c r="Q504" s="4" t="s">
        <v>26</v>
      </c>
      <c r="R504" s="4">
        <v>0</v>
      </c>
      <c r="S504" s="4" t="s">
        <v>265</v>
      </c>
      <c r="U504" s="4">
        <v>23</v>
      </c>
      <c r="V504" s="4">
        <v>0</v>
      </c>
      <c r="W504" s="4">
        <v>0</v>
      </c>
    </row>
    <row r="505" spans="1:23" ht="11.25" customHeight="1" x14ac:dyDescent="0.25">
      <c r="A505" s="4" t="s">
        <v>55</v>
      </c>
      <c r="B505" s="4" t="s">
        <v>39</v>
      </c>
      <c r="C505" s="4" t="s">
        <v>41</v>
      </c>
      <c r="D505" s="4" t="s">
        <v>38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44562</v>
      </c>
      <c r="J505" s="6">
        <v>2500</v>
      </c>
      <c r="K505" s="6">
        <v>2500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4" t="s">
        <v>57</v>
      </c>
      <c r="R505" s="4">
        <v>0</v>
      </c>
      <c r="S505" s="4" t="s">
        <v>265</v>
      </c>
      <c r="U505" s="4">
        <v>23</v>
      </c>
      <c r="V505" s="4">
        <v>0</v>
      </c>
      <c r="W505" s="4">
        <v>0</v>
      </c>
    </row>
    <row r="506" spans="1:23" ht="11.25" customHeight="1" x14ac:dyDescent="0.25">
      <c r="A506" s="4" t="s">
        <v>21</v>
      </c>
      <c r="B506" s="4" t="s">
        <v>39</v>
      </c>
      <c r="C506" s="4" t="s">
        <v>41</v>
      </c>
      <c r="D506" s="4" t="s">
        <v>38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44228</v>
      </c>
      <c r="J506" s="6">
        <v>0</v>
      </c>
      <c r="K506" s="6">
        <v>0</v>
      </c>
      <c r="L506" s="6">
        <v>130.048</v>
      </c>
      <c r="M506" s="6">
        <v>130.048</v>
      </c>
      <c r="N506" s="6">
        <v>130.048</v>
      </c>
      <c r="O506" s="6">
        <v>130.048</v>
      </c>
      <c r="P506" s="6">
        <v>0</v>
      </c>
      <c r="Q506" s="4" t="s">
        <v>26</v>
      </c>
      <c r="R506" s="4">
        <v>0</v>
      </c>
      <c r="S506" s="4" t="s">
        <v>266</v>
      </c>
      <c r="T506" s="4" t="s">
        <v>495</v>
      </c>
      <c r="U506" s="4">
        <v>0</v>
      </c>
      <c r="V506" s="4">
        <v>24</v>
      </c>
      <c r="W506" s="4">
        <v>67</v>
      </c>
    </row>
    <row r="507" spans="1:23" ht="11.25" customHeight="1" x14ac:dyDescent="0.25">
      <c r="A507" s="4" t="s">
        <v>28</v>
      </c>
      <c r="B507" s="4" t="s">
        <v>39</v>
      </c>
      <c r="C507" s="4" t="s">
        <v>41</v>
      </c>
      <c r="D507" s="4" t="s">
        <v>38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44228</v>
      </c>
      <c r="J507" s="6">
        <v>0</v>
      </c>
      <c r="K507" s="6">
        <v>0</v>
      </c>
      <c r="L507" s="6">
        <v>2.823</v>
      </c>
      <c r="M507" s="6">
        <v>2.823</v>
      </c>
      <c r="N507" s="6">
        <v>2.823</v>
      </c>
      <c r="O507" s="6">
        <v>2.823</v>
      </c>
      <c r="P507" s="6">
        <v>0</v>
      </c>
      <c r="Q507" s="4" t="s">
        <v>26</v>
      </c>
      <c r="R507" s="4">
        <v>0</v>
      </c>
      <c r="S507" s="4" t="s">
        <v>266</v>
      </c>
      <c r="T507" s="4" t="s">
        <v>495</v>
      </c>
      <c r="U507" s="4">
        <v>0</v>
      </c>
      <c r="V507" s="4">
        <v>24</v>
      </c>
      <c r="W507" s="4">
        <v>67</v>
      </c>
    </row>
    <row r="508" spans="1:23" ht="11.25" customHeight="1" x14ac:dyDescent="0.25">
      <c r="A508" s="4" t="s">
        <v>21</v>
      </c>
      <c r="B508" s="4" t="s">
        <v>39</v>
      </c>
      <c r="C508" s="4" t="s">
        <v>41</v>
      </c>
      <c r="D508" s="4" t="s">
        <v>38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44228</v>
      </c>
      <c r="J508" s="6">
        <v>0</v>
      </c>
      <c r="K508" s="6">
        <v>0</v>
      </c>
      <c r="L508" s="6">
        <v>23.718</v>
      </c>
      <c r="M508" s="6">
        <v>23.718</v>
      </c>
      <c r="N508" s="6">
        <v>0</v>
      </c>
      <c r="O508" s="6">
        <v>0</v>
      </c>
      <c r="P508" s="6">
        <v>0</v>
      </c>
      <c r="Q508" s="4" t="s">
        <v>57</v>
      </c>
      <c r="R508" s="4">
        <v>0</v>
      </c>
      <c r="S508" s="4" t="s">
        <v>266</v>
      </c>
      <c r="U508" s="4">
        <v>0</v>
      </c>
      <c r="V508" s="4">
        <v>24</v>
      </c>
      <c r="W508" s="4">
        <v>0</v>
      </c>
    </row>
    <row r="509" spans="1:23" ht="11.25" customHeight="1" x14ac:dyDescent="0.25">
      <c r="A509" s="4" t="s">
        <v>21</v>
      </c>
      <c r="B509" s="4" t="s">
        <v>39</v>
      </c>
      <c r="C509" s="4" t="s">
        <v>41</v>
      </c>
      <c r="D509" s="4" t="s">
        <v>38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44256</v>
      </c>
      <c r="J509" s="6">
        <v>0</v>
      </c>
      <c r="K509" s="6">
        <v>0</v>
      </c>
      <c r="L509" s="6">
        <v>130.84399999999999</v>
      </c>
      <c r="M509" s="6">
        <v>130.84399999999999</v>
      </c>
      <c r="N509" s="6">
        <v>130.84399999999999</v>
      </c>
      <c r="O509" s="6">
        <v>130.84399999999999</v>
      </c>
      <c r="P509" s="6">
        <v>0</v>
      </c>
      <c r="Q509" s="4" t="s">
        <v>26</v>
      </c>
      <c r="R509" s="4">
        <v>0</v>
      </c>
      <c r="S509" s="4" t="s">
        <v>267</v>
      </c>
      <c r="T509" s="4" t="s">
        <v>496</v>
      </c>
      <c r="U509" s="4">
        <v>0</v>
      </c>
      <c r="V509" s="4">
        <v>24</v>
      </c>
      <c r="W509" s="4">
        <v>67</v>
      </c>
    </row>
    <row r="510" spans="1:23" ht="11.25" customHeight="1" x14ac:dyDescent="0.25">
      <c r="A510" s="4" t="s">
        <v>27</v>
      </c>
      <c r="B510" s="4" t="s">
        <v>39</v>
      </c>
      <c r="C510" s="4" t="s">
        <v>41</v>
      </c>
      <c r="D510" s="4" t="s">
        <v>38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44256</v>
      </c>
      <c r="J510" s="6">
        <v>0</v>
      </c>
      <c r="K510" s="6">
        <v>0</v>
      </c>
      <c r="L510" s="6">
        <v>-8.61</v>
      </c>
      <c r="M510" s="6">
        <v>-8.61</v>
      </c>
      <c r="N510" s="6">
        <v>-8.61</v>
      </c>
      <c r="O510" s="6">
        <v>-8.61</v>
      </c>
      <c r="P510" s="6">
        <v>0</v>
      </c>
      <c r="Q510" s="4" t="s">
        <v>26</v>
      </c>
      <c r="R510" s="4">
        <v>0</v>
      </c>
      <c r="S510" s="4" t="s">
        <v>267</v>
      </c>
      <c r="T510" s="4" t="s">
        <v>496</v>
      </c>
      <c r="U510" s="4">
        <v>0</v>
      </c>
      <c r="V510" s="4">
        <v>24</v>
      </c>
      <c r="W510" s="4">
        <v>67</v>
      </c>
    </row>
    <row r="511" spans="1:23" ht="11.25" customHeight="1" x14ac:dyDescent="0.25">
      <c r="A511" s="4" t="s">
        <v>28</v>
      </c>
      <c r="B511" s="4" t="s">
        <v>39</v>
      </c>
      <c r="C511" s="4" t="s">
        <v>41</v>
      </c>
      <c r="D511" s="4" t="s">
        <v>38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44256</v>
      </c>
      <c r="J511" s="6">
        <v>0</v>
      </c>
      <c r="K511" s="6">
        <v>0</v>
      </c>
      <c r="L511" s="6">
        <v>4.101</v>
      </c>
      <c r="M511" s="6">
        <v>4.101</v>
      </c>
      <c r="N511" s="6">
        <v>4.101</v>
      </c>
      <c r="O511" s="6">
        <v>4.101</v>
      </c>
      <c r="P511" s="6">
        <v>0</v>
      </c>
      <c r="Q511" s="4" t="s">
        <v>26</v>
      </c>
      <c r="R511" s="4">
        <v>0</v>
      </c>
      <c r="S511" s="4" t="s">
        <v>267</v>
      </c>
      <c r="T511" s="4" t="s">
        <v>496</v>
      </c>
      <c r="U511" s="4">
        <v>0</v>
      </c>
      <c r="V511" s="4">
        <v>24</v>
      </c>
      <c r="W511" s="4">
        <v>67</v>
      </c>
    </row>
    <row r="512" spans="1:23" ht="11.25" customHeight="1" x14ac:dyDescent="0.25">
      <c r="A512" s="4" t="s">
        <v>21</v>
      </c>
      <c r="B512" s="4" t="s">
        <v>39</v>
      </c>
      <c r="C512" s="4" t="s">
        <v>41</v>
      </c>
      <c r="D512" s="4" t="s">
        <v>38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44256</v>
      </c>
      <c r="J512" s="6">
        <v>0</v>
      </c>
      <c r="K512" s="6">
        <v>0</v>
      </c>
      <c r="L512" s="6">
        <v>31.503</v>
      </c>
      <c r="M512" s="6">
        <v>31.503</v>
      </c>
      <c r="N512" s="6">
        <v>0</v>
      </c>
      <c r="O512" s="6">
        <v>0</v>
      </c>
      <c r="P512" s="6">
        <v>0</v>
      </c>
      <c r="Q512" s="4" t="s">
        <v>57</v>
      </c>
      <c r="R512" s="4">
        <v>0</v>
      </c>
      <c r="S512" s="4" t="s">
        <v>267</v>
      </c>
      <c r="U512" s="4">
        <v>0</v>
      </c>
      <c r="V512" s="4">
        <v>24</v>
      </c>
      <c r="W512" s="4">
        <v>0</v>
      </c>
    </row>
    <row r="513" spans="1:23" ht="11.25" customHeight="1" x14ac:dyDescent="0.25">
      <c r="A513" s="4" t="s">
        <v>21</v>
      </c>
      <c r="B513" s="4" t="s">
        <v>39</v>
      </c>
      <c r="C513" s="4" t="s">
        <v>41</v>
      </c>
      <c r="D513" s="4" t="s">
        <v>38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44287</v>
      </c>
      <c r="J513" s="6">
        <v>0</v>
      </c>
      <c r="K513" s="6">
        <v>0</v>
      </c>
      <c r="L513" s="6">
        <v>131.22300000000001</v>
      </c>
      <c r="M513" s="6">
        <v>131.22300000000001</v>
      </c>
      <c r="N513" s="6">
        <v>131.22300000000001</v>
      </c>
      <c r="O513" s="6">
        <v>131.22300000000001</v>
      </c>
      <c r="P513" s="6">
        <v>0</v>
      </c>
      <c r="Q513" s="4" t="s">
        <v>26</v>
      </c>
      <c r="R513" s="4">
        <v>0</v>
      </c>
      <c r="S513" s="4" t="s">
        <v>268</v>
      </c>
      <c r="T513" s="4" t="s">
        <v>497</v>
      </c>
      <c r="U513" s="4">
        <v>0</v>
      </c>
      <c r="V513" s="4">
        <v>24</v>
      </c>
      <c r="W513" s="4">
        <v>67</v>
      </c>
    </row>
    <row r="514" spans="1:23" ht="11.25" customHeight="1" x14ac:dyDescent="0.25">
      <c r="A514" s="4" t="s">
        <v>28</v>
      </c>
      <c r="B514" s="4" t="s">
        <v>39</v>
      </c>
      <c r="C514" s="4" t="s">
        <v>41</v>
      </c>
      <c r="D514" s="4" t="s">
        <v>38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44287</v>
      </c>
      <c r="J514" s="6">
        <v>0</v>
      </c>
      <c r="K514" s="6">
        <v>0</v>
      </c>
      <c r="L514" s="6">
        <v>3.2559999999999998</v>
      </c>
      <c r="M514" s="6">
        <v>3.2559999999999998</v>
      </c>
      <c r="N514" s="6">
        <v>3.2559999999999998</v>
      </c>
      <c r="O514" s="6">
        <v>3.2559999999999998</v>
      </c>
      <c r="P514" s="6">
        <v>0</v>
      </c>
      <c r="Q514" s="4" t="s">
        <v>26</v>
      </c>
      <c r="R514" s="4">
        <v>0</v>
      </c>
      <c r="S514" s="4" t="s">
        <v>268</v>
      </c>
      <c r="T514" s="4" t="s">
        <v>497</v>
      </c>
      <c r="U514" s="4">
        <v>0</v>
      </c>
      <c r="V514" s="4">
        <v>24</v>
      </c>
      <c r="W514" s="4">
        <v>67</v>
      </c>
    </row>
    <row r="515" spans="1:23" ht="11.25" customHeight="1" x14ac:dyDescent="0.25">
      <c r="A515" s="4" t="s">
        <v>21</v>
      </c>
      <c r="B515" s="4" t="s">
        <v>39</v>
      </c>
      <c r="C515" s="4" t="s">
        <v>41</v>
      </c>
      <c r="D515" s="4" t="s">
        <v>38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44287</v>
      </c>
      <c r="J515" s="6">
        <v>0</v>
      </c>
      <c r="K515" s="6">
        <v>0</v>
      </c>
      <c r="L515" s="6">
        <v>41.454999999999998</v>
      </c>
      <c r="M515" s="6">
        <v>41.454999999999998</v>
      </c>
      <c r="N515" s="6">
        <v>0</v>
      </c>
      <c r="O515" s="6">
        <v>0</v>
      </c>
      <c r="P515" s="6">
        <v>0</v>
      </c>
      <c r="Q515" s="4" t="s">
        <v>57</v>
      </c>
      <c r="R515" s="4">
        <v>0</v>
      </c>
      <c r="S515" s="4" t="s">
        <v>268</v>
      </c>
      <c r="U515" s="4">
        <v>0</v>
      </c>
      <c r="V515" s="4">
        <v>24</v>
      </c>
      <c r="W515" s="4">
        <v>0</v>
      </c>
    </row>
    <row r="516" spans="1:23" ht="11.25" customHeight="1" x14ac:dyDescent="0.25">
      <c r="A516" s="4" t="s">
        <v>21</v>
      </c>
      <c r="B516" s="4" t="s">
        <v>39</v>
      </c>
      <c r="C516" s="4" t="s">
        <v>41</v>
      </c>
      <c r="D516" s="4" t="s">
        <v>38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44317</v>
      </c>
      <c r="J516" s="6">
        <v>0</v>
      </c>
      <c r="K516" s="6">
        <v>0</v>
      </c>
      <c r="L516" s="6">
        <v>106.983</v>
      </c>
      <c r="M516" s="6">
        <v>106.983</v>
      </c>
      <c r="N516" s="6">
        <v>106.983</v>
      </c>
      <c r="O516" s="6">
        <v>106.983</v>
      </c>
      <c r="P516" s="6">
        <v>0</v>
      </c>
      <c r="Q516" s="4" t="s">
        <v>26</v>
      </c>
      <c r="R516" s="4">
        <v>0</v>
      </c>
      <c r="S516" s="4" t="s">
        <v>269</v>
      </c>
      <c r="T516" s="4" t="s">
        <v>498</v>
      </c>
      <c r="U516" s="4">
        <v>0</v>
      </c>
      <c r="V516" s="4">
        <v>24</v>
      </c>
      <c r="W516" s="4">
        <v>67</v>
      </c>
    </row>
    <row r="517" spans="1:23" ht="11.25" customHeight="1" x14ac:dyDescent="0.25">
      <c r="A517" s="4" t="s">
        <v>28</v>
      </c>
      <c r="B517" s="4" t="s">
        <v>39</v>
      </c>
      <c r="C517" s="4" t="s">
        <v>41</v>
      </c>
      <c r="D517" s="4" t="s">
        <v>38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44317</v>
      </c>
      <c r="J517" s="6">
        <v>0</v>
      </c>
      <c r="K517" s="6">
        <v>0</v>
      </c>
      <c r="L517" s="6">
        <v>3.5819999999999999</v>
      </c>
      <c r="M517" s="6">
        <v>3.5819999999999999</v>
      </c>
      <c r="N517" s="6">
        <v>3.5819999999999999</v>
      </c>
      <c r="O517" s="6">
        <v>3.5819999999999999</v>
      </c>
      <c r="P517" s="6">
        <v>0</v>
      </c>
      <c r="Q517" s="4" t="s">
        <v>26</v>
      </c>
      <c r="R517" s="4">
        <v>0</v>
      </c>
      <c r="S517" s="4" t="s">
        <v>269</v>
      </c>
      <c r="T517" s="4" t="s">
        <v>498</v>
      </c>
      <c r="U517" s="4">
        <v>0</v>
      </c>
      <c r="V517" s="4">
        <v>24</v>
      </c>
      <c r="W517" s="4">
        <v>67</v>
      </c>
    </row>
    <row r="518" spans="1:23" ht="11.25" customHeight="1" x14ac:dyDescent="0.25">
      <c r="A518" s="4" t="s">
        <v>21</v>
      </c>
      <c r="B518" s="4" t="s">
        <v>39</v>
      </c>
      <c r="C518" s="4" t="s">
        <v>41</v>
      </c>
      <c r="D518" s="4" t="s">
        <v>38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44317</v>
      </c>
      <c r="J518" s="6">
        <v>0</v>
      </c>
      <c r="K518" s="6">
        <v>0</v>
      </c>
      <c r="L518" s="6">
        <v>20.829000000000001</v>
      </c>
      <c r="M518" s="6">
        <v>20.829000000000001</v>
      </c>
      <c r="N518" s="6">
        <v>0</v>
      </c>
      <c r="O518" s="6">
        <v>0</v>
      </c>
      <c r="P518" s="6">
        <v>0</v>
      </c>
      <c r="Q518" s="4" t="s">
        <v>57</v>
      </c>
      <c r="R518" s="4">
        <v>0</v>
      </c>
      <c r="S518" s="4" t="s">
        <v>269</v>
      </c>
      <c r="U518" s="4">
        <v>0</v>
      </c>
      <c r="V518" s="4">
        <v>24</v>
      </c>
      <c r="W518" s="4">
        <v>0</v>
      </c>
    </row>
    <row r="519" spans="1:23" ht="11.25" customHeight="1" x14ac:dyDescent="0.25">
      <c r="A519" s="4" t="s">
        <v>21</v>
      </c>
      <c r="B519" s="4" t="s">
        <v>39</v>
      </c>
      <c r="C519" s="4" t="s">
        <v>41</v>
      </c>
      <c r="D519" s="4" t="s">
        <v>38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44348</v>
      </c>
      <c r="J519" s="6">
        <v>0</v>
      </c>
      <c r="K519" s="6">
        <v>0</v>
      </c>
      <c r="L519" s="6">
        <v>138.36500000000001</v>
      </c>
      <c r="M519" s="6">
        <v>138.36500000000001</v>
      </c>
      <c r="N519" s="6">
        <v>138.36500000000001</v>
      </c>
      <c r="O519" s="6">
        <v>138.36500000000001</v>
      </c>
      <c r="P519" s="6">
        <v>0</v>
      </c>
      <c r="Q519" s="4" t="s">
        <v>26</v>
      </c>
      <c r="R519" s="4">
        <v>0</v>
      </c>
      <c r="S519" s="4" t="s">
        <v>270</v>
      </c>
      <c r="T519" s="4" t="s">
        <v>499</v>
      </c>
      <c r="U519" s="4">
        <v>0</v>
      </c>
      <c r="V519" s="4">
        <v>24</v>
      </c>
      <c r="W519" s="4">
        <v>67</v>
      </c>
    </row>
    <row r="520" spans="1:23" ht="11.25" customHeight="1" x14ac:dyDescent="0.25">
      <c r="A520" s="4" t="s">
        <v>27</v>
      </c>
      <c r="B520" s="4" t="s">
        <v>39</v>
      </c>
      <c r="C520" s="4" t="s">
        <v>41</v>
      </c>
      <c r="D520" s="4" t="s">
        <v>38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44348</v>
      </c>
      <c r="J520" s="6">
        <v>0</v>
      </c>
      <c r="K520" s="6">
        <v>0</v>
      </c>
      <c r="L520" s="6">
        <v>-1.05</v>
      </c>
      <c r="M520" s="6">
        <v>-1.05</v>
      </c>
      <c r="N520" s="6">
        <v>-1.05</v>
      </c>
      <c r="O520" s="6">
        <v>-1.05</v>
      </c>
      <c r="P520" s="6">
        <v>0</v>
      </c>
      <c r="Q520" s="4" t="s">
        <v>26</v>
      </c>
      <c r="R520" s="4">
        <v>0</v>
      </c>
      <c r="S520" s="4" t="s">
        <v>270</v>
      </c>
      <c r="T520" s="4" t="s">
        <v>499</v>
      </c>
      <c r="U520" s="4">
        <v>0</v>
      </c>
      <c r="V520" s="4">
        <v>24</v>
      </c>
      <c r="W520" s="4">
        <v>67</v>
      </c>
    </row>
    <row r="521" spans="1:23" ht="11.25" customHeight="1" x14ac:dyDescent="0.25">
      <c r="A521" s="4" t="s">
        <v>28</v>
      </c>
      <c r="B521" s="4" t="s">
        <v>39</v>
      </c>
      <c r="C521" s="4" t="s">
        <v>41</v>
      </c>
      <c r="D521" s="4" t="s">
        <v>38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44348</v>
      </c>
      <c r="J521" s="6">
        <v>0</v>
      </c>
      <c r="K521" s="6">
        <v>0</v>
      </c>
      <c r="L521" s="6">
        <v>3.532</v>
      </c>
      <c r="M521" s="6">
        <v>3.532</v>
      </c>
      <c r="N521" s="6">
        <v>3.532</v>
      </c>
      <c r="O521" s="6">
        <v>3.532</v>
      </c>
      <c r="P521" s="6">
        <v>0</v>
      </c>
      <c r="Q521" s="4" t="s">
        <v>26</v>
      </c>
      <c r="R521" s="4">
        <v>0</v>
      </c>
      <c r="S521" s="4" t="s">
        <v>270</v>
      </c>
      <c r="T521" s="4" t="s">
        <v>499</v>
      </c>
      <c r="U521" s="4">
        <v>0</v>
      </c>
      <c r="V521" s="4">
        <v>24</v>
      </c>
      <c r="W521" s="4">
        <v>67</v>
      </c>
    </row>
    <row r="522" spans="1:23" ht="11.25" customHeight="1" x14ac:dyDescent="0.25">
      <c r="A522" s="4" t="s">
        <v>21</v>
      </c>
      <c r="B522" s="4" t="s">
        <v>39</v>
      </c>
      <c r="C522" s="4" t="s">
        <v>41</v>
      </c>
      <c r="D522" s="4" t="s">
        <v>38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44348</v>
      </c>
      <c r="J522" s="6">
        <v>0</v>
      </c>
      <c r="K522" s="6">
        <v>0</v>
      </c>
      <c r="L522" s="6">
        <v>24.448</v>
      </c>
      <c r="M522" s="6">
        <v>24.448</v>
      </c>
      <c r="N522" s="6">
        <v>0</v>
      </c>
      <c r="O522" s="6">
        <v>0</v>
      </c>
      <c r="P522" s="6">
        <v>0</v>
      </c>
      <c r="Q522" s="4" t="s">
        <v>57</v>
      </c>
      <c r="R522" s="4">
        <v>0</v>
      </c>
      <c r="S522" s="4" t="s">
        <v>270</v>
      </c>
      <c r="U522" s="4">
        <v>0</v>
      </c>
      <c r="V522" s="4">
        <v>24</v>
      </c>
      <c r="W522" s="4">
        <v>0</v>
      </c>
    </row>
    <row r="523" spans="1:23" ht="11.25" customHeight="1" x14ac:dyDescent="0.25">
      <c r="A523" s="4" t="s">
        <v>21</v>
      </c>
      <c r="B523" s="4" t="s">
        <v>39</v>
      </c>
      <c r="C523" s="4" t="s">
        <v>41</v>
      </c>
      <c r="D523" s="4" t="s">
        <v>38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44378</v>
      </c>
      <c r="J523" s="6">
        <v>0</v>
      </c>
      <c r="K523" s="6">
        <v>0</v>
      </c>
      <c r="L523" s="6">
        <v>142.84100000000001</v>
      </c>
      <c r="M523" s="6">
        <v>142.84100000000001</v>
      </c>
      <c r="N523" s="6">
        <v>142.84100000000001</v>
      </c>
      <c r="O523" s="6">
        <v>142.84100000000001</v>
      </c>
      <c r="P523" s="6">
        <v>0</v>
      </c>
      <c r="Q523" s="4" t="s">
        <v>26</v>
      </c>
      <c r="R523" s="4">
        <v>0</v>
      </c>
      <c r="S523" s="4" t="s">
        <v>271</v>
      </c>
      <c r="T523" s="4" t="s">
        <v>500</v>
      </c>
      <c r="U523" s="4">
        <v>0</v>
      </c>
      <c r="V523" s="4">
        <v>24</v>
      </c>
      <c r="W523" s="4">
        <v>67</v>
      </c>
    </row>
    <row r="524" spans="1:23" ht="11.25" customHeight="1" x14ac:dyDescent="0.25">
      <c r="A524" s="4" t="s">
        <v>28</v>
      </c>
      <c r="B524" s="4" t="s">
        <v>39</v>
      </c>
      <c r="C524" s="4" t="s">
        <v>41</v>
      </c>
      <c r="D524" s="4" t="s">
        <v>38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44378</v>
      </c>
      <c r="J524" s="6">
        <v>0</v>
      </c>
      <c r="K524" s="6">
        <v>0</v>
      </c>
      <c r="L524" s="6">
        <v>10.105</v>
      </c>
      <c r="M524" s="6">
        <v>10.105</v>
      </c>
      <c r="N524" s="6">
        <v>10.105</v>
      </c>
      <c r="O524" s="6">
        <v>10.105</v>
      </c>
      <c r="P524" s="6">
        <v>0</v>
      </c>
      <c r="Q524" s="4" t="s">
        <v>26</v>
      </c>
      <c r="R524" s="4">
        <v>0</v>
      </c>
      <c r="S524" s="4" t="s">
        <v>271</v>
      </c>
      <c r="T524" s="4" t="s">
        <v>500</v>
      </c>
      <c r="U524" s="4">
        <v>0</v>
      </c>
      <c r="V524" s="4">
        <v>24</v>
      </c>
      <c r="W524" s="4">
        <v>67</v>
      </c>
    </row>
    <row r="525" spans="1:23" ht="11.25" customHeight="1" x14ac:dyDescent="0.25">
      <c r="A525" s="4" t="s">
        <v>21</v>
      </c>
      <c r="B525" s="4" t="s">
        <v>39</v>
      </c>
      <c r="C525" s="4" t="s">
        <v>41</v>
      </c>
      <c r="D525" s="4" t="s">
        <v>38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44378</v>
      </c>
      <c r="J525" s="6">
        <v>0</v>
      </c>
      <c r="K525" s="6">
        <v>0</v>
      </c>
      <c r="L525" s="6">
        <v>26.824999999999999</v>
      </c>
      <c r="M525" s="6">
        <v>26.824999999999999</v>
      </c>
      <c r="N525" s="6">
        <v>0</v>
      </c>
      <c r="O525" s="6">
        <v>0</v>
      </c>
      <c r="P525" s="6">
        <v>0</v>
      </c>
      <c r="Q525" s="4" t="s">
        <v>57</v>
      </c>
      <c r="R525" s="4">
        <v>0</v>
      </c>
      <c r="S525" s="4" t="s">
        <v>271</v>
      </c>
      <c r="U525" s="4">
        <v>0</v>
      </c>
      <c r="V525" s="4">
        <v>24</v>
      </c>
      <c r="W525" s="4">
        <v>0</v>
      </c>
    </row>
    <row r="526" spans="1:23" ht="11.25" customHeight="1" x14ac:dyDescent="0.25">
      <c r="A526" s="4" t="s">
        <v>21</v>
      </c>
      <c r="B526" s="4" t="s">
        <v>39</v>
      </c>
      <c r="C526" s="4" t="s">
        <v>41</v>
      </c>
      <c r="D526" s="4" t="s">
        <v>38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44409</v>
      </c>
      <c r="J526" s="6">
        <v>0</v>
      </c>
      <c r="K526" s="6">
        <v>0</v>
      </c>
      <c r="L526" s="6">
        <v>149.83600000000001</v>
      </c>
      <c r="M526" s="6">
        <v>149.83600000000001</v>
      </c>
      <c r="N526" s="6">
        <v>149.83600000000001</v>
      </c>
      <c r="O526" s="6">
        <v>149.83600000000001</v>
      </c>
      <c r="P526" s="6">
        <v>0</v>
      </c>
      <c r="Q526" s="4" t="s">
        <v>26</v>
      </c>
      <c r="R526" s="4">
        <v>0</v>
      </c>
      <c r="S526" s="4" t="s">
        <v>272</v>
      </c>
      <c r="T526" s="4" t="s">
        <v>501</v>
      </c>
      <c r="U526" s="4">
        <v>0</v>
      </c>
      <c r="V526" s="4">
        <v>24</v>
      </c>
      <c r="W526" s="4">
        <v>67</v>
      </c>
    </row>
    <row r="527" spans="1:23" ht="11.25" customHeight="1" x14ac:dyDescent="0.25">
      <c r="A527" s="4" t="s">
        <v>28</v>
      </c>
      <c r="B527" s="4" t="s">
        <v>39</v>
      </c>
      <c r="C527" s="4" t="s">
        <v>41</v>
      </c>
      <c r="D527" s="4" t="s">
        <v>38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44409</v>
      </c>
      <c r="J527" s="6">
        <v>0</v>
      </c>
      <c r="K527" s="6">
        <v>0</v>
      </c>
      <c r="L527" s="6">
        <v>7.46</v>
      </c>
      <c r="M527" s="6">
        <v>7.46</v>
      </c>
      <c r="N527" s="6">
        <v>7.46</v>
      </c>
      <c r="O527" s="6">
        <v>7.46</v>
      </c>
      <c r="P527" s="6">
        <v>0</v>
      </c>
      <c r="Q527" s="4" t="s">
        <v>26</v>
      </c>
      <c r="R527" s="4">
        <v>0</v>
      </c>
      <c r="S527" s="4" t="s">
        <v>272</v>
      </c>
      <c r="T527" s="4" t="s">
        <v>501</v>
      </c>
      <c r="U527" s="4">
        <v>0</v>
      </c>
      <c r="V527" s="4">
        <v>24</v>
      </c>
      <c r="W527" s="4">
        <v>67</v>
      </c>
    </row>
    <row r="528" spans="1:23" ht="11.25" customHeight="1" x14ac:dyDescent="0.25">
      <c r="A528" s="4" t="s">
        <v>21</v>
      </c>
      <c r="B528" s="4" t="s">
        <v>39</v>
      </c>
      <c r="C528" s="4" t="s">
        <v>41</v>
      </c>
      <c r="D528" s="4" t="s">
        <v>38</v>
      </c>
      <c r="E528" s="4" t="s">
        <v>25</v>
      </c>
      <c r="F528" s="4" t="s">
        <v>25</v>
      </c>
      <c r="G528" s="4" t="s">
        <v>25</v>
      </c>
      <c r="H528" s="4" t="s">
        <v>34</v>
      </c>
      <c r="I528" s="5">
        <v>44409</v>
      </c>
      <c r="J528" s="6">
        <v>0</v>
      </c>
      <c r="K528" s="6">
        <v>0</v>
      </c>
      <c r="L528" s="6">
        <v>29.09</v>
      </c>
      <c r="M528" s="6">
        <v>29.09</v>
      </c>
      <c r="N528" s="6">
        <v>0</v>
      </c>
      <c r="O528" s="6">
        <v>0</v>
      </c>
      <c r="P528" s="6">
        <v>0</v>
      </c>
      <c r="Q528" s="4" t="s">
        <v>57</v>
      </c>
      <c r="R528" s="4">
        <v>0</v>
      </c>
      <c r="S528" s="4" t="s">
        <v>272</v>
      </c>
      <c r="U528" s="4">
        <v>0</v>
      </c>
      <c r="V528" s="4">
        <v>24</v>
      </c>
      <c r="W528" s="4">
        <v>0</v>
      </c>
    </row>
    <row r="529" spans="1:23" ht="11.25" customHeight="1" x14ac:dyDescent="0.25">
      <c r="A529" s="4" t="s">
        <v>21</v>
      </c>
      <c r="B529" s="4" t="s">
        <v>39</v>
      </c>
      <c r="C529" s="4" t="s">
        <v>41</v>
      </c>
      <c r="D529" s="4" t="s">
        <v>38</v>
      </c>
      <c r="E529" s="4" t="s">
        <v>25</v>
      </c>
      <c r="F529" s="4" t="s">
        <v>25</v>
      </c>
      <c r="G529" s="4" t="s">
        <v>25</v>
      </c>
      <c r="H529" s="4" t="s">
        <v>34</v>
      </c>
      <c r="I529" s="5">
        <v>44440</v>
      </c>
      <c r="J529" s="6">
        <v>0</v>
      </c>
      <c r="K529" s="6">
        <v>0</v>
      </c>
      <c r="L529" s="6">
        <v>119.78700000000001</v>
      </c>
      <c r="M529" s="6">
        <v>119.78700000000001</v>
      </c>
      <c r="N529" s="6">
        <v>119.78700000000001</v>
      </c>
      <c r="O529" s="6">
        <v>119.78700000000001</v>
      </c>
      <c r="P529" s="6">
        <v>0</v>
      </c>
      <c r="Q529" s="4" t="s">
        <v>26</v>
      </c>
      <c r="R529" s="4">
        <v>0</v>
      </c>
      <c r="S529" s="4" t="s">
        <v>273</v>
      </c>
      <c r="T529" s="4" t="s">
        <v>502</v>
      </c>
      <c r="U529" s="4">
        <v>0</v>
      </c>
      <c r="V529" s="4">
        <v>24</v>
      </c>
      <c r="W529" s="4">
        <v>67</v>
      </c>
    </row>
    <row r="530" spans="1:23" ht="11.25" customHeight="1" x14ac:dyDescent="0.25">
      <c r="A530" s="4" t="s">
        <v>28</v>
      </c>
      <c r="B530" s="4" t="s">
        <v>39</v>
      </c>
      <c r="C530" s="4" t="s">
        <v>41</v>
      </c>
      <c r="D530" s="4" t="s">
        <v>38</v>
      </c>
      <c r="E530" s="4" t="s">
        <v>25</v>
      </c>
      <c r="F530" s="4" t="s">
        <v>25</v>
      </c>
      <c r="G530" s="4" t="s">
        <v>25</v>
      </c>
      <c r="H530" s="4" t="s">
        <v>34</v>
      </c>
      <c r="I530" s="5">
        <v>44440</v>
      </c>
      <c r="J530" s="6">
        <v>0</v>
      </c>
      <c r="K530" s="6">
        <v>0</v>
      </c>
      <c r="L530" s="6">
        <v>5.766</v>
      </c>
      <c r="M530" s="6">
        <v>5.766</v>
      </c>
      <c r="N530" s="6">
        <v>5.766</v>
      </c>
      <c r="O530" s="6">
        <v>5.766</v>
      </c>
      <c r="P530" s="6">
        <v>0</v>
      </c>
      <c r="Q530" s="4" t="s">
        <v>26</v>
      </c>
      <c r="R530" s="4">
        <v>0</v>
      </c>
      <c r="S530" s="4" t="s">
        <v>273</v>
      </c>
      <c r="T530" s="4" t="s">
        <v>502</v>
      </c>
      <c r="U530" s="4">
        <v>0</v>
      </c>
      <c r="V530" s="4">
        <v>24</v>
      </c>
      <c r="W530" s="4">
        <v>67</v>
      </c>
    </row>
    <row r="531" spans="1:23" ht="11.25" customHeight="1" x14ac:dyDescent="0.25">
      <c r="A531" s="4" t="s">
        <v>21</v>
      </c>
      <c r="B531" s="4" t="s">
        <v>39</v>
      </c>
      <c r="C531" s="4" t="s">
        <v>41</v>
      </c>
      <c r="D531" s="4" t="s">
        <v>38</v>
      </c>
      <c r="E531" s="4" t="s">
        <v>25</v>
      </c>
      <c r="F531" s="4" t="s">
        <v>25</v>
      </c>
      <c r="G531" s="4" t="s">
        <v>25</v>
      </c>
      <c r="H531" s="4" t="s">
        <v>34</v>
      </c>
      <c r="I531" s="5">
        <v>44440</v>
      </c>
      <c r="J531" s="6">
        <v>0</v>
      </c>
      <c r="K531" s="6">
        <v>0</v>
      </c>
      <c r="L531" s="6">
        <v>28.265999999999998</v>
      </c>
      <c r="M531" s="6">
        <v>28.265999999999998</v>
      </c>
      <c r="N531" s="6">
        <v>0</v>
      </c>
      <c r="O531" s="6">
        <v>0</v>
      </c>
      <c r="P531" s="6">
        <v>0</v>
      </c>
      <c r="Q531" s="4" t="s">
        <v>57</v>
      </c>
      <c r="R531" s="4">
        <v>0</v>
      </c>
      <c r="S531" s="4" t="s">
        <v>273</v>
      </c>
      <c r="U531" s="4">
        <v>0</v>
      </c>
      <c r="V531" s="4">
        <v>24</v>
      </c>
      <c r="W531" s="4">
        <v>0</v>
      </c>
    </row>
    <row r="532" spans="1:23" ht="11.25" customHeight="1" x14ac:dyDescent="0.25">
      <c r="A532" s="4" t="s">
        <v>21</v>
      </c>
      <c r="B532" s="4" t="s">
        <v>39</v>
      </c>
      <c r="C532" s="4" t="s">
        <v>41</v>
      </c>
      <c r="D532" s="4" t="s">
        <v>38</v>
      </c>
      <c r="E532" s="4" t="s">
        <v>25</v>
      </c>
      <c r="F532" s="4" t="s">
        <v>25</v>
      </c>
      <c r="G532" s="4" t="s">
        <v>25</v>
      </c>
      <c r="H532" s="4" t="s">
        <v>34</v>
      </c>
      <c r="I532" s="5">
        <v>44470</v>
      </c>
      <c r="J532" s="6">
        <v>0</v>
      </c>
      <c r="K532" s="6">
        <v>0</v>
      </c>
      <c r="L532" s="6">
        <v>103.271</v>
      </c>
      <c r="M532" s="6">
        <v>103.271</v>
      </c>
      <c r="N532" s="6">
        <v>103.271</v>
      </c>
      <c r="O532" s="6">
        <v>103.271</v>
      </c>
      <c r="P532" s="6">
        <v>0</v>
      </c>
      <c r="Q532" s="4" t="s">
        <v>26</v>
      </c>
      <c r="R532" s="4">
        <v>0</v>
      </c>
      <c r="S532" s="4" t="s">
        <v>274</v>
      </c>
      <c r="T532" s="4" t="s">
        <v>503</v>
      </c>
      <c r="U532" s="4">
        <v>0</v>
      </c>
      <c r="V532" s="4">
        <v>24</v>
      </c>
      <c r="W532" s="4">
        <v>67</v>
      </c>
    </row>
    <row r="533" spans="1:23" ht="11.25" customHeight="1" x14ac:dyDescent="0.25">
      <c r="A533" s="4" t="s">
        <v>28</v>
      </c>
      <c r="B533" s="4" t="s">
        <v>39</v>
      </c>
      <c r="C533" s="4" t="s">
        <v>41</v>
      </c>
      <c r="D533" s="4" t="s">
        <v>38</v>
      </c>
      <c r="E533" s="4" t="s">
        <v>25</v>
      </c>
      <c r="F533" s="4" t="s">
        <v>25</v>
      </c>
      <c r="G533" s="4" t="s">
        <v>25</v>
      </c>
      <c r="H533" s="4" t="s">
        <v>34</v>
      </c>
      <c r="I533" s="5">
        <v>44470</v>
      </c>
      <c r="J533" s="6">
        <v>0</v>
      </c>
      <c r="K533" s="6">
        <v>0</v>
      </c>
      <c r="L533" s="6">
        <v>5.1769999999999996</v>
      </c>
      <c r="M533" s="6">
        <v>5.1769999999999996</v>
      </c>
      <c r="N533" s="6">
        <v>5.1769999999999996</v>
      </c>
      <c r="O533" s="6">
        <v>5.1769999999999996</v>
      </c>
      <c r="P533" s="6">
        <v>0</v>
      </c>
      <c r="Q533" s="4" t="s">
        <v>26</v>
      </c>
      <c r="R533" s="4">
        <v>0</v>
      </c>
      <c r="S533" s="4" t="s">
        <v>274</v>
      </c>
      <c r="T533" s="4" t="s">
        <v>503</v>
      </c>
      <c r="U533" s="4">
        <v>0</v>
      </c>
      <c r="V533" s="4">
        <v>24</v>
      </c>
      <c r="W533" s="4">
        <v>67</v>
      </c>
    </row>
    <row r="534" spans="1:23" ht="11.25" customHeight="1" x14ac:dyDescent="0.25">
      <c r="A534" s="4" t="s">
        <v>21</v>
      </c>
      <c r="B534" s="4" t="s">
        <v>39</v>
      </c>
      <c r="C534" s="4" t="s">
        <v>41</v>
      </c>
      <c r="D534" s="4" t="s">
        <v>38</v>
      </c>
      <c r="E534" s="4" t="s">
        <v>25</v>
      </c>
      <c r="F534" s="4" t="s">
        <v>25</v>
      </c>
      <c r="G534" s="4" t="s">
        <v>25</v>
      </c>
      <c r="H534" s="4" t="s">
        <v>34</v>
      </c>
      <c r="I534" s="5">
        <v>44470</v>
      </c>
      <c r="J534" s="6">
        <v>0</v>
      </c>
      <c r="K534" s="6">
        <v>0</v>
      </c>
      <c r="L534" s="6">
        <v>31.84</v>
      </c>
      <c r="M534" s="6">
        <v>31.84</v>
      </c>
      <c r="N534" s="6">
        <v>0</v>
      </c>
      <c r="O534" s="6">
        <v>0</v>
      </c>
      <c r="P534" s="6">
        <v>0</v>
      </c>
      <c r="Q534" s="4" t="s">
        <v>57</v>
      </c>
      <c r="R534" s="4">
        <v>0</v>
      </c>
      <c r="S534" s="4" t="s">
        <v>274</v>
      </c>
      <c r="U534" s="4">
        <v>0</v>
      </c>
      <c r="V534" s="4">
        <v>24</v>
      </c>
      <c r="W534" s="4">
        <v>0</v>
      </c>
    </row>
    <row r="535" spans="1:23" ht="11.25" customHeight="1" x14ac:dyDescent="0.25">
      <c r="A535" s="4" t="s">
        <v>21</v>
      </c>
      <c r="B535" s="4" t="s">
        <v>39</v>
      </c>
      <c r="C535" s="4" t="s">
        <v>41</v>
      </c>
      <c r="D535" s="4" t="s">
        <v>38</v>
      </c>
      <c r="E535" s="4" t="s">
        <v>25</v>
      </c>
      <c r="F535" s="4" t="s">
        <v>25</v>
      </c>
      <c r="G535" s="4" t="s">
        <v>25</v>
      </c>
      <c r="H535" s="4" t="s">
        <v>34</v>
      </c>
      <c r="I535" s="5">
        <v>44501</v>
      </c>
      <c r="J535" s="6">
        <v>0</v>
      </c>
      <c r="K535" s="6">
        <v>0</v>
      </c>
      <c r="L535" s="6">
        <v>115.804</v>
      </c>
      <c r="M535" s="6">
        <v>115.804</v>
      </c>
      <c r="N535" s="6">
        <v>115.804</v>
      </c>
      <c r="O535" s="6">
        <v>115.804</v>
      </c>
      <c r="P535" s="6">
        <v>0</v>
      </c>
      <c r="Q535" s="4" t="s">
        <v>26</v>
      </c>
      <c r="R535" s="4">
        <v>0</v>
      </c>
      <c r="S535" s="4" t="s">
        <v>275</v>
      </c>
      <c r="T535" s="4" t="s">
        <v>504</v>
      </c>
      <c r="U535" s="4">
        <v>0</v>
      </c>
      <c r="V535" s="4">
        <v>24</v>
      </c>
      <c r="W535" s="4">
        <v>67</v>
      </c>
    </row>
    <row r="536" spans="1:23" ht="11.25" customHeight="1" x14ac:dyDescent="0.25">
      <c r="A536" s="4" t="s">
        <v>28</v>
      </c>
      <c r="B536" s="4" t="s">
        <v>39</v>
      </c>
      <c r="C536" s="4" t="s">
        <v>41</v>
      </c>
      <c r="D536" s="4" t="s">
        <v>38</v>
      </c>
      <c r="E536" s="4" t="s">
        <v>25</v>
      </c>
      <c r="F536" s="4" t="s">
        <v>25</v>
      </c>
      <c r="G536" s="4" t="s">
        <v>25</v>
      </c>
      <c r="H536" s="4" t="s">
        <v>34</v>
      </c>
      <c r="I536" s="5">
        <v>44501</v>
      </c>
      <c r="J536" s="6">
        <v>0</v>
      </c>
      <c r="K536" s="6">
        <v>0</v>
      </c>
      <c r="L536" s="6">
        <v>5.4909999999999997</v>
      </c>
      <c r="M536" s="6">
        <v>5.4909999999999997</v>
      </c>
      <c r="N536" s="6">
        <v>5.4909999999999997</v>
      </c>
      <c r="O536" s="6">
        <v>5.4909999999999997</v>
      </c>
      <c r="P536" s="6">
        <v>0</v>
      </c>
      <c r="Q536" s="4" t="s">
        <v>26</v>
      </c>
      <c r="R536" s="4">
        <v>0</v>
      </c>
      <c r="S536" s="4" t="s">
        <v>275</v>
      </c>
      <c r="T536" s="4" t="s">
        <v>504</v>
      </c>
      <c r="U536" s="4">
        <v>0</v>
      </c>
      <c r="V536" s="4">
        <v>24</v>
      </c>
      <c r="W536" s="4">
        <v>67</v>
      </c>
    </row>
    <row r="537" spans="1:23" ht="11.25" customHeight="1" x14ac:dyDescent="0.25">
      <c r="A537" s="4" t="s">
        <v>21</v>
      </c>
      <c r="B537" s="4" t="s">
        <v>39</v>
      </c>
      <c r="C537" s="4" t="s">
        <v>41</v>
      </c>
      <c r="D537" s="4" t="s">
        <v>38</v>
      </c>
      <c r="E537" s="4" t="s">
        <v>25</v>
      </c>
      <c r="F537" s="4" t="s">
        <v>25</v>
      </c>
      <c r="G537" s="4" t="s">
        <v>25</v>
      </c>
      <c r="H537" s="4" t="s">
        <v>34</v>
      </c>
      <c r="I537" s="5">
        <v>44501</v>
      </c>
      <c r="J537" s="6">
        <v>0</v>
      </c>
      <c r="K537" s="6">
        <v>0</v>
      </c>
      <c r="L537" s="6">
        <v>37.618000000000002</v>
      </c>
      <c r="M537" s="6">
        <v>37.618000000000002</v>
      </c>
      <c r="N537" s="6">
        <v>0</v>
      </c>
      <c r="O537" s="6">
        <v>0</v>
      </c>
      <c r="P537" s="6">
        <v>0</v>
      </c>
      <c r="Q537" s="4" t="s">
        <v>57</v>
      </c>
      <c r="R537" s="4">
        <v>0</v>
      </c>
      <c r="S537" s="4" t="s">
        <v>275</v>
      </c>
      <c r="U537" s="4">
        <v>0</v>
      </c>
      <c r="V537" s="4">
        <v>24</v>
      </c>
      <c r="W537" s="4">
        <v>0</v>
      </c>
    </row>
    <row r="538" spans="1:23" ht="11.25" customHeight="1" x14ac:dyDescent="0.25">
      <c r="A538" s="4" t="s">
        <v>21</v>
      </c>
      <c r="B538" s="4" t="s">
        <v>39</v>
      </c>
      <c r="C538" s="4" t="s">
        <v>41</v>
      </c>
      <c r="D538" s="4" t="s">
        <v>38</v>
      </c>
      <c r="E538" s="4" t="s">
        <v>25</v>
      </c>
      <c r="F538" s="4" t="s">
        <v>25</v>
      </c>
      <c r="G538" s="4" t="s">
        <v>25</v>
      </c>
      <c r="H538" s="4" t="s">
        <v>34</v>
      </c>
      <c r="I538" s="5">
        <v>44531</v>
      </c>
      <c r="J538" s="6">
        <v>0</v>
      </c>
      <c r="K538" s="6">
        <v>0</v>
      </c>
      <c r="L538" s="6">
        <v>102.358</v>
      </c>
      <c r="M538" s="6">
        <v>102.358</v>
      </c>
      <c r="N538" s="6">
        <v>102.358</v>
      </c>
      <c r="O538" s="6">
        <v>102.358</v>
      </c>
      <c r="P538" s="6">
        <v>0</v>
      </c>
      <c r="Q538" s="4" t="s">
        <v>26</v>
      </c>
      <c r="R538" s="4">
        <v>0</v>
      </c>
      <c r="S538" s="4" t="s">
        <v>276</v>
      </c>
      <c r="T538" s="4" t="s">
        <v>505</v>
      </c>
      <c r="U538" s="4">
        <v>0</v>
      </c>
      <c r="V538" s="4">
        <v>24</v>
      </c>
      <c r="W538" s="4">
        <v>67</v>
      </c>
    </row>
    <row r="539" spans="1:23" ht="11.25" customHeight="1" x14ac:dyDescent="0.25">
      <c r="A539" s="4" t="s">
        <v>28</v>
      </c>
      <c r="B539" s="4" t="s">
        <v>39</v>
      </c>
      <c r="C539" s="4" t="s">
        <v>41</v>
      </c>
      <c r="D539" s="4" t="s">
        <v>38</v>
      </c>
      <c r="E539" s="4" t="s">
        <v>25</v>
      </c>
      <c r="F539" s="4" t="s">
        <v>25</v>
      </c>
      <c r="G539" s="4" t="s">
        <v>25</v>
      </c>
      <c r="H539" s="4" t="s">
        <v>34</v>
      </c>
      <c r="I539" s="5">
        <v>44531</v>
      </c>
      <c r="J539" s="6">
        <v>0</v>
      </c>
      <c r="K539" s="6">
        <v>0</v>
      </c>
      <c r="L539" s="6">
        <v>5.9349999999999996</v>
      </c>
      <c r="M539" s="6">
        <v>5.9349999999999996</v>
      </c>
      <c r="N539" s="6">
        <v>5.9349999999999996</v>
      </c>
      <c r="O539" s="6">
        <v>5.9349999999999996</v>
      </c>
      <c r="P539" s="6">
        <v>0</v>
      </c>
      <c r="Q539" s="4" t="s">
        <v>26</v>
      </c>
      <c r="R539" s="4">
        <v>0</v>
      </c>
      <c r="S539" s="4" t="s">
        <v>276</v>
      </c>
      <c r="T539" s="4" t="s">
        <v>505</v>
      </c>
      <c r="U539" s="4">
        <v>0</v>
      </c>
      <c r="V539" s="4">
        <v>24</v>
      </c>
      <c r="W539" s="4">
        <v>67</v>
      </c>
    </row>
    <row r="540" spans="1:23" ht="11.25" customHeight="1" x14ac:dyDescent="0.25">
      <c r="A540" s="4" t="s">
        <v>21</v>
      </c>
      <c r="B540" s="4" t="s">
        <v>39</v>
      </c>
      <c r="C540" s="4" t="s">
        <v>41</v>
      </c>
      <c r="D540" s="4" t="s">
        <v>38</v>
      </c>
      <c r="E540" s="4" t="s">
        <v>25</v>
      </c>
      <c r="F540" s="4" t="s">
        <v>25</v>
      </c>
      <c r="G540" s="4" t="s">
        <v>25</v>
      </c>
      <c r="H540" s="4" t="s">
        <v>34</v>
      </c>
      <c r="I540" s="5">
        <v>44531</v>
      </c>
      <c r="J540" s="6">
        <v>0</v>
      </c>
      <c r="K540" s="6">
        <v>0</v>
      </c>
      <c r="L540" s="6">
        <v>40.149000000000001</v>
      </c>
      <c r="M540" s="6">
        <v>40.149000000000001</v>
      </c>
      <c r="N540" s="6">
        <v>0</v>
      </c>
      <c r="O540" s="6">
        <v>0</v>
      </c>
      <c r="P540" s="6">
        <v>0</v>
      </c>
      <c r="Q540" s="4" t="s">
        <v>57</v>
      </c>
      <c r="R540" s="4">
        <v>0</v>
      </c>
      <c r="S540" s="4" t="s">
        <v>276</v>
      </c>
      <c r="U540" s="4">
        <v>0</v>
      </c>
      <c r="V540" s="4">
        <v>24</v>
      </c>
      <c r="W540" s="4">
        <v>0</v>
      </c>
    </row>
    <row r="541" spans="1:23" ht="11.25" customHeight="1" x14ac:dyDescent="0.25">
      <c r="A541" s="4" t="s">
        <v>55</v>
      </c>
      <c r="B541" s="4" t="s">
        <v>39</v>
      </c>
      <c r="C541" s="4" t="s">
        <v>41</v>
      </c>
      <c r="D541" s="4" t="s">
        <v>38</v>
      </c>
      <c r="E541" s="4" t="s">
        <v>25</v>
      </c>
      <c r="F541" s="4" t="s">
        <v>25</v>
      </c>
      <c r="G541" s="4" t="s">
        <v>25</v>
      </c>
      <c r="H541" s="4" t="s">
        <v>34</v>
      </c>
      <c r="I541" s="5">
        <v>44562</v>
      </c>
      <c r="J541" s="6">
        <v>0</v>
      </c>
      <c r="K541" s="6">
        <v>0</v>
      </c>
      <c r="L541" s="6">
        <v>102.358</v>
      </c>
      <c r="M541" s="6">
        <v>102.358</v>
      </c>
      <c r="N541" s="6">
        <v>102.358</v>
      </c>
      <c r="O541" s="6">
        <v>102.358</v>
      </c>
      <c r="P541" s="6">
        <v>0</v>
      </c>
      <c r="Q541" s="4" t="s">
        <v>26</v>
      </c>
      <c r="R541" s="4">
        <v>0</v>
      </c>
      <c r="S541" s="4" t="s">
        <v>277</v>
      </c>
      <c r="T541" s="4" t="s">
        <v>506</v>
      </c>
      <c r="U541" s="4">
        <v>0</v>
      </c>
      <c r="V541" s="4">
        <v>24</v>
      </c>
      <c r="W541" s="4">
        <v>67</v>
      </c>
    </row>
    <row r="542" spans="1:23" ht="11.25" customHeight="1" x14ac:dyDescent="0.25">
      <c r="A542" s="4" t="s">
        <v>55</v>
      </c>
      <c r="B542" s="4" t="s">
        <v>39</v>
      </c>
      <c r="C542" s="4" t="s">
        <v>41</v>
      </c>
      <c r="D542" s="4" t="s">
        <v>38</v>
      </c>
      <c r="E542" s="4" t="s">
        <v>25</v>
      </c>
      <c r="F542" s="4" t="s">
        <v>25</v>
      </c>
      <c r="G542" s="4" t="s">
        <v>25</v>
      </c>
      <c r="H542" s="4" t="s">
        <v>34</v>
      </c>
      <c r="I542" s="5">
        <v>44562</v>
      </c>
      <c r="J542" s="6">
        <v>0</v>
      </c>
      <c r="K542" s="6">
        <v>0</v>
      </c>
      <c r="L542" s="6">
        <v>5.9349999999999996</v>
      </c>
      <c r="M542" s="6">
        <v>5.9349999999999996</v>
      </c>
      <c r="N542" s="6">
        <v>5.9349999999999996</v>
      </c>
      <c r="O542" s="6">
        <v>5.9349999999999996</v>
      </c>
      <c r="P542" s="6">
        <v>0</v>
      </c>
      <c r="Q542" s="4" t="s">
        <v>26</v>
      </c>
      <c r="R542" s="4">
        <v>0</v>
      </c>
      <c r="S542" s="4" t="s">
        <v>277</v>
      </c>
      <c r="T542" s="4" t="s">
        <v>506</v>
      </c>
      <c r="U542" s="4">
        <v>0</v>
      </c>
      <c r="V542" s="4">
        <v>24</v>
      </c>
      <c r="W542" s="4">
        <v>67</v>
      </c>
    </row>
    <row r="543" spans="1:23" ht="11.25" customHeight="1" x14ac:dyDescent="0.25">
      <c r="A543" s="4" t="s">
        <v>55</v>
      </c>
      <c r="B543" s="4" t="s">
        <v>39</v>
      </c>
      <c r="C543" s="4" t="s">
        <v>41</v>
      </c>
      <c r="D543" s="4" t="s">
        <v>38</v>
      </c>
      <c r="E543" s="4" t="s">
        <v>25</v>
      </c>
      <c r="F543" s="4" t="s">
        <v>25</v>
      </c>
      <c r="G543" s="4" t="s">
        <v>25</v>
      </c>
      <c r="H543" s="4" t="s">
        <v>34</v>
      </c>
      <c r="I543" s="5">
        <v>44562</v>
      </c>
      <c r="J543" s="6">
        <v>0</v>
      </c>
      <c r="K543" s="6">
        <v>0</v>
      </c>
      <c r="L543" s="6">
        <v>40.149000000000001</v>
      </c>
      <c r="M543" s="6">
        <v>40.149000000000001</v>
      </c>
      <c r="N543" s="6">
        <v>0</v>
      </c>
      <c r="O543" s="6">
        <v>0</v>
      </c>
      <c r="P543" s="6">
        <v>0</v>
      </c>
      <c r="Q543" s="4" t="s">
        <v>57</v>
      </c>
      <c r="R543" s="4">
        <v>0</v>
      </c>
      <c r="S543" s="4" t="s">
        <v>277</v>
      </c>
      <c r="U543" s="4">
        <v>0</v>
      </c>
      <c r="V543" s="4">
        <v>24</v>
      </c>
      <c r="W543" s="4">
        <v>0</v>
      </c>
    </row>
    <row r="544" spans="1:23" ht="11.25" customHeight="1" x14ac:dyDescent="0.25">
      <c r="A544" s="4" t="s">
        <v>21</v>
      </c>
      <c r="B544" s="4" t="s">
        <v>39</v>
      </c>
      <c r="C544" s="4" t="s">
        <v>41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35</v>
      </c>
      <c r="I544" s="5">
        <v>44228</v>
      </c>
      <c r="J544" s="6">
        <v>0</v>
      </c>
      <c r="K544" s="6">
        <v>0</v>
      </c>
      <c r="L544" s="6">
        <v>1369.6880000000001</v>
      </c>
      <c r="M544" s="6">
        <v>1369.6880000000001</v>
      </c>
      <c r="N544" s="6">
        <v>1369.6880000000001</v>
      </c>
      <c r="O544" s="6">
        <v>1369.6880000000001</v>
      </c>
      <c r="P544" s="6">
        <v>0</v>
      </c>
      <c r="Q544" s="4" t="s">
        <v>26</v>
      </c>
      <c r="R544" s="4">
        <v>0</v>
      </c>
      <c r="S544" s="4" t="s">
        <v>242</v>
      </c>
      <c r="T544" s="4" t="s">
        <v>483</v>
      </c>
      <c r="U544" s="4">
        <v>0</v>
      </c>
      <c r="V544" s="4">
        <v>25</v>
      </c>
      <c r="W544" s="4">
        <v>68</v>
      </c>
    </row>
    <row r="545" spans="1:23" ht="11.25" customHeight="1" x14ac:dyDescent="0.25">
      <c r="A545" s="4" t="s">
        <v>28</v>
      </c>
      <c r="B545" s="4" t="s">
        <v>39</v>
      </c>
      <c r="C545" s="4" t="s">
        <v>41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35</v>
      </c>
      <c r="I545" s="5">
        <v>44228</v>
      </c>
      <c r="J545" s="6">
        <v>0</v>
      </c>
      <c r="K545" s="6">
        <v>0</v>
      </c>
      <c r="L545" s="6">
        <v>5.32</v>
      </c>
      <c r="M545" s="6">
        <v>5.32</v>
      </c>
      <c r="N545" s="6">
        <v>5.32</v>
      </c>
      <c r="O545" s="6">
        <v>5.32</v>
      </c>
      <c r="P545" s="6">
        <v>0</v>
      </c>
      <c r="Q545" s="4" t="s">
        <v>26</v>
      </c>
      <c r="R545" s="4">
        <v>0</v>
      </c>
      <c r="S545" s="4" t="s">
        <v>242</v>
      </c>
      <c r="T545" s="4" t="s">
        <v>483</v>
      </c>
      <c r="U545" s="4">
        <v>0</v>
      </c>
      <c r="V545" s="4">
        <v>25</v>
      </c>
      <c r="W545" s="4">
        <v>68</v>
      </c>
    </row>
    <row r="546" spans="1:23" ht="11.25" customHeight="1" x14ac:dyDescent="0.25">
      <c r="A546" s="4" t="s">
        <v>21</v>
      </c>
      <c r="B546" s="4" t="s">
        <v>39</v>
      </c>
      <c r="C546" s="4" t="s">
        <v>41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35</v>
      </c>
      <c r="I546" s="5">
        <v>44256</v>
      </c>
      <c r="J546" s="6">
        <v>0</v>
      </c>
      <c r="K546" s="6">
        <v>0</v>
      </c>
      <c r="L546" s="6">
        <v>1424.875</v>
      </c>
      <c r="M546" s="6">
        <v>1424.875</v>
      </c>
      <c r="N546" s="6">
        <v>1424.875</v>
      </c>
      <c r="O546" s="6">
        <v>1424.875</v>
      </c>
      <c r="P546" s="6">
        <v>0</v>
      </c>
      <c r="Q546" s="4" t="s">
        <v>26</v>
      </c>
      <c r="R546" s="4">
        <v>0</v>
      </c>
      <c r="S546" s="4" t="s">
        <v>243</v>
      </c>
      <c r="T546" s="4" t="s">
        <v>484</v>
      </c>
      <c r="U546" s="4">
        <v>0</v>
      </c>
      <c r="V546" s="4">
        <v>25</v>
      </c>
      <c r="W546" s="4">
        <v>68</v>
      </c>
    </row>
    <row r="547" spans="1:23" ht="11.25" customHeight="1" x14ac:dyDescent="0.25">
      <c r="A547" s="4" t="s">
        <v>28</v>
      </c>
      <c r="B547" s="4" t="s">
        <v>39</v>
      </c>
      <c r="C547" s="4" t="s">
        <v>41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35</v>
      </c>
      <c r="I547" s="5">
        <v>44256</v>
      </c>
      <c r="J547" s="6">
        <v>0</v>
      </c>
      <c r="K547" s="6">
        <v>0</v>
      </c>
      <c r="L547" s="6">
        <v>4.2</v>
      </c>
      <c r="M547" s="6">
        <v>4.2</v>
      </c>
      <c r="N547" s="6">
        <v>4.2</v>
      </c>
      <c r="O547" s="6">
        <v>4.2</v>
      </c>
      <c r="P547" s="6">
        <v>0</v>
      </c>
      <c r="Q547" s="4" t="s">
        <v>26</v>
      </c>
      <c r="R547" s="4">
        <v>0</v>
      </c>
      <c r="S547" s="4" t="s">
        <v>243</v>
      </c>
      <c r="T547" s="4" t="s">
        <v>484</v>
      </c>
      <c r="U547" s="4">
        <v>0</v>
      </c>
      <c r="V547" s="4">
        <v>25</v>
      </c>
      <c r="W547" s="4">
        <v>68</v>
      </c>
    </row>
    <row r="548" spans="1:23" ht="11.25" customHeight="1" x14ac:dyDescent="0.25">
      <c r="A548" s="4" t="s">
        <v>21</v>
      </c>
      <c r="B548" s="4" t="s">
        <v>39</v>
      </c>
      <c r="C548" s="4" t="s">
        <v>41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35</v>
      </c>
      <c r="I548" s="5">
        <v>44287</v>
      </c>
      <c r="J548" s="6">
        <v>0</v>
      </c>
      <c r="K548" s="6">
        <v>0</v>
      </c>
      <c r="L548" s="6">
        <v>1407.123</v>
      </c>
      <c r="M548" s="6">
        <v>1407.123</v>
      </c>
      <c r="N548" s="6">
        <v>1407.123</v>
      </c>
      <c r="O548" s="6">
        <v>1407.123</v>
      </c>
      <c r="P548" s="6">
        <v>0</v>
      </c>
      <c r="Q548" s="4" t="s">
        <v>26</v>
      </c>
      <c r="R548" s="4">
        <v>0</v>
      </c>
      <c r="S548" s="4" t="s">
        <v>244</v>
      </c>
      <c r="T548" s="4" t="s">
        <v>485</v>
      </c>
      <c r="U548" s="4">
        <v>0</v>
      </c>
      <c r="V548" s="4">
        <v>25</v>
      </c>
      <c r="W548" s="4">
        <v>68</v>
      </c>
    </row>
    <row r="549" spans="1:23" ht="11.25" customHeight="1" x14ac:dyDescent="0.25">
      <c r="A549" s="4" t="s">
        <v>28</v>
      </c>
      <c r="B549" s="4" t="s">
        <v>39</v>
      </c>
      <c r="C549" s="4" t="s">
        <v>41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35</v>
      </c>
      <c r="I549" s="5">
        <v>44287</v>
      </c>
      <c r="J549" s="6">
        <v>0</v>
      </c>
      <c r="K549" s="6">
        <v>0</v>
      </c>
      <c r="L549" s="6">
        <v>6.16</v>
      </c>
      <c r="M549" s="6">
        <v>6.16</v>
      </c>
      <c r="N549" s="6">
        <v>6.16</v>
      </c>
      <c r="O549" s="6">
        <v>6.16</v>
      </c>
      <c r="P549" s="6">
        <v>0</v>
      </c>
      <c r="Q549" s="4" t="s">
        <v>26</v>
      </c>
      <c r="R549" s="4">
        <v>0</v>
      </c>
      <c r="S549" s="4" t="s">
        <v>244</v>
      </c>
      <c r="T549" s="4" t="s">
        <v>485</v>
      </c>
      <c r="U549" s="4">
        <v>0</v>
      </c>
      <c r="V549" s="4">
        <v>25</v>
      </c>
      <c r="W549" s="4">
        <v>68</v>
      </c>
    </row>
    <row r="550" spans="1:23" ht="11.25" customHeight="1" x14ac:dyDescent="0.25">
      <c r="A550" s="4" t="s">
        <v>21</v>
      </c>
      <c r="B550" s="4" t="s">
        <v>39</v>
      </c>
      <c r="C550" s="4" t="s">
        <v>41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35</v>
      </c>
      <c r="I550" s="5">
        <v>44317</v>
      </c>
      <c r="J550" s="6">
        <v>0</v>
      </c>
      <c r="K550" s="6">
        <v>0</v>
      </c>
      <c r="L550" s="6">
        <v>1327.097</v>
      </c>
      <c r="M550" s="6">
        <v>1327.097</v>
      </c>
      <c r="N550" s="6">
        <v>1327.097</v>
      </c>
      <c r="O550" s="6">
        <v>1327.097</v>
      </c>
      <c r="P550" s="6">
        <v>0</v>
      </c>
      <c r="Q550" s="4" t="s">
        <v>26</v>
      </c>
      <c r="R550" s="4">
        <v>0</v>
      </c>
      <c r="S550" s="4" t="s">
        <v>245</v>
      </c>
      <c r="T550" s="4" t="s">
        <v>486</v>
      </c>
      <c r="U550" s="4">
        <v>0</v>
      </c>
      <c r="V550" s="4">
        <v>25</v>
      </c>
      <c r="W550" s="4">
        <v>68</v>
      </c>
    </row>
    <row r="551" spans="1:23" ht="11.25" customHeight="1" x14ac:dyDescent="0.25">
      <c r="A551" s="4" t="s">
        <v>28</v>
      </c>
      <c r="B551" s="4" t="s">
        <v>39</v>
      </c>
      <c r="C551" s="4" t="s">
        <v>41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35</v>
      </c>
      <c r="I551" s="5">
        <v>44317</v>
      </c>
      <c r="J551" s="6">
        <v>0</v>
      </c>
      <c r="K551" s="6">
        <v>0</v>
      </c>
      <c r="L551" s="6">
        <v>5.04</v>
      </c>
      <c r="M551" s="6">
        <v>5.04</v>
      </c>
      <c r="N551" s="6">
        <v>5.04</v>
      </c>
      <c r="O551" s="6">
        <v>5.04</v>
      </c>
      <c r="P551" s="6">
        <v>0</v>
      </c>
      <c r="Q551" s="4" t="s">
        <v>26</v>
      </c>
      <c r="R551" s="4">
        <v>0</v>
      </c>
      <c r="S551" s="4" t="s">
        <v>245</v>
      </c>
      <c r="T551" s="4" t="s">
        <v>486</v>
      </c>
      <c r="U551" s="4">
        <v>0</v>
      </c>
      <c r="V551" s="4">
        <v>25</v>
      </c>
      <c r="W551" s="4">
        <v>68</v>
      </c>
    </row>
    <row r="552" spans="1:23" ht="11.25" customHeight="1" x14ac:dyDescent="0.25">
      <c r="A552" s="4" t="s">
        <v>21</v>
      </c>
      <c r="B552" s="4" t="s">
        <v>39</v>
      </c>
      <c r="C552" s="4" t="s">
        <v>41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35</v>
      </c>
      <c r="I552" s="5">
        <v>44348</v>
      </c>
      <c r="J552" s="6">
        <v>0</v>
      </c>
      <c r="K552" s="6">
        <v>0</v>
      </c>
      <c r="L552" s="6">
        <v>1267.8240000000001</v>
      </c>
      <c r="M552" s="6">
        <v>1267.8240000000001</v>
      </c>
      <c r="N552" s="6">
        <v>1267.8240000000001</v>
      </c>
      <c r="O552" s="6">
        <v>1267.8240000000001</v>
      </c>
      <c r="P552" s="6">
        <v>0</v>
      </c>
      <c r="Q552" s="4" t="s">
        <v>26</v>
      </c>
      <c r="R552" s="4">
        <v>0</v>
      </c>
      <c r="S552" s="4" t="s">
        <v>246</v>
      </c>
      <c r="T552" s="4" t="s">
        <v>487</v>
      </c>
      <c r="U552" s="4">
        <v>0</v>
      </c>
      <c r="V552" s="4">
        <v>25</v>
      </c>
      <c r="W552" s="4">
        <v>68</v>
      </c>
    </row>
    <row r="553" spans="1:23" ht="11.25" customHeight="1" x14ac:dyDescent="0.25">
      <c r="A553" s="4" t="s">
        <v>28</v>
      </c>
      <c r="B553" s="4" t="s">
        <v>39</v>
      </c>
      <c r="C553" s="4" t="s">
        <v>41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35</v>
      </c>
      <c r="I553" s="5">
        <v>44348</v>
      </c>
      <c r="J553" s="6">
        <v>0</v>
      </c>
      <c r="K553" s="6">
        <v>0</v>
      </c>
      <c r="L553" s="6">
        <v>5.88</v>
      </c>
      <c r="M553" s="6">
        <v>5.88</v>
      </c>
      <c r="N553" s="6">
        <v>5.88</v>
      </c>
      <c r="O553" s="6">
        <v>5.88</v>
      </c>
      <c r="P553" s="6">
        <v>0</v>
      </c>
      <c r="Q553" s="4" t="s">
        <v>26</v>
      </c>
      <c r="R553" s="4">
        <v>0</v>
      </c>
      <c r="S553" s="4" t="s">
        <v>246</v>
      </c>
      <c r="T553" s="4" t="s">
        <v>487</v>
      </c>
      <c r="U553" s="4">
        <v>0</v>
      </c>
      <c r="V553" s="4">
        <v>25</v>
      </c>
      <c r="W553" s="4">
        <v>68</v>
      </c>
    </row>
    <row r="554" spans="1:23" ht="11.25" customHeight="1" x14ac:dyDescent="0.25">
      <c r="A554" s="4" t="s">
        <v>21</v>
      </c>
      <c r="B554" s="4" t="s">
        <v>39</v>
      </c>
      <c r="C554" s="4" t="s">
        <v>41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35</v>
      </c>
      <c r="I554" s="5">
        <v>44378</v>
      </c>
      <c r="J554" s="6">
        <v>0</v>
      </c>
      <c r="K554" s="6">
        <v>0</v>
      </c>
      <c r="L554" s="6">
        <v>1230.4369999999999</v>
      </c>
      <c r="M554" s="6">
        <v>1230.4369999999999</v>
      </c>
      <c r="N554" s="6">
        <v>1230.4369999999999</v>
      </c>
      <c r="O554" s="6">
        <v>1230.4369999999999</v>
      </c>
      <c r="P554" s="6">
        <v>0</v>
      </c>
      <c r="Q554" s="4" t="s">
        <v>26</v>
      </c>
      <c r="R554" s="4">
        <v>0</v>
      </c>
      <c r="S554" s="4" t="s">
        <v>247</v>
      </c>
      <c r="T554" s="4" t="s">
        <v>488</v>
      </c>
      <c r="U554" s="4">
        <v>0</v>
      </c>
      <c r="V554" s="4">
        <v>25</v>
      </c>
      <c r="W554" s="4">
        <v>68</v>
      </c>
    </row>
    <row r="555" spans="1:23" ht="11.25" customHeight="1" x14ac:dyDescent="0.25">
      <c r="A555" s="4" t="s">
        <v>28</v>
      </c>
      <c r="B555" s="4" t="s">
        <v>39</v>
      </c>
      <c r="C555" s="4" t="s">
        <v>41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35</v>
      </c>
      <c r="I555" s="5">
        <v>44378</v>
      </c>
      <c r="J555" s="6">
        <v>0</v>
      </c>
      <c r="K555" s="6">
        <v>0</v>
      </c>
      <c r="L555" s="6">
        <v>5.6</v>
      </c>
      <c r="M555" s="6">
        <v>5.6</v>
      </c>
      <c r="N555" s="6">
        <v>5.6</v>
      </c>
      <c r="O555" s="6">
        <v>5.6</v>
      </c>
      <c r="P555" s="6">
        <v>0</v>
      </c>
      <c r="Q555" s="4" t="s">
        <v>26</v>
      </c>
      <c r="R555" s="4">
        <v>0</v>
      </c>
      <c r="S555" s="4" t="s">
        <v>247</v>
      </c>
      <c r="T555" s="4" t="s">
        <v>488</v>
      </c>
      <c r="U555" s="4">
        <v>0</v>
      </c>
      <c r="V555" s="4">
        <v>25</v>
      </c>
      <c r="W555" s="4">
        <v>68</v>
      </c>
    </row>
    <row r="556" spans="1:23" ht="11.25" customHeight="1" x14ac:dyDescent="0.25">
      <c r="A556" s="4" t="s">
        <v>21</v>
      </c>
      <c r="B556" s="4" t="s">
        <v>39</v>
      </c>
      <c r="C556" s="4" t="s">
        <v>41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35</v>
      </c>
      <c r="I556" s="5">
        <v>44409</v>
      </c>
      <c r="J556" s="6">
        <v>0</v>
      </c>
      <c r="K556" s="6">
        <v>0</v>
      </c>
      <c r="L556" s="6">
        <v>1187.972</v>
      </c>
      <c r="M556" s="6">
        <v>1187.972</v>
      </c>
      <c r="N556" s="6">
        <v>1187.972</v>
      </c>
      <c r="O556" s="6">
        <v>1187.972</v>
      </c>
      <c r="P556" s="6">
        <v>0</v>
      </c>
      <c r="Q556" s="4" t="s">
        <v>26</v>
      </c>
      <c r="R556" s="4">
        <v>0</v>
      </c>
      <c r="S556" s="4" t="s">
        <v>248</v>
      </c>
      <c r="T556" s="4" t="s">
        <v>489</v>
      </c>
      <c r="U556" s="4">
        <v>0</v>
      </c>
      <c r="V556" s="4">
        <v>25</v>
      </c>
      <c r="W556" s="4">
        <v>68</v>
      </c>
    </row>
    <row r="557" spans="1:23" ht="11.25" customHeight="1" x14ac:dyDescent="0.25">
      <c r="A557" s="4" t="s">
        <v>28</v>
      </c>
      <c r="B557" s="4" t="s">
        <v>39</v>
      </c>
      <c r="C557" s="4" t="s">
        <v>41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35</v>
      </c>
      <c r="I557" s="5">
        <v>44409</v>
      </c>
      <c r="J557" s="6">
        <v>0</v>
      </c>
      <c r="K557" s="6">
        <v>0</v>
      </c>
      <c r="L557" s="6">
        <v>6.16</v>
      </c>
      <c r="M557" s="6">
        <v>6.16</v>
      </c>
      <c r="N557" s="6">
        <v>6.16</v>
      </c>
      <c r="O557" s="6">
        <v>6.16</v>
      </c>
      <c r="P557" s="6">
        <v>0</v>
      </c>
      <c r="Q557" s="4" t="s">
        <v>26</v>
      </c>
      <c r="R557" s="4">
        <v>0</v>
      </c>
      <c r="S557" s="4" t="s">
        <v>248</v>
      </c>
      <c r="T557" s="4" t="s">
        <v>489</v>
      </c>
      <c r="U557" s="4">
        <v>0</v>
      </c>
      <c r="V557" s="4">
        <v>25</v>
      </c>
      <c r="W557" s="4">
        <v>68</v>
      </c>
    </row>
    <row r="558" spans="1:23" ht="11.25" customHeight="1" x14ac:dyDescent="0.25">
      <c r="A558" s="4" t="s">
        <v>21</v>
      </c>
      <c r="B558" s="4" t="s">
        <v>39</v>
      </c>
      <c r="C558" s="4" t="s">
        <v>41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35</v>
      </c>
      <c r="I558" s="5">
        <v>44440</v>
      </c>
      <c r="J558" s="6">
        <v>0</v>
      </c>
      <c r="K558" s="6">
        <v>0</v>
      </c>
      <c r="L558" s="6">
        <v>1276.096</v>
      </c>
      <c r="M558" s="6">
        <v>1276.096</v>
      </c>
      <c r="N558" s="6">
        <v>1276.096</v>
      </c>
      <c r="O558" s="6">
        <v>1276.096</v>
      </c>
      <c r="P558" s="6">
        <v>0</v>
      </c>
      <c r="Q558" s="4" t="s">
        <v>26</v>
      </c>
      <c r="R558" s="4">
        <v>0</v>
      </c>
      <c r="S558" s="4" t="s">
        <v>249</v>
      </c>
      <c r="T558" s="4" t="s">
        <v>490</v>
      </c>
      <c r="U558" s="4">
        <v>0</v>
      </c>
      <c r="V558" s="4">
        <v>25</v>
      </c>
      <c r="W558" s="4">
        <v>68</v>
      </c>
    </row>
    <row r="559" spans="1:23" ht="11.25" customHeight="1" x14ac:dyDescent="0.25">
      <c r="A559" s="4" t="s">
        <v>28</v>
      </c>
      <c r="B559" s="4" t="s">
        <v>39</v>
      </c>
      <c r="C559" s="4" t="s">
        <v>41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35</v>
      </c>
      <c r="I559" s="5">
        <v>44440</v>
      </c>
      <c r="J559" s="6">
        <v>0</v>
      </c>
      <c r="K559" s="6">
        <v>0</v>
      </c>
      <c r="L559" s="6">
        <v>4.4800000000000004</v>
      </c>
      <c r="M559" s="6">
        <v>4.4800000000000004</v>
      </c>
      <c r="N559" s="6">
        <v>4.4800000000000004</v>
      </c>
      <c r="O559" s="6">
        <v>4.4800000000000004</v>
      </c>
      <c r="P559" s="6">
        <v>0</v>
      </c>
      <c r="Q559" s="4" t="s">
        <v>26</v>
      </c>
      <c r="R559" s="4">
        <v>0</v>
      </c>
      <c r="S559" s="4" t="s">
        <v>249</v>
      </c>
      <c r="T559" s="4" t="s">
        <v>490</v>
      </c>
      <c r="U559" s="4">
        <v>0</v>
      </c>
      <c r="V559" s="4">
        <v>25</v>
      </c>
      <c r="W559" s="4">
        <v>68</v>
      </c>
    </row>
    <row r="560" spans="1:23" ht="11.25" customHeight="1" x14ac:dyDescent="0.25">
      <c r="A560" s="4" t="s">
        <v>21</v>
      </c>
      <c r="B560" s="4" t="s">
        <v>39</v>
      </c>
      <c r="C560" s="4" t="s">
        <v>41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35</v>
      </c>
      <c r="I560" s="5">
        <v>44470</v>
      </c>
      <c r="J560" s="6">
        <v>0</v>
      </c>
      <c r="K560" s="6">
        <v>0</v>
      </c>
      <c r="L560" s="6">
        <v>1437.4590000000001</v>
      </c>
      <c r="M560" s="6">
        <v>1437.4590000000001</v>
      </c>
      <c r="N560" s="6">
        <v>1437.4590000000001</v>
      </c>
      <c r="O560" s="6">
        <v>1437.4590000000001</v>
      </c>
      <c r="P560" s="6">
        <v>0</v>
      </c>
      <c r="Q560" s="4" t="s">
        <v>26</v>
      </c>
      <c r="R560" s="4">
        <v>0</v>
      </c>
      <c r="S560" s="4" t="s">
        <v>250</v>
      </c>
      <c r="T560" s="4" t="s">
        <v>491</v>
      </c>
      <c r="U560" s="4">
        <v>0</v>
      </c>
      <c r="V560" s="4">
        <v>25</v>
      </c>
      <c r="W560" s="4">
        <v>68</v>
      </c>
    </row>
    <row r="561" spans="1:23" ht="11.25" customHeight="1" x14ac:dyDescent="0.25">
      <c r="A561" s="4" t="s">
        <v>28</v>
      </c>
      <c r="B561" s="4" t="s">
        <v>39</v>
      </c>
      <c r="C561" s="4" t="s">
        <v>41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35</v>
      </c>
      <c r="I561" s="5">
        <v>44470</v>
      </c>
      <c r="J561" s="6">
        <v>0</v>
      </c>
      <c r="K561" s="6">
        <v>0</v>
      </c>
      <c r="L561" s="6">
        <v>3.64</v>
      </c>
      <c r="M561" s="6">
        <v>3.64</v>
      </c>
      <c r="N561" s="6">
        <v>3.64</v>
      </c>
      <c r="O561" s="6">
        <v>3.64</v>
      </c>
      <c r="P561" s="6">
        <v>0</v>
      </c>
      <c r="Q561" s="4" t="s">
        <v>26</v>
      </c>
      <c r="R561" s="4">
        <v>0</v>
      </c>
      <c r="S561" s="4" t="s">
        <v>250</v>
      </c>
      <c r="T561" s="4" t="s">
        <v>491</v>
      </c>
      <c r="U561" s="4">
        <v>0</v>
      </c>
      <c r="V561" s="4">
        <v>25</v>
      </c>
      <c r="W561" s="4">
        <v>68</v>
      </c>
    </row>
    <row r="562" spans="1:23" ht="11.25" customHeight="1" x14ac:dyDescent="0.25">
      <c r="A562" s="4" t="s">
        <v>21</v>
      </c>
      <c r="B562" s="4" t="s">
        <v>39</v>
      </c>
      <c r="C562" s="4" t="s">
        <v>41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35</v>
      </c>
      <c r="I562" s="5">
        <v>44501</v>
      </c>
      <c r="J562" s="6">
        <v>0</v>
      </c>
      <c r="K562" s="6">
        <v>0</v>
      </c>
      <c r="L562" s="6">
        <v>1515.51</v>
      </c>
      <c r="M562" s="6">
        <v>1515.51</v>
      </c>
      <c r="N562" s="6">
        <v>1515.51</v>
      </c>
      <c r="O562" s="6">
        <v>1515.51</v>
      </c>
      <c r="P562" s="6">
        <v>0</v>
      </c>
      <c r="Q562" s="4" t="s">
        <v>26</v>
      </c>
      <c r="R562" s="4">
        <v>0</v>
      </c>
      <c r="S562" s="4" t="s">
        <v>251</v>
      </c>
      <c r="T562" s="4" t="s">
        <v>492</v>
      </c>
      <c r="U562" s="4">
        <v>0</v>
      </c>
      <c r="V562" s="4">
        <v>25</v>
      </c>
      <c r="W562" s="4">
        <v>68</v>
      </c>
    </row>
    <row r="563" spans="1:23" ht="11.25" customHeight="1" x14ac:dyDescent="0.25">
      <c r="A563" s="4" t="s">
        <v>28</v>
      </c>
      <c r="B563" s="4" t="s">
        <v>39</v>
      </c>
      <c r="C563" s="4" t="s">
        <v>41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35</v>
      </c>
      <c r="I563" s="5">
        <v>44501</v>
      </c>
      <c r="J563" s="6">
        <v>0</v>
      </c>
      <c r="K563" s="6">
        <v>0</v>
      </c>
      <c r="L563" s="6">
        <v>6.72</v>
      </c>
      <c r="M563" s="6">
        <v>6.72</v>
      </c>
      <c r="N563" s="6">
        <v>6.72</v>
      </c>
      <c r="O563" s="6">
        <v>6.72</v>
      </c>
      <c r="P563" s="6">
        <v>0</v>
      </c>
      <c r="Q563" s="4" t="s">
        <v>26</v>
      </c>
      <c r="R563" s="4">
        <v>0</v>
      </c>
      <c r="S563" s="4" t="s">
        <v>251</v>
      </c>
      <c r="T563" s="4" t="s">
        <v>492</v>
      </c>
      <c r="U563" s="4">
        <v>0</v>
      </c>
      <c r="V563" s="4">
        <v>25</v>
      </c>
      <c r="W563" s="4">
        <v>68</v>
      </c>
    </row>
    <row r="564" spans="1:23" ht="11.25" customHeight="1" x14ac:dyDescent="0.25">
      <c r="A564" s="4" t="s">
        <v>21</v>
      </c>
      <c r="B564" s="4" t="s">
        <v>39</v>
      </c>
      <c r="C564" s="4" t="s">
        <v>41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35</v>
      </c>
      <c r="I564" s="5">
        <v>44531</v>
      </c>
      <c r="J564" s="6">
        <v>0</v>
      </c>
      <c r="K564" s="6">
        <v>0</v>
      </c>
      <c r="L564" s="6">
        <v>1522.607</v>
      </c>
      <c r="M564" s="6">
        <v>1522.607</v>
      </c>
      <c r="N564" s="6">
        <v>1522.607</v>
      </c>
      <c r="O564" s="6">
        <v>1522.607</v>
      </c>
      <c r="P564" s="6">
        <v>0</v>
      </c>
      <c r="Q564" s="4" t="s">
        <v>26</v>
      </c>
      <c r="R564" s="4">
        <v>0</v>
      </c>
      <c r="S564" s="4" t="s">
        <v>252</v>
      </c>
      <c r="T564" s="4" t="s">
        <v>493</v>
      </c>
      <c r="U564" s="4">
        <v>0</v>
      </c>
      <c r="V564" s="4">
        <v>25</v>
      </c>
      <c r="W564" s="4">
        <v>68</v>
      </c>
    </row>
    <row r="565" spans="1:23" ht="11.25" customHeight="1" x14ac:dyDescent="0.25">
      <c r="A565" s="4" t="s">
        <v>28</v>
      </c>
      <c r="B565" s="4" t="s">
        <v>39</v>
      </c>
      <c r="C565" s="4" t="s">
        <v>41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35</v>
      </c>
      <c r="I565" s="5">
        <v>44531</v>
      </c>
      <c r="J565" s="6">
        <v>0</v>
      </c>
      <c r="K565" s="6">
        <v>0</v>
      </c>
      <c r="L565" s="6">
        <v>10.08</v>
      </c>
      <c r="M565" s="6">
        <v>10.08</v>
      </c>
      <c r="N565" s="6">
        <v>10.08</v>
      </c>
      <c r="O565" s="6">
        <v>10.08</v>
      </c>
      <c r="P565" s="6">
        <v>0</v>
      </c>
      <c r="Q565" s="4" t="s">
        <v>26</v>
      </c>
      <c r="R565" s="4">
        <v>0</v>
      </c>
      <c r="S565" s="4" t="s">
        <v>252</v>
      </c>
      <c r="T565" s="4" t="s">
        <v>493</v>
      </c>
      <c r="U565" s="4">
        <v>0</v>
      </c>
      <c r="V565" s="4">
        <v>25</v>
      </c>
      <c r="W565" s="4">
        <v>68</v>
      </c>
    </row>
    <row r="566" spans="1:23" ht="11.25" customHeight="1" x14ac:dyDescent="0.25">
      <c r="A566" s="4" t="s">
        <v>55</v>
      </c>
      <c r="B566" s="4" t="s">
        <v>39</v>
      </c>
      <c r="C566" s="4" t="s">
        <v>41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35</v>
      </c>
      <c r="I566" s="5">
        <v>44562</v>
      </c>
      <c r="J566" s="6">
        <v>0</v>
      </c>
      <c r="K566" s="6">
        <v>0</v>
      </c>
      <c r="L566" s="6">
        <v>1522.607</v>
      </c>
      <c r="M566" s="6">
        <v>1522.607</v>
      </c>
      <c r="N566" s="6">
        <v>1522.607</v>
      </c>
      <c r="O566" s="6">
        <v>1522.607</v>
      </c>
      <c r="P566" s="6">
        <v>0</v>
      </c>
      <c r="Q566" s="4" t="s">
        <v>26</v>
      </c>
      <c r="R566" s="4">
        <v>0</v>
      </c>
      <c r="S566" s="4" t="s">
        <v>253</v>
      </c>
      <c r="T566" s="4" t="s">
        <v>494</v>
      </c>
      <c r="U566" s="4">
        <v>0</v>
      </c>
      <c r="V566" s="4">
        <v>25</v>
      </c>
      <c r="W566" s="4">
        <v>68</v>
      </c>
    </row>
    <row r="567" spans="1:23" ht="11.25" customHeight="1" x14ac:dyDescent="0.25">
      <c r="A567" s="4" t="s">
        <v>55</v>
      </c>
      <c r="B567" s="4" t="s">
        <v>39</v>
      </c>
      <c r="C567" s="4" t="s">
        <v>41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35</v>
      </c>
      <c r="I567" s="5">
        <v>44562</v>
      </c>
      <c r="J567" s="6">
        <v>0</v>
      </c>
      <c r="K567" s="6">
        <v>0</v>
      </c>
      <c r="L567" s="6">
        <v>10.08</v>
      </c>
      <c r="M567" s="6">
        <v>10.08</v>
      </c>
      <c r="N567" s="6">
        <v>10.08</v>
      </c>
      <c r="O567" s="6">
        <v>10.08</v>
      </c>
      <c r="P567" s="6">
        <v>0</v>
      </c>
      <c r="Q567" s="4" t="s">
        <v>26</v>
      </c>
      <c r="R567" s="4">
        <v>0</v>
      </c>
      <c r="S567" s="4" t="s">
        <v>253</v>
      </c>
      <c r="T567" s="4" t="s">
        <v>494</v>
      </c>
      <c r="U567" s="4">
        <v>0</v>
      </c>
      <c r="V567" s="4">
        <v>25</v>
      </c>
      <c r="W567" s="4">
        <v>68</v>
      </c>
    </row>
    <row r="568" spans="1:23" ht="11.25" customHeight="1" x14ac:dyDescent="0.25">
      <c r="A568" s="4" t="s">
        <v>21</v>
      </c>
      <c r="B568" s="4" t="s">
        <v>39</v>
      </c>
      <c r="C568" s="4" t="s">
        <v>41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44228</v>
      </c>
      <c r="J568" s="6">
        <v>9506</v>
      </c>
      <c r="K568" s="6">
        <v>9506</v>
      </c>
      <c r="L568" s="6">
        <v>0</v>
      </c>
      <c r="M568" s="6">
        <v>0</v>
      </c>
      <c r="N568" s="6">
        <v>0</v>
      </c>
      <c r="O568" s="6">
        <v>0</v>
      </c>
      <c r="P568" s="6">
        <v>48</v>
      </c>
      <c r="Q568" s="4" t="s">
        <v>26</v>
      </c>
      <c r="R568" s="4">
        <v>0</v>
      </c>
      <c r="S568" s="4" t="s">
        <v>254</v>
      </c>
      <c r="U568" s="4">
        <v>23</v>
      </c>
      <c r="V568" s="4">
        <v>0</v>
      </c>
      <c r="W568" s="4">
        <v>0</v>
      </c>
    </row>
    <row r="569" spans="1:23" ht="11.25" customHeight="1" x14ac:dyDescent="0.25">
      <c r="A569" s="4" t="s">
        <v>28</v>
      </c>
      <c r="B569" s="4" t="s">
        <v>39</v>
      </c>
      <c r="C569" s="4" t="s">
        <v>41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44228</v>
      </c>
      <c r="J569" s="6">
        <v>235</v>
      </c>
      <c r="K569" s="6">
        <v>235</v>
      </c>
      <c r="L569" s="6">
        <v>0</v>
      </c>
      <c r="M569" s="6">
        <v>0</v>
      </c>
      <c r="N569" s="6">
        <v>0</v>
      </c>
      <c r="O569" s="6">
        <v>0</v>
      </c>
      <c r="P569" s="6">
        <v>2</v>
      </c>
      <c r="Q569" s="4" t="s">
        <v>26</v>
      </c>
      <c r="R569" s="4">
        <v>0</v>
      </c>
      <c r="S569" s="4" t="s">
        <v>254</v>
      </c>
      <c r="U569" s="4">
        <v>23</v>
      </c>
      <c r="V569" s="4">
        <v>0</v>
      </c>
      <c r="W569" s="4">
        <v>0</v>
      </c>
    </row>
    <row r="570" spans="1:23" ht="11.25" customHeight="1" x14ac:dyDescent="0.25">
      <c r="A570" s="4" t="s">
        <v>21</v>
      </c>
      <c r="B570" s="4" t="s">
        <v>39</v>
      </c>
      <c r="C570" s="4" t="s">
        <v>41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44256</v>
      </c>
      <c r="J570" s="6">
        <v>9573</v>
      </c>
      <c r="K570" s="6">
        <v>9573</v>
      </c>
      <c r="L570" s="6">
        <v>0</v>
      </c>
      <c r="M570" s="6">
        <v>0</v>
      </c>
      <c r="N570" s="6">
        <v>0</v>
      </c>
      <c r="O570" s="6">
        <v>0</v>
      </c>
      <c r="P570" s="6">
        <v>48</v>
      </c>
      <c r="Q570" s="4" t="s">
        <v>26</v>
      </c>
      <c r="R570" s="4">
        <v>0</v>
      </c>
      <c r="S570" s="4" t="s">
        <v>255</v>
      </c>
      <c r="U570" s="4">
        <v>23</v>
      </c>
      <c r="V570" s="4">
        <v>0</v>
      </c>
      <c r="W570" s="4">
        <v>0</v>
      </c>
    </row>
    <row r="571" spans="1:23" ht="11.25" customHeight="1" x14ac:dyDescent="0.25">
      <c r="A571" s="4" t="s">
        <v>28</v>
      </c>
      <c r="B571" s="4" t="s">
        <v>39</v>
      </c>
      <c r="C571" s="4" t="s">
        <v>41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44256</v>
      </c>
      <c r="J571" s="6">
        <v>235</v>
      </c>
      <c r="K571" s="6">
        <v>235</v>
      </c>
      <c r="L571" s="6">
        <v>0</v>
      </c>
      <c r="M571" s="6">
        <v>0</v>
      </c>
      <c r="N571" s="6">
        <v>0</v>
      </c>
      <c r="O571" s="6">
        <v>0</v>
      </c>
      <c r="P571" s="6">
        <v>2</v>
      </c>
      <c r="Q571" s="4" t="s">
        <v>26</v>
      </c>
      <c r="R571" s="4">
        <v>0</v>
      </c>
      <c r="S571" s="4" t="s">
        <v>255</v>
      </c>
      <c r="U571" s="4">
        <v>23</v>
      </c>
      <c r="V571" s="4">
        <v>0</v>
      </c>
      <c r="W571" s="4">
        <v>0</v>
      </c>
    </row>
    <row r="572" spans="1:23" ht="11.25" customHeight="1" x14ac:dyDescent="0.25">
      <c r="A572" s="4" t="s">
        <v>21</v>
      </c>
      <c r="B572" s="4" t="s">
        <v>39</v>
      </c>
      <c r="C572" s="4" t="s">
        <v>41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44287</v>
      </c>
      <c r="J572" s="6">
        <v>9598</v>
      </c>
      <c r="K572" s="6">
        <v>9598</v>
      </c>
      <c r="L572" s="6">
        <v>0</v>
      </c>
      <c r="M572" s="6">
        <v>0</v>
      </c>
      <c r="N572" s="6">
        <v>0</v>
      </c>
      <c r="O572" s="6">
        <v>0</v>
      </c>
      <c r="P572" s="6">
        <v>50</v>
      </c>
      <c r="Q572" s="4" t="s">
        <v>26</v>
      </c>
      <c r="R572" s="4">
        <v>0</v>
      </c>
      <c r="S572" s="4" t="s">
        <v>256</v>
      </c>
      <c r="U572" s="4">
        <v>23</v>
      </c>
      <c r="V572" s="4">
        <v>0</v>
      </c>
      <c r="W572" s="4">
        <v>0</v>
      </c>
    </row>
    <row r="573" spans="1:23" ht="11.25" customHeight="1" x14ac:dyDescent="0.25">
      <c r="A573" s="4" t="s">
        <v>28</v>
      </c>
      <c r="B573" s="4" t="s">
        <v>39</v>
      </c>
      <c r="C573" s="4" t="s">
        <v>41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44287</v>
      </c>
      <c r="J573" s="6">
        <v>235</v>
      </c>
      <c r="K573" s="6">
        <v>235</v>
      </c>
      <c r="L573" s="6">
        <v>0</v>
      </c>
      <c r="M573" s="6">
        <v>0</v>
      </c>
      <c r="N573" s="6">
        <v>0</v>
      </c>
      <c r="O573" s="6">
        <v>0</v>
      </c>
      <c r="P573" s="6">
        <v>2</v>
      </c>
      <c r="Q573" s="4" t="s">
        <v>26</v>
      </c>
      <c r="R573" s="4">
        <v>0</v>
      </c>
      <c r="S573" s="4" t="s">
        <v>256</v>
      </c>
      <c r="U573" s="4">
        <v>23</v>
      </c>
      <c r="V573" s="4">
        <v>0</v>
      </c>
      <c r="W573" s="4">
        <v>0</v>
      </c>
    </row>
    <row r="574" spans="1:23" ht="11.25" customHeight="1" x14ac:dyDescent="0.25">
      <c r="A574" s="4" t="s">
        <v>21</v>
      </c>
      <c r="B574" s="4" t="s">
        <v>39</v>
      </c>
      <c r="C574" s="4" t="s">
        <v>41</v>
      </c>
      <c r="D574" s="4" t="s">
        <v>45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44317</v>
      </c>
      <c r="J574" s="6">
        <v>9522</v>
      </c>
      <c r="K574" s="6">
        <v>9522</v>
      </c>
      <c r="L574" s="6">
        <v>0</v>
      </c>
      <c r="M574" s="6">
        <v>0</v>
      </c>
      <c r="N574" s="6">
        <v>0</v>
      </c>
      <c r="O574" s="6">
        <v>0</v>
      </c>
      <c r="P574" s="6">
        <v>49</v>
      </c>
      <c r="Q574" s="4" t="s">
        <v>26</v>
      </c>
      <c r="R574" s="4">
        <v>0</v>
      </c>
      <c r="S574" s="4" t="s">
        <v>257</v>
      </c>
      <c r="U574" s="4">
        <v>23</v>
      </c>
      <c r="V574" s="4">
        <v>0</v>
      </c>
      <c r="W574" s="4">
        <v>0</v>
      </c>
    </row>
    <row r="575" spans="1:23" ht="11.25" customHeight="1" x14ac:dyDescent="0.25">
      <c r="A575" s="4" t="s">
        <v>28</v>
      </c>
      <c r="B575" s="4" t="s">
        <v>39</v>
      </c>
      <c r="C575" s="4" t="s">
        <v>41</v>
      </c>
      <c r="D575" s="4" t="s">
        <v>45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44317</v>
      </c>
      <c r="J575" s="6">
        <v>235</v>
      </c>
      <c r="K575" s="6">
        <v>235</v>
      </c>
      <c r="L575" s="6">
        <v>0</v>
      </c>
      <c r="M575" s="6">
        <v>0</v>
      </c>
      <c r="N575" s="6">
        <v>0</v>
      </c>
      <c r="O575" s="6">
        <v>0</v>
      </c>
      <c r="P575" s="6">
        <v>2</v>
      </c>
      <c r="Q575" s="4" t="s">
        <v>26</v>
      </c>
      <c r="R575" s="4">
        <v>0</v>
      </c>
      <c r="S575" s="4" t="s">
        <v>257</v>
      </c>
      <c r="U575" s="4">
        <v>23</v>
      </c>
      <c r="V575" s="4">
        <v>0</v>
      </c>
      <c r="W575" s="4">
        <v>0</v>
      </c>
    </row>
    <row r="576" spans="1:23" ht="11.25" customHeight="1" x14ac:dyDescent="0.25">
      <c r="A576" s="4" t="s">
        <v>21</v>
      </c>
      <c r="B576" s="4" t="s">
        <v>39</v>
      </c>
      <c r="C576" s="4" t="s">
        <v>41</v>
      </c>
      <c r="D576" s="4" t="s">
        <v>45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44348</v>
      </c>
      <c r="J576" s="6">
        <v>9594</v>
      </c>
      <c r="K576" s="6">
        <v>9594</v>
      </c>
      <c r="L576" s="6">
        <v>0</v>
      </c>
      <c r="M576" s="6">
        <v>0</v>
      </c>
      <c r="N576" s="6">
        <v>0</v>
      </c>
      <c r="O576" s="6">
        <v>0</v>
      </c>
      <c r="P576" s="6">
        <v>51</v>
      </c>
      <c r="Q576" s="4" t="s">
        <v>26</v>
      </c>
      <c r="R576" s="4">
        <v>0</v>
      </c>
      <c r="S576" s="4" t="s">
        <v>258</v>
      </c>
      <c r="U576" s="4">
        <v>23</v>
      </c>
      <c r="V576" s="4">
        <v>0</v>
      </c>
      <c r="W576" s="4">
        <v>0</v>
      </c>
    </row>
    <row r="577" spans="1:23" ht="11.25" customHeight="1" x14ac:dyDescent="0.25">
      <c r="A577" s="4" t="s">
        <v>28</v>
      </c>
      <c r="B577" s="4" t="s">
        <v>39</v>
      </c>
      <c r="C577" s="4" t="s">
        <v>41</v>
      </c>
      <c r="D577" s="4" t="s">
        <v>45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44348</v>
      </c>
      <c r="J577" s="6">
        <v>235</v>
      </c>
      <c r="K577" s="6">
        <v>235</v>
      </c>
      <c r="L577" s="6">
        <v>0</v>
      </c>
      <c r="M577" s="6">
        <v>0</v>
      </c>
      <c r="N577" s="6">
        <v>0</v>
      </c>
      <c r="O577" s="6">
        <v>0</v>
      </c>
      <c r="P577" s="6">
        <v>2</v>
      </c>
      <c r="Q577" s="4" t="s">
        <v>26</v>
      </c>
      <c r="R577" s="4">
        <v>0</v>
      </c>
      <c r="S577" s="4" t="s">
        <v>258</v>
      </c>
      <c r="U577" s="4">
        <v>23</v>
      </c>
      <c r="V577" s="4">
        <v>0</v>
      </c>
      <c r="W577" s="4">
        <v>0</v>
      </c>
    </row>
    <row r="578" spans="1:23" ht="11.25" customHeight="1" x14ac:dyDescent="0.25">
      <c r="A578" s="4" t="s">
        <v>21</v>
      </c>
      <c r="B578" s="4" t="s">
        <v>39</v>
      </c>
      <c r="C578" s="4" t="s">
        <v>41</v>
      </c>
      <c r="D578" s="4" t="s">
        <v>45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44378</v>
      </c>
      <c r="J578" s="6">
        <v>9755</v>
      </c>
      <c r="K578" s="6">
        <v>9755</v>
      </c>
      <c r="L578" s="6">
        <v>0</v>
      </c>
      <c r="M578" s="6">
        <v>0</v>
      </c>
      <c r="N578" s="6">
        <v>0</v>
      </c>
      <c r="O578" s="6">
        <v>0</v>
      </c>
      <c r="P578" s="6">
        <v>50</v>
      </c>
      <c r="Q578" s="4" t="s">
        <v>26</v>
      </c>
      <c r="R578" s="4">
        <v>0</v>
      </c>
      <c r="S578" s="4" t="s">
        <v>259</v>
      </c>
      <c r="U578" s="4">
        <v>23</v>
      </c>
      <c r="V578" s="4">
        <v>0</v>
      </c>
      <c r="W578" s="4">
        <v>0</v>
      </c>
    </row>
    <row r="579" spans="1:23" ht="11.25" customHeight="1" x14ac:dyDescent="0.25">
      <c r="A579" s="4" t="s">
        <v>28</v>
      </c>
      <c r="B579" s="4" t="s">
        <v>39</v>
      </c>
      <c r="C579" s="4" t="s">
        <v>41</v>
      </c>
      <c r="D579" s="4" t="s">
        <v>45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44378</v>
      </c>
      <c r="J579" s="6">
        <v>235</v>
      </c>
      <c r="K579" s="6">
        <v>235</v>
      </c>
      <c r="L579" s="6">
        <v>0</v>
      </c>
      <c r="M579" s="6">
        <v>0</v>
      </c>
      <c r="N579" s="6">
        <v>0</v>
      </c>
      <c r="O579" s="6">
        <v>0</v>
      </c>
      <c r="P579" s="6">
        <v>2</v>
      </c>
      <c r="Q579" s="4" t="s">
        <v>26</v>
      </c>
      <c r="R579" s="4">
        <v>0</v>
      </c>
      <c r="S579" s="4" t="s">
        <v>259</v>
      </c>
      <c r="U579" s="4">
        <v>23</v>
      </c>
      <c r="V579" s="4">
        <v>0</v>
      </c>
      <c r="W579" s="4">
        <v>0</v>
      </c>
    </row>
    <row r="580" spans="1:23" ht="11.25" customHeight="1" x14ac:dyDescent="0.25">
      <c r="A580" s="4" t="s">
        <v>21</v>
      </c>
      <c r="B580" s="4" t="s">
        <v>39</v>
      </c>
      <c r="C580" s="4" t="s">
        <v>41</v>
      </c>
      <c r="D580" s="4" t="s">
        <v>45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44409</v>
      </c>
      <c r="J580" s="6">
        <v>9729</v>
      </c>
      <c r="K580" s="6">
        <v>9729</v>
      </c>
      <c r="L580" s="6">
        <v>0</v>
      </c>
      <c r="M580" s="6">
        <v>0</v>
      </c>
      <c r="N580" s="6">
        <v>0</v>
      </c>
      <c r="O580" s="6">
        <v>0</v>
      </c>
      <c r="P580" s="6">
        <v>50</v>
      </c>
      <c r="Q580" s="4" t="s">
        <v>26</v>
      </c>
      <c r="R580" s="4">
        <v>0</v>
      </c>
      <c r="S580" s="4" t="s">
        <v>260</v>
      </c>
      <c r="U580" s="4">
        <v>23</v>
      </c>
      <c r="V580" s="4">
        <v>0</v>
      </c>
      <c r="W580" s="4">
        <v>0</v>
      </c>
    </row>
    <row r="581" spans="1:23" ht="11.25" customHeight="1" x14ac:dyDescent="0.25">
      <c r="A581" s="4" t="s">
        <v>28</v>
      </c>
      <c r="B581" s="4" t="s">
        <v>39</v>
      </c>
      <c r="C581" s="4" t="s">
        <v>41</v>
      </c>
      <c r="D581" s="4" t="s">
        <v>45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235</v>
      </c>
      <c r="K581" s="6">
        <v>235</v>
      </c>
      <c r="L581" s="6">
        <v>0</v>
      </c>
      <c r="M581" s="6">
        <v>0</v>
      </c>
      <c r="N581" s="6">
        <v>0</v>
      </c>
      <c r="O581" s="6">
        <v>0</v>
      </c>
      <c r="P581" s="6">
        <v>2</v>
      </c>
      <c r="Q581" s="4" t="s">
        <v>26</v>
      </c>
      <c r="R581" s="4">
        <v>0</v>
      </c>
      <c r="S581" s="4" t="s">
        <v>260</v>
      </c>
      <c r="U581" s="4">
        <v>23</v>
      </c>
      <c r="V581" s="4">
        <v>0</v>
      </c>
      <c r="W581" s="4">
        <v>0</v>
      </c>
    </row>
    <row r="582" spans="1:23" ht="11.25" customHeight="1" x14ac:dyDescent="0.25">
      <c r="A582" s="4" t="s">
        <v>21</v>
      </c>
      <c r="B582" s="4" t="s">
        <v>39</v>
      </c>
      <c r="C582" s="4" t="s">
        <v>41</v>
      </c>
      <c r="D582" s="4" t="s">
        <v>45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9590</v>
      </c>
      <c r="K582" s="6">
        <v>9590</v>
      </c>
      <c r="L582" s="6">
        <v>0</v>
      </c>
      <c r="M582" s="6">
        <v>0</v>
      </c>
      <c r="N582" s="6">
        <v>0</v>
      </c>
      <c r="O582" s="6">
        <v>0</v>
      </c>
      <c r="P582" s="6">
        <v>50</v>
      </c>
      <c r="Q582" s="4" t="s">
        <v>26</v>
      </c>
      <c r="R582" s="4">
        <v>0</v>
      </c>
      <c r="S582" s="4" t="s">
        <v>261</v>
      </c>
      <c r="U582" s="4">
        <v>23</v>
      </c>
      <c r="V582" s="4">
        <v>0</v>
      </c>
      <c r="W582" s="4">
        <v>0</v>
      </c>
    </row>
    <row r="583" spans="1:23" ht="11.25" customHeight="1" x14ac:dyDescent="0.25">
      <c r="A583" s="4" t="s">
        <v>28</v>
      </c>
      <c r="B583" s="4" t="s">
        <v>39</v>
      </c>
      <c r="C583" s="4" t="s">
        <v>41</v>
      </c>
      <c r="D583" s="4" t="s">
        <v>45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235</v>
      </c>
      <c r="K583" s="6">
        <v>235</v>
      </c>
      <c r="L583" s="6">
        <v>0</v>
      </c>
      <c r="M583" s="6">
        <v>0</v>
      </c>
      <c r="N583" s="6">
        <v>0</v>
      </c>
      <c r="O583" s="6">
        <v>0</v>
      </c>
      <c r="P583" s="6">
        <v>2</v>
      </c>
      <c r="Q583" s="4" t="s">
        <v>26</v>
      </c>
      <c r="R583" s="4">
        <v>0</v>
      </c>
      <c r="S583" s="4" t="s">
        <v>261</v>
      </c>
      <c r="U583" s="4">
        <v>23</v>
      </c>
      <c r="V583" s="4">
        <v>0</v>
      </c>
      <c r="W583" s="4">
        <v>0</v>
      </c>
    </row>
    <row r="584" spans="1:23" ht="11.25" customHeight="1" x14ac:dyDescent="0.25">
      <c r="A584" s="4" t="s">
        <v>21</v>
      </c>
      <c r="B584" s="4" t="s">
        <v>39</v>
      </c>
      <c r="C584" s="4" t="s">
        <v>41</v>
      </c>
      <c r="D584" s="4" t="s">
        <v>45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9600</v>
      </c>
      <c r="K584" s="6">
        <v>9600</v>
      </c>
      <c r="L584" s="6">
        <v>0</v>
      </c>
      <c r="M584" s="6">
        <v>0</v>
      </c>
      <c r="N584" s="6">
        <v>0</v>
      </c>
      <c r="O584" s="6">
        <v>0</v>
      </c>
      <c r="P584" s="6">
        <v>50</v>
      </c>
      <c r="Q584" s="4" t="s">
        <v>26</v>
      </c>
      <c r="R584" s="4">
        <v>0</v>
      </c>
      <c r="S584" s="4" t="s">
        <v>262</v>
      </c>
      <c r="U584" s="4">
        <v>23</v>
      </c>
      <c r="V584" s="4">
        <v>0</v>
      </c>
      <c r="W584" s="4">
        <v>0</v>
      </c>
    </row>
    <row r="585" spans="1:23" ht="11.25" customHeight="1" x14ac:dyDescent="0.25">
      <c r="A585" s="4" t="s">
        <v>28</v>
      </c>
      <c r="B585" s="4" t="s">
        <v>39</v>
      </c>
      <c r="C585" s="4" t="s">
        <v>41</v>
      </c>
      <c r="D585" s="4" t="s">
        <v>45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44470</v>
      </c>
      <c r="J585" s="6">
        <v>235</v>
      </c>
      <c r="K585" s="6">
        <v>235</v>
      </c>
      <c r="L585" s="6">
        <v>0</v>
      </c>
      <c r="M585" s="6">
        <v>0</v>
      </c>
      <c r="N585" s="6">
        <v>0</v>
      </c>
      <c r="O585" s="6">
        <v>0</v>
      </c>
      <c r="P585" s="6">
        <v>2</v>
      </c>
      <c r="Q585" s="4" t="s">
        <v>26</v>
      </c>
      <c r="R585" s="4">
        <v>0</v>
      </c>
      <c r="S585" s="4" t="s">
        <v>262</v>
      </c>
      <c r="U585" s="4">
        <v>23</v>
      </c>
      <c r="V585" s="4">
        <v>0</v>
      </c>
      <c r="W585" s="4">
        <v>0</v>
      </c>
    </row>
    <row r="586" spans="1:23" ht="11.25" customHeight="1" x14ac:dyDescent="0.25">
      <c r="A586" s="4" t="s">
        <v>21</v>
      </c>
      <c r="B586" s="4" t="s">
        <v>39</v>
      </c>
      <c r="C586" s="4" t="s">
        <v>41</v>
      </c>
      <c r="D586" s="4" t="s">
        <v>45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9798</v>
      </c>
      <c r="K586" s="6">
        <v>9798</v>
      </c>
      <c r="L586" s="6">
        <v>0</v>
      </c>
      <c r="M586" s="6">
        <v>0</v>
      </c>
      <c r="N586" s="6">
        <v>0</v>
      </c>
      <c r="O586" s="6">
        <v>0</v>
      </c>
      <c r="P586" s="6">
        <v>50</v>
      </c>
      <c r="Q586" s="4" t="s">
        <v>26</v>
      </c>
      <c r="R586" s="4">
        <v>0</v>
      </c>
      <c r="S586" s="4" t="s">
        <v>263</v>
      </c>
      <c r="U586" s="4">
        <v>23</v>
      </c>
      <c r="V586" s="4">
        <v>0</v>
      </c>
      <c r="W586" s="4">
        <v>0</v>
      </c>
    </row>
    <row r="587" spans="1:23" ht="11.25" customHeight="1" x14ac:dyDescent="0.25">
      <c r="A587" s="4" t="s">
        <v>27</v>
      </c>
      <c r="B587" s="4" t="s">
        <v>39</v>
      </c>
      <c r="C587" s="4" t="s">
        <v>41</v>
      </c>
      <c r="D587" s="4" t="s">
        <v>45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82</v>
      </c>
      <c r="K587" s="6">
        <v>82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4" t="s">
        <v>26</v>
      </c>
      <c r="R587" s="4">
        <v>0</v>
      </c>
      <c r="S587" s="4" t="s">
        <v>263</v>
      </c>
      <c r="U587" s="4">
        <v>23</v>
      </c>
      <c r="V587" s="4">
        <v>0</v>
      </c>
      <c r="W587" s="4">
        <v>0</v>
      </c>
    </row>
    <row r="588" spans="1:23" ht="11.25" customHeight="1" x14ac:dyDescent="0.25">
      <c r="A588" s="4" t="s">
        <v>28</v>
      </c>
      <c r="B588" s="4" t="s">
        <v>39</v>
      </c>
      <c r="C588" s="4" t="s">
        <v>41</v>
      </c>
      <c r="D588" s="4" t="s">
        <v>45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44501</v>
      </c>
      <c r="J588" s="6">
        <v>235</v>
      </c>
      <c r="K588" s="6">
        <v>235</v>
      </c>
      <c r="L588" s="6">
        <v>0</v>
      </c>
      <c r="M588" s="6">
        <v>0</v>
      </c>
      <c r="N588" s="6">
        <v>0</v>
      </c>
      <c r="O588" s="6">
        <v>0</v>
      </c>
      <c r="P588" s="6">
        <v>2</v>
      </c>
      <c r="Q588" s="4" t="s">
        <v>26</v>
      </c>
      <c r="R588" s="4">
        <v>0</v>
      </c>
      <c r="S588" s="4" t="s">
        <v>263</v>
      </c>
      <c r="U588" s="4">
        <v>23</v>
      </c>
      <c r="V588" s="4">
        <v>0</v>
      </c>
      <c r="W588" s="4">
        <v>0</v>
      </c>
    </row>
    <row r="589" spans="1:23" ht="11.25" customHeight="1" x14ac:dyDescent="0.25">
      <c r="A589" s="4" t="s">
        <v>21</v>
      </c>
      <c r="B589" s="4" t="s">
        <v>39</v>
      </c>
      <c r="C589" s="4" t="s">
        <v>41</v>
      </c>
      <c r="D589" s="4" t="s">
        <v>45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9885</v>
      </c>
      <c r="K589" s="6">
        <v>9885</v>
      </c>
      <c r="L589" s="6">
        <v>0</v>
      </c>
      <c r="M589" s="6">
        <v>0</v>
      </c>
      <c r="N589" s="6">
        <v>0</v>
      </c>
      <c r="O589" s="6">
        <v>0</v>
      </c>
      <c r="P589" s="6">
        <v>51</v>
      </c>
      <c r="Q589" s="4" t="s">
        <v>26</v>
      </c>
      <c r="R589" s="4">
        <v>0</v>
      </c>
      <c r="S589" s="4" t="s">
        <v>264</v>
      </c>
      <c r="U589" s="4">
        <v>23</v>
      </c>
      <c r="V589" s="4">
        <v>0</v>
      </c>
      <c r="W589" s="4">
        <v>0</v>
      </c>
    </row>
    <row r="590" spans="1:23" ht="11.25" customHeight="1" x14ac:dyDescent="0.25">
      <c r="A590" s="4" t="s">
        <v>28</v>
      </c>
      <c r="B590" s="4" t="s">
        <v>39</v>
      </c>
      <c r="C590" s="4" t="s">
        <v>41</v>
      </c>
      <c r="D590" s="4" t="s">
        <v>45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44531</v>
      </c>
      <c r="J590" s="6">
        <v>235</v>
      </c>
      <c r="K590" s="6">
        <v>235</v>
      </c>
      <c r="L590" s="6">
        <v>0</v>
      </c>
      <c r="M590" s="6">
        <v>0</v>
      </c>
      <c r="N590" s="6">
        <v>0</v>
      </c>
      <c r="O590" s="6">
        <v>0</v>
      </c>
      <c r="P590" s="6">
        <v>2</v>
      </c>
      <c r="Q590" s="4" t="s">
        <v>26</v>
      </c>
      <c r="R590" s="4">
        <v>0</v>
      </c>
      <c r="S590" s="4" t="s">
        <v>264</v>
      </c>
      <c r="U590" s="4">
        <v>23</v>
      </c>
      <c r="V590" s="4">
        <v>0</v>
      </c>
      <c r="W590" s="4">
        <v>0</v>
      </c>
    </row>
    <row r="591" spans="1:23" ht="11.25" customHeight="1" x14ac:dyDescent="0.25">
      <c r="A591" s="4" t="s">
        <v>55</v>
      </c>
      <c r="B591" s="4" t="s">
        <v>39</v>
      </c>
      <c r="C591" s="4" t="s">
        <v>41</v>
      </c>
      <c r="D591" s="4" t="s">
        <v>45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9885</v>
      </c>
      <c r="K591" s="6">
        <v>9885</v>
      </c>
      <c r="L591" s="6">
        <v>0</v>
      </c>
      <c r="M591" s="6">
        <v>0</v>
      </c>
      <c r="N591" s="6">
        <v>0</v>
      </c>
      <c r="O591" s="6">
        <v>0</v>
      </c>
      <c r="P591" s="6">
        <v>51</v>
      </c>
      <c r="Q591" s="4" t="s">
        <v>26</v>
      </c>
      <c r="R591" s="4">
        <v>0</v>
      </c>
      <c r="S591" s="4" t="s">
        <v>265</v>
      </c>
      <c r="U591" s="4">
        <v>23</v>
      </c>
      <c r="V591" s="4">
        <v>0</v>
      </c>
      <c r="W591" s="4">
        <v>0</v>
      </c>
    </row>
    <row r="592" spans="1:23" ht="11.25" customHeight="1" x14ac:dyDescent="0.25">
      <c r="A592" s="4" t="s">
        <v>55</v>
      </c>
      <c r="B592" s="4" t="s">
        <v>39</v>
      </c>
      <c r="C592" s="4" t="s">
        <v>41</v>
      </c>
      <c r="D592" s="4" t="s">
        <v>45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44562</v>
      </c>
      <c r="J592" s="6">
        <v>235</v>
      </c>
      <c r="K592" s="6">
        <v>235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4" t="s">
        <v>26</v>
      </c>
      <c r="R592" s="4">
        <v>0</v>
      </c>
      <c r="S592" s="4" t="s">
        <v>265</v>
      </c>
      <c r="U592" s="4">
        <v>23</v>
      </c>
      <c r="V592" s="4">
        <v>0</v>
      </c>
      <c r="W592" s="4">
        <v>0</v>
      </c>
    </row>
    <row r="593" spans="1:23" ht="11.25" customHeight="1" x14ac:dyDescent="0.25">
      <c r="A593" s="4" t="s">
        <v>21</v>
      </c>
      <c r="B593" s="4" t="s">
        <v>39</v>
      </c>
      <c r="C593" s="4" t="s">
        <v>41</v>
      </c>
      <c r="D593" s="4" t="s">
        <v>45</v>
      </c>
      <c r="E593" s="4" t="s">
        <v>25</v>
      </c>
      <c r="F593" s="4" t="s">
        <v>25</v>
      </c>
      <c r="G593" s="4" t="s">
        <v>25</v>
      </c>
      <c r="H593" s="4" t="s">
        <v>34</v>
      </c>
      <c r="I593" s="5">
        <v>44228</v>
      </c>
      <c r="J593" s="6">
        <v>0</v>
      </c>
      <c r="K593" s="6">
        <v>0</v>
      </c>
      <c r="L593" s="6">
        <v>134.91900000000001</v>
      </c>
      <c r="M593" s="6">
        <v>134.91900000000001</v>
      </c>
      <c r="N593" s="6">
        <v>134.91900000000001</v>
      </c>
      <c r="O593" s="6">
        <v>134.91900000000001</v>
      </c>
      <c r="P593" s="6">
        <v>0</v>
      </c>
      <c r="Q593" s="4" t="s">
        <v>26</v>
      </c>
      <c r="R593" s="4">
        <v>0</v>
      </c>
      <c r="S593" s="4" t="s">
        <v>266</v>
      </c>
      <c r="T593" s="4" t="s">
        <v>495</v>
      </c>
      <c r="U593" s="4">
        <v>0</v>
      </c>
      <c r="V593" s="4">
        <v>24</v>
      </c>
      <c r="W593" s="4">
        <v>67</v>
      </c>
    </row>
    <row r="594" spans="1:23" ht="11.25" customHeight="1" x14ac:dyDescent="0.25">
      <c r="A594" s="4" t="s">
        <v>28</v>
      </c>
      <c r="B594" s="4" t="s">
        <v>39</v>
      </c>
      <c r="C594" s="4" t="s">
        <v>41</v>
      </c>
      <c r="D594" s="4" t="s">
        <v>45</v>
      </c>
      <c r="E594" s="4" t="s">
        <v>25</v>
      </c>
      <c r="F594" s="4" t="s">
        <v>25</v>
      </c>
      <c r="G594" s="4" t="s">
        <v>25</v>
      </c>
      <c r="H594" s="4" t="s">
        <v>34</v>
      </c>
      <c r="I594" s="5">
        <v>44228</v>
      </c>
      <c r="J594" s="6">
        <v>0</v>
      </c>
      <c r="K594" s="6">
        <v>0</v>
      </c>
      <c r="L594" s="6">
        <v>2.2400000000000002</v>
      </c>
      <c r="M594" s="6">
        <v>2.2400000000000002</v>
      </c>
      <c r="N594" s="6">
        <v>2.2400000000000002</v>
      </c>
      <c r="O594" s="6">
        <v>2.2400000000000002</v>
      </c>
      <c r="P594" s="6">
        <v>0</v>
      </c>
      <c r="Q594" s="4" t="s">
        <v>26</v>
      </c>
      <c r="R594" s="4">
        <v>0</v>
      </c>
      <c r="S594" s="4" t="s">
        <v>266</v>
      </c>
      <c r="T594" s="4" t="s">
        <v>495</v>
      </c>
      <c r="U594" s="4">
        <v>0</v>
      </c>
      <c r="V594" s="4">
        <v>24</v>
      </c>
      <c r="W594" s="4">
        <v>67</v>
      </c>
    </row>
    <row r="595" spans="1:23" ht="11.25" customHeight="1" x14ac:dyDescent="0.25">
      <c r="A595" s="4" t="s">
        <v>21</v>
      </c>
      <c r="B595" s="4" t="s">
        <v>39</v>
      </c>
      <c r="C595" s="4" t="s">
        <v>41</v>
      </c>
      <c r="D595" s="4" t="s">
        <v>45</v>
      </c>
      <c r="E595" s="4" t="s">
        <v>25</v>
      </c>
      <c r="F595" s="4" t="s">
        <v>25</v>
      </c>
      <c r="G595" s="4" t="s">
        <v>25</v>
      </c>
      <c r="H595" s="4" t="s">
        <v>34</v>
      </c>
      <c r="I595" s="5">
        <v>44256</v>
      </c>
      <c r="J595" s="6">
        <v>0</v>
      </c>
      <c r="K595" s="6">
        <v>0</v>
      </c>
      <c r="L595" s="6">
        <v>149.96299999999999</v>
      </c>
      <c r="M595" s="6">
        <v>149.96299999999999</v>
      </c>
      <c r="N595" s="6">
        <v>149.96299999999999</v>
      </c>
      <c r="O595" s="6">
        <v>149.96299999999999</v>
      </c>
      <c r="P595" s="6">
        <v>0</v>
      </c>
      <c r="Q595" s="4" t="s">
        <v>26</v>
      </c>
      <c r="R595" s="4">
        <v>0</v>
      </c>
      <c r="S595" s="4" t="s">
        <v>267</v>
      </c>
      <c r="T595" s="4" t="s">
        <v>496</v>
      </c>
      <c r="U595" s="4">
        <v>0</v>
      </c>
      <c r="V595" s="4">
        <v>24</v>
      </c>
      <c r="W595" s="4">
        <v>67</v>
      </c>
    </row>
    <row r="596" spans="1:23" ht="11.25" customHeight="1" x14ac:dyDescent="0.25">
      <c r="A596" s="4" t="s">
        <v>28</v>
      </c>
      <c r="B596" s="4" t="s">
        <v>39</v>
      </c>
      <c r="C596" s="4" t="s">
        <v>41</v>
      </c>
      <c r="D596" s="4" t="s">
        <v>45</v>
      </c>
      <c r="E596" s="4" t="s">
        <v>25</v>
      </c>
      <c r="F596" s="4" t="s">
        <v>25</v>
      </c>
      <c r="G596" s="4" t="s">
        <v>25</v>
      </c>
      <c r="H596" s="4" t="s">
        <v>34</v>
      </c>
      <c r="I596" s="5">
        <v>44256</v>
      </c>
      <c r="J596" s="6">
        <v>0</v>
      </c>
      <c r="K596" s="6">
        <v>0</v>
      </c>
      <c r="L596" s="6">
        <v>2.52</v>
      </c>
      <c r="M596" s="6">
        <v>2.52</v>
      </c>
      <c r="N596" s="6">
        <v>2.52</v>
      </c>
      <c r="O596" s="6">
        <v>2.52</v>
      </c>
      <c r="P596" s="6">
        <v>0</v>
      </c>
      <c r="Q596" s="4" t="s">
        <v>26</v>
      </c>
      <c r="R596" s="4">
        <v>0</v>
      </c>
      <c r="S596" s="4" t="s">
        <v>267</v>
      </c>
      <c r="T596" s="4" t="s">
        <v>496</v>
      </c>
      <c r="U596" s="4">
        <v>0</v>
      </c>
      <c r="V596" s="4">
        <v>24</v>
      </c>
      <c r="W596" s="4">
        <v>67</v>
      </c>
    </row>
    <row r="597" spans="1:23" ht="11.25" customHeight="1" x14ac:dyDescent="0.25">
      <c r="A597" s="4" t="s">
        <v>21</v>
      </c>
      <c r="B597" s="4" t="s">
        <v>39</v>
      </c>
      <c r="C597" s="4" t="s">
        <v>41</v>
      </c>
      <c r="D597" s="4" t="s">
        <v>45</v>
      </c>
      <c r="E597" s="4" t="s">
        <v>25</v>
      </c>
      <c r="F597" s="4" t="s">
        <v>25</v>
      </c>
      <c r="G597" s="4" t="s">
        <v>25</v>
      </c>
      <c r="H597" s="4" t="s">
        <v>34</v>
      </c>
      <c r="I597" s="5">
        <v>44287</v>
      </c>
      <c r="J597" s="6">
        <v>0</v>
      </c>
      <c r="K597" s="6">
        <v>0</v>
      </c>
      <c r="L597" s="6">
        <v>137.07400000000001</v>
      </c>
      <c r="M597" s="6">
        <v>137.07400000000001</v>
      </c>
      <c r="N597" s="6">
        <v>137.07400000000001</v>
      </c>
      <c r="O597" s="6">
        <v>137.07400000000001</v>
      </c>
      <c r="P597" s="6">
        <v>0</v>
      </c>
      <c r="Q597" s="4" t="s">
        <v>26</v>
      </c>
      <c r="R597" s="4">
        <v>0</v>
      </c>
      <c r="S597" s="4" t="s">
        <v>268</v>
      </c>
      <c r="T597" s="4" t="s">
        <v>497</v>
      </c>
      <c r="U597" s="4">
        <v>0</v>
      </c>
      <c r="V597" s="4">
        <v>24</v>
      </c>
      <c r="W597" s="4">
        <v>67</v>
      </c>
    </row>
    <row r="598" spans="1:23" ht="11.25" customHeight="1" x14ac:dyDescent="0.25">
      <c r="A598" s="4" t="s">
        <v>28</v>
      </c>
      <c r="B598" s="4" t="s">
        <v>39</v>
      </c>
      <c r="C598" s="4" t="s">
        <v>41</v>
      </c>
      <c r="D598" s="4" t="s">
        <v>45</v>
      </c>
      <c r="E598" s="4" t="s">
        <v>25</v>
      </c>
      <c r="F598" s="4" t="s">
        <v>25</v>
      </c>
      <c r="G598" s="4" t="s">
        <v>25</v>
      </c>
      <c r="H598" s="4" t="s">
        <v>34</v>
      </c>
      <c r="I598" s="5">
        <v>44287</v>
      </c>
      <c r="J598" s="6">
        <v>0</v>
      </c>
      <c r="K598" s="6">
        <v>0</v>
      </c>
      <c r="L598" s="6">
        <v>2.52</v>
      </c>
      <c r="M598" s="6">
        <v>2.52</v>
      </c>
      <c r="N598" s="6">
        <v>2.52</v>
      </c>
      <c r="O598" s="6">
        <v>2.52</v>
      </c>
      <c r="P598" s="6">
        <v>0</v>
      </c>
      <c r="Q598" s="4" t="s">
        <v>26</v>
      </c>
      <c r="R598" s="4">
        <v>0</v>
      </c>
      <c r="S598" s="4" t="s">
        <v>268</v>
      </c>
      <c r="T598" s="4" t="s">
        <v>497</v>
      </c>
      <c r="U598" s="4">
        <v>0</v>
      </c>
      <c r="V598" s="4">
        <v>24</v>
      </c>
      <c r="W598" s="4">
        <v>67</v>
      </c>
    </row>
    <row r="599" spans="1:23" ht="11.25" customHeight="1" x14ac:dyDescent="0.25">
      <c r="A599" s="4" t="s">
        <v>21</v>
      </c>
      <c r="B599" s="4" t="s">
        <v>39</v>
      </c>
      <c r="C599" s="4" t="s">
        <v>41</v>
      </c>
      <c r="D599" s="4" t="s">
        <v>45</v>
      </c>
      <c r="E599" s="4" t="s">
        <v>25</v>
      </c>
      <c r="F599" s="4" t="s">
        <v>25</v>
      </c>
      <c r="G599" s="4" t="s">
        <v>25</v>
      </c>
      <c r="H599" s="4" t="s">
        <v>34</v>
      </c>
      <c r="I599" s="5">
        <v>44317</v>
      </c>
      <c r="J599" s="6">
        <v>0</v>
      </c>
      <c r="K599" s="6">
        <v>0</v>
      </c>
      <c r="L599" s="6">
        <v>131.946</v>
      </c>
      <c r="M599" s="6">
        <v>131.946</v>
      </c>
      <c r="N599" s="6">
        <v>131.946</v>
      </c>
      <c r="O599" s="6">
        <v>131.946</v>
      </c>
      <c r="P599" s="6">
        <v>0</v>
      </c>
      <c r="Q599" s="4" t="s">
        <v>26</v>
      </c>
      <c r="R599" s="4">
        <v>0</v>
      </c>
      <c r="S599" s="4" t="s">
        <v>269</v>
      </c>
      <c r="T599" s="4" t="s">
        <v>498</v>
      </c>
      <c r="U599" s="4">
        <v>0</v>
      </c>
      <c r="V599" s="4">
        <v>24</v>
      </c>
      <c r="W599" s="4">
        <v>67</v>
      </c>
    </row>
    <row r="600" spans="1:23" ht="11.25" customHeight="1" x14ac:dyDescent="0.25">
      <c r="A600" s="4" t="s">
        <v>28</v>
      </c>
      <c r="B600" s="4" t="s">
        <v>39</v>
      </c>
      <c r="C600" s="4" t="s">
        <v>41</v>
      </c>
      <c r="D600" s="4" t="s">
        <v>45</v>
      </c>
      <c r="E600" s="4" t="s">
        <v>25</v>
      </c>
      <c r="F600" s="4" t="s">
        <v>25</v>
      </c>
      <c r="G600" s="4" t="s">
        <v>25</v>
      </c>
      <c r="H600" s="4" t="s">
        <v>34</v>
      </c>
      <c r="I600" s="5">
        <v>44317</v>
      </c>
      <c r="J600" s="6">
        <v>0</v>
      </c>
      <c r="K600" s="6">
        <v>0</v>
      </c>
      <c r="L600" s="6">
        <v>2.2400000000000002</v>
      </c>
      <c r="M600" s="6">
        <v>2.2400000000000002</v>
      </c>
      <c r="N600" s="6">
        <v>2.2400000000000002</v>
      </c>
      <c r="O600" s="6">
        <v>2.2400000000000002</v>
      </c>
      <c r="P600" s="6">
        <v>0</v>
      </c>
      <c r="Q600" s="4" t="s">
        <v>26</v>
      </c>
      <c r="R600" s="4">
        <v>0</v>
      </c>
      <c r="S600" s="4" t="s">
        <v>269</v>
      </c>
      <c r="T600" s="4" t="s">
        <v>498</v>
      </c>
      <c r="U600" s="4">
        <v>0</v>
      </c>
      <c r="V600" s="4">
        <v>24</v>
      </c>
      <c r="W600" s="4">
        <v>67</v>
      </c>
    </row>
    <row r="601" spans="1:23" ht="11.25" customHeight="1" x14ac:dyDescent="0.25">
      <c r="A601" s="4" t="s">
        <v>21</v>
      </c>
      <c r="B601" s="4" t="s">
        <v>39</v>
      </c>
      <c r="C601" s="4" t="s">
        <v>41</v>
      </c>
      <c r="D601" s="4" t="s">
        <v>45</v>
      </c>
      <c r="E601" s="4" t="s">
        <v>25</v>
      </c>
      <c r="F601" s="4" t="s">
        <v>25</v>
      </c>
      <c r="G601" s="4" t="s">
        <v>25</v>
      </c>
      <c r="H601" s="4" t="s">
        <v>34</v>
      </c>
      <c r="I601" s="5">
        <v>44348</v>
      </c>
      <c r="J601" s="6">
        <v>0</v>
      </c>
      <c r="K601" s="6">
        <v>0</v>
      </c>
      <c r="L601" s="6">
        <v>131.19800000000001</v>
      </c>
      <c r="M601" s="6">
        <v>131.19800000000001</v>
      </c>
      <c r="N601" s="6">
        <v>131.19800000000001</v>
      </c>
      <c r="O601" s="6">
        <v>131.19800000000001</v>
      </c>
      <c r="P601" s="6">
        <v>0</v>
      </c>
      <c r="Q601" s="4" t="s">
        <v>26</v>
      </c>
      <c r="R601" s="4">
        <v>0</v>
      </c>
      <c r="S601" s="4" t="s">
        <v>270</v>
      </c>
      <c r="T601" s="4" t="s">
        <v>499</v>
      </c>
      <c r="U601" s="4">
        <v>0</v>
      </c>
      <c r="V601" s="4">
        <v>24</v>
      </c>
      <c r="W601" s="4">
        <v>67</v>
      </c>
    </row>
    <row r="602" spans="1:23" ht="11.25" customHeight="1" x14ac:dyDescent="0.25">
      <c r="A602" s="4" t="s">
        <v>28</v>
      </c>
      <c r="B602" s="4" t="s">
        <v>39</v>
      </c>
      <c r="C602" s="4" t="s">
        <v>41</v>
      </c>
      <c r="D602" s="4" t="s">
        <v>45</v>
      </c>
      <c r="E602" s="4" t="s">
        <v>25</v>
      </c>
      <c r="F602" s="4" t="s">
        <v>25</v>
      </c>
      <c r="G602" s="4" t="s">
        <v>25</v>
      </c>
      <c r="H602" s="4" t="s">
        <v>34</v>
      </c>
      <c r="I602" s="5">
        <v>44348</v>
      </c>
      <c r="J602" s="6">
        <v>0</v>
      </c>
      <c r="K602" s="6">
        <v>0</v>
      </c>
      <c r="L602" s="6">
        <v>1.96</v>
      </c>
      <c r="M602" s="6">
        <v>1.96</v>
      </c>
      <c r="N602" s="6">
        <v>1.96</v>
      </c>
      <c r="O602" s="6">
        <v>1.96</v>
      </c>
      <c r="P602" s="6">
        <v>0</v>
      </c>
      <c r="Q602" s="4" t="s">
        <v>26</v>
      </c>
      <c r="R602" s="4">
        <v>0</v>
      </c>
      <c r="S602" s="4" t="s">
        <v>270</v>
      </c>
      <c r="T602" s="4" t="s">
        <v>499</v>
      </c>
      <c r="U602" s="4">
        <v>0</v>
      </c>
      <c r="V602" s="4">
        <v>24</v>
      </c>
      <c r="W602" s="4">
        <v>67</v>
      </c>
    </row>
    <row r="603" spans="1:23" ht="11.25" customHeight="1" x14ac:dyDescent="0.25">
      <c r="A603" s="4" t="s">
        <v>21</v>
      </c>
      <c r="B603" s="4" t="s">
        <v>39</v>
      </c>
      <c r="C603" s="4" t="s">
        <v>41</v>
      </c>
      <c r="D603" s="4" t="s">
        <v>45</v>
      </c>
      <c r="E603" s="4" t="s">
        <v>25</v>
      </c>
      <c r="F603" s="4" t="s">
        <v>25</v>
      </c>
      <c r="G603" s="4" t="s">
        <v>25</v>
      </c>
      <c r="H603" s="4" t="s">
        <v>34</v>
      </c>
      <c r="I603" s="5">
        <v>44378</v>
      </c>
      <c r="J603" s="6">
        <v>0</v>
      </c>
      <c r="K603" s="6">
        <v>0</v>
      </c>
      <c r="L603" s="6">
        <v>131.447</v>
      </c>
      <c r="M603" s="6">
        <v>131.447</v>
      </c>
      <c r="N603" s="6">
        <v>131.447</v>
      </c>
      <c r="O603" s="6">
        <v>131.447</v>
      </c>
      <c r="P603" s="6">
        <v>0</v>
      </c>
      <c r="Q603" s="4" t="s">
        <v>26</v>
      </c>
      <c r="R603" s="4">
        <v>0</v>
      </c>
      <c r="S603" s="4" t="s">
        <v>271</v>
      </c>
      <c r="T603" s="4" t="s">
        <v>500</v>
      </c>
      <c r="U603" s="4">
        <v>0</v>
      </c>
      <c r="V603" s="4">
        <v>24</v>
      </c>
      <c r="W603" s="4">
        <v>67</v>
      </c>
    </row>
    <row r="604" spans="1:23" ht="11.25" customHeight="1" x14ac:dyDescent="0.25">
      <c r="A604" s="4" t="s">
        <v>28</v>
      </c>
      <c r="B604" s="4" t="s">
        <v>39</v>
      </c>
      <c r="C604" s="4" t="s">
        <v>41</v>
      </c>
      <c r="D604" s="4" t="s">
        <v>45</v>
      </c>
      <c r="E604" s="4" t="s">
        <v>25</v>
      </c>
      <c r="F604" s="4" t="s">
        <v>25</v>
      </c>
      <c r="G604" s="4" t="s">
        <v>25</v>
      </c>
      <c r="H604" s="4" t="s">
        <v>34</v>
      </c>
      <c r="I604" s="5">
        <v>44378</v>
      </c>
      <c r="J604" s="6">
        <v>0</v>
      </c>
      <c r="K604" s="6">
        <v>0</v>
      </c>
      <c r="L604" s="6">
        <v>1.96</v>
      </c>
      <c r="M604" s="6">
        <v>1.96</v>
      </c>
      <c r="N604" s="6">
        <v>1.96</v>
      </c>
      <c r="O604" s="6">
        <v>1.96</v>
      </c>
      <c r="P604" s="6">
        <v>0</v>
      </c>
      <c r="Q604" s="4" t="s">
        <v>26</v>
      </c>
      <c r="R604" s="4">
        <v>0</v>
      </c>
      <c r="S604" s="4" t="s">
        <v>271</v>
      </c>
      <c r="T604" s="4" t="s">
        <v>500</v>
      </c>
      <c r="U604" s="4">
        <v>0</v>
      </c>
      <c r="V604" s="4">
        <v>24</v>
      </c>
      <c r="W604" s="4">
        <v>67</v>
      </c>
    </row>
    <row r="605" spans="1:23" ht="11.25" customHeight="1" x14ac:dyDescent="0.25">
      <c r="A605" s="4" t="s">
        <v>21</v>
      </c>
      <c r="B605" s="4" t="s">
        <v>39</v>
      </c>
      <c r="C605" s="4" t="s">
        <v>41</v>
      </c>
      <c r="D605" s="4" t="s">
        <v>45</v>
      </c>
      <c r="E605" s="4" t="s">
        <v>25</v>
      </c>
      <c r="F605" s="4" t="s">
        <v>25</v>
      </c>
      <c r="G605" s="4" t="s">
        <v>25</v>
      </c>
      <c r="H605" s="4" t="s">
        <v>34</v>
      </c>
      <c r="I605" s="5">
        <v>44409</v>
      </c>
      <c r="J605" s="6">
        <v>0</v>
      </c>
      <c r="K605" s="6">
        <v>0</v>
      </c>
      <c r="L605" s="6">
        <v>128.815</v>
      </c>
      <c r="M605" s="6">
        <v>128.815</v>
      </c>
      <c r="N605" s="6">
        <v>128.815</v>
      </c>
      <c r="O605" s="6">
        <v>128.815</v>
      </c>
      <c r="P605" s="6">
        <v>0</v>
      </c>
      <c r="Q605" s="4" t="s">
        <v>26</v>
      </c>
      <c r="R605" s="4">
        <v>0</v>
      </c>
      <c r="S605" s="4" t="s">
        <v>272</v>
      </c>
      <c r="T605" s="4" t="s">
        <v>501</v>
      </c>
      <c r="U605" s="4">
        <v>0</v>
      </c>
      <c r="V605" s="4">
        <v>24</v>
      </c>
      <c r="W605" s="4">
        <v>67</v>
      </c>
    </row>
    <row r="606" spans="1:23" ht="11.25" customHeight="1" x14ac:dyDescent="0.25">
      <c r="A606" s="4" t="s">
        <v>28</v>
      </c>
      <c r="B606" s="4" t="s">
        <v>39</v>
      </c>
      <c r="C606" s="4" t="s">
        <v>41</v>
      </c>
      <c r="D606" s="4" t="s">
        <v>45</v>
      </c>
      <c r="E606" s="4" t="s">
        <v>25</v>
      </c>
      <c r="F606" s="4" t="s">
        <v>25</v>
      </c>
      <c r="G606" s="4" t="s">
        <v>25</v>
      </c>
      <c r="H606" s="4" t="s">
        <v>34</v>
      </c>
      <c r="I606" s="5">
        <v>44409</v>
      </c>
      <c r="J606" s="6">
        <v>0</v>
      </c>
      <c r="K606" s="6">
        <v>0</v>
      </c>
      <c r="L606" s="6">
        <v>2.2400000000000002</v>
      </c>
      <c r="M606" s="6">
        <v>2.2400000000000002</v>
      </c>
      <c r="N606" s="6">
        <v>2.2400000000000002</v>
      </c>
      <c r="O606" s="6">
        <v>2.2400000000000002</v>
      </c>
      <c r="P606" s="6">
        <v>0</v>
      </c>
      <c r="Q606" s="4" t="s">
        <v>26</v>
      </c>
      <c r="R606" s="4">
        <v>0</v>
      </c>
      <c r="S606" s="4" t="s">
        <v>272</v>
      </c>
      <c r="T606" s="4" t="s">
        <v>501</v>
      </c>
      <c r="U606" s="4">
        <v>0</v>
      </c>
      <c r="V606" s="4">
        <v>24</v>
      </c>
      <c r="W606" s="4">
        <v>67</v>
      </c>
    </row>
    <row r="607" spans="1:23" ht="11.25" customHeight="1" x14ac:dyDescent="0.25">
      <c r="A607" s="4" t="s">
        <v>21</v>
      </c>
      <c r="B607" s="4" t="s">
        <v>39</v>
      </c>
      <c r="C607" s="4" t="s">
        <v>41</v>
      </c>
      <c r="D607" s="4" t="s">
        <v>45</v>
      </c>
      <c r="E607" s="4" t="s">
        <v>25</v>
      </c>
      <c r="F607" s="4" t="s">
        <v>25</v>
      </c>
      <c r="G607" s="4" t="s">
        <v>25</v>
      </c>
      <c r="H607" s="4" t="s">
        <v>34</v>
      </c>
      <c r="I607" s="5">
        <v>44440</v>
      </c>
      <c r="J607" s="6">
        <v>0</v>
      </c>
      <c r="K607" s="6">
        <v>0</v>
      </c>
      <c r="L607" s="6">
        <v>133.43899999999999</v>
      </c>
      <c r="M607" s="6">
        <v>133.43899999999999</v>
      </c>
      <c r="N607" s="6">
        <v>133.43899999999999</v>
      </c>
      <c r="O607" s="6">
        <v>133.43899999999999</v>
      </c>
      <c r="P607" s="6">
        <v>0</v>
      </c>
      <c r="Q607" s="4" t="s">
        <v>26</v>
      </c>
      <c r="R607" s="4">
        <v>0</v>
      </c>
      <c r="S607" s="4" t="s">
        <v>273</v>
      </c>
      <c r="T607" s="4" t="s">
        <v>502</v>
      </c>
      <c r="U607" s="4">
        <v>0</v>
      </c>
      <c r="V607" s="4">
        <v>24</v>
      </c>
      <c r="W607" s="4">
        <v>67</v>
      </c>
    </row>
    <row r="608" spans="1:23" ht="11.25" customHeight="1" x14ac:dyDescent="0.25">
      <c r="A608" s="4" t="s">
        <v>28</v>
      </c>
      <c r="B608" s="4" t="s">
        <v>39</v>
      </c>
      <c r="C608" s="4" t="s">
        <v>41</v>
      </c>
      <c r="D608" s="4" t="s">
        <v>45</v>
      </c>
      <c r="E608" s="4" t="s">
        <v>25</v>
      </c>
      <c r="F608" s="4" t="s">
        <v>25</v>
      </c>
      <c r="G608" s="4" t="s">
        <v>25</v>
      </c>
      <c r="H608" s="4" t="s">
        <v>34</v>
      </c>
      <c r="I608" s="5">
        <v>44440</v>
      </c>
      <c r="J608" s="6">
        <v>0</v>
      </c>
      <c r="K608" s="6">
        <v>0</v>
      </c>
      <c r="L608" s="6">
        <v>1.96</v>
      </c>
      <c r="M608" s="6">
        <v>1.96</v>
      </c>
      <c r="N608" s="6">
        <v>1.96</v>
      </c>
      <c r="O608" s="6">
        <v>1.96</v>
      </c>
      <c r="P608" s="6">
        <v>0</v>
      </c>
      <c r="Q608" s="4" t="s">
        <v>26</v>
      </c>
      <c r="R608" s="4">
        <v>0</v>
      </c>
      <c r="S608" s="4" t="s">
        <v>273</v>
      </c>
      <c r="T608" s="4" t="s">
        <v>502</v>
      </c>
      <c r="U608" s="4">
        <v>0</v>
      </c>
      <c r="V608" s="4">
        <v>24</v>
      </c>
      <c r="W608" s="4">
        <v>67</v>
      </c>
    </row>
    <row r="609" spans="1:23" ht="11.25" customHeight="1" x14ac:dyDescent="0.25">
      <c r="A609" s="4" t="s">
        <v>21</v>
      </c>
      <c r="B609" s="4" t="s">
        <v>39</v>
      </c>
      <c r="C609" s="4" t="s">
        <v>41</v>
      </c>
      <c r="D609" s="4" t="s">
        <v>45</v>
      </c>
      <c r="E609" s="4" t="s">
        <v>25</v>
      </c>
      <c r="F609" s="4" t="s">
        <v>25</v>
      </c>
      <c r="G609" s="4" t="s">
        <v>25</v>
      </c>
      <c r="H609" s="4" t="s">
        <v>34</v>
      </c>
      <c r="I609" s="5">
        <v>44470</v>
      </c>
      <c r="J609" s="6">
        <v>0</v>
      </c>
      <c r="K609" s="6">
        <v>0</v>
      </c>
      <c r="L609" s="6">
        <v>129.28</v>
      </c>
      <c r="M609" s="6">
        <v>129.28</v>
      </c>
      <c r="N609" s="6">
        <v>129.28</v>
      </c>
      <c r="O609" s="6">
        <v>129.28</v>
      </c>
      <c r="P609" s="6">
        <v>0</v>
      </c>
      <c r="Q609" s="4" t="s">
        <v>26</v>
      </c>
      <c r="R609" s="4">
        <v>0</v>
      </c>
      <c r="S609" s="4" t="s">
        <v>274</v>
      </c>
      <c r="T609" s="4" t="s">
        <v>503</v>
      </c>
      <c r="U609" s="4">
        <v>0</v>
      </c>
      <c r="V609" s="4">
        <v>24</v>
      </c>
      <c r="W609" s="4">
        <v>67</v>
      </c>
    </row>
    <row r="610" spans="1:23" ht="11.25" customHeight="1" x14ac:dyDescent="0.25">
      <c r="A610" s="4" t="s">
        <v>28</v>
      </c>
      <c r="B610" s="4" t="s">
        <v>39</v>
      </c>
      <c r="C610" s="4" t="s">
        <v>41</v>
      </c>
      <c r="D610" s="4" t="s">
        <v>45</v>
      </c>
      <c r="E610" s="4" t="s">
        <v>25</v>
      </c>
      <c r="F610" s="4" t="s">
        <v>25</v>
      </c>
      <c r="G610" s="4" t="s">
        <v>25</v>
      </c>
      <c r="H610" s="4" t="s">
        <v>34</v>
      </c>
      <c r="I610" s="5">
        <v>44470</v>
      </c>
      <c r="J610" s="6">
        <v>0</v>
      </c>
      <c r="K610" s="6">
        <v>0</v>
      </c>
      <c r="L610" s="6">
        <v>2.2400000000000002</v>
      </c>
      <c r="M610" s="6">
        <v>2.2400000000000002</v>
      </c>
      <c r="N610" s="6">
        <v>2.2400000000000002</v>
      </c>
      <c r="O610" s="6">
        <v>2.2400000000000002</v>
      </c>
      <c r="P610" s="6">
        <v>0</v>
      </c>
      <c r="Q610" s="4" t="s">
        <v>26</v>
      </c>
      <c r="R610" s="4">
        <v>0</v>
      </c>
      <c r="S610" s="4" t="s">
        <v>274</v>
      </c>
      <c r="T610" s="4" t="s">
        <v>503</v>
      </c>
      <c r="U610" s="4">
        <v>0</v>
      </c>
      <c r="V610" s="4">
        <v>24</v>
      </c>
      <c r="W610" s="4">
        <v>67</v>
      </c>
    </row>
    <row r="611" spans="1:23" ht="11.25" customHeight="1" x14ac:dyDescent="0.25">
      <c r="A611" s="4" t="s">
        <v>21</v>
      </c>
      <c r="B611" s="4" t="s">
        <v>39</v>
      </c>
      <c r="C611" s="4" t="s">
        <v>41</v>
      </c>
      <c r="D611" s="4" t="s">
        <v>45</v>
      </c>
      <c r="E611" s="4" t="s">
        <v>25</v>
      </c>
      <c r="F611" s="4" t="s">
        <v>25</v>
      </c>
      <c r="G611" s="4" t="s">
        <v>25</v>
      </c>
      <c r="H611" s="4" t="s">
        <v>34</v>
      </c>
      <c r="I611" s="5">
        <v>44501</v>
      </c>
      <c r="J611" s="6">
        <v>0</v>
      </c>
      <c r="K611" s="6">
        <v>0</v>
      </c>
      <c r="L611" s="6">
        <v>138.97200000000001</v>
      </c>
      <c r="M611" s="6">
        <v>138.97200000000001</v>
      </c>
      <c r="N611" s="6">
        <v>138.97200000000001</v>
      </c>
      <c r="O611" s="6">
        <v>138.97200000000001</v>
      </c>
      <c r="P611" s="6">
        <v>0</v>
      </c>
      <c r="Q611" s="4" t="s">
        <v>26</v>
      </c>
      <c r="R611" s="4">
        <v>0</v>
      </c>
      <c r="S611" s="4" t="s">
        <v>275</v>
      </c>
      <c r="T611" s="4" t="s">
        <v>504</v>
      </c>
      <c r="U611" s="4">
        <v>0</v>
      </c>
      <c r="V611" s="4">
        <v>24</v>
      </c>
      <c r="W611" s="4">
        <v>67</v>
      </c>
    </row>
    <row r="612" spans="1:23" ht="11.25" customHeight="1" x14ac:dyDescent="0.25">
      <c r="A612" s="4" t="s">
        <v>28</v>
      </c>
      <c r="B612" s="4" t="s">
        <v>39</v>
      </c>
      <c r="C612" s="4" t="s">
        <v>41</v>
      </c>
      <c r="D612" s="4" t="s">
        <v>45</v>
      </c>
      <c r="E612" s="4" t="s">
        <v>25</v>
      </c>
      <c r="F612" s="4" t="s">
        <v>25</v>
      </c>
      <c r="G612" s="4" t="s">
        <v>25</v>
      </c>
      <c r="H612" s="4" t="s">
        <v>34</v>
      </c>
      <c r="I612" s="5">
        <v>44501</v>
      </c>
      <c r="J612" s="6">
        <v>0</v>
      </c>
      <c r="K612" s="6">
        <v>0</v>
      </c>
      <c r="L612" s="6">
        <v>2.52</v>
      </c>
      <c r="M612" s="6">
        <v>2.52</v>
      </c>
      <c r="N612" s="6">
        <v>2.52</v>
      </c>
      <c r="O612" s="6">
        <v>2.52</v>
      </c>
      <c r="P612" s="6">
        <v>0</v>
      </c>
      <c r="Q612" s="4" t="s">
        <v>26</v>
      </c>
      <c r="R612" s="4">
        <v>0</v>
      </c>
      <c r="S612" s="4" t="s">
        <v>275</v>
      </c>
      <c r="T612" s="4" t="s">
        <v>504</v>
      </c>
      <c r="U612" s="4">
        <v>0</v>
      </c>
      <c r="V612" s="4">
        <v>24</v>
      </c>
      <c r="W612" s="4">
        <v>67</v>
      </c>
    </row>
    <row r="613" spans="1:23" ht="11.25" customHeight="1" x14ac:dyDescent="0.25">
      <c r="A613" s="4" t="s">
        <v>21</v>
      </c>
      <c r="B613" s="4" t="s">
        <v>39</v>
      </c>
      <c r="C613" s="4" t="s">
        <v>41</v>
      </c>
      <c r="D613" s="4" t="s">
        <v>45</v>
      </c>
      <c r="E613" s="4" t="s">
        <v>25</v>
      </c>
      <c r="F613" s="4" t="s">
        <v>25</v>
      </c>
      <c r="G613" s="4" t="s">
        <v>25</v>
      </c>
      <c r="H613" s="4" t="s">
        <v>34</v>
      </c>
      <c r="I613" s="5">
        <v>44531</v>
      </c>
      <c r="J613" s="6">
        <v>0</v>
      </c>
      <c r="K613" s="6">
        <v>0</v>
      </c>
      <c r="L613" s="6">
        <v>152.41800000000001</v>
      </c>
      <c r="M613" s="6">
        <v>152.41800000000001</v>
      </c>
      <c r="N613" s="6">
        <v>152.41800000000001</v>
      </c>
      <c r="O613" s="6">
        <v>152.41800000000001</v>
      </c>
      <c r="P613" s="6">
        <v>0</v>
      </c>
      <c r="Q613" s="4" t="s">
        <v>26</v>
      </c>
      <c r="R613" s="4">
        <v>0</v>
      </c>
      <c r="S613" s="4" t="s">
        <v>276</v>
      </c>
      <c r="T613" s="4" t="s">
        <v>505</v>
      </c>
      <c r="U613" s="4">
        <v>0</v>
      </c>
      <c r="V613" s="4">
        <v>24</v>
      </c>
      <c r="W613" s="4">
        <v>67</v>
      </c>
    </row>
    <row r="614" spans="1:23" ht="11.25" customHeight="1" x14ac:dyDescent="0.25">
      <c r="A614" s="4" t="s">
        <v>28</v>
      </c>
      <c r="B614" s="4" t="s">
        <v>39</v>
      </c>
      <c r="C614" s="4" t="s">
        <v>41</v>
      </c>
      <c r="D614" s="4" t="s">
        <v>45</v>
      </c>
      <c r="E614" s="4" t="s">
        <v>25</v>
      </c>
      <c r="F614" s="4" t="s">
        <v>25</v>
      </c>
      <c r="G614" s="4" t="s">
        <v>25</v>
      </c>
      <c r="H614" s="4" t="s">
        <v>34</v>
      </c>
      <c r="I614" s="5">
        <v>44531</v>
      </c>
      <c r="J614" s="6">
        <v>0</v>
      </c>
      <c r="K614" s="6">
        <v>0</v>
      </c>
      <c r="L614" s="6">
        <v>2.52</v>
      </c>
      <c r="M614" s="6">
        <v>2.52</v>
      </c>
      <c r="N614" s="6">
        <v>2.52</v>
      </c>
      <c r="O614" s="6">
        <v>2.52</v>
      </c>
      <c r="P614" s="6">
        <v>0</v>
      </c>
      <c r="Q614" s="4" t="s">
        <v>26</v>
      </c>
      <c r="R614" s="4">
        <v>0</v>
      </c>
      <c r="S614" s="4" t="s">
        <v>276</v>
      </c>
      <c r="T614" s="4" t="s">
        <v>505</v>
      </c>
      <c r="U614" s="4">
        <v>0</v>
      </c>
      <c r="V614" s="4">
        <v>24</v>
      </c>
      <c r="W614" s="4">
        <v>67</v>
      </c>
    </row>
    <row r="615" spans="1:23" ht="11.25" customHeight="1" x14ac:dyDescent="0.25">
      <c r="A615" s="4" t="s">
        <v>55</v>
      </c>
      <c r="B615" s="4" t="s">
        <v>39</v>
      </c>
      <c r="C615" s="4" t="s">
        <v>41</v>
      </c>
      <c r="D615" s="4" t="s">
        <v>45</v>
      </c>
      <c r="E615" s="4" t="s">
        <v>25</v>
      </c>
      <c r="F615" s="4" t="s">
        <v>25</v>
      </c>
      <c r="G615" s="4" t="s">
        <v>25</v>
      </c>
      <c r="H615" s="4" t="s">
        <v>34</v>
      </c>
      <c r="I615" s="5">
        <v>44562</v>
      </c>
      <c r="J615" s="6">
        <v>0</v>
      </c>
      <c r="K615" s="6">
        <v>0</v>
      </c>
      <c r="L615" s="6">
        <v>152.41800000000001</v>
      </c>
      <c r="M615" s="6">
        <v>152.41800000000001</v>
      </c>
      <c r="N615" s="6">
        <v>152.41800000000001</v>
      </c>
      <c r="O615" s="6">
        <v>152.41800000000001</v>
      </c>
      <c r="P615" s="6">
        <v>0</v>
      </c>
      <c r="Q615" s="4" t="s">
        <v>26</v>
      </c>
      <c r="R615" s="4">
        <v>0</v>
      </c>
      <c r="S615" s="4" t="s">
        <v>277</v>
      </c>
      <c r="T615" s="4" t="s">
        <v>506</v>
      </c>
      <c r="U615" s="4">
        <v>0</v>
      </c>
      <c r="V615" s="4">
        <v>24</v>
      </c>
      <c r="W615" s="4">
        <v>67</v>
      </c>
    </row>
    <row r="616" spans="1:23" ht="11.25" customHeight="1" x14ac:dyDescent="0.25">
      <c r="A616" s="4" t="s">
        <v>55</v>
      </c>
      <c r="B616" s="4" t="s">
        <v>39</v>
      </c>
      <c r="C616" s="4" t="s">
        <v>41</v>
      </c>
      <c r="D616" s="4" t="s">
        <v>45</v>
      </c>
      <c r="E616" s="4" t="s">
        <v>25</v>
      </c>
      <c r="F616" s="4" t="s">
        <v>25</v>
      </c>
      <c r="G616" s="4" t="s">
        <v>25</v>
      </c>
      <c r="H616" s="4" t="s">
        <v>34</v>
      </c>
      <c r="I616" s="5">
        <v>44562</v>
      </c>
      <c r="J616" s="6">
        <v>0</v>
      </c>
      <c r="K616" s="6">
        <v>0</v>
      </c>
      <c r="L616" s="6">
        <v>2.52</v>
      </c>
      <c r="M616" s="6">
        <v>2.52</v>
      </c>
      <c r="N616" s="6">
        <v>2.52</v>
      </c>
      <c r="O616" s="6">
        <v>2.52</v>
      </c>
      <c r="P616" s="6">
        <v>0</v>
      </c>
      <c r="Q616" s="4" t="s">
        <v>26</v>
      </c>
      <c r="R616" s="4">
        <v>0</v>
      </c>
      <c r="S616" s="4" t="s">
        <v>277</v>
      </c>
      <c r="T616" s="4" t="s">
        <v>506</v>
      </c>
      <c r="U616" s="4">
        <v>0</v>
      </c>
      <c r="V616" s="4">
        <v>24</v>
      </c>
      <c r="W616" s="4">
        <v>67</v>
      </c>
    </row>
    <row r="617" spans="1:23" ht="11.25" customHeight="1" x14ac:dyDescent="0.25">
      <c r="A617" s="4" t="s">
        <v>21</v>
      </c>
      <c r="B617" s="4" t="s">
        <v>39</v>
      </c>
      <c r="C617" s="4" t="s">
        <v>41</v>
      </c>
      <c r="D617" s="4" t="s">
        <v>44</v>
      </c>
      <c r="E617" s="4" t="s">
        <v>25</v>
      </c>
      <c r="F617" s="4" t="s">
        <v>25</v>
      </c>
      <c r="G617" s="4" t="s">
        <v>25</v>
      </c>
      <c r="H617" s="4" t="s">
        <v>35</v>
      </c>
      <c r="I617" s="5">
        <v>44228</v>
      </c>
      <c r="J617" s="6">
        <v>0</v>
      </c>
      <c r="K617" s="6">
        <v>0</v>
      </c>
      <c r="L617" s="6">
        <v>98.512</v>
      </c>
      <c r="M617" s="6">
        <v>94.571520000000007</v>
      </c>
      <c r="N617" s="6">
        <v>98.512</v>
      </c>
      <c r="O617" s="6">
        <v>94.571520000000007</v>
      </c>
      <c r="P617" s="6">
        <v>0</v>
      </c>
      <c r="Q617" s="4" t="s">
        <v>26</v>
      </c>
      <c r="R617" s="4">
        <v>0</v>
      </c>
      <c r="S617" s="4" t="s">
        <v>242</v>
      </c>
      <c r="T617" s="4" t="s">
        <v>483</v>
      </c>
      <c r="U617" s="4">
        <v>0</v>
      </c>
      <c r="V617" s="4">
        <v>25</v>
      </c>
      <c r="W617" s="4">
        <v>68</v>
      </c>
    </row>
    <row r="618" spans="1:23" ht="11.25" customHeight="1" x14ac:dyDescent="0.25">
      <c r="A618" s="4" t="s">
        <v>21</v>
      </c>
      <c r="B618" s="4" t="s">
        <v>39</v>
      </c>
      <c r="C618" s="4" t="s">
        <v>41</v>
      </c>
      <c r="D618" s="4" t="s">
        <v>44</v>
      </c>
      <c r="E618" s="4" t="s">
        <v>25</v>
      </c>
      <c r="F618" s="4" t="s">
        <v>25</v>
      </c>
      <c r="G618" s="4" t="s">
        <v>25</v>
      </c>
      <c r="H618" s="4" t="s">
        <v>35</v>
      </c>
      <c r="I618" s="5">
        <v>44256</v>
      </c>
      <c r="J618" s="6">
        <v>0</v>
      </c>
      <c r="K618" s="6">
        <v>0</v>
      </c>
      <c r="L618" s="6">
        <v>109.238</v>
      </c>
      <c r="M618" s="6">
        <v>104.86848000000001</v>
      </c>
      <c r="N618" s="6">
        <v>109.238</v>
      </c>
      <c r="O618" s="6">
        <v>104.86848000000001</v>
      </c>
      <c r="P618" s="6">
        <v>0</v>
      </c>
      <c r="Q618" s="4" t="s">
        <v>26</v>
      </c>
      <c r="R618" s="4">
        <v>0</v>
      </c>
      <c r="S618" s="4" t="s">
        <v>243</v>
      </c>
      <c r="T618" s="4" t="s">
        <v>484</v>
      </c>
      <c r="U618" s="4">
        <v>0</v>
      </c>
      <c r="V618" s="4">
        <v>25</v>
      </c>
      <c r="W618" s="4">
        <v>68</v>
      </c>
    </row>
    <row r="619" spans="1:23" ht="11.25" customHeight="1" x14ac:dyDescent="0.25">
      <c r="A619" s="4" t="s">
        <v>21</v>
      </c>
      <c r="B619" s="4" t="s">
        <v>39</v>
      </c>
      <c r="C619" s="4" t="s">
        <v>41</v>
      </c>
      <c r="D619" s="4" t="s">
        <v>44</v>
      </c>
      <c r="E619" s="4" t="s">
        <v>25</v>
      </c>
      <c r="F619" s="4" t="s">
        <v>25</v>
      </c>
      <c r="G619" s="4" t="s">
        <v>25</v>
      </c>
      <c r="H619" s="4" t="s">
        <v>35</v>
      </c>
      <c r="I619" s="5">
        <v>44287</v>
      </c>
      <c r="J619" s="6">
        <v>0</v>
      </c>
      <c r="K619" s="6">
        <v>0</v>
      </c>
      <c r="L619" s="6">
        <v>116.056</v>
      </c>
      <c r="M619" s="6">
        <v>111.41376</v>
      </c>
      <c r="N619" s="6">
        <v>116.056</v>
      </c>
      <c r="O619" s="6">
        <v>111.41376</v>
      </c>
      <c r="P619" s="6">
        <v>0</v>
      </c>
      <c r="Q619" s="4" t="s">
        <v>26</v>
      </c>
      <c r="R619" s="4">
        <v>0</v>
      </c>
      <c r="S619" s="4" t="s">
        <v>244</v>
      </c>
      <c r="T619" s="4" t="s">
        <v>485</v>
      </c>
      <c r="U619" s="4">
        <v>0</v>
      </c>
      <c r="V619" s="4">
        <v>25</v>
      </c>
      <c r="W619" s="4">
        <v>68</v>
      </c>
    </row>
    <row r="620" spans="1:23" ht="11.25" customHeight="1" x14ac:dyDescent="0.25">
      <c r="A620" s="4" t="s">
        <v>21</v>
      </c>
      <c r="B620" s="4" t="s">
        <v>39</v>
      </c>
      <c r="C620" s="4" t="s">
        <v>41</v>
      </c>
      <c r="D620" s="4" t="s">
        <v>44</v>
      </c>
      <c r="E620" s="4" t="s">
        <v>25</v>
      </c>
      <c r="F620" s="4" t="s">
        <v>25</v>
      </c>
      <c r="G620" s="4" t="s">
        <v>25</v>
      </c>
      <c r="H620" s="4" t="s">
        <v>35</v>
      </c>
      <c r="I620" s="5">
        <v>44317</v>
      </c>
      <c r="J620" s="6">
        <v>0</v>
      </c>
      <c r="K620" s="6">
        <v>0</v>
      </c>
      <c r="L620" s="6">
        <v>109.06</v>
      </c>
      <c r="M620" s="6">
        <v>104.69759999999999</v>
      </c>
      <c r="N620" s="6">
        <v>109.06</v>
      </c>
      <c r="O620" s="6">
        <v>104.69759999999999</v>
      </c>
      <c r="P620" s="6">
        <v>0</v>
      </c>
      <c r="Q620" s="4" t="s">
        <v>26</v>
      </c>
      <c r="R620" s="4">
        <v>0</v>
      </c>
      <c r="S620" s="4" t="s">
        <v>245</v>
      </c>
      <c r="T620" s="4" t="s">
        <v>486</v>
      </c>
      <c r="U620" s="4">
        <v>0</v>
      </c>
      <c r="V620" s="4">
        <v>25</v>
      </c>
      <c r="W620" s="4">
        <v>68</v>
      </c>
    </row>
    <row r="621" spans="1:23" ht="11.25" customHeight="1" x14ac:dyDescent="0.25">
      <c r="A621" s="4" t="s">
        <v>21</v>
      </c>
      <c r="B621" s="4" t="s">
        <v>39</v>
      </c>
      <c r="C621" s="4" t="s">
        <v>41</v>
      </c>
      <c r="D621" s="4" t="s">
        <v>44</v>
      </c>
      <c r="E621" s="4" t="s">
        <v>25</v>
      </c>
      <c r="F621" s="4" t="s">
        <v>25</v>
      </c>
      <c r="G621" s="4" t="s">
        <v>25</v>
      </c>
      <c r="H621" s="4" t="s">
        <v>35</v>
      </c>
      <c r="I621" s="5">
        <v>44348</v>
      </c>
      <c r="J621" s="6">
        <v>0</v>
      </c>
      <c r="K621" s="6">
        <v>0</v>
      </c>
      <c r="L621" s="6">
        <v>105.22799999999999</v>
      </c>
      <c r="M621" s="6">
        <v>101.01888</v>
      </c>
      <c r="N621" s="6">
        <v>105.22799999999999</v>
      </c>
      <c r="O621" s="6">
        <v>101.01888</v>
      </c>
      <c r="P621" s="6">
        <v>0</v>
      </c>
      <c r="Q621" s="4" t="s">
        <v>26</v>
      </c>
      <c r="R621" s="4">
        <v>0</v>
      </c>
      <c r="S621" s="4" t="s">
        <v>246</v>
      </c>
      <c r="T621" s="4" t="s">
        <v>487</v>
      </c>
      <c r="U621" s="4">
        <v>0</v>
      </c>
      <c r="V621" s="4">
        <v>25</v>
      </c>
      <c r="W621" s="4">
        <v>68</v>
      </c>
    </row>
    <row r="622" spans="1:23" ht="11.25" customHeight="1" x14ac:dyDescent="0.25">
      <c r="A622" s="4" t="s">
        <v>21</v>
      </c>
      <c r="B622" s="4" t="s">
        <v>39</v>
      </c>
      <c r="C622" s="4" t="s">
        <v>41</v>
      </c>
      <c r="D622" s="4" t="s">
        <v>44</v>
      </c>
      <c r="E622" s="4" t="s">
        <v>25</v>
      </c>
      <c r="F622" s="4" t="s">
        <v>25</v>
      </c>
      <c r="G622" s="4" t="s">
        <v>25</v>
      </c>
      <c r="H622" s="4" t="s">
        <v>35</v>
      </c>
      <c r="I622" s="5">
        <v>44378</v>
      </c>
      <c r="J622" s="6">
        <v>0</v>
      </c>
      <c r="K622" s="6">
        <v>0</v>
      </c>
      <c r="L622" s="6">
        <v>110.968</v>
      </c>
      <c r="M622" s="6">
        <v>106.52928</v>
      </c>
      <c r="N622" s="6">
        <v>110.968</v>
      </c>
      <c r="O622" s="6">
        <v>106.52928</v>
      </c>
      <c r="P622" s="6">
        <v>0</v>
      </c>
      <c r="Q622" s="4" t="s">
        <v>26</v>
      </c>
      <c r="R622" s="4">
        <v>0</v>
      </c>
      <c r="S622" s="4" t="s">
        <v>247</v>
      </c>
      <c r="T622" s="4" t="s">
        <v>488</v>
      </c>
      <c r="U622" s="4">
        <v>0</v>
      </c>
      <c r="V622" s="4">
        <v>25</v>
      </c>
      <c r="W622" s="4">
        <v>68</v>
      </c>
    </row>
    <row r="623" spans="1:23" ht="11.25" customHeight="1" x14ac:dyDescent="0.25">
      <c r="A623" s="4" t="s">
        <v>21</v>
      </c>
      <c r="B623" s="4" t="s">
        <v>39</v>
      </c>
      <c r="C623" s="4" t="s">
        <v>41</v>
      </c>
      <c r="D623" s="4" t="s">
        <v>44</v>
      </c>
      <c r="E623" s="4" t="s">
        <v>25</v>
      </c>
      <c r="F623" s="4" t="s">
        <v>25</v>
      </c>
      <c r="G623" s="4" t="s">
        <v>25</v>
      </c>
      <c r="H623" s="4" t="s">
        <v>35</v>
      </c>
      <c r="I623" s="5">
        <v>44409</v>
      </c>
      <c r="J623" s="6">
        <v>0</v>
      </c>
      <c r="K623" s="6">
        <v>0</v>
      </c>
      <c r="L623" s="6">
        <v>107.146</v>
      </c>
      <c r="M623" s="6">
        <v>102.86015999999999</v>
      </c>
      <c r="N623" s="6">
        <v>107.146</v>
      </c>
      <c r="O623" s="6">
        <v>102.86015999999999</v>
      </c>
      <c r="P623" s="6">
        <v>0</v>
      </c>
      <c r="Q623" s="4" t="s">
        <v>26</v>
      </c>
      <c r="R623" s="4">
        <v>0</v>
      </c>
      <c r="S623" s="4" t="s">
        <v>248</v>
      </c>
      <c r="T623" s="4" t="s">
        <v>489</v>
      </c>
      <c r="U623" s="4">
        <v>0</v>
      </c>
      <c r="V623" s="4">
        <v>25</v>
      </c>
      <c r="W623" s="4">
        <v>68</v>
      </c>
    </row>
    <row r="624" spans="1:23" ht="11.25" customHeight="1" x14ac:dyDescent="0.25">
      <c r="A624" s="4" t="s">
        <v>21</v>
      </c>
      <c r="B624" s="4" t="s">
        <v>39</v>
      </c>
      <c r="C624" s="4" t="s">
        <v>41</v>
      </c>
      <c r="D624" s="4" t="s">
        <v>44</v>
      </c>
      <c r="E624" s="4" t="s">
        <v>25</v>
      </c>
      <c r="F624" s="4" t="s">
        <v>25</v>
      </c>
      <c r="G624" s="4" t="s">
        <v>25</v>
      </c>
      <c r="H624" s="4" t="s">
        <v>35</v>
      </c>
      <c r="I624" s="5">
        <v>44440</v>
      </c>
      <c r="J624" s="6">
        <v>0</v>
      </c>
      <c r="K624" s="6">
        <v>0</v>
      </c>
      <c r="L624" s="6">
        <v>105.88</v>
      </c>
      <c r="M624" s="6">
        <v>101.6448</v>
      </c>
      <c r="N624" s="6">
        <v>105.88</v>
      </c>
      <c r="O624" s="6">
        <v>101.6448</v>
      </c>
      <c r="P624" s="6">
        <v>0</v>
      </c>
      <c r="Q624" s="4" t="s">
        <v>26</v>
      </c>
      <c r="R624" s="4">
        <v>0</v>
      </c>
      <c r="S624" s="4" t="s">
        <v>249</v>
      </c>
      <c r="T624" s="4" t="s">
        <v>490</v>
      </c>
      <c r="U624" s="4">
        <v>0</v>
      </c>
      <c r="V624" s="4">
        <v>25</v>
      </c>
      <c r="W624" s="4">
        <v>68</v>
      </c>
    </row>
    <row r="625" spans="1:23" ht="11.25" customHeight="1" x14ac:dyDescent="0.25">
      <c r="A625" s="4" t="s">
        <v>21</v>
      </c>
      <c r="B625" s="4" t="s">
        <v>39</v>
      </c>
      <c r="C625" s="4" t="s">
        <v>41</v>
      </c>
      <c r="D625" s="4" t="s">
        <v>44</v>
      </c>
      <c r="E625" s="4" t="s">
        <v>25</v>
      </c>
      <c r="F625" s="4" t="s">
        <v>25</v>
      </c>
      <c r="G625" s="4" t="s">
        <v>25</v>
      </c>
      <c r="H625" s="4" t="s">
        <v>35</v>
      </c>
      <c r="I625" s="5">
        <v>44470</v>
      </c>
      <c r="J625" s="6">
        <v>0</v>
      </c>
      <c r="K625" s="6">
        <v>0</v>
      </c>
      <c r="L625" s="6">
        <v>101.968</v>
      </c>
      <c r="M625" s="6">
        <v>97.889279999999999</v>
      </c>
      <c r="N625" s="6">
        <v>101.968</v>
      </c>
      <c r="O625" s="6">
        <v>97.889279999999999</v>
      </c>
      <c r="P625" s="6">
        <v>0</v>
      </c>
      <c r="Q625" s="4" t="s">
        <v>26</v>
      </c>
      <c r="R625" s="4">
        <v>0</v>
      </c>
      <c r="S625" s="4" t="s">
        <v>250</v>
      </c>
      <c r="T625" s="4" t="s">
        <v>491</v>
      </c>
      <c r="U625" s="4">
        <v>0</v>
      </c>
      <c r="V625" s="4">
        <v>25</v>
      </c>
      <c r="W625" s="4">
        <v>68</v>
      </c>
    </row>
    <row r="626" spans="1:23" ht="11.25" customHeight="1" x14ac:dyDescent="0.25">
      <c r="A626" s="4" t="s">
        <v>21</v>
      </c>
      <c r="B626" s="4" t="s">
        <v>39</v>
      </c>
      <c r="C626" s="4" t="s">
        <v>41</v>
      </c>
      <c r="D626" s="4" t="s">
        <v>44</v>
      </c>
      <c r="E626" s="4" t="s">
        <v>25</v>
      </c>
      <c r="F626" s="4" t="s">
        <v>25</v>
      </c>
      <c r="G626" s="4" t="s">
        <v>25</v>
      </c>
      <c r="H626" s="4" t="s">
        <v>35</v>
      </c>
      <c r="I626" s="5">
        <v>44501</v>
      </c>
      <c r="J626" s="6">
        <v>0</v>
      </c>
      <c r="K626" s="6">
        <v>0</v>
      </c>
      <c r="L626" s="6">
        <v>98.575999999999993</v>
      </c>
      <c r="M626" s="6">
        <v>94.632959999999997</v>
      </c>
      <c r="N626" s="6">
        <v>98.575999999999993</v>
      </c>
      <c r="O626" s="6">
        <v>94.632959999999997</v>
      </c>
      <c r="P626" s="6">
        <v>0</v>
      </c>
      <c r="Q626" s="4" t="s">
        <v>26</v>
      </c>
      <c r="R626" s="4">
        <v>0</v>
      </c>
      <c r="S626" s="4" t="s">
        <v>251</v>
      </c>
      <c r="T626" s="4" t="s">
        <v>492</v>
      </c>
      <c r="U626" s="4">
        <v>0</v>
      </c>
      <c r="V626" s="4">
        <v>25</v>
      </c>
      <c r="W626" s="4">
        <v>68</v>
      </c>
    </row>
    <row r="627" spans="1:23" ht="11.25" customHeight="1" x14ac:dyDescent="0.25">
      <c r="A627" s="4" t="s">
        <v>21</v>
      </c>
      <c r="B627" s="4" t="s">
        <v>39</v>
      </c>
      <c r="C627" s="4" t="s">
        <v>41</v>
      </c>
      <c r="D627" s="4" t="s">
        <v>44</v>
      </c>
      <c r="E627" s="4" t="s">
        <v>25</v>
      </c>
      <c r="F627" s="4" t="s">
        <v>25</v>
      </c>
      <c r="G627" s="4" t="s">
        <v>25</v>
      </c>
      <c r="H627" s="4" t="s">
        <v>35</v>
      </c>
      <c r="I627" s="5">
        <v>44531</v>
      </c>
      <c r="J627" s="6">
        <v>0</v>
      </c>
      <c r="K627" s="6">
        <v>0</v>
      </c>
      <c r="L627" s="6">
        <v>113.104</v>
      </c>
      <c r="M627" s="6">
        <v>108.57984</v>
      </c>
      <c r="N627" s="6">
        <v>113.104</v>
      </c>
      <c r="O627" s="6">
        <v>108.57984</v>
      </c>
      <c r="P627" s="6">
        <v>0</v>
      </c>
      <c r="Q627" s="4" t="s">
        <v>26</v>
      </c>
      <c r="R627" s="4">
        <v>0</v>
      </c>
      <c r="S627" s="4" t="s">
        <v>252</v>
      </c>
      <c r="T627" s="4" t="s">
        <v>493</v>
      </c>
      <c r="U627" s="4">
        <v>0</v>
      </c>
      <c r="V627" s="4">
        <v>25</v>
      </c>
      <c r="W627" s="4">
        <v>68</v>
      </c>
    </row>
    <row r="628" spans="1:23" ht="11.25" customHeight="1" x14ac:dyDescent="0.25">
      <c r="A628" s="4" t="s">
        <v>55</v>
      </c>
      <c r="B628" s="4" t="s">
        <v>39</v>
      </c>
      <c r="C628" s="4" t="s">
        <v>41</v>
      </c>
      <c r="D628" s="4" t="s">
        <v>44</v>
      </c>
      <c r="E628" s="4" t="s">
        <v>25</v>
      </c>
      <c r="F628" s="4" t="s">
        <v>25</v>
      </c>
      <c r="G628" s="4" t="s">
        <v>25</v>
      </c>
      <c r="H628" s="4" t="s">
        <v>35</v>
      </c>
      <c r="I628" s="5">
        <v>44562</v>
      </c>
      <c r="J628" s="6">
        <v>0</v>
      </c>
      <c r="K628" s="6">
        <v>0</v>
      </c>
      <c r="L628" s="6">
        <v>113.104</v>
      </c>
      <c r="M628" s="6">
        <v>108.57984</v>
      </c>
      <c r="N628" s="6">
        <v>113.104</v>
      </c>
      <c r="O628" s="6">
        <v>108.57984</v>
      </c>
      <c r="P628" s="6">
        <v>0</v>
      </c>
      <c r="Q628" s="4" t="s">
        <v>26</v>
      </c>
      <c r="R628" s="4">
        <v>0</v>
      </c>
      <c r="S628" s="4" t="s">
        <v>253</v>
      </c>
      <c r="T628" s="4" t="s">
        <v>494</v>
      </c>
      <c r="U628" s="4">
        <v>0</v>
      </c>
      <c r="V628" s="4">
        <v>25</v>
      </c>
      <c r="W628" s="4">
        <v>68</v>
      </c>
    </row>
    <row r="629" spans="1:23" ht="11.25" customHeight="1" x14ac:dyDescent="0.25">
      <c r="A629" s="4" t="s">
        <v>21</v>
      </c>
      <c r="B629" s="4" t="s">
        <v>39</v>
      </c>
      <c r="C629" s="4" t="s">
        <v>41</v>
      </c>
      <c r="D629" s="4" t="s">
        <v>44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44228</v>
      </c>
      <c r="J629" s="6">
        <v>374</v>
      </c>
      <c r="K629" s="6">
        <v>359.04</v>
      </c>
      <c r="L629" s="6">
        <v>0</v>
      </c>
      <c r="M629" s="6">
        <v>0</v>
      </c>
      <c r="N629" s="6">
        <v>0</v>
      </c>
      <c r="O629" s="6">
        <v>0</v>
      </c>
      <c r="P629" s="6">
        <v>3</v>
      </c>
      <c r="Q629" s="4" t="s">
        <v>26</v>
      </c>
      <c r="R629" s="4">
        <v>0</v>
      </c>
      <c r="S629" s="4" t="s">
        <v>254</v>
      </c>
      <c r="U629" s="4">
        <v>23</v>
      </c>
      <c r="V629" s="4">
        <v>0</v>
      </c>
      <c r="W629" s="4">
        <v>0</v>
      </c>
    </row>
    <row r="630" spans="1:23" ht="11.25" customHeight="1" x14ac:dyDescent="0.25">
      <c r="A630" s="4" t="s">
        <v>21</v>
      </c>
      <c r="B630" s="4" t="s">
        <v>39</v>
      </c>
      <c r="C630" s="4" t="s">
        <v>41</v>
      </c>
      <c r="D630" s="4" t="s">
        <v>44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44256</v>
      </c>
      <c r="J630" s="6">
        <v>367</v>
      </c>
      <c r="K630" s="6">
        <v>352.32</v>
      </c>
      <c r="L630" s="6">
        <v>0</v>
      </c>
      <c r="M630" s="6">
        <v>0</v>
      </c>
      <c r="N630" s="6">
        <v>0</v>
      </c>
      <c r="O630" s="6">
        <v>0</v>
      </c>
      <c r="P630" s="6">
        <v>3</v>
      </c>
      <c r="Q630" s="4" t="s">
        <v>26</v>
      </c>
      <c r="R630" s="4">
        <v>0</v>
      </c>
      <c r="S630" s="4" t="s">
        <v>255</v>
      </c>
      <c r="U630" s="4">
        <v>23</v>
      </c>
      <c r="V630" s="4">
        <v>0</v>
      </c>
      <c r="W630" s="4">
        <v>0</v>
      </c>
    </row>
    <row r="631" spans="1:23" ht="11.25" customHeight="1" x14ac:dyDescent="0.25">
      <c r="A631" s="4" t="s">
        <v>21</v>
      </c>
      <c r="B631" s="4" t="s">
        <v>39</v>
      </c>
      <c r="C631" s="4" t="s">
        <v>41</v>
      </c>
      <c r="D631" s="4" t="s">
        <v>44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44287</v>
      </c>
      <c r="J631" s="6">
        <v>402</v>
      </c>
      <c r="K631" s="6">
        <v>385.92</v>
      </c>
      <c r="L631" s="6">
        <v>0</v>
      </c>
      <c r="M631" s="6">
        <v>0</v>
      </c>
      <c r="N631" s="6">
        <v>0</v>
      </c>
      <c r="O631" s="6">
        <v>0</v>
      </c>
      <c r="P631" s="6">
        <v>3</v>
      </c>
      <c r="Q631" s="4" t="s">
        <v>26</v>
      </c>
      <c r="R631" s="4">
        <v>0</v>
      </c>
      <c r="S631" s="4" t="s">
        <v>256</v>
      </c>
      <c r="U631" s="4">
        <v>23</v>
      </c>
      <c r="V631" s="4">
        <v>0</v>
      </c>
      <c r="W631" s="4">
        <v>0</v>
      </c>
    </row>
    <row r="632" spans="1:23" ht="11.25" customHeight="1" x14ac:dyDescent="0.25">
      <c r="A632" s="4" t="s">
        <v>21</v>
      </c>
      <c r="B632" s="4" t="s">
        <v>39</v>
      </c>
      <c r="C632" s="4" t="s">
        <v>41</v>
      </c>
      <c r="D632" s="4" t="s">
        <v>44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44317</v>
      </c>
      <c r="J632" s="6">
        <v>371</v>
      </c>
      <c r="K632" s="6">
        <v>356.16</v>
      </c>
      <c r="L632" s="6">
        <v>0</v>
      </c>
      <c r="M632" s="6">
        <v>0</v>
      </c>
      <c r="N632" s="6">
        <v>0</v>
      </c>
      <c r="O632" s="6">
        <v>0</v>
      </c>
      <c r="P632" s="6">
        <v>3</v>
      </c>
      <c r="Q632" s="4" t="s">
        <v>26</v>
      </c>
      <c r="R632" s="4">
        <v>0</v>
      </c>
      <c r="S632" s="4" t="s">
        <v>257</v>
      </c>
      <c r="U632" s="4">
        <v>23</v>
      </c>
      <c r="V632" s="4">
        <v>0</v>
      </c>
      <c r="W632" s="4">
        <v>0</v>
      </c>
    </row>
    <row r="633" spans="1:23" ht="11.25" customHeight="1" x14ac:dyDescent="0.25">
      <c r="A633" s="4" t="s">
        <v>21</v>
      </c>
      <c r="B633" s="4" t="s">
        <v>39</v>
      </c>
      <c r="C633" s="4" t="s">
        <v>41</v>
      </c>
      <c r="D633" s="4" t="s">
        <v>44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44348</v>
      </c>
      <c r="J633" s="6">
        <v>367</v>
      </c>
      <c r="K633" s="6">
        <v>352.32</v>
      </c>
      <c r="L633" s="6">
        <v>0</v>
      </c>
      <c r="M633" s="6">
        <v>0</v>
      </c>
      <c r="N633" s="6">
        <v>0</v>
      </c>
      <c r="O633" s="6">
        <v>0</v>
      </c>
      <c r="P633" s="6">
        <v>3</v>
      </c>
      <c r="Q633" s="4" t="s">
        <v>26</v>
      </c>
      <c r="R633" s="4">
        <v>0</v>
      </c>
      <c r="S633" s="4" t="s">
        <v>258</v>
      </c>
      <c r="U633" s="4">
        <v>23</v>
      </c>
      <c r="V633" s="4">
        <v>0</v>
      </c>
      <c r="W633" s="4">
        <v>0</v>
      </c>
    </row>
    <row r="634" spans="1:23" ht="11.25" customHeight="1" x14ac:dyDescent="0.25">
      <c r="A634" s="4" t="s">
        <v>21</v>
      </c>
      <c r="B634" s="4" t="s">
        <v>39</v>
      </c>
      <c r="C634" s="4" t="s">
        <v>41</v>
      </c>
      <c r="D634" s="4" t="s">
        <v>44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44378</v>
      </c>
      <c r="J634" s="6">
        <v>377</v>
      </c>
      <c r="K634" s="6">
        <v>361.92</v>
      </c>
      <c r="L634" s="6">
        <v>0</v>
      </c>
      <c r="M634" s="6">
        <v>0</v>
      </c>
      <c r="N634" s="6">
        <v>0</v>
      </c>
      <c r="O634" s="6">
        <v>0</v>
      </c>
      <c r="P634" s="6">
        <v>3</v>
      </c>
      <c r="Q634" s="4" t="s">
        <v>26</v>
      </c>
      <c r="R634" s="4">
        <v>0</v>
      </c>
      <c r="S634" s="4" t="s">
        <v>259</v>
      </c>
      <c r="U634" s="4">
        <v>23</v>
      </c>
      <c r="V634" s="4">
        <v>0</v>
      </c>
      <c r="W634" s="4">
        <v>0</v>
      </c>
    </row>
    <row r="635" spans="1:23" ht="11.25" customHeight="1" x14ac:dyDescent="0.25">
      <c r="A635" s="4" t="s">
        <v>21</v>
      </c>
      <c r="B635" s="4" t="s">
        <v>39</v>
      </c>
      <c r="C635" s="4" t="s">
        <v>41</v>
      </c>
      <c r="D635" s="4" t="s">
        <v>44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44409</v>
      </c>
      <c r="J635" s="6">
        <v>374</v>
      </c>
      <c r="K635" s="6">
        <v>359.04</v>
      </c>
      <c r="L635" s="6">
        <v>0</v>
      </c>
      <c r="M635" s="6">
        <v>0</v>
      </c>
      <c r="N635" s="6">
        <v>0</v>
      </c>
      <c r="O635" s="6">
        <v>0</v>
      </c>
      <c r="P635" s="6">
        <v>3</v>
      </c>
      <c r="Q635" s="4" t="s">
        <v>26</v>
      </c>
      <c r="R635" s="4">
        <v>0</v>
      </c>
      <c r="S635" s="4" t="s">
        <v>260</v>
      </c>
      <c r="U635" s="4">
        <v>23</v>
      </c>
      <c r="V635" s="4">
        <v>0</v>
      </c>
      <c r="W635" s="4">
        <v>0</v>
      </c>
    </row>
    <row r="636" spans="1:23" ht="11.25" customHeight="1" x14ac:dyDescent="0.25">
      <c r="A636" s="4" t="s">
        <v>21</v>
      </c>
      <c r="B636" s="4" t="s">
        <v>39</v>
      </c>
      <c r="C636" s="4" t="s">
        <v>41</v>
      </c>
      <c r="D636" s="4" t="s">
        <v>44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44440</v>
      </c>
      <c r="J636" s="6">
        <v>382</v>
      </c>
      <c r="K636" s="6">
        <v>366.72</v>
      </c>
      <c r="L636" s="6">
        <v>0</v>
      </c>
      <c r="M636" s="6">
        <v>0</v>
      </c>
      <c r="N636" s="6">
        <v>0</v>
      </c>
      <c r="O636" s="6">
        <v>0</v>
      </c>
      <c r="P636" s="6">
        <v>3</v>
      </c>
      <c r="Q636" s="4" t="s">
        <v>26</v>
      </c>
      <c r="R636" s="4">
        <v>0</v>
      </c>
      <c r="S636" s="4" t="s">
        <v>261</v>
      </c>
      <c r="U636" s="4">
        <v>23</v>
      </c>
      <c r="V636" s="4">
        <v>0</v>
      </c>
      <c r="W636" s="4">
        <v>0</v>
      </c>
    </row>
    <row r="637" spans="1:23" ht="11.25" customHeight="1" x14ac:dyDescent="0.25">
      <c r="A637" s="4" t="s">
        <v>21</v>
      </c>
      <c r="B637" s="4" t="s">
        <v>39</v>
      </c>
      <c r="C637" s="4" t="s">
        <v>41</v>
      </c>
      <c r="D637" s="4" t="s">
        <v>44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44470</v>
      </c>
      <c r="J637" s="6">
        <v>426</v>
      </c>
      <c r="K637" s="6">
        <v>408.96</v>
      </c>
      <c r="L637" s="6">
        <v>0</v>
      </c>
      <c r="M637" s="6">
        <v>0</v>
      </c>
      <c r="N637" s="6">
        <v>0</v>
      </c>
      <c r="O637" s="6">
        <v>0</v>
      </c>
      <c r="P637" s="6">
        <v>3</v>
      </c>
      <c r="Q637" s="4" t="s">
        <v>26</v>
      </c>
      <c r="R637" s="4">
        <v>0</v>
      </c>
      <c r="S637" s="4" t="s">
        <v>262</v>
      </c>
      <c r="U637" s="4">
        <v>23</v>
      </c>
      <c r="V637" s="4">
        <v>0</v>
      </c>
      <c r="W637" s="4">
        <v>0</v>
      </c>
    </row>
    <row r="638" spans="1:23" ht="11.25" customHeight="1" x14ac:dyDescent="0.25">
      <c r="A638" s="4" t="s">
        <v>21</v>
      </c>
      <c r="B638" s="4" t="s">
        <v>39</v>
      </c>
      <c r="C638" s="4" t="s">
        <v>41</v>
      </c>
      <c r="D638" s="4" t="s">
        <v>44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44501</v>
      </c>
      <c r="J638" s="6">
        <v>399</v>
      </c>
      <c r="K638" s="6">
        <v>383.04</v>
      </c>
      <c r="L638" s="6">
        <v>0</v>
      </c>
      <c r="M638" s="6">
        <v>0</v>
      </c>
      <c r="N638" s="6">
        <v>0</v>
      </c>
      <c r="O638" s="6">
        <v>0</v>
      </c>
      <c r="P638" s="6">
        <v>3</v>
      </c>
      <c r="Q638" s="4" t="s">
        <v>26</v>
      </c>
      <c r="R638" s="4">
        <v>0</v>
      </c>
      <c r="S638" s="4" t="s">
        <v>263</v>
      </c>
      <c r="U638" s="4">
        <v>23</v>
      </c>
      <c r="V638" s="4">
        <v>0</v>
      </c>
      <c r="W638" s="4">
        <v>0</v>
      </c>
    </row>
    <row r="639" spans="1:23" ht="11.25" customHeight="1" x14ac:dyDescent="0.25">
      <c r="A639" s="4" t="s">
        <v>21</v>
      </c>
      <c r="B639" s="4" t="s">
        <v>39</v>
      </c>
      <c r="C639" s="4" t="s">
        <v>41</v>
      </c>
      <c r="D639" s="4" t="s">
        <v>44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44531</v>
      </c>
      <c r="J639" s="6">
        <v>408</v>
      </c>
      <c r="K639" s="6">
        <v>391.68</v>
      </c>
      <c r="L639" s="6">
        <v>0</v>
      </c>
      <c r="M639" s="6">
        <v>0</v>
      </c>
      <c r="N639" s="6">
        <v>0</v>
      </c>
      <c r="O639" s="6">
        <v>0</v>
      </c>
      <c r="P639" s="6">
        <v>3</v>
      </c>
      <c r="Q639" s="4" t="s">
        <v>26</v>
      </c>
      <c r="R639" s="4">
        <v>0</v>
      </c>
      <c r="S639" s="4" t="s">
        <v>264</v>
      </c>
      <c r="U639" s="4">
        <v>23</v>
      </c>
      <c r="V639" s="4">
        <v>0</v>
      </c>
      <c r="W639" s="4">
        <v>0</v>
      </c>
    </row>
    <row r="640" spans="1:23" ht="11.25" customHeight="1" x14ac:dyDescent="0.25">
      <c r="A640" s="4" t="s">
        <v>55</v>
      </c>
      <c r="B640" s="4" t="s">
        <v>39</v>
      </c>
      <c r="C640" s="4" t="s">
        <v>41</v>
      </c>
      <c r="D640" s="4" t="s">
        <v>44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44562</v>
      </c>
      <c r="J640" s="6">
        <v>408</v>
      </c>
      <c r="K640" s="6">
        <v>391.68</v>
      </c>
      <c r="L640" s="6">
        <v>0</v>
      </c>
      <c r="M640" s="6">
        <v>0</v>
      </c>
      <c r="N640" s="6">
        <v>0</v>
      </c>
      <c r="O640" s="6">
        <v>0</v>
      </c>
      <c r="P640" s="6">
        <v>3</v>
      </c>
      <c r="Q640" s="4" t="s">
        <v>26</v>
      </c>
      <c r="R640" s="4">
        <v>0</v>
      </c>
      <c r="S640" s="4" t="s">
        <v>265</v>
      </c>
      <c r="U640" s="4">
        <v>23</v>
      </c>
      <c r="V640" s="4">
        <v>0</v>
      </c>
      <c r="W640" s="4">
        <v>0</v>
      </c>
    </row>
    <row r="641" spans="1:23" ht="11.25" customHeight="1" x14ac:dyDescent="0.25">
      <c r="A641" s="4" t="s">
        <v>21</v>
      </c>
      <c r="B641" s="4" t="s">
        <v>39</v>
      </c>
      <c r="C641" s="4" t="s">
        <v>41</v>
      </c>
      <c r="D641" s="4" t="s">
        <v>44</v>
      </c>
      <c r="E641" s="4" t="s">
        <v>25</v>
      </c>
      <c r="F641" s="4" t="s">
        <v>25</v>
      </c>
      <c r="G641" s="4" t="s">
        <v>25</v>
      </c>
      <c r="H641" s="4" t="s">
        <v>34</v>
      </c>
      <c r="I641" s="5">
        <v>44228</v>
      </c>
      <c r="J641" s="6">
        <v>0</v>
      </c>
      <c r="K641" s="6">
        <v>0</v>
      </c>
      <c r="L641" s="6">
        <v>7.9859999999999998</v>
      </c>
      <c r="M641" s="6">
        <v>7.6665599999999996</v>
      </c>
      <c r="N641" s="6">
        <v>7.9859999999999998</v>
      </c>
      <c r="O641" s="6">
        <v>7.6665599999999996</v>
      </c>
      <c r="P641" s="6">
        <v>0</v>
      </c>
      <c r="Q641" s="4" t="s">
        <v>26</v>
      </c>
      <c r="R641" s="4">
        <v>0</v>
      </c>
      <c r="S641" s="4" t="s">
        <v>266</v>
      </c>
      <c r="T641" s="4" t="s">
        <v>495</v>
      </c>
      <c r="U641" s="4">
        <v>0</v>
      </c>
      <c r="V641" s="4">
        <v>24</v>
      </c>
      <c r="W641" s="4">
        <v>67</v>
      </c>
    </row>
    <row r="642" spans="1:23" ht="11.25" customHeight="1" x14ac:dyDescent="0.25">
      <c r="A642" s="4" t="s">
        <v>21</v>
      </c>
      <c r="B642" s="4" t="s">
        <v>39</v>
      </c>
      <c r="C642" s="4" t="s">
        <v>41</v>
      </c>
      <c r="D642" s="4" t="s">
        <v>44</v>
      </c>
      <c r="E642" s="4" t="s">
        <v>25</v>
      </c>
      <c r="F642" s="4" t="s">
        <v>25</v>
      </c>
      <c r="G642" s="4" t="s">
        <v>25</v>
      </c>
      <c r="H642" s="4" t="s">
        <v>34</v>
      </c>
      <c r="I642" s="5">
        <v>44256</v>
      </c>
      <c r="J642" s="6">
        <v>0</v>
      </c>
      <c r="K642" s="6">
        <v>0</v>
      </c>
      <c r="L642" s="6">
        <v>9.5820000000000007</v>
      </c>
      <c r="M642" s="6">
        <v>9.1987199999999998</v>
      </c>
      <c r="N642" s="6">
        <v>9.5820000000000007</v>
      </c>
      <c r="O642" s="6">
        <v>9.1987199999999998</v>
      </c>
      <c r="P642" s="6">
        <v>0</v>
      </c>
      <c r="Q642" s="4" t="s">
        <v>26</v>
      </c>
      <c r="R642" s="4">
        <v>0</v>
      </c>
      <c r="S642" s="4" t="s">
        <v>267</v>
      </c>
      <c r="T642" s="4" t="s">
        <v>496</v>
      </c>
      <c r="U642" s="4">
        <v>0</v>
      </c>
      <c r="V642" s="4">
        <v>24</v>
      </c>
      <c r="W642" s="4">
        <v>67</v>
      </c>
    </row>
    <row r="643" spans="1:23" ht="11.25" customHeight="1" x14ac:dyDescent="0.25">
      <c r="A643" s="4" t="s">
        <v>21</v>
      </c>
      <c r="B643" s="4" t="s">
        <v>39</v>
      </c>
      <c r="C643" s="4" t="s">
        <v>41</v>
      </c>
      <c r="D643" s="4" t="s">
        <v>44</v>
      </c>
      <c r="E643" s="4" t="s">
        <v>25</v>
      </c>
      <c r="F643" s="4" t="s">
        <v>25</v>
      </c>
      <c r="G643" s="4" t="s">
        <v>25</v>
      </c>
      <c r="H643" s="4" t="s">
        <v>34</v>
      </c>
      <c r="I643" s="5">
        <v>44287</v>
      </c>
      <c r="J643" s="6">
        <v>0</v>
      </c>
      <c r="K643" s="6">
        <v>0</v>
      </c>
      <c r="L643" s="6">
        <v>8.8819999999999997</v>
      </c>
      <c r="M643" s="6">
        <v>8.5267199999999992</v>
      </c>
      <c r="N643" s="6">
        <v>8.8819999999999997</v>
      </c>
      <c r="O643" s="6">
        <v>8.5267199999999992</v>
      </c>
      <c r="P643" s="6">
        <v>0</v>
      </c>
      <c r="Q643" s="4" t="s">
        <v>26</v>
      </c>
      <c r="R643" s="4">
        <v>0</v>
      </c>
      <c r="S643" s="4" t="s">
        <v>268</v>
      </c>
      <c r="T643" s="4" t="s">
        <v>497</v>
      </c>
      <c r="U643" s="4">
        <v>0</v>
      </c>
      <c r="V643" s="4">
        <v>24</v>
      </c>
      <c r="W643" s="4">
        <v>67</v>
      </c>
    </row>
    <row r="644" spans="1:23" ht="11.25" customHeight="1" x14ac:dyDescent="0.25">
      <c r="A644" s="4" t="s">
        <v>21</v>
      </c>
      <c r="B644" s="4" t="s">
        <v>39</v>
      </c>
      <c r="C644" s="4" t="s">
        <v>41</v>
      </c>
      <c r="D644" s="4" t="s">
        <v>44</v>
      </c>
      <c r="E644" s="4" t="s">
        <v>25</v>
      </c>
      <c r="F644" s="4" t="s">
        <v>25</v>
      </c>
      <c r="G644" s="4" t="s">
        <v>25</v>
      </c>
      <c r="H644" s="4" t="s">
        <v>34</v>
      </c>
      <c r="I644" s="5">
        <v>44317</v>
      </c>
      <c r="J644" s="6">
        <v>0</v>
      </c>
      <c r="K644" s="6">
        <v>0</v>
      </c>
      <c r="L644" s="6">
        <v>8.9239999999999995</v>
      </c>
      <c r="M644" s="6">
        <v>8.5670400000000004</v>
      </c>
      <c r="N644" s="6">
        <v>8.9239999999999995</v>
      </c>
      <c r="O644" s="6">
        <v>8.5670400000000004</v>
      </c>
      <c r="P644" s="6">
        <v>0</v>
      </c>
      <c r="Q644" s="4" t="s">
        <v>26</v>
      </c>
      <c r="R644" s="4">
        <v>0</v>
      </c>
      <c r="S644" s="4" t="s">
        <v>269</v>
      </c>
      <c r="T644" s="4" t="s">
        <v>498</v>
      </c>
      <c r="U644" s="4">
        <v>0</v>
      </c>
      <c r="V644" s="4">
        <v>24</v>
      </c>
      <c r="W644" s="4">
        <v>67</v>
      </c>
    </row>
    <row r="645" spans="1:23" ht="11.25" customHeight="1" x14ac:dyDescent="0.25">
      <c r="A645" s="4" t="s">
        <v>21</v>
      </c>
      <c r="B645" s="4" t="s">
        <v>39</v>
      </c>
      <c r="C645" s="4" t="s">
        <v>41</v>
      </c>
      <c r="D645" s="4" t="s">
        <v>44</v>
      </c>
      <c r="E645" s="4" t="s">
        <v>25</v>
      </c>
      <c r="F645" s="4" t="s">
        <v>25</v>
      </c>
      <c r="G645" s="4" t="s">
        <v>25</v>
      </c>
      <c r="H645" s="4" t="s">
        <v>34</v>
      </c>
      <c r="I645" s="5">
        <v>44348</v>
      </c>
      <c r="J645" s="6">
        <v>0</v>
      </c>
      <c r="K645" s="6">
        <v>0</v>
      </c>
      <c r="L645" s="6">
        <v>8.3420000000000005</v>
      </c>
      <c r="M645" s="6">
        <v>8.0083199999999994</v>
      </c>
      <c r="N645" s="6">
        <v>8.3420000000000005</v>
      </c>
      <c r="O645" s="6">
        <v>8.0083199999999994</v>
      </c>
      <c r="P645" s="6">
        <v>0</v>
      </c>
      <c r="Q645" s="4" t="s">
        <v>26</v>
      </c>
      <c r="R645" s="4">
        <v>0</v>
      </c>
      <c r="S645" s="4" t="s">
        <v>270</v>
      </c>
      <c r="T645" s="4" t="s">
        <v>499</v>
      </c>
      <c r="U645" s="4">
        <v>0</v>
      </c>
      <c r="V645" s="4">
        <v>24</v>
      </c>
      <c r="W645" s="4">
        <v>67</v>
      </c>
    </row>
    <row r="646" spans="1:23" ht="11.25" customHeight="1" x14ac:dyDescent="0.25">
      <c r="A646" s="4" t="s">
        <v>21</v>
      </c>
      <c r="B646" s="4" t="s">
        <v>39</v>
      </c>
      <c r="C646" s="4" t="s">
        <v>41</v>
      </c>
      <c r="D646" s="4" t="s">
        <v>44</v>
      </c>
      <c r="E646" s="4" t="s">
        <v>25</v>
      </c>
      <c r="F646" s="4" t="s">
        <v>25</v>
      </c>
      <c r="G646" s="4" t="s">
        <v>25</v>
      </c>
      <c r="H646" s="4" t="s">
        <v>34</v>
      </c>
      <c r="I646" s="5">
        <v>44378</v>
      </c>
      <c r="J646" s="6">
        <v>0</v>
      </c>
      <c r="K646" s="6">
        <v>0</v>
      </c>
      <c r="L646" s="6">
        <v>8.1620000000000008</v>
      </c>
      <c r="M646" s="6">
        <v>7.8355199999999998</v>
      </c>
      <c r="N646" s="6">
        <v>8.1620000000000008</v>
      </c>
      <c r="O646" s="6">
        <v>7.8355199999999998</v>
      </c>
      <c r="P646" s="6">
        <v>0</v>
      </c>
      <c r="Q646" s="4" t="s">
        <v>26</v>
      </c>
      <c r="R646" s="4">
        <v>0</v>
      </c>
      <c r="S646" s="4" t="s">
        <v>271</v>
      </c>
      <c r="T646" s="4" t="s">
        <v>500</v>
      </c>
      <c r="U646" s="4">
        <v>0</v>
      </c>
      <c r="V646" s="4">
        <v>24</v>
      </c>
      <c r="W646" s="4">
        <v>67</v>
      </c>
    </row>
    <row r="647" spans="1:23" ht="11.25" customHeight="1" x14ac:dyDescent="0.25">
      <c r="A647" s="4" t="s">
        <v>21</v>
      </c>
      <c r="B647" s="4" t="s">
        <v>39</v>
      </c>
      <c r="C647" s="4" t="s">
        <v>41</v>
      </c>
      <c r="D647" s="4" t="s">
        <v>44</v>
      </c>
      <c r="E647" s="4" t="s">
        <v>25</v>
      </c>
      <c r="F647" s="4" t="s">
        <v>25</v>
      </c>
      <c r="G647" s="4" t="s">
        <v>25</v>
      </c>
      <c r="H647" s="4" t="s">
        <v>34</v>
      </c>
      <c r="I647" s="5">
        <v>44409</v>
      </c>
      <c r="J647" s="6">
        <v>0</v>
      </c>
      <c r="K647" s="6">
        <v>0</v>
      </c>
      <c r="L647" s="6">
        <v>7.782</v>
      </c>
      <c r="M647" s="6">
        <v>7.47072</v>
      </c>
      <c r="N647" s="6">
        <v>7.782</v>
      </c>
      <c r="O647" s="6">
        <v>7.47072</v>
      </c>
      <c r="P647" s="6">
        <v>0</v>
      </c>
      <c r="Q647" s="4" t="s">
        <v>26</v>
      </c>
      <c r="R647" s="4">
        <v>0</v>
      </c>
      <c r="S647" s="4" t="s">
        <v>272</v>
      </c>
      <c r="T647" s="4" t="s">
        <v>501</v>
      </c>
      <c r="U647" s="4">
        <v>0</v>
      </c>
      <c r="V647" s="4">
        <v>24</v>
      </c>
      <c r="W647" s="4">
        <v>67</v>
      </c>
    </row>
    <row r="648" spans="1:23" ht="11.25" customHeight="1" x14ac:dyDescent="0.25">
      <c r="A648" s="4" t="s">
        <v>21</v>
      </c>
      <c r="B648" s="4" t="s">
        <v>39</v>
      </c>
      <c r="C648" s="4" t="s">
        <v>41</v>
      </c>
      <c r="D648" s="4" t="s">
        <v>44</v>
      </c>
      <c r="E648" s="4" t="s">
        <v>25</v>
      </c>
      <c r="F648" s="4" t="s">
        <v>25</v>
      </c>
      <c r="G648" s="4" t="s">
        <v>25</v>
      </c>
      <c r="H648" s="4" t="s">
        <v>34</v>
      </c>
      <c r="I648" s="5">
        <v>44440</v>
      </c>
      <c r="J648" s="6">
        <v>0</v>
      </c>
      <c r="K648" s="6">
        <v>0</v>
      </c>
      <c r="L648" s="6">
        <v>8.4819999999999993</v>
      </c>
      <c r="M648" s="6">
        <v>8.1427200000000006</v>
      </c>
      <c r="N648" s="6">
        <v>8.4819999999999993</v>
      </c>
      <c r="O648" s="6">
        <v>8.1427200000000006</v>
      </c>
      <c r="P648" s="6">
        <v>0</v>
      </c>
      <c r="Q648" s="4" t="s">
        <v>26</v>
      </c>
      <c r="R648" s="4">
        <v>0</v>
      </c>
      <c r="S648" s="4" t="s">
        <v>273</v>
      </c>
      <c r="T648" s="4" t="s">
        <v>502</v>
      </c>
      <c r="U648" s="4">
        <v>0</v>
      </c>
      <c r="V648" s="4">
        <v>24</v>
      </c>
      <c r="W648" s="4">
        <v>67</v>
      </c>
    </row>
    <row r="649" spans="1:23" ht="11.25" customHeight="1" x14ac:dyDescent="0.25">
      <c r="A649" s="4" t="s">
        <v>21</v>
      </c>
      <c r="B649" s="4" t="s">
        <v>39</v>
      </c>
      <c r="C649" s="4" t="s">
        <v>41</v>
      </c>
      <c r="D649" s="4" t="s">
        <v>44</v>
      </c>
      <c r="E649" s="4" t="s">
        <v>25</v>
      </c>
      <c r="F649" s="4" t="s">
        <v>25</v>
      </c>
      <c r="G649" s="4" t="s">
        <v>25</v>
      </c>
      <c r="H649" s="4" t="s">
        <v>34</v>
      </c>
      <c r="I649" s="5">
        <v>44470</v>
      </c>
      <c r="J649" s="6">
        <v>0</v>
      </c>
      <c r="K649" s="6">
        <v>0</v>
      </c>
      <c r="L649" s="6">
        <v>7.4420000000000002</v>
      </c>
      <c r="M649" s="6">
        <v>7.1443199999999996</v>
      </c>
      <c r="N649" s="6">
        <v>7.4420000000000002</v>
      </c>
      <c r="O649" s="6">
        <v>7.1443199999999996</v>
      </c>
      <c r="P649" s="6">
        <v>0</v>
      </c>
      <c r="Q649" s="4" t="s">
        <v>26</v>
      </c>
      <c r="R649" s="4">
        <v>0</v>
      </c>
      <c r="S649" s="4" t="s">
        <v>274</v>
      </c>
      <c r="T649" s="4" t="s">
        <v>503</v>
      </c>
      <c r="U649" s="4">
        <v>0</v>
      </c>
      <c r="V649" s="4">
        <v>24</v>
      </c>
      <c r="W649" s="4">
        <v>67</v>
      </c>
    </row>
    <row r="650" spans="1:23" ht="11.25" customHeight="1" x14ac:dyDescent="0.25">
      <c r="A650" s="4" t="s">
        <v>21</v>
      </c>
      <c r="B650" s="4" t="s">
        <v>39</v>
      </c>
      <c r="C650" s="4" t="s">
        <v>41</v>
      </c>
      <c r="D650" s="4" t="s">
        <v>44</v>
      </c>
      <c r="E650" s="4" t="s">
        <v>25</v>
      </c>
      <c r="F650" s="4" t="s">
        <v>25</v>
      </c>
      <c r="G650" s="4" t="s">
        <v>25</v>
      </c>
      <c r="H650" s="4" t="s">
        <v>34</v>
      </c>
      <c r="I650" s="5">
        <v>44501</v>
      </c>
      <c r="J650" s="6">
        <v>0</v>
      </c>
      <c r="K650" s="6">
        <v>0</v>
      </c>
      <c r="L650" s="6">
        <v>6.782</v>
      </c>
      <c r="M650" s="6">
        <v>6.5107200000000001</v>
      </c>
      <c r="N650" s="6">
        <v>6.782</v>
      </c>
      <c r="O650" s="6">
        <v>6.5107200000000001</v>
      </c>
      <c r="P650" s="6">
        <v>0</v>
      </c>
      <c r="Q650" s="4" t="s">
        <v>26</v>
      </c>
      <c r="R650" s="4">
        <v>0</v>
      </c>
      <c r="S650" s="4" t="s">
        <v>275</v>
      </c>
      <c r="T650" s="4" t="s">
        <v>504</v>
      </c>
      <c r="U650" s="4">
        <v>0</v>
      </c>
      <c r="V650" s="4">
        <v>24</v>
      </c>
      <c r="W650" s="4">
        <v>67</v>
      </c>
    </row>
    <row r="651" spans="1:23" ht="11.25" customHeight="1" x14ac:dyDescent="0.25">
      <c r="A651" s="4" t="s">
        <v>21</v>
      </c>
      <c r="B651" s="4" t="s">
        <v>39</v>
      </c>
      <c r="C651" s="4" t="s">
        <v>41</v>
      </c>
      <c r="D651" s="4" t="s">
        <v>44</v>
      </c>
      <c r="E651" s="4" t="s">
        <v>25</v>
      </c>
      <c r="F651" s="4" t="s">
        <v>25</v>
      </c>
      <c r="G651" s="4" t="s">
        <v>25</v>
      </c>
      <c r="H651" s="4" t="s">
        <v>34</v>
      </c>
      <c r="I651" s="5">
        <v>44531</v>
      </c>
      <c r="J651" s="6">
        <v>0</v>
      </c>
      <c r="K651" s="6">
        <v>0</v>
      </c>
      <c r="L651" s="6">
        <v>9.6020000000000003</v>
      </c>
      <c r="M651" s="6">
        <v>9.2179199999999994</v>
      </c>
      <c r="N651" s="6">
        <v>9.6020000000000003</v>
      </c>
      <c r="O651" s="6">
        <v>9.2179199999999994</v>
      </c>
      <c r="P651" s="6">
        <v>0</v>
      </c>
      <c r="Q651" s="4" t="s">
        <v>26</v>
      </c>
      <c r="R651" s="4">
        <v>0</v>
      </c>
      <c r="S651" s="4" t="s">
        <v>276</v>
      </c>
      <c r="T651" s="4" t="s">
        <v>505</v>
      </c>
      <c r="U651" s="4">
        <v>0</v>
      </c>
      <c r="V651" s="4">
        <v>24</v>
      </c>
      <c r="W651" s="4">
        <v>67</v>
      </c>
    </row>
    <row r="652" spans="1:23" ht="11.25" customHeight="1" x14ac:dyDescent="0.25">
      <c r="A652" s="4" t="s">
        <v>55</v>
      </c>
      <c r="B652" s="4" t="s">
        <v>39</v>
      </c>
      <c r="C652" s="4" t="s">
        <v>41</v>
      </c>
      <c r="D652" s="4" t="s">
        <v>44</v>
      </c>
      <c r="E652" s="4" t="s">
        <v>25</v>
      </c>
      <c r="F652" s="4" t="s">
        <v>25</v>
      </c>
      <c r="G652" s="4" t="s">
        <v>25</v>
      </c>
      <c r="H652" s="4" t="s">
        <v>34</v>
      </c>
      <c r="I652" s="5">
        <v>44562</v>
      </c>
      <c r="J652" s="6">
        <v>0</v>
      </c>
      <c r="K652" s="6">
        <v>0</v>
      </c>
      <c r="L652" s="6">
        <v>9.6020000000000003</v>
      </c>
      <c r="M652" s="6">
        <v>9.2179199999999994</v>
      </c>
      <c r="N652" s="6">
        <v>9.6020000000000003</v>
      </c>
      <c r="O652" s="6">
        <v>9.2179199999999994</v>
      </c>
      <c r="P652" s="6">
        <v>0</v>
      </c>
      <c r="Q652" s="4" t="s">
        <v>26</v>
      </c>
      <c r="R652" s="4">
        <v>0</v>
      </c>
      <c r="S652" s="4" t="s">
        <v>277</v>
      </c>
      <c r="T652" s="4" t="s">
        <v>506</v>
      </c>
      <c r="U652" s="4">
        <v>0</v>
      </c>
      <c r="V652" s="4">
        <v>24</v>
      </c>
      <c r="W652" s="4">
        <v>67</v>
      </c>
    </row>
    <row r="653" spans="1:23" ht="11.25" customHeight="1" x14ac:dyDescent="0.25">
      <c r="A653" s="4" t="s">
        <v>21</v>
      </c>
      <c r="B653" s="4" t="s">
        <v>39</v>
      </c>
      <c r="C653" s="4" t="s">
        <v>41</v>
      </c>
      <c r="D653" s="4" t="s">
        <v>49</v>
      </c>
      <c r="E653" s="4" t="s">
        <v>50</v>
      </c>
      <c r="F653" s="4" t="s">
        <v>25</v>
      </c>
      <c r="G653" s="4" t="s">
        <v>25</v>
      </c>
      <c r="H653" s="4" t="s">
        <v>35</v>
      </c>
      <c r="I653" s="5">
        <v>44228</v>
      </c>
      <c r="J653" s="6">
        <v>0</v>
      </c>
      <c r="K653" s="6">
        <v>0</v>
      </c>
      <c r="L653" s="6">
        <v>165.36600000000001</v>
      </c>
      <c r="M653" s="6">
        <v>155.44404</v>
      </c>
      <c r="N653" s="6">
        <v>165.36600000000001</v>
      </c>
      <c r="O653" s="6">
        <v>155.44404</v>
      </c>
      <c r="P653" s="6">
        <v>0</v>
      </c>
      <c r="Q653" s="4" t="s">
        <v>26</v>
      </c>
      <c r="R653" s="4">
        <v>0</v>
      </c>
      <c r="S653" s="4" t="s">
        <v>242</v>
      </c>
      <c r="T653" s="4" t="s">
        <v>483</v>
      </c>
      <c r="U653" s="4">
        <v>0</v>
      </c>
      <c r="V653" s="4">
        <v>25</v>
      </c>
      <c r="W653" s="4">
        <v>68</v>
      </c>
    </row>
    <row r="654" spans="1:23" ht="11.25" customHeight="1" x14ac:dyDescent="0.25">
      <c r="A654" s="4" t="s">
        <v>21</v>
      </c>
      <c r="B654" s="4" t="s">
        <v>39</v>
      </c>
      <c r="C654" s="4" t="s">
        <v>41</v>
      </c>
      <c r="D654" s="4" t="s">
        <v>49</v>
      </c>
      <c r="E654" s="4" t="s">
        <v>50</v>
      </c>
      <c r="F654" s="4" t="s">
        <v>25</v>
      </c>
      <c r="G654" s="4" t="s">
        <v>25</v>
      </c>
      <c r="H654" s="4" t="s">
        <v>35</v>
      </c>
      <c r="I654" s="5">
        <v>44256</v>
      </c>
      <c r="J654" s="6">
        <v>0</v>
      </c>
      <c r="K654" s="6">
        <v>0</v>
      </c>
      <c r="L654" s="6">
        <v>182.43700000000001</v>
      </c>
      <c r="M654" s="6">
        <v>171.49078</v>
      </c>
      <c r="N654" s="6">
        <v>182.43700000000001</v>
      </c>
      <c r="O654" s="6">
        <v>171.49078</v>
      </c>
      <c r="P654" s="6">
        <v>0</v>
      </c>
      <c r="Q654" s="4" t="s">
        <v>26</v>
      </c>
      <c r="R654" s="4">
        <v>0</v>
      </c>
      <c r="S654" s="4" t="s">
        <v>243</v>
      </c>
      <c r="T654" s="4" t="s">
        <v>484</v>
      </c>
      <c r="U654" s="4">
        <v>0</v>
      </c>
      <c r="V654" s="4">
        <v>25</v>
      </c>
      <c r="W654" s="4">
        <v>68</v>
      </c>
    </row>
    <row r="655" spans="1:23" ht="11.25" customHeight="1" x14ac:dyDescent="0.25">
      <c r="A655" s="4" t="s">
        <v>21</v>
      </c>
      <c r="B655" s="4" t="s">
        <v>39</v>
      </c>
      <c r="C655" s="4" t="s">
        <v>41</v>
      </c>
      <c r="D655" s="4" t="s">
        <v>49</v>
      </c>
      <c r="E655" s="4" t="s">
        <v>50</v>
      </c>
      <c r="F655" s="4" t="s">
        <v>25</v>
      </c>
      <c r="G655" s="4" t="s">
        <v>25</v>
      </c>
      <c r="H655" s="4" t="s">
        <v>35</v>
      </c>
      <c r="I655" s="5">
        <v>44287</v>
      </c>
      <c r="J655" s="6">
        <v>0</v>
      </c>
      <c r="K655" s="6">
        <v>0</v>
      </c>
      <c r="L655" s="6">
        <v>187.5</v>
      </c>
      <c r="M655" s="6">
        <v>176.25</v>
      </c>
      <c r="N655" s="6">
        <v>187.5</v>
      </c>
      <c r="O655" s="6">
        <v>176.25</v>
      </c>
      <c r="P655" s="6">
        <v>0</v>
      </c>
      <c r="Q655" s="4" t="s">
        <v>26</v>
      </c>
      <c r="R655" s="4">
        <v>0</v>
      </c>
      <c r="S655" s="4" t="s">
        <v>244</v>
      </c>
      <c r="T655" s="4" t="s">
        <v>485</v>
      </c>
      <c r="U655" s="4">
        <v>0</v>
      </c>
      <c r="V655" s="4">
        <v>25</v>
      </c>
      <c r="W655" s="4">
        <v>68</v>
      </c>
    </row>
    <row r="656" spans="1:23" ht="11.25" customHeight="1" x14ac:dyDescent="0.25">
      <c r="A656" s="4" t="s">
        <v>21</v>
      </c>
      <c r="B656" s="4" t="s">
        <v>39</v>
      </c>
      <c r="C656" s="4" t="s">
        <v>41</v>
      </c>
      <c r="D656" s="4" t="s">
        <v>49</v>
      </c>
      <c r="E656" s="4" t="s">
        <v>50</v>
      </c>
      <c r="F656" s="4" t="s">
        <v>25</v>
      </c>
      <c r="G656" s="4" t="s">
        <v>25</v>
      </c>
      <c r="H656" s="4" t="s">
        <v>35</v>
      </c>
      <c r="I656" s="5">
        <v>44317</v>
      </c>
      <c r="J656" s="6">
        <v>0</v>
      </c>
      <c r="K656" s="6">
        <v>0</v>
      </c>
      <c r="L656" s="6">
        <v>178.53899999999999</v>
      </c>
      <c r="M656" s="6">
        <v>167.82666</v>
      </c>
      <c r="N656" s="6">
        <v>178.53899999999999</v>
      </c>
      <c r="O656" s="6">
        <v>167.82666</v>
      </c>
      <c r="P656" s="6">
        <v>0</v>
      </c>
      <c r="Q656" s="4" t="s">
        <v>26</v>
      </c>
      <c r="R656" s="4">
        <v>0</v>
      </c>
      <c r="S656" s="4" t="s">
        <v>245</v>
      </c>
      <c r="T656" s="4" t="s">
        <v>486</v>
      </c>
      <c r="U656" s="4">
        <v>0</v>
      </c>
      <c r="V656" s="4">
        <v>25</v>
      </c>
      <c r="W656" s="4">
        <v>68</v>
      </c>
    </row>
    <row r="657" spans="1:23" ht="11.25" customHeight="1" x14ac:dyDescent="0.25">
      <c r="A657" s="4" t="s">
        <v>21</v>
      </c>
      <c r="B657" s="4" t="s">
        <v>39</v>
      </c>
      <c r="C657" s="4" t="s">
        <v>41</v>
      </c>
      <c r="D657" s="4" t="s">
        <v>49</v>
      </c>
      <c r="E657" s="4" t="s">
        <v>50</v>
      </c>
      <c r="F657" s="4" t="s">
        <v>25</v>
      </c>
      <c r="G657" s="4" t="s">
        <v>25</v>
      </c>
      <c r="H657" s="4" t="s">
        <v>35</v>
      </c>
      <c r="I657" s="5">
        <v>44348</v>
      </c>
      <c r="J657" s="6">
        <v>0</v>
      </c>
      <c r="K657" s="6">
        <v>0</v>
      </c>
      <c r="L657" s="6">
        <v>155.35400000000001</v>
      </c>
      <c r="M657" s="6">
        <v>146.03276</v>
      </c>
      <c r="N657" s="6">
        <v>155.35400000000001</v>
      </c>
      <c r="O657" s="6">
        <v>146.03276</v>
      </c>
      <c r="P657" s="6">
        <v>0</v>
      </c>
      <c r="Q657" s="4" t="s">
        <v>26</v>
      </c>
      <c r="R657" s="4">
        <v>0</v>
      </c>
      <c r="S657" s="4" t="s">
        <v>246</v>
      </c>
      <c r="T657" s="4" t="s">
        <v>487</v>
      </c>
      <c r="U657" s="4">
        <v>0</v>
      </c>
      <c r="V657" s="4">
        <v>25</v>
      </c>
      <c r="W657" s="4">
        <v>68</v>
      </c>
    </row>
    <row r="658" spans="1:23" ht="11.25" customHeight="1" x14ac:dyDescent="0.25">
      <c r="A658" s="4" t="s">
        <v>21</v>
      </c>
      <c r="B658" s="4" t="s">
        <v>39</v>
      </c>
      <c r="C658" s="4" t="s">
        <v>41</v>
      </c>
      <c r="D658" s="4" t="s">
        <v>49</v>
      </c>
      <c r="E658" s="4" t="s">
        <v>50</v>
      </c>
      <c r="F658" s="4" t="s">
        <v>25</v>
      </c>
      <c r="G658" s="4" t="s">
        <v>25</v>
      </c>
      <c r="H658" s="4" t="s">
        <v>35</v>
      </c>
      <c r="I658" s="5">
        <v>44378</v>
      </c>
      <c r="J658" s="6">
        <v>0</v>
      </c>
      <c r="K658" s="6">
        <v>0</v>
      </c>
      <c r="L658" s="6">
        <v>177.529</v>
      </c>
      <c r="M658" s="6">
        <v>166.87726000000001</v>
      </c>
      <c r="N658" s="6">
        <v>177.529</v>
      </c>
      <c r="O658" s="6">
        <v>166.87726000000001</v>
      </c>
      <c r="P658" s="6">
        <v>0</v>
      </c>
      <c r="Q658" s="4" t="s">
        <v>26</v>
      </c>
      <c r="R658" s="4">
        <v>0</v>
      </c>
      <c r="S658" s="4" t="s">
        <v>247</v>
      </c>
      <c r="T658" s="4" t="s">
        <v>488</v>
      </c>
      <c r="U658" s="4">
        <v>0</v>
      </c>
      <c r="V658" s="4">
        <v>25</v>
      </c>
      <c r="W658" s="4">
        <v>68</v>
      </c>
    </row>
    <row r="659" spans="1:23" ht="11.25" customHeight="1" x14ac:dyDescent="0.25">
      <c r="A659" s="4" t="s">
        <v>21</v>
      </c>
      <c r="B659" s="4" t="s">
        <v>39</v>
      </c>
      <c r="C659" s="4" t="s">
        <v>41</v>
      </c>
      <c r="D659" s="4" t="s">
        <v>49</v>
      </c>
      <c r="E659" s="4" t="s">
        <v>50</v>
      </c>
      <c r="F659" s="4" t="s">
        <v>25</v>
      </c>
      <c r="G659" s="4" t="s">
        <v>25</v>
      </c>
      <c r="H659" s="4" t="s">
        <v>35</v>
      </c>
      <c r="I659" s="5">
        <v>44409</v>
      </c>
      <c r="J659" s="6">
        <v>0</v>
      </c>
      <c r="K659" s="6">
        <v>0</v>
      </c>
      <c r="L659" s="6">
        <v>175.899</v>
      </c>
      <c r="M659" s="6">
        <v>165.34505999999999</v>
      </c>
      <c r="N659" s="6">
        <v>175.899</v>
      </c>
      <c r="O659" s="6">
        <v>165.34505999999999</v>
      </c>
      <c r="P659" s="6">
        <v>0</v>
      </c>
      <c r="Q659" s="4" t="s">
        <v>26</v>
      </c>
      <c r="R659" s="4">
        <v>0</v>
      </c>
      <c r="S659" s="4" t="s">
        <v>248</v>
      </c>
      <c r="T659" s="4" t="s">
        <v>489</v>
      </c>
      <c r="U659" s="4">
        <v>0</v>
      </c>
      <c r="V659" s="4">
        <v>25</v>
      </c>
      <c r="W659" s="4">
        <v>68</v>
      </c>
    </row>
    <row r="660" spans="1:23" ht="11.25" customHeight="1" x14ac:dyDescent="0.25">
      <c r="A660" s="4" t="s">
        <v>21</v>
      </c>
      <c r="B660" s="4" t="s">
        <v>39</v>
      </c>
      <c r="C660" s="4" t="s">
        <v>41</v>
      </c>
      <c r="D660" s="4" t="s">
        <v>49</v>
      </c>
      <c r="E660" s="4" t="s">
        <v>50</v>
      </c>
      <c r="F660" s="4" t="s">
        <v>25</v>
      </c>
      <c r="G660" s="4" t="s">
        <v>25</v>
      </c>
      <c r="H660" s="4" t="s">
        <v>35</v>
      </c>
      <c r="I660" s="5">
        <v>44440</v>
      </c>
      <c r="J660" s="6">
        <v>0</v>
      </c>
      <c r="K660" s="6">
        <v>0</v>
      </c>
      <c r="L660" s="6">
        <v>169.065</v>
      </c>
      <c r="M660" s="6">
        <v>158.9211</v>
      </c>
      <c r="N660" s="6">
        <v>169.065</v>
      </c>
      <c r="O660" s="6">
        <v>158.9211</v>
      </c>
      <c r="P660" s="6">
        <v>0</v>
      </c>
      <c r="Q660" s="4" t="s">
        <v>26</v>
      </c>
      <c r="R660" s="4">
        <v>0</v>
      </c>
      <c r="S660" s="4" t="s">
        <v>249</v>
      </c>
      <c r="T660" s="4" t="s">
        <v>490</v>
      </c>
      <c r="U660" s="4">
        <v>0</v>
      </c>
      <c r="V660" s="4">
        <v>25</v>
      </c>
      <c r="W660" s="4">
        <v>68</v>
      </c>
    </row>
    <row r="661" spans="1:23" ht="11.25" customHeight="1" x14ac:dyDescent="0.25">
      <c r="A661" s="4" t="s">
        <v>21</v>
      </c>
      <c r="B661" s="4" t="s">
        <v>39</v>
      </c>
      <c r="C661" s="4" t="s">
        <v>41</v>
      </c>
      <c r="D661" s="4" t="s">
        <v>49</v>
      </c>
      <c r="E661" s="4" t="s">
        <v>50</v>
      </c>
      <c r="F661" s="4" t="s">
        <v>25</v>
      </c>
      <c r="G661" s="4" t="s">
        <v>25</v>
      </c>
      <c r="H661" s="4" t="s">
        <v>35</v>
      </c>
      <c r="I661" s="5">
        <v>44470</v>
      </c>
      <c r="J661" s="6">
        <v>0</v>
      </c>
      <c r="K661" s="6">
        <v>0</v>
      </c>
      <c r="L661" s="6">
        <v>150.64099999999999</v>
      </c>
      <c r="M661" s="6">
        <v>141.60254</v>
      </c>
      <c r="N661" s="6">
        <v>150.64099999999999</v>
      </c>
      <c r="O661" s="6">
        <v>141.60254</v>
      </c>
      <c r="P661" s="6">
        <v>0</v>
      </c>
      <c r="Q661" s="4" t="s">
        <v>26</v>
      </c>
      <c r="R661" s="4">
        <v>0</v>
      </c>
      <c r="S661" s="4" t="s">
        <v>250</v>
      </c>
      <c r="T661" s="4" t="s">
        <v>491</v>
      </c>
      <c r="U661" s="4">
        <v>0</v>
      </c>
      <c r="V661" s="4">
        <v>25</v>
      </c>
      <c r="W661" s="4">
        <v>68</v>
      </c>
    </row>
    <row r="662" spans="1:23" ht="11.25" customHeight="1" x14ac:dyDescent="0.25">
      <c r="A662" s="4" t="s">
        <v>21</v>
      </c>
      <c r="B662" s="4" t="s">
        <v>39</v>
      </c>
      <c r="C662" s="4" t="s">
        <v>41</v>
      </c>
      <c r="D662" s="4" t="s">
        <v>49</v>
      </c>
      <c r="E662" s="4" t="s">
        <v>50</v>
      </c>
      <c r="F662" s="4" t="s">
        <v>25</v>
      </c>
      <c r="G662" s="4" t="s">
        <v>25</v>
      </c>
      <c r="H662" s="4" t="s">
        <v>35</v>
      </c>
      <c r="I662" s="5">
        <v>44501</v>
      </c>
      <c r="J662" s="6">
        <v>0</v>
      </c>
      <c r="K662" s="6">
        <v>0</v>
      </c>
      <c r="L662" s="6">
        <v>152.87100000000001</v>
      </c>
      <c r="M662" s="6">
        <v>143.69873999999999</v>
      </c>
      <c r="N662" s="6">
        <v>152.87100000000001</v>
      </c>
      <c r="O662" s="6">
        <v>143.69873999999999</v>
      </c>
      <c r="P662" s="6">
        <v>0</v>
      </c>
      <c r="Q662" s="4" t="s">
        <v>26</v>
      </c>
      <c r="R662" s="4">
        <v>0</v>
      </c>
      <c r="S662" s="4" t="s">
        <v>251</v>
      </c>
      <c r="T662" s="4" t="s">
        <v>492</v>
      </c>
      <c r="U662" s="4">
        <v>0</v>
      </c>
      <c r="V662" s="4">
        <v>25</v>
      </c>
      <c r="W662" s="4">
        <v>68</v>
      </c>
    </row>
    <row r="663" spans="1:23" ht="11.25" customHeight="1" x14ac:dyDescent="0.25">
      <c r="A663" s="4" t="s">
        <v>21</v>
      </c>
      <c r="B663" s="4" t="s">
        <v>39</v>
      </c>
      <c r="C663" s="4" t="s">
        <v>41</v>
      </c>
      <c r="D663" s="4" t="s">
        <v>49</v>
      </c>
      <c r="E663" s="4" t="s">
        <v>50</v>
      </c>
      <c r="F663" s="4" t="s">
        <v>25</v>
      </c>
      <c r="G663" s="4" t="s">
        <v>25</v>
      </c>
      <c r="H663" s="4" t="s">
        <v>35</v>
      </c>
      <c r="I663" s="5">
        <v>44531</v>
      </c>
      <c r="J663" s="6">
        <v>0</v>
      </c>
      <c r="K663" s="6">
        <v>0</v>
      </c>
      <c r="L663" s="6">
        <v>174.13800000000001</v>
      </c>
      <c r="M663" s="6">
        <v>163.68971999999999</v>
      </c>
      <c r="N663" s="6">
        <v>174.13800000000001</v>
      </c>
      <c r="O663" s="6">
        <v>163.68971999999999</v>
      </c>
      <c r="P663" s="6">
        <v>0</v>
      </c>
      <c r="Q663" s="4" t="s">
        <v>26</v>
      </c>
      <c r="R663" s="4">
        <v>0</v>
      </c>
      <c r="S663" s="4" t="s">
        <v>252</v>
      </c>
      <c r="T663" s="4" t="s">
        <v>493</v>
      </c>
      <c r="U663" s="4">
        <v>0</v>
      </c>
      <c r="V663" s="4">
        <v>25</v>
      </c>
      <c r="W663" s="4">
        <v>68</v>
      </c>
    </row>
    <row r="664" spans="1:23" ht="11.25" customHeight="1" x14ac:dyDescent="0.25">
      <c r="A664" s="4" t="s">
        <v>55</v>
      </c>
      <c r="B664" s="4" t="s">
        <v>39</v>
      </c>
      <c r="C664" s="4" t="s">
        <v>41</v>
      </c>
      <c r="D664" s="4" t="s">
        <v>49</v>
      </c>
      <c r="E664" s="4" t="s">
        <v>50</v>
      </c>
      <c r="F664" s="4" t="s">
        <v>25</v>
      </c>
      <c r="G664" s="4" t="s">
        <v>25</v>
      </c>
      <c r="H664" s="4" t="s">
        <v>35</v>
      </c>
      <c r="I664" s="5">
        <v>44562</v>
      </c>
      <c r="J664" s="6">
        <v>0</v>
      </c>
      <c r="K664" s="6">
        <v>0</v>
      </c>
      <c r="L664" s="6">
        <v>174.13800000000001</v>
      </c>
      <c r="M664" s="6">
        <v>163.68971999999999</v>
      </c>
      <c r="N664" s="6">
        <v>174.13800000000001</v>
      </c>
      <c r="O664" s="6">
        <v>163.68971999999999</v>
      </c>
      <c r="P664" s="6">
        <v>0</v>
      </c>
      <c r="Q664" s="4" t="s">
        <v>26</v>
      </c>
      <c r="R664" s="4">
        <v>0</v>
      </c>
      <c r="S664" s="4" t="s">
        <v>253</v>
      </c>
      <c r="T664" s="4" t="s">
        <v>494</v>
      </c>
      <c r="U664" s="4">
        <v>0</v>
      </c>
      <c r="V664" s="4">
        <v>25</v>
      </c>
      <c r="W664" s="4">
        <v>68</v>
      </c>
    </row>
    <row r="665" spans="1:23" ht="11.25" customHeight="1" x14ac:dyDescent="0.25">
      <c r="A665" s="4" t="s">
        <v>21</v>
      </c>
      <c r="B665" s="4" t="s">
        <v>39</v>
      </c>
      <c r="C665" s="4" t="s">
        <v>41</v>
      </c>
      <c r="D665" s="4" t="s">
        <v>49</v>
      </c>
      <c r="E665" s="4" t="s">
        <v>50</v>
      </c>
      <c r="F665" s="4" t="s">
        <v>25</v>
      </c>
      <c r="G665" s="4" t="s">
        <v>25</v>
      </c>
      <c r="H665" s="4" t="s">
        <v>25</v>
      </c>
      <c r="I665" s="5">
        <v>44228</v>
      </c>
      <c r="J665" s="6">
        <v>700</v>
      </c>
      <c r="K665" s="6">
        <v>658</v>
      </c>
      <c r="L665" s="6">
        <v>0</v>
      </c>
      <c r="M665" s="6">
        <v>0</v>
      </c>
      <c r="N665" s="6">
        <v>0</v>
      </c>
      <c r="O665" s="6">
        <v>0</v>
      </c>
      <c r="P665" s="6">
        <v>7</v>
      </c>
      <c r="Q665" s="4" t="s">
        <v>26</v>
      </c>
      <c r="R665" s="4">
        <v>0</v>
      </c>
      <c r="S665" s="4" t="s">
        <v>254</v>
      </c>
      <c r="U665" s="4">
        <v>23</v>
      </c>
      <c r="V665" s="4">
        <v>0</v>
      </c>
      <c r="W665" s="4">
        <v>0</v>
      </c>
    </row>
    <row r="666" spans="1:23" ht="11.25" customHeight="1" x14ac:dyDescent="0.25">
      <c r="A666" s="4" t="s">
        <v>21</v>
      </c>
      <c r="B666" s="4" t="s">
        <v>39</v>
      </c>
      <c r="C666" s="4" t="s">
        <v>41</v>
      </c>
      <c r="D666" s="4" t="s">
        <v>49</v>
      </c>
      <c r="E666" s="4" t="s">
        <v>50</v>
      </c>
      <c r="F666" s="4" t="s">
        <v>25</v>
      </c>
      <c r="G666" s="4" t="s">
        <v>25</v>
      </c>
      <c r="H666" s="4" t="s">
        <v>25</v>
      </c>
      <c r="I666" s="5">
        <v>44256</v>
      </c>
      <c r="J666" s="6">
        <v>700</v>
      </c>
      <c r="K666" s="6">
        <v>658</v>
      </c>
      <c r="L666" s="6">
        <v>0</v>
      </c>
      <c r="M666" s="6">
        <v>0</v>
      </c>
      <c r="N666" s="6">
        <v>0</v>
      </c>
      <c r="O666" s="6">
        <v>0</v>
      </c>
      <c r="P666" s="6">
        <v>7</v>
      </c>
      <c r="Q666" s="4" t="s">
        <v>26</v>
      </c>
      <c r="R666" s="4">
        <v>0</v>
      </c>
      <c r="S666" s="4" t="s">
        <v>255</v>
      </c>
      <c r="U666" s="4">
        <v>23</v>
      </c>
      <c r="V666" s="4">
        <v>0</v>
      </c>
      <c r="W666" s="4">
        <v>0</v>
      </c>
    </row>
    <row r="667" spans="1:23" ht="11.25" customHeight="1" x14ac:dyDescent="0.25">
      <c r="A667" s="4" t="s">
        <v>21</v>
      </c>
      <c r="B667" s="4" t="s">
        <v>39</v>
      </c>
      <c r="C667" s="4" t="s">
        <v>41</v>
      </c>
      <c r="D667" s="4" t="s">
        <v>49</v>
      </c>
      <c r="E667" s="4" t="s">
        <v>50</v>
      </c>
      <c r="F667" s="4" t="s">
        <v>25</v>
      </c>
      <c r="G667" s="4" t="s">
        <v>25</v>
      </c>
      <c r="H667" s="4" t="s">
        <v>25</v>
      </c>
      <c r="I667" s="5">
        <v>44287</v>
      </c>
      <c r="J667" s="6">
        <v>710</v>
      </c>
      <c r="K667" s="6">
        <v>667.4</v>
      </c>
      <c r="L667" s="6">
        <v>0</v>
      </c>
      <c r="M667" s="6">
        <v>0</v>
      </c>
      <c r="N667" s="6">
        <v>0</v>
      </c>
      <c r="O667" s="6">
        <v>0</v>
      </c>
      <c r="P667" s="6">
        <v>7</v>
      </c>
      <c r="Q667" s="4" t="s">
        <v>26</v>
      </c>
      <c r="R667" s="4">
        <v>0</v>
      </c>
      <c r="S667" s="4" t="s">
        <v>256</v>
      </c>
      <c r="U667" s="4">
        <v>23</v>
      </c>
      <c r="V667" s="4">
        <v>0</v>
      </c>
      <c r="W667" s="4">
        <v>0</v>
      </c>
    </row>
    <row r="668" spans="1:23" ht="11.25" customHeight="1" x14ac:dyDescent="0.25">
      <c r="A668" s="4" t="s">
        <v>21</v>
      </c>
      <c r="B668" s="4" t="s">
        <v>39</v>
      </c>
      <c r="C668" s="4" t="s">
        <v>41</v>
      </c>
      <c r="D668" s="4" t="s">
        <v>49</v>
      </c>
      <c r="E668" s="4" t="s">
        <v>50</v>
      </c>
      <c r="F668" s="4" t="s">
        <v>25</v>
      </c>
      <c r="G668" s="4" t="s">
        <v>25</v>
      </c>
      <c r="H668" s="4" t="s">
        <v>25</v>
      </c>
      <c r="I668" s="5">
        <v>44317</v>
      </c>
      <c r="J668" s="6">
        <v>703</v>
      </c>
      <c r="K668" s="6">
        <v>660.82</v>
      </c>
      <c r="L668" s="6">
        <v>0</v>
      </c>
      <c r="M668" s="6">
        <v>0</v>
      </c>
      <c r="N668" s="6">
        <v>0</v>
      </c>
      <c r="O668" s="6">
        <v>0</v>
      </c>
      <c r="P668" s="6">
        <v>7</v>
      </c>
      <c r="Q668" s="4" t="s">
        <v>26</v>
      </c>
      <c r="R668" s="4">
        <v>0</v>
      </c>
      <c r="S668" s="4" t="s">
        <v>257</v>
      </c>
      <c r="U668" s="4">
        <v>23</v>
      </c>
      <c r="V668" s="4">
        <v>0</v>
      </c>
      <c r="W668" s="4">
        <v>0</v>
      </c>
    </row>
    <row r="669" spans="1:23" ht="11.25" customHeight="1" x14ac:dyDescent="0.25">
      <c r="A669" s="4" t="s">
        <v>21</v>
      </c>
      <c r="B669" s="4" t="s">
        <v>39</v>
      </c>
      <c r="C669" s="4" t="s">
        <v>41</v>
      </c>
      <c r="D669" s="4" t="s">
        <v>49</v>
      </c>
      <c r="E669" s="4" t="s">
        <v>50</v>
      </c>
      <c r="F669" s="4" t="s">
        <v>25</v>
      </c>
      <c r="G669" s="4" t="s">
        <v>25</v>
      </c>
      <c r="H669" s="4" t="s">
        <v>25</v>
      </c>
      <c r="I669" s="5">
        <v>44348</v>
      </c>
      <c r="J669" s="6">
        <v>709</v>
      </c>
      <c r="K669" s="6">
        <v>666.46</v>
      </c>
      <c r="L669" s="6">
        <v>0</v>
      </c>
      <c r="M669" s="6">
        <v>0</v>
      </c>
      <c r="N669" s="6">
        <v>0</v>
      </c>
      <c r="O669" s="6">
        <v>0</v>
      </c>
      <c r="P669" s="6">
        <v>7</v>
      </c>
      <c r="Q669" s="4" t="s">
        <v>26</v>
      </c>
      <c r="R669" s="4">
        <v>0</v>
      </c>
      <c r="S669" s="4" t="s">
        <v>258</v>
      </c>
      <c r="U669" s="4">
        <v>23</v>
      </c>
      <c r="V669" s="4">
        <v>0</v>
      </c>
      <c r="W669" s="4">
        <v>0</v>
      </c>
    </row>
    <row r="670" spans="1:23" ht="11.25" customHeight="1" x14ac:dyDescent="0.25">
      <c r="A670" s="4" t="s">
        <v>21</v>
      </c>
      <c r="B670" s="4" t="s">
        <v>39</v>
      </c>
      <c r="C670" s="4" t="s">
        <v>41</v>
      </c>
      <c r="D670" s="4" t="s">
        <v>49</v>
      </c>
      <c r="E670" s="4" t="s">
        <v>50</v>
      </c>
      <c r="F670" s="4" t="s">
        <v>25</v>
      </c>
      <c r="G670" s="4" t="s">
        <v>25</v>
      </c>
      <c r="H670" s="4" t="s">
        <v>25</v>
      </c>
      <c r="I670" s="5">
        <v>44378</v>
      </c>
      <c r="J670" s="6">
        <v>713</v>
      </c>
      <c r="K670" s="6">
        <v>670.22</v>
      </c>
      <c r="L670" s="6">
        <v>0</v>
      </c>
      <c r="M670" s="6">
        <v>0</v>
      </c>
      <c r="N670" s="6">
        <v>0</v>
      </c>
      <c r="O670" s="6">
        <v>0</v>
      </c>
      <c r="P670" s="6">
        <v>7</v>
      </c>
      <c r="Q670" s="4" t="s">
        <v>26</v>
      </c>
      <c r="R670" s="4">
        <v>0</v>
      </c>
      <c r="S670" s="4" t="s">
        <v>259</v>
      </c>
      <c r="U670" s="4">
        <v>23</v>
      </c>
      <c r="V670" s="4">
        <v>0</v>
      </c>
      <c r="W670" s="4">
        <v>0</v>
      </c>
    </row>
    <row r="671" spans="1:23" ht="11.25" customHeight="1" x14ac:dyDescent="0.25">
      <c r="A671" s="4" t="s">
        <v>21</v>
      </c>
      <c r="B671" s="4" t="s">
        <v>39</v>
      </c>
      <c r="C671" s="4" t="s">
        <v>41</v>
      </c>
      <c r="D671" s="4" t="s">
        <v>49</v>
      </c>
      <c r="E671" s="4" t="s">
        <v>50</v>
      </c>
      <c r="F671" s="4" t="s">
        <v>25</v>
      </c>
      <c r="G671" s="4" t="s">
        <v>25</v>
      </c>
      <c r="H671" s="4" t="s">
        <v>25</v>
      </c>
      <c r="I671" s="5">
        <v>44409</v>
      </c>
      <c r="J671" s="6">
        <v>710</v>
      </c>
      <c r="K671" s="6">
        <v>667.4</v>
      </c>
      <c r="L671" s="6">
        <v>0</v>
      </c>
      <c r="M671" s="6">
        <v>0</v>
      </c>
      <c r="N671" s="6">
        <v>0</v>
      </c>
      <c r="O671" s="6">
        <v>0</v>
      </c>
      <c r="P671" s="6">
        <v>7</v>
      </c>
      <c r="Q671" s="4" t="s">
        <v>26</v>
      </c>
      <c r="R671" s="4">
        <v>0</v>
      </c>
      <c r="S671" s="4" t="s">
        <v>260</v>
      </c>
      <c r="U671" s="4">
        <v>23</v>
      </c>
      <c r="V671" s="4">
        <v>0</v>
      </c>
      <c r="W671" s="4">
        <v>0</v>
      </c>
    </row>
    <row r="672" spans="1:23" ht="11.25" customHeight="1" x14ac:dyDescent="0.25">
      <c r="A672" s="4" t="s">
        <v>21</v>
      </c>
      <c r="B672" s="4" t="s">
        <v>39</v>
      </c>
      <c r="C672" s="4" t="s">
        <v>41</v>
      </c>
      <c r="D672" s="4" t="s">
        <v>49</v>
      </c>
      <c r="E672" s="4" t="s">
        <v>50</v>
      </c>
      <c r="F672" s="4" t="s">
        <v>25</v>
      </c>
      <c r="G672" s="4" t="s">
        <v>25</v>
      </c>
      <c r="H672" s="4" t="s">
        <v>25</v>
      </c>
      <c r="I672" s="5">
        <v>44440</v>
      </c>
      <c r="J672" s="6">
        <v>771</v>
      </c>
      <c r="K672" s="6">
        <v>724.74</v>
      </c>
      <c r="L672" s="6">
        <v>0</v>
      </c>
      <c r="M672" s="6">
        <v>0</v>
      </c>
      <c r="N672" s="6">
        <v>0</v>
      </c>
      <c r="O672" s="6">
        <v>0</v>
      </c>
      <c r="P672" s="6">
        <v>7</v>
      </c>
      <c r="Q672" s="4" t="s">
        <v>26</v>
      </c>
      <c r="R672" s="4">
        <v>0</v>
      </c>
      <c r="S672" s="4" t="s">
        <v>261</v>
      </c>
      <c r="U672" s="4">
        <v>23</v>
      </c>
      <c r="V672" s="4">
        <v>0</v>
      </c>
      <c r="W672" s="4">
        <v>0</v>
      </c>
    </row>
    <row r="673" spans="1:23" ht="11.25" customHeight="1" x14ac:dyDescent="0.25">
      <c r="A673" s="4" t="s">
        <v>21</v>
      </c>
      <c r="B673" s="4" t="s">
        <v>39</v>
      </c>
      <c r="C673" s="4" t="s">
        <v>41</v>
      </c>
      <c r="D673" s="4" t="s">
        <v>49</v>
      </c>
      <c r="E673" s="4" t="s">
        <v>50</v>
      </c>
      <c r="F673" s="4" t="s">
        <v>25</v>
      </c>
      <c r="G673" s="4" t="s">
        <v>25</v>
      </c>
      <c r="H673" s="4" t="s">
        <v>25</v>
      </c>
      <c r="I673" s="5">
        <v>44470</v>
      </c>
      <c r="J673" s="6">
        <v>747</v>
      </c>
      <c r="K673" s="6">
        <v>702.18</v>
      </c>
      <c r="L673" s="6">
        <v>0</v>
      </c>
      <c r="M673" s="6">
        <v>0</v>
      </c>
      <c r="N673" s="6">
        <v>0</v>
      </c>
      <c r="O673" s="6">
        <v>0</v>
      </c>
      <c r="P673" s="6">
        <v>7</v>
      </c>
      <c r="Q673" s="4" t="s">
        <v>26</v>
      </c>
      <c r="R673" s="4">
        <v>0</v>
      </c>
      <c r="S673" s="4" t="s">
        <v>262</v>
      </c>
      <c r="U673" s="4">
        <v>23</v>
      </c>
      <c r="V673" s="4">
        <v>0</v>
      </c>
      <c r="W673" s="4">
        <v>0</v>
      </c>
    </row>
    <row r="674" spans="1:23" ht="11.25" customHeight="1" x14ac:dyDescent="0.25">
      <c r="A674" s="4" t="s">
        <v>21</v>
      </c>
      <c r="B674" s="4" t="s">
        <v>39</v>
      </c>
      <c r="C674" s="4" t="s">
        <v>41</v>
      </c>
      <c r="D674" s="4" t="s">
        <v>49</v>
      </c>
      <c r="E674" s="4" t="s">
        <v>50</v>
      </c>
      <c r="F674" s="4" t="s">
        <v>25</v>
      </c>
      <c r="G674" s="4" t="s">
        <v>25</v>
      </c>
      <c r="H674" s="4" t="s">
        <v>25</v>
      </c>
      <c r="I674" s="5">
        <v>44501</v>
      </c>
      <c r="J674" s="6">
        <v>711</v>
      </c>
      <c r="K674" s="6">
        <v>668.34</v>
      </c>
      <c r="L674" s="6">
        <v>0</v>
      </c>
      <c r="M674" s="6">
        <v>0</v>
      </c>
      <c r="N674" s="6">
        <v>0</v>
      </c>
      <c r="O674" s="6">
        <v>0</v>
      </c>
      <c r="P674" s="6">
        <v>7</v>
      </c>
      <c r="Q674" s="4" t="s">
        <v>26</v>
      </c>
      <c r="R674" s="4">
        <v>0</v>
      </c>
      <c r="S674" s="4" t="s">
        <v>263</v>
      </c>
      <c r="U674" s="4">
        <v>23</v>
      </c>
      <c r="V674" s="4">
        <v>0</v>
      </c>
      <c r="W674" s="4">
        <v>0</v>
      </c>
    </row>
    <row r="675" spans="1:23" ht="11.25" customHeight="1" x14ac:dyDescent="0.25">
      <c r="A675" s="4" t="s">
        <v>21</v>
      </c>
      <c r="B675" s="4" t="s">
        <v>39</v>
      </c>
      <c r="C675" s="4" t="s">
        <v>41</v>
      </c>
      <c r="D675" s="4" t="s">
        <v>49</v>
      </c>
      <c r="E675" s="4" t="s">
        <v>50</v>
      </c>
      <c r="F675" s="4" t="s">
        <v>25</v>
      </c>
      <c r="G675" s="4" t="s">
        <v>25</v>
      </c>
      <c r="H675" s="4" t="s">
        <v>25</v>
      </c>
      <c r="I675" s="5">
        <v>44531</v>
      </c>
      <c r="J675" s="6">
        <v>740</v>
      </c>
      <c r="K675" s="6">
        <v>695.6</v>
      </c>
      <c r="L675" s="6">
        <v>0</v>
      </c>
      <c r="M675" s="6">
        <v>0</v>
      </c>
      <c r="N675" s="6">
        <v>0</v>
      </c>
      <c r="O675" s="6">
        <v>0</v>
      </c>
      <c r="P675" s="6">
        <v>7</v>
      </c>
      <c r="Q675" s="4" t="s">
        <v>26</v>
      </c>
      <c r="R675" s="4">
        <v>0</v>
      </c>
      <c r="S675" s="4" t="s">
        <v>264</v>
      </c>
      <c r="U675" s="4">
        <v>23</v>
      </c>
      <c r="V675" s="4">
        <v>0</v>
      </c>
      <c r="W675" s="4">
        <v>0</v>
      </c>
    </row>
    <row r="676" spans="1:23" ht="11.25" customHeight="1" x14ac:dyDescent="0.25">
      <c r="A676" s="4" t="s">
        <v>55</v>
      </c>
      <c r="B676" s="4" t="s">
        <v>39</v>
      </c>
      <c r="C676" s="4" t="s">
        <v>41</v>
      </c>
      <c r="D676" s="4" t="s">
        <v>49</v>
      </c>
      <c r="E676" s="4" t="s">
        <v>50</v>
      </c>
      <c r="F676" s="4" t="s">
        <v>25</v>
      </c>
      <c r="G676" s="4" t="s">
        <v>25</v>
      </c>
      <c r="H676" s="4" t="s">
        <v>25</v>
      </c>
      <c r="I676" s="5">
        <v>44562</v>
      </c>
      <c r="J676" s="6">
        <v>740</v>
      </c>
      <c r="K676" s="6">
        <v>695.6</v>
      </c>
      <c r="L676" s="6">
        <v>0</v>
      </c>
      <c r="M676" s="6">
        <v>0</v>
      </c>
      <c r="N676" s="6">
        <v>0</v>
      </c>
      <c r="O676" s="6">
        <v>0</v>
      </c>
      <c r="P676" s="6">
        <v>7</v>
      </c>
      <c r="Q676" s="4" t="s">
        <v>26</v>
      </c>
      <c r="R676" s="4">
        <v>0</v>
      </c>
      <c r="S676" s="4" t="s">
        <v>265</v>
      </c>
      <c r="U676" s="4">
        <v>23</v>
      </c>
      <c r="V676" s="4">
        <v>0</v>
      </c>
      <c r="W676" s="4">
        <v>0</v>
      </c>
    </row>
    <row r="677" spans="1:23" ht="11.25" customHeight="1" x14ac:dyDescent="0.25">
      <c r="A677" s="4" t="s">
        <v>21</v>
      </c>
      <c r="B677" s="4" t="s">
        <v>39</v>
      </c>
      <c r="C677" s="4" t="s">
        <v>41</v>
      </c>
      <c r="D677" s="4" t="s">
        <v>49</v>
      </c>
      <c r="E677" s="4" t="s">
        <v>50</v>
      </c>
      <c r="F677" s="4" t="s">
        <v>25</v>
      </c>
      <c r="G677" s="4" t="s">
        <v>25</v>
      </c>
      <c r="H677" s="4" t="s">
        <v>34</v>
      </c>
      <c r="I677" s="5">
        <v>44228</v>
      </c>
      <c r="J677" s="6">
        <v>0</v>
      </c>
      <c r="K677" s="6">
        <v>0</v>
      </c>
      <c r="L677" s="6">
        <v>16.684999999999999</v>
      </c>
      <c r="M677" s="6">
        <v>15.6839</v>
      </c>
      <c r="N677" s="6">
        <v>16.684999999999999</v>
      </c>
      <c r="O677" s="6">
        <v>15.6839</v>
      </c>
      <c r="P677" s="6">
        <v>0</v>
      </c>
      <c r="Q677" s="4" t="s">
        <v>26</v>
      </c>
      <c r="R677" s="4">
        <v>0</v>
      </c>
      <c r="S677" s="4" t="s">
        <v>266</v>
      </c>
      <c r="T677" s="4" t="s">
        <v>495</v>
      </c>
      <c r="U677" s="4">
        <v>0</v>
      </c>
      <c r="V677" s="4">
        <v>24</v>
      </c>
      <c r="W677" s="4">
        <v>67</v>
      </c>
    </row>
    <row r="678" spans="1:23" ht="11.25" customHeight="1" x14ac:dyDescent="0.25">
      <c r="A678" s="4" t="s">
        <v>21</v>
      </c>
      <c r="B678" s="4" t="s">
        <v>39</v>
      </c>
      <c r="C678" s="4" t="s">
        <v>41</v>
      </c>
      <c r="D678" s="4" t="s">
        <v>49</v>
      </c>
      <c r="E678" s="4" t="s">
        <v>50</v>
      </c>
      <c r="F678" s="4" t="s">
        <v>25</v>
      </c>
      <c r="G678" s="4" t="s">
        <v>25</v>
      </c>
      <c r="H678" s="4" t="s">
        <v>34</v>
      </c>
      <c r="I678" s="5">
        <v>44256</v>
      </c>
      <c r="J678" s="6">
        <v>0</v>
      </c>
      <c r="K678" s="6">
        <v>0</v>
      </c>
      <c r="L678" s="6">
        <v>18.707999999999998</v>
      </c>
      <c r="M678" s="6">
        <v>17.585519999999999</v>
      </c>
      <c r="N678" s="6">
        <v>18.707999999999998</v>
      </c>
      <c r="O678" s="6">
        <v>17.585519999999999</v>
      </c>
      <c r="P678" s="6">
        <v>0</v>
      </c>
      <c r="Q678" s="4" t="s">
        <v>26</v>
      </c>
      <c r="R678" s="4">
        <v>0</v>
      </c>
      <c r="S678" s="4" t="s">
        <v>267</v>
      </c>
      <c r="T678" s="4" t="s">
        <v>496</v>
      </c>
      <c r="U678" s="4">
        <v>0</v>
      </c>
      <c r="V678" s="4">
        <v>24</v>
      </c>
      <c r="W678" s="4">
        <v>67</v>
      </c>
    </row>
    <row r="679" spans="1:23" ht="11.25" customHeight="1" x14ac:dyDescent="0.25">
      <c r="A679" s="4" t="s">
        <v>21</v>
      </c>
      <c r="B679" s="4" t="s">
        <v>39</v>
      </c>
      <c r="C679" s="4" t="s">
        <v>41</v>
      </c>
      <c r="D679" s="4" t="s">
        <v>49</v>
      </c>
      <c r="E679" s="4" t="s">
        <v>50</v>
      </c>
      <c r="F679" s="4" t="s">
        <v>25</v>
      </c>
      <c r="G679" s="4" t="s">
        <v>25</v>
      </c>
      <c r="H679" s="4" t="s">
        <v>34</v>
      </c>
      <c r="I679" s="5">
        <v>44287</v>
      </c>
      <c r="J679" s="6">
        <v>0</v>
      </c>
      <c r="K679" s="6">
        <v>0</v>
      </c>
      <c r="L679" s="6">
        <v>18.599</v>
      </c>
      <c r="M679" s="6">
        <v>17.483059999999998</v>
      </c>
      <c r="N679" s="6">
        <v>18.599</v>
      </c>
      <c r="O679" s="6">
        <v>17.483059999999998</v>
      </c>
      <c r="P679" s="6">
        <v>0</v>
      </c>
      <c r="Q679" s="4" t="s">
        <v>26</v>
      </c>
      <c r="R679" s="4">
        <v>0</v>
      </c>
      <c r="S679" s="4" t="s">
        <v>268</v>
      </c>
      <c r="T679" s="4" t="s">
        <v>497</v>
      </c>
      <c r="U679" s="4">
        <v>0</v>
      </c>
      <c r="V679" s="4">
        <v>24</v>
      </c>
      <c r="W679" s="4">
        <v>67</v>
      </c>
    </row>
    <row r="680" spans="1:23" ht="11.25" customHeight="1" x14ac:dyDescent="0.25">
      <c r="A680" s="4" t="s">
        <v>21</v>
      </c>
      <c r="B680" s="4" t="s">
        <v>39</v>
      </c>
      <c r="C680" s="4" t="s">
        <v>41</v>
      </c>
      <c r="D680" s="4" t="s">
        <v>49</v>
      </c>
      <c r="E680" s="4" t="s">
        <v>50</v>
      </c>
      <c r="F680" s="4" t="s">
        <v>25</v>
      </c>
      <c r="G680" s="4" t="s">
        <v>25</v>
      </c>
      <c r="H680" s="4" t="s">
        <v>34</v>
      </c>
      <c r="I680" s="5">
        <v>44317</v>
      </c>
      <c r="J680" s="6">
        <v>0</v>
      </c>
      <c r="K680" s="6">
        <v>0</v>
      </c>
      <c r="L680" s="6">
        <v>18.626000000000001</v>
      </c>
      <c r="M680" s="6">
        <v>17.50844</v>
      </c>
      <c r="N680" s="6">
        <v>18.626000000000001</v>
      </c>
      <c r="O680" s="6">
        <v>17.50844</v>
      </c>
      <c r="P680" s="6">
        <v>0</v>
      </c>
      <c r="Q680" s="4" t="s">
        <v>26</v>
      </c>
      <c r="R680" s="4">
        <v>0</v>
      </c>
      <c r="S680" s="4" t="s">
        <v>269</v>
      </c>
      <c r="T680" s="4" t="s">
        <v>498</v>
      </c>
      <c r="U680" s="4">
        <v>0</v>
      </c>
      <c r="V680" s="4">
        <v>24</v>
      </c>
      <c r="W680" s="4">
        <v>67</v>
      </c>
    </row>
    <row r="681" spans="1:23" ht="11.25" customHeight="1" x14ac:dyDescent="0.25">
      <c r="A681" s="4" t="s">
        <v>21</v>
      </c>
      <c r="B681" s="4" t="s">
        <v>39</v>
      </c>
      <c r="C681" s="4" t="s">
        <v>41</v>
      </c>
      <c r="D681" s="4" t="s">
        <v>49</v>
      </c>
      <c r="E681" s="4" t="s">
        <v>50</v>
      </c>
      <c r="F681" s="4" t="s">
        <v>25</v>
      </c>
      <c r="G681" s="4" t="s">
        <v>25</v>
      </c>
      <c r="H681" s="4" t="s">
        <v>34</v>
      </c>
      <c r="I681" s="5">
        <v>44348</v>
      </c>
      <c r="J681" s="6">
        <v>0</v>
      </c>
      <c r="K681" s="6">
        <v>0</v>
      </c>
      <c r="L681" s="6">
        <v>18.396000000000001</v>
      </c>
      <c r="M681" s="6">
        <v>17.29224</v>
      </c>
      <c r="N681" s="6">
        <v>18.396000000000001</v>
      </c>
      <c r="O681" s="6">
        <v>17.29224</v>
      </c>
      <c r="P681" s="6">
        <v>0</v>
      </c>
      <c r="Q681" s="4" t="s">
        <v>26</v>
      </c>
      <c r="R681" s="4">
        <v>0</v>
      </c>
      <c r="S681" s="4" t="s">
        <v>270</v>
      </c>
      <c r="T681" s="4" t="s">
        <v>499</v>
      </c>
      <c r="U681" s="4">
        <v>0</v>
      </c>
      <c r="V681" s="4">
        <v>24</v>
      </c>
      <c r="W681" s="4">
        <v>67</v>
      </c>
    </row>
    <row r="682" spans="1:23" ht="11.25" customHeight="1" x14ac:dyDescent="0.25">
      <c r="A682" s="4" t="s">
        <v>21</v>
      </c>
      <c r="B682" s="4" t="s">
        <v>39</v>
      </c>
      <c r="C682" s="4" t="s">
        <v>41</v>
      </c>
      <c r="D682" s="4" t="s">
        <v>49</v>
      </c>
      <c r="E682" s="4" t="s">
        <v>50</v>
      </c>
      <c r="F682" s="4" t="s">
        <v>25</v>
      </c>
      <c r="G682" s="4" t="s">
        <v>25</v>
      </c>
      <c r="H682" s="4" t="s">
        <v>34</v>
      </c>
      <c r="I682" s="5">
        <v>44378</v>
      </c>
      <c r="J682" s="6">
        <v>0</v>
      </c>
      <c r="K682" s="6">
        <v>0</v>
      </c>
      <c r="L682" s="6">
        <v>18.393999999999998</v>
      </c>
      <c r="M682" s="6">
        <v>17.29036</v>
      </c>
      <c r="N682" s="6">
        <v>18.393999999999998</v>
      </c>
      <c r="O682" s="6">
        <v>17.29036</v>
      </c>
      <c r="P682" s="6">
        <v>0</v>
      </c>
      <c r="Q682" s="4" t="s">
        <v>26</v>
      </c>
      <c r="R682" s="4">
        <v>0</v>
      </c>
      <c r="S682" s="4" t="s">
        <v>271</v>
      </c>
      <c r="T682" s="4" t="s">
        <v>500</v>
      </c>
      <c r="U682" s="4">
        <v>0</v>
      </c>
      <c r="V682" s="4">
        <v>24</v>
      </c>
      <c r="W682" s="4">
        <v>67</v>
      </c>
    </row>
    <row r="683" spans="1:23" ht="11.25" customHeight="1" x14ac:dyDescent="0.25">
      <c r="A683" s="4" t="s">
        <v>21</v>
      </c>
      <c r="B683" s="4" t="s">
        <v>39</v>
      </c>
      <c r="C683" s="4" t="s">
        <v>41</v>
      </c>
      <c r="D683" s="4" t="s">
        <v>49</v>
      </c>
      <c r="E683" s="4" t="s">
        <v>50</v>
      </c>
      <c r="F683" s="4" t="s">
        <v>25</v>
      </c>
      <c r="G683" s="4" t="s">
        <v>25</v>
      </c>
      <c r="H683" s="4" t="s">
        <v>34</v>
      </c>
      <c r="I683" s="5">
        <v>44409</v>
      </c>
      <c r="J683" s="6">
        <v>0</v>
      </c>
      <c r="K683" s="6">
        <v>0</v>
      </c>
      <c r="L683" s="6">
        <v>19.405999999999999</v>
      </c>
      <c r="M683" s="6">
        <v>18.24164</v>
      </c>
      <c r="N683" s="6">
        <v>19.405999999999999</v>
      </c>
      <c r="O683" s="6">
        <v>18.24164</v>
      </c>
      <c r="P683" s="6">
        <v>0</v>
      </c>
      <c r="Q683" s="4" t="s">
        <v>26</v>
      </c>
      <c r="R683" s="4">
        <v>0</v>
      </c>
      <c r="S683" s="4" t="s">
        <v>272</v>
      </c>
      <c r="T683" s="4" t="s">
        <v>501</v>
      </c>
      <c r="U683" s="4">
        <v>0</v>
      </c>
      <c r="V683" s="4">
        <v>24</v>
      </c>
      <c r="W683" s="4">
        <v>67</v>
      </c>
    </row>
    <row r="684" spans="1:23" ht="11.25" customHeight="1" x14ac:dyDescent="0.25">
      <c r="A684" s="4" t="s">
        <v>21</v>
      </c>
      <c r="B684" s="4" t="s">
        <v>39</v>
      </c>
      <c r="C684" s="4" t="s">
        <v>41</v>
      </c>
      <c r="D684" s="4" t="s">
        <v>49</v>
      </c>
      <c r="E684" s="4" t="s">
        <v>50</v>
      </c>
      <c r="F684" s="4" t="s">
        <v>25</v>
      </c>
      <c r="G684" s="4" t="s">
        <v>25</v>
      </c>
      <c r="H684" s="4" t="s">
        <v>34</v>
      </c>
      <c r="I684" s="5">
        <v>44440</v>
      </c>
      <c r="J684" s="6">
        <v>0</v>
      </c>
      <c r="K684" s="6">
        <v>0</v>
      </c>
      <c r="L684" s="6">
        <v>18.053999999999998</v>
      </c>
      <c r="M684" s="6">
        <v>16.970759999999999</v>
      </c>
      <c r="N684" s="6">
        <v>18.053999999999998</v>
      </c>
      <c r="O684" s="6">
        <v>16.970759999999999</v>
      </c>
      <c r="P684" s="6">
        <v>0</v>
      </c>
      <c r="Q684" s="4" t="s">
        <v>26</v>
      </c>
      <c r="R684" s="4">
        <v>0</v>
      </c>
      <c r="S684" s="4" t="s">
        <v>273</v>
      </c>
      <c r="T684" s="4" t="s">
        <v>502</v>
      </c>
      <c r="U684" s="4">
        <v>0</v>
      </c>
      <c r="V684" s="4">
        <v>24</v>
      </c>
      <c r="W684" s="4">
        <v>67</v>
      </c>
    </row>
    <row r="685" spans="1:23" ht="11.25" customHeight="1" x14ac:dyDescent="0.25">
      <c r="A685" s="4" t="s">
        <v>21</v>
      </c>
      <c r="B685" s="4" t="s">
        <v>39</v>
      </c>
      <c r="C685" s="4" t="s">
        <v>41</v>
      </c>
      <c r="D685" s="4" t="s">
        <v>49</v>
      </c>
      <c r="E685" s="4" t="s">
        <v>50</v>
      </c>
      <c r="F685" s="4" t="s">
        <v>25</v>
      </c>
      <c r="G685" s="4" t="s">
        <v>25</v>
      </c>
      <c r="H685" s="4" t="s">
        <v>34</v>
      </c>
      <c r="I685" s="5">
        <v>44470</v>
      </c>
      <c r="J685" s="6">
        <v>0</v>
      </c>
      <c r="K685" s="6">
        <v>0</v>
      </c>
      <c r="L685" s="6">
        <v>14.632999999999999</v>
      </c>
      <c r="M685" s="6">
        <v>13.75502</v>
      </c>
      <c r="N685" s="6">
        <v>14.632999999999999</v>
      </c>
      <c r="O685" s="6">
        <v>13.75502</v>
      </c>
      <c r="P685" s="6">
        <v>0</v>
      </c>
      <c r="Q685" s="4" t="s">
        <v>26</v>
      </c>
      <c r="R685" s="4">
        <v>0</v>
      </c>
      <c r="S685" s="4" t="s">
        <v>274</v>
      </c>
      <c r="T685" s="4" t="s">
        <v>503</v>
      </c>
      <c r="U685" s="4">
        <v>0</v>
      </c>
      <c r="V685" s="4">
        <v>24</v>
      </c>
      <c r="W685" s="4">
        <v>67</v>
      </c>
    </row>
    <row r="686" spans="1:23" ht="11.25" customHeight="1" x14ac:dyDescent="0.25">
      <c r="A686" s="4" t="s">
        <v>21</v>
      </c>
      <c r="B686" s="4" t="s">
        <v>39</v>
      </c>
      <c r="C686" s="4" t="s">
        <v>41</v>
      </c>
      <c r="D686" s="4" t="s">
        <v>49</v>
      </c>
      <c r="E686" s="4" t="s">
        <v>50</v>
      </c>
      <c r="F686" s="4" t="s">
        <v>25</v>
      </c>
      <c r="G686" s="4" t="s">
        <v>25</v>
      </c>
      <c r="H686" s="4" t="s">
        <v>34</v>
      </c>
      <c r="I686" s="5">
        <v>44501</v>
      </c>
      <c r="J686" s="6">
        <v>0</v>
      </c>
      <c r="K686" s="6">
        <v>0</v>
      </c>
      <c r="L686" s="6">
        <v>14.364000000000001</v>
      </c>
      <c r="M686" s="6">
        <v>13.50216</v>
      </c>
      <c r="N686" s="6">
        <v>14.364000000000001</v>
      </c>
      <c r="O686" s="6">
        <v>13.50216</v>
      </c>
      <c r="P686" s="6">
        <v>0</v>
      </c>
      <c r="Q686" s="4" t="s">
        <v>26</v>
      </c>
      <c r="R686" s="4">
        <v>0</v>
      </c>
      <c r="S686" s="4" t="s">
        <v>275</v>
      </c>
      <c r="T686" s="4" t="s">
        <v>504</v>
      </c>
      <c r="U686" s="4">
        <v>0</v>
      </c>
      <c r="V686" s="4">
        <v>24</v>
      </c>
      <c r="W686" s="4">
        <v>67</v>
      </c>
    </row>
    <row r="687" spans="1:23" ht="11.25" customHeight="1" x14ac:dyDescent="0.25">
      <c r="A687" s="4" t="s">
        <v>21</v>
      </c>
      <c r="B687" s="4" t="s">
        <v>39</v>
      </c>
      <c r="C687" s="4" t="s">
        <v>41</v>
      </c>
      <c r="D687" s="4" t="s">
        <v>49</v>
      </c>
      <c r="E687" s="4" t="s">
        <v>50</v>
      </c>
      <c r="F687" s="4" t="s">
        <v>25</v>
      </c>
      <c r="G687" s="4" t="s">
        <v>25</v>
      </c>
      <c r="H687" s="4" t="s">
        <v>34</v>
      </c>
      <c r="I687" s="5">
        <v>44531</v>
      </c>
      <c r="J687" s="6">
        <v>0</v>
      </c>
      <c r="K687" s="6">
        <v>0</v>
      </c>
      <c r="L687" s="6">
        <v>19.558</v>
      </c>
      <c r="M687" s="6">
        <v>18.384519999999998</v>
      </c>
      <c r="N687" s="6">
        <v>19.558</v>
      </c>
      <c r="O687" s="6">
        <v>18.384519999999998</v>
      </c>
      <c r="P687" s="6">
        <v>0</v>
      </c>
      <c r="Q687" s="4" t="s">
        <v>26</v>
      </c>
      <c r="R687" s="4">
        <v>0</v>
      </c>
      <c r="S687" s="4" t="s">
        <v>276</v>
      </c>
      <c r="T687" s="4" t="s">
        <v>505</v>
      </c>
      <c r="U687" s="4">
        <v>0</v>
      </c>
      <c r="V687" s="4">
        <v>24</v>
      </c>
      <c r="W687" s="4">
        <v>67</v>
      </c>
    </row>
    <row r="688" spans="1:23" ht="11.25" customHeight="1" x14ac:dyDescent="0.25">
      <c r="A688" s="4" t="s">
        <v>55</v>
      </c>
      <c r="B688" s="4" t="s">
        <v>39</v>
      </c>
      <c r="C688" s="4" t="s">
        <v>41</v>
      </c>
      <c r="D688" s="4" t="s">
        <v>49</v>
      </c>
      <c r="E688" s="4" t="s">
        <v>50</v>
      </c>
      <c r="F688" s="4" t="s">
        <v>25</v>
      </c>
      <c r="G688" s="4" t="s">
        <v>25</v>
      </c>
      <c r="H688" s="4" t="s">
        <v>34</v>
      </c>
      <c r="I688" s="5">
        <v>44562</v>
      </c>
      <c r="J688" s="6">
        <v>0</v>
      </c>
      <c r="K688" s="6">
        <v>0</v>
      </c>
      <c r="L688" s="6">
        <v>19.558</v>
      </c>
      <c r="M688" s="6">
        <v>18.384519999999998</v>
      </c>
      <c r="N688" s="6">
        <v>19.558</v>
      </c>
      <c r="O688" s="6">
        <v>18.384519999999998</v>
      </c>
      <c r="P688" s="6">
        <v>0</v>
      </c>
      <c r="Q688" s="4" t="s">
        <v>26</v>
      </c>
      <c r="R688" s="4">
        <v>0</v>
      </c>
      <c r="S688" s="4" t="s">
        <v>277</v>
      </c>
      <c r="T688" s="4" t="s">
        <v>506</v>
      </c>
      <c r="U688" s="4">
        <v>0</v>
      </c>
      <c r="V688" s="4">
        <v>24</v>
      </c>
      <c r="W688" s="4">
        <v>67</v>
      </c>
    </row>
    <row r="689" spans="1:23" ht="11.25" customHeight="1" x14ac:dyDescent="0.25">
      <c r="A689" s="4" t="s">
        <v>21</v>
      </c>
      <c r="B689" s="4" t="s">
        <v>22</v>
      </c>
      <c r="C689" s="4" t="s">
        <v>33</v>
      </c>
      <c r="D689" s="4" t="s">
        <v>24</v>
      </c>
      <c r="E689" s="4" t="s">
        <v>24</v>
      </c>
      <c r="F689" s="4" t="s">
        <v>25</v>
      </c>
      <c r="G689" s="4" t="s">
        <v>25</v>
      </c>
      <c r="H689" s="4" t="s">
        <v>35</v>
      </c>
      <c r="I689" s="5">
        <v>44228</v>
      </c>
      <c r="J689" s="6">
        <v>0</v>
      </c>
      <c r="K689" s="6">
        <v>0</v>
      </c>
      <c r="L689" s="6">
        <v>6.6319999999999997</v>
      </c>
      <c r="M689" s="6">
        <v>6.6319999999999997</v>
      </c>
      <c r="N689" s="6">
        <v>6.6319999999999997</v>
      </c>
      <c r="O689" s="6">
        <v>6.6319999999999997</v>
      </c>
      <c r="P689" s="6">
        <v>0</v>
      </c>
      <c r="Q689" s="4" t="s">
        <v>26</v>
      </c>
      <c r="R689" s="4">
        <v>0</v>
      </c>
      <c r="S689" s="4" t="s">
        <v>278</v>
      </c>
      <c r="T689" s="4" t="s">
        <v>511</v>
      </c>
      <c r="U689" s="4">
        <v>0</v>
      </c>
      <c r="V689" s="4">
        <v>16</v>
      </c>
      <c r="W689" s="4">
        <v>72</v>
      </c>
    </row>
    <row r="690" spans="1:23" ht="11.25" customHeight="1" x14ac:dyDescent="0.25">
      <c r="A690" s="4" t="s">
        <v>21</v>
      </c>
      <c r="B690" s="4" t="s">
        <v>22</v>
      </c>
      <c r="C690" s="4" t="s">
        <v>33</v>
      </c>
      <c r="D690" s="4" t="s">
        <v>24</v>
      </c>
      <c r="E690" s="4" t="s">
        <v>24</v>
      </c>
      <c r="F690" s="4" t="s">
        <v>25</v>
      </c>
      <c r="G690" s="4" t="s">
        <v>25</v>
      </c>
      <c r="H690" s="4" t="s">
        <v>35</v>
      </c>
      <c r="I690" s="5">
        <v>44256</v>
      </c>
      <c r="J690" s="6">
        <v>0</v>
      </c>
      <c r="K690" s="6">
        <v>0</v>
      </c>
      <c r="L690" s="6">
        <v>7.2290000000000001</v>
      </c>
      <c r="M690" s="6">
        <v>7.2290000000000001</v>
      </c>
      <c r="N690" s="6">
        <v>7.2290000000000001</v>
      </c>
      <c r="O690" s="6">
        <v>7.2290000000000001</v>
      </c>
      <c r="P690" s="6">
        <v>0</v>
      </c>
      <c r="Q690" s="4" t="s">
        <v>26</v>
      </c>
      <c r="R690" s="4">
        <v>0</v>
      </c>
      <c r="S690" s="4" t="s">
        <v>279</v>
      </c>
      <c r="T690" s="4" t="s">
        <v>512</v>
      </c>
      <c r="U690" s="4">
        <v>0</v>
      </c>
      <c r="V690" s="4">
        <v>16</v>
      </c>
      <c r="W690" s="4">
        <v>72</v>
      </c>
    </row>
    <row r="691" spans="1:23" ht="11.25" customHeight="1" x14ac:dyDescent="0.25">
      <c r="A691" s="4" t="s">
        <v>21</v>
      </c>
      <c r="B691" s="4" t="s">
        <v>22</v>
      </c>
      <c r="C691" s="4" t="s">
        <v>33</v>
      </c>
      <c r="D691" s="4" t="s">
        <v>24</v>
      </c>
      <c r="E691" s="4" t="s">
        <v>24</v>
      </c>
      <c r="F691" s="4" t="s">
        <v>25</v>
      </c>
      <c r="G691" s="4" t="s">
        <v>25</v>
      </c>
      <c r="H691" s="4" t="s">
        <v>35</v>
      </c>
      <c r="I691" s="5">
        <v>44287</v>
      </c>
      <c r="J691" s="6">
        <v>0</v>
      </c>
      <c r="K691" s="6">
        <v>0</v>
      </c>
      <c r="L691" s="6">
        <v>7.3940000000000001</v>
      </c>
      <c r="M691" s="6">
        <v>7.3940000000000001</v>
      </c>
      <c r="N691" s="6">
        <v>7.3940000000000001</v>
      </c>
      <c r="O691" s="6">
        <v>7.3940000000000001</v>
      </c>
      <c r="P691" s="6">
        <v>0</v>
      </c>
      <c r="Q691" s="4" t="s">
        <v>26</v>
      </c>
      <c r="R691" s="4">
        <v>0</v>
      </c>
      <c r="S691" s="4" t="s">
        <v>280</v>
      </c>
      <c r="T691" s="4" t="s">
        <v>513</v>
      </c>
      <c r="U691" s="4">
        <v>0</v>
      </c>
      <c r="V691" s="4">
        <v>16</v>
      </c>
      <c r="W691" s="4">
        <v>72</v>
      </c>
    </row>
    <row r="692" spans="1:23" ht="11.25" customHeight="1" x14ac:dyDescent="0.25">
      <c r="A692" s="4" t="s">
        <v>27</v>
      </c>
      <c r="B692" s="4" t="s">
        <v>22</v>
      </c>
      <c r="C692" s="4" t="s">
        <v>33</v>
      </c>
      <c r="D692" s="4" t="s">
        <v>24</v>
      </c>
      <c r="E692" s="4" t="s">
        <v>24</v>
      </c>
      <c r="F692" s="4" t="s">
        <v>25</v>
      </c>
      <c r="G692" s="4" t="s">
        <v>25</v>
      </c>
      <c r="H692" s="4" t="s">
        <v>35</v>
      </c>
      <c r="I692" s="5">
        <v>44287</v>
      </c>
      <c r="J692" s="6">
        <v>0</v>
      </c>
      <c r="K692" s="6">
        <v>0</v>
      </c>
      <c r="L692" s="6">
        <v>-3.1059999999999999</v>
      </c>
      <c r="M692" s="6">
        <v>-3.1059999999999999</v>
      </c>
      <c r="N692" s="6">
        <v>-3.1059999999999999</v>
      </c>
      <c r="O692" s="6">
        <v>-3.1059999999999999</v>
      </c>
      <c r="P692" s="6">
        <v>0</v>
      </c>
      <c r="Q692" s="4" t="s">
        <v>26</v>
      </c>
      <c r="R692" s="4">
        <v>0</v>
      </c>
      <c r="S692" s="4" t="s">
        <v>280</v>
      </c>
      <c r="T692" s="4" t="s">
        <v>513</v>
      </c>
      <c r="U692" s="4">
        <v>0</v>
      </c>
      <c r="V692" s="4">
        <v>16</v>
      </c>
      <c r="W692" s="4">
        <v>72</v>
      </c>
    </row>
    <row r="693" spans="1:23" ht="11.25" customHeight="1" x14ac:dyDescent="0.25">
      <c r="A693" s="4" t="s">
        <v>21</v>
      </c>
      <c r="B693" s="4" t="s">
        <v>22</v>
      </c>
      <c r="C693" s="4" t="s">
        <v>33</v>
      </c>
      <c r="D693" s="4" t="s">
        <v>24</v>
      </c>
      <c r="E693" s="4" t="s">
        <v>24</v>
      </c>
      <c r="F693" s="4" t="s">
        <v>25</v>
      </c>
      <c r="G693" s="4" t="s">
        <v>25</v>
      </c>
      <c r="H693" s="4" t="s">
        <v>35</v>
      </c>
      <c r="I693" s="5">
        <v>44317</v>
      </c>
      <c r="J693" s="6">
        <v>0</v>
      </c>
      <c r="K693" s="6">
        <v>0</v>
      </c>
      <c r="L693" s="6">
        <v>7.01</v>
      </c>
      <c r="M693" s="6">
        <v>7.01</v>
      </c>
      <c r="N693" s="6">
        <v>7.01</v>
      </c>
      <c r="O693" s="6">
        <v>7.01</v>
      </c>
      <c r="P693" s="6">
        <v>0</v>
      </c>
      <c r="Q693" s="4" t="s">
        <v>26</v>
      </c>
      <c r="R693" s="4">
        <v>0</v>
      </c>
      <c r="S693" s="4" t="s">
        <v>281</v>
      </c>
      <c r="T693" s="4" t="s">
        <v>514</v>
      </c>
      <c r="U693" s="4">
        <v>0</v>
      </c>
      <c r="V693" s="4">
        <v>16</v>
      </c>
      <c r="W693" s="4">
        <v>72</v>
      </c>
    </row>
    <row r="694" spans="1:23" ht="11.25" customHeight="1" x14ac:dyDescent="0.25">
      <c r="A694" s="4" t="s">
        <v>21</v>
      </c>
      <c r="B694" s="4" t="s">
        <v>22</v>
      </c>
      <c r="C694" s="4" t="s">
        <v>33</v>
      </c>
      <c r="D694" s="4" t="s">
        <v>24</v>
      </c>
      <c r="E694" s="4" t="s">
        <v>24</v>
      </c>
      <c r="F694" s="4" t="s">
        <v>25</v>
      </c>
      <c r="G694" s="4" t="s">
        <v>25</v>
      </c>
      <c r="H694" s="4" t="s">
        <v>35</v>
      </c>
      <c r="I694" s="5">
        <v>44348</v>
      </c>
      <c r="J694" s="6">
        <v>0</v>
      </c>
      <c r="K694" s="6">
        <v>0</v>
      </c>
      <c r="L694" s="6">
        <v>6.101</v>
      </c>
      <c r="M694" s="6">
        <v>6.101</v>
      </c>
      <c r="N694" s="6">
        <v>6.101</v>
      </c>
      <c r="O694" s="6">
        <v>6.101</v>
      </c>
      <c r="P694" s="6">
        <v>0</v>
      </c>
      <c r="Q694" s="4" t="s">
        <v>26</v>
      </c>
      <c r="R694" s="4">
        <v>0</v>
      </c>
      <c r="S694" s="4" t="s">
        <v>282</v>
      </c>
      <c r="T694" s="4" t="s">
        <v>515</v>
      </c>
      <c r="U694" s="4">
        <v>0</v>
      </c>
      <c r="V694" s="4">
        <v>16</v>
      </c>
      <c r="W694" s="4">
        <v>72</v>
      </c>
    </row>
    <row r="695" spans="1:23" ht="11.25" customHeight="1" x14ac:dyDescent="0.25">
      <c r="A695" s="4" t="s">
        <v>21</v>
      </c>
      <c r="B695" s="4" t="s">
        <v>22</v>
      </c>
      <c r="C695" s="4" t="s">
        <v>33</v>
      </c>
      <c r="D695" s="4" t="s">
        <v>24</v>
      </c>
      <c r="E695" s="4" t="s">
        <v>24</v>
      </c>
      <c r="F695" s="4" t="s">
        <v>25</v>
      </c>
      <c r="G695" s="4" t="s">
        <v>25</v>
      </c>
      <c r="H695" s="4" t="s">
        <v>35</v>
      </c>
      <c r="I695" s="5">
        <v>44378</v>
      </c>
      <c r="J695" s="6">
        <v>0</v>
      </c>
      <c r="K695" s="6">
        <v>0</v>
      </c>
      <c r="L695" s="6">
        <v>6.0250000000000004</v>
      </c>
      <c r="M695" s="6">
        <v>6.0250000000000004</v>
      </c>
      <c r="N695" s="6">
        <v>6.0250000000000004</v>
      </c>
      <c r="O695" s="6">
        <v>6.0250000000000004</v>
      </c>
      <c r="P695" s="6">
        <v>0</v>
      </c>
      <c r="Q695" s="4" t="s">
        <v>26</v>
      </c>
      <c r="R695" s="4">
        <v>0</v>
      </c>
      <c r="S695" s="4" t="s">
        <v>283</v>
      </c>
      <c r="T695" s="4" t="s">
        <v>516</v>
      </c>
      <c r="U695" s="4">
        <v>0</v>
      </c>
      <c r="V695" s="4">
        <v>16</v>
      </c>
      <c r="W695" s="4">
        <v>72</v>
      </c>
    </row>
    <row r="696" spans="1:23" ht="11.25" customHeight="1" x14ac:dyDescent="0.25">
      <c r="A696" s="4" t="s">
        <v>21</v>
      </c>
      <c r="B696" s="4" t="s">
        <v>22</v>
      </c>
      <c r="C696" s="4" t="s">
        <v>33</v>
      </c>
      <c r="D696" s="4" t="s">
        <v>24</v>
      </c>
      <c r="E696" s="4" t="s">
        <v>24</v>
      </c>
      <c r="F696" s="4" t="s">
        <v>25</v>
      </c>
      <c r="G696" s="4" t="s">
        <v>25</v>
      </c>
      <c r="H696" s="4" t="s">
        <v>35</v>
      </c>
      <c r="I696" s="5">
        <v>44409</v>
      </c>
      <c r="J696" s="6">
        <v>0</v>
      </c>
      <c r="K696" s="6">
        <v>0</v>
      </c>
      <c r="L696" s="6">
        <v>5.3410000000000002</v>
      </c>
      <c r="M696" s="6">
        <v>5.3410000000000002</v>
      </c>
      <c r="N696" s="6">
        <v>5.3410000000000002</v>
      </c>
      <c r="O696" s="6">
        <v>5.3410000000000002</v>
      </c>
      <c r="P696" s="6">
        <v>0</v>
      </c>
      <c r="Q696" s="4" t="s">
        <v>26</v>
      </c>
      <c r="R696" s="4">
        <v>0</v>
      </c>
      <c r="S696" s="4" t="s">
        <v>284</v>
      </c>
      <c r="T696" s="4" t="s">
        <v>517</v>
      </c>
      <c r="U696" s="4">
        <v>0</v>
      </c>
      <c r="V696" s="4">
        <v>16</v>
      </c>
      <c r="W696" s="4">
        <v>72</v>
      </c>
    </row>
    <row r="697" spans="1:23" ht="11.25" customHeight="1" x14ac:dyDescent="0.25">
      <c r="A697" s="4" t="s">
        <v>21</v>
      </c>
      <c r="B697" s="4" t="s">
        <v>22</v>
      </c>
      <c r="C697" s="4" t="s">
        <v>33</v>
      </c>
      <c r="D697" s="4" t="s">
        <v>24</v>
      </c>
      <c r="E697" s="4" t="s">
        <v>24</v>
      </c>
      <c r="F697" s="4" t="s">
        <v>25</v>
      </c>
      <c r="G697" s="4" t="s">
        <v>25</v>
      </c>
      <c r="H697" s="4" t="s">
        <v>35</v>
      </c>
      <c r="I697" s="5">
        <v>44440</v>
      </c>
      <c r="J697" s="6">
        <v>0</v>
      </c>
      <c r="K697" s="6">
        <v>0</v>
      </c>
      <c r="L697" s="6">
        <v>4.9790000000000001</v>
      </c>
      <c r="M697" s="6">
        <v>4.9790000000000001</v>
      </c>
      <c r="N697" s="6">
        <v>4.9790000000000001</v>
      </c>
      <c r="O697" s="6">
        <v>4.9790000000000001</v>
      </c>
      <c r="P697" s="6">
        <v>0</v>
      </c>
      <c r="Q697" s="4" t="s">
        <v>26</v>
      </c>
      <c r="R697" s="4">
        <v>0</v>
      </c>
      <c r="S697" s="4" t="s">
        <v>285</v>
      </c>
      <c r="T697" s="4" t="s">
        <v>518</v>
      </c>
      <c r="U697" s="4">
        <v>0</v>
      </c>
      <c r="V697" s="4">
        <v>16</v>
      </c>
      <c r="W697" s="4">
        <v>72</v>
      </c>
    </row>
    <row r="698" spans="1:23" ht="11.25" customHeight="1" x14ac:dyDescent="0.25">
      <c r="A698" s="4" t="s">
        <v>21</v>
      </c>
      <c r="B698" s="4" t="s">
        <v>22</v>
      </c>
      <c r="C698" s="4" t="s">
        <v>33</v>
      </c>
      <c r="D698" s="4" t="s">
        <v>24</v>
      </c>
      <c r="E698" s="4" t="s">
        <v>24</v>
      </c>
      <c r="F698" s="4" t="s">
        <v>25</v>
      </c>
      <c r="G698" s="4" t="s">
        <v>25</v>
      </c>
      <c r="H698" s="4" t="s">
        <v>35</v>
      </c>
      <c r="I698" s="5">
        <v>44470</v>
      </c>
      <c r="J698" s="6">
        <v>0</v>
      </c>
      <c r="K698" s="6">
        <v>0</v>
      </c>
      <c r="L698" s="6">
        <v>6.0339999999999998</v>
      </c>
      <c r="M698" s="6">
        <v>6.0339999999999998</v>
      </c>
      <c r="N698" s="6">
        <v>6.0339999999999998</v>
      </c>
      <c r="O698" s="6">
        <v>6.0339999999999998</v>
      </c>
      <c r="P698" s="6">
        <v>0</v>
      </c>
      <c r="Q698" s="4" t="s">
        <v>26</v>
      </c>
      <c r="R698" s="4">
        <v>0</v>
      </c>
      <c r="S698" s="4" t="s">
        <v>286</v>
      </c>
      <c r="T698" s="4" t="s">
        <v>519</v>
      </c>
      <c r="U698" s="4">
        <v>0</v>
      </c>
      <c r="V698" s="4">
        <v>16</v>
      </c>
      <c r="W698" s="4">
        <v>72</v>
      </c>
    </row>
    <row r="699" spans="1:23" ht="11.25" customHeight="1" x14ac:dyDescent="0.25">
      <c r="A699" s="4" t="s">
        <v>21</v>
      </c>
      <c r="B699" s="4" t="s">
        <v>22</v>
      </c>
      <c r="C699" s="4" t="s">
        <v>33</v>
      </c>
      <c r="D699" s="4" t="s">
        <v>24</v>
      </c>
      <c r="E699" s="4" t="s">
        <v>24</v>
      </c>
      <c r="F699" s="4" t="s">
        <v>25</v>
      </c>
      <c r="G699" s="4" t="s">
        <v>25</v>
      </c>
      <c r="H699" s="4" t="s">
        <v>35</v>
      </c>
      <c r="I699" s="5">
        <v>44501</v>
      </c>
      <c r="J699" s="6">
        <v>0</v>
      </c>
      <c r="K699" s="6">
        <v>0</v>
      </c>
      <c r="L699" s="6">
        <v>6.1790000000000003</v>
      </c>
      <c r="M699" s="6">
        <v>6.1790000000000003</v>
      </c>
      <c r="N699" s="6">
        <v>6.1790000000000003</v>
      </c>
      <c r="O699" s="6">
        <v>6.1790000000000003</v>
      </c>
      <c r="P699" s="6">
        <v>0</v>
      </c>
      <c r="Q699" s="4" t="s">
        <v>26</v>
      </c>
      <c r="R699" s="4">
        <v>0</v>
      </c>
      <c r="S699" s="4" t="s">
        <v>287</v>
      </c>
      <c r="T699" s="4" t="s">
        <v>520</v>
      </c>
      <c r="U699" s="4">
        <v>0</v>
      </c>
      <c r="V699" s="4">
        <v>16</v>
      </c>
      <c r="W699" s="4">
        <v>72</v>
      </c>
    </row>
    <row r="700" spans="1:23" ht="11.25" customHeight="1" x14ac:dyDescent="0.25">
      <c r="A700" s="4" t="s">
        <v>21</v>
      </c>
      <c r="B700" s="4" t="s">
        <v>22</v>
      </c>
      <c r="C700" s="4" t="s">
        <v>33</v>
      </c>
      <c r="D700" s="4" t="s">
        <v>24</v>
      </c>
      <c r="E700" s="4" t="s">
        <v>24</v>
      </c>
      <c r="F700" s="4" t="s">
        <v>25</v>
      </c>
      <c r="G700" s="4" t="s">
        <v>25</v>
      </c>
      <c r="H700" s="4" t="s">
        <v>35</v>
      </c>
      <c r="I700" s="5">
        <v>44531</v>
      </c>
      <c r="J700" s="6">
        <v>0</v>
      </c>
      <c r="K700" s="6">
        <v>0</v>
      </c>
      <c r="L700" s="6">
        <v>6.6619999999999999</v>
      </c>
      <c r="M700" s="6">
        <v>6.6619999999999999</v>
      </c>
      <c r="N700" s="6">
        <v>6.6619999999999999</v>
      </c>
      <c r="O700" s="6">
        <v>6.6619999999999999</v>
      </c>
      <c r="P700" s="6">
        <v>0</v>
      </c>
      <c r="Q700" s="4" t="s">
        <v>26</v>
      </c>
      <c r="R700" s="4">
        <v>0</v>
      </c>
      <c r="S700" s="4" t="s">
        <v>288</v>
      </c>
      <c r="T700" s="4" t="s">
        <v>521</v>
      </c>
      <c r="U700" s="4">
        <v>0</v>
      </c>
      <c r="V700" s="4">
        <v>16</v>
      </c>
      <c r="W700" s="4">
        <v>72</v>
      </c>
    </row>
    <row r="701" spans="1:23" ht="11.25" customHeight="1" x14ac:dyDescent="0.25">
      <c r="A701" s="4" t="s">
        <v>55</v>
      </c>
      <c r="B701" s="4" t="s">
        <v>22</v>
      </c>
      <c r="C701" s="4" t="s">
        <v>33</v>
      </c>
      <c r="D701" s="4" t="s">
        <v>24</v>
      </c>
      <c r="E701" s="4" t="s">
        <v>24</v>
      </c>
      <c r="F701" s="4" t="s">
        <v>25</v>
      </c>
      <c r="G701" s="4" t="s">
        <v>25</v>
      </c>
      <c r="H701" s="4" t="s">
        <v>35</v>
      </c>
      <c r="I701" s="5">
        <v>44562</v>
      </c>
      <c r="J701" s="6">
        <v>0</v>
      </c>
      <c r="K701" s="6">
        <v>0</v>
      </c>
      <c r="L701" s="6">
        <v>6.6619999999999999</v>
      </c>
      <c r="M701" s="6">
        <v>6.6619999999999999</v>
      </c>
      <c r="N701" s="6">
        <v>6.6619999999999999</v>
      </c>
      <c r="O701" s="6">
        <v>6.6619999999999999</v>
      </c>
      <c r="P701" s="6">
        <v>0</v>
      </c>
      <c r="Q701" s="4" t="s">
        <v>26</v>
      </c>
      <c r="R701" s="4">
        <v>0</v>
      </c>
      <c r="S701" s="4" t="s">
        <v>289</v>
      </c>
      <c r="T701" s="4" t="s">
        <v>522</v>
      </c>
      <c r="U701" s="4">
        <v>0</v>
      </c>
      <c r="V701" s="4">
        <v>16</v>
      </c>
      <c r="W701" s="4">
        <v>72</v>
      </c>
    </row>
    <row r="702" spans="1:23" ht="11.25" customHeight="1" x14ac:dyDescent="0.25">
      <c r="A702" s="4" t="s">
        <v>21</v>
      </c>
      <c r="B702" s="4" t="s">
        <v>22</v>
      </c>
      <c r="C702" s="4" t="s">
        <v>33</v>
      </c>
      <c r="D702" s="4" t="s">
        <v>24</v>
      </c>
      <c r="E702" s="4" t="s">
        <v>24</v>
      </c>
      <c r="F702" s="4" t="s">
        <v>25</v>
      </c>
      <c r="G702" s="4" t="s">
        <v>25</v>
      </c>
      <c r="H702" s="4" t="s">
        <v>36</v>
      </c>
      <c r="I702" s="5">
        <v>44228</v>
      </c>
      <c r="J702" s="6">
        <v>0</v>
      </c>
      <c r="K702" s="6">
        <v>0</v>
      </c>
      <c r="L702" s="6">
        <v>0.41499999999999998</v>
      </c>
      <c r="M702" s="6">
        <v>0.41499999999999998</v>
      </c>
      <c r="N702" s="6">
        <v>0.41499999999999998</v>
      </c>
      <c r="O702" s="6">
        <v>0.41499999999999998</v>
      </c>
      <c r="P702" s="6">
        <v>0</v>
      </c>
      <c r="Q702" s="4" t="s">
        <v>26</v>
      </c>
      <c r="R702" s="4">
        <v>0</v>
      </c>
      <c r="S702" s="4" t="s">
        <v>290</v>
      </c>
      <c r="T702" s="4" t="s">
        <v>523</v>
      </c>
      <c r="U702" s="4">
        <v>0</v>
      </c>
      <c r="V702" s="4">
        <v>15</v>
      </c>
      <c r="W702" s="4">
        <v>71</v>
      </c>
    </row>
    <row r="703" spans="1:23" ht="11.25" customHeight="1" x14ac:dyDescent="0.25">
      <c r="A703" s="4" t="s">
        <v>21</v>
      </c>
      <c r="B703" s="4" t="s">
        <v>22</v>
      </c>
      <c r="C703" s="4" t="s">
        <v>33</v>
      </c>
      <c r="D703" s="4" t="s">
        <v>24</v>
      </c>
      <c r="E703" s="4" t="s">
        <v>24</v>
      </c>
      <c r="F703" s="4" t="s">
        <v>25</v>
      </c>
      <c r="G703" s="4" t="s">
        <v>25</v>
      </c>
      <c r="H703" s="4" t="s">
        <v>36</v>
      </c>
      <c r="I703" s="5">
        <v>44256</v>
      </c>
      <c r="J703" s="6">
        <v>0</v>
      </c>
      <c r="K703" s="6">
        <v>0</v>
      </c>
      <c r="L703" s="6">
        <v>0.47099999999999997</v>
      </c>
      <c r="M703" s="6">
        <v>0.47099999999999997</v>
      </c>
      <c r="N703" s="6">
        <v>0.47099999999999997</v>
      </c>
      <c r="O703" s="6">
        <v>0.47099999999999997</v>
      </c>
      <c r="P703" s="6">
        <v>0</v>
      </c>
      <c r="Q703" s="4" t="s">
        <v>26</v>
      </c>
      <c r="R703" s="4">
        <v>0</v>
      </c>
      <c r="S703" s="4" t="s">
        <v>291</v>
      </c>
      <c r="T703" s="4" t="s">
        <v>524</v>
      </c>
      <c r="U703" s="4">
        <v>0</v>
      </c>
      <c r="V703" s="4">
        <v>15</v>
      </c>
      <c r="W703" s="4">
        <v>71</v>
      </c>
    </row>
    <row r="704" spans="1:23" ht="11.25" customHeight="1" x14ac:dyDescent="0.25">
      <c r="A704" s="4" t="s">
        <v>21</v>
      </c>
      <c r="B704" s="4" t="s">
        <v>22</v>
      </c>
      <c r="C704" s="4" t="s">
        <v>33</v>
      </c>
      <c r="D704" s="4" t="s">
        <v>24</v>
      </c>
      <c r="E704" s="4" t="s">
        <v>24</v>
      </c>
      <c r="F704" s="4" t="s">
        <v>25</v>
      </c>
      <c r="G704" s="4" t="s">
        <v>25</v>
      </c>
      <c r="H704" s="4" t="s">
        <v>36</v>
      </c>
      <c r="I704" s="5">
        <v>44287</v>
      </c>
      <c r="J704" s="6">
        <v>0</v>
      </c>
      <c r="K704" s="6">
        <v>0</v>
      </c>
      <c r="L704" s="6">
        <v>0.46400000000000002</v>
      </c>
      <c r="M704" s="6">
        <v>0.46400000000000002</v>
      </c>
      <c r="N704" s="6">
        <v>0.46400000000000002</v>
      </c>
      <c r="O704" s="6">
        <v>0.46400000000000002</v>
      </c>
      <c r="P704" s="6">
        <v>0</v>
      </c>
      <c r="Q704" s="4" t="s">
        <v>26</v>
      </c>
      <c r="R704" s="4">
        <v>0</v>
      </c>
      <c r="S704" s="4" t="s">
        <v>292</v>
      </c>
      <c r="T704" s="4" t="s">
        <v>525</v>
      </c>
      <c r="U704" s="4">
        <v>0</v>
      </c>
      <c r="V704" s="4">
        <v>15</v>
      </c>
      <c r="W704" s="4">
        <v>71</v>
      </c>
    </row>
    <row r="705" spans="1:23" ht="11.25" customHeight="1" x14ac:dyDescent="0.25">
      <c r="A705" s="4" t="s">
        <v>27</v>
      </c>
      <c r="B705" s="4" t="s">
        <v>22</v>
      </c>
      <c r="C705" s="4" t="s">
        <v>33</v>
      </c>
      <c r="D705" s="4" t="s">
        <v>24</v>
      </c>
      <c r="E705" s="4" t="s">
        <v>24</v>
      </c>
      <c r="F705" s="4" t="s">
        <v>25</v>
      </c>
      <c r="G705" s="4" t="s">
        <v>25</v>
      </c>
      <c r="H705" s="4" t="s">
        <v>36</v>
      </c>
      <c r="I705" s="5">
        <v>44287</v>
      </c>
      <c r="J705" s="6">
        <v>0</v>
      </c>
      <c r="K705" s="6">
        <v>0</v>
      </c>
      <c r="L705" s="6">
        <v>-0.218</v>
      </c>
      <c r="M705" s="6">
        <v>-0.218</v>
      </c>
      <c r="N705" s="6">
        <v>-0.218</v>
      </c>
      <c r="O705" s="6">
        <v>-0.218</v>
      </c>
      <c r="P705" s="6">
        <v>0</v>
      </c>
      <c r="Q705" s="4" t="s">
        <v>26</v>
      </c>
      <c r="R705" s="4">
        <v>0</v>
      </c>
      <c r="S705" s="4" t="s">
        <v>292</v>
      </c>
      <c r="T705" s="4" t="s">
        <v>525</v>
      </c>
      <c r="U705" s="4">
        <v>0</v>
      </c>
      <c r="V705" s="4">
        <v>15</v>
      </c>
      <c r="W705" s="4">
        <v>71</v>
      </c>
    </row>
    <row r="706" spans="1:23" ht="11.25" customHeight="1" x14ac:dyDescent="0.25">
      <c r="A706" s="4" t="s">
        <v>21</v>
      </c>
      <c r="B706" s="4" t="s">
        <v>22</v>
      </c>
      <c r="C706" s="4" t="s">
        <v>33</v>
      </c>
      <c r="D706" s="4" t="s">
        <v>24</v>
      </c>
      <c r="E706" s="4" t="s">
        <v>24</v>
      </c>
      <c r="F706" s="4" t="s">
        <v>25</v>
      </c>
      <c r="G706" s="4" t="s">
        <v>25</v>
      </c>
      <c r="H706" s="4" t="s">
        <v>36</v>
      </c>
      <c r="I706" s="5">
        <v>44317</v>
      </c>
      <c r="J706" s="6">
        <v>0</v>
      </c>
      <c r="K706" s="6">
        <v>0</v>
      </c>
      <c r="L706" s="6">
        <v>0.42599999999999999</v>
      </c>
      <c r="M706" s="6">
        <v>0.42599999999999999</v>
      </c>
      <c r="N706" s="6">
        <v>0.42599999999999999</v>
      </c>
      <c r="O706" s="6">
        <v>0.42599999999999999</v>
      </c>
      <c r="P706" s="6">
        <v>0</v>
      </c>
      <c r="Q706" s="4" t="s">
        <v>26</v>
      </c>
      <c r="R706" s="4">
        <v>0</v>
      </c>
      <c r="S706" s="4" t="s">
        <v>293</v>
      </c>
      <c r="T706" s="4" t="s">
        <v>526</v>
      </c>
      <c r="U706" s="4">
        <v>0</v>
      </c>
      <c r="V706" s="4">
        <v>15</v>
      </c>
      <c r="W706" s="4">
        <v>71</v>
      </c>
    </row>
    <row r="707" spans="1:23" ht="11.25" customHeight="1" x14ac:dyDescent="0.25">
      <c r="A707" s="4" t="s">
        <v>21</v>
      </c>
      <c r="B707" s="4" t="s">
        <v>22</v>
      </c>
      <c r="C707" s="4" t="s">
        <v>33</v>
      </c>
      <c r="D707" s="4" t="s">
        <v>24</v>
      </c>
      <c r="E707" s="4" t="s">
        <v>24</v>
      </c>
      <c r="F707" s="4" t="s">
        <v>25</v>
      </c>
      <c r="G707" s="4" t="s">
        <v>25</v>
      </c>
      <c r="H707" s="4" t="s">
        <v>36</v>
      </c>
      <c r="I707" s="5">
        <v>44348</v>
      </c>
      <c r="J707" s="6">
        <v>0</v>
      </c>
      <c r="K707" s="6">
        <v>0</v>
      </c>
      <c r="L707" s="6">
        <v>0.40200000000000002</v>
      </c>
      <c r="M707" s="6">
        <v>0.40200000000000002</v>
      </c>
      <c r="N707" s="6">
        <v>0.40200000000000002</v>
      </c>
      <c r="O707" s="6">
        <v>0.40200000000000002</v>
      </c>
      <c r="P707" s="6">
        <v>0</v>
      </c>
      <c r="Q707" s="4" t="s">
        <v>26</v>
      </c>
      <c r="R707" s="4">
        <v>0</v>
      </c>
      <c r="S707" s="4" t="s">
        <v>294</v>
      </c>
      <c r="T707" s="4" t="s">
        <v>527</v>
      </c>
      <c r="U707" s="4">
        <v>0</v>
      </c>
      <c r="V707" s="4">
        <v>15</v>
      </c>
      <c r="W707" s="4">
        <v>71</v>
      </c>
    </row>
    <row r="708" spans="1:23" ht="11.25" customHeight="1" x14ac:dyDescent="0.25">
      <c r="A708" s="4" t="s">
        <v>21</v>
      </c>
      <c r="B708" s="4" t="s">
        <v>22</v>
      </c>
      <c r="C708" s="4" t="s">
        <v>33</v>
      </c>
      <c r="D708" s="4" t="s">
        <v>24</v>
      </c>
      <c r="E708" s="4" t="s">
        <v>24</v>
      </c>
      <c r="F708" s="4" t="s">
        <v>25</v>
      </c>
      <c r="G708" s="4" t="s">
        <v>25</v>
      </c>
      <c r="H708" s="4" t="s">
        <v>36</v>
      </c>
      <c r="I708" s="5">
        <v>44378</v>
      </c>
      <c r="J708" s="6">
        <v>0</v>
      </c>
      <c r="K708" s="6">
        <v>0</v>
      </c>
      <c r="L708" s="6">
        <v>0.40400000000000003</v>
      </c>
      <c r="M708" s="6">
        <v>0.40400000000000003</v>
      </c>
      <c r="N708" s="6">
        <v>0.40400000000000003</v>
      </c>
      <c r="O708" s="6">
        <v>0.40400000000000003</v>
      </c>
      <c r="P708" s="6">
        <v>0</v>
      </c>
      <c r="Q708" s="4" t="s">
        <v>26</v>
      </c>
      <c r="R708" s="4">
        <v>0</v>
      </c>
      <c r="S708" s="4" t="s">
        <v>295</v>
      </c>
      <c r="T708" s="4" t="s">
        <v>528</v>
      </c>
      <c r="U708" s="4">
        <v>0</v>
      </c>
      <c r="V708" s="4">
        <v>15</v>
      </c>
      <c r="W708" s="4">
        <v>71</v>
      </c>
    </row>
    <row r="709" spans="1:23" ht="11.25" customHeight="1" x14ac:dyDescent="0.25">
      <c r="A709" s="4" t="s">
        <v>21</v>
      </c>
      <c r="B709" s="4" t="s">
        <v>22</v>
      </c>
      <c r="C709" s="4" t="s">
        <v>33</v>
      </c>
      <c r="D709" s="4" t="s">
        <v>24</v>
      </c>
      <c r="E709" s="4" t="s">
        <v>24</v>
      </c>
      <c r="F709" s="4" t="s">
        <v>25</v>
      </c>
      <c r="G709" s="4" t="s">
        <v>25</v>
      </c>
      <c r="H709" s="4" t="s">
        <v>36</v>
      </c>
      <c r="I709" s="5">
        <v>44409</v>
      </c>
      <c r="J709" s="6">
        <v>0</v>
      </c>
      <c r="K709" s="6">
        <v>0</v>
      </c>
      <c r="L709" s="6">
        <v>0.34399999999999997</v>
      </c>
      <c r="M709" s="6">
        <v>0.34399999999999997</v>
      </c>
      <c r="N709" s="6">
        <v>0.34399999999999997</v>
      </c>
      <c r="O709" s="6">
        <v>0.34399999999999997</v>
      </c>
      <c r="P709" s="6">
        <v>0</v>
      </c>
      <c r="Q709" s="4" t="s">
        <v>26</v>
      </c>
      <c r="R709" s="4">
        <v>0</v>
      </c>
      <c r="S709" s="4" t="s">
        <v>296</v>
      </c>
      <c r="T709" s="4" t="s">
        <v>529</v>
      </c>
      <c r="U709" s="4">
        <v>0</v>
      </c>
      <c r="V709" s="4">
        <v>15</v>
      </c>
      <c r="W709" s="4">
        <v>71</v>
      </c>
    </row>
    <row r="710" spans="1:23" ht="11.25" customHeight="1" x14ac:dyDescent="0.25">
      <c r="A710" s="4" t="s">
        <v>21</v>
      </c>
      <c r="B710" s="4" t="s">
        <v>22</v>
      </c>
      <c r="C710" s="4" t="s">
        <v>33</v>
      </c>
      <c r="D710" s="4" t="s">
        <v>24</v>
      </c>
      <c r="E710" s="4" t="s">
        <v>24</v>
      </c>
      <c r="F710" s="4" t="s">
        <v>25</v>
      </c>
      <c r="G710" s="4" t="s">
        <v>25</v>
      </c>
      <c r="H710" s="4" t="s">
        <v>36</v>
      </c>
      <c r="I710" s="5">
        <v>44440</v>
      </c>
      <c r="J710" s="6">
        <v>0</v>
      </c>
      <c r="K710" s="6">
        <v>0</v>
      </c>
      <c r="L710" s="6">
        <v>0.308</v>
      </c>
      <c r="M710" s="6">
        <v>0.308</v>
      </c>
      <c r="N710" s="6">
        <v>0.308</v>
      </c>
      <c r="O710" s="6">
        <v>0.308</v>
      </c>
      <c r="P710" s="6">
        <v>0</v>
      </c>
      <c r="Q710" s="4" t="s">
        <v>26</v>
      </c>
      <c r="R710" s="4">
        <v>0</v>
      </c>
      <c r="S710" s="4" t="s">
        <v>297</v>
      </c>
      <c r="T710" s="4" t="s">
        <v>530</v>
      </c>
      <c r="U710" s="4">
        <v>0</v>
      </c>
      <c r="V710" s="4">
        <v>15</v>
      </c>
      <c r="W710" s="4">
        <v>71</v>
      </c>
    </row>
    <row r="711" spans="1:23" ht="11.25" customHeight="1" x14ac:dyDescent="0.25">
      <c r="A711" s="4" t="s">
        <v>21</v>
      </c>
      <c r="B711" s="4" t="s">
        <v>22</v>
      </c>
      <c r="C711" s="4" t="s">
        <v>33</v>
      </c>
      <c r="D711" s="4" t="s">
        <v>24</v>
      </c>
      <c r="E711" s="4" t="s">
        <v>24</v>
      </c>
      <c r="F711" s="4" t="s">
        <v>25</v>
      </c>
      <c r="G711" s="4" t="s">
        <v>25</v>
      </c>
      <c r="H711" s="4" t="s">
        <v>36</v>
      </c>
      <c r="I711" s="5">
        <v>44470</v>
      </c>
      <c r="J711" s="6">
        <v>0</v>
      </c>
      <c r="K711" s="6">
        <v>0</v>
      </c>
      <c r="L711" s="6">
        <v>0.38400000000000001</v>
      </c>
      <c r="M711" s="6">
        <v>0.38400000000000001</v>
      </c>
      <c r="N711" s="6">
        <v>0.38400000000000001</v>
      </c>
      <c r="O711" s="6">
        <v>0.38400000000000001</v>
      </c>
      <c r="P711" s="6">
        <v>0</v>
      </c>
      <c r="Q711" s="4" t="s">
        <v>26</v>
      </c>
      <c r="R711" s="4">
        <v>0</v>
      </c>
      <c r="S711" s="4" t="s">
        <v>298</v>
      </c>
      <c r="T711" s="4" t="s">
        <v>531</v>
      </c>
      <c r="U711" s="4">
        <v>0</v>
      </c>
      <c r="V711" s="4">
        <v>15</v>
      </c>
      <c r="W711" s="4">
        <v>71</v>
      </c>
    </row>
    <row r="712" spans="1:23" ht="11.25" customHeight="1" x14ac:dyDescent="0.25">
      <c r="A712" s="4" t="s">
        <v>21</v>
      </c>
      <c r="B712" s="4" t="s">
        <v>22</v>
      </c>
      <c r="C712" s="4" t="s">
        <v>33</v>
      </c>
      <c r="D712" s="4" t="s">
        <v>24</v>
      </c>
      <c r="E712" s="4" t="s">
        <v>24</v>
      </c>
      <c r="F712" s="4" t="s">
        <v>25</v>
      </c>
      <c r="G712" s="4" t="s">
        <v>25</v>
      </c>
      <c r="H712" s="4" t="s">
        <v>36</v>
      </c>
      <c r="I712" s="5">
        <v>44501</v>
      </c>
      <c r="J712" s="6">
        <v>0</v>
      </c>
      <c r="K712" s="6">
        <v>0</v>
      </c>
      <c r="L712" s="6">
        <v>0.38</v>
      </c>
      <c r="M712" s="6">
        <v>0.38</v>
      </c>
      <c r="N712" s="6">
        <v>0.38</v>
      </c>
      <c r="O712" s="6">
        <v>0.38</v>
      </c>
      <c r="P712" s="6">
        <v>0</v>
      </c>
      <c r="Q712" s="4" t="s">
        <v>26</v>
      </c>
      <c r="R712" s="4">
        <v>0</v>
      </c>
      <c r="S712" s="4" t="s">
        <v>299</v>
      </c>
      <c r="T712" s="4" t="s">
        <v>532</v>
      </c>
      <c r="U712" s="4">
        <v>0</v>
      </c>
      <c r="V712" s="4">
        <v>15</v>
      </c>
      <c r="W712" s="4">
        <v>71</v>
      </c>
    </row>
    <row r="713" spans="1:23" ht="11.25" customHeight="1" x14ac:dyDescent="0.25">
      <c r="A713" s="4" t="s">
        <v>21</v>
      </c>
      <c r="B713" s="4" t="s">
        <v>22</v>
      </c>
      <c r="C713" s="4" t="s">
        <v>33</v>
      </c>
      <c r="D713" s="4" t="s">
        <v>24</v>
      </c>
      <c r="E713" s="4" t="s">
        <v>24</v>
      </c>
      <c r="F713" s="4" t="s">
        <v>25</v>
      </c>
      <c r="G713" s="4" t="s">
        <v>25</v>
      </c>
      <c r="H713" s="4" t="s">
        <v>36</v>
      </c>
      <c r="I713" s="5">
        <v>44531</v>
      </c>
      <c r="J713" s="6">
        <v>0</v>
      </c>
      <c r="K713" s="6">
        <v>0</v>
      </c>
      <c r="L713" s="6">
        <v>0.41499999999999998</v>
      </c>
      <c r="M713" s="6">
        <v>0.41499999999999998</v>
      </c>
      <c r="N713" s="6">
        <v>0.41499999999999998</v>
      </c>
      <c r="O713" s="6">
        <v>0.41499999999999998</v>
      </c>
      <c r="P713" s="6">
        <v>0</v>
      </c>
      <c r="Q713" s="4" t="s">
        <v>26</v>
      </c>
      <c r="R713" s="4">
        <v>0</v>
      </c>
      <c r="S713" s="4" t="s">
        <v>300</v>
      </c>
      <c r="T713" s="4" t="s">
        <v>533</v>
      </c>
      <c r="U713" s="4">
        <v>0</v>
      </c>
      <c r="V713" s="4">
        <v>15</v>
      </c>
      <c r="W713" s="4">
        <v>71</v>
      </c>
    </row>
    <row r="714" spans="1:23" ht="11.25" customHeight="1" x14ac:dyDescent="0.25">
      <c r="A714" s="4" t="s">
        <v>55</v>
      </c>
      <c r="B714" s="4" t="s">
        <v>22</v>
      </c>
      <c r="C714" s="4" t="s">
        <v>33</v>
      </c>
      <c r="D714" s="4" t="s">
        <v>24</v>
      </c>
      <c r="E714" s="4" t="s">
        <v>24</v>
      </c>
      <c r="F714" s="4" t="s">
        <v>25</v>
      </c>
      <c r="G714" s="4" t="s">
        <v>25</v>
      </c>
      <c r="H714" s="4" t="s">
        <v>36</v>
      </c>
      <c r="I714" s="5">
        <v>44562</v>
      </c>
      <c r="J714" s="6">
        <v>0</v>
      </c>
      <c r="K714" s="6">
        <v>0</v>
      </c>
      <c r="L714" s="6">
        <v>0.41499999999999998</v>
      </c>
      <c r="M714" s="6">
        <v>0.41499999999999998</v>
      </c>
      <c r="N714" s="6">
        <v>0.41499999999999998</v>
      </c>
      <c r="O714" s="6">
        <v>0.41499999999999998</v>
      </c>
      <c r="P714" s="6">
        <v>0</v>
      </c>
      <c r="Q714" s="4" t="s">
        <v>26</v>
      </c>
      <c r="R714" s="4">
        <v>0</v>
      </c>
      <c r="S714" s="4" t="s">
        <v>301</v>
      </c>
      <c r="T714" s="4" t="s">
        <v>534</v>
      </c>
      <c r="U714" s="4">
        <v>0</v>
      </c>
      <c r="V714" s="4">
        <v>15</v>
      </c>
      <c r="W714" s="4">
        <v>71</v>
      </c>
    </row>
    <row r="715" spans="1:23" ht="11.25" customHeight="1" x14ac:dyDescent="0.25">
      <c r="A715" s="4" t="s">
        <v>21</v>
      </c>
      <c r="B715" s="4" t="s">
        <v>22</v>
      </c>
      <c r="C715" s="4" t="s">
        <v>33</v>
      </c>
      <c r="D715" s="4" t="s">
        <v>24</v>
      </c>
      <c r="E715" s="4" t="s">
        <v>24</v>
      </c>
      <c r="F715" s="4" t="s">
        <v>25</v>
      </c>
      <c r="G715" s="4" t="s">
        <v>25</v>
      </c>
      <c r="H715" s="4" t="s">
        <v>34</v>
      </c>
      <c r="I715" s="5">
        <v>44228</v>
      </c>
      <c r="J715" s="6">
        <v>0</v>
      </c>
      <c r="K715" s="6">
        <v>0</v>
      </c>
      <c r="L715" s="6">
        <v>0.63500000000000001</v>
      </c>
      <c r="M715" s="6">
        <v>0.63500000000000001</v>
      </c>
      <c r="N715" s="6">
        <v>0.63500000000000001</v>
      </c>
      <c r="O715" s="6">
        <v>0.63500000000000001</v>
      </c>
      <c r="P715" s="6">
        <v>0</v>
      </c>
      <c r="Q715" s="4" t="s">
        <v>26</v>
      </c>
      <c r="R715" s="4">
        <v>0</v>
      </c>
      <c r="S715" s="4" t="s">
        <v>302</v>
      </c>
      <c r="T715" s="4" t="s">
        <v>535</v>
      </c>
      <c r="U715" s="4">
        <v>0</v>
      </c>
      <c r="V715" s="4">
        <v>14</v>
      </c>
      <c r="W715" s="4">
        <v>70</v>
      </c>
    </row>
    <row r="716" spans="1:23" ht="11.25" customHeight="1" x14ac:dyDescent="0.25">
      <c r="A716" s="4" t="s">
        <v>21</v>
      </c>
      <c r="B716" s="4" t="s">
        <v>22</v>
      </c>
      <c r="C716" s="4" t="s">
        <v>33</v>
      </c>
      <c r="D716" s="4" t="s">
        <v>24</v>
      </c>
      <c r="E716" s="4" t="s">
        <v>24</v>
      </c>
      <c r="F716" s="4" t="s">
        <v>25</v>
      </c>
      <c r="G716" s="4" t="s">
        <v>25</v>
      </c>
      <c r="H716" s="4" t="s">
        <v>34</v>
      </c>
      <c r="I716" s="5">
        <v>44256</v>
      </c>
      <c r="J716" s="6">
        <v>0</v>
      </c>
      <c r="K716" s="6">
        <v>0</v>
      </c>
      <c r="L716" s="6">
        <v>0.71899999999999997</v>
      </c>
      <c r="M716" s="6">
        <v>0.71899999999999997</v>
      </c>
      <c r="N716" s="6">
        <v>0.71899999999999997</v>
      </c>
      <c r="O716" s="6">
        <v>0.71899999999999997</v>
      </c>
      <c r="P716" s="6">
        <v>0</v>
      </c>
      <c r="Q716" s="4" t="s">
        <v>26</v>
      </c>
      <c r="R716" s="4">
        <v>0</v>
      </c>
      <c r="S716" s="4" t="s">
        <v>303</v>
      </c>
      <c r="T716" s="4" t="s">
        <v>536</v>
      </c>
      <c r="U716" s="4">
        <v>0</v>
      </c>
      <c r="V716" s="4">
        <v>14</v>
      </c>
      <c r="W716" s="4">
        <v>70</v>
      </c>
    </row>
    <row r="717" spans="1:23" ht="11.25" customHeight="1" x14ac:dyDescent="0.25">
      <c r="A717" s="4" t="s">
        <v>21</v>
      </c>
      <c r="B717" s="4" t="s">
        <v>22</v>
      </c>
      <c r="C717" s="4" t="s">
        <v>33</v>
      </c>
      <c r="D717" s="4" t="s">
        <v>24</v>
      </c>
      <c r="E717" s="4" t="s">
        <v>24</v>
      </c>
      <c r="F717" s="4" t="s">
        <v>25</v>
      </c>
      <c r="G717" s="4" t="s">
        <v>25</v>
      </c>
      <c r="H717" s="4" t="s">
        <v>34</v>
      </c>
      <c r="I717" s="5">
        <v>44287</v>
      </c>
      <c r="J717" s="6">
        <v>0</v>
      </c>
      <c r="K717" s="6">
        <v>0</v>
      </c>
      <c r="L717" s="6">
        <v>0.71699999999999997</v>
      </c>
      <c r="M717" s="6">
        <v>0.71699999999999997</v>
      </c>
      <c r="N717" s="6">
        <v>0.71699999999999997</v>
      </c>
      <c r="O717" s="6">
        <v>0.71699999999999997</v>
      </c>
      <c r="P717" s="6">
        <v>0</v>
      </c>
      <c r="Q717" s="4" t="s">
        <v>26</v>
      </c>
      <c r="R717" s="4">
        <v>0</v>
      </c>
      <c r="S717" s="4" t="s">
        <v>304</v>
      </c>
      <c r="T717" s="4" t="s">
        <v>537</v>
      </c>
      <c r="U717" s="4">
        <v>0</v>
      </c>
      <c r="V717" s="4">
        <v>14</v>
      </c>
      <c r="W717" s="4">
        <v>70</v>
      </c>
    </row>
    <row r="718" spans="1:23" ht="11.25" customHeight="1" x14ac:dyDescent="0.25">
      <c r="A718" s="4" t="s">
        <v>27</v>
      </c>
      <c r="B718" s="4" t="s">
        <v>22</v>
      </c>
      <c r="C718" s="4" t="s">
        <v>33</v>
      </c>
      <c r="D718" s="4" t="s">
        <v>24</v>
      </c>
      <c r="E718" s="4" t="s">
        <v>24</v>
      </c>
      <c r="F718" s="4" t="s">
        <v>25</v>
      </c>
      <c r="G718" s="4" t="s">
        <v>25</v>
      </c>
      <c r="H718" s="4" t="s">
        <v>34</v>
      </c>
      <c r="I718" s="5">
        <v>44287</v>
      </c>
      <c r="J718" s="6">
        <v>0</v>
      </c>
      <c r="K718" s="6">
        <v>0</v>
      </c>
      <c r="L718" s="6">
        <v>-0.36899999999999999</v>
      </c>
      <c r="M718" s="6">
        <v>-0.36899999999999999</v>
      </c>
      <c r="N718" s="6">
        <v>-0.36899999999999999</v>
      </c>
      <c r="O718" s="6">
        <v>-0.36899999999999999</v>
      </c>
      <c r="P718" s="6">
        <v>0</v>
      </c>
      <c r="Q718" s="4" t="s">
        <v>26</v>
      </c>
      <c r="R718" s="4">
        <v>0</v>
      </c>
      <c r="S718" s="4" t="s">
        <v>304</v>
      </c>
      <c r="T718" s="4" t="s">
        <v>537</v>
      </c>
      <c r="U718" s="4">
        <v>0</v>
      </c>
      <c r="V718" s="4">
        <v>14</v>
      </c>
      <c r="W718" s="4">
        <v>70</v>
      </c>
    </row>
    <row r="719" spans="1:23" ht="11.25" customHeight="1" x14ac:dyDescent="0.25">
      <c r="A719" s="4" t="s">
        <v>21</v>
      </c>
      <c r="B719" s="4" t="s">
        <v>22</v>
      </c>
      <c r="C719" s="4" t="s">
        <v>33</v>
      </c>
      <c r="D719" s="4" t="s">
        <v>24</v>
      </c>
      <c r="E719" s="4" t="s">
        <v>24</v>
      </c>
      <c r="F719" s="4" t="s">
        <v>25</v>
      </c>
      <c r="G719" s="4" t="s">
        <v>25</v>
      </c>
      <c r="H719" s="4" t="s">
        <v>34</v>
      </c>
      <c r="I719" s="5">
        <v>44317</v>
      </c>
      <c r="J719" s="6">
        <v>0</v>
      </c>
      <c r="K719" s="6">
        <v>0</v>
      </c>
      <c r="L719" s="6">
        <v>0.69099999999999995</v>
      </c>
      <c r="M719" s="6">
        <v>0.69099999999999995</v>
      </c>
      <c r="N719" s="6">
        <v>0.69099999999999995</v>
      </c>
      <c r="O719" s="6">
        <v>0.69099999999999995</v>
      </c>
      <c r="P719" s="6">
        <v>0</v>
      </c>
      <c r="Q719" s="4" t="s">
        <v>26</v>
      </c>
      <c r="R719" s="4">
        <v>0</v>
      </c>
      <c r="S719" s="4" t="s">
        <v>305</v>
      </c>
      <c r="T719" s="4" t="s">
        <v>538</v>
      </c>
      <c r="U719" s="4">
        <v>0</v>
      </c>
      <c r="V719" s="4">
        <v>14</v>
      </c>
      <c r="W719" s="4">
        <v>70</v>
      </c>
    </row>
    <row r="720" spans="1:23" ht="11.25" customHeight="1" x14ac:dyDescent="0.25">
      <c r="A720" s="4" t="s">
        <v>21</v>
      </c>
      <c r="B720" s="4" t="s">
        <v>22</v>
      </c>
      <c r="C720" s="4" t="s">
        <v>33</v>
      </c>
      <c r="D720" s="4" t="s">
        <v>24</v>
      </c>
      <c r="E720" s="4" t="s">
        <v>24</v>
      </c>
      <c r="F720" s="4" t="s">
        <v>25</v>
      </c>
      <c r="G720" s="4" t="s">
        <v>25</v>
      </c>
      <c r="H720" s="4" t="s">
        <v>34</v>
      </c>
      <c r="I720" s="5">
        <v>44348</v>
      </c>
      <c r="J720" s="6">
        <v>0</v>
      </c>
      <c r="K720" s="6">
        <v>0</v>
      </c>
      <c r="L720" s="6">
        <v>0.65400000000000003</v>
      </c>
      <c r="M720" s="6">
        <v>0.65400000000000003</v>
      </c>
      <c r="N720" s="6">
        <v>0.65400000000000003</v>
      </c>
      <c r="O720" s="6">
        <v>0.65400000000000003</v>
      </c>
      <c r="P720" s="6">
        <v>0</v>
      </c>
      <c r="Q720" s="4" t="s">
        <v>26</v>
      </c>
      <c r="R720" s="4">
        <v>0</v>
      </c>
      <c r="S720" s="4" t="s">
        <v>306</v>
      </c>
      <c r="T720" s="4" t="s">
        <v>539</v>
      </c>
      <c r="U720" s="4">
        <v>0</v>
      </c>
      <c r="V720" s="4">
        <v>14</v>
      </c>
      <c r="W720" s="4">
        <v>70</v>
      </c>
    </row>
    <row r="721" spans="1:23" ht="11.25" customHeight="1" x14ac:dyDescent="0.25">
      <c r="A721" s="4" t="s">
        <v>21</v>
      </c>
      <c r="B721" s="4" t="s">
        <v>22</v>
      </c>
      <c r="C721" s="4" t="s">
        <v>33</v>
      </c>
      <c r="D721" s="4" t="s">
        <v>24</v>
      </c>
      <c r="E721" s="4" t="s">
        <v>24</v>
      </c>
      <c r="F721" s="4" t="s">
        <v>25</v>
      </c>
      <c r="G721" s="4" t="s">
        <v>25</v>
      </c>
      <c r="H721" s="4" t="s">
        <v>34</v>
      </c>
      <c r="I721" s="5">
        <v>44378</v>
      </c>
      <c r="J721" s="6">
        <v>0</v>
      </c>
      <c r="K721" s="6">
        <v>0</v>
      </c>
      <c r="L721" s="6">
        <v>0.65400000000000003</v>
      </c>
      <c r="M721" s="6">
        <v>0.65400000000000003</v>
      </c>
      <c r="N721" s="6">
        <v>0.65400000000000003</v>
      </c>
      <c r="O721" s="6">
        <v>0.65400000000000003</v>
      </c>
      <c r="P721" s="6">
        <v>0</v>
      </c>
      <c r="Q721" s="4" t="s">
        <v>26</v>
      </c>
      <c r="R721" s="4">
        <v>0</v>
      </c>
      <c r="S721" s="4" t="s">
        <v>307</v>
      </c>
      <c r="T721" s="4" t="s">
        <v>540</v>
      </c>
      <c r="U721" s="4">
        <v>0</v>
      </c>
      <c r="V721" s="4">
        <v>14</v>
      </c>
      <c r="W721" s="4">
        <v>70</v>
      </c>
    </row>
    <row r="722" spans="1:23" ht="11.25" customHeight="1" x14ac:dyDescent="0.25">
      <c r="A722" s="4" t="s">
        <v>21</v>
      </c>
      <c r="B722" s="4" t="s">
        <v>22</v>
      </c>
      <c r="C722" s="4" t="s">
        <v>33</v>
      </c>
      <c r="D722" s="4" t="s">
        <v>24</v>
      </c>
      <c r="E722" s="4" t="s">
        <v>24</v>
      </c>
      <c r="F722" s="4" t="s">
        <v>25</v>
      </c>
      <c r="G722" s="4" t="s">
        <v>25</v>
      </c>
      <c r="H722" s="4" t="s">
        <v>34</v>
      </c>
      <c r="I722" s="5">
        <v>44409</v>
      </c>
      <c r="J722" s="6">
        <v>0</v>
      </c>
      <c r="K722" s="6">
        <v>0</v>
      </c>
      <c r="L722" s="6">
        <v>0.55800000000000005</v>
      </c>
      <c r="M722" s="6">
        <v>0.55800000000000005</v>
      </c>
      <c r="N722" s="6">
        <v>0.55800000000000005</v>
      </c>
      <c r="O722" s="6">
        <v>0.55800000000000005</v>
      </c>
      <c r="P722" s="6">
        <v>0</v>
      </c>
      <c r="Q722" s="4" t="s">
        <v>26</v>
      </c>
      <c r="R722" s="4">
        <v>0</v>
      </c>
      <c r="S722" s="4" t="s">
        <v>308</v>
      </c>
      <c r="T722" s="4" t="s">
        <v>541</v>
      </c>
      <c r="U722" s="4">
        <v>0</v>
      </c>
      <c r="V722" s="4">
        <v>14</v>
      </c>
      <c r="W722" s="4">
        <v>70</v>
      </c>
    </row>
    <row r="723" spans="1:23" ht="11.25" customHeight="1" x14ac:dyDescent="0.25">
      <c r="A723" s="4" t="s">
        <v>21</v>
      </c>
      <c r="B723" s="4" t="s">
        <v>22</v>
      </c>
      <c r="C723" s="4" t="s">
        <v>33</v>
      </c>
      <c r="D723" s="4" t="s">
        <v>24</v>
      </c>
      <c r="E723" s="4" t="s">
        <v>24</v>
      </c>
      <c r="F723" s="4" t="s">
        <v>25</v>
      </c>
      <c r="G723" s="4" t="s">
        <v>25</v>
      </c>
      <c r="H723" s="4" t="s">
        <v>34</v>
      </c>
      <c r="I723" s="5">
        <v>44440</v>
      </c>
      <c r="J723" s="6">
        <v>0</v>
      </c>
      <c r="K723" s="6">
        <v>0</v>
      </c>
      <c r="L723" s="6">
        <v>0.48199999999999998</v>
      </c>
      <c r="M723" s="6">
        <v>0.48199999999999998</v>
      </c>
      <c r="N723" s="6">
        <v>0.48199999999999998</v>
      </c>
      <c r="O723" s="6">
        <v>0.48199999999999998</v>
      </c>
      <c r="P723" s="6">
        <v>0</v>
      </c>
      <c r="Q723" s="4" t="s">
        <v>26</v>
      </c>
      <c r="R723" s="4">
        <v>0</v>
      </c>
      <c r="S723" s="4" t="s">
        <v>309</v>
      </c>
      <c r="T723" s="4" t="s">
        <v>542</v>
      </c>
      <c r="U723" s="4">
        <v>0</v>
      </c>
      <c r="V723" s="4">
        <v>14</v>
      </c>
      <c r="W723" s="4">
        <v>70</v>
      </c>
    </row>
    <row r="724" spans="1:23" ht="11.25" customHeight="1" x14ac:dyDescent="0.25">
      <c r="A724" s="4" t="s">
        <v>21</v>
      </c>
      <c r="B724" s="4" t="s">
        <v>22</v>
      </c>
      <c r="C724" s="4" t="s">
        <v>33</v>
      </c>
      <c r="D724" s="4" t="s">
        <v>24</v>
      </c>
      <c r="E724" s="4" t="s">
        <v>24</v>
      </c>
      <c r="F724" s="4" t="s">
        <v>25</v>
      </c>
      <c r="G724" s="4" t="s">
        <v>25</v>
      </c>
      <c r="H724" s="4" t="s">
        <v>34</v>
      </c>
      <c r="I724" s="5">
        <v>44470</v>
      </c>
      <c r="J724" s="6">
        <v>0</v>
      </c>
      <c r="K724" s="6">
        <v>0</v>
      </c>
      <c r="L724" s="6">
        <v>0.53300000000000003</v>
      </c>
      <c r="M724" s="6">
        <v>0.53300000000000003</v>
      </c>
      <c r="N724" s="6">
        <v>0.53300000000000003</v>
      </c>
      <c r="O724" s="6">
        <v>0.53300000000000003</v>
      </c>
      <c r="P724" s="6">
        <v>0</v>
      </c>
      <c r="Q724" s="4" t="s">
        <v>26</v>
      </c>
      <c r="R724" s="4">
        <v>0</v>
      </c>
      <c r="S724" s="4" t="s">
        <v>310</v>
      </c>
      <c r="T724" s="4" t="s">
        <v>543</v>
      </c>
      <c r="U724" s="4">
        <v>0</v>
      </c>
      <c r="V724" s="4">
        <v>14</v>
      </c>
      <c r="W724" s="4">
        <v>70</v>
      </c>
    </row>
    <row r="725" spans="1:23" ht="11.25" customHeight="1" x14ac:dyDescent="0.25">
      <c r="A725" s="4" t="s">
        <v>21</v>
      </c>
      <c r="B725" s="4" t="s">
        <v>22</v>
      </c>
      <c r="C725" s="4" t="s">
        <v>33</v>
      </c>
      <c r="D725" s="4" t="s">
        <v>24</v>
      </c>
      <c r="E725" s="4" t="s">
        <v>24</v>
      </c>
      <c r="F725" s="4" t="s">
        <v>25</v>
      </c>
      <c r="G725" s="4" t="s">
        <v>25</v>
      </c>
      <c r="H725" s="4" t="s">
        <v>34</v>
      </c>
      <c r="I725" s="5">
        <v>44501</v>
      </c>
      <c r="J725" s="6">
        <v>0</v>
      </c>
      <c r="K725" s="6">
        <v>0</v>
      </c>
      <c r="L725" s="6">
        <v>0.51600000000000001</v>
      </c>
      <c r="M725" s="6">
        <v>0.51600000000000001</v>
      </c>
      <c r="N725" s="6">
        <v>0.51600000000000001</v>
      </c>
      <c r="O725" s="6">
        <v>0.51600000000000001</v>
      </c>
      <c r="P725" s="6">
        <v>0</v>
      </c>
      <c r="Q725" s="4" t="s">
        <v>26</v>
      </c>
      <c r="R725" s="4">
        <v>0</v>
      </c>
      <c r="S725" s="4" t="s">
        <v>311</v>
      </c>
      <c r="T725" s="4" t="s">
        <v>544</v>
      </c>
      <c r="U725" s="4">
        <v>0</v>
      </c>
      <c r="V725" s="4">
        <v>14</v>
      </c>
      <c r="W725" s="4">
        <v>70</v>
      </c>
    </row>
    <row r="726" spans="1:23" ht="11.25" customHeight="1" x14ac:dyDescent="0.25">
      <c r="A726" s="4" t="s">
        <v>21</v>
      </c>
      <c r="B726" s="4" t="s">
        <v>22</v>
      </c>
      <c r="C726" s="4" t="s">
        <v>33</v>
      </c>
      <c r="D726" s="4" t="s">
        <v>24</v>
      </c>
      <c r="E726" s="4" t="s">
        <v>24</v>
      </c>
      <c r="F726" s="4" t="s">
        <v>25</v>
      </c>
      <c r="G726" s="4" t="s">
        <v>25</v>
      </c>
      <c r="H726" s="4" t="s">
        <v>34</v>
      </c>
      <c r="I726" s="5">
        <v>44531</v>
      </c>
      <c r="J726" s="6">
        <v>0</v>
      </c>
      <c r="K726" s="6">
        <v>0</v>
      </c>
      <c r="L726" s="6">
        <v>0.56799999999999995</v>
      </c>
      <c r="M726" s="6">
        <v>0.56799999999999995</v>
      </c>
      <c r="N726" s="6">
        <v>0.56799999999999995</v>
      </c>
      <c r="O726" s="6">
        <v>0.56799999999999995</v>
      </c>
      <c r="P726" s="6">
        <v>0</v>
      </c>
      <c r="Q726" s="4" t="s">
        <v>26</v>
      </c>
      <c r="R726" s="4">
        <v>0</v>
      </c>
      <c r="S726" s="4" t="s">
        <v>312</v>
      </c>
      <c r="T726" s="4" t="s">
        <v>545</v>
      </c>
      <c r="U726" s="4">
        <v>0</v>
      </c>
      <c r="V726" s="4">
        <v>14</v>
      </c>
      <c r="W726" s="4">
        <v>70</v>
      </c>
    </row>
    <row r="727" spans="1:23" ht="11.25" customHeight="1" x14ac:dyDescent="0.25">
      <c r="A727" s="4" t="s">
        <v>55</v>
      </c>
      <c r="B727" s="4" t="s">
        <v>22</v>
      </c>
      <c r="C727" s="4" t="s">
        <v>33</v>
      </c>
      <c r="D727" s="4" t="s">
        <v>24</v>
      </c>
      <c r="E727" s="4" t="s">
        <v>24</v>
      </c>
      <c r="F727" s="4" t="s">
        <v>25</v>
      </c>
      <c r="G727" s="4" t="s">
        <v>25</v>
      </c>
      <c r="H727" s="4" t="s">
        <v>34</v>
      </c>
      <c r="I727" s="5">
        <v>44562</v>
      </c>
      <c r="J727" s="6">
        <v>0</v>
      </c>
      <c r="K727" s="6">
        <v>0</v>
      </c>
      <c r="L727" s="6">
        <v>0.56799999999999995</v>
      </c>
      <c r="M727" s="6">
        <v>0.56799999999999995</v>
      </c>
      <c r="N727" s="6">
        <v>0.56799999999999995</v>
      </c>
      <c r="O727" s="6">
        <v>0.56799999999999995</v>
      </c>
      <c r="P727" s="6">
        <v>0</v>
      </c>
      <c r="Q727" s="4" t="s">
        <v>26</v>
      </c>
      <c r="R727" s="4">
        <v>0</v>
      </c>
      <c r="S727" s="4" t="s">
        <v>313</v>
      </c>
      <c r="T727" s="4" t="s">
        <v>546</v>
      </c>
      <c r="U727" s="4">
        <v>0</v>
      </c>
      <c r="V727" s="4">
        <v>14</v>
      </c>
      <c r="W727" s="4">
        <v>70</v>
      </c>
    </row>
    <row r="728" spans="1:2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24</v>
      </c>
      <c r="F728" s="4" t="s">
        <v>25</v>
      </c>
      <c r="G728" s="4" t="s">
        <v>25</v>
      </c>
      <c r="H728" s="4" t="s">
        <v>25</v>
      </c>
      <c r="I728" s="5">
        <v>44228</v>
      </c>
      <c r="J728" s="6">
        <v>0</v>
      </c>
      <c r="K728" s="6">
        <v>0</v>
      </c>
      <c r="L728" s="6">
        <v>17718.171999999999</v>
      </c>
      <c r="M728" s="6">
        <v>17718.171999999999</v>
      </c>
      <c r="N728" s="6">
        <v>17718.171999999999</v>
      </c>
      <c r="O728" s="6">
        <v>17718.171999999999</v>
      </c>
      <c r="P728" s="6">
        <v>136517</v>
      </c>
      <c r="Q728" s="4" t="s">
        <v>26</v>
      </c>
      <c r="R728" s="4">
        <v>0</v>
      </c>
      <c r="S728" s="4" t="s">
        <v>314</v>
      </c>
      <c r="T728" s="4" t="s">
        <v>547</v>
      </c>
      <c r="U728" s="4">
        <v>0</v>
      </c>
      <c r="V728" s="4">
        <v>17</v>
      </c>
      <c r="W728" s="4">
        <v>73</v>
      </c>
    </row>
    <row r="729" spans="1:2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24</v>
      </c>
      <c r="F729" s="4" t="s">
        <v>25</v>
      </c>
      <c r="G729" s="4" t="s">
        <v>25</v>
      </c>
      <c r="H729" s="4" t="s">
        <v>25</v>
      </c>
      <c r="I729" s="5">
        <v>44228</v>
      </c>
      <c r="J729" s="6">
        <v>0</v>
      </c>
      <c r="K729" s="6">
        <v>0</v>
      </c>
      <c r="L729" s="6">
        <v>-8.2080000000000002</v>
      </c>
      <c r="M729" s="6">
        <v>-8.2080000000000002</v>
      </c>
      <c r="N729" s="6">
        <v>-8.2080000000000002</v>
      </c>
      <c r="O729" s="6">
        <v>-8.2080000000000002</v>
      </c>
      <c r="P729" s="6">
        <v>-13</v>
      </c>
      <c r="Q729" s="4" t="s">
        <v>26</v>
      </c>
      <c r="R729" s="4">
        <v>0</v>
      </c>
      <c r="S729" s="4" t="s">
        <v>314</v>
      </c>
      <c r="T729" s="4" t="s">
        <v>547</v>
      </c>
      <c r="U729" s="4">
        <v>0</v>
      </c>
      <c r="V729" s="4">
        <v>17</v>
      </c>
      <c r="W729" s="4">
        <v>73</v>
      </c>
    </row>
    <row r="730" spans="1:23" ht="11.25" customHeight="1" x14ac:dyDescent="0.25">
      <c r="A730" s="4" t="s">
        <v>28</v>
      </c>
      <c r="B730" s="4" t="s">
        <v>22</v>
      </c>
      <c r="C730" s="4" t="s">
        <v>23</v>
      </c>
      <c r="D730" s="4" t="s">
        <v>24</v>
      </c>
      <c r="E730" s="4" t="s">
        <v>24</v>
      </c>
      <c r="F730" s="4" t="s">
        <v>25</v>
      </c>
      <c r="G730" s="4" t="s">
        <v>25</v>
      </c>
      <c r="H730" s="4" t="s">
        <v>25</v>
      </c>
      <c r="I730" s="5">
        <v>44228</v>
      </c>
      <c r="J730" s="6">
        <v>0</v>
      </c>
      <c r="K730" s="6">
        <v>0</v>
      </c>
      <c r="L730" s="6">
        <v>123.98</v>
      </c>
      <c r="M730" s="6">
        <v>123.98</v>
      </c>
      <c r="N730" s="6">
        <v>123.98</v>
      </c>
      <c r="O730" s="6">
        <v>123.98</v>
      </c>
      <c r="P730" s="6">
        <v>687</v>
      </c>
      <c r="Q730" s="4" t="s">
        <v>26</v>
      </c>
      <c r="R730" s="4">
        <v>0</v>
      </c>
      <c r="S730" s="4" t="s">
        <v>314</v>
      </c>
      <c r="T730" s="4" t="s">
        <v>547</v>
      </c>
      <c r="U730" s="4">
        <v>0</v>
      </c>
      <c r="V730" s="4">
        <v>17</v>
      </c>
      <c r="W730" s="4">
        <v>73</v>
      </c>
    </row>
    <row r="731" spans="1:23" ht="11.25" customHeight="1" x14ac:dyDescent="0.25">
      <c r="A731" s="4" t="s">
        <v>21</v>
      </c>
      <c r="B731" s="4" t="s">
        <v>22</v>
      </c>
      <c r="C731" s="4" t="s">
        <v>23</v>
      </c>
      <c r="D731" s="4" t="s">
        <v>24</v>
      </c>
      <c r="E731" s="4" t="s">
        <v>24</v>
      </c>
      <c r="F731" s="4" t="s">
        <v>25</v>
      </c>
      <c r="G731" s="4" t="s">
        <v>25</v>
      </c>
      <c r="H731" s="4" t="s">
        <v>25</v>
      </c>
      <c r="I731" s="5">
        <v>44256</v>
      </c>
      <c r="J731" s="6">
        <v>0</v>
      </c>
      <c r="K731" s="6">
        <v>0</v>
      </c>
      <c r="L731" s="6">
        <v>19265.760999999999</v>
      </c>
      <c r="M731" s="6">
        <v>19265.760999999999</v>
      </c>
      <c r="N731" s="6">
        <v>19265.760999999999</v>
      </c>
      <c r="O731" s="6">
        <v>19265.760999999999</v>
      </c>
      <c r="P731" s="6">
        <v>136908</v>
      </c>
      <c r="Q731" s="4" t="s">
        <v>26</v>
      </c>
      <c r="R731" s="4">
        <v>0</v>
      </c>
      <c r="S731" s="4" t="s">
        <v>315</v>
      </c>
      <c r="T731" s="4" t="s">
        <v>548</v>
      </c>
      <c r="U731" s="4">
        <v>0</v>
      </c>
      <c r="V731" s="4">
        <v>17</v>
      </c>
      <c r="W731" s="4">
        <v>73</v>
      </c>
    </row>
    <row r="732" spans="1:23" ht="11.25" customHeight="1" x14ac:dyDescent="0.25">
      <c r="A732" s="4" t="s">
        <v>27</v>
      </c>
      <c r="B732" s="4" t="s">
        <v>22</v>
      </c>
      <c r="C732" s="4" t="s">
        <v>23</v>
      </c>
      <c r="D732" s="4" t="s">
        <v>24</v>
      </c>
      <c r="E732" s="4" t="s">
        <v>24</v>
      </c>
      <c r="F732" s="4" t="s">
        <v>25</v>
      </c>
      <c r="G732" s="4" t="s">
        <v>25</v>
      </c>
      <c r="H732" s="4" t="s">
        <v>25</v>
      </c>
      <c r="I732" s="5">
        <v>44256</v>
      </c>
      <c r="J732" s="6">
        <v>0</v>
      </c>
      <c r="K732" s="6">
        <v>0</v>
      </c>
      <c r="L732" s="6">
        <v>-11.406000000000001</v>
      </c>
      <c r="M732" s="6">
        <v>-11.406000000000001</v>
      </c>
      <c r="N732" s="6">
        <v>-11.406000000000001</v>
      </c>
      <c r="O732" s="6">
        <v>-11.406000000000001</v>
      </c>
      <c r="P732" s="6">
        <v>-14</v>
      </c>
      <c r="Q732" s="4" t="s">
        <v>26</v>
      </c>
      <c r="R732" s="4">
        <v>0</v>
      </c>
      <c r="S732" s="4" t="s">
        <v>315</v>
      </c>
      <c r="T732" s="4" t="s">
        <v>548</v>
      </c>
      <c r="U732" s="4">
        <v>0</v>
      </c>
      <c r="V732" s="4">
        <v>17</v>
      </c>
      <c r="W732" s="4">
        <v>73</v>
      </c>
    </row>
    <row r="733" spans="1:23" ht="11.25" customHeight="1" x14ac:dyDescent="0.25">
      <c r="A733" s="4" t="s">
        <v>28</v>
      </c>
      <c r="B733" s="4" t="s">
        <v>22</v>
      </c>
      <c r="C733" s="4" t="s">
        <v>23</v>
      </c>
      <c r="D733" s="4" t="s">
        <v>24</v>
      </c>
      <c r="E733" s="4" t="s">
        <v>24</v>
      </c>
      <c r="F733" s="4" t="s">
        <v>25</v>
      </c>
      <c r="G733" s="4" t="s">
        <v>25</v>
      </c>
      <c r="H733" s="4" t="s">
        <v>25</v>
      </c>
      <c r="I733" s="5">
        <v>44256</v>
      </c>
      <c r="J733" s="6">
        <v>0</v>
      </c>
      <c r="K733" s="6">
        <v>0</v>
      </c>
      <c r="L733" s="6">
        <v>144.601</v>
      </c>
      <c r="M733" s="6">
        <v>144.601</v>
      </c>
      <c r="N733" s="6">
        <v>144.601</v>
      </c>
      <c r="O733" s="6">
        <v>144.601</v>
      </c>
      <c r="P733" s="6">
        <v>727</v>
      </c>
      <c r="Q733" s="4" t="s">
        <v>26</v>
      </c>
      <c r="R733" s="4">
        <v>0</v>
      </c>
      <c r="S733" s="4" t="s">
        <v>315</v>
      </c>
      <c r="T733" s="4" t="s">
        <v>548</v>
      </c>
      <c r="U733" s="4">
        <v>0</v>
      </c>
      <c r="V733" s="4">
        <v>17</v>
      </c>
      <c r="W733" s="4">
        <v>73</v>
      </c>
    </row>
    <row r="734" spans="1:23" ht="11.25" customHeight="1" x14ac:dyDescent="0.25">
      <c r="A734" s="4" t="s">
        <v>21</v>
      </c>
      <c r="B734" s="4" t="s">
        <v>22</v>
      </c>
      <c r="C734" s="4" t="s">
        <v>23</v>
      </c>
      <c r="D734" s="4" t="s">
        <v>24</v>
      </c>
      <c r="E734" s="4" t="s">
        <v>24</v>
      </c>
      <c r="F734" s="4" t="s">
        <v>25</v>
      </c>
      <c r="G734" s="4" t="s">
        <v>25</v>
      </c>
      <c r="H734" s="4" t="s">
        <v>25</v>
      </c>
      <c r="I734" s="5">
        <v>44287</v>
      </c>
      <c r="J734" s="6">
        <v>0</v>
      </c>
      <c r="K734" s="6">
        <v>0</v>
      </c>
      <c r="L734" s="6">
        <v>19542.993999999999</v>
      </c>
      <c r="M734" s="6">
        <v>19542.993999999999</v>
      </c>
      <c r="N734" s="6">
        <v>19542.993999999999</v>
      </c>
      <c r="O734" s="6">
        <v>19542.993999999999</v>
      </c>
      <c r="P734" s="6">
        <v>137147</v>
      </c>
      <c r="Q734" s="4" t="s">
        <v>26</v>
      </c>
      <c r="R734" s="4">
        <v>0</v>
      </c>
      <c r="S734" s="4" t="s">
        <v>316</v>
      </c>
      <c r="T734" s="4" t="s">
        <v>549</v>
      </c>
      <c r="U734" s="4">
        <v>0</v>
      </c>
      <c r="V734" s="4">
        <v>17</v>
      </c>
      <c r="W734" s="4">
        <v>73</v>
      </c>
    </row>
    <row r="735" spans="1:23" ht="11.25" customHeight="1" x14ac:dyDescent="0.25">
      <c r="A735" s="4" t="s">
        <v>27</v>
      </c>
      <c r="B735" s="4" t="s">
        <v>22</v>
      </c>
      <c r="C735" s="4" t="s">
        <v>23</v>
      </c>
      <c r="D735" s="4" t="s">
        <v>24</v>
      </c>
      <c r="E735" s="4" t="s">
        <v>24</v>
      </c>
      <c r="F735" s="4" t="s">
        <v>25</v>
      </c>
      <c r="G735" s="4" t="s">
        <v>25</v>
      </c>
      <c r="H735" s="4" t="s">
        <v>25</v>
      </c>
      <c r="I735" s="5">
        <v>44287</v>
      </c>
      <c r="J735" s="6">
        <v>0</v>
      </c>
      <c r="K735" s="6">
        <v>0</v>
      </c>
      <c r="L735" s="6">
        <v>-6.0590000000000002</v>
      </c>
      <c r="M735" s="6">
        <v>-6.0590000000000002</v>
      </c>
      <c r="N735" s="6">
        <v>-6.0590000000000002</v>
      </c>
      <c r="O735" s="6">
        <v>-6.0590000000000002</v>
      </c>
      <c r="P735" s="6">
        <v>-15</v>
      </c>
      <c r="Q735" s="4" t="s">
        <v>26</v>
      </c>
      <c r="R735" s="4">
        <v>0</v>
      </c>
      <c r="S735" s="4" t="s">
        <v>316</v>
      </c>
      <c r="T735" s="4" t="s">
        <v>549</v>
      </c>
      <c r="U735" s="4">
        <v>0</v>
      </c>
      <c r="V735" s="4">
        <v>17</v>
      </c>
      <c r="W735" s="4">
        <v>73</v>
      </c>
    </row>
    <row r="736" spans="1:23" ht="11.25" customHeight="1" x14ac:dyDescent="0.25">
      <c r="A736" s="4" t="s">
        <v>28</v>
      </c>
      <c r="B736" s="4" t="s">
        <v>22</v>
      </c>
      <c r="C736" s="4" t="s">
        <v>23</v>
      </c>
      <c r="D736" s="4" t="s">
        <v>24</v>
      </c>
      <c r="E736" s="4" t="s">
        <v>24</v>
      </c>
      <c r="F736" s="4" t="s">
        <v>25</v>
      </c>
      <c r="G736" s="4" t="s">
        <v>25</v>
      </c>
      <c r="H736" s="4" t="s">
        <v>25</v>
      </c>
      <c r="I736" s="5">
        <v>44287</v>
      </c>
      <c r="J736" s="6">
        <v>0</v>
      </c>
      <c r="K736" s="6">
        <v>0</v>
      </c>
      <c r="L736" s="6">
        <v>170.22300000000001</v>
      </c>
      <c r="M736" s="6">
        <v>170.22300000000001</v>
      </c>
      <c r="N736" s="6">
        <v>170.22300000000001</v>
      </c>
      <c r="O736" s="6">
        <v>170.22300000000001</v>
      </c>
      <c r="P736" s="6">
        <v>791</v>
      </c>
      <c r="Q736" s="4" t="s">
        <v>26</v>
      </c>
      <c r="R736" s="4">
        <v>0</v>
      </c>
      <c r="S736" s="4" t="s">
        <v>316</v>
      </c>
      <c r="T736" s="4" t="s">
        <v>549</v>
      </c>
      <c r="U736" s="4">
        <v>0</v>
      </c>
      <c r="V736" s="4">
        <v>17</v>
      </c>
      <c r="W736" s="4">
        <v>73</v>
      </c>
    </row>
    <row r="737" spans="1:2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24</v>
      </c>
      <c r="F737" s="4" t="s">
        <v>25</v>
      </c>
      <c r="G737" s="4" t="s">
        <v>25</v>
      </c>
      <c r="H737" s="4" t="s">
        <v>25</v>
      </c>
      <c r="I737" s="5">
        <v>44317</v>
      </c>
      <c r="J737" s="6">
        <v>0</v>
      </c>
      <c r="K737" s="6">
        <v>0</v>
      </c>
      <c r="L737" s="6">
        <v>18086.802</v>
      </c>
      <c r="M737" s="6">
        <v>18086.802</v>
      </c>
      <c r="N737" s="6">
        <v>18086.802</v>
      </c>
      <c r="O737" s="6">
        <v>18086.802</v>
      </c>
      <c r="P737" s="6">
        <v>137003</v>
      </c>
      <c r="Q737" s="4" t="s">
        <v>26</v>
      </c>
      <c r="R737" s="4">
        <v>0</v>
      </c>
      <c r="S737" s="4" t="s">
        <v>317</v>
      </c>
      <c r="T737" s="4" t="s">
        <v>550</v>
      </c>
      <c r="U737" s="4">
        <v>0</v>
      </c>
      <c r="V737" s="4">
        <v>17</v>
      </c>
      <c r="W737" s="4">
        <v>73</v>
      </c>
    </row>
    <row r="738" spans="1:23" ht="11.25" customHeight="1" x14ac:dyDescent="0.25">
      <c r="A738" s="4" t="s">
        <v>27</v>
      </c>
      <c r="B738" s="4" t="s">
        <v>22</v>
      </c>
      <c r="C738" s="4" t="s">
        <v>23</v>
      </c>
      <c r="D738" s="4" t="s">
        <v>24</v>
      </c>
      <c r="E738" s="4" t="s">
        <v>24</v>
      </c>
      <c r="F738" s="4" t="s">
        <v>25</v>
      </c>
      <c r="G738" s="4" t="s">
        <v>25</v>
      </c>
      <c r="H738" s="4" t="s">
        <v>25</v>
      </c>
      <c r="I738" s="5">
        <v>44317</v>
      </c>
      <c r="J738" s="6">
        <v>0</v>
      </c>
      <c r="K738" s="6">
        <v>0</v>
      </c>
      <c r="L738" s="6">
        <v>-10.641</v>
      </c>
      <c r="M738" s="6">
        <v>-10.641</v>
      </c>
      <c r="N738" s="6">
        <v>-10.641</v>
      </c>
      <c r="O738" s="6">
        <v>-10.641</v>
      </c>
      <c r="P738" s="6">
        <v>-6</v>
      </c>
      <c r="Q738" s="4" t="s">
        <v>26</v>
      </c>
      <c r="R738" s="4">
        <v>0</v>
      </c>
      <c r="S738" s="4" t="s">
        <v>317</v>
      </c>
      <c r="T738" s="4" t="s">
        <v>550</v>
      </c>
      <c r="U738" s="4">
        <v>0</v>
      </c>
      <c r="V738" s="4">
        <v>17</v>
      </c>
      <c r="W738" s="4">
        <v>73</v>
      </c>
    </row>
    <row r="739" spans="1:23" ht="11.25" customHeight="1" x14ac:dyDescent="0.25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24</v>
      </c>
      <c r="F739" s="4" t="s">
        <v>25</v>
      </c>
      <c r="G739" s="4" t="s">
        <v>25</v>
      </c>
      <c r="H739" s="4" t="s">
        <v>25</v>
      </c>
      <c r="I739" s="5">
        <v>44317</v>
      </c>
      <c r="J739" s="6">
        <v>0</v>
      </c>
      <c r="K739" s="6">
        <v>0</v>
      </c>
      <c r="L739" s="6">
        <v>170.70599999999999</v>
      </c>
      <c r="M739" s="6">
        <v>170.70599999999999</v>
      </c>
      <c r="N739" s="6">
        <v>170.70599999999999</v>
      </c>
      <c r="O739" s="6">
        <v>170.70599999999999</v>
      </c>
      <c r="P739" s="6">
        <v>845</v>
      </c>
      <c r="Q739" s="4" t="s">
        <v>26</v>
      </c>
      <c r="R739" s="4">
        <v>0</v>
      </c>
      <c r="S739" s="4" t="s">
        <v>317</v>
      </c>
      <c r="T739" s="4" t="s">
        <v>550</v>
      </c>
      <c r="U739" s="4">
        <v>0</v>
      </c>
      <c r="V739" s="4">
        <v>17</v>
      </c>
      <c r="W739" s="4">
        <v>73</v>
      </c>
    </row>
    <row r="740" spans="1:23" ht="11.25" customHeight="1" x14ac:dyDescent="0.25">
      <c r="A740" s="4" t="s">
        <v>28</v>
      </c>
      <c r="B740" s="4" t="s">
        <v>22</v>
      </c>
      <c r="C740" s="4" t="s">
        <v>23</v>
      </c>
      <c r="D740" s="4" t="s">
        <v>24</v>
      </c>
      <c r="E740" s="4" t="s">
        <v>24</v>
      </c>
      <c r="F740" s="4" t="s">
        <v>25</v>
      </c>
      <c r="G740" s="4" t="s">
        <v>25</v>
      </c>
      <c r="H740" s="4" t="s">
        <v>25</v>
      </c>
      <c r="I740" s="5">
        <v>44317</v>
      </c>
      <c r="J740" s="6">
        <v>0</v>
      </c>
      <c r="K740" s="6">
        <v>0</v>
      </c>
      <c r="L740" s="6">
        <v>-0.03</v>
      </c>
      <c r="M740" s="6">
        <v>-0.03</v>
      </c>
      <c r="N740" s="6">
        <v>-0.03</v>
      </c>
      <c r="O740" s="6">
        <v>-0.03</v>
      </c>
      <c r="P740" s="6">
        <v>-1</v>
      </c>
      <c r="Q740" s="4" t="s">
        <v>26</v>
      </c>
      <c r="R740" s="4">
        <v>0</v>
      </c>
      <c r="S740" s="4" t="s">
        <v>317</v>
      </c>
      <c r="T740" s="4" t="s">
        <v>550</v>
      </c>
      <c r="U740" s="4">
        <v>0</v>
      </c>
      <c r="V740" s="4">
        <v>17</v>
      </c>
      <c r="W740" s="4">
        <v>73</v>
      </c>
    </row>
    <row r="741" spans="1:2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24</v>
      </c>
      <c r="F741" s="4" t="s">
        <v>25</v>
      </c>
      <c r="G741" s="4" t="s">
        <v>25</v>
      </c>
      <c r="H741" s="4" t="s">
        <v>25</v>
      </c>
      <c r="I741" s="5">
        <v>44348</v>
      </c>
      <c r="J741" s="6">
        <v>0</v>
      </c>
      <c r="K741" s="6">
        <v>0</v>
      </c>
      <c r="L741" s="6">
        <v>17011.955000000002</v>
      </c>
      <c r="M741" s="6">
        <v>17011.955000000002</v>
      </c>
      <c r="N741" s="6">
        <v>17011.955000000002</v>
      </c>
      <c r="O741" s="6">
        <v>17011.955000000002</v>
      </c>
      <c r="P741" s="6">
        <v>136870</v>
      </c>
      <c r="Q741" s="4" t="s">
        <v>26</v>
      </c>
      <c r="R741" s="4">
        <v>0</v>
      </c>
      <c r="S741" s="4" t="s">
        <v>318</v>
      </c>
      <c r="T741" s="4" t="s">
        <v>551</v>
      </c>
      <c r="U741" s="4">
        <v>0</v>
      </c>
      <c r="V741" s="4">
        <v>17</v>
      </c>
      <c r="W741" s="4">
        <v>73</v>
      </c>
    </row>
    <row r="742" spans="1:2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24</v>
      </c>
      <c r="F742" s="4" t="s">
        <v>25</v>
      </c>
      <c r="G742" s="4" t="s">
        <v>25</v>
      </c>
      <c r="H742" s="4" t="s">
        <v>25</v>
      </c>
      <c r="I742" s="5">
        <v>44348</v>
      </c>
      <c r="J742" s="6">
        <v>0</v>
      </c>
      <c r="K742" s="6">
        <v>0</v>
      </c>
      <c r="L742" s="6">
        <v>-4.4340000000000002</v>
      </c>
      <c r="M742" s="6">
        <v>-4.4340000000000002</v>
      </c>
      <c r="N742" s="6">
        <v>-4.4340000000000002</v>
      </c>
      <c r="O742" s="6">
        <v>-4.4340000000000002</v>
      </c>
      <c r="P742" s="6">
        <v>-5</v>
      </c>
      <c r="Q742" s="4" t="s">
        <v>26</v>
      </c>
      <c r="R742" s="4">
        <v>0</v>
      </c>
      <c r="S742" s="4" t="s">
        <v>318</v>
      </c>
      <c r="T742" s="4" t="s">
        <v>551</v>
      </c>
      <c r="U742" s="4">
        <v>0</v>
      </c>
      <c r="V742" s="4">
        <v>17</v>
      </c>
      <c r="W742" s="4">
        <v>73</v>
      </c>
    </row>
    <row r="743" spans="1:23" ht="11.25" customHeight="1" x14ac:dyDescent="0.25">
      <c r="A743" s="4" t="s">
        <v>28</v>
      </c>
      <c r="B743" s="4" t="s">
        <v>22</v>
      </c>
      <c r="C743" s="4" t="s">
        <v>23</v>
      </c>
      <c r="D743" s="4" t="s">
        <v>24</v>
      </c>
      <c r="E743" s="4" t="s">
        <v>24</v>
      </c>
      <c r="F743" s="4" t="s">
        <v>25</v>
      </c>
      <c r="G743" s="4" t="s">
        <v>25</v>
      </c>
      <c r="H743" s="4" t="s">
        <v>25</v>
      </c>
      <c r="I743" s="5">
        <v>44348</v>
      </c>
      <c r="J743" s="6">
        <v>0</v>
      </c>
      <c r="K743" s="6">
        <v>0</v>
      </c>
      <c r="L743" s="6">
        <v>173.17599999999999</v>
      </c>
      <c r="M743" s="6">
        <v>173.17599999999999</v>
      </c>
      <c r="N743" s="6">
        <v>173.17599999999999</v>
      </c>
      <c r="O743" s="6">
        <v>173.17599999999999</v>
      </c>
      <c r="P743" s="6">
        <v>897</v>
      </c>
      <c r="Q743" s="4" t="s">
        <v>26</v>
      </c>
      <c r="R743" s="4">
        <v>0</v>
      </c>
      <c r="S743" s="4" t="s">
        <v>318</v>
      </c>
      <c r="T743" s="4" t="s">
        <v>551</v>
      </c>
      <c r="U743" s="4">
        <v>0</v>
      </c>
      <c r="V743" s="4">
        <v>17</v>
      </c>
      <c r="W743" s="4">
        <v>73</v>
      </c>
    </row>
    <row r="744" spans="1:23" ht="11.25" customHeight="1" x14ac:dyDescent="0.25">
      <c r="A744" s="4" t="s">
        <v>21</v>
      </c>
      <c r="B744" s="4" t="s">
        <v>22</v>
      </c>
      <c r="C744" s="4" t="s">
        <v>23</v>
      </c>
      <c r="D744" s="4" t="s">
        <v>24</v>
      </c>
      <c r="E744" s="4" t="s">
        <v>24</v>
      </c>
      <c r="F744" s="4" t="s">
        <v>25</v>
      </c>
      <c r="G744" s="4" t="s">
        <v>25</v>
      </c>
      <c r="H744" s="4" t="s">
        <v>25</v>
      </c>
      <c r="I744" s="5">
        <v>44378</v>
      </c>
      <c r="J744" s="6">
        <v>0</v>
      </c>
      <c r="K744" s="6">
        <v>0</v>
      </c>
      <c r="L744" s="6">
        <v>17620.891</v>
      </c>
      <c r="M744" s="6">
        <v>17620.891</v>
      </c>
      <c r="N744" s="6">
        <v>17620.891</v>
      </c>
      <c r="O744" s="6">
        <v>17620.891</v>
      </c>
      <c r="P744" s="6">
        <v>136478</v>
      </c>
      <c r="Q744" s="4" t="s">
        <v>26</v>
      </c>
      <c r="R744" s="4">
        <v>0</v>
      </c>
      <c r="S744" s="4" t="s">
        <v>319</v>
      </c>
      <c r="T744" s="4" t="s">
        <v>552</v>
      </c>
      <c r="U744" s="4">
        <v>0</v>
      </c>
      <c r="V744" s="4">
        <v>17</v>
      </c>
      <c r="W744" s="4">
        <v>73</v>
      </c>
    </row>
    <row r="745" spans="1:23" ht="11.25" customHeight="1" x14ac:dyDescent="0.25">
      <c r="A745" s="4" t="s">
        <v>27</v>
      </c>
      <c r="B745" s="4" t="s">
        <v>22</v>
      </c>
      <c r="C745" s="4" t="s">
        <v>23</v>
      </c>
      <c r="D745" s="4" t="s">
        <v>24</v>
      </c>
      <c r="E745" s="4" t="s">
        <v>24</v>
      </c>
      <c r="F745" s="4" t="s">
        <v>25</v>
      </c>
      <c r="G745" s="4" t="s">
        <v>25</v>
      </c>
      <c r="H745" s="4" t="s">
        <v>25</v>
      </c>
      <c r="I745" s="5">
        <v>44378</v>
      </c>
      <c r="J745" s="6">
        <v>0</v>
      </c>
      <c r="K745" s="6">
        <v>0</v>
      </c>
      <c r="L745" s="6">
        <v>-13.129</v>
      </c>
      <c r="M745" s="6">
        <v>-13.129</v>
      </c>
      <c r="N745" s="6">
        <v>-13.129</v>
      </c>
      <c r="O745" s="6">
        <v>-13.129</v>
      </c>
      <c r="P745" s="6">
        <v>-6</v>
      </c>
      <c r="Q745" s="4" t="s">
        <v>26</v>
      </c>
      <c r="R745" s="4">
        <v>0</v>
      </c>
      <c r="S745" s="4" t="s">
        <v>319</v>
      </c>
      <c r="T745" s="4" t="s">
        <v>552</v>
      </c>
      <c r="U745" s="4">
        <v>0</v>
      </c>
      <c r="V745" s="4">
        <v>17</v>
      </c>
      <c r="W745" s="4">
        <v>73</v>
      </c>
    </row>
    <row r="746" spans="1:23" ht="11.25" customHeight="1" x14ac:dyDescent="0.25">
      <c r="A746" s="4" t="s">
        <v>28</v>
      </c>
      <c r="B746" s="4" t="s">
        <v>22</v>
      </c>
      <c r="C746" s="4" t="s">
        <v>23</v>
      </c>
      <c r="D746" s="4" t="s">
        <v>24</v>
      </c>
      <c r="E746" s="4" t="s">
        <v>24</v>
      </c>
      <c r="F746" s="4" t="s">
        <v>25</v>
      </c>
      <c r="G746" s="4" t="s">
        <v>25</v>
      </c>
      <c r="H746" s="4" t="s">
        <v>25</v>
      </c>
      <c r="I746" s="5">
        <v>44378</v>
      </c>
      <c r="J746" s="6">
        <v>0</v>
      </c>
      <c r="K746" s="6">
        <v>0</v>
      </c>
      <c r="L746" s="6">
        <v>203.07499999999999</v>
      </c>
      <c r="M746" s="6">
        <v>203.07499999999999</v>
      </c>
      <c r="N746" s="6">
        <v>203.07499999999999</v>
      </c>
      <c r="O746" s="6">
        <v>203.07499999999999</v>
      </c>
      <c r="P746" s="6">
        <v>1142</v>
      </c>
      <c r="Q746" s="4" t="s">
        <v>26</v>
      </c>
      <c r="R746" s="4">
        <v>0</v>
      </c>
      <c r="S746" s="4" t="s">
        <v>319</v>
      </c>
      <c r="T746" s="4" t="s">
        <v>552</v>
      </c>
      <c r="U746" s="4">
        <v>0</v>
      </c>
      <c r="V746" s="4">
        <v>17</v>
      </c>
      <c r="W746" s="4">
        <v>73</v>
      </c>
    </row>
    <row r="747" spans="1:23" ht="11.25" customHeight="1" x14ac:dyDescent="0.25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24</v>
      </c>
      <c r="F747" s="4" t="s">
        <v>25</v>
      </c>
      <c r="G747" s="4" t="s">
        <v>25</v>
      </c>
      <c r="H747" s="4" t="s">
        <v>25</v>
      </c>
      <c r="I747" s="5">
        <v>44409</v>
      </c>
      <c r="J747" s="6">
        <v>0</v>
      </c>
      <c r="K747" s="6">
        <v>0</v>
      </c>
      <c r="L747" s="6">
        <v>16379.379000000001</v>
      </c>
      <c r="M747" s="6">
        <v>16379.379000000001</v>
      </c>
      <c r="N747" s="6">
        <v>16379.379000000001</v>
      </c>
      <c r="O747" s="6">
        <v>16379.379000000001</v>
      </c>
      <c r="P747" s="6">
        <v>136167</v>
      </c>
      <c r="Q747" s="4" t="s">
        <v>26</v>
      </c>
      <c r="R747" s="4">
        <v>0</v>
      </c>
      <c r="S747" s="4" t="s">
        <v>320</v>
      </c>
      <c r="T747" s="4" t="s">
        <v>553</v>
      </c>
      <c r="U747" s="4">
        <v>0</v>
      </c>
      <c r="V747" s="4">
        <v>17</v>
      </c>
      <c r="W747" s="4">
        <v>73</v>
      </c>
    </row>
    <row r="748" spans="1:23" ht="11.25" customHeight="1" x14ac:dyDescent="0.25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24</v>
      </c>
      <c r="F748" s="4" t="s">
        <v>25</v>
      </c>
      <c r="G748" s="4" t="s">
        <v>25</v>
      </c>
      <c r="H748" s="4" t="s">
        <v>25</v>
      </c>
      <c r="I748" s="5">
        <v>44409</v>
      </c>
      <c r="J748" s="6">
        <v>0</v>
      </c>
      <c r="K748" s="6">
        <v>0</v>
      </c>
      <c r="L748" s="6">
        <v>-24.356000000000002</v>
      </c>
      <c r="M748" s="6">
        <v>-24.356000000000002</v>
      </c>
      <c r="N748" s="6">
        <v>-24.356000000000002</v>
      </c>
      <c r="O748" s="6">
        <v>-24.356000000000002</v>
      </c>
      <c r="P748" s="6">
        <v>-10</v>
      </c>
      <c r="Q748" s="4" t="s">
        <v>26</v>
      </c>
      <c r="R748" s="4">
        <v>0</v>
      </c>
      <c r="S748" s="4" t="s">
        <v>320</v>
      </c>
      <c r="T748" s="4" t="s">
        <v>553</v>
      </c>
      <c r="U748" s="4">
        <v>0</v>
      </c>
      <c r="V748" s="4">
        <v>17</v>
      </c>
      <c r="W748" s="4">
        <v>73</v>
      </c>
    </row>
    <row r="749" spans="1:23" ht="11.25" customHeight="1" x14ac:dyDescent="0.25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24</v>
      </c>
      <c r="F749" s="4" t="s">
        <v>25</v>
      </c>
      <c r="G749" s="4" t="s">
        <v>25</v>
      </c>
      <c r="H749" s="4" t="s">
        <v>25</v>
      </c>
      <c r="I749" s="5">
        <v>44409</v>
      </c>
      <c r="J749" s="6">
        <v>0</v>
      </c>
      <c r="K749" s="6">
        <v>0</v>
      </c>
      <c r="L749" s="6">
        <v>186.37100000000001</v>
      </c>
      <c r="M749" s="6">
        <v>186.37100000000001</v>
      </c>
      <c r="N749" s="6">
        <v>186.37100000000001</v>
      </c>
      <c r="O749" s="6">
        <v>186.37100000000001</v>
      </c>
      <c r="P749" s="6">
        <v>1268</v>
      </c>
      <c r="Q749" s="4" t="s">
        <v>26</v>
      </c>
      <c r="R749" s="4">
        <v>0</v>
      </c>
      <c r="S749" s="4" t="s">
        <v>320</v>
      </c>
      <c r="T749" s="4" t="s">
        <v>553</v>
      </c>
      <c r="U749" s="4">
        <v>0</v>
      </c>
      <c r="V749" s="4">
        <v>17</v>
      </c>
      <c r="W749" s="4">
        <v>73</v>
      </c>
    </row>
    <row r="750" spans="1:23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24</v>
      </c>
      <c r="F750" s="4" t="s">
        <v>25</v>
      </c>
      <c r="G750" s="4" t="s">
        <v>25</v>
      </c>
      <c r="H750" s="4" t="s">
        <v>25</v>
      </c>
      <c r="I750" s="5">
        <v>44440</v>
      </c>
      <c r="J750" s="6">
        <v>0</v>
      </c>
      <c r="K750" s="6">
        <v>0</v>
      </c>
      <c r="L750" s="6">
        <v>16643.237000000001</v>
      </c>
      <c r="M750" s="6">
        <v>16643.237000000001</v>
      </c>
      <c r="N750" s="6">
        <v>16643.237000000001</v>
      </c>
      <c r="O750" s="6">
        <v>16643.237000000001</v>
      </c>
      <c r="P750" s="6">
        <v>137086</v>
      </c>
      <c r="Q750" s="4" t="s">
        <v>26</v>
      </c>
      <c r="R750" s="4">
        <v>0</v>
      </c>
      <c r="S750" s="4" t="s">
        <v>321</v>
      </c>
      <c r="T750" s="4" t="s">
        <v>554</v>
      </c>
      <c r="U750" s="4">
        <v>0</v>
      </c>
      <c r="V750" s="4">
        <v>17</v>
      </c>
      <c r="W750" s="4">
        <v>73</v>
      </c>
    </row>
    <row r="751" spans="1:23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24</v>
      </c>
      <c r="F751" s="4" t="s">
        <v>25</v>
      </c>
      <c r="G751" s="4" t="s">
        <v>25</v>
      </c>
      <c r="H751" s="4" t="s">
        <v>25</v>
      </c>
      <c r="I751" s="5">
        <v>44440</v>
      </c>
      <c r="J751" s="6">
        <v>0</v>
      </c>
      <c r="K751" s="6">
        <v>0</v>
      </c>
      <c r="L751" s="6">
        <v>-2.968</v>
      </c>
      <c r="M751" s="6">
        <v>-2.968</v>
      </c>
      <c r="N751" s="6">
        <v>-2.968</v>
      </c>
      <c r="O751" s="6">
        <v>-2.968</v>
      </c>
      <c r="P751" s="6">
        <v>-4</v>
      </c>
      <c r="Q751" s="4" t="s">
        <v>26</v>
      </c>
      <c r="R751" s="4">
        <v>0</v>
      </c>
      <c r="S751" s="4" t="s">
        <v>321</v>
      </c>
      <c r="T751" s="4" t="s">
        <v>554</v>
      </c>
      <c r="U751" s="4">
        <v>0</v>
      </c>
      <c r="V751" s="4">
        <v>17</v>
      </c>
      <c r="W751" s="4">
        <v>73</v>
      </c>
    </row>
    <row r="752" spans="1:23" ht="11.25" customHeight="1" x14ac:dyDescent="0.25">
      <c r="A752" s="4" t="s">
        <v>28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44440</v>
      </c>
      <c r="J752" s="6">
        <v>0</v>
      </c>
      <c r="K752" s="6">
        <v>0</v>
      </c>
      <c r="L752" s="6">
        <v>181.53800000000001</v>
      </c>
      <c r="M752" s="6">
        <v>181.53800000000001</v>
      </c>
      <c r="N752" s="6">
        <v>181.53800000000001</v>
      </c>
      <c r="O752" s="6">
        <v>181.53800000000001</v>
      </c>
      <c r="P752" s="6">
        <v>1350</v>
      </c>
      <c r="Q752" s="4" t="s">
        <v>26</v>
      </c>
      <c r="R752" s="4">
        <v>0</v>
      </c>
      <c r="S752" s="4" t="s">
        <v>321</v>
      </c>
      <c r="T752" s="4" t="s">
        <v>554</v>
      </c>
      <c r="U752" s="4">
        <v>0</v>
      </c>
      <c r="V752" s="4">
        <v>17</v>
      </c>
      <c r="W752" s="4">
        <v>73</v>
      </c>
    </row>
    <row r="753" spans="1:23" ht="11.25" customHeight="1" x14ac:dyDescent="0.25">
      <c r="A753" s="4" t="s">
        <v>21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44470</v>
      </c>
      <c r="J753" s="6">
        <v>0</v>
      </c>
      <c r="K753" s="6">
        <v>0</v>
      </c>
      <c r="L753" s="6">
        <v>17437.793000000001</v>
      </c>
      <c r="M753" s="6">
        <v>17437.793000000001</v>
      </c>
      <c r="N753" s="6">
        <v>17437.793000000001</v>
      </c>
      <c r="O753" s="6">
        <v>17437.793000000001</v>
      </c>
      <c r="P753" s="6">
        <v>136484</v>
      </c>
      <c r="Q753" s="4" t="s">
        <v>26</v>
      </c>
      <c r="R753" s="4">
        <v>0</v>
      </c>
      <c r="S753" s="4" t="s">
        <v>322</v>
      </c>
      <c r="T753" s="4" t="s">
        <v>555</v>
      </c>
      <c r="U753" s="4">
        <v>0</v>
      </c>
      <c r="V753" s="4">
        <v>17</v>
      </c>
      <c r="W753" s="4">
        <v>73</v>
      </c>
    </row>
    <row r="754" spans="1:23" ht="11.25" customHeight="1" x14ac:dyDescent="0.25">
      <c r="A754" s="4" t="s">
        <v>27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44470</v>
      </c>
      <c r="J754" s="6">
        <v>0</v>
      </c>
      <c r="K754" s="6">
        <v>0</v>
      </c>
      <c r="L754" s="6">
        <v>-4.5659999999999998</v>
      </c>
      <c r="M754" s="6">
        <v>-4.5659999999999998</v>
      </c>
      <c r="N754" s="6">
        <v>-4.5659999999999998</v>
      </c>
      <c r="O754" s="6">
        <v>-4.5659999999999998</v>
      </c>
      <c r="P754" s="6">
        <v>-9</v>
      </c>
      <c r="Q754" s="4" t="s">
        <v>26</v>
      </c>
      <c r="R754" s="4">
        <v>0</v>
      </c>
      <c r="S754" s="4" t="s">
        <v>322</v>
      </c>
      <c r="T754" s="4" t="s">
        <v>555</v>
      </c>
      <c r="U754" s="4">
        <v>0</v>
      </c>
      <c r="V754" s="4">
        <v>17</v>
      </c>
      <c r="W754" s="4">
        <v>73</v>
      </c>
    </row>
    <row r="755" spans="1:23" ht="11.25" customHeight="1" x14ac:dyDescent="0.25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44470</v>
      </c>
      <c r="J755" s="6">
        <v>0</v>
      </c>
      <c r="K755" s="6">
        <v>0</v>
      </c>
      <c r="L755" s="6">
        <v>208.422</v>
      </c>
      <c r="M755" s="6">
        <v>208.422</v>
      </c>
      <c r="N755" s="6">
        <v>208.422</v>
      </c>
      <c r="O755" s="6">
        <v>208.422</v>
      </c>
      <c r="P755" s="6">
        <v>1443</v>
      </c>
      <c r="Q755" s="4" t="s">
        <v>26</v>
      </c>
      <c r="R755" s="4">
        <v>0</v>
      </c>
      <c r="S755" s="4" t="s">
        <v>322</v>
      </c>
      <c r="T755" s="4" t="s">
        <v>555</v>
      </c>
      <c r="U755" s="4">
        <v>0</v>
      </c>
      <c r="V755" s="4">
        <v>17</v>
      </c>
      <c r="W755" s="4">
        <v>73</v>
      </c>
    </row>
    <row r="756" spans="1:23" ht="11.25" customHeight="1" x14ac:dyDescent="0.25">
      <c r="A756" s="4" t="s">
        <v>28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44470</v>
      </c>
      <c r="J756" s="6">
        <v>0</v>
      </c>
      <c r="K756" s="6">
        <v>0</v>
      </c>
      <c r="L756" s="6">
        <v>-0.23699999999999999</v>
      </c>
      <c r="M756" s="6">
        <v>-0.23699999999999999</v>
      </c>
      <c r="N756" s="6">
        <v>-0.23699999999999999</v>
      </c>
      <c r="O756" s="6">
        <v>-0.23699999999999999</v>
      </c>
      <c r="P756" s="6">
        <v>0</v>
      </c>
      <c r="Q756" s="4" t="s">
        <v>26</v>
      </c>
      <c r="R756" s="4">
        <v>0</v>
      </c>
      <c r="S756" s="4" t="s">
        <v>322</v>
      </c>
      <c r="T756" s="4" t="s">
        <v>555</v>
      </c>
      <c r="U756" s="4">
        <v>0</v>
      </c>
      <c r="V756" s="4">
        <v>17</v>
      </c>
      <c r="W756" s="4">
        <v>73</v>
      </c>
    </row>
    <row r="757" spans="1:23" ht="11.25" customHeight="1" x14ac:dyDescent="0.25">
      <c r="A757" s="4" t="s">
        <v>21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44501</v>
      </c>
      <c r="J757" s="6">
        <v>0</v>
      </c>
      <c r="K757" s="6">
        <v>0</v>
      </c>
      <c r="L757" s="6">
        <v>17640.810000000001</v>
      </c>
      <c r="M757" s="6">
        <v>17640.810000000001</v>
      </c>
      <c r="N757" s="6">
        <v>17640.810000000001</v>
      </c>
      <c r="O757" s="6">
        <v>17640.810000000001</v>
      </c>
      <c r="P757" s="6">
        <v>136472</v>
      </c>
      <c r="Q757" s="4" t="s">
        <v>26</v>
      </c>
      <c r="R757" s="4">
        <v>0</v>
      </c>
      <c r="S757" s="4" t="s">
        <v>323</v>
      </c>
      <c r="T757" s="4" t="s">
        <v>556</v>
      </c>
      <c r="U757" s="4">
        <v>0</v>
      </c>
      <c r="V757" s="4">
        <v>17</v>
      </c>
      <c r="W757" s="4">
        <v>73</v>
      </c>
    </row>
    <row r="758" spans="1:23" ht="11.25" customHeight="1" x14ac:dyDescent="0.25">
      <c r="A758" s="4" t="s">
        <v>27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44501</v>
      </c>
      <c r="J758" s="6">
        <v>0</v>
      </c>
      <c r="K758" s="6">
        <v>0</v>
      </c>
      <c r="L758" s="6">
        <v>-8.3629999999999995</v>
      </c>
      <c r="M758" s="6">
        <v>-8.3629999999999995</v>
      </c>
      <c r="N758" s="6">
        <v>-8.3629999999999995</v>
      </c>
      <c r="O758" s="6">
        <v>-8.3629999999999995</v>
      </c>
      <c r="P758" s="6">
        <v>-8</v>
      </c>
      <c r="Q758" s="4" t="s">
        <v>26</v>
      </c>
      <c r="R758" s="4">
        <v>0</v>
      </c>
      <c r="S758" s="4" t="s">
        <v>323</v>
      </c>
      <c r="T758" s="4" t="s">
        <v>556</v>
      </c>
      <c r="U758" s="4">
        <v>0</v>
      </c>
      <c r="V758" s="4">
        <v>17</v>
      </c>
      <c r="W758" s="4">
        <v>73</v>
      </c>
    </row>
    <row r="759" spans="1:23" ht="11.25" customHeight="1" x14ac:dyDescent="0.25">
      <c r="A759" s="4" t="s">
        <v>28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44501</v>
      </c>
      <c r="J759" s="6">
        <v>0</v>
      </c>
      <c r="K759" s="6">
        <v>0</v>
      </c>
      <c r="L759" s="6">
        <v>208.89500000000001</v>
      </c>
      <c r="M759" s="6">
        <v>208.89500000000001</v>
      </c>
      <c r="N759" s="6">
        <v>208.89500000000001</v>
      </c>
      <c r="O759" s="6">
        <v>208.89500000000001</v>
      </c>
      <c r="P759" s="6">
        <v>1522</v>
      </c>
      <c r="Q759" s="4" t="s">
        <v>26</v>
      </c>
      <c r="R759" s="4">
        <v>0</v>
      </c>
      <c r="S759" s="4" t="s">
        <v>323</v>
      </c>
      <c r="T759" s="4" t="s">
        <v>556</v>
      </c>
      <c r="U759" s="4">
        <v>0</v>
      </c>
      <c r="V759" s="4">
        <v>17</v>
      </c>
      <c r="W759" s="4">
        <v>73</v>
      </c>
    </row>
    <row r="760" spans="1:2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18499.393</v>
      </c>
      <c r="M760" s="6">
        <v>18499.393</v>
      </c>
      <c r="N760" s="6">
        <v>18499.393</v>
      </c>
      <c r="O760" s="6">
        <v>18499.393</v>
      </c>
      <c r="P760" s="6">
        <v>136700</v>
      </c>
      <c r="Q760" s="4" t="s">
        <v>26</v>
      </c>
      <c r="R760" s="4">
        <v>0</v>
      </c>
      <c r="S760" s="4" t="s">
        <v>324</v>
      </c>
      <c r="T760" s="4" t="s">
        <v>557</v>
      </c>
      <c r="U760" s="4">
        <v>0</v>
      </c>
      <c r="V760" s="4">
        <v>17</v>
      </c>
      <c r="W760" s="4">
        <v>73</v>
      </c>
    </row>
    <row r="761" spans="1:23" ht="11.25" customHeight="1" x14ac:dyDescent="0.25">
      <c r="A761" s="4" t="s">
        <v>27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44531</v>
      </c>
      <c r="J761" s="6">
        <v>0</v>
      </c>
      <c r="K761" s="6">
        <v>0</v>
      </c>
      <c r="L761" s="6">
        <v>-15.736000000000001</v>
      </c>
      <c r="M761" s="6">
        <v>-15.736000000000001</v>
      </c>
      <c r="N761" s="6">
        <v>-15.736000000000001</v>
      </c>
      <c r="O761" s="6">
        <v>-15.736000000000001</v>
      </c>
      <c r="P761" s="6">
        <v>-4</v>
      </c>
      <c r="Q761" s="4" t="s">
        <v>26</v>
      </c>
      <c r="R761" s="4">
        <v>0</v>
      </c>
      <c r="S761" s="4" t="s">
        <v>324</v>
      </c>
      <c r="T761" s="4" t="s">
        <v>557</v>
      </c>
      <c r="U761" s="4">
        <v>0</v>
      </c>
      <c r="V761" s="4">
        <v>17</v>
      </c>
      <c r="W761" s="4">
        <v>73</v>
      </c>
    </row>
    <row r="762" spans="1:23" ht="11.25" customHeight="1" x14ac:dyDescent="0.25">
      <c r="A762" s="4" t="s">
        <v>28</v>
      </c>
      <c r="B762" s="4" t="s">
        <v>22</v>
      </c>
      <c r="C762" s="4" t="s">
        <v>23</v>
      </c>
      <c r="D762" s="4" t="s">
        <v>24</v>
      </c>
      <c r="E762" s="4" t="s">
        <v>24</v>
      </c>
      <c r="F762" s="4" t="s">
        <v>25</v>
      </c>
      <c r="G762" s="4" t="s">
        <v>25</v>
      </c>
      <c r="H762" s="4" t="s">
        <v>25</v>
      </c>
      <c r="I762" s="5">
        <v>44531</v>
      </c>
      <c r="J762" s="6">
        <v>0</v>
      </c>
      <c r="K762" s="6">
        <v>0</v>
      </c>
      <c r="L762" s="6">
        <v>269.25400000000002</v>
      </c>
      <c r="M762" s="6">
        <v>269.25400000000002</v>
      </c>
      <c r="N762" s="6">
        <v>269.25400000000002</v>
      </c>
      <c r="O762" s="6">
        <v>269.25400000000002</v>
      </c>
      <c r="P762" s="6">
        <v>1632</v>
      </c>
      <c r="Q762" s="4" t="s">
        <v>26</v>
      </c>
      <c r="R762" s="4">
        <v>0</v>
      </c>
      <c r="S762" s="4" t="s">
        <v>324</v>
      </c>
      <c r="T762" s="4" t="s">
        <v>557</v>
      </c>
      <c r="U762" s="4">
        <v>0</v>
      </c>
      <c r="V762" s="4">
        <v>17</v>
      </c>
      <c r="W762" s="4">
        <v>73</v>
      </c>
    </row>
    <row r="763" spans="1:23" ht="11.25" customHeight="1" x14ac:dyDescent="0.25">
      <c r="A763" s="4" t="s">
        <v>28</v>
      </c>
      <c r="B763" s="4" t="s">
        <v>22</v>
      </c>
      <c r="C763" s="4" t="s">
        <v>23</v>
      </c>
      <c r="D763" s="4" t="s">
        <v>24</v>
      </c>
      <c r="E763" s="4" t="s">
        <v>24</v>
      </c>
      <c r="F763" s="4" t="s">
        <v>25</v>
      </c>
      <c r="G763" s="4" t="s">
        <v>25</v>
      </c>
      <c r="H763" s="4" t="s">
        <v>25</v>
      </c>
      <c r="I763" s="5">
        <v>44531</v>
      </c>
      <c r="J763" s="6">
        <v>0</v>
      </c>
      <c r="K763" s="6">
        <v>0</v>
      </c>
      <c r="L763" s="6">
        <v>-0.28100000000000003</v>
      </c>
      <c r="M763" s="6">
        <v>-0.28100000000000003</v>
      </c>
      <c r="N763" s="6">
        <v>-0.28100000000000003</v>
      </c>
      <c r="O763" s="6">
        <v>-0.28100000000000003</v>
      </c>
      <c r="P763" s="6">
        <v>0</v>
      </c>
      <c r="Q763" s="4" t="s">
        <v>26</v>
      </c>
      <c r="R763" s="4">
        <v>0</v>
      </c>
      <c r="S763" s="4" t="s">
        <v>324</v>
      </c>
      <c r="T763" s="4" t="s">
        <v>557</v>
      </c>
      <c r="U763" s="4">
        <v>0</v>
      </c>
      <c r="V763" s="4">
        <v>17</v>
      </c>
      <c r="W763" s="4">
        <v>73</v>
      </c>
    </row>
    <row r="764" spans="1:23" ht="11.25" customHeight="1" x14ac:dyDescent="0.25">
      <c r="A764" s="4" t="s">
        <v>55</v>
      </c>
      <c r="B764" s="4" t="s">
        <v>22</v>
      </c>
      <c r="C764" s="4" t="s">
        <v>23</v>
      </c>
      <c r="D764" s="4" t="s">
        <v>24</v>
      </c>
      <c r="E764" s="4" t="s">
        <v>24</v>
      </c>
      <c r="F764" s="4" t="s">
        <v>25</v>
      </c>
      <c r="G764" s="4" t="s">
        <v>25</v>
      </c>
      <c r="H764" s="4" t="s">
        <v>25</v>
      </c>
      <c r="I764" s="5">
        <v>44562</v>
      </c>
      <c r="J764" s="6">
        <v>0</v>
      </c>
      <c r="K764" s="6">
        <v>0</v>
      </c>
      <c r="L764" s="6">
        <v>18499.393</v>
      </c>
      <c r="M764" s="6">
        <v>18499.393</v>
      </c>
      <c r="N764" s="6">
        <v>18499.393</v>
      </c>
      <c r="O764" s="6">
        <v>18499.393</v>
      </c>
      <c r="P764" s="6">
        <v>136700</v>
      </c>
      <c r="Q764" s="4" t="s">
        <v>26</v>
      </c>
      <c r="R764" s="4">
        <v>0</v>
      </c>
      <c r="S764" s="4" t="s">
        <v>325</v>
      </c>
      <c r="T764" s="4" t="s">
        <v>558</v>
      </c>
      <c r="U764" s="4">
        <v>0</v>
      </c>
      <c r="V764" s="4">
        <v>17</v>
      </c>
      <c r="W764" s="4">
        <v>73</v>
      </c>
    </row>
    <row r="765" spans="1:23" ht="11.25" customHeight="1" x14ac:dyDescent="0.25">
      <c r="A765" s="4" t="s">
        <v>55</v>
      </c>
      <c r="B765" s="4" t="s">
        <v>22</v>
      </c>
      <c r="C765" s="4" t="s">
        <v>23</v>
      </c>
      <c r="D765" s="4" t="s">
        <v>24</v>
      </c>
      <c r="E765" s="4" t="s">
        <v>24</v>
      </c>
      <c r="F765" s="4" t="s">
        <v>25</v>
      </c>
      <c r="G765" s="4" t="s">
        <v>25</v>
      </c>
      <c r="H765" s="4" t="s">
        <v>25</v>
      </c>
      <c r="I765" s="5">
        <v>44562</v>
      </c>
      <c r="J765" s="6">
        <v>0</v>
      </c>
      <c r="K765" s="6">
        <v>0</v>
      </c>
      <c r="L765" s="6">
        <v>-15.736000000000001</v>
      </c>
      <c r="M765" s="6">
        <v>-15.736000000000001</v>
      </c>
      <c r="N765" s="6">
        <v>-15.736000000000001</v>
      </c>
      <c r="O765" s="6">
        <v>-15.736000000000001</v>
      </c>
      <c r="P765" s="6">
        <v>-4</v>
      </c>
      <c r="Q765" s="4" t="s">
        <v>26</v>
      </c>
      <c r="R765" s="4">
        <v>0</v>
      </c>
      <c r="S765" s="4" t="s">
        <v>325</v>
      </c>
      <c r="T765" s="4" t="s">
        <v>558</v>
      </c>
      <c r="U765" s="4">
        <v>0</v>
      </c>
      <c r="V765" s="4">
        <v>17</v>
      </c>
      <c r="W765" s="4">
        <v>73</v>
      </c>
    </row>
    <row r="766" spans="1:23" ht="11.25" customHeight="1" x14ac:dyDescent="0.25">
      <c r="A766" s="4" t="s">
        <v>55</v>
      </c>
      <c r="B766" s="4" t="s">
        <v>22</v>
      </c>
      <c r="C766" s="4" t="s">
        <v>23</v>
      </c>
      <c r="D766" s="4" t="s">
        <v>24</v>
      </c>
      <c r="E766" s="4" t="s">
        <v>24</v>
      </c>
      <c r="F766" s="4" t="s">
        <v>25</v>
      </c>
      <c r="G766" s="4" t="s">
        <v>25</v>
      </c>
      <c r="H766" s="4" t="s">
        <v>25</v>
      </c>
      <c r="I766" s="5">
        <v>44562</v>
      </c>
      <c r="J766" s="6">
        <v>0</v>
      </c>
      <c r="K766" s="6">
        <v>0</v>
      </c>
      <c r="L766" s="6">
        <v>269.25400000000002</v>
      </c>
      <c r="M766" s="6">
        <v>269.25400000000002</v>
      </c>
      <c r="N766" s="6">
        <v>269.25400000000002</v>
      </c>
      <c r="O766" s="6">
        <v>269.25400000000002</v>
      </c>
      <c r="P766" s="6">
        <v>1632</v>
      </c>
      <c r="Q766" s="4" t="s">
        <v>26</v>
      </c>
      <c r="R766" s="4">
        <v>0</v>
      </c>
      <c r="S766" s="4" t="s">
        <v>325</v>
      </c>
      <c r="T766" s="4" t="s">
        <v>558</v>
      </c>
      <c r="U766" s="4">
        <v>0</v>
      </c>
      <c r="V766" s="4">
        <v>17</v>
      </c>
      <c r="W766" s="4">
        <v>73</v>
      </c>
    </row>
    <row r="767" spans="1:23" ht="11.25" customHeight="1" x14ac:dyDescent="0.25">
      <c r="A767" s="4" t="s">
        <v>55</v>
      </c>
      <c r="B767" s="4" t="s">
        <v>22</v>
      </c>
      <c r="C767" s="4" t="s">
        <v>23</v>
      </c>
      <c r="D767" s="4" t="s">
        <v>24</v>
      </c>
      <c r="E767" s="4" t="s">
        <v>24</v>
      </c>
      <c r="F767" s="4" t="s">
        <v>25</v>
      </c>
      <c r="G767" s="4" t="s">
        <v>25</v>
      </c>
      <c r="H767" s="4" t="s">
        <v>25</v>
      </c>
      <c r="I767" s="5">
        <v>44562</v>
      </c>
      <c r="J767" s="6">
        <v>0</v>
      </c>
      <c r="K767" s="6">
        <v>0</v>
      </c>
      <c r="L767" s="6">
        <v>-0.28100000000000003</v>
      </c>
      <c r="M767" s="6">
        <v>-0.28100000000000003</v>
      </c>
      <c r="N767" s="6">
        <v>-0.28100000000000003</v>
      </c>
      <c r="O767" s="6">
        <v>-0.28100000000000003</v>
      </c>
      <c r="P767" s="6">
        <v>0</v>
      </c>
      <c r="Q767" s="4" t="s">
        <v>26</v>
      </c>
      <c r="R767" s="4">
        <v>0</v>
      </c>
      <c r="S767" s="4" t="s">
        <v>325</v>
      </c>
      <c r="T767" s="4" t="s">
        <v>558</v>
      </c>
      <c r="U767" s="4">
        <v>0</v>
      </c>
      <c r="V767" s="4">
        <v>17</v>
      </c>
      <c r="W767" s="4">
        <v>73</v>
      </c>
    </row>
    <row r="768" spans="1:2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29</v>
      </c>
      <c r="F768" s="4" t="s">
        <v>25</v>
      </c>
      <c r="G768" s="4" t="s">
        <v>25</v>
      </c>
      <c r="H768" s="4" t="s">
        <v>25</v>
      </c>
      <c r="I768" s="5">
        <v>44228</v>
      </c>
      <c r="J768" s="6">
        <v>0</v>
      </c>
      <c r="K768" s="6">
        <v>0</v>
      </c>
      <c r="L768" s="6">
        <v>1664.172</v>
      </c>
      <c r="M768" s="6">
        <v>1664.172</v>
      </c>
      <c r="N768" s="6">
        <v>1664.172</v>
      </c>
      <c r="O768" s="6">
        <v>1664.172</v>
      </c>
      <c r="P768" s="6">
        <v>5102</v>
      </c>
      <c r="Q768" s="4" t="s">
        <v>26</v>
      </c>
      <c r="R768" s="4">
        <v>0</v>
      </c>
      <c r="S768" s="4" t="s">
        <v>326</v>
      </c>
      <c r="T768" s="4" t="s">
        <v>559</v>
      </c>
      <c r="U768" s="4">
        <v>0</v>
      </c>
      <c r="V768" s="4">
        <v>34</v>
      </c>
      <c r="W768" s="4">
        <v>74</v>
      </c>
    </row>
    <row r="769" spans="1:23" ht="11.25" customHeight="1" x14ac:dyDescent="0.25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29</v>
      </c>
      <c r="F769" s="4" t="s">
        <v>25</v>
      </c>
      <c r="G769" s="4" t="s">
        <v>25</v>
      </c>
      <c r="H769" s="4" t="s">
        <v>25</v>
      </c>
      <c r="I769" s="5">
        <v>44228</v>
      </c>
      <c r="J769" s="6">
        <v>0</v>
      </c>
      <c r="K769" s="6">
        <v>0</v>
      </c>
      <c r="L769" s="6">
        <v>0.42</v>
      </c>
      <c r="M769" s="6">
        <v>0.42</v>
      </c>
      <c r="N769" s="6">
        <v>0.42</v>
      </c>
      <c r="O769" s="6">
        <v>0.42</v>
      </c>
      <c r="P769" s="6">
        <v>1</v>
      </c>
      <c r="Q769" s="4" t="s">
        <v>26</v>
      </c>
      <c r="R769" s="4">
        <v>0</v>
      </c>
      <c r="S769" s="4" t="s">
        <v>326</v>
      </c>
      <c r="T769" s="4" t="s">
        <v>559</v>
      </c>
      <c r="U769" s="4">
        <v>0</v>
      </c>
      <c r="V769" s="4">
        <v>34</v>
      </c>
      <c r="W769" s="4">
        <v>74</v>
      </c>
    </row>
    <row r="770" spans="1:23" ht="11.25" customHeight="1" x14ac:dyDescent="0.25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29</v>
      </c>
      <c r="F770" s="4" t="s">
        <v>25</v>
      </c>
      <c r="G770" s="4" t="s">
        <v>25</v>
      </c>
      <c r="H770" s="4" t="s">
        <v>25</v>
      </c>
      <c r="I770" s="5">
        <v>44256</v>
      </c>
      <c r="J770" s="6">
        <v>0</v>
      </c>
      <c r="K770" s="6">
        <v>0</v>
      </c>
      <c r="L770" s="6">
        <v>1672.7059999999999</v>
      </c>
      <c r="M770" s="6">
        <v>1672.7059999999999</v>
      </c>
      <c r="N770" s="6">
        <v>1672.7059999999999</v>
      </c>
      <c r="O770" s="6">
        <v>1672.7059999999999</v>
      </c>
      <c r="P770" s="6">
        <v>4873</v>
      </c>
      <c r="Q770" s="4" t="s">
        <v>26</v>
      </c>
      <c r="R770" s="4">
        <v>0</v>
      </c>
      <c r="S770" s="4" t="s">
        <v>327</v>
      </c>
      <c r="T770" s="4" t="s">
        <v>560</v>
      </c>
      <c r="U770" s="4">
        <v>0</v>
      </c>
      <c r="V770" s="4">
        <v>34</v>
      </c>
      <c r="W770" s="4">
        <v>74</v>
      </c>
    </row>
    <row r="771" spans="1:23" ht="11.25" customHeight="1" x14ac:dyDescent="0.25">
      <c r="A771" s="4" t="s">
        <v>27</v>
      </c>
      <c r="B771" s="4" t="s">
        <v>22</v>
      </c>
      <c r="C771" s="4" t="s">
        <v>23</v>
      </c>
      <c r="D771" s="4" t="s">
        <v>24</v>
      </c>
      <c r="E771" s="4" t="s">
        <v>29</v>
      </c>
      <c r="F771" s="4" t="s">
        <v>25</v>
      </c>
      <c r="G771" s="4" t="s">
        <v>25</v>
      </c>
      <c r="H771" s="4" t="s">
        <v>25</v>
      </c>
      <c r="I771" s="5">
        <v>44256</v>
      </c>
      <c r="J771" s="6">
        <v>0</v>
      </c>
      <c r="K771" s="6">
        <v>0</v>
      </c>
      <c r="L771" s="6">
        <v>0.56599999999999995</v>
      </c>
      <c r="M771" s="6">
        <v>0.56599999999999995</v>
      </c>
      <c r="N771" s="6">
        <v>0.56599999999999995</v>
      </c>
      <c r="O771" s="6">
        <v>0.56599999999999995</v>
      </c>
      <c r="P771" s="6">
        <v>10</v>
      </c>
      <c r="Q771" s="4" t="s">
        <v>26</v>
      </c>
      <c r="R771" s="4">
        <v>0</v>
      </c>
      <c r="S771" s="4" t="s">
        <v>327</v>
      </c>
      <c r="T771" s="4" t="s">
        <v>560</v>
      </c>
      <c r="U771" s="4">
        <v>0</v>
      </c>
      <c r="V771" s="4">
        <v>34</v>
      </c>
      <c r="W771" s="4">
        <v>74</v>
      </c>
    </row>
    <row r="772" spans="1:23" ht="11.25" customHeight="1" x14ac:dyDescent="0.25">
      <c r="A772" s="4" t="s">
        <v>28</v>
      </c>
      <c r="B772" s="4" t="s">
        <v>22</v>
      </c>
      <c r="C772" s="4" t="s">
        <v>23</v>
      </c>
      <c r="D772" s="4" t="s">
        <v>24</v>
      </c>
      <c r="E772" s="4" t="s">
        <v>29</v>
      </c>
      <c r="F772" s="4" t="s">
        <v>25</v>
      </c>
      <c r="G772" s="4" t="s">
        <v>25</v>
      </c>
      <c r="H772" s="4" t="s">
        <v>25</v>
      </c>
      <c r="I772" s="5">
        <v>44256</v>
      </c>
      <c r="J772" s="6">
        <v>0</v>
      </c>
      <c r="K772" s="6">
        <v>0</v>
      </c>
      <c r="L772" s="6">
        <v>0.45</v>
      </c>
      <c r="M772" s="6">
        <v>0.45</v>
      </c>
      <c r="N772" s="6">
        <v>0.45</v>
      </c>
      <c r="O772" s="6">
        <v>0.45</v>
      </c>
      <c r="P772" s="6">
        <v>0</v>
      </c>
      <c r="Q772" s="4" t="s">
        <v>26</v>
      </c>
      <c r="R772" s="4">
        <v>0</v>
      </c>
      <c r="S772" s="4" t="s">
        <v>327</v>
      </c>
      <c r="T772" s="4" t="s">
        <v>560</v>
      </c>
      <c r="U772" s="4">
        <v>0</v>
      </c>
      <c r="V772" s="4">
        <v>34</v>
      </c>
      <c r="W772" s="4">
        <v>74</v>
      </c>
    </row>
    <row r="773" spans="1:23" ht="11.25" customHeight="1" x14ac:dyDescent="0.25">
      <c r="A773" s="4" t="s">
        <v>21</v>
      </c>
      <c r="B773" s="4" t="s">
        <v>22</v>
      </c>
      <c r="C773" s="4" t="s">
        <v>23</v>
      </c>
      <c r="D773" s="4" t="s">
        <v>24</v>
      </c>
      <c r="E773" s="4" t="s">
        <v>29</v>
      </c>
      <c r="F773" s="4" t="s">
        <v>25</v>
      </c>
      <c r="G773" s="4" t="s">
        <v>25</v>
      </c>
      <c r="H773" s="4" t="s">
        <v>25</v>
      </c>
      <c r="I773" s="5">
        <v>44287</v>
      </c>
      <c r="J773" s="6">
        <v>0</v>
      </c>
      <c r="K773" s="6">
        <v>0</v>
      </c>
      <c r="L773" s="6">
        <v>1672.297</v>
      </c>
      <c r="M773" s="6">
        <v>1672.297</v>
      </c>
      <c r="N773" s="6">
        <v>1672.297</v>
      </c>
      <c r="O773" s="6">
        <v>1672.297</v>
      </c>
      <c r="P773" s="6">
        <v>4813</v>
      </c>
      <c r="Q773" s="4" t="s">
        <v>26</v>
      </c>
      <c r="R773" s="4">
        <v>0</v>
      </c>
      <c r="S773" s="4" t="s">
        <v>328</v>
      </c>
      <c r="T773" s="4" t="s">
        <v>561</v>
      </c>
      <c r="U773" s="4">
        <v>0</v>
      </c>
      <c r="V773" s="4">
        <v>34</v>
      </c>
      <c r="W773" s="4">
        <v>74</v>
      </c>
    </row>
    <row r="774" spans="1:23" ht="11.25" customHeight="1" x14ac:dyDescent="0.25">
      <c r="A774" s="4" t="s">
        <v>27</v>
      </c>
      <c r="B774" s="4" t="s">
        <v>22</v>
      </c>
      <c r="C774" s="4" t="s">
        <v>23</v>
      </c>
      <c r="D774" s="4" t="s">
        <v>24</v>
      </c>
      <c r="E774" s="4" t="s">
        <v>29</v>
      </c>
      <c r="F774" s="4" t="s">
        <v>25</v>
      </c>
      <c r="G774" s="4" t="s">
        <v>25</v>
      </c>
      <c r="H774" s="4" t="s">
        <v>25</v>
      </c>
      <c r="I774" s="5">
        <v>44287</v>
      </c>
      <c r="J774" s="6">
        <v>0</v>
      </c>
      <c r="K774" s="6">
        <v>0</v>
      </c>
      <c r="L774" s="6">
        <v>3.3000000000000002E-2</v>
      </c>
      <c r="M774" s="6">
        <v>3.3000000000000002E-2</v>
      </c>
      <c r="N774" s="6">
        <v>3.3000000000000002E-2</v>
      </c>
      <c r="O774" s="6">
        <v>3.3000000000000002E-2</v>
      </c>
      <c r="P774" s="6">
        <v>1</v>
      </c>
      <c r="Q774" s="4" t="s">
        <v>26</v>
      </c>
      <c r="R774" s="4">
        <v>0</v>
      </c>
      <c r="S774" s="4" t="s">
        <v>328</v>
      </c>
      <c r="T774" s="4" t="s">
        <v>561</v>
      </c>
      <c r="U774" s="4">
        <v>0</v>
      </c>
      <c r="V774" s="4">
        <v>34</v>
      </c>
      <c r="W774" s="4">
        <v>74</v>
      </c>
    </row>
    <row r="775" spans="1:23" ht="11.25" customHeight="1" x14ac:dyDescent="0.25">
      <c r="A775" s="4" t="s">
        <v>28</v>
      </c>
      <c r="B775" s="4" t="s">
        <v>22</v>
      </c>
      <c r="C775" s="4" t="s">
        <v>23</v>
      </c>
      <c r="D775" s="4" t="s">
        <v>24</v>
      </c>
      <c r="E775" s="4" t="s">
        <v>29</v>
      </c>
      <c r="F775" s="4" t="s">
        <v>25</v>
      </c>
      <c r="G775" s="4" t="s">
        <v>25</v>
      </c>
      <c r="H775" s="4" t="s">
        <v>25</v>
      </c>
      <c r="I775" s="5">
        <v>44287</v>
      </c>
      <c r="J775" s="6">
        <v>0</v>
      </c>
      <c r="K775" s="6">
        <v>0</v>
      </c>
      <c r="L775" s="6">
        <v>0.45</v>
      </c>
      <c r="M775" s="6">
        <v>0.45</v>
      </c>
      <c r="N775" s="6">
        <v>0.45</v>
      </c>
      <c r="O775" s="6">
        <v>0.45</v>
      </c>
      <c r="P775" s="6">
        <v>0</v>
      </c>
      <c r="Q775" s="4" t="s">
        <v>26</v>
      </c>
      <c r="R775" s="4">
        <v>0</v>
      </c>
      <c r="S775" s="4" t="s">
        <v>328</v>
      </c>
      <c r="T775" s="4" t="s">
        <v>561</v>
      </c>
      <c r="U775" s="4">
        <v>0</v>
      </c>
      <c r="V775" s="4">
        <v>34</v>
      </c>
      <c r="W775" s="4">
        <v>74</v>
      </c>
    </row>
    <row r="776" spans="1:23" ht="11.25" customHeight="1" x14ac:dyDescent="0.25">
      <c r="A776" s="4" t="s">
        <v>21</v>
      </c>
      <c r="B776" s="4" t="s">
        <v>22</v>
      </c>
      <c r="C776" s="4" t="s">
        <v>23</v>
      </c>
      <c r="D776" s="4" t="s">
        <v>24</v>
      </c>
      <c r="E776" s="4" t="s">
        <v>29</v>
      </c>
      <c r="F776" s="4" t="s">
        <v>25</v>
      </c>
      <c r="G776" s="4" t="s">
        <v>25</v>
      </c>
      <c r="H776" s="4" t="s">
        <v>25</v>
      </c>
      <c r="I776" s="5">
        <v>44317</v>
      </c>
      <c r="J776" s="6">
        <v>0</v>
      </c>
      <c r="K776" s="6">
        <v>0</v>
      </c>
      <c r="L776" s="6">
        <v>1676.741</v>
      </c>
      <c r="M776" s="6">
        <v>1676.741</v>
      </c>
      <c r="N776" s="6">
        <v>1676.741</v>
      </c>
      <c r="O776" s="6">
        <v>1676.741</v>
      </c>
      <c r="P776" s="6">
        <v>5077</v>
      </c>
      <c r="Q776" s="4" t="s">
        <v>26</v>
      </c>
      <c r="R776" s="4">
        <v>0</v>
      </c>
      <c r="S776" s="4" t="s">
        <v>329</v>
      </c>
      <c r="T776" s="4" t="s">
        <v>562</v>
      </c>
      <c r="U776" s="4">
        <v>0</v>
      </c>
      <c r="V776" s="4">
        <v>34</v>
      </c>
      <c r="W776" s="4">
        <v>74</v>
      </c>
    </row>
    <row r="777" spans="1:23" ht="11.25" customHeight="1" x14ac:dyDescent="0.25">
      <c r="A777" s="4" t="s">
        <v>27</v>
      </c>
      <c r="B777" s="4" t="s">
        <v>22</v>
      </c>
      <c r="C777" s="4" t="s">
        <v>23</v>
      </c>
      <c r="D777" s="4" t="s">
        <v>24</v>
      </c>
      <c r="E777" s="4" t="s">
        <v>29</v>
      </c>
      <c r="F777" s="4" t="s">
        <v>25</v>
      </c>
      <c r="G777" s="4" t="s">
        <v>25</v>
      </c>
      <c r="H777" s="4" t="s">
        <v>25</v>
      </c>
      <c r="I777" s="5">
        <v>44317</v>
      </c>
      <c r="J777" s="6">
        <v>0</v>
      </c>
      <c r="K777" s="6">
        <v>0</v>
      </c>
      <c r="L777" s="6">
        <v>4.2000000000000003E-2</v>
      </c>
      <c r="M777" s="6">
        <v>4.2000000000000003E-2</v>
      </c>
      <c r="N777" s="6">
        <v>4.2000000000000003E-2</v>
      </c>
      <c r="O777" s="6">
        <v>4.2000000000000003E-2</v>
      </c>
      <c r="P777" s="6">
        <v>3</v>
      </c>
      <c r="Q777" s="4" t="s">
        <v>26</v>
      </c>
      <c r="R777" s="4">
        <v>0</v>
      </c>
      <c r="S777" s="4" t="s">
        <v>329</v>
      </c>
      <c r="T777" s="4" t="s">
        <v>562</v>
      </c>
      <c r="U777" s="4">
        <v>0</v>
      </c>
      <c r="V777" s="4">
        <v>34</v>
      </c>
      <c r="W777" s="4">
        <v>74</v>
      </c>
    </row>
    <row r="778" spans="1:23" ht="11.25" customHeight="1" x14ac:dyDescent="0.25">
      <c r="A778" s="4" t="s">
        <v>28</v>
      </c>
      <c r="B778" s="4" t="s">
        <v>22</v>
      </c>
      <c r="C778" s="4" t="s">
        <v>23</v>
      </c>
      <c r="D778" s="4" t="s">
        <v>24</v>
      </c>
      <c r="E778" s="4" t="s">
        <v>29</v>
      </c>
      <c r="F778" s="4" t="s">
        <v>25</v>
      </c>
      <c r="G778" s="4" t="s">
        <v>25</v>
      </c>
      <c r="H778" s="4" t="s">
        <v>25</v>
      </c>
      <c r="I778" s="5">
        <v>44317</v>
      </c>
      <c r="J778" s="6">
        <v>0</v>
      </c>
      <c r="K778" s="6">
        <v>0</v>
      </c>
      <c r="L778" s="6">
        <v>0.48</v>
      </c>
      <c r="M778" s="6">
        <v>0.48</v>
      </c>
      <c r="N778" s="6">
        <v>0.48</v>
      </c>
      <c r="O778" s="6">
        <v>0.48</v>
      </c>
      <c r="P778" s="6">
        <v>1</v>
      </c>
      <c r="Q778" s="4" t="s">
        <v>26</v>
      </c>
      <c r="R778" s="4">
        <v>0</v>
      </c>
      <c r="S778" s="4" t="s">
        <v>329</v>
      </c>
      <c r="T778" s="4" t="s">
        <v>562</v>
      </c>
      <c r="U778" s="4">
        <v>0</v>
      </c>
      <c r="V778" s="4">
        <v>34</v>
      </c>
      <c r="W778" s="4">
        <v>74</v>
      </c>
    </row>
    <row r="779" spans="1:23" ht="11.25" customHeight="1" x14ac:dyDescent="0.25">
      <c r="A779" s="4" t="s">
        <v>21</v>
      </c>
      <c r="B779" s="4" t="s">
        <v>22</v>
      </c>
      <c r="C779" s="4" t="s">
        <v>23</v>
      </c>
      <c r="D779" s="4" t="s">
        <v>24</v>
      </c>
      <c r="E779" s="4" t="s">
        <v>29</v>
      </c>
      <c r="F779" s="4" t="s">
        <v>25</v>
      </c>
      <c r="G779" s="4" t="s">
        <v>25</v>
      </c>
      <c r="H779" s="4" t="s">
        <v>25</v>
      </c>
      <c r="I779" s="5">
        <v>44348</v>
      </c>
      <c r="J779" s="6">
        <v>0</v>
      </c>
      <c r="K779" s="6">
        <v>0</v>
      </c>
      <c r="L779" s="6">
        <v>1685.271</v>
      </c>
      <c r="M779" s="6">
        <v>1685.271</v>
      </c>
      <c r="N779" s="6">
        <v>1685.271</v>
      </c>
      <c r="O779" s="6">
        <v>1685.271</v>
      </c>
      <c r="P779" s="6">
        <v>5372</v>
      </c>
      <c r="Q779" s="4" t="s">
        <v>26</v>
      </c>
      <c r="R779" s="4">
        <v>0</v>
      </c>
      <c r="S779" s="4" t="s">
        <v>330</v>
      </c>
      <c r="T779" s="4" t="s">
        <v>563</v>
      </c>
      <c r="U779" s="4">
        <v>0</v>
      </c>
      <c r="V779" s="4">
        <v>34</v>
      </c>
      <c r="W779" s="4">
        <v>74</v>
      </c>
    </row>
    <row r="780" spans="1:23" ht="11.25" customHeight="1" x14ac:dyDescent="0.25">
      <c r="A780" s="4" t="s">
        <v>27</v>
      </c>
      <c r="B780" s="4" t="s">
        <v>22</v>
      </c>
      <c r="C780" s="4" t="s">
        <v>23</v>
      </c>
      <c r="D780" s="4" t="s">
        <v>24</v>
      </c>
      <c r="E780" s="4" t="s">
        <v>29</v>
      </c>
      <c r="F780" s="4" t="s">
        <v>25</v>
      </c>
      <c r="G780" s="4" t="s">
        <v>25</v>
      </c>
      <c r="H780" s="4" t="s">
        <v>25</v>
      </c>
      <c r="I780" s="5">
        <v>44348</v>
      </c>
      <c r="J780" s="6">
        <v>0</v>
      </c>
      <c r="K780" s="6">
        <v>0</v>
      </c>
      <c r="L780" s="6">
        <v>0.70599999999999996</v>
      </c>
      <c r="M780" s="6">
        <v>0.70599999999999996</v>
      </c>
      <c r="N780" s="6">
        <v>0.70599999999999996</v>
      </c>
      <c r="O780" s="6">
        <v>0.70599999999999996</v>
      </c>
      <c r="P780" s="6">
        <v>6</v>
      </c>
      <c r="Q780" s="4" t="s">
        <v>26</v>
      </c>
      <c r="R780" s="4">
        <v>0</v>
      </c>
      <c r="S780" s="4" t="s">
        <v>330</v>
      </c>
      <c r="T780" s="4" t="s">
        <v>563</v>
      </c>
      <c r="U780" s="4">
        <v>0</v>
      </c>
      <c r="V780" s="4">
        <v>34</v>
      </c>
      <c r="W780" s="4">
        <v>74</v>
      </c>
    </row>
    <row r="781" spans="1:23" ht="11.25" customHeight="1" x14ac:dyDescent="0.25">
      <c r="A781" s="4" t="s">
        <v>28</v>
      </c>
      <c r="B781" s="4" t="s">
        <v>22</v>
      </c>
      <c r="C781" s="4" t="s">
        <v>23</v>
      </c>
      <c r="D781" s="4" t="s">
        <v>24</v>
      </c>
      <c r="E781" s="4" t="s">
        <v>29</v>
      </c>
      <c r="F781" s="4" t="s">
        <v>25</v>
      </c>
      <c r="G781" s="4" t="s">
        <v>25</v>
      </c>
      <c r="H781" s="4" t="s">
        <v>25</v>
      </c>
      <c r="I781" s="5">
        <v>44348</v>
      </c>
      <c r="J781" s="6">
        <v>0</v>
      </c>
      <c r="K781" s="6">
        <v>0</v>
      </c>
      <c r="L781" s="6">
        <v>0.54</v>
      </c>
      <c r="M781" s="6">
        <v>0.54</v>
      </c>
      <c r="N781" s="6">
        <v>0.54</v>
      </c>
      <c r="O781" s="6">
        <v>0.54</v>
      </c>
      <c r="P781" s="6">
        <v>1</v>
      </c>
      <c r="Q781" s="4" t="s">
        <v>26</v>
      </c>
      <c r="R781" s="4">
        <v>0</v>
      </c>
      <c r="S781" s="4" t="s">
        <v>330</v>
      </c>
      <c r="T781" s="4" t="s">
        <v>563</v>
      </c>
      <c r="U781" s="4">
        <v>0</v>
      </c>
      <c r="V781" s="4">
        <v>34</v>
      </c>
      <c r="W781" s="4">
        <v>74</v>
      </c>
    </row>
    <row r="782" spans="1:23" ht="11.25" customHeight="1" x14ac:dyDescent="0.25">
      <c r="A782" s="4" t="s">
        <v>21</v>
      </c>
      <c r="B782" s="4" t="s">
        <v>22</v>
      </c>
      <c r="C782" s="4" t="s">
        <v>23</v>
      </c>
      <c r="D782" s="4" t="s">
        <v>24</v>
      </c>
      <c r="E782" s="4" t="s">
        <v>29</v>
      </c>
      <c r="F782" s="4" t="s">
        <v>25</v>
      </c>
      <c r="G782" s="4" t="s">
        <v>25</v>
      </c>
      <c r="H782" s="4" t="s">
        <v>25</v>
      </c>
      <c r="I782" s="5">
        <v>44378</v>
      </c>
      <c r="J782" s="6">
        <v>0</v>
      </c>
      <c r="K782" s="6">
        <v>0</v>
      </c>
      <c r="L782" s="6">
        <v>1704.3109999999999</v>
      </c>
      <c r="M782" s="6">
        <v>1704.3109999999999</v>
      </c>
      <c r="N782" s="6">
        <v>1704.3109999999999</v>
      </c>
      <c r="O782" s="6">
        <v>1704.3109999999999</v>
      </c>
      <c r="P782" s="6">
        <v>5324</v>
      </c>
      <c r="Q782" s="4" t="s">
        <v>26</v>
      </c>
      <c r="R782" s="4">
        <v>0</v>
      </c>
      <c r="S782" s="4" t="s">
        <v>331</v>
      </c>
      <c r="T782" s="4" t="s">
        <v>564</v>
      </c>
      <c r="U782" s="4">
        <v>0</v>
      </c>
      <c r="V782" s="4">
        <v>34</v>
      </c>
      <c r="W782" s="4">
        <v>74</v>
      </c>
    </row>
    <row r="783" spans="1:23" ht="11.25" customHeight="1" x14ac:dyDescent="0.25">
      <c r="A783" s="4" t="s">
        <v>27</v>
      </c>
      <c r="B783" s="4" t="s">
        <v>22</v>
      </c>
      <c r="C783" s="4" t="s">
        <v>23</v>
      </c>
      <c r="D783" s="4" t="s">
        <v>24</v>
      </c>
      <c r="E783" s="4" t="s">
        <v>29</v>
      </c>
      <c r="F783" s="4" t="s">
        <v>25</v>
      </c>
      <c r="G783" s="4" t="s">
        <v>25</v>
      </c>
      <c r="H783" s="4" t="s">
        <v>25</v>
      </c>
      <c r="I783" s="5">
        <v>44378</v>
      </c>
      <c r="J783" s="6">
        <v>0</v>
      </c>
      <c r="K783" s="6">
        <v>0</v>
      </c>
      <c r="L783" s="6">
        <v>0.877</v>
      </c>
      <c r="M783" s="6">
        <v>0.877</v>
      </c>
      <c r="N783" s="6">
        <v>0.877</v>
      </c>
      <c r="O783" s="6">
        <v>0.877</v>
      </c>
      <c r="P783" s="6">
        <v>15</v>
      </c>
      <c r="Q783" s="4" t="s">
        <v>26</v>
      </c>
      <c r="R783" s="4">
        <v>0</v>
      </c>
      <c r="S783" s="4" t="s">
        <v>331</v>
      </c>
      <c r="T783" s="4" t="s">
        <v>564</v>
      </c>
      <c r="U783" s="4">
        <v>0</v>
      </c>
      <c r="V783" s="4">
        <v>34</v>
      </c>
      <c r="W783" s="4">
        <v>74</v>
      </c>
    </row>
    <row r="784" spans="1:23" ht="11.25" customHeight="1" x14ac:dyDescent="0.25">
      <c r="A784" s="4" t="s">
        <v>28</v>
      </c>
      <c r="B784" s="4" t="s">
        <v>22</v>
      </c>
      <c r="C784" s="4" t="s">
        <v>23</v>
      </c>
      <c r="D784" s="4" t="s">
        <v>24</v>
      </c>
      <c r="E784" s="4" t="s">
        <v>29</v>
      </c>
      <c r="F784" s="4" t="s">
        <v>25</v>
      </c>
      <c r="G784" s="4" t="s">
        <v>25</v>
      </c>
      <c r="H784" s="4" t="s">
        <v>25</v>
      </c>
      <c r="I784" s="5">
        <v>44378</v>
      </c>
      <c r="J784" s="6">
        <v>0</v>
      </c>
      <c r="K784" s="6">
        <v>0</v>
      </c>
      <c r="L784" s="6">
        <v>0.75</v>
      </c>
      <c r="M784" s="6">
        <v>0.75</v>
      </c>
      <c r="N784" s="6">
        <v>0.75</v>
      </c>
      <c r="O784" s="6">
        <v>0.75</v>
      </c>
      <c r="P784" s="6">
        <v>1</v>
      </c>
      <c r="Q784" s="4" t="s">
        <v>26</v>
      </c>
      <c r="R784" s="4">
        <v>0</v>
      </c>
      <c r="S784" s="4" t="s">
        <v>331</v>
      </c>
      <c r="T784" s="4" t="s">
        <v>564</v>
      </c>
      <c r="U784" s="4">
        <v>0</v>
      </c>
      <c r="V784" s="4">
        <v>34</v>
      </c>
      <c r="W784" s="4">
        <v>74</v>
      </c>
    </row>
    <row r="785" spans="1:23" ht="11.25" customHeight="1" x14ac:dyDescent="0.25">
      <c r="A785" s="4" t="s">
        <v>21</v>
      </c>
      <c r="B785" s="4" t="s">
        <v>22</v>
      </c>
      <c r="C785" s="4" t="s">
        <v>23</v>
      </c>
      <c r="D785" s="4" t="s">
        <v>24</v>
      </c>
      <c r="E785" s="4" t="s">
        <v>29</v>
      </c>
      <c r="F785" s="4" t="s">
        <v>25</v>
      </c>
      <c r="G785" s="4" t="s">
        <v>25</v>
      </c>
      <c r="H785" s="4" t="s">
        <v>25</v>
      </c>
      <c r="I785" s="5">
        <v>44409</v>
      </c>
      <c r="J785" s="6">
        <v>0</v>
      </c>
      <c r="K785" s="6">
        <v>0</v>
      </c>
      <c r="L785" s="6">
        <v>1720.7809999999999</v>
      </c>
      <c r="M785" s="6">
        <v>1720.7809999999999</v>
      </c>
      <c r="N785" s="6">
        <v>1720.7809999999999</v>
      </c>
      <c r="O785" s="6">
        <v>1720.7809999999999</v>
      </c>
      <c r="P785" s="6">
        <v>5751</v>
      </c>
      <c r="Q785" s="4" t="s">
        <v>26</v>
      </c>
      <c r="R785" s="4">
        <v>0</v>
      </c>
      <c r="S785" s="4" t="s">
        <v>332</v>
      </c>
      <c r="T785" s="4" t="s">
        <v>565</v>
      </c>
      <c r="U785" s="4">
        <v>0</v>
      </c>
      <c r="V785" s="4">
        <v>34</v>
      </c>
      <c r="W785" s="4">
        <v>74</v>
      </c>
    </row>
    <row r="786" spans="1:23" ht="11.25" customHeight="1" x14ac:dyDescent="0.25">
      <c r="A786" s="4" t="s">
        <v>27</v>
      </c>
      <c r="B786" s="4" t="s">
        <v>22</v>
      </c>
      <c r="C786" s="4" t="s">
        <v>23</v>
      </c>
      <c r="D786" s="4" t="s">
        <v>24</v>
      </c>
      <c r="E786" s="4" t="s">
        <v>29</v>
      </c>
      <c r="F786" s="4" t="s">
        <v>25</v>
      </c>
      <c r="G786" s="4" t="s">
        <v>25</v>
      </c>
      <c r="H786" s="4" t="s">
        <v>25</v>
      </c>
      <c r="I786" s="5">
        <v>44409</v>
      </c>
      <c r="J786" s="6">
        <v>0</v>
      </c>
      <c r="K786" s="6">
        <v>0</v>
      </c>
      <c r="L786" s="6">
        <v>0.33500000000000002</v>
      </c>
      <c r="M786" s="6">
        <v>0.33500000000000002</v>
      </c>
      <c r="N786" s="6">
        <v>0.33500000000000002</v>
      </c>
      <c r="O786" s="6">
        <v>0.33500000000000002</v>
      </c>
      <c r="P786" s="6">
        <v>8</v>
      </c>
      <c r="Q786" s="4" t="s">
        <v>26</v>
      </c>
      <c r="R786" s="4">
        <v>0</v>
      </c>
      <c r="S786" s="4" t="s">
        <v>332</v>
      </c>
      <c r="T786" s="4" t="s">
        <v>565</v>
      </c>
      <c r="U786" s="4">
        <v>0</v>
      </c>
      <c r="V786" s="4">
        <v>34</v>
      </c>
      <c r="W786" s="4">
        <v>74</v>
      </c>
    </row>
    <row r="787" spans="1:23" ht="11.25" customHeight="1" x14ac:dyDescent="0.25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29</v>
      </c>
      <c r="F787" s="4" t="s">
        <v>25</v>
      </c>
      <c r="G787" s="4" t="s">
        <v>25</v>
      </c>
      <c r="H787" s="4" t="s">
        <v>25</v>
      </c>
      <c r="I787" s="5">
        <v>44409</v>
      </c>
      <c r="J787" s="6">
        <v>0</v>
      </c>
      <c r="K787" s="6">
        <v>0</v>
      </c>
      <c r="L787" s="6">
        <v>0.87</v>
      </c>
      <c r="M787" s="6">
        <v>0.87</v>
      </c>
      <c r="N787" s="6">
        <v>0.87</v>
      </c>
      <c r="O787" s="6">
        <v>0.87</v>
      </c>
      <c r="P787" s="6">
        <v>2</v>
      </c>
      <c r="Q787" s="4" t="s">
        <v>26</v>
      </c>
      <c r="R787" s="4">
        <v>0</v>
      </c>
      <c r="S787" s="4" t="s">
        <v>332</v>
      </c>
      <c r="T787" s="4" t="s">
        <v>565</v>
      </c>
      <c r="U787" s="4">
        <v>0</v>
      </c>
      <c r="V787" s="4">
        <v>34</v>
      </c>
      <c r="W787" s="4">
        <v>74</v>
      </c>
    </row>
    <row r="788" spans="1:23" ht="11.25" customHeight="1" x14ac:dyDescent="0.25">
      <c r="A788" s="4" t="s">
        <v>28</v>
      </c>
      <c r="B788" s="4" t="s">
        <v>22</v>
      </c>
      <c r="C788" s="4" t="s">
        <v>23</v>
      </c>
      <c r="D788" s="4" t="s">
        <v>24</v>
      </c>
      <c r="E788" s="4" t="s">
        <v>29</v>
      </c>
      <c r="F788" s="4" t="s">
        <v>25</v>
      </c>
      <c r="G788" s="4" t="s">
        <v>25</v>
      </c>
      <c r="H788" s="4" t="s">
        <v>25</v>
      </c>
      <c r="I788" s="5">
        <v>44409</v>
      </c>
      <c r="J788" s="6">
        <v>0</v>
      </c>
      <c r="K788" s="6">
        <v>0</v>
      </c>
      <c r="L788" s="6">
        <v>6.9000000000000006E-2</v>
      </c>
      <c r="M788" s="6">
        <v>6.9000000000000006E-2</v>
      </c>
      <c r="N788" s="6">
        <v>6.9000000000000006E-2</v>
      </c>
      <c r="O788" s="6">
        <v>6.9000000000000006E-2</v>
      </c>
      <c r="P788" s="6">
        <v>1</v>
      </c>
      <c r="Q788" s="4" t="s">
        <v>26</v>
      </c>
      <c r="R788" s="4">
        <v>0</v>
      </c>
      <c r="S788" s="4" t="s">
        <v>332</v>
      </c>
      <c r="T788" s="4" t="s">
        <v>565</v>
      </c>
      <c r="U788" s="4">
        <v>0</v>
      </c>
      <c r="V788" s="4">
        <v>34</v>
      </c>
      <c r="W788" s="4">
        <v>74</v>
      </c>
    </row>
    <row r="789" spans="1:23" ht="11.25" customHeight="1" x14ac:dyDescent="0.25">
      <c r="A789" s="4" t="s">
        <v>21</v>
      </c>
      <c r="B789" s="4" t="s">
        <v>22</v>
      </c>
      <c r="C789" s="4" t="s">
        <v>23</v>
      </c>
      <c r="D789" s="4" t="s">
        <v>24</v>
      </c>
      <c r="E789" s="4" t="s">
        <v>29</v>
      </c>
      <c r="F789" s="4" t="s">
        <v>25</v>
      </c>
      <c r="G789" s="4" t="s">
        <v>25</v>
      </c>
      <c r="H789" s="4" t="s">
        <v>25</v>
      </c>
      <c r="I789" s="5">
        <v>44440</v>
      </c>
      <c r="J789" s="6">
        <v>0</v>
      </c>
      <c r="K789" s="6">
        <v>0</v>
      </c>
      <c r="L789" s="6">
        <v>1696.527</v>
      </c>
      <c r="M789" s="6">
        <v>1696.527</v>
      </c>
      <c r="N789" s="6">
        <v>1696.527</v>
      </c>
      <c r="O789" s="6">
        <v>1696.527</v>
      </c>
      <c r="P789" s="6">
        <v>5382</v>
      </c>
      <c r="Q789" s="4" t="s">
        <v>26</v>
      </c>
      <c r="R789" s="4">
        <v>0</v>
      </c>
      <c r="S789" s="4" t="s">
        <v>333</v>
      </c>
      <c r="T789" s="4" t="s">
        <v>566</v>
      </c>
      <c r="U789" s="4">
        <v>0</v>
      </c>
      <c r="V789" s="4">
        <v>34</v>
      </c>
      <c r="W789" s="4">
        <v>74</v>
      </c>
    </row>
    <row r="790" spans="1:23" ht="11.25" customHeight="1" x14ac:dyDescent="0.25">
      <c r="A790" s="4" t="s">
        <v>27</v>
      </c>
      <c r="B790" s="4" t="s">
        <v>22</v>
      </c>
      <c r="C790" s="4" t="s">
        <v>23</v>
      </c>
      <c r="D790" s="4" t="s">
        <v>24</v>
      </c>
      <c r="E790" s="4" t="s">
        <v>29</v>
      </c>
      <c r="F790" s="4" t="s">
        <v>25</v>
      </c>
      <c r="G790" s="4" t="s">
        <v>25</v>
      </c>
      <c r="H790" s="4" t="s">
        <v>25</v>
      </c>
      <c r="I790" s="5">
        <v>44440</v>
      </c>
      <c r="J790" s="6">
        <v>0</v>
      </c>
      <c r="K790" s="6">
        <v>0</v>
      </c>
      <c r="L790" s="6">
        <v>2.5000000000000001E-2</v>
      </c>
      <c r="M790" s="6">
        <v>2.5000000000000001E-2</v>
      </c>
      <c r="N790" s="6">
        <v>2.5000000000000001E-2</v>
      </c>
      <c r="O790" s="6">
        <v>2.5000000000000001E-2</v>
      </c>
      <c r="P790" s="6">
        <v>2</v>
      </c>
      <c r="Q790" s="4" t="s">
        <v>26</v>
      </c>
      <c r="R790" s="4">
        <v>0</v>
      </c>
      <c r="S790" s="4" t="s">
        <v>333</v>
      </c>
      <c r="T790" s="4" t="s">
        <v>566</v>
      </c>
      <c r="U790" s="4">
        <v>0</v>
      </c>
      <c r="V790" s="4">
        <v>34</v>
      </c>
      <c r="W790" s="4">
        <v>74</v>
      </c>
    </row>
    <row r="791" spans="1:23" ht="11.25" customHeight="1" x14ac:dyDescent="0.25">
      <c r="A791" s="4" t="s">
        <v>28</v>
      </c>
      <c r="B791" s="4" t="s">
        <v>22</v>
      </c>
      <c r="C791" s="4" t="s">
        <v>23</v>
      </c>
      <c r="D791" s="4" t="s">
        <v>24</v>
      </c>
      <c r="E791" s="4" t="s">
        <v>29</v>
      </c>
      <c r="F791" s="4" t="s">
        <v>25</v>
      </c>
      <c r="G791" s="4" t="s">
        <v>25</v>
      </c>
      <c r="H791" s="4" t="s">
        <v>25</v>
      </c>
      <c r="I791" s="5">
        <v>44440</v>
      </c>
      <c r="J791" s="6">
        <v>0</v>
      </c>
      <c r="K791" s="6">
        <v>0</v>
      </c>
      <c r="L791" s="6">
        <v>0.96</v>
      </c>
      <c r="M791" s="6">
        <v>0.96</v>
      </c>
      <c r="N791" s="6">
        <v>0.96</v>
      </c>
      <c r="O791" s="6">
        <v>0.96</v>
      </c>
      <c r="P791" s="6">
        <v>6</v>
      </c>
      <c r="Q791" s="4" t="s">
        <v>26</v>
      </c>
      <c r="R791" s="4">
        <v>0</v>
      </c>
      <c r="S791" s="4" t="s">
        <v>333</v>
      </c>
      <c r="T791" s="4" t="s">
        <v>566</v>
      </c>
      <c r="U791" s="4">
        <v>0</v>
      </c>
      <c r="V791" s="4">
        <v>34</v>
      </c>
      <c r="W791" s="4">
        <v>74</v>
      </c>
    </row>
    <row r="792" spans="1:23" ht="11.25" customHeight="1" x14ac:dyDescent="0.25">
      <c r="A792" s="4" t="s">
        <v>21</v>
      </c>
      <c r="B792" s="4" t="s">
        <v>22</v>
      </c>
      <c r="C792" s="4" t="s">
        <v>23</v>
      </c>
      <c r="D792" s="4" t="s">
        <v>24</v>
      </c>
      <c r="E792" s="4" t="s">
        <v>29</v>
      </c>
      <c r="F792" s="4" t="s">
        <v>25</v>
      </c>
      <c r="G792" s="4" t="s">
        <v>25</v>
      </c>
      <c r="H792" s="4" t="s">
        <v>25</v>
      </c>
      <c r="I792" s="5">
        <v>44470</v>
      </c>
      <c r="J792" s="6">
        <v>0</v>
      </c>
      <c r="K792" s="6">
        <v>0</v>
      </c>
      <c r="L792" s="6">
        <v>1721.364</v>
      </c>
      <c r="M792" s="6">
        <v>1721.364</v>
      </c>
      <c r="N792" s="6">
        <v>1721.364</v>
      </c>
      <c r="O792" s="6">
        <v>1721.364</v>
      </c>
      <c r="P792" s="6">
        <v>5232</v>
      </c>
      <c r="Q792" s="4" t="s">
        <v>26</v>
      </c>
      <c r="R792" s="4">
        <v>0</v>
      </c>
      <c r="S792" s="4" t="s">
        <v>334</v>
      </c>
      <c r="T792" s="4" t="s">
        <v>567</v>
      </c>
      <c r="U792" s="4">
        <v>0</v>
      </c>
      <c r="V792" s="4">
        <v>34</v>
      </c>
      <c r="W792" s="4">
        <v>74</v>
      </c>
    </row>
    <row r="793" spans="1:23" ht="11.25" customHeight="1" x14ac:dyDescent="0.25">
      <c r="A793" s="4" t="s">
        <v>28</v>
      </c>
      <c r="B793" s="4" t="s">
        <v>22</v>
      </c>
      <c r="C793" s="4" t="s">
        <v>23</v>
      </c>
      <c r="D793" s="4" t="s">
        <v>24</v>
      </c>
      <c r="E793" s="4" t="s">
        <v>29</v>
      </c>
      <c r="F793" s="4" t="s">
        <v>25</v>
      </c>
      <c r="G793" s="4" t="s">
        <v>25</v>
      </c>
      <c r="H793" s="4" t="s">
        <v>25</v>
      </c>
      <c r="I793" s="5">
        <v>44470</v>
      </c>
      <c r="J793" s="6">
        <v>0</v>
      </c>
      <c r="K793" s="6">
        <v>0</v>
      </c>
      <c r="L793" s="6">
        <v>1.08</v>
      </c>
      <c r="M793" s="6">
        <v>1.08</v>
      </c>
      <c r="N793" s="6">
        <v>1.08</v>
      </c>
      <c r="O793" s="6">
        <v>1.08</v>
      </c>
      <c r="P793" s="6">
        <v>2</v>
      </c>
      <c r="Q793" s="4" t="s">
        <v>26</v>
      </c>
      <c r="R793" s="4">
        <v>0</v>
      </c>
      <c r="S793" s="4" t="s">
        <v>334</v>
      </c>
      <c r="T793" s="4" t="s">
        <v>567</v>
      </c>
      <c r="U793" s="4">
        <v>0</v>
      </c>
      <c r="V793" s="4">
        <v>34</v>
      </c>
      <c r="W793" s="4">
        <v>74</v>
      </c>
    </row>
    <row r="794" spans="1:23" ht="11.25" customHeight="1" x14ac:dyDescent="0.25">
      <c r="A794" s="4" t="s">
        <v>21</v>
      </c>
      <c r="B794" s="4" t="s">
        <v>22</v>
      </c>
      <c r="C794" s="4" t="s">
        <v>23</v>
      </c>
      <c r="D794" s="4" t="s">
        <v>24</v>
      </c>
      <c r="E794" s="4" t="s">
        <v>29</v>
      </c>
      <c r="F794" s="4" t="s">
        <v>25</v>
      </c>
      <c r="G794" s="4" t="s">
        <v>25</v>
      </c>
      <c r="H794" s="4" t="s">
        <v>25</v>
      </c>
      <c r="I794" s="5">
        <v>44501</v>
      </c>
      <c r="J794" s="6">
        <v>0</v>
      </c>
      <c r="K794" s="6">
        <v>0</v>
      </c>
      <c r="L794" s="6">
        <v>1726.7349999999999</v>
      </c>
      <c r="M794" s="6">
        <v>1726.7349999999999</v>
      </c>
      <c r="N794" s="6">
        <v>1726.7349999999999</v>
      </c>
      <c r="O794" s="6">
        <v>1726.7349999999999</v>
      </c>
      <c r="P794" s="6">
        <v>5311</v>
      </c>
      <c r="Q794" s="4" t="s">
        <v>26</v>
      </c>
      <c r="R794" s="4">
        <v>0</v>
      </c>
      <c r="S794" s="4" t="s">
        <v>335</v>
      </c>
      <c r="T794" s="4" t="s">
        <v>568</v>
      </c>
      <c r="U794" s="4">
        <v>0</v>
      </c>
      <c r="V794" s="4">
        <v>34</v>
      </c>
      <c r="W794" s="4">
        <v>74</v>
      </c>
    </row>
    <row r="795" spans="1:23" ht="11.25" customHeight="1" x14ac:dyDescent="0.25">
      <c r="A795" s="4" t="s">
        <v>27</v>
      </c>
      <c r="B795" s="4" t="s">
        <v>22</v>
      </c>
      <c r="C795" s="4" t="s">
        <v>23</v>
      </c>
      <c r="D795" s="4" t="s">
        <v>24</v>
      </c>
      <c r="E795" s="4" t="s">
        <v>29</v>
      </c>
      <c r="F795" s="4" t="s">
        <v>25</v>
      </c>
      <c r="G795" s="4" t="s">
        <v>25</v>
      </c>
      <c r="H795" s="4" t="s">
        <v>25</v>
      </c>
      <c r="I795" s="5">
        <v>44501</v>
      </c>
      <c r="J795" s="6">
        <v>0</v>
      </c>
      <c r="K795" s="6">
        <v>0</v>
      </c>
      <c r="L795" s="6">
        <v>0.46300000000000002</v>
      </c>
      <c r="M795" s="6">
        <v>0.46300000000000002</v>
      </c>
      <c r="N795" s="6">
        <v>0.46300000000000002</v>
      </c>
      <c r="O795" s="6">
        <v>0.46300000000000002</v>
      </c>
      <c r="P795" s="6">
        <v>4</v>
      </c>
      <c r="Q795" s="4" t="s">
        <v>26</v>
      </c>
      <c r="R795" s="4">
        <v>0</v>
      </c>
      <c r="S795" s="4" t="s">
        <v>335</v>
      </c>
      <c r="T795" s="4" t="s">
        <v>568</v>
      </c>
      <c r="U795" s="4">
        <v>0</v>
      </c>
      <c r="V795" s="4">
        <v>34</v>
      </c>
      <c r="W795" s="4">
        <v>74</v>
      </c>
    </row>
    <row r="796" spans="1:23" ht="11.25" customHeight="1" x14ac:dyDescent="0.25">
      <c r="A796" s="4" t="s">
        <v>28</v>
      </c>
      <c r="B796" s="4" t="s">
        <v>22</v>
      </c>
      <c r="C796" s="4" t="s">
        <v>23</v>
      </c>
      <c r="D796" s="4" t="s">
        <v>24</v>
      </c>
      <c r="E796" s="4" t="s">
        <v>29</v>
      </c>
      <c r="F796" s="4" t="s">
        <v>25</v>
      </c>
      <c r="G796" s="4" t="s">
        <v>25</v>
      </c>
      <c r="H796" s="4" t="s">
        <v>25</v>
      </c>
      <c r="I796" s="5">
        <v>44501</v>
      </c>
      <c r="J796" s="6">
        <v>0</v>
      </c>
      <c r="K796" s="6">
        <v>0</v>
      </c>
      <c r="L796" s="6">
        <v>1.2</v>
      </c>
      <c r="M796" s="6">
        <v>1.2</v>
      </c>
      <c r="N796" s="6">
        <v>1.2</v>
      </c>
      <c r="O796" s="6">
        <v>1.2</v>
      </c>
      <c r="P796" s="6">
        <v>3</v>
      </c>
      <c r="Q796" s="4" t="s">
        <v>26</v>
      </c>
      <c r="R796" s="4">
        <v>0</v>
      </c>
      <c r="S796" s="4" t="s">
        <v>335</v>
      </c>
      <c r="T796" s="4" t="s">
        <v>568</v>
      </c>
      <c r="U796" s="4">
        <v>0</v>
      </c>
      <c r="V796" s="4">
        <v>34</v>
      </c>
      <c r="W796" s="4">
        <v>74</v>
      </c>
    </row>
    <row r="797" spans="1:23" ht="11.25" customHeight="1" x14ac:dyDescent="0.25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29</v>
      </c>
      <c r="F797" s="4" t="s">
        <v>25</v>
      </c>
      <c r="G797" s="4" t="s">
        <v>25</v>
      </c>
      <c r="H797" s="4" t="s">
        <v>25</v>
      </c>
      <c r="I797" s="5">
        <v>44531</v>
      </c>
      <c r="J797" s="6">
        <v>0</v>
      </c>
      <c r="K797" s="6">
        <v>0</v>
      </c>
      <c r="L797" s="6">
        <v>1723.4369999999999</v>
      </c>
      <c r="M797" s="6">
        <v>1723.4369999999999</v>
      </c>
      <c r="N797" s="6">
        <v>1723.4369999999999</v>
      </c>
      <c r="O797" s="6">
        <v>1723.4369999999999</v>
      </c>
      <c r="P797" s="6">
        <v>5075</v>
      </c>
      <c r="Q797" s="4" t="s">
        <v>26</v>
      </c>
      <c r="R797" s="4">
        <v>0</v>
      </c>
      <c r="S797" s="4" t="s">
        <v>336</v>
      </c>
      <c r="T797" s="4" t="s">
        <v>569</v>
      </c>
      <c r="U797" s="4">
        <v>0</v>
      </c>
      <c r="V797" s="4">
        <v>34</v>
      </c>
      <c r="W797" s="4">
        <v>74</v>
      </c>
    </row>
    <row r="798" spans="1:23" ht="11.25" customHeight="1" x14ac:dyDescent="0.25">
      <c r="A798" s="4" t="s">
        <v>27</v>
      </c>
      <c r="B798" s="4" t="s">
        <v>22</v>
      </c>
      <c r="C798" s="4" t="s">
        <v>23</v>
      </c>
      <c r="D798" s="4" t="s">
        <v>24</v>
      </c>
      <c r="E798" s="4" t="s">
        <v>29</v>
      </c>
      <c r="F798" s="4" t="s">
        <v>25</v>
      </c>
      <c r="G798" s="4" t="s">
        <v>25</v>
      </c>
      <c r="H798" s="4" t="s">
        <v>25</v>
      </c>
      <c r="I798" s="5">
        <v>44531</v>
      </c>
      <c r="J798" s="6">
        <v>0</v>
      </c>
      <c r="K798" s="6">
        <v>0</v>
      </c>
      <c r="L798" s="6">
        <v>0.56299999999999994</v>
      </c>
      <c r="M798" s="6">
        <v>0.56299999999999994</v>
      </c>
      <c r="N798" s="6">
        <v>0.56299999999999994</v>
      </c>
      <c r="O798" s="6">
        <v>0.56299999999999994</v>
      </c>
      <c r="P798" s="6">
        <v>6</v>
      </c>
      <c r="Q798" s="4" t="s">
        <v>26</v>
      </c>
      <c r="R798" s="4">
        <v>0</v>
      </c>
      <c r="S798" s="4" t="s">
        <v>336</v>
      </c>
      <c r="T798" s="4" t="s">
        <v>569</v>
      </c>
      <c r="U798" s="4">
        <v>0</v>
      </c>
      <c r="V798" s="4">
        <v>34</v>
      </c>
      <c r="W798" s="4">
        <v>74</v>
      </c>
    </row>
    <row r="799" spans="1:23" ht="11.25" customHeight="1" x14ac:dyDescent="0.25">
      <c r="A799" s="4" t="s">
        <v>28</v>
      </c>
      <c r="B799" s="4" t="s">
        <v>22</v>
      </c>
      <c r="C799" s="4" t="s">
        <v>23</v>
      </c>
      <c r="D799" s="4" t="s">
        <v>24</v>
      </c>
      <c r="E799" s="4" t="s">
        <v>29</v>
      </c>
      <c r="F799" s="4" t="s">
        <v>25</v>
      </c>
      <c r="G799" s="4" t="s">
        <v>25</v>
      </c>
      <c r="H799" s="4" t="s">
        <v>25</v>
      </c>
      <c r="I799" s="5">
        <v>44531</v>
      </c>
      <c r="J799" s="6">
        <v>0</v>
      </c>
      <c r="K799" s="6">
        <v>0</v>
      </c>
      <c r="L799" s="6">
        <v>1.38</v>
      </c>
      <c r="M799" s="6">
        <v>1.38</v>
      </c>
      <c r="N799" s="6">
        <v>1.38</v>
      </c>
      <c r="O799" s="6">
        <v>1.38</v>
      </c>
      <c r="P799" s="6">
        <v>7</v>
      </c>
      <c r="Q799" s="4" t="s">
        <v>26</v>
      </c>
      <c r="R799" s="4">
        <v>0</v>
      </c>
      <c r="S799" s="4" t="s">
        <v>336</v>
      </c>
      <c r="T799" s="4" t="s">
        <v>569</v>
      </c>
      <c r="U799" s="4">
        <v>0</v>
      </c>
      <c r="V799" s="4">
        <v>34</v>
      </c>
      <c r="W799" s="4">
        <v>74</v>
      </c>
    </row>
    <row r="800" spans="1:23" ht="11.25" customHeight="1" x14ac:dyDescent="0.25">
      <c r="A800" s="4" t="s">
        <v>55</v>
      </c>
      <c r="B800" s="4" t="s">
        <v>22</v>
      </c>
      <c r="C800" s="4" t="s">
        <v>23</v>
      </c>
      <c r="D800" s="4" t="s">
        <v>24</v>
      </c>
      <c r="E800" s="4" t="s">
        <v>29</v>
      </c>
      <c r="F800" s="4" t="s">
        <v>25</v>
      </c>
      <c r="G800" s="4" t="s">
        <v>25</v>
      </c>
      <c r="H800" s="4" t="s">
        <v>25</v>
      </c>
      <c r="I800" s="5">
        <v>44562</v>
      </c>
      <c r="J800" s="6">
        <v>0</v>
      </c>
      <c r="K800" s="6">
        <v>0</v>
      </c>
      <c r="L800" s="6">
        <v>1723.4369999999999</v>
      </c>
      <c r="M800" s="6">
        <v>1723.4369999999999</v>
      </c>
      <c r="N800" s="6">
        <v>1723.4369999999999</v>
      </c>
      <c r="O800" s="6">
        <v>1723.4369999999999</v>
      </c>
      <c r="P800" s="6">
        <v>5075</v>
      </c>
      <c r="Q800" s="4" t="s">
        <v>26</v>
      </c>
      <c r="R800" s="4">
        <v>0</v>
      </c>
      <c r="S800" s="4" t="s">
        <v>337</v>
      </c>
      <c r="T800" s="4" t="s">
        <v>570</v>
      </c>
      <c r="U800" s="4">
        <v>0</v>
      </c>
      <c r="V800" s="4">
        <v>34</v>
      </c>
      <c r="W800" s="4">
        <v>74</v>
      </c>
    </row>
    <row r="801" spans="1:23" ht="11.25" customHeight="1" x14ac:dyDescent="0.25">
      <c r="A801" s="4" t="s">
        <v>55</v>
      </c>
      <c r="B801" s="4" t="s">
        <v>22</v>
      </c>
      <c r="C801" s="4" t="s">
        <v>23</v>
      </c>
      <c r="D801" s="4" t="s">
        <v>24</v>
      </c>
      <c r="E801" s="4" t="s">
        <v>29</v>
      </c>
      <c r="F801" s="4" t="s">
        <v>25</v>
      </c>
      <c r="G801" s="4" t="s">
        <v>25</v>
      </c>
      <c r="H801" s="4" t="s">
        <v>25</v>
      </c>
      <c r="I801" s="5">
        <v>44562</v>
      </c>
      <c r="J801" s="6">
        <v>0</v>
      </c>
      <c r="K801" s="6">
        <v>0</v>
      </c>
      <c r="L801" s="6">
        <v>0.56299999999999994</v>
      </c>
      <c r="M801" s="6">
        <v>0.56299999999999994</v>
      </c>
      <c r="N801" s="6">
        <v>0.56299999999999994</v>
      </c>
      <c r="O801" s="6">
        <v>0.56299999999999994</v>
      </c>
      <c r="P801" s="6">
        <v>6</v>
      </c>
      <c r="Q801" s="4" t="s">
        <v>26</v>
      </c>
      <c r="R801" s="4">
        <v>0</v>
      </c>
      <c r="S801" s="4" t="s">
        <v>337</v>
      </c>
      <c r="T801" s="4" t="s">
        <v>570</v>
      </c>
      <c r="U801" s="4">
        <v>0</v>
      </c>
      <c r="V801" s="4">
        <v>34</v>
      </c>
      <c r="W801" s="4">
        <v>74</v>
      </c>
    </row>
    <row r="802" spans="1:23" ht="11.25" customHeight="1" x14ac:dyDescent="0.25">
      <c r="A802" s="4" t="s">
        <v>55</v>
      </c>
      <c r="B802" s="4" t="s">
        <v>22</v>
      </c>
      <c r="C802" s="4" t="s">
        <v>23</v>
      </c>
      <c r="D802" s="4" t="s">
        <v>24</v>
      </c>
      <c r="E802" s="4" t="s">
        <v>29</v>
      </c>
      <c r="F802" s="4" t="s">
        <v>25</v>
      </c>
      <c r="G802" s="4" t="s">
        <v>25</v>
      </c>
      <c r="H802" s="4" t="s">
        <v>25</v>
      </c>
      <c r="I802" s="5">
        <v>44562</v>
      </c>
      <c r="J802" s="6">
        <v>0</v>
      </c>
      <c r="K802" s="6">
        <v>0</v>
      </c>
      <c r="L802" s="6">
        <v>1.38</v>
      </c>
      <c r="M802" s="6">
        <v>1.38</v>
      </c>
      <c r="N802" s="6">
        <v>1.38</v>
      </c>
      <c r="O802" s="6">
        <v>1.38</v>
      </c>
      <c r="P802" s="6">
        <v>7</v>
      </c>
      <c r="Q802" s="4" t="s">
        <v>26</v>
      </c>
      <c r="R802" s="4">
        <v>0</v>
      </c>
      <c r="S802" s="4" t="s">
        <v>337</v>
      </c>
      <c r="T802" s="4" t="s">
        <v>570</v>
      </c>
      <c r="U802" s="4">
        <v>0</v>
      </c>
      <c r="V802" s="4">
        <v>34</v>
      </c>
      <c r="W802" s="4">
        <v>74</v>
      </c>
    </row>
    <row r="803" spans="1:23" ht="11.25" customHeight="1" x14ac:dyDescent="0.25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30</v>
      </c>
      <c r="F803" s="4" t="s">
        <v>25</v>
      </c>
      <c r="G803" s="4" t="s">
        <v>25</v>
      </c>
      <c r="H803" s="4" t="s">
        <v>25</v>
      </c>
      <c r="I803" s="5">
        <v>44228</v>
      </c>
      <c r="J803" s="6">
        <v>0</v>
      </c>
      <c r="K803" s="6">
        <v>0</v>
      </c>
      <c r="L803" s="6">
        <v>2680.0149999999999</v>
      </c>
      <c r="M803" s="6">
        <v>2680.0149999999999</v>
      </c>
      <c r="N803" s="6">
        <v>2680.0149999999999</v>
      </c>
      <c r="O803" s="6">
        <v>2680.0149999999999</v>
      </c>
      <c r="P803" s="6">
        <v>28218</v>
      </c>
      <c r="Q803" s="4" t="s">
        <v>26</v>
      </c>
      <c r="R803" s="4">
        <v>0</v>
      </c>
      <c r="S803" s="4" t="s">
        <v>338</v>
      </c>
      <c r="T803" s="4" t="s">
        <v>571</v>
      </c>
      <c r="U803" s="4">
        <v>0</v>
      </c>
      <c r="V803" s="4">
        <v>35</v>
      </c>
      <c r="W803" s="4">
        <v>75</v>
      </c>
    </row>
    <row r="804" spans="1:23" ht="11.25" customHeight="1" x14ac:dyDescent="0.25">
      <c r="A804" s="4" t="s">
        <v>27</v>
      </c>
      <c r="B804" s="4" t="s">
        <v>22</v>
      </c>
      <c r="C804" s="4" t="s">
        <v>23</v>
      </c>
      <c r="D804" s="4" t="s">
        <v>24</v>
      </c>
      <c r="E804" s="4" t="s">
        <v>30</v>
      </c>
      <c r="F804" s="4" t="s">
        <v>25</v>
      </c>
      <c r="G804" s="4" t="s">
        <v>25</v>
      </c>
      <c r="H804" s="4" t="s">
        <v>25</v>
      </c>
      <c r="I804" s="5">
        <v>44228</v>
      </c>
      <c r="J804" s="6">
        <v>0</v>
      </c>
      <c r="K804" s="6">
        <v>0</v>
      </c>
      <c r="L804" s="6">
        <v>-0.19600000000000001</v>
      </c>
      <c r="M804" s="6">
        <v>-0.19600000000000001</v>
      </c>
      <c r="N804" s="6">
        <v>-0.19600000000000001</v>
      </c>
      <c r="O804" s="6">
        <v>-0.19600000000000001</v>
      </c>
      <c r="P804" s="6">
        <v>-2</v>
      </c>
      <c r="Q804" s="4" t="s">
        <v>26</v>
      </c>
      <c r="R804" s="4">
        <v>0</v>
      </c>
      <c r="S804" s="4" t="s">
        <v>338</v>
      </c>
      <c r="T804" s="4" t="s">
        <v>571</v>
      </c>
      <c r="U804" s="4">
        <v>0</v>
      </c>
      <c r="V804" s="4">
        <v>35</v>
      </c>
      <c r="W804" s="4">
        <v>75</v>
      </c>
    </row>
    <row r="805" spans="1:23" ht="11.25" customHeight="1" x14ac:dyDescent="0.25">
      <c r="A805" s="4" t="s">
        <v>28</v>
      </c>
      <c r="B805" s="4" t="s">
        <v>22</v>
      </c>
      <c r="C805" s="4" t="s">
        <v>23</v>
      </c>
      <c r="D805" s="4" t="s">
        <v>24</v>
      </c>
      <c r="E805" s="4" t="s">
        <v>30</v>
      </c>
      <c r="F805" s="4" t="s">
        <v>25</v>
      </c>
      <c r="G805" s="4" t="s">
        <v>25</v>
      </c>
      <c r="H805" s="4" t="s">
        <v>25</v>
      </c>
      <c r="I805" s="5">
        <v>44228</v>
      </c>
      <c r="J805" s="6">
        <v>0</v>
      </c>
      <c r="K805" s="6">
        <v>0</v>
      </c>
      <c r="L805" s="6">
        <v>0.55200000000000005</v>
      </c>
      <c r="M805" s="6">
        <v>0.55200000000000005</v>
      </c>
      <c r="N805" s="6">
        <v>0.55200000000000005</v>
      </c>
      <c r="O805" s="6">
        <v>0.55200000000000005</v>
      </c>
      <c r="P805" s="6">
        <v>2</v>
      </c>
      <c r="Q805" s="4" t="s">
        <v>26</v>
      </c>
      <c r="R805" s="4">
        <v>0</v>
      </c>
      <c r="S805" s="4" t="s">
        <v>338</v>
      </c>
      <c r="T805" s="4" t="s">
        <v>571</v>
      </c>
      <c r="U805" s="4">
        <v>0</v>
      </c>
      <c r="V805" s="4">
        <v>35</v>
      </c>
      <c r="W805" s="4">
        <v>75</v>
      </c>
    </row>
    <row r="806" spans="1:23" ht="11.25" customHeight="1" x14ac:dyDescent="0.25">
      <c r="A806" s="4" t="s">
        <v>21</v>
      </c>
      <c r="B806" s="4" t="s">
        <v>22</v>
      </c>
      <c r="C806" s="4" t="s">
        <v>23</v>
      </c>
      <c r="D806" s="4" t="s">
        <v>24</v>
      </c>
      <c r="E806" s="4" t="s">
        <v>30</v>
      </c>
      <c r="F806" s="4" t="s">
        <v>25</v>
      </c>
      <c r="G806" s="4" t="s">
        <v>25</v>
      </c>
      <c r="H806" s="4" t="s">
        <v>25</v>
      </c>
      <c r="I806" s="5">
        <v>44256</v>
      </c>
      <c r="J806" s="6">
        <v>0</v>
      </c>
      <c r="K806" s="6">
        <v>0</v>
      </c>
      <c r="L806" s="6">
        <v>2801.6529999999998</v>
      </c>
      <c r="M806" s="6">
        <v>2801.6529999999998</v>
      </c>
      <c r="N806" s="6">
        <v>2801.6529999999998</v>
      </c>
      <c r="O806" s="6">
        <v>2801.6529999999998</v>
      </c>
      <c r="P806" s="6">
        <v>26252</v>
      </c>
      <c r="Q806" s="4" t="s">
        <v>26</v>
      </c>
      <c r="R806" s="4">
        <v>0</v>
      </c>
      <c r="S806" s="4" t="s">
        <v>339</v>
      </c>
      <c r="T806" s="4" t="s">
        <v>572</v>
      </c>
      <c r="U806" s="4">
        <v>0</v>
      </c>
      <c r="V806" s="4">
        <v>35</v>
      </c>
      <c r="W806" s="4">
        <v>75</v>
      </c>
    </row>
    <row r="807" spans="1:23" ht="11.25" customHeight="1" x14ac:dyDescent="0.25">
      <c r="A807" s="4" t="s">
        <v>27</v>
      </c>
      <c r="B807" s="4" t="s">
        <v>22</v>
      </c>
      <c r="C807" s="4" t="s">
        <v>23</v>
      </c>
      <c r="D807" s="4" t="s">
        <v>24</v>
      </c>
      <c r="E807" s="4" t="s">
        <v>30</v>
      </c>
      <c r="F807" s="4" t="s">
        <v>25</v>
      </c>
      <c r="G807" s="4" t="s">
        <v>25</v>
      </c>
      <c r="H807" s="4" t="s">
        <v>25</v>
      </c>
      <c r="I807" s="5">
        <v>44256</v>
      </c>
      <c r="J807" s="6">
        <v>0</v>
      </c>
      <c r="K807" s="6">
        <v>0</v>
      </c>
      <c r="L807" s="6">
        <v>-0.52700000000000002</v>
      </c>
      <c r="M807" s="6">
        <v>-0.52700000000000002</v>
      </c>
      <c r="N807" s="6">
        <v>-0.52700000000000002</v>
      </c>
      <c r="O807" s="6">
        <v>-0.52700000000000002</v>
      </c>
      <c r="P807" s="6">
        <v>-4</v>
      </c>
      <c r="Q807" s="4" t="s">
        <v>26</v>
      </c>
      <c r="R807" s="4">
        <v>0</v>
      </c>
      <c r="S807" s="4" t="s">
        <v>339</v>
      </c>
      <c r="T807" s="4" t="s">
        <v>572</v>
      </c>
      <c r="U807" s="4">
        <v>0</v>
      </c>
      <c r="V807" s="4">
        <v>35</v>
      </c>
      <c r="W807" s="4">
        <v>75</v>
      </c>
    </row>
    <row r="808" spans="1:23" ht="11.25" customHeight="1" x14ac:dyDescent="0.25">
      <c r="A808" s="4" t="s">
        <v>28</v>
      </c>
      <c r="B808" s="4" t="s">
        <v>22</v>
      </c>
      <c r="C808" s="4" t="s">
        <v>23</v>
      </c>
      <c r="D808" s="4" t="s">
        <v>24</v>
      </c>
      <c r="E808" s="4" t="s">
        <v>30</v>
      </c>
      <c r="F808" s="4" t="s">
        <v>25</v>
      </c>
      <c r="G808" s="4" t="s">
        <v>25</v>
      </c>
      <c r="H808" s="4" t="s">
        <v>25</v>
      </c>
      <c r="I808" s="5">
        <v>44256</v>
      </c>
      <c r="J808" s="6">
        <v>0</v>
      </c>
      <c r="K808" s="6">
        <v>0</v>
      </c>
      <c r="L808" s="6">
        <v>0.35399999999999998</v>
      </c>
      <c r="M808" s="6">
        <v>0.35399999999999998</v>
      </c>
      <c r="N808" s="6">
        <v>0.35399999999999998</v>
      </c>
      <c r="O808" s="6">
        <v>0.35399999999999998</v>
      </c>
      <c r="P808" s="6">
        <v>1</v>
      </c>
      <c r="Q808" s="4" t="s">
        <v>26</v>
      </c>
      <c r="R808" s="4">
        <v>0</v>
      </c>
      <c r="S808" s="4" t="s">
        <v>339</v>
      </c>
      <c r="T808" s="4" t="s">
        <v>572</v>
      </c>
      <c r="U808" s="4">
        <v>0</v>
      </c>
      <c r="V808" s="4">
        <v>35</v>
      </c>
      <c r="W808" s="4">
        <v>75</v>
      </c>
    </row>
    <row r="809" spans="1:23" ht="11.25" customHeight="1" x14ac:dyDescent="0.25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30</v>
      </c>
      <c r="F809" s="4" t="s">
        <v>25</v>
      </c>
      <c r="G809" s="4" t="s">
        <v>25</v>
      </c>
      <c r="H809" s="4" t="s">
        <v>25</v>
      </c>
      <c r="I809" s="5">
        <v>44287</v>
      </c>
      <c r="J809" s="6">
        <v>0</v>
      </c>
      <c r="K809" s="6">
        <v>0</v>
      </c>
      <c r="L809" s="6">
        <v>2819.8029999999999</v>
      </c>
      <c r="M809" s="6">
        <v>2819.8029999999999</v>
      </c>
      <c r="N809" s="6">
        <v>2819.8029999999999</v>
      </c>
      <c r="O809" s="6">
        <v>2819.8029999999999</v>
      </c>
      <c r="P809" s="6">
        <v>25869</v>
      </c>
      <c r="Q809" s="4" t="s">
        <v>26</v>
      </c>
      <c r="R809" s="4">
        <v>0</v>
      </c>
      <c r="S809" s="4" t="s">
        <v>340</v>
      </c>
      <c r="T809" s="4" t="s">
        <v>573</v>
      </c>
      <c r="U809" s="4">
        <v>0</v>
      </c>
      <c r="V809" s="4">
        <v>35</v>
      </c>
      <c r="W809" s="4">
        <v>75</v>
      </c>
    </row>
    <row r="810" spans="1:23" ht="11.25" customHeight="1" x14ac:dyDescent="0.25">
      <c r="A810" s="4" t="s">
        <v>27</v>
      </c>
      <c r="B810" s="4" t="s">
        <v>22</v>
      </c>
      <c r="C810" s="4" t="s">
        <v>23</v>
      </c>
      <c r="D810" s="4" t="s">
        <v>24</v>
      </c>
      <c r="E810" s="4" t="s">
        <v>30</v>
      </c>
      <c r="F810" s="4" t="s">
        <v>25</v>
      </c>
      <c r="G810" s="4" t="s">
        <v>25</v>
      </c>
      <c r="H810" s="4" t="s">
        <v>25</v>
      </c>
      <c r="I810" s="5">
        <v>44287</v>
      </c>
      <c r="J810" s="6">
        <v>0</v>
      </c>
      <c r="K810" s="6">
        <v>0</v>
      </c>
      <c r="L810" s="6">
        <v>-7.0000000000000007E-2</v>
      </c>
      <c r="M810" s="6">
        <v>-7.0000000000000007E-2</v>
      </c>
      <c r="N810" s="6">
        <v>-7.0000000000000007E-2</v>
      </c>
      <c r="O810" s="6">
        <v>-7.0000000000000007E-2</v>
      </c>
      <c r="P810" s="6">
        <v>0</v>
      </c>
      <c r="Q810" s="4" t="s">
        <v>26</v>
      </c>
      <c r="R810" s="4">
        <v>0</v>
      </c>
      <c r="S810" s="4" t="s">
        <v>340</v>
      </c>
      <c r="T810" s="4" t="s">
        <v>573</v>
      </c>
      <c r="U810" s="4">
        <v>0</v>
      </c>
      <c r="V810" s="4">
        <v>35</v>
      </c>
      <c r="W810" s="4">
        <v>75</v>
      </c>
    </row>
    <row r="811" spans="1:23" ht="11.25" customHeight="1" x14ac:dyDescent="0.25">
      <c r="A811" s="4" t="s">
        <v>28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44287</v>
      </c>
      <c r="J811" s="6">
        <v>0</v>
      </c>
      <c r="K811" s="6">
        <v>0</v>
      </c>
      <c r="L811" s="6">
        <v>0.35</v>
      </c>
      <c r="M811" s="6">
        <v>0.35</v>
      </c>
      <c r="N811" s="6">
        <v>0.35</v>
      </c>
      <c r="O811" s="6">
        <v>0.35</v>
      </c>
      <c r="P811" s="6">
        <v>1</v>
      </c>
      <c r="Q811" s="4" t="s">
        <v>26</v>
      </c>
      <c r="R811" s="4">
        <v>0</v>
      </c>
      <c r="S811" s="4" t="s">
        <v>340</v>
      </c>
      <c r="T811" s="4" t="s">
        <v>573</v>
      </c>
      <c r="U811" s="4">
        <v>0</v>
      </c>
      <c r="V811" s="4">
        <v>35</v>
      </c>
      <c r="W811" s="4">
        <v>75</v>
      </c>
    </row>
    <row r="812" spans="1:23" ht="11.25" customHeight="1" x14ac:dyDescent="0.25">
      <c r="A812" s="4" t="s">
        <v>21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44317</v>
      </c>
      <c r="J812" s="6">
        <v>0</v>
      </c>
      <c r="K812" s="6">
        <v>0</v>
      </c>
      <c r="L812" s="6">
        <v>2696.9549999999999</v>
      </c>
      <c r="M812" s="6">
        <v>2696.9549999999999</v>
      </c>
      <c r="N812" s="6">
        <v>2696.9549999999999</v>
      </c>
      <c r="O812" s="6">
        <v>2696.9549999999999</v>
      </c>
      <c r="P812" s="6">
        <v>28492</v>
      </c>
      <c r="Q812" s="4" t="s">
        <v>26</v>
      </c>
      <c r="R812" s="4">
        <v>0</v>
      </c>
      <c r="S812" s="4" t="s">
        <v>341</v>
      </c>
      <c r="T812" s="4" t="s">
        <v>574</v>
      </c>
      <c r="U812" s="4">
        <v>0</v>
      </c>
      <c r="V812" s="4">
        <v>35</v>
      </c>
      <c r="W812" s="4">
        <v>75</v>
      </c>
    </row>
    <row r="813" spans="1:23" ht="11.25" customHeight="1" x14ac:dyDescent="0.25">
      <c r="A813" s="4" t="s">
        <v>27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44317</v>
      </c>
      <c r="J813" s="6">
        <v>0</v>
      </c>
      <c r="K813" s="6">
        <v>0</v>
      </c>
      <c r="L813" s="6">
        <v>-0.21</v>
      </c>
      <c r="M813" s="6">
        <v>-0.21</v>
      </c>
      <c r="N813" s="6">
        <v>-0.21</v>
      </c>
      <c r="O813" s="6">
        <v>-0.21</v>
      </c>
      <c r="P813" s="6">
        <v>0</v>
      </c>
      <c r="Q813" s="4" t="s">
        <v>26</v>
      </c>
      <c r="R813" s="4">
        <v>0</v>
      </c>
      <c r="S813" s="4" t="s">
        <v>341</v>
      </c>
      <c r="T813" s="4" t="s">
        <v>574</v>
      </c>
      <c r="U813" s="4">
        <v>0</v>
      </c>
      <c r="V813" s="4">
        <v>35</v>
      </c>
      <c r="W813" s="4">
        <v>75</v>
      </c>
    </row>
    <row r="814" spans="1:23" ht="11.25" customHeight="1" x14ac:dyDescent="0.25">
      <c r="A814" s="4" t="s">
        <v>28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44317</v>
      </c>
      <c r="J814" s="6">
        <v>0</v>
      </c>
      <c r="K814" s="6">
        <v>0</v>
      </c>
      <c r="L814" s="6">
        <v>0.42399999999999999</v>
      </c>
      <c r="M814" s="6">
        <v>0.42399999999999999</v>
      </c>
      <c r="N814" s="6">
        <v>0.42399999999999999</v>
      </c>
      <c r="O814" s="6">
        <v>0.42399999999999999</v>
      </c>
      <c r="P814" s="6">
        <v>1</v>
      </c>
      <c r="Q814" s="4" t="s">
        <v>26</v>
      </c>
      <c r="R814" s="4">
        <v>0</v>
      </c>
      <c r="S814" s="4" t="s">
        <v>341</v>
      </c>
      <c r="T814" s="4" t="s">
        <v>574</v>
      </c>
      <c r="U814" s="4">
        <v>0</v>
      </c>
      <c r="V814" s="4">
        <v>35</v>
      </c>
      <c r="W814" s="4">
        <v>75</v>
      </c>
    </row>
    <row r="815" spans="1:23" ht="11.25" customHeight="1" x14ac:dyDescent="0.25">
      <c r="A815" s="4" t="s">
        <v>21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44348</v>
      </c>
      <c r="J815" s="6">
        <v>0</v>
      </c>
      <c r="K815" s="6">
        <v>0</v>
      </c>
      <c r="L815" s="6">
        <v>2604.1880000000001</v>
      </c>
      <c r="M815" s="6">
        <v>2604.1880000000001</v>
      </c>
      <c r="N815" s="6">
        <v>2604.1880000000001</v>
      </c>
      <c r="O815" s="6">
        <v>2604.1880000000001</v>
      </c>
      <c r="P815" s="6">
        <v>30535</v>
      </c>
      <c r="Q815" s="4" t="s">
        <v>26</v>
      </c>
      <c r="R815" s="4">
        <v>0</v>
      </c>
      <c r="S815" s="4" t="s">
        <v>342</v>
      </c>
      <c r="T815" s="4" t="s">
        <v>575</v>
      </c>
      <c r="U815" s="4">
        <v>0</v>
      </c>
      <c r="V815" s="4">
        <v>35</v>
      </c>
      <c r="W815" s="4">
        <v>75</v>
      </c>
    </row>
    <row r="816" spans="1:23" ht="11.25" customHeight="1" x14ac:dyDescent="0.25">
      <c r="A816" s="4" t="s">
        <v>27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44348</v>
      </c>
      <c r="J816" s="6">
        <v>0</v>
      </c>
      <c r="K816" s="6">
        <v>0</v>
      </c>
      <c r="L816" s="6">
        <v>-0.42</v>
      </c>
      <c r="M816" s="6">
        <v>-0.42</v>
      </c>
      <c r="N816" s="6">
        <v>-0.42</v>
      </c>
      <c r="O816" s="6">
        <v>-0.42</v>
      </c>
      <c r="P816" s="6">
        <v>0</v>
      </c>
      <c r="Q816" s="4" t="s">
        <v>26</v>
      </c>
      <c r="R816" s="4">
        <v>0</v>
      </c>
      <c r="S816" s="4" t="s">
        <v>342</v>
      </c>
      <c r="T816" s="4" t="s">
        <v>575</v>
      </c>
      <c r="U816" s="4">
        <v>0</v>
      </c>
      <c r="V816" s="4">
        <v>35</v>
      </c>
      <c r="W816" s="4">
        <v>75</v>
      </c>
    </row>
    <row r="817" spans="1:23" ht="11.25" customHeight="1" x14ac:dyDescent="0.25">
      <c r="A817" s="4" t="s">
        <v>28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44348</v>
      </c>
      <c r="J817" s="6">
        <v>0</v>
      </c>
      <c r="K817" s="6">
        <v>0</v>
      </c>
      <c r="L817" s="6">
        <v>0.56000000000000005</v>
      </c>
      <c r="M817" s="6">
        <v>0.56000000000000005</v>
      </c>
      <c r="N817" s="6">
        <v>0.56000000000000005</v>
      </c>
      <c r="O817" s="6">
        <v>0.56000000000000005</v>
      </c>
      <c r="P817" s="6">
        <v>2</v>
      </c>
      <c r="Q817" s="4" t="s">
        <v>26</v>
      </c>
      <c r="R817" s="4">
        <v>0</v>
      </c>
      <c r="S817" s="4" t="s">
        <v>342</v>
      </c>
      <c r="T817" s="4" t="s">
        <v>575</v>
      </c>
      <c r="U817" s="4">
        <v>0</v>
      </c>
      <c r="V817" s="4">
        <v>35</v>
      </c>
      <c r="W817" s="4">
        <v>75</v>
      </c>
    </row>
    <row r="818" spans="1:23" ht="11.25" customHeight="1" x14ac:dyDescent="0.25">
      <c r="A818" s="4" t="s">
        <v>21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44378</v>
      </c>
      <c r="J818" s="6">
        <v>0</v>
      </c>
      <c r="K818" s="6">
        <v>0</v>
      </c>
      <c r="L818" s="6">
        <v>2703.8040000000001</v>
      </c>
      <c r="M818" s="6">
        <v>2703.8040000000001</v>
      </c>
      <c r="N818" s="6">
        <v>2703.8040000000001</v>
      </c>
      <c r="O818" s="6">
        <v>2703.8040000000001</v>
      </c>
      <c r="P818" s="6">
        <v>29593</v>
      </c>
      <c r="Q818" s="4" t="s">
        <v>26</v>
      </c>
      <c r="R818" s="4">
        <v>0</v>
      </c>
      <c r="S818" s="4" t="s">
        <v>343</v>
      </c>
      <c r="T818" s="4" t="s">
        <v>576</v>
      </c>
      <c r="U818" s="4">
        <v>0</v>
      </c>
      <c r="V818" s="4">
        <v>35</v>
      </c>
      <c r="W818" s="4">
        <v>75</v>
      </c>
    </row>
    <row r="819" spans="1:23" ht="11.25" customHeight="1" x14ac:dyDescent="0.25">
      <c r="A819" s="4" t="s">
        <v>27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44378</v>
      </c>
      <c r="J819" s="6">
        <v>0</v>
      </c>
      <c r="K819" s="6">
        <v>0</v>
      </c>
      <c r="L819" s="6">
        <v>-1.1200000000000001</v>
      </c>
      <c r="M819" s="6">
        <v>-1.1200000000000001</v>
      </c>
      <c r="N819" s="6">
        <v>-1.1200000000000001</v>
      </c>
      <c r="O819" s="6">
        <v>-1.1200000000000001</v>
      </c>
      <c r="P819" s="6">
        <v>0</v>
      </c>
      <c r="Q819" s="4" t="s">
        <v>26</v>
      </c>
      <c r="R819" s="4">
        <v>0</v>
      </c>
      <c r="S819" s="4" t="s">
        <v>343</v>
      </c>
      <c r="T819" s="4" t="s">
        <v>576</v>
      </c>
      <c r="U819" s="4">
        <v>0</v>
      </c>
      <c r="V819" s="4">
        <v>35</v>
      </c>
      <c r="W819" s="4">
        <v>75</v>
      </c>
    </row>
    <row r="820" spans="1:23" ht="11.25" customHeight="1" x14ac:dyDescent="0.25">
      <c r="A820" s="4" t="s">
        <v>28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44378</v>
      </c>
      <c r="J820" s="6">
        <v>0</v>
      </c>
      <c r="K820" s="6">
        <v>0</v>
      </c>
      <c r="L820" s="6">
        <v>1.0329999999999999</v>
      </c>
      <c r="M820" s="6">
        <v>1.0329999999999999</v>
      </c>
      <c r="N820" s="6">
        <v>1.0329999999999999</v>
      </c>
      <c r="O820" s="6">
        <v>1.0329999999999999</v>
      </c>
      <c r="P820" s="6">
        <v>4</v>
      </c>
      <c r="Q820" s="4" t="s">
        <v>26</v>
      </c>
      <c r="R820" s="4">
        <v>0</v>
      </c>
      <c r="S820" s="4" t="s">
        <v>343</v>
      </c>
      <c r="T820" s="4" t="s">
        <v>576</v>
      </c>
      <c r="U820" s="4">
        <v>0</v>
      </c>
      <c r="V820" s="4">
        <v>35</v>
      </c>
      <c r="W820" s="4">
        <v>75</v>
      </c>
    </row>
    <row r="821" spans="1:23" ht="11.25" customHeight="1" x14ac:dyDescent="0.25">
      <c r="A821" s="4" t="s">
        <v>21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44409</v>
      </c>
      <c r="J821" s="6">
        <v>0</v>
      </c>
      <c r="K821" s="6">
        <v>0</v>
      </c>
      <c r="L821" s="6">
        <v>2601.038</v>
      </c>
      <c r="M821" s="6">
        <v>2601.038</v>
      </c>
      <c r="N821" s="6">
        <v>2601.038</v>
      </c>
      <c r="O821" s="6">
        <v>2601.038</v>
      </c>
      <c r="P821" s="6">
        <v>31913</v>
      </c>
      <c r="Q821" s="4" t="s">
        <v>26</v>
      </c>
      <c r="R821" s="4">
        <v>0</v>
      </c>
      <c r="S821" s="4" t="s">
        <v>344</v>
      </c>
      <c r="T821" s="4" t="s">
        <v>577</v>
      </c>
      <c r="U821" s="4">
        <v>0</v>
      </c>
      <c r="V821" s="4">
        <v>35</v>
      </c>
      <c r="W821" s="4">
        <v>75</v>
      </c>
    </row>
    <row r="822" spans="1:23" ht="11.25" customHeight="1" x14ac:dyDescent="0.25">
      <c r="A822" s="4" t="s">
        <v>27</v>
      </c>
      <c r="B822" s="4" t="s">
        <v>22</v>
      </c>
      <c r="C822" s="4" t="s">
        <v>23</v>
      </c>
      <c r="D822" s="4" t="s">
        <v>24</v>
      </c>
      <c r="E822" s="4" t="s">
        <v>30</v>
      </c>
      <c r="F822" s="4" t="s">
        <v>25</v>
      </c>
      <c r="G822" s="4" t="s">
        <v>25</v>
      </c>
      <c r="H822" s="4" t="s">
        <v>25</v>
      </c>
      <c r="I822" s="5">
        <v>44409</v>
      </c>
      <c r="J822" s="6">
        <v>0</v>
      </c>
      <c r="K822" s="6">
        <v>0</v>
      </c>
      <c r="L822" s="6">
        <v>-0.55600000000000005</v>
      </c>
      <c r="M822" s="6">
        <v>-0.55600000000000005</v>
      </c>
      <c r="N822" s="6">
        <v>-0.55600000000000005</v>
      </c>
      <c r="O822" s="6">
        <v>-0.55600000000000005</v>
      </c>
      <c r="P822" s="6">
        <v>-2</v>
      </c>
      <c r="Q822" s="4" t="s">
        <v>26</v>
      </c>
      <c r="R822" s="4">
        <v>0</v>
      </c>
      <c r="S822" s="4" t="s">
        <v>344</v>
      </c>
      <c r="T822" s="4" t="s">
        <v>577</v>
      </c>
      <c r="U822" s="4">
        <v>0</v>
      </c>
      <c r="V822" s="4">
        <v>35</v>
      </c>
      <c r="W822" s="4">
        <v>75</v>
      </c>
    </row>
    <row r="823" spans="1:23" ht="11.25" customHeight="1" x14ac:dyDescent="0.25">
      <c r="A823" s="4" t="s">
        <v>28</v>
      </c>
      <c r="B823" s="4" t="s">
        <v>22</v>
      </c>
      <c r="C823" s="4" t="s">
        <v>23</v>
      </c>
      <c r="D823" s="4" t="s">
        <v>24</v>
      </c>
      <c r="E823" s="4" t="s">
        <v>30</v>
      </c>
      <c r="F823" s="4" t="s">
        <v>25</v>
      </c>
      <c r="G823" s="4" t="s">
        <v>25</v>
      </c>
      <c r="H823" s="4" t="s">
        <v>25</v>
      </c>
      <c r="I823" s="5">
        <v>44409</v>
      </c>
      <c r="J823" s="6">
        <v>0</v>
      </c>
      <c r="K823" s="6">
        <v>0</v>
      </c>
      <c r="L823" s="6">
        <v>0.94599999999999995</v>
      </c>
      <c r="M823" s="6">
        <v>0.94599999999999995</v>
      </c>
      <c r="N823" s="6">
        <v>0.94599999999999995</v>
      </c>
      <c r="O823" s="6">
        <v>0.94599999999999995</v>
      </c>
      <c r="P823" s="6">
        <v>7</v>
      </c>
      <c r="Q823" s="4" t="s">
        <v>26</v>
      </c>
      <c r="R823" s="4">
        <v>0</v>
      </c>
      <c r="S823" s="4" t="s">
        <v>344</v>
      </c>
      <c r="T823" s="4" t="s">
        <v>577</v>
      </c>
      <c r="U823" s="4">
        <v>0</v>
      </c>
      <c r="V823" s="4">
        <v>35</v>
      </c>
      <c r="W823" s="4">
        <v>75</v>
      </c>
    </row>
    <row r="824" spans="1:23" ht="11.25" customHeight="1" x14ac:dyDescent="0.25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30</v>
      </c>
      <c r="F824" s="4" t="s">
        <v>25</v>
      </c>
      <c r="G824" s="4" t="s">
        <v>25</v>
      </c>
      <c r="H824" s="4" t="s">
        <v>25</v>
      </c>
      <c r="I824" s="5">
        <v>44440</v>
      </c>
      <c r="J824" s="6">
        <v>0</v>
      </c>
      <c r="K824" s="6">
        <v>0</v>
      </c>
      <c r="L824" s="6">
        <v>2602.3040000000001</v>
      </c>
      <c r="M824" s="6">
        <v>2602.3040000000001</v>
      </c>
      <c r="N824" s="6">
        <v>2602.3040000000001</v>
      </c>
      <c r="O824" s="6">
        <v>2602.3040000000001</v>
      </c>
      <c r="P824" s="6">
        <v>31308</v>
      </c>
      <c r="Q824" s="4" t="s">
        <v>26</v>
      </c>
      <c r="R824" s="4">
        <v>0</v>
      </c>
      <c r="S824" s="4" t="s">
        <v>345</v>
      </c>
      <c r="T824" s="4" t="s">
        <v>578</v>
      </c>
      <c r="U824" s="4">
        <v>0</v>
      </c>
      <c r="V824" s="4">
        <v>35</v>
      </c>
      <c r="W824" s="4">
        <v>75</v>
      </c>
    </row>
    <row r="825" spans="1:23" ht="11.25" customHeight="1" x14ac:dyDescent="0.25">
      <c r="A825" s="4" t="s">
        <v>27</v>
      </c>
      <c r="B825" s="4" t="s">
        <v>22</v>
      </c>
      <c r="C825" s="4" t="s">
        <v>23</v>
      </c>
      <c r="D825" s="4" t="s">
        <v>24</v>
      </c>
      <c r="E825" s="4" t="s">
        <v>30</v>
      </c>
      <c r="F825" s="4" t="s">
        <v>25</v>
      </c>
      <c r="G825" s="4" t="s">
        <v>25</v>
      </c>
      <c r="H825" s="4" t="s">
        <v>25</v>
      </c>
      <c r="I825" s="5">
        <v>44440</v>
      </c>
      <c r="J825" s="6">
        <v>0</v>
      </c>
      <c r="K825" s="6">
        <v>0</v>
      </c>
      <c r="L825" s="6">
        <v>-9.5000000000000001E-2</v>
      </c>
      <c r="M825" s="6">
        <v>-9.5000000000000001E-2</v>
      </c>
      <c r="N825" s="6">
        <v>-9.5000000000000001E-2</v>
      </c>
      <c r="O825" s="6">
        <v>-9.5000000000000001E-2</v>
      </c>
      <c r="P825" s="6">
        <v>-1</v>
      </c>
      <c r="Q825" s="4" t="s">
        <v>26</v>
      </c>
      <c r="R825" s="4">
        <v>0</v>
      </c>
      <c r="S825" s="4" t="s">
        <v>345</v>
      </c>
      <c r="T825" s="4" t="s">
        <v>578</v>
      </c>
      <c r="U825" s="4">
        <v>0</v>
      </c>
      <c r="V825" s="4">
        <v>35</v>
      </c>
      <c r="W825" s="4">
        <v>75</v>
      </c>
    </row>
    <row r="826" spans="1:23" ht="11.25" customHeight="1" x14ac:dyDescent="0.25">
      <c r="A826" s="4" t="s">
        <v>28</v>
      </c>
      <c r="B826" s="4" t="s">
        <v>22</v>
      </c>
      <c r="C826" s="4" t="s">
        <v>23</v>
      </c>
      <c r="D826" s="4" t="s">
        <v>24</v>
      </c>
      <c r="E826" s="4" t="s">
        <v>30</v>
      </c>
      <c r="F826" s="4" t="s">
        <v>25</v>
      </c>
      <c r="G826" s="4" t="s">
        <v>25</v>
      </c>
      <c r="H826" s="4" t="s">
        <v>25</v>
      </c>
      <c r="I826" s="5">
        <v>44440</v>
      </c>
      <c r="J826" s="6">
        <v>0</v>
      </c>
      <c r="K826" s="6">
        <v>0</v>
      </c>
      <c r="L826" s="6">
        <v>1.323</v>
      </c>
      <c r="M826" s="6">
        <v>1.323</v>
      </c>
      <c r="N826" s="6">
        <v>1.323</v>
      </c>
      <c r="O826" s="6">
        <v>1.323</v>
      </c>
      <c r="P826" s="6">
        <v>12</v>
      </c>
      <c r="Q826" s="4" t="s">
        <v>26</v>
      </c>
      <c r="R826" s="4">
        <v>0</v>
      </c>
      <c r="S826" s="4" t="s">
        <v>345</v>
      </c>
      <c r="T826" s="4" t="s">
        <v>578</v>
      </c>
      <c r="U826" s="4">
        <v>0</v>
      </c>
      <c r="V826" s="4">
        <v>35</v>
      </c>
      <c r="W826" s="4">
        <v>75</v>
      </c>
    </row>
    <row r="827" spans="1:23" ht="11.25" customHeight="1" x14ac:dyDescent="0.25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30</v>
      </c>
      <c r="F827" s="4" t="s">
        <v>25</v>
      </c>
      <c r="G827" s="4" t="s">
        <v>25</v>
      </c>
      <c r="H827" s="4" t="s">
        <v>25</v>
      </c>
      <c r="I827" s="5">
        <v>44470</v>
      </c>
      <c r="J827" s="6">
        <v>0</v>
      </c>
      <c r="K827" s="6">
        <v>0</v>
      </c>
      <c r="L827" s="6">
        <v>2749.038</v>
      </c>
      <c r="M827" s="6">
        <v>2749.038</v>
      </c>
      <c r="N827" s="6">
        <v>2749.038</v>
      </c>
      <c r="O827" s="6">
        <v>2749.038</v>
      </c>
      <c r="P827" s="6">
        <v>29929</v>
      </c>
      <c r="Q827" s="4" t="s">
        <v>26</v>
      </c>
      <c r="R827" s="4">
        <v>0</v>
      </c>
      <c r="S827" s="4" t="s">
        <v>346</v>
      </c>
      <c r="T827" s="4" t="s">
        <v>579</v>
      </c>
      <c r="U827" s="4">
        <v>0</v>
      </c>
      <c r="V827" s="4">
        <v>35</v>
      </c>
      <c r="W827" s="4">
        <v>75</v>
      </c>
    </row>
    <row r="828" spans="1:23" ht="11.25" customHeight="1" x14ac:dyDescent="0.25">
      <c r="A828" s="4" t="s">
        <v>28</v>
      </c>
      <c r="B828" s="4" t="s">
        <v>22</v>
      </c>
      <c r="C828" s="4" t="s">
        <v>23</v>
      </c>
      <c r="D828" s="4" t="s">
        <v>24</v>
      </c>
      <c r="E828" s="4" t="s">
        <v>30</v>
      </c>
      <c r="F828" s="4" t="s">
        <v>25</v>
      </c>
      <c r="G828" s="4" t="s">
        <v>25</v>
      </c>
      <c r="H828" s="4" t="s">
        <v>25</v>
      </c>
      <c r="I828" s="5">
        <v>44470</v>
      </c>
      <c r="J828" s="6">
        <v>0</v>
      </c>
      <c r="K828" s="6">
        <v>0</v>
      </c>
      <c r="L828" s="6">
        <v>1.3640000000000001</v>
      </c>
      <c r="M828" s="6">
        <v>1.3640000000000001</v>
      </c>
      <c r="N828" s="6">
        <v>1.3640000000000001</v>
      </c>
      <c r="O828" s="6">
        <v>1.3640000000000001</v>
      </c>
      <c r="P828" s="6">
        <v>11</v>
      </c>
      <c r="Q828" s="4" t="s">
        <v>26</v>
      </c>
      <c r="R828" s="4">
        <v>0</v>
      </c>
      <c r="S828" s="4" t="s">
        <v>346</v>
      </c>
      <c r="T828" s="4" t="s">
        <v>579</v>
      </c>
      <c r="U828" s="4">
        <v>0</v>
      </c>
      <c r="V828" s="4">
        <v>35</v>
      </c>
      <c r="W828" s="4">
        <v>75</v>
      </c>
    </row>
    <row r="829" spans="1:23" ht="11.25" customHeight="1" x14ac:dyDescent="0.25">
      <c r="A829" s="4" t="s">
        <v>21</v>
      </c>
      <c r="B829" s="4" t="s">
        <v>22</v>
      </c>
      <c r="C829" s="4" t="s">
        <v>23</v>
      </c>
      <c r="D829" s="4" t="s">
        <v>24</v>
      </c>
      <c r="E829" s="4" t="s">
        <v>30</v>
      </c>
      <c r="F829" s="4" t="s">
        <v>25</v>
      </c>
      <c r="G829" s="4" t="s">
        <v>25</v>
      </c>
      <c r="H829" s="4" t="s">
        <v>25</v>
      </c>
      <c r="I829" s="5">
        <v>44501</v>
      </c>
      <c r="J829" s="6">
        <v>0</v>
      </c>
      <c r="K829" s="6">
        <v>0</v>
      </c>
      <c r="L829" s="6">
        <v>2769.5880000000002</v>
      </c>
      <c r="M829" s="6">
        <v>2769.5880000000002</v>
      </c>
      <c r="N829" s="6">
        <v>2769.5880000000002</v>
      </c>
      <c r="O829" s="6">
        <v>2769.5880000000002</v>
      </c>
      <c r="P829" s="6">
        <v>29731</v>
      </c>
      <c r="Q829" s="4" t="s">
        <v>26</v>
      </c>
      <c r="R829" s="4">
        <v>0</v>
      </c>
      <c r="S829" s="4" t="s">
        <v>347</v>
      </c>
      <c r="T829" s="4" t="s">
        <v>580</v>
      </c>
      <c r="U829" s="4">
        <v>0</v>
      </c>
      <c r="V829" s="4">
        <v>35</v>
      </c>
      <c r="W829" s="4">
        <v>75</v>
      </c>
    </row>
    <row r="830" spans="1:23" ht="11.25" customHeight="1" x14ac:dyDescent="0.25">
      <c r="A830" s="4" t="s">
        <v>27</v>
      </c>
      <c r="B830" s="4" t="s">
        <v>22</v>
      </c>
      <c r="C830" s="4" t="s">
        <v>23</v>
      </c>
      <c r="D830" s="4" t="s">
        <v>24</v>
      </c>
      <c r="E830" s="4" t="s">
        <v>30</v>
      </c>
      <c r="F830" s="4" t="s">
        <v>25</v>
      </c>
      <c r="G830" s="4" t="s">
        <v>25</v>
      </c>
      <c r="H830" s="4" t="s">
        <v>25</v>
      </c>
      <c r="I830" s="5">
        <v>44501</v>
      </c>
      <c r="J830" s="6">
        <v>0</v>
      </c>
      <c r="K830" s="6">
        <v>0</v>
      </c>
      <c r="L830" s="6">
        <v>-0.33100000000000002</v>
      </c>
      <c r="M830" s="6">
        <v>-0.33100000000000002</v>
      </c>
      <c r="N830" s="6">
        <v>-0.33100000000000002</v>
      </c>
      <c r="O830" s="6">
        <v>-0.33100000000000002</v>
      </c>
      <c r="P830" s="6">
        <v>-1</v>
      </c>
      <c r="Q830" s="4" t="s">
        <v>26</v>
      </c>
      <c r="R830" s="4">
        <v>0</v>
      </c>
      <c r="S830" s="4" t="s">
        <v>347</v>
      </c>
      <c r="T830" s="4" t="s">
        <v>580</v>
      </c>
      <c r="U830" s="4">
        <v>0</v>
      </c>
      <c r="V830" s="4">
        <v>35</v>
      </c>
      <c r="W830" s="4">
        <v>75</v>
      </c>
    </row>
    <row r="831" spans="1:23" ht="11.25" customHeight="1" x14ac:dyDescent="0.25">
      <c r="A831" s="4" t="s">
        <v>28</v>
      </c>
      <c r="B831" s="4" t="s">
        <v>22</v>
      </c>
      <c r="C831" s="4" t="s">
        <v>23</v>
      </c>
      <c r="D831" s="4" t="s">
        <v>24</v>
      </c>
      <c r="E831" s="4" t="s">
        <v>30</v>
      </c>
      <c r="F831" s="4" t="s">
        <v>25</v>
      </c>
      <c r="G831" s="4" t="s">
        <v>25</v>
      </c>
      <c r="H831" s="4" t="s">
        <v>25</v>
      </c>
      <c r="I831" s="5">
        <v>44501</v>
      </c>
      <c r="J831" s="6">
        <v>0</v>
      </c>
      <c r="K831" s="6">
        <v>0</v>
      </c>
      <c r="L831" s="6">
        <v>1.4750000000000001</v>
      </c>
      <c r="M831" s="6">
        <v>1.4750000000000001</v>
      </c>
      <c r="N831" s="6">
        <v>1.4750000000000001</v>
      </c>
      <c r="O831" s="6">
        <v>1.4750000000000001</v>
      </c>
      <c r="P831" s="6">
        <v>11</v>
      </c>
      <c r="Q831" s="4" t="s">
        <v>26</v>
      </c>
      <c r="R831" s="4">
        <v>0</v>
      </c>
      <c r="S831" s="4" t="s">
        <v>347</v>
      </c>
      <c r="T831" s="4" t="s">
        <v>580</v>
      </c>
      <c r="U831" s="4">
        <v>0</v>
      </c>
      <c r="V831" s="4">
        <v>35</v>
      </c>
      <c r="W831" s="4">
        <v>75</v>
      </c>
    </row>
    <row r="832" spans="1:23" ht="11.25" customHeight="1" x14ac:dyDescent="0.25">
      <c r="A832" s="4" t="s">
        <v>21</v>
      </c>
      <c r="B832" s="4" t="s">
        <v>22</v>
      </c>
      <c r="C832" s="4" t="s">
        <v>23</v>
      </c>
      <c r="D832" s="4" t="s">
        <v>24</v>
      </c>
      <c r="E832" s="4" t="s">
        <v>30</v>
      </c>
      <c r="F832" s="4" t="s">
        <v>25</v>
      </c>
      <c r="G832" s="4" t="s">
        <v>25</v>
      </c>
      <c r="H832" s="4" t="s">
        <v>25</v>
      </c>
      <c r="I832" s="5">
        <v>44531</v>
      </c>
      <c r="J832" s="6">
        <v>0</v>
      </c>
      <c r="K832" s="6">
        <v>0</v>
      </c>
      <c r="L832" s="6">
        <v>2835.3240000000001</v>
      </c>
      <c r="M832" s="6">
        <v>2835.3240000000001</v>
      </c>
      <c r="N832" s="6">
        <v>2835.3240000000001</v>
      </c>
      <c r="O832" s="6">
        <v>2835.3240000000001</v>
      </c>
      <c r="P832" s="6">
        <v>28527</v>
      </c>
      <c r="Q832" s="4" t="s">
        <v>26</v>
      </c>
      <c r="R832" s="4">
        <v>0</v>
      </c>
      <c r="S832" s="4" t="s">
        <v>348</v>
      </c>
      <c r="T832" s="4" t="s">
        <v>581</v>
      </c>
      <c r="U832" s="4">
        <v>0</v>
      </c>
      <c r="V832" s="4">
        <v>35</v>
      </c>
      <c r="W832" s="4">
        <v>75</v>
      </c>
    </row>
    <row r="833" spans="1:23" ht="11.25" customHeight="1" x14ac:dyDescent="0.25">
      <c r="A833" s="4" t="s">
        <v>27</v>
      </c>
      <c r="B833" s="4" t="s">
        <v>22</v>
      </c>
      <c r="C833" s="4" t="s">
        <v>23</v>
      </c>
      <c r="D833" s="4" t="s">
        <v>24</v>
      </c>
      <c r="E833" s="4" t="s">
        <v>30</v>
      </c>
      <c r="F833" s="4" t="s">
        <v>25</v>
      </c>
      <c r="G833" s="4" t="s">
        <v>25</v>
      </c>
      <c r="H833" s="4" t="s">
        <v>25</v>
      </c>
      <c r="I833" s="5">
        <v>44531</v>
      </c>
      <c r="J833" s="6">
        <v>0</v>
      </c>
      <c r="K833" s="6">
        <v>0</v>
      </c>
      <c r="L833" s="6">
        <v>-0.27100000000000002</v>
      </c>
      <c r="M833" s="6">
        <v>-0.27100000000000002</v>
      </c>
      <c r="N833" s="6">
        <v>-0.27100000000000002</v>
      </c>
      <c r="O833" s="6">
        <v>-0.27100000000000002</v>
      </c>
      <c r="P833" s="6">
        <v>-4</v>
      </c>
      <c r="Q833" s="4" t="s">
        <v>26</v>
      </c>
      <c r="R833" s="4">
        <v>0</v>
      </c>
      <c r="S833" s="4" t="s">
        <v>348</v>
      </c>
      <c r="T833" s="4" t="s">
        <v>581</v>
      </c>
      <c r="U833" s="4">
        <v>0</v>
      </c>
      <c r="V833" s="4">
        <v>35</v>
      </c>
      <c r="W833" s="4">
        <v>75</v>
      </c>
    </row>
    <row r="834" spans="1:23" ht="11.25" customHeight="1" x14ac:dyDescent="0.25">
      <c r="A834" s="4" t="s">
        <v>28</v>
      </c>
      <c r="B834" s="4" t="s">
        <v>22</v>
      </c>
      <c r="C834" s="4" t="s">
        <v>23</v>
      </c>
      <c r="D834" s="4" t="s">
        <v>24</v>
      </c>
      <c r="E834" s="4" t="s">
        <v>30</v>
      </c>
      <c r="F834" s="4" t="s">
        <v>25</v>
      </c>
      <c r="G834" s="4" t="s">
        <v>25</v>
      </c>
      <c r="H834" s="4" t="s">
        <v>25</v>
      </c>
      <c r="I834" s="5">
        <v>44531</v>
      </c>
      <c r="J834" s="6">
        <v>0</v>
      </c>
      <c r="K834" s="6">
        <v>0</v>
      </c>
      <c r="L834" s="6">
        <v>1.7030000000000001</v>
      </c>
      <c r="M834" s="6">
        <v>1.7030000000000001</v>
      </c>
      <c r="N834" s="6">
        <v>1.7030000000000001</v>
      </c>
      <c r="O834" s="6">
        <v>1.7030000000000001</v>
      </c>
      <c r="P834" s="6">
        <v>8</v>
      </c>
      <c r="Q834" s="4" t="s">
        <v>26</v>
      </c>
      <c r="R834" s="4">
        <v>0</v>
      </c>
      <c r="S834" s="4" t="s">
        <v>348</v>
      </c>
      <c r="T834" s="4" t="s">
        <v>581</v>
      </c>
      <c r="U834" s="4">
        <v>0</v>
      </c>
      <c r="V834" s="4">
        <v>35</v>
      </c>
      <c r="W834" s="4">
        <v>75</v>
      </c>
    </row>
    <row r="835" spans="1:23" ht="11.25" customHeight="1" x14ac:dyDescent="0.25">
      <c r="A835" s="4" t="s">
        <v>55</v>
      </c>
      <c r="B835" s="4" t="s">
        <v>22</v>
      </c>
      <c r="C835" s="4" t="s">
        <v>23</v>
      </c>
      <c r="D835" s="4" t="s">
        <v>24</v>
      </c>
      <c r="E835" s="4" t="s">
        <v>30</v>
      </c>
      <c r="F835" s="4" t="s">
        <v>25</v>
      </c>
      <c r="G835" s="4" t="s">
        <v>25</v>
      </c>
      <c r="H835" s="4" t="s">
        <v>25</v>
      </c>
      <c r="I835" s="5">
        <v>44562</v>
      </c>
      <c r="J835" s="6">
        <v>0</v>
      </c>
      <c r="K835" s="6">
        <v>0</v>
      </c>
      <c r="L835" s="6">
        <v>2835.3240000000001</v>
      </c>
      <c r="M835" s="6">
        <v>2835.3240000000001</v>
      </c>
      <c r="N835" s="6">
        <v>2835.3240000000001</v>
      </c>
      <c r="O835" s="6">
        <v>2835.3240000000001</v>
      </c>
      <c r="P835" s="6">
        <v>28527</v>
      </c>
      <c r="Q835" s="4" t="s">
        <v>26</v>
      </c>
      <c r="R835" s="4">
        <v>0</v>
      </c>
      <c r="S835" s="4" t="s">
        <v>349</v>
      </c>
      <c r="T835" s="4" t="s">
        <v>582</v>
      </c>
      <c r="U835" s="4">
        <v>0</v>
      </c>
      <c r="V835" s="4">
        <v>35</v>
      </c>
      <c r="W835" s="4">
        <v>75</v>
      </c>
    </row>
    <row r="836" spans="1:23" ht="11.25" customHeight="1" x14ac:dyDescent="0.25">
      <c r="A836" s="4" t="s">
        <v>55</v>
      </c>
      <c r="B836" s="4" t="s">
        <v>22</v>
      </c>
      <c r="C836" s="4" t="s">
        <v>23</v>
      </c>
      <c r="D836" s="4" t="s">
        <v>24</v>
      </c>
      <c r="E836" s="4" t="s">
        <v>30</v>
      </c>
      <c r="F836" s="4" t="s">
        <v>25</v>
      </c>
      <c r="G836" s="4" t="s">
        <v>25</v>
      </c>
      <c r="H836" s="4" t="s">
        <v>25</v>
      </c>
      <c r="I836" s="5">
        <v>44562</v>
      </c>
      <c r="J836" s="6">
        <v>0</v>
      </c>
      <c r="K836" s="6">
        <v>0</v>
      </c>
      <c r="L836" s="6">
        <v>-0.27100000000000002</v>
      </c>
      <c r="M836" s="6">
        <v>-0.27100000000000002</v>
      </c>
      <c r="N836" s="6">
        <v>-0.27100000000000002</v>
      </c>
      <c r="O836" s="6">
        <v>-0.27100000000000002</v>
      </c>
      <c r="P836" s="6">
        <v>-4</v>
      </c>
      <c r="Q836" s="4" t="s">
        <v>26</v>
      </c>
      <c r="R836" s="4">
        <v>0</v>
      </c>
      <c r="S836" s="4" t="s">
        <v>349</v>
      </c>
      <c r="T836" s="4" t="s">
        <v>582</v>
      </c>
      <c r="U836" s="4">
        <v>0</v>
      </c>
      <c r="V836" s="4">
        <v>35</v>
      </c>
      <c r="W836" s="4">
        <v>75</v>
      </c>
    </row>
    <row r="837" spans="1:23" ht="11.25" customHeight="1" x14ac:dyDescent="0.25">
      <c r="A837" s="4" t="s">
        <v>55</v>
      </c>
      <c r="B837" s="4" t="s">
        <v>22</v>
      </c>
      <c r="C837" s="4" t="s">
        <v>23</v>
      </c>
      <c r="D837" s="4" t="s">
        <v>24</v>
      </c>
      <c r="E837" s="4" t="s">
        <v>30</v>
      </c>
      <c r="F837" s="4" t="s">
        <v>25</v>
      </c>
      <c r="G837" s="4" t="s">
        <v>25</v>
      </c>
      <c r="H837" s="4" t="s">
        <v>25</v>
      </c>
      <c r="I837" s="5">
        <v>44562</v>
      </c>
      <c r="J837" s="6">
        <v>0</v>
      </c>
      <c r="K837" s="6">
        <v>0</v>
      </c>
      <c r="L837" s="6">
        <v>1.7030000000000001</v>
      </c>
      <c r="M837" s="6">
        <v>1.7030000000000001</v>
      </c>
      <c r="N837" s="6">
        <v>1.7030000000000001</v>
      </c>
      <c r="O837" s="6">
        <v>1.7030000000000001</v>
      </c>
      <c r="P837" s="6">
        <v>8</v>
      </c>
      <c r="Q837" s="4" t="s">
        <v>26</v>
      </c>
      <c r="R837" s="4">
        <v>0</v>
      </c>
      <c r="S837" s="4" t="s">
        <v>349</v>
      </c>
      <c r="T837" s="4" t="s">
        <v>582</v>
      </c>
      <c r="U837" s="4">
        <v>0</v>
      </c>
      <c r="V837" s="4">
        <v>35</v>
      </c>
      <c r="W837" s="4">
        <v>75</v>
      </c>
    </row>
    <row r="838" spans="1:23" ht="11.25" customHeight="1" x14ac:dyDescent="0.25">
      <c r="A838" s="4" t="s">
        <v>21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44228</v>
      </c>
      <c r="J838" s="6">
        <v>0</v>
      </c>
      <c r="K838" s="6">
        <v>0</v>
      </c>
      <c r="L838" s="6">
        <v>1090.69</v>
      </c>
      <c r="M838" s="6">
        <v>1090.69</v>
      </c>
      <c r="N838" s="6">
        <v>1090.69</v>
      </c>
      <c r="O838" s="6">
        <v>1090.69</v>
      </c>
      <c r="P838" s="6">
        <v>19553</v>
      </c>
      <c r="Q838" s="4" t="s">
        <v>26</v>
      </c>
      <c r="R838" s="4">
        <v>0</v>
      </c>
      <c r="S838" s="4" t="s">
        <v>350</v>
      </c>
      <c r="T838" s="4" t="s">
        <v>583</v>
      </c>
      <c r="U838" s="4">
        <v>0</v>
      </c>
      <c r="V838" s="4">
        <v>36</v>
      </c>
      <c r="W838" s="4">
        <v>76</v>
      </c>
    </row>
    <row r="839" spans="1:23" ht="11.25" customHeight="1" x14ac:dyDescent="0.25">
      <c r="A839" s="4" t="s">
        <v>27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44228</v>
      </c>
      <c r="J839" s="6">
        <v>0</v>
      </c>
      <c r="K839" s="6">
        <v>0</v>
      </c>
      <c r="L839" s="6">
        <v>-4.9000000000000002E-2</v>
      </c>
      <c r="M839" s="6">
        <v>-4.9000000000000002E-2</v>
      </c>
      <c r="N839" s="6">
        <v>-4.9000000000000002E-2</v>
      </c>
      <c r="O839" s="6">
        <v>-4.9000000000000002E-2</v>
      </c>
      <c r="P839" s="6">
        <v>-1</v>
      </c>
      <c r="Q839" s="4" t="s">
        <v>26</v>
      </c>
      <c r="R839" s="4">
        <v>0</v>
      </c>
      <c r="S839" s="4" t="s">
        <v>350</v>
      </c>
      <c r="T839" s="4" t="s">
        <v>583</v>
      </c>
      <c r="U839" s="4">
        <v>0</v>
      </c>
      <c r="V839" s="4">
        <v>36</v>
      </c>
      <c r="W839" s="4">
        <v>76</v>
      </c>
    </row>
    <row r="840" spans="1:23" ht="11.25" customHeight="1" x14ac:dyDescent="0.25">
      <c r="A840" s="4" t="s">
        <v>28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44228</v>
      </c>
      <c r="J840" s="6">
        <v>0</v>
      </c>
      <c r="K840" s="6">
        <v>0</v>
      </c>
      <c r="L840" s="6">
        <v>0.187</v>
      </c>
      <c r="M840" s="6">
        <v>0.187</v>
      </c>
      <c r="N840" s="6">
        <v>0.187</v>
      </c>
      <c r="O840" s="6">
        <v>0.187</v>
      </c>
      <c r="P840" s="6">
        <v>5</v>
      </c>
      <c r="Q840" s="4" t="s">
        <v>26</v>
      </c>
      <c r="R840" s="4">
        <v>0</v>
      </c>
      <c r="S840" s="4" t="s">
        <v>350</v>
      </c>
      <c r="T840" s="4" t="s">
        <v>583</v>
      </c>
      <c r="U840" s="4">
        <v>0</v>
      </c>
      <c r="V840" s="4">
        <v>36</v>
      </c>
      <c r="W840" s="4">
        <v>76</v>
      </c>
    </row>
    <row r="841" spans="1:23" ht="11.25" customHeight="1" x14ac:dyDescent="0.25">
      <c r="A841" s="4" t="s">
        <v>21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44256</v>
      </c>
      <c r="J841" s="6">
        <v>0</v>
      </c>
      <c r="K841" s="6">
        <v>0</v>
      </c>
      <c r="L841" s="6">
        <v>1264.3520000000001</v>
      </c>
      <c r="M841" s="6">
        <v>1264.3520000000001</v>
      </c>
      <c r="N841" s="6">
        <v>1264.3520000000001</v>
      </c>
      <c r="O841" s="6">
        <v>1264.3520000000001</v>
      </c>
      <c r="P841" s="6">
        <v>21419</v>
      </c>
      <c r="Q841" s="4" t="s">
        <v>26</v>
      </c>
      <c r="R841" s="4">
        <v>0</v>
      </c>
      <c r="S841" s="4" t="s">
        <v>351</v>
      </c>
      <c r="T841" s="4" t="s">
        <v>584</v>
      </c>
      <c r="U841" s="4">
        <v>0</v>
      </c>
      <c r="V841" s="4">
        <v>36</v>
      </c>
      <c r="W841" s="4">
        <v>76</v>
      </c>
    </row>
    <row r="842" spans="1:23" ht="11.25" customHeight="1" x14ac:dyDescent="0.25">
      <c r="A842" s="4" t="s">
        <v>27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44256</v>
      </c>
      <c r="J842" s="6">
        <v>0</v>
      </c>
      <c r="K842" s="6">
        <v>0</v>
      </c>
      <c r="L842" s="6">
        <v>-0.39400000000000002</v>
      </c>
      <c r="M842" s="6">
        <v>-0.39400000000000002</v>
      </c>
      <c r="N842" s="6">
        <v>-0.39400000000000002</v>
      </c>
      <c r="O842" s="6">
        <v>-0.39400000000000002</v>
      </c>
      <c r="P842" s="6">
        <v>-3</v>
      </c>
      <c r="Q842" s="4" t="s">
        <v>26</v>
      </c>
      <c r="R842" s="4">
        <v>0</v>
      </c>
      <c r="S842" s="4" t="s">
        <v>351</v>
      </c>
      <c r="T842" s="4" t="s">
        <v>584</v>
      </c>
      <c r="U842" s="4">
        <v>0</v>
      </c>
      <c r="V842" s="4">
        <v>36</v>
      </c>
      <c r="W842" s="4">
        <v>76</v>
      </c>
    </row>
    <row r="843" spans="1:23" ht="11.25" customHeight="1" x14ac:dyDescent="0.25">
      <c r="A843" s="4" t="s">
        <v>28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44256</v>
      </c>
      <c r="J843" s="6">
        <v>0</v>
      </c>
      <c r="K843" s="6">
        <v>0</v>
      </c>
      <c r="L843" s="6">
        <v>7.0000000000000007E-2</v>
      </c>
      <c r="M843" s="6">
        <v>7.0000000000000007E-2</v>
      </c>
      <c r="N843" s="6">
        <v>7.0000000000000007E-2</v>
      </c>
      <c r="O843" s="6">
        <v>7.0000000000000007E-2</v>
      </c>
      <c r="P843" s="6">
        <v>8</v>
      </c>
      <c r="Q843" s="4" t="s">
        <v>26</v>
      </c>
      <c r="R843" s="4">
        <v>0</v>
      </c>
      <c r="S843" s="4" t="s">
        <v>351</v>
      </c>
      <c r="T843" s="4" t="s">
        <v>584</v>
      </c>
      <c r="U843" s="4">
        <v>0</v>
      </c>
      <c r="V843" s="4">
        <v>36</v>
      </c>
      <c r="W843" s="4">
        <v>76</v>
      </c>
    </row>
    <row r="844" spans="1:23" ht="11.25" customHeight="1" x14ac:dyDescent="0.25">
      <c r="A844" s="4" t="s">
        <v>21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44287</v>
      </c>
      <c r="J844" s="6">
        <v>0</v>
      </c>
      <c r="K844" s="6">
        <v>0</v>
      </c>
      <c r="L844" s="6">
        <v>1304.2639999999999</v>
      </c>
      <c r="M844" s="6">
        <v>1304.2639999999999</v>
      </c>
      <c r="N844" s="6">
        <v>1304.2639999999999</v>
      </c>
      <c r="O844" s="6">
        <v>1304.2639999999999</v>
      </c>
      <c r="P844" s="6">
        <v>21669</v>
      </c>
      <c r="Q844" s="4" t="s">
        <v>26</v>
      </c>
      <c r="R844" s="4">
        <v>0</v>
      </c>
      <c r="S844" s="4" t="s">
        <v>352</v>
      </c>
      <c r="T844" s="4" t="s">
        <v>585</v>
      </c>
      <c r="U844" s="4">
        <v>0</v>
      </c>
      <c r="V844" s="4">
        <v>36</v>
      </c>
      <c r="W844" s="4">
        <v>76</v>
      </c>
    </row>
    <row r="845" spans="1:23" ht="11.25" customHeight="1" x14ac:dyDescent="0.25">
      <c r="A845" s="4" t="s">
        <v>27</v>
      </c>
      <c r="B845" s="4" t="s">
        <v>22</v>
      </c>
      <c r="C845" s="4" t="s">
        <v>23</v>
      </c>
      <c r="D845" s="4" t="s">
        <v>24</v>
      </c>
      <c r="E845" s="4" t="s">
        <v>31</v>
      </c>
      <c r="F845" s="4" t="s">
        <v>25</v>
      </c>
      <c r="G845" s="4" t="s">
        <v>25</v>
      </c>
      <c r="H845" s="4" t="s">
        <v>25</v>
      </c>
      <c r="I845" s="5">
        <v>44287</v>
      </c>
      <c r="J845" s="6">
        <v>0</v>
      </c>
      <c r="K845" s="6">
        <v>0</v>
      </c>
      <c r="L845" s="6">
        <v>-6.8000000000000005E-2</v>
      </c>
      <c r="M845" s="6">
        <v>-6.8000000000000005E-2</v>
      </c>
      <c r="N845" s="6">
        <v>-6.8000000000000005E-2</v>
      </c>
      <c r="O845" s="6">
        <v>-6.8000000000000005E-2</v>
      </c>
      <c r="P845" s="6">
        <v>-1</v>
      </c>
      <c r="Q845" s="4" t="s">
        <v>26</v>
      </c>
      <c r="R845" s="4">
        <v>0</v>
      </c>
      <c r="S845" s="4" t="s">
        <v>352</v>
      </c>
      <c r="T845" s="4" t="s">
        <v>585</v>
      </c>
      <c r="U845" s="4">
        <v>0</v>
      </c>
      <c r="V845" s="4">
        <v>36</v>
      </c>
      <c r="W845" s="4">
        <v>76</v>
      </c>
    </row>
    <row r="846" spans="1:23" ht="11.25" customHeight="1" x14ac:dyDescent="0.25">
      <c r="A846" s="4" t="s">
        <v>28</v>
      </c>
      <c r="B846" s="4" t="s">
        <v>22</v>
      </c>
      <c r="C846" s="4" t="s">
        <v>23</v>
      </c>
      <c r="D846" s="4" t="s">
        <v>24</v>
      </c>
      <c r="E846" s="4" t="s">
        <v>31</v>
      </c>
      <c r="F846" s="4" t="s">
        <v>25</v>
      </c>
      <c r="G846" s="4" t="s">
        <v>25</v>
      </c>
      <c r="H846" s="4" t="s">
        <v>25</v>
      </c>
      <c r="I846" s="5">
        <v>44287</v>
      </c>
      <c r="J846" s="6">
        <v>0</v>
      </c>
      <c r="K846" s="6">
        <v>0</v>
      </c>
      <c r="L846" s="6">
        <v>0.14199999999999999</v>
      </c>
      <c r="M846" s="6">
        <v>0.14199999999999999</v>
      </c>
      <c r="N846" s="6">
        <v>0.14199999999999999</v>
      </c>
      <c r="O846" s="6">
        <v>0.14199999999999999</v>
      </c>
      <c r="P846" s="6">
        <v>7</v>
      </c>
      <c r="Q846" s="4" t="s">
        <v>26</v>
      </c>
      <c r="R846" s="4">
        <v>0</v>
      </c>
      <c r="S846" s="4" t="s">
        <v>352</v>
      </c>
      <c r="T846" s="4" t="s">
        <v>585</v>
      </c>
      <c r="U846" s="4">
        <v>0</v>
      </c>
      <c r="V846" s="4">
        <v>36</v>
      </c>
      <c r="W846" s="4">
        <v>76</v>
      </c>
    </row>
    <row r="847" spans="1:23" ht="11.25" customHeight="1" x14ac:dyDescent="0.25">
      <c r="A847" s="4" t="s">
        <v>21</v>
      </c>
      <c r="B847" s="4" t="s">
        <v>22</v>
      </c>
      <c r="C847" s="4" t="s">
        <v>23</v>
      </c>
      <c r="D847" s="4" t="s">
        <v>24</v>
      </c>
      <c r="E847" s="4" t="s">
        <v>31</v>
      </c>
      <c r="F847" s="4" t="s">
        <v>25</v>
      </c>
      <c r="G847" s="4" t="s">
        <v>25</v>
      </c>
      <c r="H847" s="4" t="s">
        <v>25</v>
      </c>
      <c r="I847" s="5">
        <v>44317</v>
      </c>
      <c r="J847" s="6">
        <v>0</v>
      </c>
      <c r="K847" s="6">
        <v>0</v>
      </c>
      <c r="L847" s="6">
        <v>1105.57</v>
      </c>
      <c r="M847" s="6">
        <v>1105.57</v>
      </c>
      <c r="N847" s="6">
        <v>1105.57</v>
      </c>
      <c r="O847" s="6">
        <v>1105.57</v>
      </c>
      <c r="P847" s="6">
        <v>19659</v>
      </c>
      <c r="Q847" s="4" t="s">
        <v>26</v>
      </c>
      <c r="R847" s="4">
        <v>0</v>
      </c>
      <c r="S847" s="4" t="s">
        <v>353</v>
      </c>
      <c r="T847" s="4" t="s">
        <v>586</v>
      </c>
      <c r="U847" s="4">
        <v>0</v>
      </c>
      <c r="V847" s="4">
        <v>36</v>
      </c>
      <c r="W847" s="4">
        <v>76</v>
      </c>
    </row>
    <row r="848" spans="1:23" ht="11.25" customHeight="1" x14ac:dyDescent="0.25">
      <c r="A848" s="4" t="s">
        <v>27</v>
      </c>
      <c r="B848" s="4" t="s">
        <v>22</v>
      </c>
      <c r="C848" s="4" t="s">
        <v>23</v>
      </c>
      <c r="D848" s="4" t="s">
        <v>24</v>
      </c>
      <c r="E848" s="4" t="s">
        <v>31</v>
      </c>
      <c r="F848" s="4" t="s">
        <v>25</v>
      </c>
      <c r="G848" s="4" t="s">
        <v>25</v>
      </c>
      <c r="H848" s="4" t="s">
        <v>25</v>
      </c>
      <c r="I848" s="5">
        <v>44317</v>
      </c>
      <c r="J848" s="6">
        <v>0</v>
      </c>
      <c r="K848" s="6">
        <v>0</v>
      </c>
      <c r="L848" s="6">
        <v>-0.28499999999999998</v>
      </c>
      <c r="M848" s="6">
        <v>-0.28499999999999998</v>
      </c>
      <c r="N848" s="6">
        <v>-0.28499999999999998</v>
      </c>
      <c r="O848" s="6">
        <v>-0.28499999999999998</v>
      </c>
      <c r="P848" s="6">
        <v>-2</v>
      </c>
      <c r="Q848" s="4" t="s">
        <v>26</v>
      </c>
      <c r="R848" s="4">
        <v>0</v>
      </c>
      <c r="S848" s="4" t="s">
        <v>353</v>
      </c>
      <c r="T848" s="4" t="s">
        <v>586</v>
      </c>
      <c r="U848" s="4">
        <v>0</v>
      </c>
      <c r="V848" s="4">
        <v>36</v>
      </c>
      <c r="W848" s="4">
        <v>76</v>
      </c>
    </row>
    <row r="849" spans="1:23" ht="11.25" customHeight="1" x14ac:dyDescent="0.25">
      <c r="A849" s="4" t="s">
        <v>28</v>
      </c>
      <c r="B849" s="4" t="s">
        <v>22</v>
      </c>
      <c r="C849" s="4" t="s">
        <v>23</v>
      </c>
      <c r="D849" s="4" t="s">
        <v>24</v>
      </c>
      <c r="E849" s="4" t="s">
        <v>31</v>
      </c>
      <c r="F849" s="4" t="s">
        <v>25</v>
      </c>
      <c r="G849" s="4" t="s">
        <v>25</v>
      </c>
      <c r="H849" s="4" t="s">
        <v>25</v>
      </c>
      <c r="I849" s="5">
        <v>44317</v>
      </c>
      <c r="J849" s="6">
        <v>0</v>
      </c>
      <c r="K849" s="6">
        <v>0</v>
      </c>
      <c r="L849" s="6">
        <v>0.20399999999999999</v>
      </c>
      <c r="M849" s="6">
        <v>0.20399999999999999</v>
      </c>
      <c r="N849" s="6">
        <v>0.20399999999999999</v>
      </c>
      <c r="O849" s="6">
        <v>0.20399999999999999</v>
      </c>
      <c r="P849" s="6">
        <v>8</v>
      </c>
      <c r="Q849" s="4" t="s">
        <v>26</v>
      </c>
      <c r="R849" s="4">
        <v>0</v>
      </c>
      <c r="S849" s="4" t="s">
        <v>353</v>
      </c>
      <c r="T849" s="4" t="s">
        <v>586</v>
      </c>
      <c r="U849" s="4">
        <v>0</v>
      </c>
      <c r="V849" s="4">
        <v>36</v>
      </c>
      <c r="W849" s="4">
        <v>76</v>
      </c>
    </row>
    <row r="850" spans="1:23" ht="11.25" customHeight="1" x14ac:dyDescent="0.25">
      <c r="A850" s="4" t="s">
        <v>21</v>
      </c>
      <c r="B850" s="4" t="s">
        <v>22</v>
      </c>
      <c r="C850" s="4" t="s">
        <v>23</v>
      </c>
      <c r="D850" s="4" t="s">
        <v>24</v>
      </c>
      <c r="E850" s="4" t="s">
        <v>31</v>
      </c>
      <c r="F850" s="4" t="s">
        <v>25</v>
      </c>
      <c r="G850" s="4" t="s">
        <v>25</v>
      </c>
      <c r="H850" s="4" t="s">
        <v>25</v>
      </c>
      <c r="I850" s="5">
        <v>44348</v>
      </c>
      <c r="J850" s="6">
        <v>0</v>
      </c>
      <c r="K850" s="6">
        <v>0</v>
      </c>
      <c r="L850" s="6">
        <v>966.56200000000001</v>
      </c>
      <c r="M850" s="6">
        <v>966.56200000000001</v>
      </c>
      <c r="N850" s="6">
        <v>966.56200000000001</v>
      </c>
      <c r="O850" s="6">
        <v>966.56200000000001</v>
      </c>
      <c r="P850" s="6">
        <v>18081</v>
      </c>
      <c r="Q850" s="4" t="s">
        <v>26</v>
      </c>
      <c r="R850" s="4">
        <v>0</v>
      </c>
      <c r="S850" s="4" t="s">
        <v>354</v>
      </c>
      <c r="T850" s="4" t="s">
        <v>587</v>
      </c>
      <c r="U850" s="4">
        <v>0</v>
      </c>
      <c r="V850" s="4">
        <v>36</v>
      </c>
      <c r="W850" s="4">
        <v>76</v>
      </c>
    </row>
    <row r="851" spans="1:23" ht="11.25" customHeight="1" x14ac:dyDescent="0.25">
      <c r="A851" s="4" t="s">
        <v>27</v>
      </c>
      <c r="B851" s="4" t="s">
        <v>22</v>
      </c>
      <c r="C851" s="4" t="s">
        <v>23</v>
      </c>
      <c r="D851" s="4" t="s">
        <v>24</v>
      </c>
      <c r="E851" s="4" t="s">
        <v>31</v>
      </c>
      <c r="F851" s="4" t="s">
        <v>25</v>
      </c>
      <c r="G851" s="4" t="s">
        <v>25</v>
      </c>
      <c r="H851" s="4" t="s">
        <v>25</v>
      </c>
      <c r="I851" s="5">
        <v>44348</v>
      </c>
      <c r="J851" s="6">
        <v>0</v>
      </c>
      <c r="K851" s="6">
        <v>0</v>
      </c>
      <c r="L851" s="6">
        <v>-0.505</v>
      </c>
      <c r="M851" s="6">
        <v>-0.505</v>
      </c>
      <c r="N851" s="6">
        <v>-0.505</v>
      </c>
      <c r="O851" s="6">
        <v>-0.505</v>
      </c>
      <c r="P851" s="6">
        <v>-2</v>
      </c>
      <c r="Q851" s="4" t="s">
        <v>26</v>
      </c>
      <c r="R851" s="4">
        <v>0</v>
      </c>
      <c r="S851" s="4" t="s">
        <v>354</v>
      </c>
      <c r="T851" s="4" t="s">
        <v>587</v>
      </c>
      <c r="U851" s="4">
        <v>0</v>
      </c>
      <c r="V851" s="4">
        <v>36</v>
      </c>
      <c r="W851" s="4">
        <v>76</v>
      </c>
    </row>
    <row r="852" spans="1:23" ht="11.25" customHeight="1" x14ac:dyDescent="0.25">
      <c r="A852" s="4" t="s">
        <v>28</v>
      </c>
      <c r="B852" s="4" t="s">
        <v>22</v>
      </c>
      <c r="C852" s="4" t="s">
        <v>23</v>
      </c>
      <c r="D852" s="4" t="s">
        <v>24</v>
      </c>
      <c r="E852" s="4" t="s">
        <v>31</v>
      </c>
      <c r="F852" s="4" t="s">
        <v>25</v>
      </c>
      <c r="G852" s="4" t="s">
        <v>25</v>
      </c>
      <c r="H852" s="4" t="s">
        <v>25</v>
      </c>
      <c r="I852" s="5">
        <v>44348</v>
      </c>
      <c r="J852" s="6">
        <v>0</v>
      </c>
      <c r="K852" s="6">
        <v>0</v>
      </c>
      <c r="L852" s="6">
        <v>0.34200000000000003</v>
      </c>
      <c r="M852" s="6">
        <v>0.34200000000000003</v>
      </c>
      <c r="N852" s="6">
        <v>0.34200000000000003</v>
      </c>
      <c r="O852" s="6">
        <v>0.34200000000000003</v>
      </c>
      <c r="P852" s="6">
        <v>8</v>
      </c>
      <c r="Q852" s="4" t="s">
        <v>26</v>
      </c>
      <c r="R852" s="4">
        <v>0</v>
      </c>
      <c r="S852" s="4" t="s">
        <v>354</v>
      </c>
      <c r="T852" s="4" t="s">
        <v>587</v>
      </c>
      <c r="U852" s="4">
        <v>0</v>
      </c>
      <c r="V852" s="4">
        <v>36</v>
      </c>
      <c r="W852" s="4">
        <v>76</v>
      </c>
    </row>
    <row r="853" spans="1:23" ht="11.25" customHeight="1" x14ac:dyDescent="0.25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31</v>
      </c>
      <c r="F853" s="4" t="s">
        <v>25</v>
      </c>
      <c r="G853" s="4" t="s">
        <v>25</v>
      </c>
      <c r="H853" s="4" t="s">
        <v>25</v>
      </c>
      <c r="I853" s="5">
        <v>44378</v>
      </c>
      <c r="J853" s="6">
        <v>0</v>
      </c>
      <c r="K853" s="6">
        <v>0</v>
      </c>
      <c r="L853" s="6">
        <v>1072.556</v>
      </c>
      <c r="M853" s="6">
        <v>1072.556</v>
      </c>
      <c r="N853" s="6">
        <v>1072.556</v>
      </c>
      <c r="O853" s="6">
        <v>1072.556</v>
      </c>
      <c r="P853" s="6">
        <v>19325</v>
      </c>
      <c r="Q853" s="4" t="s">
        <v>26</v>
      </c>
      <c r="R853" s="4">
        <v>0</v>
      </c>
      <c r="S853" s="4" t="s">
        <v>355</v>
      </c>
      <c r="T853" s="4" t="s">
        <v>588</v>
      </c>
      <c r="U853" s="4">
        <v>0</v>
      </c>
      <c r="V853" s="4">
        <v>36</v>
      </c>
      <c r="W853" s="4">
        <v>76</v>
      </c>
    </row>
    <row r="854" spans="1:23" ht="11.25" customHeight="1" x14ac:dyDescent="0.25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31</v>
      </c>
      <c r="F854" s="4" t="s">
        <v>25</v>
      </c>
      <c r="G854" s="4" t="s">
        <v>25</v>
      </c>
      <c r="H854" s="4" t="s">
        <v>25</v>
      </c>
      <c r="I854" s="5">
        <v>44378</v>
      </c>
      <c r="J854" s="6">
        <v>0</v>
      </c>
      <c r="K854" s="6">
        <v>0</v>
      </c>
      <c r="L854" s="6">
        <v>-1.5</v>
      </c>
      <c r="M854" s="6">
        <v>-1.5</v>
      </c>
      <c r="N854" s="6">
        <v>-1.5</v>
      </c>
      <c r="O854" s="6">
        <v>-1.5</v>
      </c>
      <c r="P854" s="6">
        <v>-6</v>
      </c>
      <c r="Q854" s="4" t="s">
        <v>26</v>
      </c>
      <c r="R854" s="4">
        <v>0</v>
      </c>
      <c r="S854" s="4" t="s">
        <v>355</v>
      </c>
      <c r="T854" s="4" t="s">
        <v>588</v>
      </c>
      <c r="U854" s="4">
        <v>0</v>
      </c>
      <c r="V854" s="4">
        <v>36</v>
      </c>
      <c r="W854" s="4">
        <v>76</v>
      </c>
    </row>
    <row r="855" spans="1:23" ht="11.25" customHeight="1" x14ac:dyDescent="0.25">
      <c r="A855" s="4" t="s">
        <v>28</v>
      </c>
      <c r="B855" s="4" t="s">
        <v>22</v>
      </c>
      <c r="C855" s="4" t="s">
        <v>23</v>
      </c>
      <c r="D855" s="4" t="s">
        <v>24</v>
      </c>
      <c r="E855" s="4" t="s">
        <v>31</v>
      </c>
      <c r="F855" s="4" t="s">
        <v>25</v>
      </c>
      <c r="G855" s="4" t="s">
        <v>25</v>
      </c>
      <c r="H855" s="4" t="s">
        <v>25</v>
      </c>
      <c r="I855" s="5">
        <v>44378</v>
      </c>
      <c r="J855" s="6">
        <v>0</v>
      </c>
      <c r="K855" s="6">
        <v>0</v>
      </c>
      <c r="L855" s="6">
        <v>0.46500000000000002</v>
      </c>
      <c r="M855" s="6">
        <v>0.46500000000000002</v>
      </c>
      <c r="N855" s="6">
        <v>0.46500000000000002</v>
      </c>
      <c r="O855" s="6">
        <v>0.46500000000000002</v>
      </c>
      <c r="P855" s="6">
        <v>12</v>
      </c>
      <c r="Q855" s="4" t="s">
        <v>26</v>
      </c>
      <c r="R855" s="4">
        <v>0</v>
      </c>
      <c r="S855" s="4" t="s">
        <v>355</v>
      </c>
      <c r="T855" s="4" t="s">
        <v>588</v>
      </c>
      <c r="U855" s="4">
        <v>0</v>
      </c>
      <c r="V855" s="4">
        <v>36</v>
      </c>
      <c r="W855" s="4">
        <v>76</v>
      </c>
    </row>
    <row r="856" spans="1:23" ht="11.25" customHeight="1" x14ac:dyDescent="0.25">
      <c r="A856" s="4" t="s">
        <v>21</v>
      </c>
      <c r="B856" s="4" t="s">
        <v>22</v>
      </c>
      <c r="C856" s="4" t="s">
        <v>23</v>
      </c>
      <c r="D856" s="4" t="s">
        <v>24</v>
      </c>
      <c r="E856" s="4" t="s">
        <v>31</v>
      </c>
      <c r="F856" s="4" t="s">
        <v>25</v>
      </c>
      <c r="G856" s="4" t="s">
        <v>25</v>
      </c>
      <c r="H856" s="4" t="s">
        <v>25</v>
      </c>
      <c r="I856" s="5">
        <v>44409</v>
      </c>
      <c r="J856" s="6">
        <v>0</v>
      </c>
      <c r="K856" s="6">
        <v>0</v>
      </c>
      <c r="L856" s="6">
        <v>913.09900000000005</v>
      </c>
      <c r="M856" s="6">
        <v>913.09900000000005</v>
      </c>
      <c r="N856" s="6">
        <v>913.09900000000005</v>
      </c>
      <c r="O856" s="6">
        <v>913.09900000000005</v>
      </c>
      <c r="P856" s="6">
        <v>17686</v>
      </c>
      <c r="Q856" s="4" t="s">
        <v>26</v>
      </c>
      <c r="R856" s="4">
        <v>0</v>
      </c>
      <c r="S856" s="4" t="s">
        <v>356</v>
      </c>
      <c r="T856" s="4" t="s">
        <v>589</v>
      </c>
      <c r="U856" s="4">
        <v>0</v>
      </c>
      <c r="V856" s="4">
        <v>36</v>
      </c>
      <c r="W856" s="4">
        <v>76</v>
      </c>
    </row>
    <row r="857" spans="1:23" ht="11.25" customHeight="1" x14ac:dyDescent="0.25">
      <c r="A857" s="4" t="s">
        <v>27</v>
      </c>
      <c r="B857" s="4" t="s">
        <v>22</v>
      </c>
      <c r="C857" s="4" t="s">
        <v>23</v>
      </c>
      <c r="D857" s="4" t="s">
        <v>24</v>
      </c>
      <c r="E857" s="4" t="s">
        <v>31</v>
      </c>
      <c r="F857" s="4" t="s">
        <v>25</v>
      </c>
      <c r="G857" s="4" t="s">
        <v>25</v>
      </c>
      <c r="H857" s="4" t="s">
        <v>25</v>
      </c>
      <c r="I857" s="5">
        <v>44409</v>
      </c>
      <c r="J857" s="6">
        <v>0</v>
      </c>
      <c r="K857" s="6">
        <v>0</v>
      </c>
      <c r="L857" s="6">
        <v>-0.48</v>
      </c>
      <c r="M857" s="6">
        <v>-0.48</v>
      </c>
      <c r="N857" s="6">
        <v>-0.48</v>
      </c>
      <c r="O857" s="6">
        <v>-0.48</v>
      </c>
      <c r="P857" s="6">
        <v>-3</v>
      </c>
      <c r="Q857" s="4" t="s">
        <v>26</v>
      </c>
      <c r="R857" s="4">
        <v>0</v>
      </c>
      <c r="S857" s="4" t="s">
        <v>356</v>
      </c>
      <c r="T857" s="4" t="s">
        <v>589</v>
      </c>
      <c r="U857" s="4">
        <v>0</v>
      </c>
      <c r="V857" s="4">
        <v>36</v>
      </c>
      <c r="W857" s="4">
        <v>76</v>
      </c>
    </row>
    <row r="858" spans="1:23" ht="11.25" customHeight="1" x14ac:dyDescent="0.25">
      <c r="A858" s="4" t="s">
        <v>28</v>
      </c>
      <c r="B858" s="4" t="s">
        <v>22</v>
      </c>
      <c r="C858" s="4" t="s">
        <v>23</v>
      </c>
      <c r="D858" s="4" t="s">
        <v>24</v>
      </c>
      <c r="E858" s="4" t="s">
        <v>31</v>
      </c>
      <c r="F858" s="4" t="s">
        <v>25</v>
      </c>
      <c r="G858" s="4" t="s">
        <v>25</v>
      </c>
      <c r="H858" s="4" t="s">
        <v>25</v>
      </c>
      <c r="I858" s="5">
        <v>44409</v>
      </c>
      <c r="J858" s="6">
        <v>0</v>
      </c>
      <c r="K858" s="6">
        <v>0</v>
      </c>
      <c r="L858" s="6">
        <v>0.64700000000000002</v>
      </c>
      <c r="M858" s="6">
        <v>0.64700000000000002</v>
      </c>
      <c r="N858" s="6">
        <v>0.64700000000000002</v>
      </c>
      <c r="O858" s="6">
        <v>0.64700000000000002</v>
      </c>
      <c r="P858" s="6">
        <v>13</v>
      </c>
      <c r="Q858" s="4" t="s">
        <v>26</v>
      </c>
      <c r="R858" s="4">
        <v>0</v>
      </c>
      <c r="S858" s="4" t="s">
        <v>356</v>
      </c>
      <c r="T858" s="4" t="s">
        <v>589</v>
      </c>
      <c r="U858" s="4">
        <v>0</v>
      </c>
      <c r="V858" s="4">
        <v>36</v>
      </c>
      <c r="W858" s="4">
        <v>76</v>
      </c>
    </row>
    <row r="859" spans="1:23" ht="11.25" customHeight="1" x14ac:dyDescent="0.25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31</v>
      </c>
      <c r="F859" s="4" t="s">
        <v>25</v>
      </c>
      <c r="G859" s="4" t="s">
        <v>25</v>
      </c>
      <c r="H859" s="4" t="s">
        <v>25</v>
      </c>
      <c r="I859" s="5">
        <v>44440</v>
      </c>
      <c r="J859" s="6">
        <v>0</v>
      </c>
      <c r="K859" s="6">
        <v>0</v>
      </c>
      <c r="L859" s="6">
        <v>929.56600000000003</v>
      </c>
      <c r="M859" s="6">
        <v>929.56600000000003</v>
      </c>
      <c r="N859" s="6">
        <v>929.56600000000003</v>
      </c>
      <c r="O859" s="6">
        <v>929.56600000000003</v>
      </c>
      <c r="P859" s="6">
        <v>17764</v>
      </c>
      <c r="Q859" s="4" t="s">
        <v>26</v>
      </c>
      <c r="R859" s="4">
        <v>0</v>
      </c>
      <c r="S859" s="4" t="s">
        <v>357</v>
      </c>
      <c r="T859" s="4" t="s">
        <v>590</v>
      </c>
      <c r="U859" s="4">
        <v>0</v>
      </c>
      <c r="V859" s="4">
        <v>36</v>
      </c>
      <c r="W859" s="4">
        <v>76</v>
      </c>
    </row>
    <row r="860" spans="1:23" ht="11.25" customHeight="1" x14ac:dyDescent="0.25">
      <c r="A860" s="4" t="s">
        <v>27</v>
      </c>
      <c r="B860" s="4" t="s">
        <v>22</v>
      </c>
      <c r="C860" s="4" t="s">
        <v>23</v>
      </c>
      <c r="D860" s="4" t="s">
        <v>24</v>
      </c>
      <c r="E860" s="4" t="s">
        <v>31</v>
      </c>
      <c r="F860" s="4" t="s">
        <v>25</v>
      </c>
      <c r="G860" s="4" t="s">
        <v>25</v>
      </c>
      <c r="H860" s="4" t="s">
        <v>25</v>
      </c>
      <c r="I860" s="5">
        <v>44440</v>
      </c>
      <c r="J860" s="6">
        <v>0</v>
      </c>
      <c r="K860" s="6">
        <v>0</v>
      </c>
      <c r="L860" s="6">
        <v>-0.12</v>
      </c>
      <c r="M860" s="6">
        <v>-0.12</v>
      </c>
      <c r="N860" s="6">
        <v>-0.12</v>
      </c>
      <c r="O860" s="6">
        <v>-0.12</v>
      </c>
      <c r="P860" s="6">
        <v>0</v>
      </c>
      <c r="Q860" s="4" t="s">
        <v>26</v>
      </c>
      <c r="R860" s="4">
        <v>0</v>
      </c>
      <c r="S860" s="4" t="s">
        <v>357</v>
      </c>
      <c r="T860" s="4" t="s">
        <v>590</v>
      </c>
      <c r="U860" s="4">
        <v>0</v>
      </c>
      <c r="V860" s="4">
        <v>36</v>
      </c>
      <c r="W860" s="4">
        <v>76</v>
      </c>
    </row>
    <row r="861" spans="1:23" ht="11.25" customHeight="1" x14ac:dyDescent="0.25">
      <c r="A861" s="4" t="s">
        <v>28</v>
      </c>
      <c r="B861" s="4" t="s">
        <v>22</v>
      </c>
      <c r="C861" s="4" t="s">
        <v>23</v>
      </c>
      <c r="D861" s="4" t="s">
        <v>24</v>
      </c>
      <c r="E861" s="4" t="s">
        <v>31</v>
      </c>
      <c r="F861" s="4" t="s">
        <v>25</v>
      </c>
      <c r="G861" s="4" t="s">
        <v>25</v>
      </c>
      <c r="H861" s="4" t="s">
        <v>25</v>
      </c>
      <c r="I861" s="5">
        <v>44440</v>
      </c>
      <c r="J861" s="6">
        <v>0</v>
      </c>
      <c r="K861" s="6">
        <v>0</v>
      </c>
      <c r="L861" s="6">
        <v>0.47599999999999998</v>
      </c>
      <c r="M861" s="6">
        <v>0.47599999999999998</v>
      </c>
      <c r="N861" s="6">
        <v>0.47599999999999998</v>
      </c>
      <c r="O861" s="6">
        <v>0.47599999999999998</v>
      </c>
      <c r="P861" s="6">
        <v>8</v>
      </c>
      <c r="Q861" s="4" t="s">
        <v>26</v>
      </c>
      <c r="R861" s="4">
        <v>0</v>
      </c>
      <c r="S861" s="4" t="s">
        <v>357</v>
      </c>
      <c r="T861" s="4" t="s">
        <v>590</v>
      </c>
      <c r="U861" s="4">
        <v>0</v>
      </c>
      <c r="V861" s="4">
        <v>36</v>
      </c>
      <c r="W861" s="4">
        <v>76</v>
      </c>
    </row>
    <row r="862" spans="1:23" ht="11.25" customHeight="1" x14ac:dyDescent="0.25">
      <c r="A862" s="4" t="s">
        <v>21</v>
      </c>
      <c r="B862" s="4" t="s">
        <v>22</v>
      </c>
      <c r="C862" s="4" t="s">
        <v>23</v>
      </c>
      <c r="D862" s="4" t="s">
        <v>24</v>
      </c>
      <c r="E862" s="4" t="s">
        <v>31</v>
      </c>
      <c r="F862" s="4" t="s">
        <v>25</v>
      </c>
      <c r="G862" s="4" t="s">
        <v>25</v>
      </c>
      <c r="H862" s="4" t="s">
        <v>25</v>
      </c>
      <c r="I862" s="5">
        <v>44470</v>
      </c>
      <c r="J862" s="6">
        <v>0</v>
      </c>
      <c r="K862" s="6">
        <v>0</v>
      </c>
      <c r="L862" s="6">
        <v>1069.4159999999999</v>
      </c>
      <c r="M862" s="6">
        <v>1069.4159999999999</v>
      </c>
      <c r="N862" s="6">
        <v>1069.4159999999999</v>
      </c>
      <c r="O862" s="6">
        <v>1069.4159999999999</v>
      </c>
      <c r="P862" s="6">
        <v>19709</v>
      </c>
      <c r="Q862" s="4" t="s">
        <v>26</v>
      </c>
      <c r="R862" s="4">
        <v>0</v>
      </c>
      <c r="S862" s="4" t="s">
        <v>358</v>
      </c>
      <c r="T862" s="4" t="s">
        <v>591</v>
      </c>
      <c r="U862" s="4">
        <v>0</v>
      </c>
      <c r="V862" s="4">
        <v>36</v>
      </c>
      <c r="W862" s="4">
        <v>76</v>
      </c>
    </row>
    <row r="863" spans="1:23" ht="11.25" customHeight="1" x14ac:dyDescent="0.25">
      <c r="A863" s="4" t="s">
        <v>28</v>
      </c>
      <c r="B863" s="4" t="s">
        <v>22</v>
      </c>
      <c r="C863" s="4" t="s">
        <v>23</v>
      </c>
      <c r="D863" s="4" t="s">
        <v>24</v>
      </c>
      <c r="E863" s="4" t="s">
        <v>31</v>
      </c>
      <c r="F863" s="4" t="s">
        <v>25</v>
      </c>
      <c r="G863" s="4" t="s">
        <v>25</v>
      </c>
      <c r="H863" s="4" t="s">
        <v>25</v>
      </c>
      <c r="I863" s="5">
        <v>44470</v>
      </c>
      <c r="J863" s="6">
        <v>0</v>
      </c>
      <c r="K863" s="6">
        <v>0</v>
      </c>
      <c r="L863" s="6">
        <v>0.67600000000000005</v>
      </c>
      <c r="M863" s="6">
        <v>0.67600000000000005</v>
      </c>
      <c r="N863" s="6">
        <v>0.67600000000000005</v>
      </c>
      <c r="O863" s="6">
        <v>0.67600000000000005</v>
      </c>
      <c r="P863" s="6">
        <v>14</v>
      </c>
      <c r="Q863" s="4" t="s">
        <v>26</v>
      </c>
      <c r="R863" s="4">
        <v>0</v>
      </c>
      <c r="S863" s="4" t="s">
        <v>358</v>
      </c>
      <c r="T863" s="4" t="s">
        <v>591</v>
      </c>
      <c r="U863" s="4">
        <v>0</v>
      </c>
      <c r="V863" s="4">
        <v>36</v>
      </c>
      <c r="W863" s="4">
        <v>76</v>
      </c>
    </row>
    <row r="864" spans="1:23" ht="11.25" customHeight="1" x14ac:dyDescent="0.25">
      <c r="A864" s="4" t="s">
        <v>21</v>
      </c>
      <c r="B864" s="4" t="s">
        <v>22</v>
      </c>
      <c r="C864" s="4" t="s">
        <v>23</v>
      </c>
      <c r="D864" s="4" t="s">
        <v>24</v>
      </c>
      <c r="E864" s="4" t="s">
        <v>31</v>
      </c>
      <c r="F864" s="4" t="s">
        <v>25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1095.4280000000001</v>
      </c>
      <c r="M864" s="6">
        <v>1095.4280000000001</v>
      </c>
      <c r="N864" s="6">
        <v>1095.4280000000001</v>
      </c>
      <c r="O864" s="6">
        <v>1095.4280000000001</v>
      </c>
      <c r="P864" s="6">
        <v>19840</v>
      </c>
      <c r="Q864" s="4" t="s">
        <v>26</v>
      </c>
      <c r="R864" s="4">
        <v>0</v>
      </c>
      <c r="S864" s="4" t="s">
        <v>359</v>
      </c>
      <c r="T864" s="4" t="s">
        <v>592</v>
      </c>
      <c r="U864" s="4">
        <v>0</v>
      </c>
      <c r="V864" s="4">
        <v>36</v>
      </c>
      <c r="W864" s="4">
        <v>76</v>
      </c>
    </row>
    <row r="865" spans="1:23" ht="11.25" customHeight="1" x14ac:dyDescent="0.25">
      <c r="A865" s="4" t="s">
        <v>27</v>
      </c>
      <c r="B865" s="4" t="s">
        <v>22</v>
      </c>
      <c r="C865" s="4" t="s">
        <v>23</v>
      </c>
      <c r="D865" s="4" t="s">
        <v>24</v>
      </c>
      <c r="E865" s="4" t="s">
        <v>31</v>
      </c>
      <c r="F865" s="4" t="s">
        <v>25</v>
      </c>
      <c r="G865" s="4" t="s">
        <v>25</v>
      </c>
      <c r="H865" s="4" t="s">
        <v>25</v>
      </c>
      <c r="I865" s="5">
        <v>44501</v>
      </c>
      <c r="J865" s="6">
        <v>0</v>
      </c>
      <c r="K865" s="6">
        <v>0</v>
      </c>
      <c r="L865" s="6">
        <v>-0.33200000000000002</v>
      </c>
      <c r="M865" s="6">
        <v>-0.33200000000000002</v>
      </c>
      <c r="N865" s="6">
        <v>-0.33200000000000002</v>
      </c>
      <c r="O865" s="6">
        <v>-0.33200000000000002</v>
      </c>
      <c r="P865" s="6">
        <v>-3</v>
      </c>
      <c r="Q865" s="4" t="s">
        <v>26</v>
      </c>
      <c r="R865" s="4">
        <v>0</v>
      </c>
      <c r="S865" s="4" t="s">
        <v>359</v>
      </c>
      <c r="T865" s="4" t="s">
        <v>592</v>
      </c>
      <c r="U865" s="4">
        <v>0</v>
      </c>
      <c r="V865" s="4">
        <v>36</v>
      </c>
      <c r="W865" s="4">
        <v>76</v>
      </c>
    </row>
    <row r="866" spans="1:23" ht="11.25" customHeight="1" x14ac:dyDescent="0.25">
      <c r="A866" s="4" t="s">
        <v>28</v>
      </c>
      <c r="B866" s="4" t="s">
        <v>22</v>
      </c>
      <c r="C866" s="4" t="s">
        <v>23</v>
      </c>
      <c r="D866" s="4" t="s">
        <v>24</v>
      </c>
      <c r="E866" s="4" t="s">
        <v>31</v>
      </c>
      <c r="F866" s="4" t="s">
        <v>25</v>
      </c>
      <c r="G866" s="4" t="s">
        <v>25</v>
      </c>
      <c r="H866" s="4" t="s">
        <v>25</v>
      </c>
      <c r="I866" s="5">
        <v>44501</v>
      </c>
      <c r="J866" s="6">
        <v>0</v>
      </c>
      <c r="K866" s="6">
        <v>0</v>
      </c>
      <c r="L866" s="6">
        <v>1.2170000000000001</v>
      </c>
      <c r="M866" s="6">
        <v>1.2170000000000001</v>
      </c>
      <c r="N866" s="6">
        <v>1.2170000000000001</v>
      </c>
      <c r="O866" s="6">
        <v>1.2170000000000001</v>
      </c>
      <c r="P866" s="6">
        <v>14</v>
      </c>
      <c r="Q866" s="4" t="s">
        <v>26</v>
      </c>
      <c r="R866" s="4">
        <v>0</v>
      </c>
      <c r="S866" s="4" t="s">
        <v>359</v>
      </c>
      <c r="T866" s="4" t="s">
        <v>592</v>
      </c>
      <c r="U866" s="4">
        <v>0</v>
      </c>
      <c r="V866" s="4">
        <v>36</v>
      </c>
      <c r="W866" s="4">
        <v>76</v>
      </c>
    </row>
    <row r="867" spans="1:23" ht="11.25" customHeight="1" x14ac:dyDescent="0.25">
      <c r="A867" s="4" t="s">
        <v>21</v>
      </c>
      <c r="B867" s="4" t="s">
        <v>22</v>
      </c>
      <c r="C867" s="4" t="s">
        <v>23</v>
      </c>
      <c r="D867" s="4" t="s">
        <v>24</v>
      </c>
      <c r="E867" s="4" t="s">
        <v>31</v>
      </c>
      <c r="F867" s="4" t="s">
        <v>25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1199.095</v>
      </c>
      <c r="M867" s="6">
        <v>1199.095</v>
      </c>
      <c r="N867" s="6">
        <v>1199.095</v>
      </c>
      <c r="O867" s="6">
        <v>1199.095</v>
      </c>
      <c r="P867" s="6">
        <v>20824</v>
      </c>
      <c r="Q867" s="4" t="s">
        <v>26</v>
      </c>
      <c r="R867" s="4">
        <v>0</v>
      </c>
      <c r="S867" s="4" t="s">
        <v>360</v>
      </c>
      <c r="T867" s="4" t="s">
        <v>593</v>
      </c>
      <c r="U867" s="4">
        <v>0</v>
      </c>
      <c r="V867" s="4">
        <v>36</v>
      </c>
      <c r="W867" s="4">
        <v>76</v>
      </c>
    </row>
    <row r="868" spans="1:23" ht="11.25" customHeight="1" x14ac:dyDescent="0.25">
      <c r="A868" s="4" t="s">
        <v>27</v>
      </c>
      <c r="B868" s="4" t="s">
        <v>22</v>
      </c>
      <c r="C868" s="4" t="s">
        <v>23</v>
      </c>
      <c r="D868" s="4" t="s">
        <v>24</v>
      </c>
      <c r="E868" s="4" t="s">
        <v>31</v>
      </c>
      <c r="F868" s="4" t="s">
        <v>25</v>
      </c>
      <c r="G868" s="4" t="s">
        <v>25</v>
      </c>
      <c r="H868" s="4" t="s">
        <v>25</v>
      </c>
      <c r="I868" s="5">
        <v>44531</v>
      </c>
      <c r="J868" s="6">
        <v>0</v>
      </c>
      <c r="K868" s="6">
        <v>0</v>
      </c>
      <c r="L868" s="6">
        <v>-0.155</v>
      </c>
      <c r="M868" s="6">
        <v>-0.155</v>
      </c>
      <c r="N868" s="6">
        <v>-0.155</v>
      </c>
      <c r="O868" s="6">
        <v>-0.155</v>
      </c>
      <c r="P868" s="6">
        <v>-1</v>
      </c>
      <c r="Q868" s="4" t="s">
        <v>26</v>
      </c>
      <c r="R868" s="4">
        <v>0</v>
      </c>
      <c r="S868" s="4" t="s">
        <v>360</v>
      </c>
      <c r="T868" s="4" t="s">
        <v>593</v>
      </c>
      <c r="U868" s="4">
        <v>0</v>
      </c>
      <c r="V868" s="4">
        <v>36</v>
      </c>
      <c r="W868" s="4">
        <v>76</v>
      </c>
    </row>
    <row r="869" spans="1:23" ht="11.25" customHeight="1" x14ac:dyDescent="0.25">
      <c r="A869" s="4" t="s">
        <v>28</v>
      </c>
      <c r="B869" s="4" t="s">
        <v>22</v>
      </c>
      <c r="C869" s="4" t="s">
        <v>23</v>
      </c>
      <c r="D869" s="4" t="s">
        <v>24</v>
      </c>
      <c r="E869" s="4" t="s">
        <v>31</v>
      </c>
      <c r="F869" s="4" t="s">
        <v>25</v>
      </c>
      <c r="G869" s="4" t="s">
        <v>25</v>
      </c>
      <c r="H869" s="4" t="s">
        <v>25</v>
      </c>
      <c r="I869" s="5">
        <v>44531</v>
      </c>
      <c r="J869" s="6">
        <v>0</v>
      </c>
      <c r="K869" s="6">
        <v>0</v>
      </c>
      <c r="L869" s="6">
        <v>1.5429999999999999</v>
      </c>
      <c r="M869" s="6">
        <v>1.5429999999999999</v>
      </c>
      <c r="N869" s="6">
        <v>1.5429999999999999</v>
      </c>
      <c r="O869" s="6">
        <v>1.5429999999999999</v>
      </c>
      <c r="P869" s="6">
        <v>16</v>
      </c>
      <c r="Q869" s="4" t="s">
        <v>26</v>
      </c>
      <c r="R869" s="4">
        <v>0</v>
      </c>
      <c r="S869" s="4" t="s">
        <v>360</v>
      </c>
      <c r="T869" s="4" t="s">
        <v>593</v>
      </c>
      <c r="U869" s="4">
        <v>0</v>
      </c>
      <c r="V869" s="4">
        <v>36</v>
      </c>
      <c r="W869" s="4">
        <v>76</v>
      </c>
    </row>
    <row r="870" spans="1:23" ht="11.25" customHeight="1" x14ac:dyDescent="0.25">
      <c r="A870" s="4" t="s">
        <v>55</v>
      </c>
      <c r="B870" s="4" t="s">
        <v>22</v>
      </c>
      <c r="C870" s="4" t="s">
        <v>23</v>
      </c>
      <c r="D870" s="4" t="s">
        <v>24</v>
      </c>
      <c r="E870" s="4" t="s">
        <v>31</v>
      </c>
      <c r="F870" s="4" t="s">
        <v>25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1199.095</v>
      </c>
      <c r="M870" s="6">
        <v>1199.095</v>
      </c>
      <c r="N870" s="6">
        <v>1199.095</v>
      </c>
      <c r="O870" s="6">
        <v>1199.095</v>
      </c>
      <c r="P870" s="6">
        <v>20824</v>
      </c>
      <c r="Q870" s="4" t="s">
        <v>26</v>
      </c>
      <c r="R870" s="4">
        <v>0</v>
      </c>
      <c r="S870" s="4" t="s">
        <v>361</v>
      </c>
      <c r="T870" s="4" t="s">
        <v>594</v>
      </c>
      <c r="U870" s="4">
        <v>0</v>
      </c>
      <c r="V870" s="4">
        <v>36</v>
      </c>
      <c r="W870" s="4">
        <v>76</v>
      </c>
    </row>
    <row r="871" spans="1:23" ht="11.25" customHeight="1" x14ac:dyDescent="0.25">
      <c r="A871" s="4" t="s">
        <v>55</v>
      </c>
      <c r="B871" s="4" t="s">
        <v>22</v>
      </c>
      <c r="C871" s="4" t="s">
        <v>23</v>
      </c>
      <c r="D871" s="4" t="s">
        <v>24</v>
      </c>
      <c r="E871" s="4" t="s">
        <v>31</v>
      </c>
      <c r="F871" s="4" t="s">
        <v>25</v>
      </c>
      <c r="G871" s="4" t="s">
        <v>25</v>
      </c>
      <c r="H871" s="4" t="s">
        <v>25</v>
      </c>
      <c r="I871" s="5">
        <v>44562</v>
      </c>
      <c r="J871" s="6">
        <v>0</v>
      </c>
      <c r="K871" s="6">
        <v>0</v>
      </c>
      <c r="L871" s="6">
        <v>-0.155</v>
      </c>
      <c r="M871" s="6">
        <v>-0.155</v>
      </c>
      <c r="N871" s="6">
        <v>-0.155</v>
      </c>
      <c r="O871" s="6">
        <v>-0.155</v>
      </c>
      <c r="P871" s="6">
        <v>-1</v>
      </c>
      <c r="Q871" s="4" t="s">
        <v>26</v>
      </c>
      <c r="R871" s="4">
        <v>0</v>
      </c>
      <c r="S871" s="4" t="s">
        <v>361</v>
      </c>
      <c r="T871" s="4" t="s">
        <v>594</v>
      </c>
      <c r="U871" s="4">
        <v>0</v>
      </c>
      <c r="V871" s="4">
        <v>36</v>
      </c>
      <c r="W871" s="4">
        <v>76</v>
      </c>
    </row>
    <row r="872" spans="1:23" ht="11.25" customHeight="1" x14ac:dyDescent="0.25">
      <c r="A872" s="4" t="s">
        <v>55</v>
      </c>
      <c r="B872" s="4" t="s">
        <v>22</v>
      </c>
      <c r="C872" s="4" t="s">
        <v>23</v>
      </c>
      <c r="D872" s="4" t="s">
        <v>24</v>
      </c>
      <c r="E872" s="4" t="s">
        <v>31</v>
      </c>
      <c r="F872" s="4" t="s">
        <v>25</v>
      </c>
      <c r="G872" s="4" t="s">
        <v>25</v>
      </c>
      <c r="H872" s="4" t="s">
        <v>25</v>
      </c>
      <c r="I872" s="5">
        <v>44562</v>
      </c>
      <c r="J872" s="6">
        <v>0</v>
      </c>
      <c r="K872" s="6">
        <v>0</v>
      </c>
      <c r="L872" s="6">
        <v>1.5429999999999999</v>
      </c>
      <c r="M872" s="6">
        <v>1.5429999999999999</v>
      </c>
      <c r="N872" s="6">
        <v>1.5429999999999999</v>
      </c>
      <c r="O872" s="6">
        <v>1.5429999999999999</v>
      </c>
      <c r="P872" s="6">
        <v>16</v>
      </c>
      <c r="Q872" s="4" t="s">
        <v>26</v>
      </c>
      <c r="R872" s="4">
        <v>0</v>
      </c>
      <c r="S872" s="4" t="s">
        <v>361</v>
      </c>
      <c r="T872" s="4" t="s">
        <v>594</v>
      </c>
      <c r="U872" s="4">
        <v>0</v>
      </c>
      <c r="V872" s="4">
        <v>36</v>
      </c>
      <c r="W872" s="4">
        <v>76</v>
      </c>
    </row>
    <row r="873" spans="1:23" ht="11.25" customHeight="1" x14ac:dyDescent="0.25">
      <c r="A873" s="4" t="s">
        <v>21</v>
      </c>
      <c r="B873" s="4" t="s">
        <v>22</v>
      </c>
      <c r="C873" s="4" t="s">
        <v>23</v>
      </c>
      <c r="D873" s="4" t="s">
        <v>24</v>
      </c>
      <c r="E873" s="4" t="s">
        <v>32</v>
      </c>
      <c r="F873" s="4" t="s">
        <v>25</v>
      </c>
      <c r="G873" s="4" t="s">
        <v>25</v>
      </c>
      <c r="H873" s="4" t="s">
        <v>25</v>
      </c>
      <c r="I873" s="5">
        <v>44228</v>
      </c>
      <c r="J873" s="6">
        <v>0</v>
      </c>
      <c r="K873" s="6">
        <v>0</v>
      </c>
      <c r="L873" s="6">
        <v>229.078</v>
      </c>
      <c r="M873" s="6">
        <v>229.078</v>
      </c>
      <c r="N873" s="6">
        <v>229.078</v>
      </c>
      <c r="O873" s="6">
        <v>229.078</v>
      </c>
      <c r="P873" s="6">
        <v>2614</v>
      </c>
      <c r="Q873" s="4" t="s">
        <v>26</v>
      </c>
      <c r="R873" s="4">
        <v>0</v>
      </c>
      <c r="S873" s="4" t="s">
        <v>362</v>
      </c>
      <c r="T873" s="4" t="s">
        <v>595</v>
      </c>
      <c r="U873" s="4">
        <v>0</v>
      </c>
      <c r="V873" s="4">
        <v>37</v>
      </c>
      <c r="W873" s="4">
        <v>77</v>
      </c>
    </row>
    <row r="874" spans="1:23" ht="11.25" customHeight="1" x14ac:dyDescent="0.25">
      <c r="A874" s="4" t="s">
        <v>28</v>
      </c>
      <c r="B874" s="4" t="s">
        <v>22</v>
      </c>
      <c r="C874" s="4" t="s">
        <v>23</v>
      </c>
      <c r="D874" s="4" t="s">
        <v>24</v>
      </c>
      <c r="E874" s="4" t="s">
        <v>32</v>
      </c>
      <c r="F874" s="4" t="s">
        <v>25</v>
      </c>
      <c r="G874" s="4" t="s">
        <v>25</v>
      </c>
      <c r="H874" s="4" t="s">
        <v>25</v>
      </c>
      <c r="I874" s="5">
        <v>44228</v>
      </c>
      <c r="J874" s="6">
        <v>0</v>
      </c>
      <c r="K874" s="6">
        <v>0</v>
      </c>
      <c r="L874" s="6">
        <v>1.423</v>
      </c>
      <c r="M874" s="6">
        <v>1.423</v>
      </c>
      <c r="N874" s="6">
        <v>1.423</v>
      </c>
      <c r="O874" s="6">
        <v>1.423</v>
      </c>
      <c r="P874" s="6">
        <v>6</v>
      </c>
      <c r="Q874" s="4" t="s">
        <v>26</v>
      </c>
      <c r="R874" s="4">
        <v>0</v>
      </c>
      <c r="S874" s="4" t="s">
        <v>362</v>
      </c>
      <c r="T874" s="4" t="s">
        <v>595</v>
      </c>
      <c r="U874" s="4">
        <v>0</v>
      </c>
      <c r="V874" s="4">
        <v>37</v>
      </c>
      <c r="W874" s="4">
        <v>77</v>
      </c>
    </row>
    <row r="875" spans="1:23" ht="11.25" customHeight="1" x14ac:dyDescent="0.25">
      <c r="A875" s="4" t="s">
        <v>21</v>
      </c>
      <c r="B875" s="4" t="s">
        <v>22</v>
      </c>
      <c r="C875" s="4" t="s">
        <v>23</v>
      </c>
      <c r="D875" s="4" t="s">
        <v>24</v>
      </c>
      <c r="E875" s="4" t="s">
        <v>32</v>
      </c>
      <c r="F875" s="4" t="s">
        <v>25</v>
      </c>
      <c r="G875" s="4" t="s">
        <v>25</v>
      </c>
      <c r="H875" s="4" t="s">
        <v>25</v>
      </c>
      <c r="I875" s="5">
        <v>44256</v>
      </c>
      <c r="J875" s="6">
        <v>0</v>
      </c>
      <c r="K875" s="6">
        <v>0</v>
      </c>
      <c r="L875" s="6">
        <v>288.39699999999999</v>
      </c>
      <c r="M875" s="6">
        <v>288.39699999999999</v>
      </c>
      <c r="N875" s="6">
        <v>288.39699999999999</v>
      </c>
      <c r="O875" s="6">
        <v>288.39699999999999</v>
      </c>
      <c r="P875" s="6">
        <v>3227</v>
      </c>
      <c r="Q875" s="4" t="s">
        <v>26</v>
      </c>
      <c r="R875" s="4">
        <v>0</v>
      </c>
      <c r="S875" s="4" t="s">
        <v>363</v>
      </c>
      <c r="T875" s="4" t="s">
        <v>596</v>
      </c>
      <c r="U875" s="4">
        <v>0</v>
      </c>
      <c r="V875" s="4">
        <v>37</v>
      </c>
      <c r="W875" s="4">
        <v>77</v>
      </c>
    </row>
    <row r="876" spans="1:23" ht="11.25" customHeight="1" x14ac:dyDescent="0.25">
      <c r="A876" s="4" t="s">
        <v>27</v>
      </c>
      <c r="B876" s="4" t="s">
        <v>22</v>
      </c>
      <c r="C876" s="4" t="s">
        <v>23</v>
      </c>
      <c r="D876" s="4" t="s">
        <v>24</v>
      </c>
      <c r="E876" s="4" t="s">
        <v>32</v>
      </c>
      <c r="F876" s="4" t="s">
        <v>25</v>
      </c>
      <c r="G876" s="4" t="s">
        <v>25</v>
      </c>
      <c r="H876" s="4" t="s">
        <v>25</v>
      </c>
      <c r="I876" s="5">
        <v>44256</v>
      </c>
      <c r="J876" s="6">
        <v>0</v>
      </c>
      <c r="K876" s="6">
        <v>0</v>
      </c>
      <c r="L876" s="6">
        <v>-0.627</v>
      </c>
      <c r="M876" s="6">
        <v>-0.627</v>
      </c>
      <c r="N876" s="6">
        <v>-0.627</v>
      </c>
      <c r="O876" s="6">
        <v>-0.627</v>
      </c>
      <c r="P876" s="6">
        <v>-3</v>
      </c>
      <c r="Q876" s="4" t="s">
        <v>26</v>
      </c>
      <c r="R876" s="4">
        <v>0</v>
      </c>
      <c r="S876" s="4" t="s">
        <v>363</v>
      </c>
      <c r="T876" s="4" t="s">
        <v>596</v>
      </c>
      <c r="U876" s="4">
        <v>0</v>
      </c>
      <c r="V876" s="4">
        <v>37</v>
      </c>
      <c r="W876" s="4">
        <v>77</v>
      </c>
    </row>
    <row r="877" spans="1:23" ht="11.25" customHeight="1" x14ac:dyDescent="0.25">
      <c r="A877" s="4" t="s">
        <v>28</v>
      </c>
      <c r="B877" s="4" t="s">
        <v>22</v>
      </c>
      <c r="C877" s="4" t="s">
        <v>23</v>
      </c>
      <c r="D877" s="4" t="s">
        <v>24</v>
      </c>
      <c r="E877" s="4" t="s">
        <v>32</v>
      </c>
      <c r="F877" s="4" t="s">
        <v>25</v>
      </c>
      <c r="G877" s="4" t="s">
        <v>25</v>
      </c>
      <c r="H877" s="4" t="s">
        <v>25</v>
      </c>
      <c r="I877" s="5">
        <v>44256</v>
      </c>
      <c r="J877" s="6">
        <v>0</v>
      </c>
      <c r="K877" s="6">
        <v>0</v>
      </c>
      <c r="L877" s="6">
        <v>1.5620000000000001</v>
      </c>
      <c r="M877" s="6">
        <v>1.5620000000000001</v>
      </c>
      <c r="N877" s="6">
        <v>1.5620000000000001</v>
      </c>
      <c r="O877" s="6">
        <v>1.5620000000000001</v>
      </c>
      <c r="P877" s="6">
        <v>6</v>
      </c>
      <c r="Q877" s="4" t="s">
        <v>26</v>
      </c>
      <c r="R877" s="4">
        <v>0</v>
      </c>
      <c r="S877" s="4" t="s">
        <v>363</v>
      </c>
      <c r="T877" s="4" t="s">
        <v>596</v>
      </c>
      <c r="U877" s="4">
        <v>0</v>
      </c>
      <c r="V877" s="4">
        <v>37</v>
      </c>
      <c r="W877" s="4">
        <v>77</v>
      </c>
    </row>
    <row r="878" spans="1:23" ht="11.25" customHeight="1" x14ac:dyDescent="0.25">
      <c r="A878" s="4" t="s">
        <v>21</v>
      </c>
      <c r="B878" s="4" t="s">
        <v>22</v>
      </c>
      <c r="C878" s="4" t="s">
        <v>23</v>
      </c>
      <c r="D878" s="4" t="s">
        <v>24</v>
      </c>
      <c r="E878" s="4" t="s">
        <v>32</v>
      </c>
      <c r="F878" s="4" t="s">
        <v>25</v>
      </c>
      <c r="G878" s="4" t="s">
        <v>25</v>
      </c>
      <c r="H878" s="4" t="s">
        <v>25</v>
      </c>
      <c r="I878" s="5">
        <v>44287</v>
      </c>
      <c r="J878" s="6">
        <v>0</v>
      </c>
      <c r="K878" s="6">
        <v>0</v>
      </c>
      <c r="L878" s="6">
        <v>290.33600000000001</v>
      </c>
      <c r="M878" s="6">
        <v>290.33600000000001</v>
      </c>
      <c r="N878" s="6">
        <v>290.33600000000001</v>
      </c>
      <c r="O878" s="6">
        <v>290.33600000000001</v>
      </c>
      <c r="P878" s="6">
        <v>3403</v>
      </c>
      <c r="Q878" s="4" t="s">
        <v>26</v>
      </c>
      <c r="R878" s="4">
        <v>0</v>
      </c>
      <c r="S878" s="4" t="s">
        <v>364</v>
      </c>
      <c r="T878" s="4" t="s">
        <v>597</v>
      </c>
      <c r="U878" s="4">
        <v>0</v>
      </c>
      <c r="V878" s="4">
        <v>37</v>
      </c>
      <c r="W878" s="4">
        <v>77</v>
      </c>
    </row>
    <row r="879" spans="1:23" ht="11.25" customHeight="1" x14ac:dyDescent="0.25">
      <c r="A879" s="4" t="s">
        <v>28</v>
      </c>
      <c r="B879" s="4" t="s">
        <v>22</v>
      </c>
      <c r="C879" s="4" t="s">
        <v>23</v>
      </c>
      <c r="D879" s="4" t="s">
        <v>24</v>
      </c>
      <c r="E879" s="4" t="s">
        <v>32</v>
      </c>
      <c r="F879" s="4" t="s">
        <v>25</v>
      </c>
      <c r="G879" s="4" t="s">
        <v>25</v>
      </c>
      <c r="H879" s="4" t="s">
        <v>25</v>
      </c>
      <c r="I879" s="5">
        <v>44287</v>
      </c>
      <c r="J879" s="6">
        <v>0</v>
      </c>
      <c r="K879" s="6">
        <v>0</v>
      </c>
      <c r="L879" s="6">
        <v>1.69</v>
      </c>
      <c r="M879" s="6">
        <v>1.69</v>
      </c>
      <c r="N879" s="6">
        <v>1.69</v>
      </c>
      <c r="O879" s="6">
        <v>1.69</v>
      </c>
      <c r="P879" s="6">
        <v>7</v>
      </c>
      <c r="Q879" s="4" t="s">
        <v>26</v>
      </c>
      <c r="R879" s="4">
        <v>0</v>
      </c>
      <c r="S879" s="4" t="s">
        <v>364</v>
      </c>
      <c r="T879" s="4" t="s">
        <v>597</v>
      </c>
      <c r="U879" s="4">
        <v>0</v>
      </c>
      <c r="V879" s="4">
        <v>37</v>
      </c>
      <c r="W879" s="4">
        <v>77</v>
      </c>
    </row>
    <row r="880" spans="1:23" ht="11.25" customHeight="1" x14ac:dyDescent="0.25">
      <c r="A880" s="4" t="s">
        <v>21</v>
      </c>
      <c r="B880" s="4" t="s">
        <v>22</v>
      </c>
      <c r="C880" s="4" t="s">
        <v>23</v>
      </c>
      <c r="D880" s="4" t="s">
        <v>24</v>
      </c>
      <c r="E880" s="4" t="s">
        <v>32</v>
      </c>
      <c r="F880" s="4" t="s">
        <v>25</v>
      </c>
      <c r="G880" s="4" t="s">
        <v>25</v>
      </c>
      <c r="H880" s="4" t="s">
        <v>25</v>
      </c>
      <c r="I880" s="5">
        <v>44317</v>
      </c>
      <c r="J880" s="6">
        <v>0</v>
      </c>
      <c r="K880" s="6">
        <v>0</v>
      </c>
      <c r="L880" s="6">
        <v>239.893</v>
      </c>
      <c r="M880" s="6">
        <v>239.893</v>
      </c>
      <c r="N880" s="6">
        <v>239.893</v>
      </c>
      <c r="O880" s="6">
        <v>239.893</v>
      </c>
      <c r="P880" s="6">
        <v>2683</v>
      </c>
      <c r="Q880" s="4" t="s">
        <v>26</v>
      </c>
      <c r="R880" s="4">
        <v>0</v>
      </c>
      <c r="S880" s="4" t="s">
        <v>365</v>
      </c>
      <c r="T880" s="4" t="s">
        <v>598</v>
      </c>
      <c r="U880" s="4">
        <v>0</v>
      </c>
      <c r="V880" s="4">
        <v>37</v>
      </c>
      <c r="W880" s="4">
        <v>77</v>
      </c>
    </row>
    <row r="881" spans="1:23" ht="11.25" customHeight="1" x14ac:dyDescent="0.25">
      <c r="A881" s="4" t="s">
        <v>27</v>
      </c>
      <c r="B881" s="4" t="s">
        <v>22</v>
      </c>
      <c r="C881" s="4" t="s">
        <v>23</v>
      </c>
      <c r="D881" s="4" t="s">
        <v>24</v>
      </c>
      <c r="E881" s="4" t="s">
        <v>32</v>
      </c>
      <c r="F881" s="4" t="s">
        <v>25</v>
      </c>
      <c r="G881" s="4" t="s">
        <v>25</v>
      </c>
      <c r="H881" s="4" t="s">
        <v>25</v>
      </c>
      <c r="I881" s="5">
        <v>44317</v>
      </c>
      <c r="J881" s="6">
        <v>0</v>
      </c>
      <c r="K881" s="6">
        <v>0</v>
      </c>
      <c r="L881" s="6">
        <v>-7.0000000000000001E-3</v>
      </c>
      <c r="M881" s="6">
        <v>-7.0000000000000001E-3</v>
      </c>
      <c r="N881" s="6">
        <v>-7.0000000000000001E-3</v>
      </c>
      <c r="O881" s="6">
        <v>-7.0000000000000001E-3</v>
      </c>
      <c r="P881" s="6">
        <v>-1</v>
      </c>
      <c r="Q881" s="4" t="s">
        <v>26</v>
      </c>
      <c r="R881" s="4">
        <v>0</v>
      </c>
      <c r="S881" s="4" t="s">
        <v>365</v>
      </c>
      <c r="T881" s="4" t="s">
        <v>598</v>
      </c>
      <c r="U881" s="4">
        <v>0</v>
      </c>
      <c r="V881" s="4">
        <v>37</v>
      </c>
      <c r="W881" s="4">
        <v>77</v>
      </c>
    </row>
    <row r="882" spans="1:23" ht="11.25" customHeight="1" x14ac:dyDescent="0.25">
      <c r="A882" s="4" t="s">
        <v>28</v>
      </c>
      <c r="B882" s="4" t="s">
        <v>22</v>
      </c>
      <c r="C882" s="4" t="s">
        <v>23</v>
      </c>
      <c r="D882" s="4" t="s">
        <v>24</v>
      </c>
      <c r="E882" s="4" t="s">
        <v>32</v>
      </c>
      <c r="F882" s="4" t="s">
        <v>25</v>
      </c>
      <c r="G882" s="4" t="s">
        <v>25</v>
      </c>
      <c r="H882" s="4" t="s">
        <v>25</v>
      </c>
      <c r="I882" s="5">
        <v>44317</v>
      </c>
      <c r="J882" s="6">
        <v>0</v>
      </c>
      <c r="K882" s="6">
        <v>0</v>
      </c>
      <c r="L882" s="6">
        <v>1.52</v>
      </c>
      <c r="M882" s="6">
        <v>1.52</v>
      </c>
      <c r="N882" s="6">
        <v>1.52</v>
      </c>
      <c r="O882" s="6">
        <v>1.52</v>
      </c>
      <c r="P882" s="6">
        <v>6</v>
      </c>
      <c r="Q882" s="4" t="s">
        <v>26</v>
      </c>
      <c r="R882" s="4">
        <v>0</v>
      </c>
      <c r="S882" s="4" t="s">
        <v>365</v>
      </c>
      <c r="T882" s="4" t="s">
        <v>598</v>
      </c>
      <c r="U882" s="4">
        <v>0</v>
      </c>
      <c r="V882" s="4">
        <v>37</v>
      </c>
      <c r="W882" s="4">
        <v>77</v>
      </c>
    </row>
    <row r="883" spans="1:23" ht="11.25" customHeight="1" x14ac:dyDescent="0.25">
      <c r="A883" s="4" t="s">
        <v>21</v>
      </c>
      <c r="B883" s="4" t="s">
        <v>22</v>
      </c>
      <c r="C883" s="4" t="s">
        <v>23</v>
      </c>
      <c r="D883" s="4" t="s">
        <v>24</v>
      </c>
      <c r="E883" s="4" t="s">
        <v>32</v>
      </c>
      <c r="F883" s="4" t="s">
        <v>25</v>
      </c>
      <c r="G883" s="4" t="s">
        <v>25</v>
      </c>
      <c r="H883" s="4" t="s">
        <v>25</v>
      </c>
      <c r="I883" s="5">
        <v>44348</v>
      </c>
      <c r="J883" s="6">
        <v>0</v>
      </c>
      <c r="K883" s="6">
        <v>0</v>
      </c>
      <c r="L883" s="6">
        <v>202.10900000000001</v>
      </c>
      <c r="M883" s="6">
        <v>202.10900000000001</v>
      </c>
      <c r="N883" s="6">
        <v>202.10900000000001</v>
      </c>
      <c r="O883" s="6">
        <v>202.10900000000001</v>
      </c>
      <c r="P883" s="6">
        <v>2204</v>
      </c>
      <c r="Q883" s="4" t="s">
        <v>26</v>
      </c>
      <c r="R883" s="4">
        <v>0</v>
      </c>
      <c r="S883" s="4" t="s">
        <v>366</v>
      </c>
      <c r="T883" s="4" t="s">
        <v>599</v>
      </c>
      <c r="U883" s="4">
        <v>0</v>
      </c>
      <c r="V883" s="4">
        <v>37</v>
      </c>
      <c r="W883" s="4">
        <v>77</v>
      </c>
    </row>
    <row r="884" spans="1:23" ht="11.25" customHeight="1" x14ac:dyDescent="0.25">
      <c r="A884" s="4" t="s">
        <v>27</v>
      </c>
      <c r="B884" s="4" t="s">
        <v>22</v>
      </c>
      <c r="C884" s="4" t="s">
        <v>23</v>
      </c>
      <c r="D884" s="4" t="s">
        <v>24</v>
      </c>
      <c r="E884" s="4" t="s">
        <v>32</v>
      </c>
      <c r="F884" s="4" t="s">
        <v>25</v>
      </c>
      <c r="G884" s="4" t="s">
        <v>25</v>
      </c>
      <c r="H884" s="4" t="s">
        <v>25</v>
      </c>
      <c r="I884" s="5">
        <v>44348</v>
      </c>
      <c r="J884" s="6">
        <v>0</v>
      </c>
      <c r="K884" s="6">
        <v>0</v>
      </c>
      <c r="L884" s="6">
        <v>-2.0379999999999998</v>
      </c>
      <c r="M884" s="6">
        <v>-2.0379999999999998</v>
      </c>
      <c r="N884" s="6">
        <v>-2.0379999999999998</v>
      </c>
      <c r="O884" s="6">
        <v>-2.0379999999999998</v>
      </c>
      <c r="P884" s="6">
        <v>-4</v>
      </c>
      <c r="Q884" s="4" t="s">
        <v>26</v>
      </c>
      <c r="R884" s="4">
        <v>0</v>
      </c>
      <c r="S884" s="4" t="s">
        <v>366</v>
      </c>
      <c r="T884" s="4" t="s">
        <v>599</v>
      </c>
      <c r="U884" s="4">
        <v>0</v>
      </c>
      <c r="V884" s="4">
        <v>37</v>
      </c>
      <c r="W884" s="4">
        <v>77</v>
      </c>
    </row>
    <row r="885" spans="1:23" ht="11.25" customHeight="1" x14ac:dyDescent="0.25">
      <c r="A885" s="4" t="s">
        <v>28</v>
      </c>
      <c r="B885" s="4" t="s">
        <v>22</v>
      </c>
      <c r="C885" s="4" t="s">
        <v>23</v>
      </c>
      <c r="D885" s="4" t="s">
        <v>24</v>
      </c>
      <c r="E885" s="4" t="s">
        <v>32</v>
      </c>
      <c r="F885" s="4" t="s">
        <v>25</v>
      </c>
      <c r="G885" s="4" t="s">
        <v>25</v>
      </c>
      <c r="H885" s="4" t="s">
        <v>25</v>
      </c>
      <c r="I885" s="5">
        <v>44348</v>
      </c>
      <c r="J885" s="6">
        <v>0</v>
      </c>
      <c r="K885" s="6">
        <v>0</v>
      </c>
      <c r="L885" s="6">
        <v>1.4</v>
      </c>
      <c r="M885" s="6">
        <v>1.4</v>
      </c>
      <c r="N885" s="6">
        <v>1.4</v>
      </c>
      <c r="O885" s="6">
        <v>1.4</v>
      </c>
      <c r="P885" s="6">
        <v>7</v>
      </c>
      <c r="Q885" s="4" t="s">
        <v>26</v>
      </c>
      <c r="R885" s="4">
        <v>0</v>
      </c>
      <c r="S885" s="4" t="s">
        <v>366</v>
      </c>
      <c r="T885" s="4" t="s">
        <v>599</v>
      </c>
      <c r="U885" s="4">
        <v>0</v>
      </c>
      <c r="V885" s="4">
        <v>37</v>
      </c>
      <c r="W885" s="4">
        <v>77</v>
      </c>
    </row>
    <row r="886" spans="1:23" ht="11.25" customHeight="1" x14ac:dyDescent="0.25">
      <c r="A886" s="4" t="s">
        <v>21</v>
      </c>
      <c r="B886" s="4" t="s">
        <v>22</v>
      </c>
      <c r="C886" s="4" t="s">
        <v>23</v>
      </c>
      <c r="D886" s="4" t="s">
        <v>24</v>
      </c>
      <c r="E886" s="4" t="s">
        <v>32</v>
      </c>
      <c r="F886" s="4" t="s">
        <v>25</v>
      </c>
      <c r="G886" s="4" t="s">
        <v>25</v>
      </c>
      <c r="H886" s="4" t="s">
        <v>25</v>
      </c>
      <c r="I886" s="5">
        <v>44378</v>
      </c>
      <c r="J886" s="6">
        <v>0</v>
      </c>
      <c r="K886" s="6">
        <v>0</v>
      </c>
      <c r="L886" s="6">
        <v>232.24299999999999</v>
      </c>
      <c r="M886" s="6">
        <v>232.24299999999999</v>
      </c>
      <c r="N886" s="6">
        <v>232.24299999999999</v>
      </c>
      <c r="O886" s="6">
        <v>232.24299999999999</v>
      </c>
      <c r="P886" s="6">
        <v>2584</v>
      </c>
      <c r="Q886" s="4" t="s">
        <v>26</v>
      </c>
      <c r="R886" s="4">
        <v>0</v>
      </c>
      <c r="S886" s="4" t="s">
        <v>367</v>
      </c>
      <c r="T886" s="4" t="s">
        <v>600</v>
      </c>
      <c r="U886" s="4">
        <v>0</v>
      </c>
      <c r="V886" s="4">
        <v>37</v>
      </c>
      <c r="W886" s="4">
        <v>77</v>
      </c>
    </row>
    <row r="887" spans="1:23" ht="11.25" customHeight="1" x14ac:dyDescent="0.25">
      <c r="A887" s="4" t="s">
        <v>27</v>
      </c>
      <c r="B887" s="4" t="s">
        <v>22</v>
      </c>
      <c r="C887" s="4" t="s">
        <v>23</v>
      </c>
      <c r="D887" s="4" t="s">
        <v>24</v>
      </c>
      <c r="E887" s="4" t="s">
        <v>32</v>
      </c>
      <c r="F887" s="4" t="s">
        <v>25</v>
      </c>
      <c r="G887" s="4" t="s">
        <v>25</v>
      </c>
      <c r="H887" s="4" t="s">
        <v>25</v>
      </c>
      <c r="I887" s="5">
        <v>44378</v>
      </c>
      <c r="J887" s="6">
        <v>0</v>
      </c>
      <c r="K887" s="6">
        <v>0</v>
      </c>
      <c r="L887" s="6">
        <v>-18.689</v>
      </c>
      <c r="M887" s="6">
        <v>-18.689</v>
      </c>
      <c r="N887" s="6">
        <v>-18.689</v>
      </c>
      <c r="O887" s="6">
        <v>-18.689</v>
      </c>
      <c r="P887" s="6">
        <v>-10</v>
      </c>
      <c r="Q887" s="4" t="s">
        <v>26</v>
      </c>
      <c r="R887" s="4">
        <v>0</v>
      </c>
      <c r="S887" s="4" t="s">
        <v>367</v>
      </c>
      <c r="T887" s="4" t="s">
        <v>600</v>
      </c>
      <c r="U887" s="4">
        <v>0</v>
      </c>
      <c r="V887" s="4">
        <v>37</v>
      </c>
      <c r="W887" s="4">
        <v>77</v>
      </c>
    </row>
    <row r="888" spans="1:23" ht="11.25" customHeight="1" x14ac:dyDescent="0.25">
      <c r="A888" s="4" t="s">
        <v>28</v>
      </c>
      <c r="B888" s="4" t="s">
        <v>22</v>
      </c>
      <c r="C888" s="4" t="s">
        <v>23</v>
      </c>
      <c r="D888" s="4" t="s">
        <v>24</v>
      </c>
      <c r="E888" s="4" t="s">
        <v>32</v>
      </c>
      <c r="F888" s="4" t="s">
        <v>25</v>
      </c>
      <c r="G888" s="4" t="s">
        <v>25</v>
      </c>
      <c r="H888" s="4" t="s">
        <v>25</v>
      </c>
      <c r="I888" s="5">
        <v>44378</v>
      </c>
      <c r="J888" s="6">
        <v>0</v>
      </c>
      <c r="K888" s="6">
        <v>0</v>
      </c>
      <c r="L888" s="6">
        <v>1.3320000000000001</v>
      </c>
      <c r="M888" s="6">
        <v>1.3320000000000001</v>
      </c>
      <c r="N888" s="6">
        <v>1.3320000000000001</v>
      </c>
      <c r="O888" s="6">
        <v>1.3320000000000001</v>
      </c>
      <c r="P888" s="6">
        <v>8</v>
      </c>
      <c r="Q888" s="4" t="s">
        <v>26</v>
      </c>
      <c r="R888" s="4">
        <v>0</v>
      </c>
      <c r="S888" s="4" t="s">
        <v>367</v>
      </c>
      <c r="T888" s="4" t="s">
        <v>600</v>
      </c>
      <c r="U888" s="4">
        <v>0</v>
      </c>
      <c r="V888" s="4">
        <v>37</v>
      </c>
      <c r="W888" s="4">
        <v>77</v>
      </c>
    </row>
    <row r="889" spans="1:23" ht="11.25" customHeight="1" x14ac:dyDescent="0.25">
      <c r="A889" s="4" t="s">
        <v>21</v>
      </c>
      <c r="B889" s="4" t="s">
        <v>22</v>
      </c>
      <c r="C889" s="4" t="s">
        <v>23</v>
      </c>
      <c r="D889" s="4" t="s">
        <v>24</v>
      </c>
      <c r="E889" s="4" t="s">
        <v>32</v>
      </c>
      <c r="F889" s="4" t="s">
        <v>25</v>
      </c>
      <c r="G889" s="4" t="s">
        <v>25</v>
      </c>
      <c r="H889" s="4" t="s">
        <v>25</v>
      </c>
      <c r="I889" s="5">
        <v>44409</v>
      </c>
      <c r="J889" s="6">
        <v>0</v>
      </c>
      <c r="K889" s="6">
        <v>0</v>
      </c>
      <c r="L889" s="6">
        <v>186.70699999999999</v>
      </c>
      <c r="M889" s="6">
        <v>186.70699999999999</v>
      </c>
      <c r="N889" s="6">
        <v>186.70699999999999</v>
      </c>
      <c r="O889" s="6">
        <v>186.70699999999999</v>
      </c>
      <c r="P889" s="6">
        <v>2019</v>
      </c>
      <c r="Q889" s="4" t="s">
        <v>26</v>
      </c>
      <c r="R889" s="4">
        <v>0</v>
      </c>
      <c r="S889" s="4" t="s">
        <v>368</v>
      </c>
      <c r="T889" s="4" t="s">
        <v>601</v>
      </c>
      <c r="U889" s="4">
        <v>0</v>
      </c>
      <c r="V889" s="4">
        <v>37</v>
      </c>
      <c r="W889" s="4">
        <v>77</v>
      </c>
    </row>
    <row r="890" spans="1:23" ht="11.25" customHeight="1" x14ac:dyDescent="0.25">
      <c r="A890" s="4" t="s">
        <v>27</v>
      </c>
      <c r="B890" s="4" t="s">
        <v>22</v>
      </c>
      <c r="C890" s="4" t="s">
        <v>23</v>
      </c>
      <c r="D890" s="4" t="s">
        <v>24</v>
      </c>
      <c r="E890" s="4" t="s">
        <v>32</v>
      </c>
      <c r="F890" s="4" t="s">
        <v>25</v>
      </c>
      <c r="G890" s="4" t="s">
        <v>25</v>
      </c>
      <c r="H890" s="4" t="s">
        <v>25</v>
      </c>
      <c r="I890" s="5">
        <v>44409</v>
      </c>
      <c r="J890" s="6">
        <v>0</v>
      </c>
      <c r="K890" s="6">
        <v>0</v>
      </c>
      <c r="L890" s="6">
        <v>-0.22600000000000001</v>
      </c>
      <c r="M890" s="6">
        <v>-0.22600000000000001</v>
      </c>
      <c r="N890" s="6">
        <v>-0.22600000000000001</v>
      </c>
      <c r="O890" s="6">
        <v>-0.22600000000000001</v>
      </c>
      <c r="P890" s="6">
        <v>-3</v>
      </c>
      <c r="Q890" s="4" t="s">
        <v>26</v>
      </c>
      <c r="R890" s="4">
        <v>0</v>
      </c>
      <c r="S890" s="4" t="s">
        <v>368</v>
      </c>
      <c r="T890" s="4" t="s">
        <v>601</v>
      </c>
      <c r="U890" s="4">
        <v>0</v>
      </c>
      <c r="V890" s="4">
        <v>37</v>
      </c>
      <c r="W890" s="4">
        <v>77</v>
      </c>
    </row>
    <row r="891" spans="1:23" ht="11.25" customHeight="1" x14ac:dyDescent="0.25">
      <c r="A891" s="4" t="s">
        <v>28</v>
      </c>
      <c r="B891" s="4" t="s">
        <v>22</v>
      </c>
      <c r="C891" s="4" t="s">
        <v>23</v>
      </c>
      <c r="D891" s="4" t="s">
        <v>24</v>
      </c>
      <c r="E891" s="4" t="s">
        <v>32</v>
      </c>
      <c r="F891" s="4" t="s">
        <v>25</v>
      </c>
      <c r="G891" s="4" t="s">
        <v>25</v>
      </c>
      <c r="H891" s="4" t="s">
        <v>25</v>
      </c>
      <c r="I891" s="5">
        <v>44409</v>
      </c>
      <c r="J891" s="6">
        <v>0</v>
      </c>
      <c r="K891" s="6">
        <v>0</v>
      </c>
      <c r="L891" s="6">
        <v>1.0740000000000001</v>
      </c>
      <c r="M891" s="6">
        <v>1.0740000000000001</v>
      </c>
      <c r="N891" s="6">
        <v>1.0740000000000001</v>
      </c>
      <c r="O891" s="6">
        <v>1.0740000000000001</v>
      </c>
      <c r="P891" s="6">
        <v>7</v>
      </c>
      <c r="Q891" s="4" t="s">
        <v>26</v>
      </c>
      <c r="R891" s="4">
        <v>0</v>
      </c>
      <c r="S891" s="4" t="s">
        <v>368</v>
      </c>
      <c r="T891" s="4" t="s">
        <v>601</v>
      </c>
      <c r="U891" s="4">
        <v>0</v>
      </c>
      <c r="V891" s="4">
        <v>37</v>
      </c>
      <c r="W891" s="4">
        <v>77</v>
      </c>
    </row>
    <row r="892" spans="1:23" ht="11.25" customHeight="1" x14ac:dyDescent="0.25">
      <c r="A892" s="4" t="s">
        <v>21</v>
      </c>
      <c r="B892" s="4" t="s">
        <v>22</v>
      </c>
      <c r="C892" s="4" t="s">
        <v>23</v>
      </c>
      <c r="D892" s="4" t="s">
        <v>24</v>
      </c>
      <c r="E892" s="4" t="s">
        <v>32</v>
      </c>
      <c r="F892" s="4" t="s">
        <v>25</v>
      </c>
      <c r="G892" s="4" t="s">
        <v>25</v>
      </c>
      <c r="H892" s="4" t="s">
        <v>25</v>
      </c>
      <c r="I892" s="5">
        <v>44440</v>
      </c>
      <c r="J892" s="6">
        <v>0</v>
      </c>
      <c r="K892" s="6">
        <v>0</v>
      </c>
      <c r="L892" s="6">
        <v>198.922</v>
      </c>
      <c r="M892" s="6">
        <v>198.922</v>
      </c>
      <c r="N892" s="6">
        <v>198.922</v>
      </c>
      <c r="O892" s="6">
        <v>198.922</v>
      </c>
      <c r="P892" s="6">
        <v>2109</v>
      </c>
      <c r="Q892" s="4" t="s">
        <v>26</v>
      </c>
      <c r="R892" s="4">
        <v>0</v>
      </c>
      <c r="S892" s="4" t="s">
        <v>369</v>
      </c>
      <c r="T892" s="4" t="s">
        <v>602</v>
      </c>
      <c r="U892" s="4">
        <v>0</v>
      </c>
      <c r="V892" s="4">
        <v>37</v>
      </c>
      <c r="W892" s="4">
        <v>77</v>
      </c>
    </row>
    <row r="893" spans="1:23" ht="11.25" customHeight="1" x14ac:dyDescent="0.25">
      <c r="A893" s="4" t="s">
        <v>27</v>
      </c>
      <c r="B893" s="4" t="s">
        <v>22</v>
      </c>
      <c r="C893" s="4" t="s">
        <v>23</v>
      </c>
      <c r="D893" s="4" t="s">
        <v>24</v>
      </c>
      <c r="E893" s="4" t="s">
        <v>32</v>
      </c>
      <c r="F893" s="4" t="s">
        <v>25</v>
      </c>
      <c r="G893" s="4" t="s">
        <v>25</v>
      </c>
      <c r="H893" s="4" t="s">
        <v>25</v>
      </c>
      <c r="I893" s="5">
        <v>44440</v>
      </c>
      <c r="J893" s="6">
        <v>0</v>
      </c>
      <c r="K893" s="6">
        <v>0</v>
      </c>
      <c r="L893" s="6">
        <v>-3.7999999999999999E-2</v>
      </c>
      <c r="M893" s="6">
        <v>-3.7999999999999999E-2</v>
      </c>
      <c r="N893" s="6">
        <v>-3.7999999999999999E-2</v>
      </c>
      <c r="O893" s="6">
        <v>-3.7999999999999999E-2</v>
      </c>
      <c r="P893" s="6">
        <v>-1</v>
      </c>
      <c r="Q893" s="4" t="s">
        <v>26</v>
      </c>
      <c r="R893" s="4">
        <v>0</v>
      </c>
      <c r="S893" s="4" t="s">
        <v>369</v>
      </c>
      <c r="T893" s="4" t="s">
        <v>602</v>
      </c>
      <c r="U893" s="4">
        <v>0</v>
      </c>
      <c r="V893" s="4">
        <v>37</v>
      </c>
      <c r="W893" s="4">
        <v>77</v>
      </c>
    </row>
    <row r="894" spans="1:23" ht="11.25" customHeight="1" x14ac:dyDescent="0.25">
      <c r="A894" s="4" t="s">
        <v>28</v>
      </c>
      <c r="B894" s="4" t="s">
        <v>22</v>
      </c>
      <c r="C894" s="4" t="s">
        <v>23</v>
      </c>
      <c r="D894" s="4" t="s">
        <v>24</v>
      </c>
      <c r="E894" s="4" t="s">
        <v>32</v>
      </c>
      <c r="F894" s="4" t="s">
        <v>25</v>
      </c>
      <c r="G894" s="4" t="s">
        <v>25</v>
      </c>
      <c r="H894" s="4" t="s">
        <v>25</v>
      </c>
      <c r="I894" s="5">
        <v>44440</v>
      </c>
      <c r="J894" s="6">
        <v>0</v>
      </c>
      <c r="K894" s="6">
        <v>0</v>
      </c>
      <c r="L894" s="6">
        <v>2.835</v>
      </c>
      <c r="M894" s="6">
        <v>2.835</v>
      </c>
      <c r="N894" s="6">
        <v>2.835</v>
      </c>
      <c r="O894" s="6">
        <v>2.835</v>
      </c>
      <c r="P894" s="6">
        <v>6</v>
      </c>
      <c r="Q894" s="4" t="s">
        <v>26</v>
      </c>
      <c r="R894" s="4">
        <v>0</v>
      </c>
      <c r="S894" s="4" t="s">
        <v>369</v>
      </c>
      <c r="T894" s="4" t="s">
        <v>602</v>
      </c>
      <c r="U894" s="4">
        <v>0</v>
      </c>
      <c r="V894" s="4">
        <v>37</v>
      </c>
      <c r="W894" s="4">
        <v>77</v>
      </c>
    </row>
    <row r="895" spans="1:23" ht="11.25" customHeight="1" x14ac:dyDescent="0.25">
      <c r="A895" s="4" t="s">
        <v>21</v>
      </c>
      <c r="B895" s="4" t="s">
        <v>22</v>
      </c>
      <c r="C895" s="4" t="s">
        <v>23</v>
      </c>
      <c r="D895" s="4" t="s">
        <v>24</v>
      </c>
      <c r="E895" s="4" t="s">
        <v>32</v>
      </c>
      <c r="F895" s="4" t="s">
        <v>25</v>
      </c>
      <c r="G895" s="4" t="s">
        <v>25</v>
      </c>
      <c r="H895" s="4" t="s">
        <v>25</v>
      </c>
      <c r="I895" s="5">
        <v>44470</v>
      </c>
      <c r="J895" s="6">
        <v>0</v>
      </c>
      <c r="K895" s="6">
        <v>0</v>
      </c>
      <c r="L895" s="6">
        <v>232.042</v>
      </c>
      <c r="M895" s="6">
        <v>232.042</v>
      </c>
      <c r="N895" s="6">
        <v>232.042</v>
      </c>
      <c r="O895" s="6">
        <v>232.042</v>
      </c>
      <c r="P895" s="6">
        <v>2521</v>
      </c>
      <c r="Q895" s="4" t="s">
        <v>26</v>
      </c>
      <c r="R895" s="4">
        <v>0</v>
      </c>
      <c r="S895" s="4" t="s">
        <v>370</v>
      </c>
      <c r="T895" s="4" t="s">
        <v>603</v>
      </c>
      <c r="U895" s="4">
        <v>0</v>
      </c>
      <c r="V895" s="4">
        <v>37</v>
      </c>
      <c r="W895" s="4">
        <v>77</v>
      </c>
    </row>
    <row r="896" spans="1:23" ht="11.25" customHeight="1" x14ac:dyDescent="0.25">
      <c r="A896" s="4" t="s">
        <v>28</v>
      </c>
      <c r="B896" s="4" t="s">
        <v>22</v>
      </c>
      <c r="C896" s="4" t="s">
        <v>23</v>
      </c>
      <c r="D896" s="4" t="s">
        <v>24</v>
      </c>
      <c r="E896" s="4" t="s">
        <v>32</v>
      </c>
      <c r="F896" s="4" t="s">
        <v>25</v>
      </c>
      <c r="G896" s="4" t="s">
        <v>25</v>
      </c>
      <c r="H896" s="4" t="s">
        <v>25</v>
      </c>
      <c r="I896" s="5">
        <v>44470</v>
      </c>
      <c r="J896" s="6">
        <v>0</v>
      </c>
      <c r="K896" s="6">
        <v>0</v>
      </c>
      <c r="L896" s="6">
        <v>2.1280000000000001</v>
      </c>
      <c r="M896" s="6">
        <v>2.1280000000000001</v>
      </c>
      <c r="N896" s="6">
        <v>2.1280000000000001</v>
      </c>
      <c r="O896" s="6">
        <v>2.1280000000000001</v>
      </c>
      <c r="P896" s="6">
        <v>9</v>
      </c>
      <c r="Q896" s="4" t="s">
        <v>26</v>
      </c>
      <c r="R896" s="4">
        <v>0</v>
      </c>
      <c r="S896" s="4" t="s">
        <v>370</v>
      </c>
      <c r="T896" s="4" t="s">
        <v>603</v>
      </c>
      <c r="U896" s="4">
        <v>0</v>
      </c>
      <c r="V896" s="4">
        <v>37</v>
      </c>
      <c r="W896" s="4">
        <v>77</v>
      </c>
    </row>
    <row r="897" spans="1:23" ht="11.25" customHeight="1" x14ac:dyDescent="0.25">
      <c r="A897" s="4" t="s">
        <v>21</v>
      </c>
      <c r="B897" s="4" t="s">
        <v>22</v>
      </c>
      <c r="C897" s="4" t="s">
        <v>23</v>
      </c>
      <c r="D897" s="4" t="s">
        <v>24</v>
      </c>
      <c r="E897" s="4" t="s">
        <v>32</v>
      </c>
      <c r="F897" s="4" t="s">
        <v>25</v>
      </c>
      <c r="G897" s="4" t="s">
        <v>25</v>
      </c>
      <c r="H897" s="4" t="s">
        <v>25</v>
      </c>
      <c r="I897" s="5">
        <v>44501</v>
      </c>
      <c r="J897" s="6">
        <v>0</v>
      </c>
      <c r="K897" s="6">
        <v>0</v>
      </c>
      <c r="L897" s="6">
        <v>246.06800000000001</v>
      </c>
      <c r="M897" s="6">
        <v>246.06800000000001</v>
      </c>
      <c r="N897" s="6">
        <v>246.06800000000001</v>
      </c>
      <c r="O897" s="6">
        <v>246.06800000000001</v>
      </c>
      <c r="P897" s="6">
        <v>2683</v>
      </c>
      <c r="Q897" s="4" t="s">
        <v>26</v>
      </c>
      <c r="R897" s="4">
        <v>0</v>
      </c>
      <c r="S897" s="4" t="s">
        <v>371</v>
      </c>
      <c r="T897" s="4" t="s">
        <v>604</v>
      </c>
      <c r="U897" s="4">
        <v>0</v>
      </c>
      <c r="V897" s="4">
        <v>37</v>
      </c>
      <c r="W897" s="4">
        <v>77</v>
      </c>
    </row>
    <row r="898" spans="1:23" ht="11.25" customHeight="1" x14ac:dyDescent="0.25">
      <c r="A898" s="4" t="s">
        <v>27</v>
      </c>
      <c r="B898" s="4" t="s">
        <v>22</v>
      </c>
      <c r="C898" s="4" t="s">
        <v>23</v>
      </c>
      <c r="D898" s="4" t="s">
        <v>24</v>
      </c>
      <c r="E898" s="4" t="s">
        <v>32</v>
      </c>
      <c r="F898" s="4" t="s">
        <v>25</v>
      </c>
      <c r="G898" s="4" t="s">
        <v>25</v>
      </c>
      <c r="H898" s="4" t="s">
        <v>25</v>
      </c>
      <c r="I898" s="5">
        <v>44501</v>
      </c>
      <c r="J898" s="6">
        <v>0</v>
      </c>
      <c r="K898" s="6">
        <v>0</v>
      </c>
      <c r="L898" s="6">
        <v>-1.1659999999999999</v>
      </c>
      <c r="M898" s="6">
        <v>-1.1659999999999999</v>
      </c>
      <c r="N898" s="6">
        <v>-1.1659999999999999</v>
      </c>
      <c r="O898" s="6">
        <v>-1.1659999999999999</v>
      </c>
      <c r="P898" s="6">
        <v>-1</v>
      </c>
      <c r="Q898" s="4" t="s">
        <v>26</v>
      </c>
      <c r="R898" s="4">
        <v>0</v>
      </c>
      <c r="S898" s="4" t="s">
        <v>371</v>
      </c>
      <c r="T898" s="4" t="s">
        <v>604</v>
      </c>
      <c r="U898" s="4">
        <v>0</v>
      </c>
      <c r="V898" s="4">
        <v>37</v>
      </c>
      <c r="W898" s="4">
        <v>77</v>
      </c>
    </row>
    <row r="899" spans="1:23" ht="11.25" customHeight="1" x14ac:dyDescent="0.25">
      <c r="A899" s="4" t="s">
        <v>28</v>
      </c>
      <c r="B899" s="4" t="s">
        <v>22</v>
      </c>
      <c r="C899" s="4" t="s">
        <v>23</v>
      </c>
      <c r="D899" s="4" t="s">
        <v>24</v>
      </c>
      <c r="E899" s="4" t="s">
        <v>32</v>
      </c>
      <c r="F899" s="4" t="s">
        <v>25</v>
      </c>
      <c r="G899" s="4" t="s">
        <v>25</v>
      </c>
      <c r="H899" s="4" t="s">
        <v>25</v>
      </c>
      <c r="I899" s="5">
        <v>44501</v>
      </c>
      <c r="J899" s="6">
        <v>0</v>
      </c>
      <c r="K899" s="6">
        <v>0</v>
      </c>
      <c r="L899" s="6">
        <v>2.665</v>
      </c>
      <c r="M899" s="6">
        <v>2.665</v>
      </c>
      <c r="N899" s="6">
        <v>2.665</v>
      </c>
      <c r="O899" s="6">
        <v>2.665</v>
      </c>
      <c r="P899" s="6">
        <v>12</v>
      </c>
      <c r="Q899" s="4" t="s">
        <v>26</v>
      </c>
      <c r="R899" s="4">
        <v>0</v>
      </c>
      <c r="S899" s="4" t="s">
        <v>371</v>
      </c>
      <c r="T899" s="4" t="s">
        <v>604</v>
      </c>
      <c r="U899" s="4">
        <v>0</v>
      </c>
      <c r="V899" s="4">
        <v>37</v>
      </c>
      <c r="W899" s="4">
        <v>77</v>
      </c>
    </row>
    <row r="900" spans="1:23" ht="11.25" customHeight="1" x14ac:dyDescent="0.25">
      <c r="A900" s="4" t="s">
        <v>21</v>
      </c>
      <c r="B900" s="4" t="s">
        <v>22</v>
      </c>
      <c r="C900" s="4" t="s">
        <v>23</v>
      </c>
      <c r="D900" s="4" t="s">
        <v>24</v>
      </c>
      <c r="E900" s="4" t="s">
        <v>32</v>
      </c>
      <c r="F900" s="4" t="s">
        <v>25</v>
      </c>
      <c r="G900" s="4" t="s">
        <v>25</v>
      </c>
      <c r="H900" s="4" t="s">
        <v>25</v>
      </c>
      <c r="I900" s="5">
        <v>44531</v>
      </c>
      <c r="J900" s="6">
        <v>0</v>
      </c>
      <c r="K900" s="6">
        <v>0</v>
      </c>
      <c r="L900" s="6">
        <v>288.95600000000002</v>
      </c>
      <c r="M900" s="6">
        <v>288.95600000000002</v>
      </c>
      <c r="N900" s="6">
        <v>288.95600000000002</v>
      </c>
      <c r="O900" s="6">
        <v>288.95600000000002</v>
      </c>
      <c r="P900" s="6">
        <v>3028</v>
      </c>
      <c r="Q900" s="4" t="s">
        <v>26</v>
      </c>
      <c r="R900" s="4">
        <v>0</v>
      </c>
      <c r="S900" s="4" t="s">
        <v>372</v>
      </c>
      <c r="T900" s="4" t="s">
        <v>605</v>
      </c>
      <c r="U900" s="4">
        <v>0</v>
      </c>
      <c r="V900" s="4">
        <v>37</v>
      </c>
      <c r="W900" s="4">
        <v>77</v>
      </c>
    </row>
    <row r="901" spans="1:23" ht="11.25" customHeight="1" x14ac:dyDescent="0.25">
      <c r="A901" s="4" t="s">
        <v>27</v>
      </c>
      <c r="B901" s="4" t="s">
        <v>22</v>
      </c>
      <c r="C901" s="4" t="s">
        <v>23</v>
      </c>
      <c r="D901" s="4" t="s">
        <v>24</v>
      </c>
      <c r="E901" s="4" t="s">
        <v>32</v>
      </c>
      <c r="F901" s="4" t="s">
        <v>25</v>
      </c>
      <c r="G901" s="4" t="s">
        <v>25</v>
      </c>
      <c r="H901" s="4" t="s">
        <v>25</v>
      </c>
      <c r="I901" s="5">
        <v>44531</v>
      </c>
      <c r="J901" s="6">
        <v>0</v>
      </c>
      <c r="K901" s="6">
        <v>0</v>
      </c>
      <c r="L901" s="6">
        <v>-0.86199999999999999</v>
      </c>
      <c r="M901" s="6">
        <v>-0.86199999999999999</v>
      </c>
      <c r="N901" s="6">
        <v>-0.86199999999999999</v>
      </c>
      <c r="O901" s="6">
        <v>-0.86199999999999999</v>
      </c>
      <c r="P901" s="6">
        <v>-1</v>
      </c>
      <c r="Q901" s="4" t="s">
        <v>26</v>
      </c>
      <c r="R901" s="4">
        <v>0</v>
      </c>
      <c r="S901" s="4" t="s">
        <v>372</v>
      </c>
      <c r="T901" s="4" t="s">
        <v>605</v>
      </c>
      <c r="U901" s="4">
        <v>0</v>
      </c>
      <c r="V901" s="4">
        <v>37</v>
      </c>
      <c r="W901" s="4">
        <v>77</v>
      </c>
    </row>
    <row r="902" spans="1:23" ht="11.25" customHeight="1" x14ac:dyDescent="0.25">
      <c r="A902" s="4" t="s">
        <v>28</v>
      </c>
      <c r="B902" s="4" t="s">
        <v>22</v>
      </c>
      <c r="C902" s="4" t="s">
        <v>23</v>
      </c>
      <c r="D902" s="4" t="s">
        <v>24</v>
      </c>
      <c r="E902" s="4" t="s">
        <v>32</v>
      </c>
      <c r="F902" s="4" t="s">
        <v>25</v>
      </c>
      <c r="G902" s="4" t="s">
        <v>25</v>
      </c>
      <c r="H902" s="4" t="s">
        <v>25</v>
      </c>
      <c r="I902" s="5">
        <v>44531</v>
      </c>
      <c r="J902" s="6">
        <v>0</v>
      </c>
      <c r="K902" s="6">
        <v>0</v>
      </c>
      <c r="L902" s="6">
        <v>7.1210000000000004</v>
      </c>
      <c r="M902" s="6">
        <v>7.1210000000000004</v>
      </c>
      <c r="N902" s="6">
        <v>7.1210000000000004</v>
      </c>
      <c r="O902" s="6">
        <v>7.1210000000000004</v>
      </c>
      <c r="P902" s="6">
        <v>15</v>
      </c>
      <c r="Q902" s="4" t="s">
        <v>26</v>
      </c>
      <c r="R902" s="4">
        <v>0</v>
      </c>
      <c r="S902" s="4" t="s">
        <v>372</v>
      </c>
      <c r="T902" s="4" t="s">
        <v>605</v>
      </c>
      <c r="U902" s="4">
        <v>0</v>
      </c>
      <c r="V902" s="4">
        <v>37</v>
      </c>
      <c r="W902" s="4">
        <v>77</v>
      </c>
    </row>
    <row r="903" spans="1:23" ht="11.25" customHeight="1" x14ac:dyDescent="0.25">
      <c r="A903" s="4" t="s">
        <v>55</v>
      </c>
      <c r="B903" s="4" t="s">
        <v>22</v>
      </c>
      <c r="C903" s="4" t="s">
        <v>23</v>
      </c>
      <c r="D903" s="4" t="s">
        <v>24</v>
      </c>
      <c r="E903" s="4" t="s">
        <v>32</v>
      </c>
      <c r="F903" s="4" t="s">
        <v>25</v>
      </c>
      <c r="G903" s="4" t="s">
        <v>25</v>
      </c>
      <c r="H903" s="4" t="s">
        <v>25</v>
      </c>
      <c r="I903" s="5">
        <v>44562</v>
      </c>
      <c r="J903" s="6">
        <v>0</v>
      </c>
      <c r="K903" s="6">
        <v>0</v>
      </c>
      <c r="L903" s="6">
        <v>288.95600000000002</v>
      </c>
      <c r="M903" s="6">
        <v>288.95600000000002</v>
      </c>
      <c r="N903" s="6">
        <v>288.95600000000002</v>
      </c>
      <c r="O903" s="6">
        <v>288.95600000000002</v>
      </c>
      <c r="P903" s="6">
        <v>3028</v>
      </c>
      <c r="Q903" s="4" t="s">
        <v>26</v>
      </c>
      <c r="R903" s="4">
        <v>0</v>
      </c>
      <c r="S903" s="4" t="s">
        <v>373</v>
      </c>
      <c r="T903" s="4" t="s">
        <v>606</v>
      </c>
      <c r="U903" s="4">
        <v>0</v>
      </c>
      <c r="V903" s="4">
        <v>37</v>
      </c>
      <c r="W903" s="4">
        <v>77</v>
      </c>
    </row>
    <row r="904" spans="1:23" ht="11.25" customHeight="1" x14ac:dyDescent="0.25">
      <c r="A904" s="4" t="s">
        <v>55</v>
      </c>
      <c r="B904" s="4" t="s">
        <v>22</v>
      </c>
      <c r="C904" s="4" t="s">
        <v>23</v>
      </c>
      <c r="D904" s="4" t="s">
        <v>24</v>
      </c>
      <c r="E904" s="4" t="s">
        <v>32</v>
      </c>
      <c r="F904" s="4" t="s">
        <v>25</v>
      </c>
      <c r="G904" s="4" t="s">
        <v>25</v>
      </c>
      <c r="H904" s="4" t="s">
        <v>25</v>
      </c>
      <c r="I904" s="5">
        <v>44562</v>
      </c>
      <c r="J904" s="6">
        <v>0</v>
      </c>
      <c r="K904" s="6">
        <v>0</v>
      </c>
      <c r="L904" s="6">
        <v>-0.86199999999999999</v>
      </c>
      <c r="M904" s="6">
        <v>-0.86199999999999999</v>
      </c>
      <c r="N904" s="6">
        <v>-0.86199999999999999</v>
      </c>
      <c r="O904" s="6">
        <v>-0.86199999999999999</v>
      </c>
      <c r="P904" s="6">
        <v>-1</v>
      </c>
      <c r="Q904" s="4" t="s">
        <v>26</v>
      </c>
      <c r="R904" s="4">
        <v>0</v>
      </c>
      <c r="S904" s="4" t="s">
        <v>373</v>
      </c>
      <c r="T904" s="4" t="s">
        <v>606</v>
      </c>
      <c r="U904" s="4">
        <v>0</v>
      </c>
      <c r="V904" s="4">
        <v>37</v>
      </c>
      <c r="W904" s="4">
        <v>77</v>
      </c>
    </row>
    <row r="905" spans="1:23" ht="11.25" customHeight="1" x14ac:dyDescent="0.25">
      <c r="A905" s="4" t="s">
        <v>55</v>
      </c>
      <c r="B905" s="4" t="s">
        <v>22</v>
      </c>
      <c r="C905" s="4" t="s">
        <v>23</v>
      </c>
      <c r="D905" s="4" t="s">
        <v>24</v>
      </c>
      <c r="E905" s="4" t="s">
        <v>32</v>
      </c>
      <c r="F905" s="4" t="s">
        <v>25</v>
      </c>
      <c r="G905" s="4" t="s">
        <v>25</v>
      </c>
      <c r="H905" s="4" t="s">
        <v>25</v>
      </c>
      <c r="I905" s="5">
        <v>44562</v>
      </c>
      <c r="J905" s="6">
        <v>0</v>
      </c>
      <c r="K905" s="6">
        <v>0</v>
      </c>
      <c r="L905" s="6">
        <v>7.1210000000000004</v>
      </c>
      <c r="M905" s="6">
        <v>7.1210000000000004</v>
      </c>
      <c r="N905" s="6">
        <v>7.1210000000000004</v>
      </c>
      <c r="O905" s="6">
        <v>7.1210000000000004</v>
      </c>
      <c r="P905" s="6">
        <v>15</v>
      </c>
      <c r="Q905" s="4" t="s">
        <v>26</v>
      </c>
      <c r="R905" s="4">
        <v>0</v>
      </c>
      <c r="S905" s="4" t="s">
        <v>373</v>
      </c>
      <c r="T905" s="4" t="s">
        <v>606</v>
      </c>
      <c r="U905" s="4">
        <v>0</v>
      </c>
      <c r="V905" s="4">
        <v>37</v>
      </c>
      <c r="W905" s="4">
        <v>77</v>
      </c>
    </row>
    <row r="906" spans="1:23" ht="11.25" customHeight="1" x14ac:dyDescent="0.25">
      <c r="A906" s="4" t="s">
        <v>21</v>
      </c>
      <c r="B906" s="4" t="s">
        <v>43</v>
      </c>
      <c r="C906" s="4" t="s">
        <v>33</v>
      </c>
      <c r="D906" s="4" t="s">
        <v>44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44228</v>
      </c>
      <c r="J906" s="6">
        <v>0</v>
      </c>
      <c r="K906" s="6">
        <v>0</v>
      </c>
      <c r="L906" s="6">
        <v>0.28799999999999998</v>
      </c>
      <c r="M906" s="6">
        <v>0.28799999999999998</v>
      </c>
      <c r="N906" s="6">
        <v>0.28799999999999998</v>
      </c>
      <c r="O906" s="6">
        <v>0.28799999999999998</v>
      </c>
      <c r="P906" s="6">
        <v>0</v>
      </c>
      <c r="Q906" s="4" t="s">
        <v>26</v>
      </c>
      <c r="R906" s="4">
        <v>0</v>
      </c>
      <c r="S906" s="4" t="s">
        <v>374</v>
      </c>
      <c r="T906" s="4" t="s">
        <v>607</v>
      </c>
      <c r="U906" s="4">
        <v>0</v>
      </c>
      <c r="V906" s="4">
        <v>45</v>
      </c>
      <c r="W906" s="4">
        <v>98</v>
      </c>
    </row>
    <row r="907" spans="1:23" ht="11.25" customHeight="1" x14ac:dyDescent="0.25">
      <c r="A907" s="4" t="s">
        <v>21</v>
      </c>
      <c r="B907" s="4" t="s">
        <v>43</v>
      </c>
      <c r="C907" s="4" t="s">
        <v>33</v>
      </c>
      <c r="D907" s="4" t="s">
        <v>44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44256</v>
      </c>
      <c r="J907" s="6">
        <v>0</v>
      </c>
      <c r="K907" s="6">
        <v>0</v>
      </c>
      <c r="L907" s="6">
        <v>0.34799999999999998</v>
      </c>
      <c r="M907" s="6">
        <v>0.34799999999999998</v>
      </c>
      <c r="N907" s="6">
        <v>0.34799999999999998</v>
      </c>
      <c r="O907" s="6">
        <v>0.34799999999999998</v>
      </c>
      <c r="P907" s="6">
        <v>0</v>
      </c>
      <c r="Q907" s="4" t="s">
        <v>26</v>
      </c>
      <c r="R907" s="4">
        <v>0</v>
      </c>
      <c r="S907" s="4" t="s">
        <v>375</v>
      </c>
      <c r="T907" s="4" t="s">
        <v>608</v>
      </c>
      <c r="U907" s="4">
        <v>0</v>
      </c>
      <c r="V907" s="4">
        <v>45</v>
      </c>
      <c r="W907" s="4">
        <v>98</v>
      </c>
    </row>
    <row r="908" spans="1:23" ht="11.25" customHeight="1" x14ac:dyDescent="0.25">
      <c r="A908" s="4" t="s">
        <v>21</v>
      </c>
      <c r="B908" s="4" t="s">
        <v>43</v>
      </c>
      <c r="C908" s="4" t="s">
        <v>33</v>
      </c>
      <c r="D908" s="4" t="s">
        <v>44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44287</v>
      </c>
      <c r="J908" s="6">
        <v>0</v>
      </c>
      <c r="K908" s="6">
        <v>0</v>
      </c>
      <c r="L908" s="6">
        <v>0.434</v>
      </c>
      <c r="M908" s="6">
        <v>0.434</v>
      </c>
      <c r="N908" s="6">
        <v>0.434</v>
      </c>
      <c r="O908" s="6">
        <v>0.434</v>
      </c>
      <c r="P908" s="6">
        <v>0</v>
      </c>
      <c r="Q908" s="4" t="s">
        <v>26</v>
      </c>
      <c r="R908" s="4">
        <v>0</v>
      </c>
      <c r="S908" s="4" t="s">
        <v>376</v>
      </c>
      <c r="T908" s="4" t="s">
        <v>609</v>
      </c>
      <c r="U908" s="4">
        <v>0</v>
      </c>
      <c r="V908" s="4">
        <v>45</v>
      </c>
      <c r="W908" s="4">
        <v>98</v>
      </c>
    </row>
    <row r="909" spans="1:23" ht="11.25" customHeight="1" x14ac:dyDescent="0.25">
      <c r="A909" s="4" t="s">
        <v>21</v>
      </c>
      <c r="B909" s="4" t="s">
        <v>43</v>
      </c>
      <c r="C909" s="4" t="s">
        <v>33</v>
      </c>
      <c r="D909" s="4" t="s">
        <v>44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44317</v>
      </c>
      <c r="J909" s="6">
        <v>0</v>
      </c>
      <c r="K909" s="6">
        <v>0</v>
      </c>
      <c r="L909" s="6">
        <v>0.27800000000000002</v>
      </c>
      <c r="M909" s="6">
        <v>0.27800000000000002</v>
      </c>
      <c r="N909" s="6">
        <v>0.27800000000000002</v>
      </c>
      <c r="O909" s="6">
        <v>0.27800000000000002</v>
      </c>
      <c r="P909" s="6">
        <v>0</v>
      </c>
      <c r="Q909" s="4" t="s">
        <v>26</v>
      </c>
      <c r="R909" s="4">
        <v>0</v>
      </c>
      <c r="S909" s="4" t="s">
        <v>377</v>
      </c>
      <c r="T909" s="4" t="s">
        <v>610</v>
      </c>
      <c r="U909" s="4">
        <v>0</v>
      </c>
      <c r="V909" s="4">
        <v>45</v>
      </c>
      <c r="W909" s="4">
        <v>98</v>
      </c>
    </row>
    <row r="910" spans="1:23" ht="11.25" customHeight="1" x14ac:dyDescent="0.25">
      <c r="A910" s="4" t="s">
        <v>21</v>
      </c>
      <c r="B910" s="4" t="s">
        <v>43</v>
      </c>
      <c r="C910" s="4" t="s">
        <v>33</v>
      </c>
      <c r="D910" s="4" t="s">
        <v>44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44348</v>
      </c>
      <c r="J910" s="6">
        <v>0</v>
      </c>
      <c r="K910" s="6">
        <v>0</v>
      </c>
      <c r="L910" s="6">
        <v>0.17799999999999999</v>
      </c>
      <c r="M910" s="6">
        <v>0.17799999999999999</v>
      </c>
      <c r="N910" s="6">
        <v>0.17799999999999999</v>
      </c>
      <c r="O910" s="6">
        <v>0.17799999999999999</v>
      </c>
      <c r="P910" s="6">
        <v>0</v>
      </c>
      <c r="Q910" s="4" t="s">
        <v>26</v>
      </c>
      <c r="R910" s="4">
        <v>0</v>
      </c>
      <c r="S910" s="4" t="s">
        <v>378</v>
      </c>
      <c r="T910" s="4" t="s">
        <v>611</v>
      </c>
      <c r="U910" s="4">
        <v>0</v>
      </c>
      <c r="V910" s="4">
        <v>45</v>
      </c>
      <c r="W910" s="4">
        <v>98</v>
      </c>
    </row>
    <row r="911" spans="1:23" ht="11.25" customHeight="1" x14ac:dyDescent="0.25">
      <c r="A911" s="4" t="s">
        <v>21</v>
      </c>
      <c r="B911" s="4" t="s">
        <v>43</v>
      </c>
      <c r="C911" s="4" t="s">
        <v>33</v>
      </c>
      <c r="D911" s="4" t="s">
        <v>44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44378</v>
      </c>
      <c r="J911" s="6">
        <v>0</v>
      </c>
      <c r="K911" s="6">
        <v>0</v>
      </c>
      <c r="L911" s="6">
        <v>0.24199999999999999</v>
      </c>
      <c r="M911" s="6">
        <v>0.24199999999999999</v>
      </c>
      <c r="N911" s="6">
        <v>0.24199999999999999</v>
      </c>
      <c r="O911" s="6">
        <v>0.24199999999999999</v>
      </c>
      <c r="P911" s="6">
        <v>0</v>
      </c>
      <c r="Q911" s="4" t="s">
        <v>26</v>
      </c>
      <c r="R911" s="4">
        <v>0</v>
      </c>
      <c r="S911" s="4" t="s">
        <v>379</v>
      </c>
      <c r="T911" s="4" t="s">
        <v>612</v>
      </c>
      <c r="U911" s="4">
        <v>0</v>
      </c>
      <c r="V911" s="4">
        <v>45</v>
      </c>
      <c r="W911" s="4">
        <v>98</v>
      </c>
    </row>
    <row r="912" spans="1:23" ht="11.25" customHeight="1" x14ac:dyDescent="0.25">
      <c r="A912" s="4" t="s">
        <v>21</v>
      </c>
      <c r="B912" s="4" t="s">
        <v>43</v>
      </c>
      <c r="C912" s="4" t="s">
        <v>33</v>
      </c>
      <c r="D912" s="4" t="s">
        <v>44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44409</v>
      </c>
      <c r="J912" s="6">
        <v>0</v>
      </c>
      <c r="K912" s="6">
        <v>0</v>
      </c>
      <c r="L912" s="6">
        <v>0.16900000000000001</v>
      </c>
      <c r="M912" s="6">
        <v>0.16900000000000001</v>
      </c>
      <c r="N912" s="6">
        <v>0.16900000000000001</v>
      </c>
      <c r="O912" s="6">
        <v>0.16900000000000001</v>
      </c>
      <c r="P912" s="6">
        <v>0</v>
      </c>
      <c r="Q912" s="4" t="s">
        <v>26</v>
      </c>
      <c r="R912" s="4">
        <v>0</v>
      </c>
      <c r="S912" s="4" t="s">
        <v>380</v>
      </c>
      <c r="T912" s="4" t="s">
        <v>613</v>
      </c>
      <c r="U912" s="4">
        <v>0</v>
      </c>
      <c r="V912" s="4">
        <v>45</v>
      </c>
      <c r="W912" s="4">
        <v>98</v>
      </c>
    </row>
    <row r="913" spans="1:23" ht="11.25" customHeight="1" x14ac:dyDescent="0.25">
      <c r="A913" s="4" t="s">
        <v>21</v>
      </c>
      <c r="B913" s="4" t="s">
        <v>43</v>
      </c>
      <c r="C913" s="4" t="s">
        <v>33</v>
      </c>
      <c r="D913" s="4" t="s">
        <v>44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44440</v>
      </c>
      <c r="J913" s="6">
        <v>0</v>
      </c>
      <c r="K913" s="6">
        <v>0</v>
      </c>
      <c r="L913" s="6">
        <v>0.191</v>
      </c>
      <c r="M913" s="6">
        <v>0.191</v>
      </c>
      <c r="N913" s="6">
        <v>0.191</v>
      </c>
      <c r="O913" s="6">
        <v>0.191</v>
      </c>
      <c r="P913" s="6">
        <v>0</v>
      </c>
      <c r="Q913" s="4" t="s">
        <v>26</v>
      </c>
      <c r="R913" s="4">
        <v>0</v>
      </c>
      <c r="S913" s="4" t="s">
        <v>381</v>
      </c>
      <c r="T913" s="4" t="s">
        <v>614</v>
      </c>
      <c r="U913" s="4">
        <v>0</v>
      </c>
      <c r="V913" s="4">
        <v>45</v>
      </c>
      <c r="W913" s="4">
        <v>98</v>
      </c>
    </row>
    <row r="914" spans="1:23" ht="11.25" customHeight="1" x14ac:dyDescent="0.25">
      <c r="A914" s="4" t="s">
        <v>21</v>
      </c>
      <c r="B914" s="4" t="s">
        <v>43</v>
      </c>
      <c r="C914" s="4" t="s">
        <v>33</v>
      </c>
      <c r="D914" s="4" t="s">
        <v>44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44470</v>
      </c>
      <c r="J914" s="6">
        <v>0</v>
      </c>
      <c r="K914" s="6">
        <v>0</v>
      </c>
      <c r="L914" s="6">
        <v>0.254</v>
      </c>
      <c r="M914" s="6">
        <v>0.254</v>
      </c>
      <c r="N914" s="6">
        <v>0.254</v>
      </c>
      <c r="O914" s="6">
        <v>0.254</v>
      </c>
      <c r="P914" s="6">
        <v>0</v>
      </c>
      <c r="Q914" s="4" t="s">
        <v>26</v>
      </c>
      <c r="R914" s="4">
        <v>0</v>
      </c>
      <c r="S914" s="4" t="s">
        <v>382</v>
      </c>
      <c r="T914" s="4" t="s">
        <v>615</v>
      </c>
      <c r="U914" s="4">
        <v>0</v>
      </c>
      <c r="V914" s="4">
        <v>45</v>
      </c>
      <c r="W914" s="4">
        <v>98</v>
      </c>
    </row>
    <row r="915" spans="1:23" ht="11.25" customHeight="1" x14ac:dyDescent="0.25">
      <c r="A915" s="4" t="s">
        <v>21</v>
      </c>
      <c r="B915" s="4" t="s">
        <v>43</v>
      </c>
      <c r="C915" s="4" t="s">
        <v>33</v>
      </c>
      <c r="D915" s="4" t="s">
        <v>44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44501</v>
      </c>
      <c r="J915" s="6">
        <v>0</v>
      </c>
      <c r="K915" s="6">
        <v>0</v>
      </c>
      <c r="L915" s="6">
        <v>0.32200000000000001</v>
      </c>
      <c r="M915" s="6">
        <v>0.32200000000000001</v>
      </c>
      <c r="N915" s="6">
        <v>0.32200000000000001</v>
      </c>
      <c r="O915" s="6">
        <v>0.32200000000000001</v>
      </c>
      <c r="P915" s="6">
        <v>0</v>
      </c>
      <c r="Q915" s="4" t="s">
        <v>26</v>
      </c>
      <c r="R915" s="4">
        <v>0</v>
      </c>
      <c r="S915" s="4" t="s">
        <v>383</v>
      </c>
      <c r="T915" s="4" t="s">
        <v>616</v>
      </c>
      <c r="U915" s="4">
        <v>0</v>
      </c>
      <c r="V915" s="4">
        <v>45</v>
      </c>
      <c r="W915" s="4">
        <v>98</v>
      </c>
    </row>
    <row r="916" spans="1:23" ht="11.25" customHeight="1" x14ac:dyDescent="0.25">
      <c r="A916" s="4" t="s">
        <v>21</v>
      </c>
      <c r="B916" s="4" t="s">
        <v>43</v>
      </c>
      <c r="C916" s="4" t="s">
        <v>33</v>
      </c>
      <c r="D916" s="4" t="s">
        <v>44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44531</v>
      </c>
      <c r="J916" s="6">
        <v>0</v>
      </c>
      <c r="K916" s="6">
        <v>0</v>
      </c>
      <c r="L916" s="6">
        <v>0.33300000000000002</v>
      </c>
      <c r="M916" s="6">
        <v>0.33300000000000002</v>
      </c>
      <c r="N916" s="6">
        <v>0.33300000000000002</v>
      </c>
      <c r="O916" s="6">
        <v>0.33300000000000002</v>
      </c>
      <c r="P916" s="6">
        <v>0</v>
      </c>
      <c r="Q916" s="4" t="s">
        <v>26</v>
      </c>
      <c r="R916" s="4">
        <v>0</v>
      </c>
      <c r="S916" s="4" t="s">
        <v>384</v>
      </c>
      <c r="T916" s="4" t="s">
        <v>617</v>
      </c>
      <c r="U916" s="4">
        <v>0</v>
      </c>
      <c r="V916" s="4">
        <v>45</v>
      </c>
      <c r="W916" s="4">
        <v>98</v>
      </c>
    </row>
    <row r="917" spans="1:23" ht="11.25" customHeight="1" x14ac:dyDescent="0.25">
      <c r="A917" s="4" t="s">
        <v>55</v>
      </c>
      <c r="B917" s="4" t="s">
        <v>43</v>
      </c>
      <c r="C917" s="4" t="s">
        <v>33</v>
      </c>
      <c r="D917" s="4" t="s">
        <v>44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44562</v>
      </c>
      <c r="J917" s="6">
        <v>0</v>
      </c>
      <c r="K917" s="6">
        <v>0</v>
      </c>
      <c r="L917" s="6">
        <v>0.33300000000000002</v>
      </c>
      <c r="M917" s="6">
        <v>0.33300000000000002</v>
      </c>
      <c r="N917" s="6">
        <v>0.33300000000000002</v>
      </c>
      <c r="O917" s="6">
        <v>0.33300000000000002</v>
      </c>
      <c r="P917" s="6">
        <v>0</v>
      </c>
      <c r="Q917" s="4" t="s">
        <v>26</v>
      </c>
      <c r="R917" s="4">
        <v>0</v>
      </c>
      <c r="S917" s="4" t="s">
        <v>385</v>
      </c>
      <c r="T917" s="4" t="s">
        <v>618</v>
      </c>
      <c r="U917" s="4">
        <v>0</v>
      </c>
      <c r="V917" s="4">
        <v>45</v>
      </c>
      <c r="W917" s="4">
        <v>98</v>
      </c>
    </row>
    <row r="918" spans="1:23" ht="11.25" customHeight="1" x14ac:dyDescent="0.25">
      <c r="A918" s="4" t="s">
        <v>21</v>
      </c>
      <c r="B918" s="4" t="s">
        <v>43</v>
      </c>
      <c r="C918" s="4" t="s">
        <v>33</v>
      </c>
      <c r="D918" s="4" t="s">
        <v>44</v>
      </c>
      <c r="E918" s="4" t="s">
        <v>25</v>
      </c>
      <c r="F918" s="4" t="s">
        <v>25</v>
      </c>
      <c r="G918" s="4" t="s">
        <v>25</v>
      </c>
      <c r="H918" s="4" t="s">
        <v>36</v>
      </c>
      <c r="I918" s="5">
        <v>44228</v>
      </c>
      <c r="J918" s="6">
        <v>0</v>
      </c>
      <c r="K918" s="6">
        <v>0</v>
      </c>
      <c r="L918" s="6">
        <v>1.6E-2</v>
      </c>
      <c r="M918" s="6">
        <v>1.6E-2</v>
      </c>
      <c r="N918" s="6">
        <v>1.6E-2</v>
      </c>
      <c r="O918" s="6">
        <v>1.6E-2</v>
      </c>
      <c r="P918" s="6">
        <v>0</v>
      </c>
      <c r="Q918" s="4" t="s">
        <v>26</v>
      </c>
      <c r="R918" s="4">
        <v>0</v>
      </c>
      <c r="S918" s="4" t="s">
        <v>386</v>
      </c>
      <c r="T918" s="4" t="s">
        <v>619</v>
      </c>
      <c r="U918" s="4">
        <v>0</v>
      </c>
      <c r="V918" s="4">
        <v>44</v>
      </c>
      <c r="W918" s="4">
        <v>97</v>
      </c>
    </row>
    <row r="919" spans="1:23" ht="11.25" customHeight="1" x14ac:dyDescent="0.25">
      <c r="A919" s="4" t="s">
        <v>21</v>
      </c>
      <c r="B919" s="4" t="s">
        <v>43</v>
      </c>
      <c r="C919" s="4" t="s">
        <v>33</v>
      </c>
      <c r="D919" s="4" t="s">
        <v>44</v>
      </c>
      <c r="E919" s="4" t="s">
        <v>25</v>
      </c>
      <c r="F919" s="4" t="s">
        <v>25</v>
      </c>
      <c r="G919" s="4" t="s">
        <v>25</v>
      </c>
      <c r="H919" s="4" t="s">
        <v>36</v>
      </c>
      <c r="I919" s="5">
        <v>44256</v>
      </c>
      <c r="J919" s="6">
        <v>0</v>
      </c>
      <c r="K919" s="6">
        <v>0</v>
      </c>
      <c r="L919" s="6">
        <v>0.02</v>
      </c>
      <c r="M919" s="6">
        <v>0.02</v>
      </c>
      <c r="N919" s="6">
        <v>0.02</v>
      </c>
      <c r="O919" s="6">
        <v>0.02</v>
      </c>
      <c r="P919" s="6">
        <v>0</v>
      </c>
      <c r="Q919" s="4" t="s">
        <v>26</v>
      </c>
      <c r="R919" s="4">
        <v>0</v>
      </c>
      <c r="S919" s="4" t="s">
        <v>387</v>
      </c>
      <c r="T919" s="4" t="s">
        <v>620</v>
      </c>
      <c r="U919" s="4">
        <v>0</v>
      </c>
      <c r="V919" s="4">
        <v>44</v>
      </c>
      <c r="W919" s="4">
        <v>97</v>
      </c>
    </row>
    <row r="920" spans="1:23" ht="11.25" customHeight="1" x14ac:dyDescent="0.25">
      <c r="A920" s="4" t="s">
        <v>21</v>
      </c>
      <c r="B920" s="4" t="s">
        <v>43</v>
      </c>
      <c r="C920" s="4" t="s">
        <v>33</v>
      </c>
      <c r="D920" s="4" t="s">
        <v>44</v>
      </c>
      <c r="E920" s="4" t="s">
        <v>25</v>
      </c>
      <c r="F920" s="4" t="s">
        <v>25</v>
      </c>
      <c r="G920" s="4" t="s">
        <v>25</v>
      </c>
      <c r="H920" s="4" t="s">
        <v>36</v>
      </c>
      <c r="I920" s="5">
        <v>44287</v>
      </c>
      <c r="J920" s="6">
        <v>0</v>
      </c>
      <c r="K920" s="6">
        <v>0</v>
      </c>
      <c r="L920" s="6">
        <v>0.01</v>
      </c>
      <c r="M920" s="6">
        <v>0.01</v>
      </c>
      <c r="N920" s="6">
        <v>0.01</v>
      </c>
      <c r="O920" s="6">
        <v>0.01</v>
      </c>
      <c r="P920" s="6">
        <v>0</v>
      </c>
      <c r="Q920" s="4" t="s">
        <v>26</v>
      </c>
      <c r="R920" s="4">
        <v>0</v>
      </c>
      <c r="S920" s="4" t="s">
        <v>388</v>
      </c>
      <c r="T920" s="4" t="s">
        <v>621</v>
      </c>
      <c r="U920" s="4">
        <v>0</v>
      </c>
      <c r="V920" s="4">
        <v>44</v>
      </c>
      <c r="W920" s="4">
        <v>97</v>
      </c>
    </row>
    <row r="921" spans="1:23" ht="11.25" customHeight="1" x14ac:dyDescent="0.25">
      <c r="A921" s="4" t="s">
        <v>21</v>
      </c>
      <c r="B921" s="4" t="s">
        <v>43</v>
      </c>
      <c r="C921" s="4" t="s">
        <v>33</v>
      </c>
      <c r="D921" s="4" t="s">
        <v>44</v>
      </c>
      <c r="E921" s="4" t="s">
        <v>25</v>
      </c>
      <c r="F921" s="4" t="s">
        <v>25</v>
      </c>
      <c r="G921" s="4" t="s">
        <v>25</v>
      </c>
      <c r="H921" s="4" t="s">
        <v>36</v>
      </c>
      <c r="I921" s="5">
        <v>44317</v>
      </c>
      <c r="J921" s="6">
        <v>0</v>
      </c>
      <c r="K921" s="6">
        <v>0</v>
      </c>
      <c r="L921" s="6">
        <v>1.2999999999999999E-2</v>
      </c>
      <c r="M921" s="6">
        <v>1.2999999999999999E-2</v>
      </c>
      <c r="N921" s="6">
        <v>1.2999999999999999E-2</v>
      </c>
      <c r="O921" s="6">
        <v>1.2999999999999999E-2</v>
      </c>
      <c r="P921" s="6">
        <v>0</v>
      </c>
      <c r="Q921" s="4" t="s">
        <v>26</v>
      </c>
      <c r="R921" s="4">
        <v>0</v>
      </c>
      <c r="S921" s="4" t="s">
        <v>389</v>
      </c>
      <c r="T921" s="4" t="s">
        <v>622</v>
      </c>
      <c r="U921" s="4">
        <v>0</v>
      </c>
      <c r="V921" s="4">
        <v>44</v>
      </c>
      <c r="W921" s="4">
        <v>97</v>
      </c>
    </row>
    <row r="922" spans="1:23" ht="11.25" customHeight="1" x14ac:dyDescent="0.25">
      <c r="A922" s="4" t="s">
        <v>21</v>
      </c>
      <c r="B922" s="4" t="s">
        <v>43</v>
      </c>
      <c r="C922" s="4" t="s">
        <v>33</v>
      </c>
      <c r="D922" s="4" t="s">
        <v>44</v>
      </c>
      <c r="E922" s="4" t="s">
        <v>25</v>
      </c>
      <c r="F922" s="4" t="s">
        <v>25</v>
      </c>
      <c r="G922" s="4" t="s">
        <v>25</v>
      </c>
      <c r="H922" s="4" t="s">
        <v>36</v>
      </c>
      <c r="I922" s="5">
        <v>44348</v>
      </c>
      <c r="J922" s="6">
        <v>0</v>
      </c>
      <c r="K922" s="6">
        <v>0</v>
      </c>
      <c r="L922" s="6">
        <v>1.0999999999999999E-2</v>
      </c>
      <c r="M922" s="6">
        <v>1.0999999999999999E-2</v>
      </c>
      <c r="N922" s="6">
        <v>1.0999999999999999E-2</v>
      </c>
      <c r="O922" s="6">
        <v>1.0999999999999999E-2</v>
      </c>
      <c r="P922" s="6">
        <v>0</v>
      </c>
      <c r="Q922" s="4" t="s">
        <v>26</v>
      </c>
      <c r="R922" s="4">
        <v>0</v>
      </c>
      <c r="S922" s="4" t="s">
        <v>390</v>
      </c>
      <c r="T922" s="4" t="s">
        <v>623</v>
      </c>
      <c r="U922" s="4">
        <v>0</v>
      </c>
      <c r="V922" s="4">
        <v>44</v>
      </c>
      <c r="W922" s="4">
        <v>97</v>
      </c>
    </row>
    <row r="923" spans="1:23" ht="11.25" customHeight="1" x14ac:dyDescent="0.25">
      <c r="A923" s="4" t="s">
        <v>21</v>
      </c>
      <c r="B923" s="4" t="s">
        <v>43</v>
      </c>
      <c r="C923" s="4" t="s">
        <v>33</v>
      </c>
      <c r="D923" s="4" t="s">
        <v>44</v>
      </c>
      <c r="E923" s="4" t="s">
        <v>25</v>
      </c>
      <c r="F923" s="4" t="s">
        <v>25</v>
      </c>
      <c r="G923" s="4" t="s">
        <v>25</v>
      </c>
      <c r="H923" s="4" t="s">
        <v>36</v>
      </c>
      <c r="I923" s="5">
        <v>44378</v>
      </c>
      <c r="J923" s="6">
        <v>0</v>
      </c>
      <c r="K923" s="6">
        <v>0</v>
      </c>
      <c r="L923" s="6">
        <v>0.01</v>
      </c>
      <c r="M923" s="6">
        <v>0.01</v>
      </c>
      <c r="N923" s="6">
        <v>0.01</v>
      </c>
      <c r="O923" s="6">
        <v>0.01</v>
      </c>
      <c r="P923" s="6">
        <v>0</v>
      </c>
      <c r="Q923" s="4" t="s">
        <v>26</v>
      </c>
      <c r="R923" s="4">
        <v>0</v>
      </c>
      <c r="S923" s="4" t="s">
        <v>391</v>
      </c>
      <c r="T923" s="4" t="s">
        <v>624</v>
      </c>
      <c r="U923" s="4">
        <v>0</v>
      </c>
      <c r="V923" s="4">
        <v>44</v>
      </c>
      <c r="W923" s="4">
        <v>97</v>
      </c>
    </row>
    <row r="924" spans="1:23" ht="11.25" customHeight="1" x14ac:dyDescent="0.25">
      <c r="A924" s="4" t="s">
        <v>21</v>
      </c>
      <c r="B924" s="4" t="s">
        <v>43</v>
      </c>
      <c r="C924" s="4" t="s">
        <v>33</v>
      </c>
      <c r="D924" s="4" t="s">
        <v>44</v>
      </c>
      <c r="E924" s="4" t="s">
        <v>25</v>
      </c>
      <c r="F924" s="4" t="s">
        <v>25</v>
      </c>
      <c r="G924" s="4" t="s">
        <v>25</v>
      </c>
      <c r="H924" s="4" t="s">
        <v>36</v>
      </c>
      <c r="I924" s="5">
        <v>44409</v>
      </c>
      <c r="J924" s="6">
        <v>0</v>
      </c>
      <c r="K924" s="6">
        <v>0</v>
      </c>
      <c r="L924" s="6">
        <v>8.0000000000000002E-3</v>
      </c>
      <c r="M924" s="6">
        <v>8.0000000000000002E-3</v>
      </c>
      <c r="N924" s="6">
        <v>8.0000000000000002E-3</v>
      </c>
      <c r="O924" s="6">
        <v>8.0000000000000002E-3</v>
      </c>
      <c r="P924" s="6">
        <v>0</v>
      </c>
      <c r="Q924" s="4" t="s">
        <v>26</v>
      </c>
      <c r="R924" s="4">
        <v>0</v>
      </c>
      <c r="S924" s="4" t="s">
        <v>392</v>
      </c>
      <c r="T924" s="4" t="s">
        <v>625</v>
      </c>
      <c r="U924" s="4">
        <v>0</v>
      </c>
      <c r="V924" s="4">
        <v>44</v>
      </c>
      <c r="W924" s="4">
        <v>97</v>
      </c>
    </row>
    <row r="925" spans="1:23" ht="11.25" customHeight="1" x14ac:dyDescent="0.25">
      <c r="A925" s="4" t="s">
        <v>21</v>
      </c>
      <c r="B925" s="4" t="s">
        <v>43</v>
      </c>
      <c r="C925" s="4" t="s">
        <v>33</v>
      </c>
      <c r="D925" s="4" t="s">
        <v>44</v>
      </c>
      <c r="E925" s="4" t="s">
        <v>25</v>
      </c>
      <c r="F925" s="4" t="s">
        <v>25</v>
      </c>
      <c r="G925" s="4" t="s">
        <v>25</v>
      </c>
      <c r="H925" s="4" t="s">
        <v>36</v>
      </c>
      <c r="I925" s="5">
        <v>44440</v>
      </c>
      <c r="J925" s="6">
        <v>0</v>
      </c>
      <c r="K925" s="6">
        <v>0</v>
      </c>
      <c r="L925" s="6">
        <v>1.0999999999999999E-2</v>
      </c>
      <c r="M925" s="6">
        <v>1.0999999999999999E-2</v>
      </c>
      <c r="N925" s="6">
        <v>1.0999999999999999E-2</v>
      </c>
      <c r="O925" s="6">
        <v>1.0999999999999999E-2</v>
      </c>
      <c r="P925" s="6">
        <v>0</v>
      </c>
      <c r="Q925" s="4" t="s">
        <v>26</v>
      </c>
      <c r="R925" s="4">
        <v>0</v>
      </c>
      <c r="S925" s="4" t="s">
        <v>393</v>
      </c>
      <c r="T925" s="4" t="s">
        <v>626</v>
      </c>
      <c r="U925" s="4">
        <v>0</v>
      </c>
      <c r="V925" s="4">
        <v>44</v>
      </c>
      <c r="W925" s="4">
        <v>97</v>
      </c>
    </row>
    <row r="926" spans="1:23" ht="11.25" customHeight="1" x14ac:dyDescent="0.25">
      <c r="A926" s="4" t="s">
        <v>21</v>
      </c>
      <c r="B926" s="4" t="s">
        <v>43</v>
      </c>
      <c r="C926" s="4" t="s">
        <v>33</v>
      </c>
      <c r="D926" s="4" t="s">
        <v>44</v>
      </c>
      <c r="E926" s="4" t="s">
        <v>25</v>
      </c>
      <c r="F926" s="4" t="s">
        <v>25</v>
      </c>
      <c r="G926" s="4" t="s">
        <v>25</v>
      </c>
      <c r="H926" s="4" t="s">
        <v>36</v>
      </c>
      <c r="I926" s="5">
        <v>44470</v>
      </c>
      <c r="J926" s="6">
        <v>0</v>
      </c>
      <c r="K926" s="6">
        <v>0</v>
      </c>
      <c r="L926" s="6">
        <v>1.2E-2</v>
      </c>
      <c r="M926" s="6">
        <v>1.2E-2</v>
      </c>
      <c r="N926" s="6">
        <v>1.2E-2</v>
      </c>
      <c r="O926" s="6">
        <v>1.2E-2</v>
      </c>
      <c r="P926" s="6">
        <v>0</v>
      </c>
      <c r="Q926" s="4" t="s">
        <v>26</v>
      </c>
      <c r="R926" s="4">
        <v>0</v>
      </c>
      <c r="S926" s="4" t="s">
        <v>394</v>
      </c>
      <c r="T926" s="4" t="s">
        <v>627</v>
      </c>
      <c r="U926" s="4">
        <v>0</v>
      </c>
      <c r="V926" s="4">
        <v>44</v>
      </c>
      <c r="W926" s="4">
        <v>97</v>
      </c>
    </row>
    <row r="927" spans="1:23" ht="11.25" customHeight="1" x14ac:dyDescent="0.25">
      <c r="A927" s="4" t="s">
        <v>21</v>
      </c>
      <c r="B927" s="4" t="s">
        <v>43</v>
      </c>
      <c r="C927" s="4" t="s">
        <v>33</v>
      </c>
      <c r="D927" s="4" t="s">
        <v>44</v>
      </c>
      <c r="E927" s="4" t="s">
        <v>25</v>
      </c>
      <c r="F927" s="4" t="s">
        <v>25</v>
      </c>
      <c r="G927" s="4" t="s">
        <v>25</v>
      </c>
      <c r="H927" s="4" t="s">
        <v>36</v>
      </c>
      <c r="I927" s="5">
        <v>44501</v>
      </c>
      <c r="J927" s="6">
        <v>0</v>
      </c>
      <c r="K927" s="6">
        <v>0</v>
      </c>
      <c r="L927" s="6">
        <v>0.01</v>
      </c>
      <c r="M927" s="6">
        <v>0.01</v>
      </c>
      <c r="N927" s="6">
        <v>0.01</v>
      </c>
      <c r="O927" s="6">
        <v>0.01</v>
      </c>
      <c r="P927" s="6">
        <v>0</v>
      </c>
      <c r="Q927" s="4" t="s">
        <v>26</v>
      </c>
      <c r="R927" s="4">
        <v>0</v>
      </c>
      <c r="S927" s="4" t="s">
        <v>395</v>
      </c>
      <c r="T927" s="4" t="s">
        <v>628</v>
      </c>
      <c r="U927" s="4">
        <v>0</v>
      </c>
      <c r="V927" s="4">
        <v>44</v>
      </c>
      <c r="W927" s="4">
        <v>97</v>
      </c>
    </row>
    <row r="928" spans="1:23" ht="11.25" customHeight="1" x14ac:dyDescent="0.25">
      <c r="A928" s="4" t="s">
        <v>21</v>
      </c>
      <c r="B928" s="4" t="s">
        <v>43</v>
      </c>
      <c r="C928" s="4" t="s">
        <v>33</v>
      </c>
      <c r="D928" s="4" t="s">
        <v>44</v>
      </c>
      <c r="E928" s="4" t="s">
        <v>25</v>
      </c>
      <c r="F928" s="4" t="s">
        <v>25</v>
      </c>
      <c r="G928" s="4" t="s">
        <v>25</v>
      </c>
      <c r="H928" s="4" t="s">
        <v>36</v>
      </c>
      <c r="I928" s="5">
        <v>44531</v>
      </c>
      <c r="J928" s="6">
        <v>0</v>
      </c>
      <c r="K928" s="6">
        <v>0</v>
      </c>
      <c r="L928" s="6">
        <v>1.2E-2</v>
      </c>
      <c r="M928" s="6">
        <v>1.2E-2</v>
      </c>
      <c r="N928" s="6">
        <v>1.2E-2</v>
      </c>
      <c r="O928" s="6">
        <v>1.2E-2</v>
      </c>
      <c r="P928" s="6">
        <v>0</v>
      </c>
      <c r="Q928" s="4" t="s">
        <v>26</v>
      </c>
      <c r="R928" s="4">
        <v>0</v>
      </c>
      <c r="S928" s="4" t="s">
        <v>396</v>
      </c>
      <c r="T928" s="4" t="s">
        <v>629</v>
      </c>
      <c r="U928" s="4">
        <v>0</v>
      </c>
      <c r="V928" s="4">
        <v>44</v>
      </c>
      <c r="W928" s="4">
        <v>97</v>
      </c>
    </row>
    <row r="929" spans="1:23" ht="11.25" customHeight="1" x14ac:dyDescent="0.25">
      <c r="A929" s="4" t="s">
        <v>55</v>
      </c>
      <c r="B929" s="4" t="s">
        <v>43</v>
      </c>
      <c r="C929" s="4" t="s">
        <v>33</v>
      </c>
      <c r="D929" s="4" t="s">
        <v>44</v>
      </c>
      <c r="E929" s="4" t="s">
        <v>25</v>
      </c>
      <c r="F929" s="4" t="s">
        <v>25</v>
      </c>
      <c r="G929" s="4" t="s">
        <v>25</v>
      </c>
      <c r="H929" s="4" t="s">
        <v>36</v>
      </c>
      <c r="I929" s="5">
        <v>44562</v>
      </c>
      <c r="J929" s="6">
        <v>0</v>
      </c>
      <c r="K929" s="6">
        <v>0</v>
      </c>
      <c r="L929" s="6">
        <v>1.2E-2</v>
      </c>
      <c r="M929" s="6">
        <v>1.2E-2</v>
      </c>
      <c r="N929" s="6">
        <v>1.2E-2</v>
      </c>
      <c r="O929" s="6">
        <v>1.2E-2</v>
      </c>
      <c r="P929" s="6">
        <v>0</v>
      </c>
      <c r="Q929" s="4" t="s">
        <v>26</v>
      </c>
      <c r="R929" s="4">
        <v>0</v>
      </c>
      <c r="S929" s="4" t="s">
        <v>397</v>
      </c>
      <c r="T929" s="4" t="s">
        <v>630</v>
      </c>
      <c r="U929" s="4">
        <v>0</v>
      </c>
      <c r="V929" s="4">
        <v>44</v>
      </c>
      <c r="W929" s="4">
        <v>97</v>
      </c>
    </row>
    <row r="930" spans="1:23" ht="11.25" customHeight="1" x14ac:dyDescent="0.25">
      <c r="A930" s="4" t="s">
        <v>21</v>
      </c>
      <c r="B930" s="4" t="s">
        <v>43</v>
      </c>
      <c r="C930" s="4" t="s">
        <v>33</v>
      </c>
      <c r="D930" s="4" t="s">
        <v>44</v>
      </c>
      <c r="E930" s="4" t="s">
        <v>25</v>
      </c>
      <c r="F930" s="4" t="s">
        <v>25</v>
      </c>
      <c r="G930" s="4" t="s">
        <v>25</v>
      </c>
      <c r="H930" s="4" t="s">
        <v>34</v>
      </c>
      <c r="I930" s="5">
        <v>44228</v>
      </c>
      <c r="J930" s="6">
        <v>0</v>
      </c>
      <c r="K930" s="6">
        <v>0</v>
      </c>
      <c r="L930" s="6">
        <v>1.0999999999999999E-2</v>
      </c>
      <c r="M930" s="6">
        <v>1.0999999999999999E-2</v>
      </c>
      <c r="N930" s="6">
        <v>1.0999999999999999E-2</v>
      </c>
      <c r="O930" s="6">
        <v>1.0999999999999999E-2</v>
      </c>
      <c r="P930" s="6">
        <v>0</v>
      </c>
      <c r="Q930" s="4" t="s">
        <v>26</v>
      </c>
      <c r="R930" s="4">
        <v>0</v>
      </c>
      <c r="S930" s="4" t="s">
        <v>398</v>
      </c>
      <c r="T930" s="4" t="s">
        <v>631</v>
      </c>
      <c r="U930" s="4">
        <v>0</v>
      </c>
      <c r="V930" s="4">
        <v>43</v>
      </c>
      <c r="W930" s="4">
        <v>96</v>
      </c>
    </row>
    <row r="931" spans="1:23" ht="11.25" customHeight="1" x14ac:dyDescent="0.25">
      <c r="A931" s="4" t="s">
        <v>21</v>
      </c>
      <c r="B931" s="4" t="s">
        <v>43</v>
      </c>
      <c r="C931" s="4" t="s">
        <v>33</v>
      </c>
      <c r="D931" s="4" t="s">
        <v>44</v>
      </c>
      <c r="E931" s="4" t="s">
        <v>25</v>
      </c>
      <c r="F931" s="4" t="s">
        <v>25</v>
      </c>
      <c r="G931" s="4" t="s">
        <v>25</v>
      </c>
      <c r="H931" s="4" t="s">
        <v>34</v>
      </c>
      <c r="I931" s="5">
        <v>44256</v>
      </c>
      <c r="J931" s="6">
        <v>0</v>
      </c>
      <c r="K931" s="6">
        <v>0</v>
      </c>
      <c r="L931" s="6">
        <v>1.4E-2</v>
      </c>
      <c r="M931" s="6">
        <v>1.4E-2</v>
      </c>
      <c r="N931" s="6">
        <v>1.4E-2</v>
      </c>
      <c r="O931" s="6">
        <v>1.4E-2</v>
      </c>
      <c r="P931" s="6">
        <v>0</v>
      </c>
      <c r="Q931" s="4" t="s">
        <v>26</v>
      </c>
      <c r="R931" s="4">
        <v>0</v>
      </c>
      <c r="S931" s="4" t="s">
        <v>399</v>
      </c>
      <c r="T931" s="4" t="s">
        <v>632</v>
      </c>
      <c r="U931" s="4">
        <v>0</v>
      </c>
      <c r="V931" s="4">
        <v>43</v>
      </c>
      <c r="W931" s="4">
        <v>96</v>
      </c>
    </row>
    <row r="932" spans="1:23" ht="11.25" customHeight="1" x14ac:dyDescent="0.25">
      <c r="A932" s="4" t="s">
        <v>21</v>
      </c>
      <c r="B932" s="4" t="s">
        <v>43</v>
      </c>
      <c r="C932" s="4" t="s">
        <v>33</v>
      </c>
      <c r="D932" s="4" t="s">
        <v>44</v>
      </c>
      <c r="E932" s="4" t="s">
        <v>25</v>
      </c>
      <c r="F932" s="4" t="s">
        <v>25</v>
      </c>
      <c r="G932" s="4" t="s">
        <v>25</v>
      </c>
      <c r="H932" s="4" t="s">
        <v>34</v>
      </c>
      <c r="I932" s="5">
        <v>44287</v>
      </c>
      <c r="J932" s="6">
        <v>0</v>
      </c>
      <c r="K932" s="6">
        <v>0</v>
      </c>
      <c r="L932" s="6">
        <v>1.2999999999999999E-2</v>
      </c>
      <c r="M932" s="6">
        <v>1.2999999999999999E-2</v>
      </c>
      <c r="N932" s="6">
        <v>1.2999999999999999E-2</v>
      </c>
      <c r="O932" s="6">
        <v>1.2999999999999999E-2</v>
      </c>
      <c r="P932" s="6">
        <v>0</v>
      </c>
      <c r="Q932" s="4" t="s">
        <v>26</v>
      </c>
      <c r="R932" s="4">
        <v>0</v>
      </c>
      <c r="S932" s="4" t="s">
        <v>400</v>
      </c>
      <c r="T932" s="4" t="s">
        <v>633</v>
      </c>
      <c r="U932" s="4">
        <v>0</v>
      </c>
      <c r="V932" s="4">
        <v>43</v>
      </c>
      <c r="W932" s="4">
        <v>96</v>
      </c>
    </row>
    <row r="933" spans="1:23" ht="11.25" customHeight="1" x14ac:dyDescent="0.25">
      <c r="A933" s="4" t="s">
        <v>21</v>
      </c>
      <c r="B933" s="4" t="s">
        <v>43</v>
      </c>
      <c r="C933" s="4" t="s">
        <v>33</v>
      </c>
      <c r="D933" s="4" t="s">
        <v>44</v>
      </c>
      <c r="E933" s="4" t="s">
        <v>25</v>
      </c>
      <c r="F933" s="4" t="s">
        <v>25</v>
      </c>
      <c r="G933" s="4" t="s">
        <v>25</v>
      </c>
      <c r="H933" s="4" t="s">
        <v>34</v>
      </c>
      <c r="I933" s="5">
        <v>44317</v>
      </c>
      <c r="J933" s="6">
        <v>0</v>
      </c>
      <c r="K933" s="6">
        <v>0</v>
      </c>
      <c r="L933" s="6">
        <v>1.4999999999999999E-2</v>
      </c>
      <c r="M933" s="6">
        <v>1.4999999999999999E-2</v>
      </c>
      <c r="N933" s="6">
        <v>1.4999999999999999E-2</v>
      </c>
      <c r="O933" s="6">
        <v>1.4999999999999999E-2</v>
      </c>
      <c r="P933" s="6">
        <v>0</v>
      </c>
      <c r="Q933" s="4" t="s">
        <v>26</v>
      </c>
      <c r="R933" s="4">
        <v>0</v>
      </c>
      <c r="S933" s="4" t="s">
        <v>401</v>
      </c>
      <c r="T933" s="4" t="s">
        <v>634</v>
      </c>
      <c r="U933" s="4">
        <v>0</v>
      </c>
      <c r="V933" s="4">
        <v>43</v>
      </c>
      <c r="W933" s="4">
        <v>96</v>
      </c>
    </row>
    <row r="934" spans="1:23" ht="11.25" customHeight="1" x14ac:dyDescent="0.25">
      <c r="A934" s="4" t="s">
        <v>21</v>
      </c>
      <c r="B934" s="4" t="s">
        <v>43</v>
      </c>
      <c r="C934" s="4" t="s">
        <v>33</v>
      </c>
      <c r="D934" s="4" t="s">
        <v>44</v>
      </c>
      <c r="E934" s="4" t="s">
        <v>25</v>
      </c>
      <c r="F934" s="4" t="s">
        <v>25</v>
      </c>
      <c r="G934" s="4" t="s">
        <v>25</v>
      </c>
      <c r="H934" s="4" t="s">
        <v>34</v>
      </c>
      <c r="I934" s="5">
        <v>44348</v>
      </c>
      <c r="J934" s="6">
        <v>0</v>
      </c>
      <c r="K934" s="6">
        <v>0</v>
      </c>
      <c r="L934" s="6">
        <v>1.2999999999999999E-2</v>
      </c>
      <c r="M934" s="6">
        <v>1.2999999999999999E-2</v>
      </c>
      <c r="N934" s="6">
        <v>1.2999999999999999E-2</v>
      </c>
      <c r="O934" s="6">
        <v>1.2999999999999999E-2</v>
      </c>
      <c r="P934" s="6">
        <v>0</v>
      </c>
      <c r="Q934" s="4" t="s">
        <v>26</v>
      </c>
      <c r="R934" s="4">
        <v>0</v>
      </c>
      <c r="S934" s="4" t="s">
        <v>402</v>
      </c>
      <c r="T934" s="4" t="s">
        <v>635</v>
      </c>
      <c r="U934" s="4">
        <v>0</v>
      </c>
      <c r="V934" s="4">
        <v>43</v>
      </c>
      <c r="W934" s="4">
        <v>96</v>
      </c>
    </row>
    <row r="935" spans="1:23" ht="11.25" customHeight="1" x14ac:dyDescent="0.25">
      <c r="A935" s="4" t="s">
        <v>21</v>
      </c>
      <c r="B935" s="4" t="s">
        <v>43</v>
      </c>
      <c r="C935" s="4" t="s">
        <v>33</v>
      </c>
      <c r="D935" s="4" t="s">
        <v>44</v>
      </c>
      <c r="E935" s="4" t="s">
        <v>25</v>
      </c>
      <c r="F935" s="4" t="s">
        <v>25</v>
      </c>
      <c r="G935" s="4" t="s">
        <v>25</v>
      </c>
      <c r="H935" s="4" t="s">
        <v>34</v>
      </c>
      <c r="I935" s="5">
        <v>44378</v>
      </c>
      <c r="J935" s="6">
        <v>0</v>
      </c>
      <c r="K935" s="6">
        <v>0</v>
      </c>
      <c r="L935" s="6">
        <v>1.2999999999999999E-2</v>
      </c>
      <c r="M935" s="6">
        <v>1.2999999999999999E-2</v>
      </c>
      <c r="N935" s="6">
        <v>1.2999999999999999E-2</v>
      </c>
      <c r="O935" s="6">
        <v>1.2999999999999999E-2</v>
      </c>
      <c r="P935" s="6">
        <v>0</v>
      </c>
      <c r="Q935" s="4" t="s">
        <v>26</v>
      </c>
      <c r="R935" s="4">
        <v>0</v>
      </c>
      <c r="S935" s="4" t="s">
        <v>403</v>
      </c>
      <c r="T935" s="4" t="s">
        <v>636</v>
      </c>
      <c r="U935" s="4">
        <v>0</v>
      </c>
      <c r="V935" s="4">
        <v>43</v>
      </c>
      <c r="W935" s="4">
        <v>96</v>
      </c>
    </row>
    <row r="936" spans="1:23" ht="11.25" customHeight="1" x14ac:dyDescent="0.25">
      <c r="A936" s="4" t="s">
        <v>21</v>
      </c>
      <c r="B936" s="4" t="s">
        <v>43</v>
      </c>
      <c r="C936" s="4" t="s">
        <v>33</v>
      </c>
      <c r="D936" s="4" t="s">
        <v>44</v>
      </c>
      <c r="E936" s="4" t="s">
        <v>25</v>
      </c>
      <c r="F936" s="4" t="s">
        <v>25</v>
      </c>
      <c r="G936" s="4" t="s">
        <v>25</v>
      </c>
      <c r="H936" s="4" t="s">
        <v>34</v>
      </c>
      <c r="I936" s="5">
        <v>44409</v>
      </c>
      <c r="J936" s="6">
        <v>0</v>
      </c>
      <c r="K936" s="6">
        <v>0</v>
      </c>
      <c r="L936" s="6">
        <v>1.2E-2</v>
      </c>
      <c r="M936" s="6">
        <v>1.2E-2</v>
      </c>
      <c r="N936" s="6">
        <v>1.2E-2</v>
      </c>
      <c r="O936" s="6">
        <v>1.2E-2</v>
      </c>
      <c r="P936" s="6">
        <v>0</v>
      </c>
      <c r="Q936" s="4" t="s">
        <v>26</v>
      </c>
      <c r="R936" s="4">
        <v>0</v>
      </c>
      <c r="S936" s="4" t="s">
        <v>404</v>
      </c>
      <c r="T936" s="4" t="s">
        <v>637</v>
      </c>
      <c r="U936" s="4">
        <v>0</v>
      </c>
      <c r="V936" s="4">
        <v>43</v>
      </c>
      <c r="W936" s="4">
        <v>96</v>
      </c>
    </row>
    <row r="937" spans="1:23" ht="11.25" customHeight="1" x14ac:dyDescent="0.25">
      <c r="A937" s="4" t="s">
        <v>21</v>
      </c>
      <c r="B937" s="4" t="s">
        <v>43</v>
      </c>
      <c r="C937" s="4" t="s">
        <v>33</v>
      </c>
      <c r="D937" s="4" t="s">
        <v>44</v>
      </c>
      <c r="E937" s="4" t="s">
        <v>25</v>
      </c>
      <c r="F937" s="4" t="s">
        <v>25</v>
      </c>
      <c r="G937" s="4" t="s">
        <v>25</v>
      </c>
      <c r="H937" s="4" t="s">
        <v>34</v>
      </c>
      <c r="I937" s="5">
        <v>44440</v>
      </c>
      <c r="J937" s="6">
        <v>0</v>
      </c>
      <c r="K937" s="6">
        <v>0</v>
      </c>
      <c r="L937" s="6">
        <v>1.2999999999999999E-2</v>
      </c>
      <c r="M937" s="6">
        <v>1.2999999999999999E-2</v>
      </c>
      <c r="N937" s="6">
        <v>1.2999999999999999E-2</v>
      </c>
      <c r="O937" s="6">
        <v>1.2999999999999999E-2</v>
      </c>
      <c r="P937" s="6">
        <v>0</v>
      </c>
      <c r="Q937" s="4" t="s">
        <v>26</v>
      </c>
      <c r="R937" s="4">
        <v>0</v>
      </c>
      <c r="S937" s="4" t="s">
        <v>405</v>
      </c>
      <c r="T937" s="4" t="s">
        <v>638</v>
      </c>
      <c r="U937" s="4">
        <v>0</v>
      </c>
      <c r="V937" s="4">
        <v>43</v>
      </c>
      <c r="W937" s="4">
        <v>96</v>
      </c>
    </row>
    <row r="938" spans="1:23" ht="11.25" customHeight="1" x14ac:dyDescent="0.25">
      <c r="A938" s="4" t="s">
        <v>21</v>
      </c>
      <c r="B938" s="4" t="s">
        <v>43</v>
      </c>
      <c r="C938" s="4" t="s">
        <v>33</v>
      </c>
      <c r="D938" s="4" t="s">
        <v>44</v>
      </c>
      <c r="E938" s="4" t="s">
        <v>25</v>
      </c>
      <c r="F938" s="4" t="s">
        <v>25</v>
      </c>
      <c r="G938" s="4" t="s">
        <v>25</v>
      </c>
      <c r="H938" s="4" t="s">
        <v>34</v>
      </c>
      <c r="I938" s="5">
        <v>44470</v>
      </c>
      <c r="J938" s="6">
        <v>0</v>
      </c>
      <c r="K938" s="6">
        <v>0</v>
      </c>
      <c r="L938" s="6">
        <v>1.4999999999999999E-2</v>
      </c>
      <c r="M938" s="6">
        <v>1.4999999999999999E-2</v>
      </c>
      <c r="N938" s="6">
        <v>1.4999999999999999E-2</v>
      </c>
      <c r="O938" s="6">
        <v>1.4999999999999999E-2</v>
      </c>
      <c r="P938" s="6">
        <v>0</v>
      </c>
      <c r="Q938" s="4" t="s">
        <v>26</v>
      </c>
      <c r="R938" s="4">
        <v>0</v>
      </c>
      <c r="S938" s="4" t="s">
        <v>406</v>
      </c>
      <c r="T938" s="4" t="s">
        <v>639</v>
      </c>
      <c r="U938" s="4">
        <v>0</v>
      </c>
      <c r="V938" s="4">
        <v>43</v>
      </c>
      <c r="W938" s="4">
        <v>96</v>
      </c>
    </row>
    <row r="939" spans="1:23" ht="11.25" customHeight="1" x14ac:dyDescent="0.25">
      <c r="A939" s="4" t="s">
        <v>21</v>
      </c>
      <c r="B939" s="4" t="s">
        <v>43</v>
      </c>
      <c r="C939" s="4" t="s">
        <v>33</v>
      </c>
      <c r="D939" s="4" t="s">
        <v>44</v>
      </c>
      <c r="E939" s="4" t="s">
        <v>25</v>
      </c>
      <c r="F939" s="4" t="s">
        <v>25</v>
      </c>
      <c r="G939" s="4" t="s">
        <v>25</v>
      </c>
      <c r="H939" s="4" t="s">
        <v>34</v>
      </c>
      <c r="I939" s="5">
        <v>44501</v>
      </c>
      <c r="J939" s="6">
        <v>0</v>
      </c>
      <c r="K939" s="6">
        <v>0</v>
      </c>
      <c r="L939" s="6">
        <v>1.4999999999999999E-2</v>
      </c>
      <c r="M939" s="6">
        <v>1.4999999999999999E-2</v>
      </c>
      <c r="N939" s="6">
        <v>1.4999999999999999E-2</v>
      </c>
      <c r="O939" s="6">
        <v>1.4999999999999999E-2</v>
      </c>
      <c r="P939" s="6">
        <v>0</v>
      </c>
      <c r="Q939" s="4" t="s">
        <v>26</v>
      </c>
      <c r="R939" s="4">
        <v>0</v>
      </c>
      <c r="S939" s="4" t="s">
        <v>407</v>
      </c>
      <c r="T939" s="4" t="s">
        <v>640</v>
      </c>
      <c r="U939" s="4">
        <v>0</v>
      </c>
      <c r="V939" s="4">
        <v>43</v>
      </c>
      <c r="W939" s="4">
        <v>96</v>
      </c>
    </row>
    <row r="940" spans="1:23" ht="11.25" customHeight="1" x14ac:dyDescent="0.25">
      <c r="A940" s="4" t="s">
        <v>21</v>
      </c>
      <c r="B940" s="4" t="s">
        <v>43</v>
      </c>
      <c r="C940" s="4" t="s">
        <v>33</v>
      </c>
      <c r="D940" s="4" t="s">
        <v>44</v>
      </c>
      <c r="E940" s="4" t="s">
        <v>25</v>
      </c>
      <c r="F940" s="4" t="s">
        <v>25</v>
      </c>
      <c r="G940" s="4" t="s">
        <v>25</v>
      </c>
      <c r="H940" s="4" t="s">
        <v>34</v>
      </c>
      <c r="I940" s="5">
        <v>44531</v>
      </c>
      <c r="J940" s="6">
        <v>0</v>
      </c>
      <c r="K940" s="6">
        <v>0</v>
      </c>
      <c r="L940" s="6">
        <v>1.6E-2</v>
      </c>
      <c r="M940" s="6">
        <v>1.6E-2</v>
      </c>
      <c r="N940" s="6">
        <v>1.6E-2</v>
      </c>
      <c r="O940" s="6">
        <v>1.6E-2</v>
      </c>
      <c r="P940" s="6">
        <v>0</v>
      </c>
      <c r="Q940" s="4" t="s">
        <v>26</v>
      </c>
      <c r="R940" s="4">
        <v>0</v>
      </c>
      <c r="S940" s="4" t="s">
        <v>408</v>
      </c>
      <c r="T940" s="4" t="s">
        <v>641</v>
      </c>
      <c r="U940" s="4">
        <v>0</v>
      </c>
      <c r="V940" s="4">
        <v>43</v>
      </c>
      <c r="W940" s="4">
        <v>96</v>
      </c>
    </row>
    <row r="941" spans="1:23" ht="11.25" customHeight="1" x14ac:dyDescent="0.25">
      <c r="A941" s="4" t="s">
        <v>55</v>
      </c>
      <c r="B941" s="4" t="s">
        <v>43</v>
      </c>
      <c r="C941" s="4" t="s">
        <v>33</v>
      </c>
      <c r="D941" s="4" t="s">
        <v>44</v>
      </c>
      <c r="E941" s="4" t="s">
        <v>25</v>
      </c>
      <c r="F941" s="4" t="s">
        <v>25</v>
      </c>
      <c r="G941" s="4" t="s">
        <v>25</v>
      </c>
      <c r="H941" s="4" t="s">
        <v>34</v>
      </c>
      <c r="I941" s="5">
        <v>44562</v>
      </c>
      <c r="J941" s="6">
        <v>0</v>
      </c>
      <c r="K941" s="6">
        <v>0</v>
      </c>
      <c r="L941" s="6">
        <v>1.6E-2</v>
      </c>
      <c r="M941" s="6">
        <v>1.6E-2</v>
      </c>
      <c r="N941" s="6">
        <v>1.6E-2</v>
      </c>
      <c r="O941" s="6">
        <v>1.6E-2</v>
      </c>
      <c r="P941" s="6">
        <v>0</v>
      </c>
      <c r="Q941" s="4" t="s">
        <v>26</v>
      </c>
      <c r="R941" s="4">
        <v>0</v>
      </c>
      <c r="S941" s="4" t="s">
        <v>409</v>
      </c>
      <c r="T941" s="4" t="s">
        <v>642</v>
      </c>
      <c r="U941" s="4">
        <v>0</v>
      </c>
      <c r="V941" s="4">
        <v>43</v>
      </c>
      <c r="W941" s="4">
        <v>96</v>
      </c>
    </row>
    <row r="942" spans="1:23" ht="11.25" customHeight="1" x14ac:dyDescent="0.25">
      <c r="A942" s="4" t="s">
        <v>21</v>
      </c>
      <c r="B942" s="4" t="s">
        <v>43</v>
      </c>
      <c r="C942" s="4" t="s">
        <v>23</v>
      </c>
      <c r="D942" s="4" t="s">
        <v>44</v>
      </c>
      <c r="E942" s="4" t="s">
        <v>52</v>
      </c>
      <c r="F942" s="4" t="s">
        <v>53</v>
      </c>
      <c r="G942" s="4" t="s">
        <v>25</v>
      </c>
      <c r="H942" s="4" t="s">
        <v>25</v>
      </c>
      <c r="I942" s="5">
        <v>44228</v>
      </c>
      <c r="J942" s="6">
        <v>0</v>
      </c>
      <c r="K942" s="6">
        <v>0</v>
      </c>
      <c r="L942" s="6">
        <v>146.16200000000001</v>
      </c>
      <c r="M942" s="6">
        <v>146.16200000000001</v>
      </c>
      <c r="N942" s="6">
        <v>146.16200000000001</v>
      </c>
      <c r="O942" s="6">
        <v>146.16200000000001</v>
      </c>
      <c r="P942" s="6">
        <v>0</v>
      </c>
      <c r="Q942" s="4" t="s">
        <v>26</v>
      </c>
      <c r="R942" s="4">
        <v>0</v>
      </c>
      <c r="S942" s="4" t="s">
        <v>410</v>
      </c>
      <c r="T942" s="4" t="s">
        <v>643</v>
      </c>
      <c r="U942" s="4">
        <v>0</v>
      </c>
      <c r="V942" s="4">
        <v>46</v>
      </c>
      <c r="W942" s="4">
        <v>99</v>
      </c>
    </row>
    <row r="943" spans="1:23" ht="11.25" customHeight="1" x14ac:dyDescent="0.25">
      <c r="A943" s="4" t="s">
        <v>27</v>
      </c>
      <c r="B943" s="4" t="s">
        <v>43</v>
      </c>
      <c r="C943" s="4" t="s">
        <v>23</v>
      </c>
      <c r="D943" s="4" t="s">
        <v>44</v>
      </c>
      <c r="E943" s="4" t="s">
        <v>52</v>
      </c>
      <c r="F943" s="4" t="s">
        <v>53</v>
      </c>
      <c r="G943" s="4" t="s">
        <v>25</v>
      </c>
      <c r="H943" s="4" t="s">
        <v>25</v>
      </c>
      <c r="I943" s="5">
        <v>44228</v>
      </c>
      <c r="J943" s="6">
        <v>0</v>
      </c>
      <c r="K943" s="6">
        <v>0</v>
      </c>
      <c r="L943" s="6">
        <v>-18.343</v>
      </c>
      <c r="M943" s="6">
        <v>-18.343</v>
      </c>
      <c r="N943" s="6">
        <v>-18.343</v>
      </c>
      <c r="O943" s="6">
        <v>-18.343</v>
      </c>
      <c r="P943" s="6">
        <v>0</v>
      </c>
      <c r="Q943" s="4" t="s">
        <v>26</v>
      </c>
      <c r="R943" s="4">
        <v>0</v>
      </c>
      <c r="S943" s="4" t="s">
        <v>410</v>
      </c>
      <c r="T943" s="4" t="s">
        <v>643</v>
      </c>
      <c r="U943" s="4">
        <v>0</v>
      </c>
      <c r="V943" s="4">
        <v>46</v>
      </c>
      <c r="W943" s="4">
        <v>99</v>
      </c>
    </row>
    <row r="944" spans="1:23" ht="11.25" customHeight="1" x14ac:dyDescent="0.25">
      <c r="A944" s="4" t="s">
        <v>28</v>
      </c>
      <c r="B944" s="4" t="s">
        <v>43</v>
      </c>
      <c r="C944" s="4" t="s">
        <v>23</v>
      </c>
      <c r="D944" s="4" t="s">
        <v>44</v>
      </c>
      <c r="E944" s="4" t="s">
        <v>52</v>
      </c>
      <c r="F944" s="4" t="s">
        <v>53</v>
      </c>
      <c r="G944" s="4" t="s">
        <v>25</v>
      </c>
      <c r="H944" s="4" t="s">
        <v>25</v>
      </c>
      <c r="I944" s="5">
        <v>44228</v>
      </c>
      <c r="J944" s="6">
        <v>0</v>
      </c>
      <c r="K944" s="6">
        <v>0</v>
      </c>
      <c r="L944" s="6">
        <v>0.48299999999999998</v>
      </c>
      <c r="M944" s="6">
        <v>0.48299999999999998</v>
      </c>
      <c r="N944" s="6">
        <v>0.48299999999999998</v>
      </c>
      <c r="O944" s="6">
        <v>0.48299999999999998</v>
      </c>
      <c r="P944" s="6">
        <v>0</v>
      </c>
      <c r="Q944" s="4" t="s">
        <v>26</v>
      </c>
      <c r="R944" s="4">
        <v>0</v>
      </c>
      <c r="S944" s="4" t="s">
        <v>410</v>
      </c>
      <c r="T944" s="4" t="s">
        <v>643</v>
      </c>
      <c r="U944" s="4">
        <v>0</v>
      </c>
      <c r="V944" s="4">
        <v>46</v>
      </c>
      <c r="W944" s="4">
        <v>99</v>
      </c>
    </row>
    <row r="945" spans="1:23" ht="11.25" customHeight="1" x14ac:dyDescent="0.25">
      <c r="A945" s="4" t="s">
        <v>21</v>
      </c>
      <c r="B945" s="4" t="s">
        <v>43</v>
      </c>
      <c r="C945" s="4" t="s">
        <v>23</v>
      </c>
      <c r="D945" s="4" t="s">
        <v>44</v>
      </c>
      <c r="E945" s="4" t="s">
        <v>52</v>
      </c>
      <c r="F945" s="4" t="s">
        <v>53</v>
      </c>
      <c r="G945" s="4" t="s">
        <v>25</v>
      </c>
      <c r="H945" s="4" t="s">
        <v>25</v>
      </c>
      <c r="I945" s="5">
        <v>44256</v>
      </c>
      <c r="J945" s="6">
        <v>0</v>
      </c>
      <c r="K945" s="6">
        <v>0</v>
      </c>
      <c r="L945" s="6">
        <v>132.06899999999999</v>
      </c>
      <c r="M945" s="6">
        <v>132.06899999999999</v>
      </c>
      <c r="N945" s="6">
        <v>132.06899999999999</v>
      </c>
      <c r="O945" s="6">
        <v>132.06899999999999</v>
      </c>
      <c r="P945" s="6">
        <v>0</v>
      </c>
      <c r="Q945" s="4" t="s">
        <v>26</v>
      </c>
      <c r="R945" s="4">
        <v>0</v>
      </c>
      <c r="S945" s="4" t="s">
        <v>411</v>
      </c>
      <c r="T945" s="4" t="s">
        <v>644</v>
      </c>
      <c r="U945" s="4">
        <v>0</v>
      </c>
      <c r="V945" s="4">
        <v>46</v>
      </c>
      <c r="W945" s="4">
        <v>99</v>
      </c>
    </row>
    <row r="946" spans="1:23" ht="11.25" customHeight="1" x14ac:dyDescent="0.25">
      <c r="A946" s="4" t="s">
        <v>28</v>
      </c>
      <c r="B946" s="4" t="s">
        <v>43</v>
      </c>
      <c r="C946" s="4" t="s">
        <v>23</v>
      </c>
      <c r="D946" s="4" t="s">
        <v>44</v>
      </c>
      <c r="E946" s="4" t="s">
        <v>52</v>
      </c>
      <c r="F946" s="4" t="s">
        <v>53</v>
      </c>
      <c r="G946" s="4" t="s">
        <v>25</v>
      </c>
      <c r="H946" s="4" t="s">
        <v>25</v>
      </c>
      <c r="I946" s="5">
        <v>44256</v>
      </c>
      <c r="J946" s="6">
        <v>0</v>
      </c>
      <c r="K946" s="6">
        <v>0</v>
      </c>
      <c r="L946" s="6">
        <v>0.47399999999999998</v>
      </c>
      <c r="M946" s="6">
        <v>0.47399999999999998</v>
      </c>
      <c r="N946" s="6">
        <v>0.47399999999999998</v>
      </c>
      <c r="O946" s="6">
        <v>0.47399999999999998</v>
      </c>
      <c r="P946" s="6">
        <v>0</v>
      </c>
      <c r="Q946" s="4" t="s">
        <v>26</v>
      </c>
      <c r="R946" s="4">
        <v>0</v>
      </c>
      <c r="S946" s="4" t="s">
        <v>411</v>
      </c>
      <c r="T946" s="4" t="s">
        <v>644</v>
      </c>
      <c r="U946" s="4">
        <v>0</v>
      </c>
      <c r="V946" s="4">
        <v>46</v>
      </c>
      <c r="W946" s="4">
        <v>99</v>
      </c>
    </row>
    <row r="947" spans="1:23" ht="11.25" customHeight="1" x14ac:dyDescent="0.25">
      <c r="A947" s="4" t="s">
        <v>28</v>
      </c>
      <c r="B947" s="4" t="s">
        <v>43</v>
      </c>
      <c r="C947" s="4" t="s">
        <v>23</v>
      </c>
      <c r="D947" s="4" t="s">
        <v>44</v>
      </c>
      <c r="E947" s="4" t="s">
        <v>52</v>
      </c>
      <c r="F947" s="4" t="s">
        <v>53</v>
      </c>
      <c r="G947" s="4" t="s">
        <v>25</v>
      </c>
      <c r="H947" s="4" t="s">
        <v>25</v>
      </c>
      <c r="I947" s="5">
        <v>44256</v>
      </c>
      <c r="J947" s="6">
        <v>0</v>
      </c>
      <c r="K947" s="6">
        <v>0</v>
      </c>
      <c r="L947" s="6">
        <v>0.66500000000000004</v>
      </c>
      <c r="M947" s="6">
        <v>0.66500000000000004</v>
      </c>
      <c r="N947" s="6">
        <v>0.66500000000000004</v>
      </c>
      <c r="O947" s="6">
        <v>0.66500000000000004</v>
      </c>
      <c r="P947" s="6">
        <v>0</v>
      </c>
      <c r="Q947" s="4" t="s">
        <v>26</v>
      </c>
      <c r="R947" s="4">
        <v>0</v>
      </c>
      <c r="S947" s="4" t="s">
        <v>411</v>
      </c>
      <c r="T947" s="4" t="s">
        <v>644</v>
      </c>
      <c r="U947" s="4">
        <v>0</v>
      </c>
      <c r="V947" s="4">
        <v>46</v>
      </c>
      <c r="W947" s="4">
        <v>99</v>
      </c>
    </row>
    <row r="948" spans="1:23" ht="11.25" customHeight="1" x14ac:dyDescent="0.25">
      <c r="A948" s="4" t="s">
        <v>21</v>
      </c>
      <c r="B948" s="4" t="s">
        <v>43</v>
      </c>
      <c r="C948" s="4" t="s">
        <v>23</v>
      </c>
      <c r="D948" s="4" t="s">
        <v>44</v>
      </c>
      <c r="E948" s="4" t="s">
        <v>52</v>
      </c>
      <c r="F948" s="4" t="s">
        <v>53</v>
      </c>
      <c r="G948" s="4" t="s">
        <v>25</v>
      </c>
      <c r="H948" s="4" t="s">
        <v>25</v>
      </c>
      <c r="I948" s="5">
        <v>44287</v>
      </c>
      <c r="J948" s="6">
        <v>0</v>
      </c>
      <c r="K948" s="6">
        <v>0</v>
      </c>
      <c r="L948" s="6">
        <v>110.985</v>
      </c>
      <c r="M948" s="6">
        <v>110.985</v>
      </c>
      <c r="N948" s="6">
        <v>110.985</v>
      </c>
      <c r="O948" s="6">
        <v>110.985</v>
      </c>
      <c r="P948" s="6">
        <v>0</v>
      </c>
      <c r="Q948" s="4" t="s">
        <v>26</v>
      </c>
      <c r="R948" s="4">
        <v>0</v>
      </c>
      <c r="S948" s="4" t="s">
        <v>412</v>
      </c>
      <c r="T948" s="4" t="s">
        <v>645</v>
      </c>
      <c r="U948" s="4">
        <v>0</v>
      </c>
      <c r="V948" s="4">
        <v>46</v>
      </c>
      <c r="W948" s="4">
        <v>99</v>
      </c>
    </row>
    <row r="949" spans="1:23" ht="11.25" customHeight="1" x14ac:dyDescent="0.25">
      <c r="A949" s="4" t="s">
        <v>27</v>
      </c>
      <c r="B949" s="4" t="s">
        <v>43</v>
      </c>
      <c r="C949" s="4" t="s">
        <v>23</v>
      </c>
      <c r="D949" s="4" t="s">
        <v>44</v>
      </c>
      <c r="E949" s="4" t="s">
        <v>52</v>
      </c>
      <c r="F949" s="4" t="s">
        <v>53</v>
      </c>
      <c r="G949" s="4" t="s">
        <v>25</v>
      </c>
      <c r="H949" s="4" t="s">
        <v>25</v>
      </c>
      <c r="I949" s="5">
        <v>44287</v>
      </c>
      <c r="J949" s="6">
        <v>0</v>
      </c>
      <c r="K949" s="6">
        <v>0</v>
      </c>
      <c r="L949" s="6">
        <v>-3.1419999999999999</v>
      </c>
      <c r="M949" s="6">
        <v>-3.1419999999999999</v>
      </c>
      <c r="N949" s="6">
        <v>-3.1419999999999999</v>
      </c>
      <c r="O949" s="6">
        <v>-3.1419999999999999</v>
      </c>
      <c r="P949" s="6">
        <v>0</v>
      </c>
      <c r="Q949" s="4" t="s">
        <v>26</v>
      </c>
      <c r="R949" s="4">
        <v>0</v>
      </c>
      <c r="S949" s="4" t="s">
        <v>412</v>
      </c>
      <c r="T949" s="4" t="s">
        <v>645</v>
      </c>
      <c r="U949" s="4">
        <v>0</v>
      </c>
      <c r="V949" s="4">
        <v>46</v>
      </c>
      <c r="W949" s="4">
        <v>99</v>
      </c>
    </row>
    <row r="950" spans="1:23" ht="11.25" customHeight="1" x14ac:dyDescent="0.25">
      <c r="A950" s="4" t="s">
        <v>28</v>
      </c>
      <c r="B950" s="4" t="s">
        <v>43</v>
      </c>
      <c r="C950" s="4" t="s">
        <v>23</v>
      </c>
      <c r="D950" s="4" t="s">
        <v>44</v>
      </c>
      <c r="E950" s="4" t="s">
        <v>52</v>
      </c>
      <c r="F950" s="4" t="s">
        <v>53</v>
      </c>
      <c r="G950" s="4" t="s">
        <v>25</v>
      </c>
      <c r="H950" s="4" t="s">
        <v>25</v>
      </c>
      <c r="I950" s="5">
        <v>44287</v>
      </c>
      <c r="J950" s="6">
        <v>0</v>
      </c>
      <c r="K950" s="6">
        <v>0</v>
      </c>
      <c r="L950" s="6">
        <v>0.16</v>
      </c>
      <c r="M950" s="6">
        <v>0.16</v>
      </c>
      <c r="N950" s="6">
        <v>0.16</v>
      </c>
      <c r="O950" s="6">
        <v>0.16</v>
      </c>
      <c r="P950" s="6">
        <v>0</v>
      </c>
      <c r="Q950" s="4" t="s">
        <v>26</v>
      </c>
      <c r="R950" s="4">
        <v>0</v>
      </c>
      <c r="S950" s="4" t="s">
        <v>412</v>
      </c>
      <c r="T950" s="4" t="s">
        <v>645</v>
      </c>
      <c r="U950" s="4">
        <v>0</v>
      </c>
      <c r="V950" s="4">
        <v>46</v>
      </c>
      <c r="W950" s="4">
        <v>99</v>
      </c>
    </row>
    <row r="951" spans="1:23" ht="11.25" customHeight="1" x14ac:dyDescent="0.25">
      <c r="A951" s="4" t="s">
        <v>28</v>
      </c>
      <c r="B951" s="4" t="s">
        <v>43</v>
      </c>
      <c r="C951" s="4" t="s">
        <v>23</v>
      </c>
      <c r="D951" s="4" t="s">
        <v>44</v>
      </c>
      <c r="E951" s="4" t="s">
        <v>52</v>
      </c>
      <c r="F951" s="4" t="s">
        <v>53</v>
      </c>
      <c r="G951" s="4" t="s">
        <v>25</v>
      </c>
      <c r="H951" s="4" t="s">
        <v>25</v>
      </c>
      <c r="I951" s="5">
        <v>44287</v>
      </c>
      <c r="J951" s="6">
        <v>0</v>
      </c>
      <c r="K951" s="6">
        <v>0</v>
      </c>
      <c r="L951" s="6">
        <v>3.5270000000000001</v>
      </c>
      <c r="M951" s="6">
        <v>3.5270000000000001</v>
      </c>
      <c r="N951" s="6">
        <v>3.5270000000000001</v>
      </c>
      <c r="O951" s="6">
        <v>3.5270000000000001</v>
      </c>
      <c r="P951" s="6">
        <v>0</v>
      </c>
      <c r="Q951" s="4" t="s">
        <v>26</v>
      </c>
      <c r="R951" s="4">
        <v>0</v>
      </c>
      <c r="S951" s="4" t="s">
        <v>412</v>
      </c>
      <c r="T951" s="4" t="s">
        <v>645</v>
      </c>
      <c r="U951" s="4">
        <v>0</v>
      </c>
      <c r="V951" s="4">
        <v>46</v>
      </c>
      <c r="W951" s="4">
        <v>99</v>
      </c>
    </row>
    <row r="952" spans="1:23" ht="11.25" customHeight="1" x14ac:dyDescent="0.25">
      <c r="A952" s="4" t="s">
        <v>21</v>
      </c>
      <c r="B952" s="4" t="s">
        <v>43</v>
      </c>
      <c r="C952" s="4" t="s">
        <v>23</v>
      </c>
      <c r="D952" s="4" t="s">
        <v>44</v>
      </c>
      <c r="E952" s="4" t="s">
        <v>52</v>
      </c>
      <c r="F952" s="4" t="s">
        <v>53</v>
      </c>
      <c r="G952" s="4" t="s">
        <v>25</v>
      </c>
      <c r="H952" s="4" t="s">
        <v>25</v>
      </c>
      <c r="I952" s="5">
        <v>44317</v>
      </c>
      <c r="J952" s="6">
        <v>0</v>
      </c>
      <c r="K952" s="6">
        <v>0</v>
      </c>
      <c r="L952" s="6">
        <v>85.21</v>
      </c>
      <c r="M952" s="6">
        <v>85.21</v>
      </c>
      <c r="N952" s="6">
        <v>85.21</v>
      </c>
      <c r="O952" s="6">
        <v>85.21</v>
      </c>
      <c r="P952" s="6">
        <v>0</v>
      </c>
      <c r="Q952" s="4" t="s">
        <v>26</v>
      </c>
      <c r="R952" s="4">
        <v>0</v>
      </c>
      <c r="S952" s="4" t="s">
        <v>413</v>
      </c>
      <c r="T952" s="4" t="s">
        <v>646</v>
      </c>
      <c r="U952" s="4">
        <v>0</v>
      </c>
      <c r="V952" s="4">
        <v>46</v>
      </c>
      <c r="W952" s="4">
        <v>99</v>
      </c>
    </row>
    <row r="953" spans="1:23" ht="11.25" customHeight="1" x14ac:dyDescent="0.25">
      <c r="A953" s="4" t="s">
        <v>27</v>
      </c>
      <c r="B953" s="4" t="s">
        <v>43</v>
      </c>
      <c r="C953" s="4" t="s">
        <v>23</v>
      </c>
      <c r="D953" s="4" t="s">
        <v>44</v>
      </c>
      <c r="E953" s="4" t="s">
        <v>52</v>
      </c>
      <c r="F953" s="4" t="s">
        <v>53</v>
      </c>
      <c r="G953" s="4" t="s">
        <v>25</v>
      </c>
      <c r="H953" s="4" t="s">
        <v>25</v>
      </c>
      <c r="I953" s="5">
        <v>44317</v>
      </c>
      <c r="J953" s="6">
        <v>0</v>
      </c>
      <c r="K953" s="6">
        <v>0</v>
      </c>
      <c r="L953" s="6">
        <v>-3.0110000000000001</v>
      </c>
      <c r="M953" s="6">
        <v>-3.0110000000000001</v>
      </c>
      <c r="N953" s="6">
        <v>-3.0110000000000001</v>
      </c>
      <c r="O953" s="6">
        <v>-3.0110000000000001</v>
      </c>
      <c r="P953" s="6">
        <v>0</v>
      </c>
      <c r="Q953" s="4" t="s">
        <v>26</v>
      </c>
      <c r="R953" s="4">
        <v>0</v>
      </c>
      <c r="S953" s="4" t="s">
        <v>413</v>
      </c>
      <c r="T953" s="4" t="s">
        <v>646</v>
      </c>
      <c r="U953" s="4">
        <v>0</v>
      </c>
      <c r="V953" s="4">
        <v>46</v>
      </c>
      <c r="W953" s="4">
        <v>99</v>
      </c>
    </row>
    <row r="954" spans="1:23" ht="11.25" customHeight="1" x14ac:dyDescent="0.25">
      <c r="A954" s="4" t="s">
        <v>28</v>
      </c>
      <c r="B954" s="4" t="s">
        <v>43</v>
      </c>
      <c r="C954" s="4" t="s">
        <v>23</v>
      </c>
      <c r="D954" s="4" t="s">
        <v>44</v>
      </c>
      <c r="E954" s="4" t="s">
        <v>52</v>
      </c>
      <c r="F954" s="4" t="s">
        <v>53</v>
      </c>
      <c r="G954" s="4" t="s">
        <v>25</v>
      </c>
      <c r="H954" s="4" t="s">
        <v>25</v>
      </c>
      <c r="I954" s="5">
        <v>44317</v>
      </c>
      <c r="J954" s="6">
        <v>0</v>
      </c>
      <c r="K954" s="6">
        <v>0</v>
      </c>
      <c r="L954" s="6">
        <v>0.20200000000000001</v>
      </c>
      <c r="M954" s="6">
        <v>0.20200000000000001</v>
      </c>
      <c r="N954" s="6">
        <v>0.20200000000000001</v>
      </c>
      <c r="O954" s="6">
        <v>0.20200000000000001</v>
      </c>
      <c r="P954" s="6">
        <v>0</v>
      </c>
      <c r="Q954" s="4" t="s">
        <v>26</v>
      </c>
      <c r="R954" s="4">
        <v>0</v>
      </c>
      <c r="S954" s="4" t="s">
        <v>413</v>
      </c>
      <c r="T954" s="4" t="s">
        <v>646</v>
      </c>
      <c r="U954" s="4">
        <v>0</v>
      </c>
      <c r="V954" s="4">
        <v>46</v>
      </c>
      <c r="W954" s="4">
        <v>99</v>
      </c>
    </row>
    <row r="955" spans="1:23" ht="11.25" customHeight="1" x14ac:dyDescent="0.25">
      <c r="A955" s="4" t="s">
        <v>21</v>
      </c>
      <c r="B955" s="4" t="s">
        <v>43</v>
      </c>
      <c r="C955" s="4" t="s">
        <v>23</v>
      </c>
      <c r="D955" s="4" t="s">
        <v>44</v>
      </c>
      <c r="E955" s="4" t="s">
        <v>52</v>
      </c>
      <c r="F955" s="4" t="s">
        <v>53</v>
      </c>
      <c r="G955" s="4" t="s">
        <v>25</v>
      </c>
      <c r="H955" s="4" t="s">
        <v>25</v>
      </c>
      <c r="I955" s="5">
        <v>44348</v>
      </c>
      <c r="J955" s="6">
        <v>0</v>
      </c>
      <c r="K955" s="6">
        <v>0</v>
      </c>
      <c r="L955" s="6">
        <v>102.312</v>
      </c>
      <c r="M955" s="6">
        <v>102.312</v>
      </c>
      <c r="N955" s="6">
        <v>102.312</v>
      </c>
      <c r="O955" s="6">
        <v>102.312</v>
      </c>
      <c r="P955" s="6">
        <v>0</v>
      </c>
      <c r="Q955" s="4" t="s">
        <v>26</v>
      </c>
      <c r="R955" s="4">
        <v>0</v>
      </c>
      <c r="S955" s="4" t="s">
        <v>414</v>
      </c>
      <c r="T955" s="4" t="s">
        <v>647</v>
      </c>
      <c r="U955" s="4">
        <v>0</v>
      </c>
      <c r="V955" s="4">
        <v>46</v>
      </c>
      <c r="W955" s="4">
        <v>99</v>
      </c>
    </row>
    <row r="956" spans="1:23" ht="11.25" customHeight="1" x14ac:dyDescent="0.25">
      <c r="A956" s="4" t="s">
        <v>27</v>
      </c>
      <c r="B956" s="4" t="s">
        <v>43</v>
      </c>
      <c r="C956" s="4" t="s">
        <v>23</v>
      </c>
      <c r="D956" s="4" t="s">
        <v>44</v>
      </c>
      <c r="E956" s="4" t="s">
        <v>52</v>
      </c>
      <c r="F956" s="4" t="s">
        <v>53</v>
      </c>
      <c r="G956" s="4" t="s">
        <v>25</v>
      </c>
      <c r="H956" s="4" t="s">
        <v>25</v>
      </c>
      <c r="I956" s="5">
        <v>44348</v>
      </c>
      <c r="J956" s="6">
        <v>0</v>
      </c>
      <c r="K956" s="6">
        <v>0</v>
      </c>
      <c r="L956" s="6">
        <v>0.73299999999999998</v>
      </c>
      <c r="M956" s="6">
        <v>0.73299999999999998</v>
      </c>
      <c r="N956" s="6">
        <v>0.73299999999999998</v>
      </c>
      <c r="O956" s="6">
        <v>0.73299999999999998</v>
      </c>
      <c r="P956" s="6">
        <v>0</v>
      </c>
      <c r="Q956" s="4" t="s">
        <v>26</v>
      </c>
      <c r="R956" s="4">
        <v>0</v>
      </c>
      <c r="S956" s="4" t="s">
        <v>414</v>
      </c>
      <c r="T956" s="4" t="s">
        <v>647</v>
      </c>
      <c r="U956" s="4">
        <v>0</v>
      </c>
      <c r="V956" s="4">
        <v>46</v>
      </c>
      <c r="W956" s="4">
        <v>99</v>
      </c>
    </row>
    <row r="957" spans="1:23" ht="11.25" customHeight="1" x14ac:dyDescent="0.25">
      <c r="A957" s="4" t="s">
        <v>28</v>
      </c>
      <c r="B957" s="4" t="s">
        <v>43</v>
      </c>
      <c r="C957" s="4" t="s">
        <v>23</v>
      </c>
      <c r="D957" s="4" t="s">
        <v>44</v>
      </c>
      <c r="E957" s="4" t="s">
        <v>52</v>
      </c>
      <c r="F957" s="4" t="s">
        <v>53</v>
      </c>
      <c r="G957" s="4" t="s">
        <v>25</v>
      </c>
      <c r="H957" s="4" t="s">
        <v>25</v>
      </c>
      <c r="I957" s="5">
        <v>44348</v>
      </c>
      <c r="J957" s="6">
        <v>0</v>
      </c>
      <c r="K957" s="6">
        <v>0</v>
      </c>
      <c r="L957" s="6">
        <v>0.16200000000000001</v>
      </c>
      <c r="M957" s="6">
        <v>0.16200000000000001</v>
      </c>
      <c r="N957" s="6">
        <v>0.16200000000000001</v>
      </c>
      <c r="O957" s="6">
        <v>0.16200000000000001</v>
      </c>
      <c r="P957" s="6">
        <v>0</v>
      </c>
      <c r="Q957" s="4" t="s">
        <v>26</v>
      </c>
      <c r="R957" s="4">
        <v>0</v>
      </c>
      <c r="S957" s="4" t="s">
        <v>414</v>
      </c>
      <c r="T957" s="4" t="s">
        <v>647</v>
      </c>
      <c r="U957" s="4">
        <v>0</v>
      </c>
      <c r="V957" s="4">
        <v>46</v>
      </c>
      <c r="W957" s="4">
        <v>99</v>
      </c>
    </row>
    <row r="958" spans="1:23" ht="11.25" customHeight="1" x14ac:dyDescent="0.25">
      <c r="A958" s="4" t="s">
        <v>21</v>
      </c>
      <c r="B958" s="4" t="s">
        <v>43</v>
      </c>
      <c r="C958" s="4" t="s">
        <v>23</v>
      </c>
      <c r="D958" s="4" t="s">
        <v>44</v>
      </c>
      <c r="E958" s="4" t="s">
        <v>52</v>
      </c>
      <c r="F958" s="4" t="s">
        <v>53</v>
      </c>
      <c r="G958" s="4" t="s">
        <v>25</v>
      </c>
      <c r="H958" s="4" t="s">
        <v>25</v>
      </c>
      <c r="I958" s="5">
        <v>44378</v>
      </c>
      <c r="J958" s="6">
        <v>0</v>
      </c>
      <c r="K958" s="6">
        <v>0</v>
      </c>
      <c r="L958" s="6">
        <v>104.854</v>
      </c>
      <c r="M958" s="6">
        <v>104.854</v>
      </c>
      <c r="N958" s="6">
        <v>104.854</v>
      </c>
      <c r="O958" s="6">
        <v>104.854</v>
      </c>
      <c r="P958" s="6">
        <v>0</v>
      </c>
      <c r="Q958" s="4" t="s">
        <v>26</v>
      </c>
      <c r="R958" s="4">
        <v>0</v>
      </c>
      <c r="S958" s="4" t="s">
        <v>415</v>
      </c>
      <c r="T958" s="4" t="s">
        <v>648</v>
      </c>
      <c r="U958" s="4">
        <v>0</v>
      </c>
      <c r="V958" s="4">
        <v>46</v>
      </c>
      <c r="W958" s="4">
        <v>99</v>
      </c>
    </row>
    <row r="959" spans="1:23" ht="11.25" customHeight="1" x14ac:dyDescent="0.25">
      <c r="A959" s="4" t="s">
        <v>28</v>
      </c>
      <c r="B959" s="4" t="s">
        <v>43</v>
      </c>
      <c r="C959" s="4" t="s">
        <v>23</v>
      </c>
      <c r="D959" s="4" t="s">
        <v>44</v>
      </c>
      <c r="E959" s="4" t="s">
        <v>52</v>
      </c>
      <c r="F959" s="4" t="s">
        <v>53</v>
      </c>
      <c r="G959" s="4" t="s">
        <v>25</v>
      </c>
      <c r="H959" s="4" t="s">
        <v>25</v>
      </c>
      <c r="I959" s="5">
        <v>44378</v>
      </c>
      <c r="J959" s="6">
        <v>0</v>
      </c>
      <c r="K959" s="6">
        <v>0</v>
      </c>
      <c r="L959" s="6">
        <v>0.57799999999999996</v>
      </c>
      <c r="M959" s="6">
        <v>0.57799999999999996</v>
      </c>
      <c r="N959" s="6">
        <v>0.57799999999999996</v>
      </c>
      <c r="O959" s="6">
        <v>0.57799999999999996</v>
      </c>
      <c r="P959" s="6">
        <v>0</v>
      </c>
      <c r="Q959" s="4" t="s">
        <v>26</v>
      </c>
      <c r="R959" s="4">
        <v>0</v>
      </c>
      <c r="S959" s="4" t="s">
        <v>415</v>
      </c>
      <c r="T959" s="4" t="s">
        <v>648</v>
      </c>
      <c r="U959" s="4">
        <v>0</v>
      </c>
      <c r="V959" s="4">
        <v>46</v>
      </c>
      <c r="W959" s="4">
        <v>99</v>
      </c>
    </row>
    <row r="960" spans="1:23" ht="11.25" customHeight="1" x14ac:dyDescent="0.25">
      <c r="A960" s="4" t="s">
        <v>21</v>
      </c>
      <c r="B960" s="4" t="s">
        <v>43</v>
      </c>
      <c r="C960" s="4" t="s">
        <v>23</v>
      </c>
      <c r="D960" s="4" t="s">
        <v>44</v>
      </c>
      <c r="E960" s="4" t="s">
        <v>52</v>
      </c>
      <c r="F960" s="4" t="s">
        <v>53</v>
      </c>
      <c r="G960" s="4" t="s">
        <v>25</v>
      </c>
      <c r="H960" s="4" t="s">
        <v>25</v>
      </c>
      <c r="I960" s="5">
        <v>44409</v>
      </c>
      <c r="J960" s="6">
        <v>0</v>
      </c>
      <c r="K960" s="6">
        <v>0</v>
      </c>
      <c r="L960" s="6">
        <v>100.452</v>
      </c>
      <c r="M960" s="6">
        <v>100.452</v>
      </c>
      <c r="N960" s="6">
        <v>100.452</v>
      </c>
      <c r="O960" s="6">
        <v>100.452</v>
      </c>
      <c r="P960" s="6">
        <v>0</v>
      </c>
      <c r="Q960" s="4" t="s">
        <v>26</v>
      </c>
      <c r="R960" s="4">
        <v>0</v>
      </c>
      <c r="S960" s="4" t="s">
        <v>416</v>
      </c>
      <c r="T960" s="4" t="s">
        <v>649</v>
      </c>
      <c r="U960" s="4">
        <v>0</v>
      </c>
      <c r="V960" s="4">
        <v>46</v>
      </c>
      <c r="W960" s="4">
        <v>99</v>
      </c>
    </row>
    <row r="961" spans="1:23" ht="11.25" customHeight="1" x14ac:dyDescent="0.25">
      <c r="A961" s="4" t="s">
        <v>28</v>
      </c>
      <c r="B961" s="4" t="s">
        <v>43</v>
      </c>
      <c r="C961" s="4" t="s">
        <v>23</v>
      </c>
      <c r="D961" s="4" t="s">
        <v>44</v>
      </c>
      <c r="E961" s="4" t="s">
        <v>52</v>
      </c>
      <c r="F961" s="4" t="s">
        <v>53</v>
      </c>
      <c r="G961" s="4" t="s">
        <v>25</v>
      </c>
      <c r="H961" s="4" t="s">
        <v>25</v>
      </c>
      <c r="I961" s="5">
        <v>44409</v>
      </c>
      <c r="J961" s="6">
        <v>0</v>
      </c>
      <c r="K961" s="6">
        <v>0</v>
      </c>
      <c r="L961" s="6">
        <v>0.219</v>
      </c>
      <c r="M961" s="6">
        <v>0.219</v>
      </c>
      <c r="N961" s="6">
        <v>0.219</v>
      </c>
      <c r="O961" s="6">
        <v>0.219</v>
      </c>
      <c r="P961" s="6">
        <v>0</v>
      </c>
      <c r="Q961" s="4" t="s">
        <v>26</v>
      </c>
      <c r="R961" s="4">
        <v>0</v>
      </c>
      <c r="S961" s="4" t="s">
        <v>416</v>
      </c>
      <c r="T961" s="4" t="s">
        <v>649</v>
      </c>
      <c r="U961" s="4">
        <v>0</v>
      </c>
      <c r="V961" s="4">
        <v>46</v>
      </c>
      <c r="W961" s="4">
        <v>99</v>
      </c>
    </row>
    <row r="962" spans="1:23" ht="11.25" customHeight="1" x14ac:dyDescent="0.25">
      <c r="A962" s="4" t="s">
        <v>21</v>
      </c>
      <c r="B962" s="4" t="s">
        <v>43</v>
      </c>
      <c r="C962" s="4" t="s">
        <v>23</v>
      </c>
      <c r="D962" s="4" t="s">
        <v>44</v>
      </c>
      <c r="E962" s="4" t="s">
        <v>52</v>
      </c>
      <c r="F962" s="4" t="s">
        <v>53</v>
      </c>
      <c r="G962" s="4" t="s">
        <v>25</v>
      </c>
      <c r="H962" s="4" t="s">
        <v>25</v>
      </c>
      <c r="I962" s="5">
        <v>44440</v>
      </c>
      <c r="J962" s="6">
        <v>0</v>
      </c>
      <c r="K962" s="6">
        <v>0</v>
      </c>
      <c r="L962" s="6">
        <v>166.77600000000001</v>
      </c>
      <c r="M962" s="6">
        <v>166.77600000000001</v>
      </c>
      <c r="N962" s="6">
        <v>166.77600000000001</v>
      </c>
      <c r="O962" s="6">
        <v>166.77600000000001</v>
      </c>
      <c r="P962" s="6">
        <v>0</v>
      </c>
      <c r="Q962" s="4" t="s">
        <v>26</v>
      </c>
      <c r="R962" s="4">
        <v>0</v>
      </c>
      <c r="S962" s="4" t="s">
        <v>417</v>
      </c>
      <c r="T962" s="4" t="s">
        <v>650</v>
      </c>
      <c r="U962" s="4">
        <v>0</v>
      </c>
      <c r="V962" s="4">
        <v>46</v>
      </c>
      <c r="W962" s="4">
        <v>99</v>
      </c>
    </row>
    <row r="963" spans="1:23" ht="11.25" customHeight="1" x14ac:dyDescent="0.25">
      <c r="A963" s="4" t="s">
        <v>28</v>
      </c>
      <c r="B963" s="4" t="s">
        <v>43</v>
      </c>
      <c r="C963" s="4" t="s">
        <v>23</v>
      </c>
      <c r="D963" s="4" t="s">
        <v>44</v>
      </c>
      <c r="E963" s="4" t="s">
        <v>52</v>
      </c>
      <c r="F963" s="4" t="s">
        <v>53</v>
      </c>
      <c r="G963" s="4" t="s">
        <v>25</v>
      </c>
      <c r="H963" s="4" t="s">
        <v>25</v>
      </c>
      <c r="I963" s="5">
        <v>44440</v>
      </c>
      <c r="J963" s="6">
        <v>0</v>
      </c>
      <c r="K963" s="6">
        <v>0</v>
      </c>
      <c r="L963" s="6">
        <v>0.84199999999999997</v>
      </c>
      <c r="M963" s="6">
        <v>0.84199999999999997</v>
      </c>
      <c r="N963" s="6">
        <v>0.84199999999999997</v>
      </c>
      <c r="O963" s="6">
        <v>0.84199999999999997</v>
      </c>
      <c r="P963" s="6">
        <v>0</v>
      </c>
      <c r="Q963" s="4" t="s">
        <v>26</v>
      </c>
      <c r="R963" s="4">
        <v>0</v>
      </c>
      <c r="S963" s="4" t="s">
        <v>417</v>
      </c>
      <c r="T963" s="4" t="s">
        <v>650</v>
      </c>
      <c r="U963" s="4">
        <v>0</v>
      </c>
      <c r="V963" s="4">
        <v>46</v>
      </c>
      <c r="W963" s="4">
        <v>99</v>
      </c>
    </row>
    <row r="964" spans="1:23" ht="11.25" customHeight="1" x14ac:dyDescent="0.25">
      <c r="A964" s="4" t="s">
        <v>21</v>
      </c>
      <c r="B964" s="4" t="s">
        <v>43</v>
      </c>
      <c r="C964" s="4" t="s">
        <v>23</v>
      </c>
      <c r="D964" s="4" t="s">
        <v>44</v>
      </c>
      <c r="E964" s="4" t="s">
        <v>52</v>
      </c>
      <c r="F964" s="4" t="s">
        <v>53</v>
      </c>
      <c r="G964" s="4" t="s">
        <v>25</v>
      </c>
      <c r="H964" s="4" t="s">
        <v>25</v>
      </c>
      <c r="I964" s="5">
        <v>44470</v>
      </c>
      <c r="J964" s="6">
        <v>0</v>
      </c>
      <c r="K964" s="6">
        <v>0</v>
      </c>
      <c r="L964" s="6">
        <v>152.21600000000001</v>
      </c>
      <c r="M964" s="6">
        <v>152.21600000000001</v>
      </c>
      <c r="N964" s="6">
        <v>152.21600000000001</v>
      </c>
      <c r="O964" s="6">
        <v>152.21600000000001</v>
      </c>
      <c r="P964" s="6">
        <v>0</v>
      </c>
      <c r="Q964" s="4" t="s">
        <v>26</v>
      </c>
      <c r="R964" s="4">
        <v>0</v>
      </c>
      <c r="S964" s="4" t="s">
        <v>418</v>
      </c>
      <c r="T964" s="4" t="s">
        <v>651</v>
      </c>
      <c r="U964" s="4">
        <v>0</v>
      </c>
      <c r="V964" s="4">
        <v>46</v>
      </c>
      <c r="W964" s="4">
        <v>99</v>
      </c>
    </row>
    <row r="965" spans="1:23" ht="11.25" customHeight="1" x14ac:dyDescent="0.25">
      <c r="A965" s="4" t="s">
        <v>27</v>
      </c>
      <c r="B965" s="4" t="s">
        <v>43</v>
      </c>
      <c r="C965" s="4" t="s">
        <v>23</v>
      </c>
      <c r="D965" s="4" t="s">
        <v>44</v>
      </c>
      <c r="E965" s="4" t="s">
        <v>52</v>
      </c>
      <c r="F965" s="4" t="s">
        <v>53</v>
      </c>
      <c r="G965" s="4" t="s">
        <v>25</v>
      </c>
      <c r="H965" s="4" t="s">
        <v>25</v>
      </c>
      <c r="I965" s="5">
        <v>44470</v>
      </c>
      <c r="J965" s="6">
        <v>0</v>
      </c>
      <c r="K965" s="6">
        <v>0</v>
      </c>
      <c r="L965" s="6">
        <v>-1.073</v>
      </c>
      <c r="M965" s="6">
        <v>-1.073</v>
      </c>
      <c r="N965" s="6">
        <v>-1.073</v>
      </c>
      <c r="O965" s="6">
        <v>-1.073</v>
      </c>
      <c r="P965" s="6">
        <v>0</v>
      </c>
      <c r="Q965" s="4" t="s">
        <v>26</v>
      </c>
      <c r="R965" s="4">
        <v>0</v>
      </c>
      <c r="S965" s="4" t="s">
        <v>418</v>
      </c>
      <c r="T965" s="4" t="s">
        <v>651</v>
      </c>
      <c r="U965" s="4">
        <v>0</v>
      </c>
      <c r="V965" s="4">
        <v>46</v>
      </c>
      <c r="W965" s="4">
        <v>99</v>
      </c>
    </row>
    <row r="966" spans="1:23" ht="11.25" customHeight="1" x14ac:dyDescent="0.25">
      <c r="A966" s="4" t="s">
        <v>28</v>
      </c>
      <c r="B966" s="4" t="s">
        <v>43</v>
      </c>
      <c r="C966" s="4" t="s">
        <v>23</v>
      </c>
      <c r="D966" s="4" t="s">
        <v>44</v>
      </c>
      <c r="E966" s="4" t="s">
        <v>52</v>
      </c>
      <c r="F966" s="4" t="s">
        <v>53</v>
      </c>
      <c r="G966" s="4" t="s">
        <v>25</v>
      </c>
      <c r="H966" s="4" t="s">
        <v>25</v>
      </c>
      <c r="I966" s="5">
        <v>44470</v>
      </c>
      <c r="J966" s="6">
        <v>0</v>
      </c>
      <c r="K966" s="6">
        <v>0</v>
      </c>
      <c r="L966" s="6">
        <v>1.256</v>
      </c>
      <c r="M966" s="6">
        <v>1.256</v>
      </c>
      <c r="N966" s="6">
        <v>1.256</v>
      </c>
      <c r="O966" s="6">
        <v>1.256</v>
      </c>
      <c r="P966" s="6">
        <v>0</v>
      </c>
      <c r="Q966" s="4" t="s">
        <v>26</v>
      </c>
      <c r="R966" s="4">
        <v>0</v>
      </c>
      <c r="S966" s="4" t="s">
        <v>418</v>
      </c>
      <c r="T966" s="4" t="s">
        <v>651</v>
      </c>
      <c r="U966" s="4">
        <v>0</v>
      </c>
      <c r="V966" s="4">
        <v>46</v>
      </c>
      <c r="W966" s="4">
        <v>99</v>
      </c>
    </row>
    <row r="967" spans="1:23" ht="11.25" customHeight="1" x14ac:dyDescent="0.25">
      <c r="A967" s="4" t="s">
        <v>21</v>
      </c>
      <c r="B967" s="4" t="s">
        <v>43</v>
      </c>
      <c r="C967" s="4" t="s">
        <v>23</v>
      </c>
      <c r="D967" s="4" t="s">
        <v>44</v>
      </c>
      <c r="E967" s="4" t="s">
        <v>52</v>
      </c>
      <c r="F967" s="4" t="s">
        <v>53</v>
      </c>
      <c r="G967" s="4" t="s">
        <v>25</v>
      </c>
      <c r="H967" s="4" t="s">
        <v>25</v>
      </c>
      <c r="I967" s="5">
        <v>44501</v>
      </c>
      <c r="J967" s="6">
        <v>0</v>
      </c>
      <c r="K967" s="6">
        <v>0</v>
      </c>
      <c r="L967" s="6">
        <v>135.41900000000001</v>
      </c>
      <c r="M967" s="6">
        <v>135.41900000000001</v>
      </c>
      <c r="N967" s="6">
        <v>135.41900000000001</v>
      </c>
      <c r="O967" s="6">
        <v>135.41900000000001</v>
      </c>
      <c r="P967" s="6">
        <v>0</v>
      </c>
      <c r="Q967" s="4" t="s">
        <v>26</v>
      </c>
      <c r="R967" s="4">
        <v>0</v>
      </c>
      <c r="S967" s="4" t="s">
        <v>419</v>
      </c>
      <c r="T967" s="4" t="s">
        <v>652</v>
      </c>
      <c r="U967" s="4">
        <v>0</v>
      </c>
      <c r="V967" s="4">
        <v>46</v>
      </c>
      <c r="W967" s="4">
        <v>99</v>
      </c>
    </row>
    <row r="968" spans="1:23" ht="11.25" customHeight="1" x14ac:dyDescent="0.25">
      <c r="A968" s="4" t="s">
        <v>27</v>
      </c>
      <c r="B968" s="4" t="s">
        <v>43</v>
      </c>
      <c r="C968" s="4" t="s">
        <v>23</v>
      </c>
      <c r="D968" s="4" t="s">
        <v>44</v>
      </c>
      <c r="E968" s="4" t="s">
        <v>52</v>
      </c>
      <c r="F968" s="4" t="s">
        <v>53</v>
      </c>
      <c r="G968" s="4" t="s">
        <v>25</v>
      </c>
      <c r="H968" s="4" t="s">
        <v>25</v>
      </c>
      <c r="I968" s="5">
        <v>44501</v>
      </c>
      <c r="J968" s="6">
        <v>0</v>
      </c>
      <c r="K968" s="6">
        <v>0</v>
      </c>
      <c r="L968" s="6">
        <v>-2.5099999999999998</v>
      </c>
      <c r="M968" s="6">
        <v>-2.5099999999999998</v>
      </c>
      <c r="N968" s="6">
        <v>-2.5099999999999998</v>
      </c>
      <c r="O968" s="6">
        <v>-2.5099999999999998</v>
      </c>
      <c r="P968" s="6">
        <v>0</v>
      </c>
      <c r="Q968" s="4" t="s">
        <v>26</v>
      </c>
      <c r="R968" s="4">
        <v>0</v>
      </c>
      <c r="S968" s="4" t="s">
        <v>419</v>
      </c>
      <c r="T968" s="4" t="s">
        <v>652</v>
      </c>
      <c r="U968" s="4">
        <v>0</v>
      </c>
      <c r="V968" s="4">
        <v>46</v>
      </c>
      <c r="W968" s="4">
        <v>99</v>
      </c>
    </row>
    <row r="969" spans="1:23" ht="11.25" customHeight="1" x14ac:dyDescent="0.25">
      <c r="A969" s="4" t="s">
        <v>28</v>
      </c>
      <c r="B969" s="4" t="s">
        <v>43</v>
      </c>
      <c r="C969" s="4" t="s">
        <v>23</v>
      </c>
      <c r="D969" s="4" t="s">
        <v>44</v>
      </c>
      <c r="E969" s="4" t="s">
        <v>52</v>
      </c>
      <c r="F969" s="4" t="s">
        <v>53</v>
      </c>
      <c r="G969" s="4" t="s">
        <v>25</v>
      </c>
      <c r="H969" s="4" t="s">
        <v>25</v>
      </c>
      <c r="I969" s="5">
        <v>44501</v>
      </c>
      <c r="J969" s="6">
        <v>0</v>
      </c>
      <c r="K969" s="6">
        <v>0</v>
      </c>
      <c r="L969" s="6">
        <v>0.80700000000000005</v>
      </c>
      <c r="M969" s="6">
        <v>0.80700000000000005</v>
      </c>
      <c r="N969" s="6">
        <v>0.80700000000000005</v>
      </c>
      <c r="O969" s="6">
        <v>0.80700000000000005</v>
      </c>
      <c r="P969" s="6">
        <v>0</v>
      </c>
      <c r="Q969" s="4" t="s">
        <v>26</v>
      </c>
      <c r="R969" s="4">
        <v>0</v>
      </c>
      <c r="S969" s="4" t="s">
        <v>419</v>
      </c>
      <c r="T969" s="4" t="s">
        <v>652</v>
      </c>
      <c r="U969" s="4">
        <v>0</v>
      </c>
      <c r="V969" s="4">
        <v>46</v>
      </c>
      <c r="W969" s="4">
        <v>99</v>
      </c>
    </row>
    <row r="970" spans="1:23" ht="11.25" customHeight="1" x14ac:dyDescent="0.25">
      <c r="A970" s="4" t="s">
        <v>21</v>
      </c>
      <c r="B970" s="4" t="s">
        <v>43</v>
      </c>
      <c r="C970" s="4" t="s">
        <v>23</v>
      </c>
      <c r="D970" s="4" t="s">
        <v>44</v>
      </c>
      <c r="E970" s="4" t="s">
        <v>52</v>
      </c>
      <c r="F970" s="4" t="s">
        <v>53</v>
      </c>
      <c r="G970" s="4" t="s">
        <v>25</v>
      </c>
      <c r="H970" s="4" t="s">
        <v>25</v>
      </c>
      <c r="I970" s="5">
        <v>44531</v>
      </c>
      <c r="J970" s="6">
        <v>0</v>
      </c>
      <c r="K970" s="6">
        <v>0</v>
      </c>
      <c r="L970" s="6">
        <v>164.58699999999999</v>
      </c>
      <c r="M970" s="6">
        <v>164.58699999999999</v>
      </c>
      <c r="N970" s="6">
        <v>164.58699999999999</v>
      </c>
      <c r="O970" s="6">
        <v>164.58699999999999</v>
      </c>
      <c r="P970" s="6">
        <v>0</v>
      </c>
      <c r="Q970" s="4" t="s">
        <v>26</v>
      </c>
      <c r="R970" s="4">
        <v>0</v>
      </c>
      <c r="S970" s="4" t="s">
        <v>420</v>
      </c>
      <c r="T970" s="4" t="s">
        <v>653</v>
      </c>
      <c r="U970" s="4">
        <v>0</v>
      </c>
      <c r="V970" s="4">
        <v>46</v>
      </c>
      <c r="W970" s="4">
        <v>99</v>
      </c>
    </row>
    <row r="971" spans="1:23" ht="11.25" customHeight="1" x14ac:dyDescent="0.25">
      <c r="A971" s="4" t="s">
        <v>28</v>
      </c>
      <c r="B971" s="4" t="s">
        <v>43</v>
      </c>
      <c r="C971" s="4" t="s">
        <v>23</v>
      </c>
      <c r="D971" s="4" t="s">
        <v>44</v>
      </c>
      <c r="E971" s="4" t="s">
        <v>52</v>
      </c>
      <c r="F971" s="4" t="s">
        <v>53</v>
      </c>
      <c r="G971" s="4" t="s">
        <v>25</v>
      </c>
      <c r="H971" s="4" t="s">
        <v>25</v>
      </c>
      <c r="I971" s="5">
        <v>44531</v>
      </c>
      <c r="J971" s="6">
        <v>0</v>
      </c>
      <c r="K971" s="6">
        <v>0</v>
      </c>
      <c r="L971" s="6">
        <v>1.4810000000000001</v>
      </c>
      <c r="M971" s="6">
        <v>1.4810000000000001</v>
      </c>
      <c r="N971" s="6">
        <v>1.4810000000000001</v>
      </c>
      <c r="O971" s="6">
        <v>1.4810000000000001</v>
      </c>
      <c r="P971" s="6">
        <v>0</v>
      </c>
      <c r="Q971" s="4" t="s">
        <v>26</v>
      </c>
      <c r="R971" s="4">
        <v>0</v>
      </c>
      <c r="S971" s="4" t="s">
        <v>420</v>
      </c>
      <c r="T971" s="4" t="s">
        <v>653</v>
      </c>
      <c r="U971" s="4">
        <v>0</v>
      </c>
      <c r="V971" s="4">
        <v>46</v>
      </c>
      <c r="W971" s="4">
        <v>99</v>
      </c>
    </row>
    <row r="972" spans="1:23" ht="11.25" customHeight="1" x14ac:dyDescent="0.25">
      <c r="A972" s="4" t="s">
        <v>55</v>
      </c>
      <c r="B972" s="4" t="s">
        <v>43</v>
      </c>
      <c r="C972" s="4" t="s">
        <v>23</v>
      </c>
      <c r="D972" s="4" t="s">
        <v>44</v>
      </c>
      <c r="E972" s="4" t="s">
        <v>52</v>
      </c>
      <c r="F972" s="4" t="s">
        <v>53</v>
      </c>
      <c r="G972" s="4" t="s">
        <v>25</v>
      </c>
      <c r="H972" s="4" t="s">
        <v>25</v>
      </c>
      <c r="I972" s="5">
        <v>44562</v>
      </c>
      <c r="J972" s="6">
        <v>0</v>
      </c>
      <c r="K972" s="6">
        <v>0</v>
      </c>
      <c r="L972" s="6">
        <v>164.58699999999999</v>
      </c>
      <c r="M972" s="6">
        <v>164.58699999999999</v>
      </c>
      <c r="N972" s="6">
        <v>164.58699999999999</v>
      </c>
      <c r="O972" s="6">
        <v>164.58699999999999</v>
      </c>
      <c r="P972" s="6">
        <v>0</v>
      </c>
      <c r="Q972" s="4" t="s">
        <v>26</v>
      </c>
      <c r="R972" s="4">
        <v>0</v>
      </c>
      <c r="S972" s="4" t="s">
        <v>421</v>
      </c>
      <c r="T972" s="4" t="s">
        <v>654</v>
      </c>
      <c r="U972" s="4">
        <v>0</v>
      </c>
      <c r="V972" s="4">
        <v>46</v>
      </c>
      <c r="W972" s="4">
        <v>99</v>
      </c>
    </row>
    <row r="973" spans="1:23" ht="11.25" customHeight="1" x14ac:dyDescent="0.25">
      <c r="A973" s="4" t="s">
        <v>55</v>
      </c>
      <c r="B973" s="4" t="s">
        <v>43</v>
      </c>
      <c r="C973" s="4" t="s">
        <v>23</v>
      </c>
      <c r="D973" s="4" t="s">
        <v>44</v>
      </c>
      <c r="E973" s="4" t="s">
        <v>52</v>
      </c>
      <c r="F973" s="4" t="s">
        <v>53</v>
      </c>
      <c r="G973" s="4" t="s">
        <v>25</v>
      </c>
      <c r="H973" s="4" t="s">
        <v>25</v>
      </c>
      <c r="I973" s="5">
        <v>44562</v>
      </c>
      <c r="J973" s="6">
        <v>0</v>
      </c>
      <c r="K973" s="6">
        <v>0</v>
      </c>
      <c r="L973" s="6">
        <v>1.4810000000000001</v>
      </c>
      <c r="M973" s="6">
        <v>1.4810000000000001</v>
      </c>
      <c r="N973" s="6">
        <v>1.4810000000000001</v>
      </c>
      <c r="O973" s="6">
        <v>1.4810000000000001</v>
      </c>
      <c r="P973" s="6">
        <v>0</v>
      </c>
      <c r="Q973" s="4" t="s">
        <v>26</v>
      </c>
      <c r="R973" s="4">
        <v>0</v>
      </c>
      <c r="S973" s="4" t="s">
        <v>421</v>
      </c>
      <c r="T973" s="4" t="s">
        <v>654</v>
      </c>
      <c r="U973" s="4">
        <v>0</v>
      </c>
      <c r="V973" s="4">
        <v>46</v>
      </c>
      <c r="W973" s="4">
        <v>99</v>
      </c>
    </row>
    <row r="974" spans="1:23" ht="11.25" customHeight="1" x14ac:dyDescent="0.25">
      <c r="A974" s="4" t="s">
        <v>21</v>
      </c>
      <c r="B974" s="4" t="s">
        <v>43</v>
      </c>
      <c r="C974" s="4" t="s">
        <v>23</v>
      </c>
      <c r="D974" s="4" t="s">
        <v>44</v>
      </c>
      <c r="E974" s="4" t="s">
        <v>52</v>
      </c>
      <c r="F974" s="4" t="s">
        <v>54</v>
      </c>
      <c r="G974" s="4" t="s">
        <v>25</v>
      </c>
      <c r="H974" s="4" t="s">
        <v>25</v>
      </c>
      <c r="I974" s="5">
        <v>44228</v>
      </c>
      <c r="J974" s="6">
        <v>0</v>
      </c>
      <c r="K974" s="6">
        <v>0</v>
      </c>
      <c r="L974" s="6">
        <v>185.21</v>
      </c>
      <c r="M974" s="6">
        <v>50.006700000000002</v>
      </c>
      <c r="N974" s="6">
        <v>185.21</v>
      </c>
      <c r="O974" s="6">
        <v>50.006700000000002</v>
      </c>
      <c r="P974" s="6">
        <v>0</v>
      </c>
      <c r="Q974" s="4" t="s">
        <v>26</v>
      </c>
      <c r="R974" s="4">
        <v>0</v>
      </c>
      <c r="S974" s="4" t="s">
        <v>410</v>
      </c>
      <c r="T974" s="4" t="s">
        <v>643</v>
      </c>
      <c r="U974" s="4">
        <v>0</v>
      </c>
      <c r="V974" s="4">
        <v>46</v>
      </c>
      <c r="W974" s="4">
        <v>99</v>
      </c>
    </row>
    <row r="975" spans="1:23" ht="11.25" customHeight="1" x14ac:dyDescent="0.25">
      <c r="A975" s="4" t="s">
        <v>27</v>
      </c>
      <c r="B975" s="4" t="s">
        <v>43</v>
      </c>
      <c r="C975" s="4" t="s">
        <v>23</v>
      </c>
      <c r="D975" s="4" t="s">
        <v>44</v>
      </c>
      <c r="E975" s="4" t="s">
        <v>52</v>
      </c>
      <c r="F975" s="4" t="s">
        <v>54</v>
      </c>
      <c r="G975" s="4" t="s">
        <v>25</v>
      </c>
      <c r="H975" s="4" t="s">
        <v>25</v>
      </c>
      <c r="I975" s="5">
        <v>44228</v>
      </c>
      <c r="J975" s="6">
        <v>0</v>
      </c>
      <c r="K975" s="6">
        <v>0</v>
      </c>
      <c r="L975" s="6">
        <v>-7.484</v>
      </c>
      <c r="M975" s="6">
        <v>-2.02068</v>
      </c>
      <c r="N975" s="6">
        <v>-7.484</v>
      </c>
      <c r="O975" s="6">
        <v>-2.02068</v>
      </c>
      <c r="P975" s="6">
        <v>0</v>
      </c>
      <c r="Q975" s="4" t="s">
        <v>26</v>
      </c>
      <c r="R975" s="4">
        <v>0</v>
      </c>
      <c r="S975" s="4" t="s">
        <v>410</v>
      </c>
      <c r="T975" s="4" t="s">
        <v>643</v>
      </c>
      <c r="U975" s="4">
        <v>0</v>
      </c>
      <c r="V975" s="4">
        <v>46</v>
      </c>
      <c r="W975" s="4">
        <v>99</v>
      </c>
    </row>
    <row r="976" spans="1:23" ht="11.25" customHeight="1" x14ac:dyDescent="0.25">
      <c r="A976" s="4" t="s">
        <v>28</v>
      </c>
      <c r="B976" s="4" t="s">
        <v>43</v>
      </c>
      <c r="C976" s="4" t="s">
        <v>23</v>
      </c>
      <c r="D976" s="4" t="s">
        <v>44</v>
      </c>
      <c r="E976" s="4" t="s">
        <v>52</v>
      </c>
      <c r="F976" s="4" t="s">
        <v>54</v>
      </c>
      <c r="G976" s="4" t="s">
        <v>25</v>
      </c>
      <c r="H976" s="4" t="s">
        <v>25</v>
      </c>
      <c r="I976" s="5">
        <v>44228</v>
      </c>
      <c r="J976" s="6">
        <v>0</v>
      </c>
      <c r="K976" s="6">
        <v>0</v>
      </c>
      <c r="L976" s="6">
        <v>0.84299999999999997</v>
      </c>
      <c r="M976" s="6">
        <v>0.22761000000000001</v>
      </c>
      <c r="N976" s="6">
        <v>0.84299999999999997</v>
      </c>
      <c r="O976" s="6">
        <v>0.22761000000000001</v>
      </c>
      <c r="P976" s="6">
        <v>0</v>
      </c>
      <c r="Q976" s="4" t="s">
        <v>26</v>
      </c>
      <c r="R976" s="4">
        <v>0</v>
      </c>
      <c r="S976" s="4" t="s">
        <v>410</v>
      </c>
      <c r="T976" s="4" t="s">
        <v>643</v>
      </c>
      <c r="U976" s="4">
        <v>0</v>
      </c>
      <c r="V976" s="4">
        <v>46</v>
      </c>
      <c r="W976" s="4">
        <v>99</v>
      </c>
    </row>
    <row r="977" spans="1:23" ht="11.25" customHeight="1" x14ac:dyDescent="0.25">
      <c r="A977" s="4" t="s">
        <v>21</v>
      </c>
      <c r="B977" s="4" t="s">
        <v>43</v>
      </c>
      <c r="C977" s="4" t="s">
        <v>23</v>
      </c>
      <c r="D977" s="4" t="s">
        <v>44</v>
      </c>
      <c r="E977" s="4" t="s">
        <v>52</v>
      </c>
      <c r="F977" s="4" t="s">
        <v>54</v>
      </c>
      <c r="G977" s="4" t="s">
        <v>25</v>
      </c>
      <c r="H977" s="4" t="s">
        <v>25</v>
      </c>
      <c r="I977" s="5">
        <v>44256</v>
      </c>
      <c r="J977" s="6">
        <v>0</v>
      </c>
      <c r="K977" s="6">
        <v>0</v>
      </c>
      <c r="L977" s="6">
        <v>153.54300000000001</v>
      </c>
      <c r="M977" s="6">
        <v>41.456609999999998</v>
      </c>
      <c r="N977" s="6">
        <v>153.54300000000001</v>
      </c>
      <c r="O977" s="6">
        <v>41.456609999999998</v>
      </c>
      <c r="P977" s="6">
        <v>0</v>
      </c>
      <c r="Q977" s="4" t="s">
        <v>26</v>
      </c>
      <c r="R977" s="4">
        <v>0</v>
      </c>
      <c r="S977" s="4" t="s">
        <v>411</v>
      </c>
      <c r="T977" s="4" t="s">
        <v>644</v>
      </c>
      <c r="U977" s="4">
        <v>0</v>
      </c>
      <c r="V977" s="4">
        <v>46</v>
      </c>
      <c r="W977" s="4">
        <v>99</v>
      </c>
    </row>
    <row r="978" spans="1:23" ht="11.25" customHeight="1" x14ac:dyDescent="0.25">
      <c r="A978" s="4" t="s">
        <v>28</v>
      </c>
      <c r="B978" s="4" t="s">
        <v>43</v>
      </c>
      <c r="C978" s="4" t="s">
        <v>23</v>
      </c>
      <c r="D978" s="4" t="s">
        <v>44</v>
      </c>
      <c r="E978" s="4" t="s">
        <v>52</v>
      </c>
      <c r="F978" s="4" t="s">
        <v>54</v>
      </c>
      <c r="G978" s="4" t="s">
        <v>25</v>
      </c>
      <c r="H978" s="4" t="s">
        <v>25</v>
      </c>
      <c r="I978" s="5">
        <v>44256</v>
      </c>
      <c r="J978" s="6">
        <v>0</v>
      </c>
      <c r="K978" s="6">
        <v>0</v>
      </c>
      <c r="L978" s="6">
        <v>0.498</v>
      </c>
      <c r="M978" s="6">
        <v>0.13446</v>
      </c>
      <c r="N978" s="6">
        <v>0.498</v>
      </c>
      <c r="O978" s="6">
        <v>0.13446</v>
      </c>
      <c r="P978" s="6">
        <v>0</v>
      </c>
      <c r="Q978" s="4" t="s">
        <v>26</v>
      </c>
      <c r="R978" s="4">
        <v>0</v>
      </c>
      <c r="S978" s="4" t="s">
        <v>411</v>
      </c>
      <c r="T978" s="4" t="s">
        <v>644</v>
      </c>
      <c r="U978" s="4">
        <v>0</v>
      </c>
      <c r="V978" s="4">
        <v>46</v>
      </c>
      <c r="W978" s="4">
        <v>99</v>
      </c>
    </row>
    <row r="979" spans="1:23" ht="11.25" customHeight="1" x14ac:dyDescent="0.25">
      <c r="A979" s="4" t="s">
        <v>21</v>
      </c>
      <c r="B979" s="4" t="s">
        <v>43</v>
      </c>
      <c r="C979" s="4" t="s">
        <v>23</v>
      </c>
      <c r="D979" s="4" t="s">
        <v>44</v>
      </c>
      <c r="E979" s="4" t="s">
        <v>52</v>
      </c>
      <c r="F979" s="4" t="s">
        <v>54</v>
      </c>
      <c r="G979" s="4" t="s">
        <v>25</v>
      </c>
      <c r="H979" s="4" t="s">
        <v>25</v>
      </c>
      <c r="I979" s="5">
        <v>44287</v>
      </c>
      <c r="J979" s="6">
        <v>0</v>
      </c>
      <c r="K979" s="6">
        <v>0</v>
      </c>
      <c r="L979" s="6">
        <v>114.893</v>
      </c>
      <c r="M979" s="6">
        <v>31.02111</v>
      </c>
      <c r="N979" s="6">
        <v>114.893</v>
      </c>
      <c r="O979" s="6">
        <v>31.02111</v>
      </c>
      <c r="P979" s="6">
        <v>0</v>
      </c>
      <c r="Q979" s="4" t="s">
        <v>26</v>
      </c>
      <c r="R979" s="4">
        <v>0</v>
      </c>
      <c r="S979" s="4" t="s">
        <v>412</v>
      </c>
      <c r="T979" s="4" t="s">
        <v>645</v>
      </c>
      <c r="U979" s="4">
        <v>0</v>
      </c>
      <c r="V979" s="4">
        <v>46</v>
      </c>
      <c r="W979" s="4">
        <v>99</v>
      </c>
    </row>
    <row r="980" spans="1:23" ht="11.25" customHeight="1" x14ac:dyDescent="0.25">
      <c r="A980" s="4" t="s">
        <v>27</v>
      </c>
      <c r="B980" s="4" t="s">
        <v>43</v>
      </c>
      <c r="C980" s="4" t="s">
        <v>23</v>
      </c>
      <c r="D980" s="4" t="s">
        <v>44</v>
      </c>
      <c r="E980" s="4" t="s">
        <v>52</v>
      </c>
      <c r="F980" s="4" t="s">
        <v>54</v>
      </c>
      <c r="G980" s="4" t="s">
        <v>25</v>
      </c>
      <c r="H980" s="4" t="s">
        <v>25</v>
      </c>
      <c r="I980" s="5">
        <v>44287</v>
      </c>
      <c r="J980" s="6">
        <v>0</v>
      </c>
      <c r="K980" s="6">
        <v>0</v>
      </c>
      <c r="L980" s="6">
        <v>-3.7519999999999998</v>
      </c>
      <c r="M980" s="6">
        <v>-1.0130399999999999</v>
      </c>
      <c r="N980" s="6">
        <v>-3.7519999999999998</v>
      </c>
      <c r="O980" s="6">
        <v>-1.0130399999999999</v>
      </c>
      <c r="P980" s="6">
        <v>0</v>
      </c>
      <c r="Q980" s="4" t="s">
        <v>26</v>
      </c>
      <c r="R980" s="4">
        <v>0</v>
      </c>
      <c r="S980" s="4" t="s">
        <v>412</v>
      </c>
      <c r="T980" s="4" t="s">
        <v>645</v>
      </c>
      <c r="U980" s="4">
        <v>0</v>
      </c>
      <c r="V980" s="4">
        <v>46</v>
      </c>
      <c r="W980" s="4">
        <v>99</v>
      </c>
    </row>
    <row r="981" spans="1:23" ht="11.25" customHeight="1" x14ac:dyDescent="0.25">
      <c r="A981" s="4" t="s">
        <v>28</v>
      </c>
      <c r="B981" s="4" t="s">
        <v>43</v>
      </c>
      <c r="C981" s="4" t="s">
        <v>23</v>
      </c>
      <c r="D981" s="4" t="s">
        <v>44</v>
      </c>
      <c r="E981" s="4" t="s">
        <v>52</v>
      </c>
      <c r="F981" s="4" t="s">
        <v>54</v>
      </c>
      <c r="G981" s="4" t="s">
        <v>25</v>
      </c>
      <c r="H981" s="4" t="s">
        <v>25</v>
      </c>
      <c r="I981" s="5">
        <v>44287</v>
      </c>
      <c r="J981" s="6">
        <v>0</v>
      </c>
      <c r="K981" s="6">
        <v>0</v>
      </c>
      <c r="L981" s="6">
        <v>0.48399999999999999</v>
      </c>
      <c r="M981" s="6">
        <v>0.13067999999999999</v>
      </c>
      <c r="N981" s="6">
        <v>0.48399999999999999</v>
      </c>
      <c r="O981" s="6">
        <v>0.13067999999999999</v>
      </c>
      <c r="P981" s="6">
        <v>0</v>
      </c>
      <c r="Q981" s="4" t="s">
        <v>26</v>
      </c>
      <c r="R981" s="4">
        <v>0</v>
      </c>
      <c r="S981" s="4" t="s">
        <v>412</v>
      </c>
      <c r="T981" s="4" t="s">
        <v>645</v>
      </c>
      <c r="U981" s="4">
        <v>0</v>
      </c>
      <c r="V981" s="4">
        <v>46</v>
      </c>
      <c r="W981" s="4">
        <v>99</v>
      </c>
    </row>
    <row r="982" spans="1:23" ht="11.25" customHeight="1" x14ac:dyDescent="0.25">
      <c r="A982" s="4" t="s">
        <v>21</v>
      </c>
      <c r="B982" s="4" t="s">
        <v>43</v>
      </c>
      <c r="C982" s="4" t="s">
        <v>23</v>
      </c>
      <c r="D982" s="4" t="s">
        <v>44</v>
      </c>
      <c r="E982" s="4" t="s">
        <v>52</v>
      </c>
      <c r="F982" s="4" t="s">
        <v>54</v>
      </c>
      <c r="G982" s="4" t="s">
        <v>25</v>
      </c>
      <c r="H982" s="4" t="s">
        <v>25</v>
      </c>
      <c r="I982" s="5">
        <v>44317</v>
      </c>
      <c r="J982" s="6">
        <v>0</v>
      </c>
      <c r="K982" s="6">
        <v>0</v>
      </c>
      <c r="L982" s="6">
        <v>86.744</v>
      </c>
      <c r="M982" s="6">
        <v>23.42088</v>
      </c>
      <c r="N982" s="6">
        <v>86.744</v>
      </c>
      <c r="O982" s="6">
        <v>23.42088</v>
      </c>
      <c r="P982" s="6">
        <v>0</v>
      </c>
      <c r="Q982" s="4" t="s">
        <v>26</v>
      </c>
      <c r="R982" s="4">
        <v>0</v>
      </c>
      <c r="S982" s="4" t="s">
        <v>413</v>
      </c>
      <c r="T982" s="4" t="s">
        <v>646</v>
      </c>
      <c r="U982" s="4">
        <v>0</v>
      </c>
      <c r="V982" s="4">
        <v>46</v>
      </c>
      <c r="W982" s="4">
        <v>99</v>
      </c>
    </row>
    <row r="983" spans="1:23" ht="11.25" customHeight="1" x14ac:dyDescent="0.25">
      <c r="A983" s="4" t="s">
        <v>27</v>
      </c>
      <c r="B983" s="4" t="s">
        <v>43</v>
      </c>
      <c r="C983" s="4" t="s">
        <v>23</v>
      </c>
      <c r="D983" s="4" t="s">
        <v>44</v>
      </c>
      <c r="E983" s="4" t="s">
        <v>52</v>
      </c>
      <c r="F983" s="4" t="s">
        <v>54</v>
      </c>
      <c r="G983" s="4" t="s">
        <v>25</v>
      </c>
      <c r="H983" s="4" t="s">
        <v>25</v>
      </c>
      <c r="I983" s="5">
        <v>44317</v>
      </c>
      <c r="J983" s="6">
        <v>0</v>
      </c>
      <c r="K983" s="6">
        <v>0</v>
      </c>
      <c r="L983" s="6">
        <v>-4.9210000000000003</v>
      </c>
      <c r="M983" s="6">
        <v>-1.32867</v>
      </c>
      <c r="N983" s="6">
        <v>-4.9210000000000003</v>
      </c>
      <c r="O983" s="6">
        <v>-1.32867</v>
      </c>
      <c r="P983" s="6">
        <v>0</v>
      </c>
      <c r="Q983" s="4" t="s">
        <v>26</v>
      </c>
      <c r="R983" s="4">
        <v>0</v>
      </c>
      <c r="S983" s="4" t="s">
        <v>413</v>
      </c>
      <c r="T983" s="4" t="s">
        <v>646</v>
      </c>
      <c r="U983" s="4">
        <v>0</v>
      </c>
      <c r="V983" s="4">
        <v>46</v>
      </c>
      <c r="W983" s="4">
        <v>99</v>
      </c>
    </row>
    <row r="984" spans="1:23" ht="11.25" customHeight="1" x14ac:dyDescent="0.25">
      <c r="A984" s="4" t="s">
        <v>28</v>
      </c>
      <c r="B984" s="4" t="s">
        <v>43</v>
      </c>
      <c r="C984" s="4" t="s">
        <v>23</v>
      </c>
      <c r="D984" s="4" t="s">
        <v>44</v>
      </c>
      <c r="E984" s="4" t="s">
        <v>52</v>
      </c>
      <c r="F984" s="4" t="s">
        <v>54</v>
      </c>
      <c r="G984" s="4" t="s">
        <v>25</v>
      </c>
      <c r="H984" s="4" t="s">
        <v>25</v>
      </c>
      <c r="I984" s="5">
        <v>44317</v>
      </c>
      <c r="J984" s="6">
        <v>0</v>
      </c>
      <c r="K984" s="6">
        <v>0</v>
      </c>
      <c r="L984" s="6">
        <v>0.59799999999999998</v>
      </c>
      <c r="M984" s="6">
        <v>0.16145999999999999</v>
      </c>
      <c r="N984" s="6">
        <v>0.59799999999999998</v>
      </c>
      <c r="O984" s="6">
        <v>0.16145999999999999</v>
      </c>
      <c r="P984" s="6">
        <v>0</v>
      </c>
      <c r="Q984" s="4" t="s">
        <v>26</v>
      </c>
      <c r="R984" s="4">
        <v>0</v>
      </c>
      <c r="S984" s="4" t="s">
        <v>413</v>
      </c>
      <c r="T984" s="4" t="s">
        <v>646</v>
      </c>
      <c r="U984" s="4">
        <v>0</v>
      </c>
      <c r="V984" s="4">
        <v>46</v>
      </c>
      <c r="W984" s="4">
        <v>99</v>
      </c>
    </row>
    <row r="985" spans="1:23" ht="11.25" customHeight="1" x14ac:dyDescent="0.25">
      <c r="A985" s="4" t="s">
        <v>21</v>
      </c>
      <c r="B985" s="4" t="s">
        <v>43</v>
      </c>
      <c r="C985" s="4" t="s">
        <v>23</v>
      </c>
      <c r="D985" s="4" t="s">
        <v>44</v>
      </c>
      <c r="E985" s="4" t="s">
        <v>52</v>
      </c>
      <c r="F985" s="4" t="s">
        <v>54</v>
      </c>
      <c r="G985" s="4" t="s">
        <v>25</v>
      </c>
      <c r="H985" s="4" t="s">
        <v>25</v>
      </c>
      <c r="I985" s="5">
        <v>44348</v>
      </c>
      <c r="J985" s="6">
        <v>0</v>
      </c>
      <c r="K985" s="6">
        <v>0</v>
      </c>
      <c r="L985" s="6">
        <v>118.303</v>
      </c>
      <c r="M985" s="6">
        <v>31.94181</v>
      </c>
      <c r="N985" s="6">
        <v>118.303</v>
      </c>
      <c r="O985" s="6">
        <v>31.94181</v>
      </c>
      <c r="P985" s="6">
        <v>0</v>
      </c>
      <c r="Q985" s="4" t="s">
        <v>26</v>
      </c>
      <c r="R985" s="4">
        <v>0</v>
      </c>
      <c r="S985" s="4" t="s">
        <v>414</v>
      </c>
      <c r="T985" s="4" t="s">
        <v>647</v>
      </c>
      <c r="U985" s="4">
        <v>0</v>
      </c>
      <c r="V985" s="4">
        <v>46</v>
      </c>
      <c r="W985" s="4">
        <v>99</v>
      </c>
    </row>
    <row r="986" spans="1:23" ht="11.25" customHeight="1" x14ac:dyDescent="0.25">
      <c r="A986" s="4" t="s">
        <v>28</v>
      </c>
      <c r="B986" s="4" t="s">
        <v>43</v>
      </c>
      <c r="C986" s="4" t="s">
        <v>23</v>
      </c>
      <c r="D986" s="4" t="s">
        <v>44</v>
      </c>
      <c r="E986" s="4" t="s">
        <v>52</v>
      </c>
      <c r="F986" s="4" t="s">
        <v>54</v>
      </c>
      <c r="G986" s="4" t="s">
        <v>25</v>
      </c>
      <c r="H986" s="4" t="s">
        <v>25</v>
      </c>
      <c r="I986" s="5">
        <v>44348</v>
      </c>
      <c r="J986" s="6">
        <v>0</v>
      </c>
      <c r="K986" s="6">
        <v>0</v>
      </c>
      <c r="L986" s="6">
        <v>0.68200000000000005</v>
      </c>
      <c r="M986" s="6">
        <v>0.18414</v>
      </c>
      <c r="N986" s="6">
        <v>0.68200000000000005</v>
      </c>
      <c r="O986" s="6">
        <v>0.18414</v>
      </c>
      <c r="P986" s="6">
        <v>0</v>
      </c>
      <c r="Q986" s="4" t="s">
        <v>26</v>
      </c>
      <c r="R986" s="4">
        <v>0</v>
      </c>
      <c r="S986" s="4" t="s">
        <v>414</v>
      </c>
      <c r="T986" s="4" t="s">
        <v>647</v>
      </c>
      <c r="U986" s="4">
        <v>0</v>
      </c>
      <c r="V986" s="4">
        <v>46</v>
      </c>
      <c r="W986" s="4">
        <v>99</v>
      </c>
    </row>
    <row r="987" spans="1:23" ht="11.25" customHeight="1" x14ac:dyDescent="0.25">
      <c r="A987" s="4" t="s">
        <v>21</v>
      </c>
      <c r="B987" s="4" t="s">
        <v>43</v>
      </c>
      <c r="C987" s="4" t="s">
        <v>23</v>
      </c>
      <c r="D987" s="4" t="s">
        <v>44</v>
      </c>
      <c r="E987" s="4" t="s">
        <v>52</v>
      </c>
      <c r="F987" s="4" t="s">
        <v>54</v>
      </c>
      <c r="G987" s="4" t="s">
        <v>25</v>
      </c>
      <c r="H987" s="4" t="s">
        <v>25</v>
      </c>
      <c r="I987" s="5">
        <v>44378</v>
      </c>
      <c r="J987" s="6">
        <v>0</v>
      </c>
      <c r="K987" s="6">
        <v>0</v>
      </c>
      <c r="L987" s="6">
        <v>144.03</v>
      </c>
      <c r="M987" s="6">
        <v>38.888100000000001</v>
      </c>
      <c r="N987" s="6">
        <v>144.03</v>
      </c>
      <c r="O987" s="6">
        <v>38.888100000000001</v>
      </c>
      <c r="P987" s="6">
        <v>0</v>
      </c>
      <c r="Q987" s="4" t="s">
        <v>26</v>
      </c>
      <c r="R987" s="4">
        <v>0</v>
      </c>
      <c r="S987" s="4" t="s">
        <v>415</v>
      </c>
      <c r="T987" s="4" t="s">
        <v>648</v>
      </c>
      <c r="U987" s="4">
        <v>0</v>
      </c>
      <c r="V987" s="4">
        <v>46</v>
      </c>
      <c r="W987" s="4">
        <v>99</v>
      </c>
    </row>
    <row r="988" spans="1:23" ht="11.25" customHeight="1" x14ac:dyDescent="0.25">
      <c r="A988" s="4" t="s">
        <v>28</v>
      </c>
      <c r="B988" s="4" t="s">
        <v>43</v>
      </c>
      <c r="C988" s="4" t="s">
        <v>23</v>
      </c>
      <c r="D988" s="4" t="s">
        <v>44</v>
      </c>
      <c r="E988" s="4" t="s">
        <v>52</v>
      </c>
      <c r="F988" s="4" t="s">
        <v>54</v>
      </c>
      <c r="G988" s="4" t="s">
        <v>25</v>
      </c>
      <c r="H988" s="4" t="s">
        <v>25</v>
      </c>
      <c r="I988" s="5">
        <v>44378</v>
      </c>
      <c r="J988" s="6">
        <v>0</v>
      </c>
      <c r="K988" s="6">
        <v>0</v>
      </c>
      <c r="L988" s="6">
        <v>0.91400000000000003</v>
      </c>
      <c r="M988" s="6">
        <v>0.24678</v>
      </c>
      <c r="N988" s="6">
        <v>0.91400000000000003</v>
      </c>
      <c r="O988" s="6">
        <v>0.24678</v>
      </c>
      <c r="P988" s="6">
        <v>0</v>
      </c>
      <c r="Q988" s="4" t="s">
        <v>26</v>
      </c>
      <c r="R988" s="4">
        <v>0</v>
      </c>
      <c r="S988" s="4" t="s">
        <v>415</v>
      </c>
      <c r="T988" s="4" t="s">
        <v>648</v>
      </c>
      <c r="U988" s="4">
        <v>0</v>
      </c>
      <c r="V988" s="4">
        <v>46</v>
      </c>
      <c r="W988" s="4">
        <v>99</v>
      </c>
    </row>
    <row r="989" spans="1:23" ht="11.25" customHeight="1" x14ac:dyDescent="0.25">
      <c r="A989" s="4" t="s">
        <v>21</v>
      </c>
      <c r="B989" s="4" t="s">
        <v>43</v>
      </c>
      <c r="C989" s="4" t="s">
        <v>23</v>
      </c>
      <c r="D989" s="4" t="s">
        <v>44</v>
      </c>
      <c r="E989" s="4" t="s">
        <v>52</v>
      </c>
      <c r="F989" s="4" t="s">
        <v>54</v>
      </c>
      <c r="G989" s="4" t="s">
        <v>25</v>
      </c>
      <c r="H989" s="4" t="s">
        <v>25</v>
      </c>
      <c r="I989" s="5">
        <v>44409</v>
      </c>
      <c r="J989" s="6">
        <v>0</v>
      </c>
      <c r="K989" s="6">
        <v>0</v>
      </c>
      <c r="L989" s="6">
        <v>131.072</v>
      </c>
      <c r="M989" s="6">
        <v>35.38944</v>
      </c>
      <c r="N989" s="6">
        <v>131.072</v>
      </c>
      <c r="O989" s="6">
        <v>35.38944</v>
      </c>
      <c r="P989" s="6">
        <v>0</v>
      </c>
      <c r="Q989" s="4" t="s">
        <v>26</v>
      </c>
      <c r="R989" s="4">
        <v>0</v>
      </c>
      <c r="S989" s="4" t="s">
        <v>416</v>
      </c>
      <c r="T989" s="4" t="s">
        <v>649</v>
      </c>
      <c r="U989" s="4">
        <v>0</v>
      </c>
      <c r="V989" s="4">
        <v>46</v>
      </c>
      <c r="W989" s="4">
        <v>99</v>
      </c>
    </row>
    <row r="990" spans="1:23" ht="11.25" customHeight="1" x14ac:dyDescent="0.25">
      <c r="A990" s="4" t="s">
        <v>28</v>
      </c>
      <c r="B990" s="4" t="s">
        <v>43</v>
      </c>
      <c r="C990" s="4" t="s">
        <v>23</v>
      </c>
      <c r="D990" s="4" t="s">
        <v>44</v>
      </c>
      <c r="E990" s="4" t="s">
        <v>52</v>
      </c>
      <c r="F990" s="4" t="s">
        <v>54</v>
      </c>
      <c r="G990" s="4" t="s">
        <v>25</v>
      </c>
      <c r="H990" s="4" t="s">
        <v>25</v>
      </c>
      <c r="I990" s="5">
        <v>44409</v>
      </c>
      <c r="J990" s="6">
        <v>0</v>
      </c>
      <c r="K990" s="6">
        <v>0</v>
      </c>
      <c r="L990" s="6">
        <v>0.72799999999999998</v>
      </c>
      <c r="M990" s="6">
        <v>0.19656000000000001</v>
      </c>
      <c r="N990" s="6">
        <v>0.72799999999999998</v>
      </c>
      <c r="O990" s="6">
        <v>0.19656000000000001</v>
      </c>
      <c r="P990" s="6">
        <v>0</v>
      </c>
      <c r="Q990" s="4" t="s">
        <v>26</v>
      </c>
      <c r="R990" s="4">
        <v>0</v>
      </c>
      <c r="S990" s="4" t="s">
        <v>416</v>
      </c>
      <c r="T990" s="4" t="s">
        <v>649</v>
      </c>
      <c r="U990" s="4">
        <v>0</v>
      </c>
      <c r="V990" s="4">
        <v>46</v>
      </c>
      <c r="W990" s="4">
        <v>99</v>
      </c>
    </row>
    <row r="991" spans="1:23" ht="11.25" customHeight="1" x14ac:dyDescent="0.25">
      <c r="A991" s="4" t="s">
        <v>21</v>
      </c>
      <c r="B991" s="4" t="s">
        <v>43</v>
      </c>
      <c r="C991" s="4" t="s">
        <v>23</v>
      </c>
      <c r="D991" s="4" t="s">
        <v>44</v>
      </c>
      <c r="E991" s="4" t="s">
        <v>52</v>
      </c>
      <c r="F991" s="4" t="s">
        <v>54</v>
      </c>
      <c r="G991" s="4" t="s">
        <v>25</v>
      </c>
      <c r="H991" s="4" t="s">
        <v>25</v>
      </c>
      <c r="I991" s="5">
        <v>44440</v>
      </c>
      <c r="J991" s="6">
        <v>0</v>
      </c>
      <c r="K991" s="6">
        <v>0</v>
      </c>
      <c r="L991" s="6">
        <v>193.536</v>
      </c>
      <c r="M991" s="6">
        <v>52.254719999999999</v>
      </c>
      <c r="N991" s="6">
        <v>193.536</v>
      </c>
      <c r="O991" s="6">
        <v>52.254719999999999</v>
      </c>
      <c r="P991" s="6">
        <v>0</v>
      </c>
      <c r="Q991" s="4" t="s">
        <v>26</v>
      </c>
      <c r="R991" s="4">
        <v>0</v>
      </c>
      <c r="S991" s="4" t="s">
        <v>417</v>
      </c>
      <c r="T991" s="4" t="s">
        <v>650</v>
      </c>
      <c r="U991" s="4">
        <v>0</v>
      </c>
      <c r="V991" s="4">
        <v>46</v>
      </c>
      <c r="W991" s="4">
        <v>99</v>
      </c>
    </row>
    <row r="992" spans="1:23" ht="11.25" customHeight="1" x14ac:dyDescent="0.25">
      <c r="A992" s="4" t="s">
        <v>28</v>
      </c>
      <c r="B992" s="4" t="s">
        <v>43</v>
      </c>
      <c r="C992" s="4" t="s">
        <v>23</v>
      </c>
      <c r="D992" s="4" t="s">
        <v>44</v>
      </c>
      <c r="E992" s="4" t="s">
        <v>52</v>
      </c>
      <c r="F992" s="4" t="s">
        <v>54</v>
      </c>
      <c r="G992" s="4" t="s">
        <v>25</v>
      </c>
      <c r="H992" s="4" t="s">
        <v>25</v>
      </c>
      <c r="I992" s="5">
        <v>44440</v>
      </c>
      <c r="J992" s="6">
        <v>0</v>
      </c>
      <c r="K992" s="6">
        <v>0</v>
      </c>
      <c r="L992" s="6">
        <v>1.4350000000000001</v>
      </c>
      <c r="M992" s="6">
        <v>0.38745000000000002</v>
      </c>
      <c r="N992" s="6">
        <v>1.4350000000000001</v>
      </c>
      <c r="O992" s="6">
        <v>0.38745000000000002</v>
      </c>
      <c r="P992" s="6">
        <v>0</v>
      </c>
      <c r="Q992" s="4" t="s">
        <v>26</v>
      </c>
      <c r="R992" s="4">
        <v>0</v>
      </c>
      <c r="S992" s="4" t="s">
        <v>417</v>
      </c>
      <c r="T992" s="4" t="s">
        <v>650</v>
      </c>
      <c r="U992" s="4">
        <v>0</v>
      </c>
      <c r="V992" s="4">
        <v>46</v>
      </c>
      <c r="W992" s="4">
        <v>99</v>
      </c>
    </row>
    <row r="993" spans="1:23" ht="11.25" customHeight="1" x14ac:dyDescent="0.25">
      <c r="A993" s="4" t="s">
        <v>21</v>
      </c>
      <c r="B993" s="4" t="s">
        <v>43</v>
      </c>
      <c r="C993" s="4" t="s">
        <v>23</v>
      </c>
      <c r="D993" s="4" t="s">
        <v>44</v>
      </c>
      <c r="E993" s="4" t="s">
        <v>52</v>
      </c>
      <c r="F993" s="4" t="s">
        <v>54</v>
      </c>
      <c r="G993" s="4" t="s">
        <v>25</v>
      </c>
      <c r="H993" s="4" t="s">
        <v>25</v>
      </c>
      <c r="I993" s="5">
        <v>44470</v>
      </c>
      <c r="J993" s="6">
        <v>0</v>
      </c>
      <c r="K993" s="6">
        <v>0</v>
      </c>
      <c r="L993" s="6">
        <v>194.28899999999999</v>
      </c>
      <c r="M993" s="6">
        <v>52.458030000000001</v>
      </c>
      <c r="N993" s="6">
        <v>194.28899999999999</v>
      </c>
      <c r="O993" s="6">
        <v>52.458030000000001</v>
      </c>
      <c r="P993" s="6">
        <v>0</v>
      </c>
      <c r="Q993" s="4" t="s">
        <v>26</v>
      </c>
      <c r="R993" s="4">
        <v>0</v>
      </c>
      <c r="S993" s="4" t="s">
        <v>418</v>
      </c>
      <c r="T993" s="4" t="s">
        <v>651</v>
      </c>
      <c r="U993" s="4">
        <v>0</v>
      </c>
      <c r="V993" s="4">
        <v>46</v>
      </c>
      <c r="W993" s="4">
        <v>99</v>
      </c>
    </row>
    <row r="994" spans="1:23" ht="11.25" customHeight="1" x14ac:dyDescent="0.25">
      <c r="A994" s="4" t="s">
        <v>27</v>
      </c>
      <c r="B994" s="4" t="s">
        <v>43</v>
      </c>
      <c r="C994" s="4" t="s">
        <v>23</v>
      </c>
      <c r="D994" s="4" t="s">
        <v>44</v>
      </c>
      <c r="E994" s="4" t="s">
        <v>52</v>
      </c>
      <c r="F994" s="4" t="s">
        <v>54</v>
      </c>
      <c r="G994" s="4" t="s">
        <v>25</v>
      </c>
      <c r="H994" s="4" t="s">
        <v>25</v>
      </c>
      <c r="I994" s="5">
        <v>44470</v>
      </c>
      <c r="J994" s="6">
        <v>0</v>
      </c>
      <c r="K994" s="6">
        <v>0</v>
      </c>
      <c r="L994" s="6">
        <v>-1.8080000000000001</v>
      </c>
      <c r="M994" s="6">
        <v>-0.48815999999999998</v>
      </c>
      <c r="N994" s="6">
        <v>-1.8080000000000001</v>
      </c>
      <c r="O994" s="6">
        <v>-0.48815999999999998</v>
      </c>
      <c r="P994" s="6">
        <v>0</v>
      </c>
      <c r="Q994" s="4" t="s">
        <v>26</v>
      </c>
      <c r="R994" s="4">
        <v>0</v>
      </c>
      <c r="S994" s="4" t="s">
        <v>418</v>
      </c>
      <c r="T994" s="4" t="s">
        <v>651</v>
      </c>
      <c r="U994" s="4">
        <v>0</v>
      </c>
      <c r="V994" s="4">
        <v>46</v>
      </c>
      <c r="W994" s="4">
        <v>99</v>
      </c>
    </row>
    <row r="995" spans="1:23" ht="11.25" customHeight="1" x14ac:dyDescent="0.25">
      <c r="A995" s="4" t="s">
        <v>28</v>
      </c>
      <c r="B995" s="4" t="s">
        <v>43</v>
      </c>
      <c r="C995" s="4" t="s">
        <v>23</v>
      </c>
      <c r="D995" s="4" t="s">
        <v>44</v>
      </c>
      <c r="E995" s="4" t="s">
        <v>52</v>
      </c>
      <c r="F995" s="4" t="s">
        <v>54</v>
      </c>
      <c r="G995" s="4" t="s">
        <v>25</v>
      </c>
      <c r="H995" s="4" t="s">
        <v>25</v>
      </c>
      <c r="I995" s="5">
        <v>44470</v>
      </c>
      <c r="J995" s="6">
        <v>0</v>
      </c>
      <c r="K995" s="6">
        <v>0</v>
      </c>
      <c r="L995" s="6">
        <v>1.6679999999999999</v>
      </c>
      <c r="M995" s="6">
        <v>0.45035999999999998</v>
      </c>
      <c r="N995" s="6">
        <v>1.6679999999999999</v>
      </c>
      <c r="O995" s="6">
        <v>0.45035999999999998</v>
      </c>
      <c r="P995" s="6">
        <v>0</v>
      </c>
      <c r="Q995" s="4" t="s">
        <v>26</v>
      </c>
      <c r="R995" s="4">
        <v>0</v>
      </c>
      <c r="S995" s="4" t="s">
        <v>418</v>
      </c>
      <c r="T995" s="4" t="s">
        <v>651</v>
      </c>
      <c r="U995" s="4">
        <v>0</v>
      </c>
      <c r="V995" s="4">
        <v>46</v>
      </c>
      <c r="W995" s="4">
        <v>99</v>
      </c>
    </row>
    <row r="996" spans="1:23" ht="11.25" customHeight="1" x14ac:dyDescent="0.25">
      <c r="A996" s="4" t="s">
        <v>21</v>
      </c>
      <c r="B996" s="4" t="s">
        <v>43</v>
      </c>
      <c r="C996" s="4" t="s">
        <v>23</v>
      </c>
      <c r="D996" s="4" t="s">
        <v>44</v>
      </c>
      <c r="E996" s="4" t="s">
        <v>52</v>
      </c>
      <c r="F996" s="4" t="s">
        <v>54</v>
      </c>
      <c r="G996" s="4" t="s">
        <v>25</v>
      </c>
      <c r="H996" s="4" t="s">
        <v>25</v>
      </c>
      <c r="I996" s="5">
        <v>44501</v>
      </c>
      <c r="J996" s="6">
        <v>0</v>
      </c>
      <c r="K996" s="6">
        <v>0</v>
      </c>
      <c r="L996" s="6">
        <v>171.94200000000001</v>
      </c>
      <c r="M996" s="6">
        <v>46.424340000000001</v>
      </c>
      <c r="N996" s="6">
        <v>171.94200000000001</v>
      </c>
      <c r="O996" s="6">
        <v>46.424340000000001</v>
      </c>
      <c r="P996" s="6">
        <v>0</v>
      </c>
      <c r="Q996" s="4" t="s">
        <v>26</v>
      </c>
      <c r="R996" s="4">
        <v>0</v>
      </c>
      <c r="S996" s="4" t="s">
        <v>419</v>
      </c>
      <c r="T996" s="4" t="s">
        <v>652</v>
      </c>
      <c r="U996" s="4">
        <v>0</v>
      </c>
      <c r="V996" s="4">
        <v>46</v>
      </c>
      <c r="W996" s="4">
        <v>99</v>
      </c>
    </row>
    <row r="997" spans="1:23" ht="11.25" customHeight="1" x14ac:dyDescent="0.25">
      <c r="A997" s="4" t="s">
        <v>27</v>
      </c>
      <c r="B997" s="4" t="s">
        <v>43</v>
      </c>
      <c r="C997" s="4" t="s">
        <v>23</v>
      </c>
      <c r="D997" s="4" t="s">
        <v>44</v>
      </c>
      <c r="E997" s="4" t="s">
        <v>52</v>
      </c>
      <c r="F997" s="4" t="s">
        <v>54</v>
      </c>
      <c r="G997" s="4" t="s">
        <v>25</v>
      </c>
      <c r="H997" s="4" t="s">
        <v>25</v>
      </c>
      <c r="I997" s="5">
        <v>44501</v>
      </c>
      <c r="J997" s="6">
        <v>0</v>
      </c>
      <c r="K997" s="6">
        <v>0</v>
      </c>
      <c r="L997" s="6">
        <v>1.3939999999999999</v>
      </c>
      <c r="M997" s="6">
        <v>0.37637999999999999</v>
      </c>
      <c r="N997" s="6">
        <v>1.3939999999999999</v>
      </c>
      <c r="O997" s="6">
        <v>0.37637999999999999</v>
      </c>
      <c r="P997" s="6">
        <v>0</v>
      </c>
      <c r="Q997" s="4" t="s">
        <v>26</v>
      </c>
      <c r="R997" s="4">
        <v>0</v>
      </c>
      <c r="S997" s="4" t="s">
        <v>419</v>
      </c>
      <c r="T997" s="4" t="s">
        <v>652</v>
      </c>
      <c r="U997" s="4">
        <v>0</v>
      </c>
      <c r="V997" s="4">
        <v>46</v>
      </c>
      <c r="W997" s="4">
        <v>99</v>
      </c>
    </row>
    <row r="998" spans="1:23" ht="11.25" customHeight="1" x14ac:dyDescent="0.25">
      <c r="A998" s="4" t="s">
        <v>28</v>
      </c>
      <c r="B998" s="4" t="s">
        <v>43</v>
      </c>
      <c r="C998" s="4" t="s">
        <v>23</v>
      </c>
      <c r="D998" s="4" t="s">
        <v>44</v>
      </c>
      <c r="E998" s="4" t="s">
        <v>52</v>
      </c>
      <c r="F998" s="4" t="s">
        <v>54</v>
      </c>
      <c r="G998" s="4" t="s">
        <v>25</v>
      </c>
      <c r="H998" s="4" t="s">
        <v>25</v>
      </c>
      <c r="I998" s="5">
        <v>44501</v>
      </c>
      <c r="J998" s="6">
        <v>0</v>
      </c>
      <c r="K998" s="6">
        <v>0</v>
      </c>
      <c r="L998" s="6">
        <v>1.8109999999999999</v>
      </c>
      <c r="M998" s="6">
        <v>0.48897000000000002</v>
      </c>
      <c r="N998" s="6">
        <v>1.8109999999999999</v>
      </c>
      <c r="O998" s="6">
        <v>0.48897000000000002</v>
      </c>
      <c r="P998" s="6">
        <v>0</v>
      </c>
      <c r="Q998" s="4" t="s">
        <v>26</v>
      </c>
      <c r="R998" s="4">
        <v>0</v>
      </c>
      <c r="S998" s="4" t="s">
        <v>419</v>
      </c>
      <c r="T998" s="4" t="s">
        <v>652</v>
      </c>
      <c r="U998" s="4">
        <v>0</v>
      </c>
      <c r="V998" s="4">
        <v>46</v>
      </c>
      <c r="W998" s="4">
        <v>99</v>
      </c>
    </row>
    <row r="999" spans="1:23" ht="11.25" customHeight="1" x14ac:dyDescent="0.25">
      <c r="A999" s="4" t="s">
        <v>21</v>
      </c>
      <c r="B999" s="4" t="s">
        <v>43</v>
      </c>
      <c r="C999" s="4" t="s">
        <v>23</v>
      </c>
      <c r="D999" s="4" t="s">
        <v>44</v>
      </c>
      <c r="E999" s="4" t="s">
        <v>52</v>
      </c>
      <c r="F999" s="4" t="s">
        <v>54</v>
      </c>
      <c r="G999" s="4" t="s">
        <v>25</v>
      </c>
      <c r="H999" s="4" t="s">
        <v>25</v>
      </c>
      <c r="I999" s="5">
        <v>44531</v>
      </c>
      <c r="J999" s="6">
        <v>0</v>
      </c>
      <c r="K999" s="6">
        <v>0</v>
      </c>
      <c r="L999" s="6">
        <v>175.35499999999999</v>
      </c>
      <c r="M999" s="6">
        <v>47.345849999999999</v>
      </c>
      <c r="N999" s="6">
        <v>175.35499999999999</v>
      </c>
      <c r="O999" s="6">
        <v>47.345849999999999</v>
      </c>
      <c r="P999" s="6">
        <v>0</v>
      </c>
      <c r="Q999" s="4" t="s">
        <v>26</v>
      </c>
      <c r="R999" s="4">
        <v>0</v>
      </c>
      <c r="S999" s="4" t="s">
        <v>420</v>
      </c>
      <c r="T999" s="4" t="s">
        <v>653</v>
      </c>
      <c r="U999" s="4">
        <v>0</v>
      </c>
      <c r="V999" s="4">
        <v>46</v>
      </c>
      <c r="W999" s="4">
        <v>99</v>
      </c>
    </row>
    <row r="1000" spans="1:23" ht="11.25" customHeight="1" x14ac:dyDescent="0.25">
      <c r="A1000" s="4" t="s">
        <v>28</v>
      </c>
      <c r="B1000" s="4" t="s">
        <v>43</v>
      </c>
      <c r="C1000" s="4" t="s">
        <v>23</v>
      </c>
      <c r="D1000" s="4" t="s">
        <v>44</v>
      </c>
      <c r="E1000" s="4" t="s">
        <v>52</v>
      </c>
      <c r="F1000" s="4" t="s">
        <v>54</v>
      </c>
      <c r="G1000" s="4" t="s">
        <v>25</v>
      </c>
      <c r="H1000" s="4" t="s">
        <v>25</v>
      </c>
      <c r="I1000" s="5">
        <v>44531</v>
      </c>
      <c r="J1000" s="6">
        <v>0</v>
      </c>
      <c r="K1000" s="6">
        <v>0</v>
      </c>
      <c r="L1000" s="6">
        <v>1.776</v>
      </c>
      <c r="M1000" s="6">
        <v>0.47952</v>
      </c>
      <c r="N1000" s="6">
        <v>1.776</v>
      </c>
      <c r="O1000" s="6">
        <v>0.47952</v>
      </c>
      <c r="P1000" s="6">
        <v>0</v>
      </c>
      <c r="Q1000" s="4" t="s">
        <v>26</v>
      </c>
      <c r="R1000" s="4">
        <v>0</v>
      </c>
      <c r="S1000" s="4" t="s">
        <v>420</v>
      </c>
      <c r="T1000" s="4" t="s">
        <v>653</v>
      </c>
      <c r="U1000" s="4">
        <v>0</v>
      </c>
      <c r="V1000" s="4">
        <v>46</v>
      </c>
      <c r="W1000" s="4">
        <v>99</v>
      </c>
    </row>
    <row r="1001" spans="1:23" ht="11.25" customHeight="1" x14ac:dyDescent="0.25">
      <c r="A1001" s="4" t="s">
        <v>55</v>
      </c>
      <c r="B1001" s="4" t="s">
        <v>43</v>
      </c>
      <c r="C1001" s="4" t="s">
        <v>23</v>
      </c>
      <c r="D1001" s="4" t="s">
        <v>44</v>
      </c>
      <c r="E1001" s="4" t="s">
        <v>52</v>
      </c>
      <c r="F1001" s="4" t="s">
        <v>54</v>
      </c>
      <c r="G1001" s="4" t="s">
        <v>25</v>
      </c>
      <c r="H1001" s="4" t="s">
        <v>25</v>
      </c>
      <c r="I1001" s="5">
        <v>44562</v>
      </c>
      <c r="J1001" s="6">
        <v>0</v>
      </c>
      <c r="K1001" s="6">
        <v>0</v>
      </c>
      <c r="L1001" s="6">
        <v>175.35499999999999</v>
      </c>
      <c r="M1001" s="6">
        <v>47.345849999999999</v>
      </c>
      <c r="N1001" s="6">
        <v>175.35499999999999</v>
      </c>
      <c r="O1001" s="6">
        <v>47.345849999999999</v>
      </c>
      <c r="P1001" s="6">
        <v>0</v>
      </c>
      <c r="Q1001" s="4" t="s">
        <v>26</v>
      </c>
      <c r="R1001" s="4">
        <v>0</v>
      </c>
      <c r="S1001" s="4" t="s">
        <v>421</v>
      </c>
      <c r="T1001" s="4" t="s">
        <v>654</v>
      </c>
      <c r="U1001" s="4">
        <v>0</v>
      </c>
      <c r="V1001" s="4">
        <v>46</v>
      </c>
      <c r="W1001" s="4">
        <v>99</v>
      </c>
    </row>
    <row r="1002" spans="1:23" ht="11.25" customHeight="1" x14ac:dyDescent="0.25">
      <c r="A1002" s="4" t="s">
        <v>55</v>
      </c>
      <c r="B1002" s="4" t="s">
        <v>43</v>
      </c>
      <c r="C1002" s="4" t="s">
        <v>23</v>
      </c>
      <c r="D1002" s="4" t="s">
        <v>44</v>
      </c>
      <c r="E1002" s="4" t="s">
        <v>52</v>
      </c>
      <c r="F1002" s="4" t="s">
        <v>54</v>
      </c>
      <c r="G1002" s="4" t="s">
        <v>25</v>
      </c>
      <c r="H1002" s="4" t="s">
        <v>25</v>
      </c>
      <c r="I1002" s="5">
        <v>44562</v>
      </c>
      <c r="J1002" s="6">
        <v>0</v>
      </c>
      <c r="K1002" s="6">
        <v>0</v>
      </c>
      <c r="L1002" s="6">
        <v>1.776</v>
      </c>
      <c r="M1002" s="6">
        <v>0.47952</v>
      </c>
      <c r="N1002" s="6">
        <v>1.776</v>
      </c>
      <c r="O1002" s="6">
        <v>0.47952</v>
      </c>
      <c r="P1002" s="6">
        <v>0</v>
      </c>
      <c r="Q1002" s="4" t="s">
        <v>26</v>
      </c>
      <c r="R1002" s="4">
        <v>0</v>
      </c>
      <c r="S1002" s="4" t="s">
        <v>421</v>
      </c>
      <c r="T1002" s="4" t="s">
        <v>654</v>
      </c>
      <c r="U1002" s="4">
        <v>0</v>
      </c>
      <c r="V1002" s="4">
        <v>46</v>
      </c>
      <c r="W1002" s="4">
        <v>99</v>
      </c>
    </row>
    <row r="1003" spans="1:23" ht="11.25" customHeight="1" x14ac:dyDescent="0.25">
      <c r="A1003" s="4" t="s">
        <v>21</v>
      </c>
      <c r="B1003" s="4" t="s">
        <v>43</v>
      </c>
      <c r="C1003" s="4" t="s">
        <v>23</v>
      </c>
      <c r="D1003" s="4" t="s">
        <v>44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44228</v>
      </c>
      <c r="J1003" s="6">
        <v>0</v>
      </c>
      <c r="K1003" s="6">
        <v>0</v>
      </c>
      <c r="L1003" s="6">
        <v>1720.0550000000001</v>
      </c>
      <c r="M1003" s="6">
        <v>1720.0550000000001</v>
      </c>
      <c r="N1003" s="6">
        <v>1720.0550000000001</v>
      </c>
      <c r="O1003" s="6">
        <v>1720.0550000000001</v>
      </c>
      <c r="P1003" s="6">
        <v>14642</v>
      </c>
      <c r="Q1003" s="4" t="s">
        <v>26</v>
      </c>
      <c r="R1003" s="4">
        <v>0</v>
      </c>
      <c r="S1003" s="4" t="s">
        <v>410</v>
      </c>
      <c r="T1003" s="4" t="s">
        <v>643</v>
      </c>
      <c r="U1003" s="4">
        <v>0</v>
      </c>
      <c r="V1003" s="4">
        <v>46</v>
      </c>
      <c r="W1003" s="4">
        <v>99</v>
      </c>
    </row>
    <row r="1004" spans="1:23" ht="11.25" customHeight="1" x14ac:dyDescent="0.25">
      <c r="A1004" s="4" t="s">
        <v>28</v>
      </c>
      <c r="B1004" s="4" t="s">
        <v>43</v>
      </c>
      <c r="C1004" s="4" t="s">
        <v>23</v>
      </c>
      <c r="D1004" s="4" t="s">
        <v>44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44228</v>
      </c>
      <c r="J1004" s="6">
        <v>0</v>
      </c>
      <c r="K1004" s="6">
        <v>0</v>
      </c>
      <c r="L1004" s="6">
        <v>4.5970000000000004</v>
      </c>
      <c r="M1004" s="6">
        <v>4.5970000000000004</v>
      </c>
      <c r="N1004" s="6">
        <v>4.5970000000000004</v>
      </c>
      <c r="O1004" s="6">
        <v>4.5970000000000004</v>
      </c>
      <c r="P1004" s="6">
        <v>22</v>
      </c>
      <c r="Q1004" s="4" t="s">
        <v>26</v>
      </c>
      <c r="R1004" s="4">
        <v>0</v>
      </c>
      <c r="S1004" s="4" t="s">
        <v>410</v>
      </c>
      <c r="T1004" s="4" t="s">
        <v>643</v>
      </c>
      <c r="U1004" s="4">
        <v>0</v>
      </c>
      <c r="V1004" s="4">
        <v>46</v>
      </c>
      <c r="W1004" s="4">
        <v>99</v>
      </c>
    </row>
    <row r="1005" spans="1:23" ht="11.25" customHeight="1" x14ac:dyDescent="0.25">
      <c r="A1005" s="4" t="s">
        <v>21</v>
      </c>
      <c r="B1005" s="4" t="s">
        <v>43</v>
      </c>
      <c r="C1005" s="4" t="s">
        <v>23</v>
      </c>
      <c r="D1005" s="4" t="s">
        <v>44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44256</v>
      </c>
      <c r="J1005" s="6">
        <v>0</v>
      </c>
      <c r="K1005" s="6">
        <v>0</v>
      </c>
      <c r="L1005" s="6">
        <v>1849.31</v>
      </c>
      <c r="M1005" s="6">
        <v>1849.31</v>
      </c>
      <c r="N1005" s="6">
        <v>1849.31</v>
      </c>
      <c r="O1005" s="6">
        <v>1849.31</v>
      </c>
      <c r="P1005" s="6">
        <v>14667</v>
      </c>
      <c r="Q1005" s="4" t="s">
        <v>26</v>
      </c>
      <c r="R1005" s="4">
        <v>0</v>
      </c>
      <c r="S1005" s="4" t="s">
        <v>411</v>
      </c>
      <c r="T1005" s="4" t="s">
        <v>644</v>
      </c>
      <c r="U1005" s="4">
        <v>0</v>
      </c>
      <c r="V1005" s="4">
        <v>46</v>
      </c>
      <c r="W1005" s="4">
        <v>99</v>
      </c>
    </row>
    <row r="1006" spans="1:23" ht="11.25" customHeight="1" x14ac:dyDescent="0.25">
      <c r="A1006" s="4" t="s">
        <v>28</v>
      </c>
      <c r="B1006" s="4" t="s">
        <v>43</v>
      </c>
      <c r="C1006" s="4" t="s">
        <v>23</v>
      </c>
      <c r="D1006" s="4" t="s">
        <v>44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44256</v>
      </c>
      <c r="J1006" s="6">
        <v>0</v>
      </c>
      <c r="K1006" s="6">
        <v>0</v>
      </c>
      <c r="L1006" s="6">
        <v>2.952</v>
      </c>
      <c r="M1006" s="6">
        <v>2.952</v>
      </c>
      <c r="N1006" s="6">
        <v>2.952</v>
      </c>
      <c r="O1006" s="6">
        <v>2.952</v>
      </c>
      <c r="P1006" s="6">
        <v>21</v>
      </c>
      <c r="Q1006" s="4" t="s">
        <v>26</v>
      </c>
      <c r="R1006" s="4">
        <v>0</v>
      </c>
      <c r="S1006" s="4" t="s">
        <v>411</v>
      </c>
      <c r="T1006" s="4" t="s">
        <v>644</v>
      </c>
      <c r="U1006" s="4">
        <v>0</v>
      </c>
      <c r="V1006" s="4">
        <v>46</v>
      </c>
      <c r="W1006" s="4">
        <v>99</v>
      </c>
    </row>
    <row r="1007" spans="1:23" ht="11.25" customHeight="1" x14ac:dyDescent="0.25">
      <c r="A1007" s="4" t="s">
        <v>28</v>
      </c>
      <c r="B1007" s="4" t="s">
        <v>43</v>
      </c>
      <c r="C1007" s="4" t="s">
        <v>23</v>
      </c>
      <c r="D1007" s="4" t="s">
        <v>44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44256</v>
      </c>
      <c r="J1007" s="6">
        <v>0</v>
      </c>
      <c r="K1007" s="6">
        <v>0</v>
      </c>
      <c r="L1007" s="6">
        <v>-0.66500000000000004</v>
      </c>
      <c r="M1007" s="6">
        <v>-0.66500000000000004</v>
      </c>
      <c r="N1007" s="6">
        <v>-0.66500000000000004</v>
      </c>
      <c r="O1007" s="6">
        <v>-0.66500000000000004</v>
      </c>
      <c r="P1007" s="6">
        <v>-1</v>
      </c>
      <c r="Q1007" s="4" t="s">
        <v>26</v>
      </c>
      <c r="R1007" s="4">
        <v>0</v>
      </c>
      <c r="S1007" s="4" t="s">
        <v>411</v>
      </c>
      <c r="T1007" s="4" t="s">
        <v>644</v>
      </c>
      <c r="U1007" s="4">
        <v>0</v>
      </c>
      <c r="V1007" s="4">
        <v>46</v>
      </c>
      <c r="W1007" s="4">
        <v>99</v>
      </c>
    </row>
    <row r="1008" spans="1:23" ht="11.25" customHeight="1" x14ac:dyDescent="0.25">
      <c r="A1008" s="4" t="s">
        <v>21</v>
      </c>
      <c r="B1008" s="4" t="s">
        <v>43</v>
      </c>
      <c r="C1008" s="4" t="s">
        <v>23</v>
      </c>
      <c r="D1008" s="4" t="s">
        <v>44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44287</v>
      </c>
      <c r="J1008" s="6">
        <v>0</v>
      </c>
      <c r="K1008" s="6">
        <v>0</v>
      </c>
      <c r="L1008" s="6">
        <v>1809.0909999999999</v>
      </c>
      <c r="M1008" s="6">
        <v>1809.0909999999999</v>
      </c>
      <c r="N1008" s="6">
        <v>1809.0909999999999</v>
      </c>
      <c r="O1008" s="6">
        <v>1809.0909999999999</v>
      </c>
      <c r="P1008" s="6">
        <v>14691</v>
      </c>
      <c r="Q1008" s="4" t="s">
        <v>26</v>
      </c>
      <c r="R1008" s="4">
        <v>0</v>
      </c>
      <c r="S1008" s="4" t="s">
        <v>412</v>
      </c>
      <c r="T1008" s="4" t="s">
        <v>645</v>
      </c>
      <c r="U1008" s="4">
        <v>0</v>
      </c>
      <c r="V1008" s="4">
        <v>46</v>
      </c>
      <c r="W1008" s="4">
        <v>99</v>
      </c>
    </row>
    <row r="1009" spans="1:23" ht="11.25" customHeight="1" x14ac:dyDescent="0.25">
      <c r="A1009" s="4" t="s">
        <v>27</v>
      </c>
      <c r="B1009" s="4" t="s">
        <v>43</v>
      </c>
      <c r="C1009" s="4" t="s">
        <v>23</v>
      </c>
      <c r="D1009" s="4" t="s">
        <v>44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44287</v>
      </c>
      <c r="J1009" s="6">
        <v>0</v>
      </c>
      <c r="K1009" s="6">
        <v>0</v>
      </c>
      <c r="L1009" s="6">
        <v>-4.32</v>
      </c>
      <c r="M1009" s="6">
        <v>-4.32</v>
      </c>
      <c r="N1009" s="6">
        <v>-4.32</v>
      </c>
      <c r="O1009" s="6">
        <v>-4.32</v>
      </c>
      <c r="P1009" s="6">
        <v>0</v>
      </c>
      <c r="Q1009" s="4" t="s">
        <v>26</v>
      </c>
      <c r="R1009" s="4">
        <v>0</v>
      </c>
      <c r="S1009" s="4" t="s">
        <v>412</v>
      </c>
      <c r="T1009" s="4" t="s">
        <v>645</v>
      </c>
      <c r="U1009" s="4">
        <v>0</v>
      </c>
      <c r="V1009" s="4">
        <v>46</v>
      </c>
      <c r="W1009" s="4">
        <v>99</v>
      </c>
    </row>
    <row r="1010" spans="1:23" ht="11.25" customHeight="1" x14ac:dyDescent="0.25">
      <c r="A1010" s="4" t="s">
        <v>28</v>
      </c>
      <c r="B1010" s="4" t="s">
        <v>43</v>
      </c>
      <c r="C1010" s="4" t="s">
        <v>23</v>
      </c>
      <c r="D1010" s="4" t="s">
        <v>44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44287</v>
      </c>
      <c r="J1010" s="6">
        <v>0</v>
      </c>
      <c r="K1010" s="6">
        <v>0</v>
      </c>
      <c r="L1010" s="6">
        <v>5.0380000000000003</v>
      </c>
      <c r="M1010" s="6">
        <v>5.0380000000000003</v>
      </c>
      <c r="N1010" s="6">
        <v>5.0380000000000003</v>
      </c>
      <c r="O1010" s="6">
        <v>5.0380000000000003</v>
      </c>
      <c r="P1010" s="6">
        <v>25</v>
      </c>
      <c r="Q1010" s="4" t="s">
        <v>26</v>
      </c>
      <c r="R1010" s="4">
        <v>0</v>
      </c>
      <c r="S1010" s="4" t="s">
        <v>412</v>
      </c>
      <c r="T1010" s="4" t="s">
        <v>645</v>
      </c>
      <c r="U1010" s="4">
        <v>0</v>
      </c>
      <c r="V1010" s="4">
        <v>46</v>
      </c>
      <c r="W1010" s="4">
        <v>99</v>
      </c>
    </row>
    <row r="1011" spans="1:23" ht="11.25" customHeight="1" x14ac:dyDescent="0.25">
      <c r="A1011" s="4" t="s">
        <v>28</v>
      </c>
      <c r="B1011" s="4" t="s">
        <v>43</v>
      </c>
      <c r="C1011" s="4" t="s">
        <v>23</v>
      </c>
      <c r="D1011" s="4" t="s">
        <v>44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44287</v>
      </c>
      <c r="J1011" s="6">
        <v>0</v>
      </c>
      <c r="K1011" s="6">
        <v>0</v>
      </c>
      <c r="L1011" s="6">
        <v>-3.5270000000000001</v>
      </c>
      <c r="M1011" s="6">
        <v>-3.5270000000000001</v>
      </c>
      <c r="N1011" s="6">
        <v>-3.5270000000000001</v>
      </c>
      <c r="O1011" s="6">
        <v>-3.5270000000000001</v>
      </c>
      <c r="P1011" s="6">
        <v>-5</v>
      </c>
      <c r="Q1011" s="4" t="s">
        <v>26</v>
      </c>
      <c r="R1011" s="4">
        <v>0</v>
      </c>
      <c r="S1011" s="4" t="s">
        <v>412</v>
      </c>
      <c r="T1011" s="4" t="s">
        <v>645</v>
      </c>
      <c r="U1011" s="4">
        <v>0</v>
      </c>
      <c r="V1011" s="4">
        <v>46</v>
      </c>
      <c r="W1011" s="4">
        <v>99</v>
      </c>
    </row>
    <row r="1012" spans="1:23" ht="11.25" customHeight="1" x14ac:dyDescent="0.25">
      <c r="A1012" s="4" t="s">
        <v>21</v>
      </c>
      <c r="B1012" s="4" t="s">
        <v>43</v>
      </c>
      <c r="C1012" s="4" t="s">
        <v>23</v>
      </c>
      <c r="D1012" s="4" t="s">
        <v>44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44317</v>
      </c>
      <c r="J1012" s="6">
        <v>0</v>
      </c>
      <c r="K1012" s="6">
        <v>0</v>
      </c>
      <c r="L1012" s="6">
        <v>1653.0630000000001</v>
      </c>
      <c r="M1012" s="6">
        <v>1653.0630000000001</v>
      </c>
      <c r="N1012" s="6">
        <v>1653.0630000000001</v>
      </c>
      <c r="O1012" s="6">
        <v>1653.0630000000001</v>
      </c>
      <c r="P1012" s="6">
        <v>14658</v>
      </c>
      <c r="Q1012" s="4" t="s">
        <v>26</v>
      </c>
      <c r="R1012" s="4">
        <v>0</v>
      </c>
      <c r="S1012" s="4" t="s">
        <v>413</v>
      </c>
      <c r="T1012" s="4" t="s">
        <v>646</v>
      </c>
      <c r="U1012" s="4">
        <v>0</v>
      </c>
      <c r="V1012" s="4">
        <v>46</v>
      </c>
      <c r="W1012" s="4">
        <v>99</v>
      </c>
    </row>
    <row r="1013" spans="1:23" ht="11.25" customHeight="1" x14ac:dyDescent="0.25">
      <c r="A1013" s="4" t="s">
        <v>28</v>
      </c>
      <c r="B1013" s="4" t="s">
        <v>43</v>
      </c>
      <c r="C1013" s="4" t="s">
        <v>23</v>
      </c>
      <c r="D1013" s="4" t="s">
        <v>44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44317</v>
      </c>
      <c r="J1013" s="6">
        <v>0</v>
      </c>
      <c r="K1013" s="6">
        <v>0</v>
      </c>
      <c r="L1013" s="6">
        <v>13.893000000000001</v>
      </c>
      <c r="M1013" s="6">
        <v>13.893000000000001</v>
      </c>
      <c r="N1013" s="6">
        <v>13.893000000000001</v>
      </c>
      <c r="O1013" s="6">
        <v>13.893000000000001</v>
      </c>
      <c r="P1013" s="6">
        <v>26</v>
      </c>
      <c r="Q1013" s="4" t="s">
        <v>26</v>
      </c>
      <c r="R1013" s="4">
        <v>0</v>
      </c>
      <c r="S1013" s="4" t="s">
        <v>413</v>
      </c>
      <c r="T1013" s="4" t="s">
        <v>646</v>
      </c>
      <c r="U1013" s="4">
        <v>0</v>
      </c>
      <c r="V1013" s="4">
        <v>46</v>
      </c>
      <c r="W1013" s="4">
        <v>99</v>
      </c>
    </row>
    <row r="1014" spans="1:23" ht="11.25" customHeight="1" x14ac:dyDescent="0.25">
      <c r="A1014" s="4" t="s">
        <v>21</v>
      </c>
      <c r="B1014" s="4" t="s">
        <v>43</v>
      </c>
      <c r="C1014" s="4" t="s">
        <v>23</v>
      </c>
      <c r="D1014" s="4" t="s">
        <v>44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44348</v>
      </c>
      <c r="J1014" s="6">
        <v>0</v>
      </c>
      <c r="K1014" s="6">
        <v>0</v>
      </c>
      <c r="L1014" s="6">
        <v>1578.412</v>
      </c>
      <c r="M1014" s="6">
        <v>1578.412</v>
      </c>
      <c r="N1014" s="6">
        <v>1578.412</v>
      </c>
      <c r="O1014" s="6">
        <v>1578.412</v>
      </c>
      <c r="P1014" s="6">
        <v>14652</v>
      </c>
      <c r="Q1014" s="4" t="s">
        <v>26</v>
      </c>
      <c r="R1014" s="4">
        <v>0</v>
      </c>
      <c r="S1014" s="4" t="s">
        <v>414</v>
      </c>
      <c r="T1014" s="4" t="s">
        <v>647</v>
      </c>
      <c r="U1014" s="4">
        <v>0</v>
      </c>
      <c r="V1014" s="4">
        <v>46</v>
      </c>
      <c r="W1014" s="4">
        <v>99</v>
      </c>
    </row>
    <row r="1015" spans="1:23" ht="11.25" customHeight="1" x14ac:dyDescent="0.25">
      <c r="A1015" s="4" t="s">
        <v>27</v>
      </c>
      <c r="B1015" s="4" t="s">
        <v>43</v>
      </c>
      <c r="C1015" s="4" t="s">
        <v>23</v>
      </c>
      <c r="D1015" s="4" t="s">
        <v>44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44348</v>
      </c>
      <c r="J1015" s="6">
        <v>0</v>
      </c>
      <c r="K1015" s="6">
        <v>0</v>
      </c>
      <c r="L1015" s="6">
        <v>-0.03</v>
      </c>
      <c r="M1015" s="6">
        <v>-0.03</v>
      </c>
      <c r="N1015" s="6">
        <v>-0.03</v>
      </c>
      <c r="O1015" s="6">
        <v>-0.03</v>
      </c>
      <c r="P1015" s="6">
        <v>-1</v>
      </c>
      <c r="Q1015" s="4" t="s">
        <v>26</v>
      </c>
      <c r="R1015" s="4">
        <v>0</v>
      </c>
      <c r="S1015" s="4" t="s">
        <v>414</v>
      </c>
      <c r="T1015" s="4" t="s">
        <v>647</v>
      </c>
      <c r="U1015" s="4">
        <v>0</v>
      </c>
      <c r="V1015" s="4">
        <v>46</v>
      </c>
      <c r="W1015" s="4">
        <v>99</v>
      </c>
    </row>
    <row r="1016" spans="1:23" ht="11.25" customHeight="1" x14ac:dyDescent="0.25">
      <c r="A1016" s="4" t="s">
        <v>28</v>
      </c>
      <c r="B1016" s="4" t="s">
        <v>43</v>
      </c>
      <c r="C1016" s="4" t="s">
        <v>23</v>
      </c>
      <c r="D1016" s="4" t="s">
        <v>44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44348</v>
      </c>
      <c r="J1016" s="6">
        <v>0</v>
      </c>
      <c r="K1016" s="6">
        <v>0</v>
      </c>
      <c r="L1016" s="6">
        <v>3.58</v>
      </c>
      <c r="M1016" s="6">
        <v>3.58</v>
      </c>
      <c r="N1016" s="6">
        <v>3.58</v>
      </c>
      <c r="O1016" s="6">
        <v>3.58</v>
      </c>
      <c r="P1016" s="6">
        <v>26</v>
      </c>
      <c r="Q1016" s="4" t="s">
        <v>26</v>
      </c>
      <c r="R1016" s="4">
        <v>0</v>
      </c>
      <c r="S1016" s="4" t="s">
        <v>414</v>
      </c>
      <c r="T1016" s="4" t="s">
        <v>647</v>
      </c>
      <c r="U1016" s="4">
        <v>0</v>
      </c>
      <c r="V1016" s="4">
        <v>46</v>
      </c>
      <c r="W1016" s="4">
        <v>99</v>
      </c>
    </row>
    <row r="1017" spans="1:23" ht="11.25" customHeight="1" x14ac:dyDescent="0.25">
      <c r="A1017" s="4" t="s">
        <v>21</v>
      </c>
      <c r="B1017" s="4" t="s">
        <v>43</v>
      </c>
      <c r="C1017" s="4" t="s">
        <v>23</v>
      </c>
      <c r="D1017" s="4" t="s">
        <v>44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44378</v>
      </c>
      <c r="J1017" s="6">
        <v>0</v>
      </c>
      <c r="K1017" s="6">
        <v>0</v>
      </c>
      <c r="L1017" s="6">
        <v>1682.258</v>
      </c>
      <c r="M1017" s="6">
        <v>1682.258</v>
      </c>
      <c r="N1017" s="6">
        <v>1682.258</v>
      </c>
      <c r="O1017" s="6">
        <v>1682.258</v>
      </c>
      <c r="P1017" s="6">
        <v>14577</v>
      </c>
      <c r="Q1017" s="4" t="s">
        <v>26</v>
      </c>
      <c r="R1017" s="4">
        <v>0</v>
      </c>
      <c r="S1017" s="4" t="s">
        <v>415</v>
      </c>
      <c r="T1017" s="4" t="s">
        <v>648</v>
      </c>
      <c r="U1017" s="4">
        <v>0</v>
      </c>
      <c r="V1017" s="4">
        <v>46</v>
      </c>
      <c r="W1017" s="4">
        <v>99</v>
      </c>
    </row>
    <row r="1018" spans="1:23" ht="11.25" customHeight="1" x14ac:dyDescent="0.25">
      <c r="A1018" s="4" t="s">
        <v>28</v>
      </c>
      <c r="B1018" s="4" t="s">
        <v>43</v>
      </c>
      <c r="C1018" s="4" t="s">
        <v>23</v>
      </c>
      <c r="D1018" s="4" t="s">
        <v>44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44378</v>
      </c>
      <c r="J1018" s="6">
        <v>0</v>
      </c>
      <c r="K1018" s="6">
        <v>0</v>
      </c>
      <c r="L1018" s="6">
        <v>3.7970000000000002</v>
      </c>
      <c r="M1018" s="6">
        <v>3.7970000000000002</v>
      </c>
      <c r="N1018" s="6">
        <v>3.7970000000000002</v>
      </c>
      <c r="O1018" s="6">
        <v>3.7970000000000002</v>
      </c>
      <c r="P1018" s="6">
        <v>26</v>
      </c>
      <c r="Q1018" s="4" t="s">
        <v>26</v>
      </c>
      <c r="R1018" s="4">
        <v>0</v>
      </c>
      <c r="S1018" s="4" t="s">
        <v>415</v>
      </c>
      <c r="T1018" s="4" t="s">
        <v>648</v>
      </c>
      <c r="U1018" s="4">
        <v>0</v>
      </c>
      <c r="V1018" s="4">
        <v>46</v>
      </c>
      <c r="W1018" s="4">
        <v>99</v>
      </c>
    </row>
    <row r="1019" spans="1:23" ht="11.25" customHeight="1" x14ac:dyDescent="0.25">
      <c r="A1019" s="4" t="s">
        <v>21</v>
      </c>
      <c r="B1019" s="4" t="s">
        <v>43</v>
      </c>
      <c r="C1019" s="4" t="s">
        <v>23</v>
      </c>
      <c r="D1019" s="4" t="s">
        <v>44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44409</v>
      </c>
      <c r="J1019" s="6">
        <v>0</v>
      </c>
      <c r="K1019" s="6">
        <v>0</v>
      </c>
      <c r="L1019" s="6">
        <v>1572.28</v>
      </c>
      <c r="M1019" s="6">
        <v>1572.28</v>
      </c>
      <c r="N1019" s="6">
        <v>1572.28</v>
      </c>
      <c r="O1019" s="6">
        <v>1572.28</v>
      </c>
      <c r="P1019" s="6">
        <v>14506</v>
      </c>
      <c r="Q1019" s="4" t="s">
        <v>26</v>
      </c>
      <c r="R1019" s="4">
        <v>0</v>
      </c>
      <c r="S1019" s="4" t="s">
        <v>416</v>
      </c>
      <c r="T1019" s="4" t="s">
        <v>649</v>
      </c>
      <c r="U1019" s="4">
        <v>0</v>
      </c>
      <c r="V1019" s="4">
        <v>46</v>
      </c>
      <c r="W1019" s="4">
        <v>99</v>
      </c>
    </row>
    <row r="1020" spans="1:23" ht="11.25" customHeight="1" x14ac:dyDescent="0.25">
      <c r="A1020" s="4" t="s">
        <v>27</v>
      </c>
      <c r="B1020" s="4" t="s">
        <v>43</v>
      </c>
      <c r="C1020" s="4" t="s">
        <v>23</v>
      </c>
      <c r="D1020" s="4" t="s">
        <v>44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44409</v>
      </c>
      <c r="J1020" s="6">
        <v>0</v>
      </c>
      <c r="K1020" s="6">
        <v>0</v>
      </c>
      <c r="L1020" s="6">
        <v>-2.238</v>
      </c>
      <c r="M1020" s="6">
        <v>-2.238</v>
      </c>
      <c r="N1020" s="6">
        <v>-2.238</v>
      </c>
      <c r="O1020" s="6">
        <v>-2.238</v>
      </c>
      <c r="P1020" s="6">
        <v>-1</v>
      </c>
      <c r="Q1020" s="4" t="s">
        <v>26</v>
      </c>
      <c r="R1020" s="4">
        <v>0</v>
      </c>
      <c r="S1020" s="4" t="s">
        <v>416</v>
      </c>
      <c r="T1020" s="4" t="s">
        <v>649</v>
      </c>
      <c r="U1020" s="4">
        <v>0</v>
      </c>
      <c r="V1020" s="4">
        <v>46</v>
      </c>
      <c r="W1020" s="4">
        <v>99</v>
      </c>
    </row>
    <row r="1021" spans="1:23" ht="11.25" customHeight="1" x14ac:dyDescent="0.25">
      <c r="A1021" s="4" t="s">
        <v>28</v>
      </c>
      <c r="B1021" s="4" t="s">
        <v>43</v>
      </c>
      <c r="C1021" s="4" t="s">
        <v>23</v>
      </c>
      <c r="D1021" s="4" t="s">
        <v>44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44409</v>
      </c>
      <c r="J1021" s="6">
        <v>0</v>
      </c>
      <c r="K1021" s="6">
        <v>0</v>
      </c>
      <c r="L1021" s="6">
        <v>3.8889999999999998</v>
      </c>
      <c r="M1021" s="6">
        <v>3.8889999999999998</v>
      </c>
      <c r="N1021" s="6">
        <v>3.8889999999999998</v>
      </c>
      <c r="O1021" s="6">
        <v>3.8889999999999998</v>
      </c>
      <c r="P1021" s="6">
        <v>27</v>
      </c>
      <c r="Q1021" s="4" t="s">
        <v>26</v>
      </c>
      <c r="R1021" s="4">
        <v>0</v>
      </c>
      <c r="S1021" s="4" t="s">
        <v>416</v>
      </c>
      <c r="T1021" s="4" t="s">
        <v>649</v>
      </c>
      <c r="U1021" s="4">
        <v>0</v>
      </c>
      <c r="V1021" s="4">
        <v>46</v>
      </c>
      <c r="W1021" s="4">
        <v>99</v>
      </c>
    </row>
    <row r="1022" spans="1:23" ht="11.25" customHeight="1" x14ac:dyDescent="0.25">
      <c r="A1022" s="4" t="s">
        <v>21</v>
      </c>
      <c r="B1022" s="4" t="s">
        <v>43</v>
      </c>
      <c r="C1022" s="4" t="s">
        <v>23</v>
      </c>
      <c r="D1022" s="4" t="s">
        <v>44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44440</v>
      </c>
      <c r="J1022" s="6">
        <v>0</v>
      </c>
      <c r="K1022" s="6">
        <v>0</v>
      </c>
      <c r="L1022" s="6">
        <v>1613.2570000000001</v>
      </c>
      <c r="M1022" s="6">
        <v>1613.2570000000001</v>
      </c>
      <c r="N1022" s="6">
        <v>1613.2570000000001</v>
      </c>
      <c r="O1022" s="6">
        <v>1613.2570000000001</v>
      </c>
      <c r="P1022" s="6">
        <v>14408</v>
      </c>
      <c r="Q1022" s="4" t="s">
        <v>26</v>
      </c>
      <c r="R1022" s="4">
        <v>0</v>
      </c>
      <c r="S1022" s="4" t="s">
        <v>417</v>
      </c>
      <c r="T1022" s="4" t="s">
        <v>650</v>
      </c>
      <c r="U1022" s="4">
        <v>0</v>
      </c>
      <c r="V1022" s="4">
        <v>46</v>
      </c>
      <c r="W1022" s="4">
        <v>99</v>
      </c>
    </row>
    <row r="1023" spans="1:23" ht="11.25" customHeight="1" x14ac:dyDescent="0.25">
      <c r="A1023" s="4" t="s">
        <v>27</v>
      </c>
      <c r="B1023" s="4" t="s">
        <v>43</v>
      </c>
      <c r="C1023" s="4" t="s">
        <v>23</v>
      </c>
      <c r="D1023" s="4" t="s">
        <v>44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44440</v>
      </c>
      <c r="J1023" s="6">
        <v>0</v>
      </c>
      <c r="K1023" s="6">
        <v>0</v>
      </c>
      <c r="L1023" s="6">
        <v>-5.9459999999999997</v>
      </c>
      <c r="M1023" s="6">
        <v>-5.9459999999999997</v>
      </c>
      <c r="N1023" s="6">
        <v>-5.9459999999999997</v>
      </c>
      <c r="O1023" s="6">
        <v>-5.9459999999999997</v>
      </c>
      <c r="P1023" s="6">
        <v>-2</v>
      </c>
      <c r="Q1023" s="4" t="s">
        <v>26</v>
      </c>
      <c r="R1023" s="4">
        <v>0</v>
      </c>
      <c r="S1023" s="4" t="s">
        <v>417</v>
      </c>
      <c r="T1023" s="4" t="s">
        <v>650</v>
      </c>
      <c r="U1023" s="4">
        <v>0</v>
      </c>
      <c r="V1023" s="4">
        <v>46</v>
      </c>
      <c r="W1023" s="4">
        <v>99</v>
      </c>
    </row>
    <row r="1024" spans="1:23" ht="11.25" customHeight="1" x14ac:dyDescent="0.25">
      <c r="A1024" s="4" t="s">
        <v>28</v>
      </c>
      <c r="B1024" s="4" t="s">
        <v>43</v>
      </c>
      <c r="C1024" s="4" t="s">
        <v>23</v>
      </c>
      <c r="D1024" s="4" t="s">
        <v>44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44440</v>
      </c>
      <c r="J1024" s="6">
        <v>0</v>
      </c>
      <c r="K1024" s="6">
        <v>0</v>
      </c>
      <c r="L1024" s="6">
        <v>4.9550000000000001</v>
      </c>
      <c r="M1024" s="6">
        <v>4.9550000000000001</v>
      </c>
      <c r="N1024" s="6">
        <v>4.9550000000000001</v>
      </c>
      <c r="O1024" s="6">
        <v>4.9550000000000001</v>
      </c>
      <c r="P1024" s="6">
        <v>31</v>
      </c>
      <c r="Q1024" s="4" t="s">
        <v>26</v>
      </c>
      <c r="R1024" s="4">
        <v>0</v>
      </c>
      <c r="S1024" s="4" t="s">
        <v>417</v>
      </c>
      <c r="T1024" s="4" t="s">
        <v>650</v>
      </c>
      <c r="U1024" s="4">
        <v>0</v>
      </c>
      <c r="V1024" s="4">
        <v>46</v>
      </c>
      <c r="W1024" s="4">
        <v>99</v>
      </c>
    </row>
    <row r="1025" spans="1:23" ht="11.25" customHeight="1" x14ac:dyDescent="0.25">
      <c r="A1025" s="4" t="s">
        <v>21</v>
      </c>
      <c r="B1025" s="4" t="s">
        <v>43</v>
      </c>
      <c r="C1025" s="4" t="s">
        <v>23</v>
      </c>
      <c r="D1025" s="4" t="s">
        <v>44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44470</v>
      </c>
      <c r="J1025" s="6">
        <v>0</v>
      </c>
      <c r="K1025" s="6">
        <v>0</v>
      </c>
      <c r="L1025" s="6">
        <v>1678.3979999999999</v>
      </c>
      <c r="M1025" s="6">
        <v>1678.3979999999999</v>
      </c>
      <c r="N1025" s="6">
        <v>1678.3979999999999</v>
      </c>
      <c r="O1025" s="6">
        <v>1678.3979999999999</v>
      </c>
      <c r="P1025" s="6">
        <v>14315</v>
      </c>
      <c r="Q1025" s="4" t="s">
        <v>26</v>
      </c>
      <c r="R1025" s="4">
        <v>0</v>
      </c>
      <c r="S1025" s="4" t="s">
        <v>418</v>
      </c>
      <c r="T1025" s="4" t="s">
        <v>651</v>
      </c>
      <c r="U1025" s="4">
        <v>0</v>
      </c>
      <c r="V1025" s="4">
        <v>46</v>
      </c>
      <c r="W1025" s="4">
        <v>99</v>
      </c>
    </row>
    <row r="1026" spans="1:23" ht="11.25" customHeight="1" x14ac:dyDescent="0.25">
      <c r="A1026" s="4" t="s">
        <v>27</v>
      </c>
      <c r="B1026" s="4" t="s">
        <v>43</v>
      </c>
      <c r="C1026" s="4" t="s">
        <v>23</v>
      </c>
      <c r="D1026" s="4" t="s">
        <v>44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44470</v>
      </c>
      <c r="J1026" s="6">
        <v>0</v>
      </c>
      <c r="K1026" s="6">
        <v>0</v>
      </c>
      <c r="L1026" s="6">
        <v>-6.0999999999999999E-2</v>
      </c>
      <c r="M1026" s="6">
        <v>-6.0999999999999999E-2</v>
      </c>
      <c r="N1026" s="6">
        <v>-6.0999999999999999E-2</v>
      </c>
      <c r="O1026" s="6">
        <v>-6.0999999999999999E-2</v>
      </c>
      <c r="P1026" s="6">
        <v>0</v>
      </c>
      <c r="Q1026" s="4" t="s">
        <v>26</v>
      </c>
      <c r="R1026" s="4">
        <v>0</v>
      </c>
      <c r="S1026" s="4" t="s">
        <v>418</v>
      </c>
      <c r="T1026" s="4" t="s">
        <v>651</v>
      </c>
      <c r="U1026" s="4">
        <v>0</v>
      </c>
      <c r="V1026" s="4">
        <v>46</v>
      </c>
      <c r="W1026" s="4">
        <v>99</v>
      </c>
    </row>
    <row r="1027" spans="1:23" ht="11.25" customHeight="1" x14ac:dyDescent="0.25">
      <c r="A1027" s="4" t="s">
        <v>28</v>
      </c>
      <c r="B1027" s="4" t="s">
        <v>43</v>
      </c>
      <c r="C1027" s="4" t="s">
        <v>23</v>
      </c>
      <c r="D1027" s="4" t="s">
        <v>44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44470</v>
      </c>
      <c r="J1027" s="6">
        <v>0</v>
      </c>
      <c r="K1027" s="6">
        <v>0</v>
      </c>
      <c r="L1027" s="6">
        <v>4.7480000000000002</v>
      </c>
      <c r="M1027" s="6">
        <v>4.7480000000000002</v>
      </c>
      <c r="N1027" s="6">
        <v>4.7480000000000002</v>
      </c>
      <c r="O1027" s="6">
        <v>4.7480000000000002</v>
      </c>
      <c r="P1027" s="6">
        <v>33</v>
      </c>
      <c r="Q1027" s="4" t="s">
        <v>26</v>
      </c>
      <c r="R1027" s="4">
        <v>0</v>
      </c>
      <c r="S1027" s="4" t="s">
        <v>418</v>
      </c>
      <c r="T1027" s="4" t="s">
        <v>651</v>
      </c>
      <c r="U1027" s="4">
        <v>0</v>
      </c>
      <c r="V1027" s="4">
        <v>46</v>
      </c>
      <c r="W1027" s="4">
        <v>99</v>
      </c>
    </row>
    <row r="1028" spans="1:23" ht="11.25" customHeight="1" x14ac:dyDescent="0.25">
      <c r="A1028" s="4" t="s">
        <v>21</v>
      </c>
      <c r="B1028" s="4" t="s">
        <v>43</v>
      </c>
      <c r="C1028" s="4" t="s">
        <v>23</v>
      </c>
      <c r="D1028" s="4" t="s">
        <v>44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44501</v>
      </c>
      <c r="J1028" s="6">
        <v>0</v>
      </c>
      <c r="K1028" s="6">
        <v>0</v>
      </c>
      <c r="L1028" s="6">
        <v>1680.3589999999999</v>
      </c>
      <c r="M1028" s="6">
        <v>1680.3589999999999</v>
      </c>
      <c r="N1028" s="6">
        <v>1680.3589999999999</v>
      </c>
      <c r="O1028" s="6">
        <v>1680.3589999999999</v>
      </c>
      <c r="P1028" s="6">
        <v>14274</v>
      </c>
      <c r="Q1028" s="4" t="s">
        <v>26</v>
      </c>
      <c r="R1028" s="4">
        <v>0</v>
      </c>
      <c r="S1028" s="4" t="s">
        <v>419</v>
      </c>
      <c r="T1028" s="4" t="s">
        <v>652</v>
      </c>
      <c r="U1028" s="4">
        <v>0</v>
      </c>
      <c r="V1028" s="4">
        <v>46</v>
      </c>
      <c r="W1028" s="4">
        <v>99</v>
      </c>
    </row>
    <row r="1029" spans="1:23" ht="11.25" customHeight="1" x14ac:dyDescent="0.25">
      <c r="A1029" s="4" t="s">
        <v>28</v>
      </c>
      <c r="B1029" s="4" t="s">
        <v>43</v>
      </c>
      <c r="C1029" s="4" t="s">
        <v>23</v>
      </c>
      <c r="D1029" s="4" t="s">
        <v>44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44501</v>
      </c>
      <c r="J1029" s="6">
        <v>0</v>
      </c>
      <c r="K1029" s="6">
        <v>0</v>
      </c>
      <c r="L1029" s="6">
        <v>4.859</v>
      </c>
      <c r="M1029" s="6">
        <v>4.859</v>
      </c>
      <c r="N1029" s="6">
        <v>4.859</v>
      </c>
      <c r="O1029" s="6">
        <v>4.859</v>
      </c>
      <c r="P1029" s="6">
        <v>38</v>
      </c>
      <c r="Q1029" s="4" t="s">
        <v>26</v>
      </c>
      <c r="R1029" s="4">
        <v>0</v>
      </c>
      <c r="S1029" s="4" t="s">
        <v>419</v>
      </c>
      <c r="T1029" s="4" t="s">
        <v>652</v>
      </c>
      <c r="U1029" s="4">
        <v>0</v>
      </c>
      <c r="V1029" s="4">
        <v>46</v>
      </c>
      <c r="W1029" s="4">
        <v>99</v>
      </c>
    </row>
    <row r="1030" spans="1:23" ht="11.25" customHeight="1" x14ac:dyDescent="0.25">
      <c r="A1030" s="4" t="s">
        <v>21</v>
      </c>
      <c r="B1030" s="4" t="s">
        <v>43</v>
      </c>
      <c r="C1030" s="4" t="s">
        <v>23</v>
      </c>
      <c r="D1030" s="4" t="s">
        <v>44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44531</v>
      </c>
      <c r="J1030" s="6">
        <v>0</v>
      </c>
      <c r="K1030" s="6">
        <v>0</v>
      </c>
      <c r="L1030" s="6">
        <v>1733.576</v>
      </c>
      <c r="M1030" s="6">
        <v>1733.576</v>
      </c>
      <c r="N1030" s="6">
        <v>1733.576</v>
      </c>
      <c r="O1030" s="6">
        <v>1733.576</v>
      </c>
      <c r="P1030" s="6">
        <v>14293</v>
      </c>
      <c r="Q1030" s="4" t="s">
        <v>26</v>
      </c>
      <c r="R1030" s="4">
        <v>0</v>
      </c>
      <c r="S1030" s="4" t="s">
        <v>420</v>
      </c>
      <c r="T1030" s="4" t="s">
        <v>653</v>
      </c>
      <c r="U1030" s="4">
        <v>0</v>
      </c>
      <c r="V1030" s="4">
        <v>46</v>
      </c>
      <c r="W1030" s="4">
        <v>99</v>
      </c>
    </row>
    <row r="1031" spans="1:23" ht="11.25" customHeight="1" x14ac:dyDescent="0.25">
      <c r="A1031" s="4" t="s">
        <v>27</v>
      </c>
      <c r="B1031" s="4" t="s">
        <v>43</v>
      </c>
      <c r="C1031" s="4" t="s">
        <v>23</v>
      </c>
      <c r="D1031" s="4" t="s">
        <v>44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44531</v>
      </c>
      <c r="J1031" s="6">
        <v>0</v>
      </c>
      <c r="K1031" s="6">
        <v>0</v>
      </c>
      <c r="L1031" s="6">
        <v>-0.97099999999999997</v>
      </c>
      <c r="M1031" s="6">
        <v>-0.97099999999999997</v>
      </c>
      <c r="N1031" s="6">
        <v>-0.97099999999999997</v>
      </c>
      <c r="O1031" s="6">
        <v>-0.97099999999999997</v>
      </c>
      <c r="P1031" s="6">
        <v>0</v>
      </c>
      <c r="Q1031" s="4" t="s">
        <v>26</v>
      </c>
      <c r="R1031" s="4">
        <v>0</v>
      </c>
      <c r="S1031" s="4" t="s">
        <v>420</v>
      </c>
      <c r="T1031" s="4" t="s">
        <v>653</v>
      </c>
      <c r="U1031" s="4">
        <v>0</v>
      </c>
      <c r="V1031" s="4">
        <v>46</v>
      </c>
      <c r="W1031" s="4">
        <v>99</v>
      </c>
    </row>
    <row r="1032" spans="1:23" ht="11.25" customHeight="1" x14ac:dyDescent="0.25">
      <c r="A1032" s="4" t="s">
        <v>28</v>
      </c>
      <c r="B1032" s="4" t="s">
        <v>43</v>
      </c>
      <c r="C1032" s="4" t="s">
        <v>23</v>
      </c>
      <c r="D1032" s="4" t="s">
        <v>44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44531</v>
      </c>
      <c r="J1032" s="6">
        <v>0</v>
      </c>
      <c r="K1032" s="6">
        <v>0</v>
      </c>
      <c r="L1032" s="6">
        <v>6.4180000000000001</v>
      </c>
      <c r="M1032" s="6">
        <v>6.4180000000000001</v>
      </c>
      <c r="N1032" s="6">
        <v>6.4180000000000001</v>
      </c>
      <c r="O1032" s="6">
        <v>6.4180000000000001</v>
      </c>
      <c r="P1032" s="6">
        <v>41</v>
      </c>
      <c r="Q1032" s="4" t="s">
        <v>26</v>
      </c>
      <c r="R1032" s="4">
        <v>0</v>
      </c>
      <c r="S1032" s="4" t="s">
        <v>420</v>
      </c>
      <c r="T1032" s="4" t="s">
        <v>653</v>
      </c>
      <c r="U1032" s="4">
        <v>0</v>
      </c>
      <c r="V1032" s="4">
        <v>46</v>
      </c>
      <c r="W1032" s="4">
        <v>99</v>
      </c>
    </row>
    <row r="1033" spans="1:23" ht="11.25" customHeight="1" x14ac:dyDescent="0.25">
      <c r="A1033" s="4" t="s">
        <v>55</v>
      </c>
      <c r="B1033" s="4" t="s">
        <v>43</v>
      </c>
      <c r="C1033" s="4" t="s">
        <v>23</v>
      </c>
      <c r="D1033" s="4" t="s">
        <v>44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44562</v>
      </c>
      <c r="J1033" s="6">
        <v>0</v>
      </c>
      <c r="K1033" s="6">
        <v>0</v>
      </c>
      <c r="L1033" s="6">
        <v>1733.576</v>
      </c>
      <c r="M1033" s="6">
        <v>1733.576</v>
      </c>
      <c r="N1033" s="6">
        <v>1733.576</v>
      </c>
      <c r="O1033" s="6">
        <v>1733.576</v>
      </c>
      <c r="P1033" s="6">
        <v>14293</v>
      </c>
      <c r="Q1033" s="4" t="s">
        <v>26</v>
      </c>
      <c r="R1033" s="4">
        <v>0</v>
      </c>
      <c r="S1033" s="4" t="s">
        <v>421</v>
      </c>
      <c r="T1033" s="4" t="s">
        <v>654</v>
      </c>
      <c r="U1033" s="4">
        <v>0</v>
      </c>
      <c r="V1033" s="4">
        <v>46</v>
      </c>
      <c r="W1033" s="4">
        <v>99</v>
      </c>
    </row>
    <row r="1034" spans="1:23" ht="11.25" customHeight="1" x14ac:dyDescent="0.25">
      <c r="A1034" s="4" t="s">
        <v>55</v>
      </c>
      <c r="B1034" s="4" t="s">
        <v>43</v>
      </c>
      <c r="C1034" s="4" t="s">
        <v>23</v>
      </c>
      <c r="D1034" s="4" t="s">
        <v>44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44562</v>
      </c>
      <c r="J1034" s="6">
        <v>0</v>
      </c>
      <c r="K1034" s="6">
        <v>0</v>
      </c>
      <c r="L1034" s="6">
        <v>-0.97099999999999997</v>
      </c>
      <c r="M1034" s="6">
        <v>-0.97099999999999997</v>
      </c>
      <c r="N1034" s="6">
        <v>-0.97099999999999997</v>
      </c>
      <c r="O1034" s="6">
        <v>-0.97099999999999997</v>
      </c>
      <c r="P1034" s="6">
        <v>0</v>
      </c>
      <c r="Q1034" s="4" t="s">
        <v>26</v>
      </c>
      <c r="R1034" s="4">
        <v>0</v>
      </c>
      <c r="S1034" s="4" t="s">
        <v>421</v>
      </c>
      <c r="T1034" s="4" t="s">
        <v>654</v>
      </c>
      <c r="U1034" s="4">
        <v>0</v>
      </c>
      <c r="V1034" s="4">
        <v>46</v>
      </c>
      <c r="W1034" s="4">
        <v>99</v>
      </c>
    </row>
    <row r="1035" spans="1:23" ht="11.25" customHeight="1" x14ac:dyDescent="0.25">
      <c r="A1035" s="4" t="s">
        <v>55</v>
      </c>
      <c r="B1035" s="4" t="s">
        <v>43</v>
      </c>
      <c r="C1035" s="4" t="s">
        <v>23</v>
      </c>
      <c r="D1035" s="4" t="s">
        <v>44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44562</v>
      </c>
      <c r="J1035" s="6">
        <v>0</v>
      </c>
      <c r="K1035" s="6">
        <v>0</v>
      </c>
      <c r="L1035" s="6">
        <v>6.4180000000000001</v>
      </c>
      <c r="M1035" s="6">
        <v>6.4180000000000001</v>
      </c>
      <c r="N1035" s="6">
        <v>6.4180000000000001</v>
      </c>
      <c r="O1035" s="6">
        <v>6.4180000000000001</v>
      </c>
      <c r="P1035" s="6">
        <v>41</v>
      </c>
      <c r="Q1035" s="4" t="s">
        <v>26</v>
      </c>
      <c r="R1035" s="4">
        <v>0</v>
      </c>
      <c r="S1035" s="4" t="s">
        <v>421</v>
      </c>
      <c r="T1035" s="4" t="s">
        <v>654</v>
      </c>
      <c r="U1035" s="4">
        <v>0</v>
      </c>
      <c r="V1035" s="4">
        <v>46</v>
      </c>
      <c r="W1035" s="4">
        <v>99</v>
      </c>
    </row>
    <row r="1036" spans="1:23" ht="11.25" customHeight="1" x14ac:dyDescent="0.25">
      <c r="A1036" s="4" t="s">
        <v>21</v>
      </c>
      <c r="B1036" s="4" t="s">
        <v>37</v>
      </c>
      <c r="C1036" s="4" t="s">
        <v>33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35</v>
      </c>
      <c r="I1036" s="5">
        <v>44228</v>
      </c>
      <c r="J1036" s="6">
        <v>0</v>
      </c>
      <c r="K1036" s="6">
        <v>0</v>
      </c>
      <c r="L1036" s="6">
        <v>9.2070000000000007</v>
      </c>
      <c r="M1036" s="6">
        <v>9.2070000000000007</v>
      </c>
      <c r="N1036" s="6">
        <v>9.2070000000000007</v>
      </c>
      <c r="O1036" s="6">
        <v>9.2070000000000007</v>
      </c>
      <c r="P1036" s="6">
        <v>0</v>
      </c>
      <c r="Q1036" s="4" t="s">
        <v>26</v>
      </c>
      <c r="R1036" s="4">
        <v>0</v>
      </c>
      <c r="S1036" s="4" t="s">
        <v>422</v>
      </c>
      <c r="T1036" s="4" t="s">
        <v>655</v>
      </c>
      <c r="U1036" s="4">
        <v>0</v>
      </c>
      <c r="V1036" s="4">
        <v>60</v>
      </c>
      <c r="W1036" s="4">
        <v>6</v>
      </c>
    </row>
    <row r="1037" spans="1:23" ht="11.25" customHeight="1" x14ac:dyDescent="0.25">
      <c r="A1037" s="4" t="s">
        <v>21</v>
      </c>
      <c r="B1037" s="4" t="s">
        <v>37</v>
      </c>
      <c r="C1037" s="4" t="s">
        <v>33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35</v>
      </c>
      <c r="I1037" s="5">
        <v>44256</v>
      </c>
      <c r="J1037" s="6">
        <v>0</v>
      </c>
      <c r="K1037" s="6">
        <v>0</v>
      </c>
      <c r="L1037" s="6">
        <v>10.5</v>
      </c>
      <c r="M1037" s="6">
        <v>10.5</v>
      </c>
      <c r="N1037" s="6">
        <v>10.5</v>
      </c>
      <c r="O1037" s="6">
        <v>10.5</v>
      </c>
      <c r="P1037" s="6">
        <v>0</v>
      </c>
      <c r="Q1037" s="4" t="s">
        <v>26</v>
      </c>
      <c r="R1037" s="4">
        <v>0</v>
      </c>
      <c r="S1037" s="4" t="s">
        <v>423</v>
      </c>
      <c r="T1037" s="4" t="s">
        <v>656</v>
      </c>
      <c r="U1037" s="4">
        <v>0</v>
      </c>
      <c r="V1037" s="4">
        <v>60</v>
      </c>
      <c r="W1037" s="4">
        <v>6</v>
      </c>
    </row>
    <row r="1038" spans="1:23" ht="11.25" customHeight="1" x14ac:dyDescent="0.25">
      <c r="A1038" s="4" t="s">
        <v>21</v>
      </c>
      <c r="B1038" s="4" t="s">
        <v>37</v>
      </c>
      <c r="C1038" s="4" t="s">
        <v>33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35</v>
      </c>
      <c r="I1038" s="5">
        <v>44287</v>
      </c>
      <c r="J1038" s="6">
        <v>0</v>
      </c>
      <c r="K1038" s="6">
        <v>0</v>
      </c>
      <c r="L1038" s="6">
        <v>9.5090000000000003</v>
      </c>
      <c r="M1038" s="6">
        <v>9.5090000000000003</v>
      </c>
      <c r="N1038" s="6">
        <v>9.5090000000000003</v>
      </c>
      <c r="O1038" s="6">
        <v>9.5090000000000003</v>
      </c>
      <c r="P1038" s="6">
        <v>0</v>
      </c>
      <c r="Q1038" s="4" t="s">
        <v>26</v>
      </c>
      <c r="R1038" s="4">
        <v>0</v>
      </c>
      <c r="S1038" s="4" t="s">
        <v>424</v>
      </c>
      <c r="T1038" s="4" t="s">
        <v>657</v>
      </c>
      <c r="U1038" s="4">
        <v>0</v>
      </c>
      <c r="V1038" s="4">
        <v>60</v>
      </c>
      <c r="W1038" s="4">
        <v>6</v>
      </c>
    </row>
    <row r="1039" spans="1:23" ht="11.25" customHeight="1" x14ac:dyDescent="0.25">
      <c r="A1039" s="4" t="s">
        <v>21</v>
      </c>
      <c r="B1039" s="4" t="s">
        <v>37</v>
      </c>
      <c r="C1039" s="4" t="s">
        <v>33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35</v>
      </c>
      <c r="I1039" s="5">
        <v>44317</v>
      </c>
      <c r="J1039" s="6">
        <v>0</v>
      </c>
      <c r="K1039" s="6">
        <v>0</v>
      </c>
      <c r="L1039" s="6">
        <v>9.2929999999999993</v>
      </c>
      <c r="M1039" s="6">
        <v>9.2929999999999993</v>
      </c>
      <c r="N1039" s="6">
        <v>9.2929999999999993</v>
      </c>
      <c r="O1039" s="6">
        <v>9.2929999999999993</v>
      </c>
      <c r="P1039" s="6">
        <v>0</v>
      </c>
      <c r="Q1039" s="4" t="s">
        <v>26</v>
      </c>
      <c r="R1039" s="4">
        <v>0</v>
      </c>
      <c r="S1039" s="4" t="s">
        <v>425</v>
      </c>
      <c r="T1039" s="4" t="s">
        <v>658</v>
      </c>
      <c r="U1039" s="4">
        <v>0</v>
      </c>
      <c r="V1039" s="4">
        <v>60</v>
      </c>
      <c r="W1039" s="4">
        <v>6</v>
      </c>
    </row>
    <row r="1040" spans="1:23" ht="11.25" customHeight="1" x14ac:dyDescent="0.25">
      <c r="A1040" s="4" t="s">
        <v>21</v>
      </c>
      <c r="B1040" s="4" t="s">
        <v>37</v>
      </c>
      <c r="C1040" s="4" t="s">
        <v>33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35</v>
      </c>
      <c r="I1040" s="5">
        <v>44348</v>
      </c>
      <c r="J1040" s="6">
        <v>0</v>
      </c>
      <c r="K1040" s="6">
        <v>0</v>
      </c>
      <c r="L1040" s="6">
        <v>8.7089999999999996</v>
      </c>
      <c r="M1040" s="6">
        <v>8.7089999999999996</v>
      </c>
      <c r="N1040" s="6">
        <v>8.7089999999999996</v>
      </c>
      <c r="O1040" s="6">
        <v>8.7089999999999996</v>
      </c>
      <c r="P1040" s="6">
        <v>0</v>
      </c>
      <c r="Q1040" s="4" t="s">
        <v>26</v>
      </c>
      <c r="R1040" s="4">
        <v>0</v>
      </c>
      <c r="S1040" s="4" t="s">
        <v>426</v>
      </c>
      <c r="T1040" s="4" t="s">
        <v>659</v>
      </c>
      <c r="U1040" s="4">
        <v>0</v>
      </c>
      <c r="V1040" s="4">
        <v>60</v>
      </c>
      <c r="W1040" s="4">
        <v>6</v>
      </c>
    </row>
    <row r="1041" spans="1:23" ht="11.25" customHeight="1" x14ac:dyDescent="0.25">
      <c r="A1041" s="4" t="s">
        <v>21</v>
      </c>
      <c r="B1041" s="4" t="s">
        <v>37</v>
      </c>
      <c r="C1041" s="4" t="s">
        <v>33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35</v>
      </c>
      <c r="I1041" s="5">
        <v>44378</v>
      </c>
      <c r="J1041" s="6">
        <v>0</v>
      </c>
      <c r="K1041" s="6">
        <v>0</v>
      </c>
      <c r="L1041" s="6">
        <v>9.4540000000000006</v>
      </c>
      <c r="M1041" s="6">
        <v>9.4540000000000006</v>
      </c>
      <c r="N1041" s="6">
        <v>9.4540000000000006</v>
      </c>
      <c r="O1041" s="6">
        <v>9.4540000000000006</v>
      </c>
      <c r="P1041" s="6">
        <v>0</v>
      </c>
      <c r="Q1041" s="4" t="s">
        <v>26</v>
      </c>
      <c r="R1041" s="4">
        <v>0</v>
      </c>
      <c r="S1041" s="4" t="s">
        <v>427</v>
      </c>
      <c r="T1041" s="4" t="s">
        <v>660</v>
      </c>
      <c r="U1041" s="4">
        <v>0</v>
      </c>
      <c r="V1041" s="4">
        <v>60</v>
      </c>
      <c r="W1041" s="4">
        <v>6</v>
      </c>
    </row>
    <row r="1042" spans="1:23" ht="11.25" customHeight="1" x14ac:dyDescent="0.25">
      <c r="A1042" s="4" t="s">
        <v>21</v>
      </c>
      <c r="B1042" s="4" t="s">
        <v>37</v>
      </c>
      <c r="C1042" s="4" t="s">
        <v>33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35</v>
      </c>
      <c r="I1042" s="5">
        <v>44409</v>
      </c>
      <c r="J1042" s="6">
        <v>0</v>
      </c>
      <c r="K1042" s="6">
        <v>0</v>
      </c>
      <c r="L1042" s="6">
        <v>9.2829999999999995</v>
      </c>
      <c r="M1042" s="6">
        <v>9.2829999999999995</v>
      </c>
      <c r="N1042" s="6">
        <v>9.2829999999999995</v>
      </c>
      <c r="O1042" s="6">
        <v>9.2829999999999995</v>
      </c>
      <c r="P1042" s="6">
        <v>0</v>
      </c>
      <c r="Q1042" s="4" t="s">
        <v>26</v>
      </c>
      <c r="R1042" s="4">
        <v>0</v>
      </c>
      <c r="S1042" s="4" t="s">
        <v>428</v>
      </c>
      <c r="T1042" s="4" t="s">
        <v>661</v>
      </c>
      <c r="U1042" s="4">
        <v>0</v>
      </c>
      <c r="V1042" s="4">
        <v>60</v>
      </c>
      <c r="W1042" s="4">
        <v>6</v>
      </c>
    </row>
    <row r="1043" spans="1:23" ht="11.25" customHeight="1" x14ac:dyDescent="0.25">
      <c r="A1043" s="4" t="s">
        <v>21</v>
      </c>
      <c r="B1043" s="4" t="s">
        <v>37</v>
      </c>
      <c r="C1043" s="4" t="s">
        <v>33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35</v>
      </c>
      <c r="I1043" s="5">
        <v>44440</v>
      </c>
      <c r="J1043" s="6">
        <v>0</v>
      </c>
      <c r="K1043" s="6">
        <v>0</v>
      </c>
      <c r="L1043" s="6">
        <v>10.529</v>
      </c>
      <c r="M1043" s="6">
        <v>10.529</v>
      </c>
      <c r="N1043" s="6">
        <v>10.529</v>
      </c>
      <c r="O1043" s="6">
        <v>10.529</v>
      </c>
      <c r="P1043" s="6">
        <v>0</v>
      </c>
      <c r="Q1043" s="4" t="s">
        <v>26</v>
      </c>
      <c r="R1043" s="4">
        <v>0</v>
      </c>
      <c r="S1043" s="4" t="s">
        <v>429</v>
      </c>
      <c r="T1043" s="4" t="s">
        <v>662</v>
      </c>
      <c r="U1043" s="4">
        <v>0</v>
      </c>
      <c r="V1043" s="4">
        <v>60</v>
      </c>
      <c r="W1043" s="4">
        <v>6</v>
      </c>
    </row>
    <row r="1044" spans="1:23" ht="11.25" customHeight="1" x14ac:dyDescent="0.25">
      <c r="A1044" s="4" t="s">
        <v>21</v>
      </c>
      <c r="B1044" s="4" t="s">
        <v>37</v>
      </c>
      <c r="C1044" s="4" t="s">
        <v>33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35</v>
      </c>
      <c r="I1044" s="5">
        <v>44470</v>
      </c>
      <c r="J1044" s="6">
        <v>0</v>
      </c>
      <c r="K1044" s="6">
        <v>0</v>
      </c>
      <c r="L1044" s="6">
        <v>12.81</v>
      </c>
      <c r="M1044" s="6">
        <v>12.81</v>
      </c>
      <c r="N1044" s="6">
        <v>12.81</v>
      </c>
      <c r="O1044" s="6">
        <v>12.81</v>
      </c>
      <c r="P1044" s="6">
        <v>0</v>
      </c>
      <c r="Q1044" s="4" t="s">
        <v>26</v>
      </c>
      <c r="R1044" s="4">
        <v>0</v>
      </c>
      <c r="S1044" s="4" t="s">
        <v>430</v>
      </c>
      <c r="T1044" s="4" t="s">
        <v>663</v>
      </c>
      <c r="U1044" s="4">
        <v>0</v>
      </c>
      <c r="V1044" s="4">
        <v>60</v>
      </c>
      <c r="W1044" s="4">
        <v>6</v>
      </c>
    </row>
    <row r="1045" spans="1:23" ht="11.25" customHeight="1" x14ac:dyDescent="0.25">
      <c r="A1045" s="4" t="s">
        <v>27</v>
      </c>
      <c r="B1045" s="4" t="s">
        <v>37</v>
      </c>
      <c r="C1045" s="4" t="s">
        <v>33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35</v>
      </c>
      <c r="I1045" s="5">
        <v>44470</v>
      </c>
      <c r="J1045" s="6">
        <v>0</v>
      </c>
      <c r="K1045" s="6">
        <v>0</v>
      </c>
      <c r="L1045" s="6">
        <v>0.182</v>
      </c>
      <c r="M1045" s="6">
        <v>0.182</v>
      </c>
      <c r="N1045" s="6">
        <v>0.182</v>
      </c>
      <c r="O1045" s="6">
        <v>0.182</v>
      </c>
      <c r="P1045" s="6">
        <v>0</v>
      </c>
      <c r="Q1045" s="4" t="s">
        <v>26</v>
      </c>
      <c r="R1045" s="4">
        <v>0</v>
      </c>
      <c r="S1045" s="4" t="s">
        <v>430</v>
      </c>
      <c r="T1045" s="4" t="s">
        <v>663</v>
      </c>
      <c r="U1045" s="4">
        <v>0</v>
      </c>
      <c r="V1045" s="4">
        <v>60</v>
      </c>
      <c r="W1045" s="4">
        <v>6</v>
      </c>
    </row>
    <row r="1046" spans="1:23" ht="11.25" customHeight="1" x14ac:dyDescent="0.25">
      <c r="A1046" s="4" t="s">
        <v>21</v>
      </c>
      <c r="B1046" s="4" t="s">
        <v>37</v>
      </c>
      <c r="C1046" s="4" t="s">
        <v>33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35</v>
      </c>
      <c r="I1046" s="5">
        <v>44501</v>
      </c>
      <c r="J1046" s="6">
        <v>0</v>
      </c>
      <c r="K1046" s="6">
        <v>0</v>
      </c>
      <c r="L1046" s="6">
        <v>14.208</v>
      </c>
      <c r="M1046" s="6">
        <v>14.208</v>
      </c>
      <c r="N1046" s="6">
        <v>14.208</v>
      </c>
      <c r="O1046" s="6">
        <v>14.208</v>
      </c>
      <c r="P1046" s="6">
        <v>0</v>
      </c>
      <c r="Q1046" s="4" t="s">
        <v>26</v>
      </c>
      <c r="R1046" s="4">
        <v>0</v>
      </c>
      <c r="S1046" s="4" t="s">
        <v>431</v>
      </c>
      <c r="T1046" s="4" t="s">
        <v>664</v>
      </c>
      <c r="U1046" s="4">
        <v>0</v>
      </c>
      <c r="V1046" s="4">
        <v>60</v>
      </c>
      <c r="W1046" s="4">
        <v>6</v>
      </c>
    </row>
    <row r="1047" spans="1:23" ht="11.25" customHeight="1" x14ac:dyDescent="0.25">
      <c r="A1047" s="4" t="s">
        <v>21</v>
      </c>
      <c r="B1047" s="4" t="s">
        <v>37</v>
      </c>
      <c r="C1047" s="4" t="s">
        <v>33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35</v>
      </c>
      <c r="I1047" s="5">
        <v>44531</v>
      </c>
      <c r="J1047" s="6">
        <v>0</v>
      </c>
      <c r="K1047" s="6">
        <v>0</v>
      </c>
      <c r="L1047" s="6">
        <v>14.315</v>
      </c>
      <c r="M1047" s="6">
        <v>14.315</v>
      </c>
      <c r="N1047" s="6">
        <v>14.315</v>
      </c>
      <c r="O1047" s="6">
        <v>14.315</v>
      </c>
      <c r="P1047" s="6">
        <v>0</v>
      </c>
      <c r="Q1047" s="4" t="s">
        <v>26</v>
      </c>
      <c r="R1047" s="4">
        <v>0</v>
      </c>
      <c r="S1047" s="4" t="s">
        <v>432</v>
      </c>
      <c r="T1047" s="4" t="s">
        <v>665</v>
      </c>
      <c r="U1047" s="4">
        <v>0</v>
      </c>
      <c r="V1047" s="4">
        <v>60</v>
      </c>
      <c r="W1047" s="4">
        <v>6</v>
      </c>
    </row>
    <row r="1048" spans="1:23" ht="11.25" customHeight="1" x14ac:dyDescent="0.25">
      <c r="A1048" s="4" t="s">
        <v>28</v>
      </c>
      <c r="B1048" s="4" t="s">
        <v>37</v>
      </c>
      <c r="C1048" s="4" t="s">
        <v>33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35</v>
      </c>
      <c r="I1048" s="5">
        <v>44531</v>
      </c>
      <c r="J1048" s="6">
        <v>0</v>
      </c>
      <c r="K1048" s="6">
        <v>0</v>
      </c>
      <c r="L1048" s="6">
        <v>0.71099999999999997</v>
      </c>
      <c r="M1048" s="6">
        <v>0.71099999999999997</v>
      </c>
      <c r="N1048" s="6">
        <v>0.71099999999999997</v>
      </c>
      <c r="O1048" s="6">
        <v>0.71099999999999997</v>
      </c>
      <c r="P1048" s="6">
        <v>0</v>
      </c>
      <c r="Q1048" s="4" t="s">
        <v>26</v>
      </c>
      <c r="R1048" s="4">
        <v>0</v>
      </c>
      <c r="S1048" s="4" t="s">
        <v>432</v>
      </c>
      <c r="T1048" s="4" t="s">
        <v>665</v>
      </c>
      <c r="U1048" s="4">
        <v>0</v>
      </c>
      <c r="V1048" s="4">
        <v>60</v>
      </c>
      <c r="W1048" s="4">
        <v>6</v>
      </c>
    </row>
    <row r="1049" spans="1:23" ht="11.25" customHeight="1" x14ac:dyDescent="0.25">
      <c r="A1049" s="4" t="s">
        <v>55</v>
      </c>
      <c r="B1049" s="4" t="s">
        <v>37</v>
      </c>
      <c r="C1049" s="4" t="s">
        <v>33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35</v>
      </c>
      <c r="I1049" s="5">
        <v>44562</v>
      </c>
      <c r="J1049" s="6">
        <v>0</v>
      </c>
      <c r="K1049" s="6">
        <v>0</v>
      </c>
      <c r="L1049" s="6">
        <v>14.315</v>
      </c>
      <c r="M1049" s="6">
        <v>14.315</v>
      </c>
      <c r="N1049" s="6">
        <v>14.315</v>
      </c>
      <c r="O1049" s="6">
        <v>14.315</v>
      </c>
      <c r="P1049" s="6">
        <v>0</v>
      </c>
      <c r="Q1049" s="4" t="s">
        <v>26</v>
      </c>
      <c r="R1049" s="4">
        <v>0</v>
      </c>
      <c r="S1049" s="4" t="s">
        <v>433</v>
      </c>
      <c r="T1049" s="4" t="s">
        <v>666</v>
      </c>
      <c r="U1049" s="4">
        <v>0</v>
      </c>
      <c r="V1049" s="4">
        <v>60</v>
      </c>
      <c r="W1049" s="4">
        <v>6</v>
      </c>
    </row>
    <row r="1050" spans="1:23" ht="11.25" customHeight="1" x14ac:dyDescent="0.25">
      <c r="A1050" s="4" t="s">
        <v>55</v>
      </c>
      <c r="B1050" s="4" t="s">
        <v>37</v>
      </c>
      <c r="C1050" s="4" t="s">
        <v>33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35</v>
      </c>
      <c r="I1050" s="5">
        <v>44562</v>
      </c>
      <c r="J1050" s="6">
        <v>0</v>
      </c>
      <c r="K1050" s="6">
        <v>0</v>
      </c>
      <c r="L1050" s="6">
        <v>0.71099999999999997</v>
      </c>
      <c r="M1050" s="6">
        <v>0.71099999999999997</v>
      </c>
      <c r="N1050" s="6">
        <v>0.71099999999999997</v>
      </c>
      <c r="O1050" s="6">
        <v>0.71099999999999997</v>
      </c>
      <c r="P1050" s="6">
        <v>0</v>
      </c>
      <c r="Q1050" s="4" t="s">
        <v>26</v>
      </c>
      <c r="R1050" s="4">
        <v>0</v>
      </c>
      <c r="S1050" s="4" t="s">
        <v>433</v>
      </c>
      <c r="T1050" s="4" t="s">
        <v>666</v>
      </c>
      <c r="U1050" s="4">
        <v>0</v>
      </c>
      <c r="V1050" s="4">
        <v>60</v>
      </c>
      <c r="W1050" s="4">
        <v>6</v>
      </c>
    </row>
    <row r="1051" spans="1:23" ht="11.25" customHeight="1" x14ac:dyDescent="0.25">
      <c r="A1051" s="4" t="s">
        <v>21</v>
      </c>
      <c r="B1051" s="4" t="s">
        <v>37</v>
      </c>
      <c r="C1051" s="4" t="s">
        <v>33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36</v>
      </c>
      <c r="I1051" s="5">
        <v>44228</v>
      </c>
      <c r="J1051" s="6">
        <v>0</v>
      </c>
      <c r="K1051" s="6">
        <v>0</v>
      </c>
      <c r="L1051" s="6">
        <v>0.60499999999999998</v>
      </c>
      <c r="M1051" s="6">
        <v>0.60499999999999998</v>
      </c>
      <c r="N1051" s="6">
        <v>0.60499999999999998</v>
      </c>
      <c r="O1051" s="6">
        <v>0.60499999999999998</v>
      </c>
      <c r="P1051" s="6">
        <v>0</v>
      </c>
      <c r="Q1051" s="4" t="s">
        <v>26</v>
      </c>
      <c r="R1051" s="4">
        <v>0</v>
      </c>
      <c r="S1051" s="4" t="s">
        <v>434</v>
      </c>
      <c r="T1051" s="4" t="s">
        <v>667</v>
      </c>
      <c r="U1051" s="4">
        <v>0</v>
      </c>
      <c r="V1051" s="4">
        <v>59</v>
      </c>
      <c r="W1051" s="4">
        <v>5</v>
      </c>
    </row>
    <row r="1052" spans="1:23" ht="11.25" customHeight="1" x14ac:dyDescent="0.25">
      <c r="A1052" s="4" t="s">
        <v>21</v>
      </c>
      <c r="B1052" s="4" t="s">
        <v>37</v>
      </c>
      <c r="C1052" s="4" t="s">
        <v>33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36</v>
      </c>
      <c r="I1052" s="5">
        <v>44256</v>
      </c>
      <c r="J1052" s="6">
        <v>0</v>
      </c>
      <c r="K1052" s="6">
        <v>0</v>
      </c>
      <c r="L1052" s="6">
        <v>0.69</v>
      </c>
      <c r="M1052" s="6">
        <v>0.69</v>
      </c>
      <c r="N1052" s="6">
        <v>0.69</v>
      </c>
      <c r="O1052" s="6">
        <v>0.69</v>
      </c>
      <c r="P1052" s="6">
        <v>0</v>
      </c>
      <c r="Q1052" s="4" t="s">
        <v>26</v>
      </c>
      <c r="R1052" s="4">
        <v>0</v>
      </c>
      <c r="S1052" s="4" t="s">
        <v>435</v>
      </c>
      <c r="T1052" s="4" t="s">
        <v>668</v>
      </c>
      <c r="U1052" s="4">
        <v>0</v>
      </c>
      <c r="V1052" s="4">
        <v>59</v>
      </c>
      <c r="W1052" s="4">
        <v>5</v>
      </c>
    </row>
    <row r="1053" spans="1:23" ht="11.25" customHeight="1" x14ac:dyDescent="0.25">
      <c r="A1053" s="4" t="s">
        <v>21</v>
      </c>
      <c r="B1053" s="4" t="s">
        <v>37</v>
      </c>
      <c r="C1053" s="4" t="s">
        <v>33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36</v>
      </c>
      <c r="I1053" s="5">
        <v>44287</v>
      </c>
      <c r="J1053" s="6">
        <v>0</v>
      </c>
      <c r="K1053" s="6">
        <v>0</v>
      </c>
      <c r="L1053" s="6">
        <v>0.53100000000000003</v>
      </c>
      <c r="M1053" s="6">
        <v>0.53100000000000003</v>
      </c>
      <c r="N1053" s="6">
        <v>0.53100000000000003</v>
      </c>
      <c r="O1053" s="6">
        <v>0.53100000000000003</v>
      </c>
      <c r="P1053" s="6">
        <v>0</v>
      </c>
      <c r="Q1053" s="4" t="s">
        <v>26</v>
      </c>
      <c r="R1053" s="4">
        <v>0</v>
      </c>
      <c r="S1053" s="4" t="s">
        <v>436</v>
      </c>
      <c r="T1053" s="4" t="s">
        <v>669</v>
      </c>
      <c r="U1053" s="4">
        <v>0</v>
      </c>
      <c r="V1053" s="4">
        <v>59</v>
      </c>
      <c r="W1053" s="4">
        <v>5</v>
      </c>
    </row>
    <row r="1054" spans="1:23" ht="11.25" customHeight="1" x14ac:dyDescent="0.25">
      <c r="A1054" s="4" t="s">
        <v>21</v>
      </c>
      <c r="B1054" s="4" t="s">
        <v>37</v>
      </c>
      <c r="C1054" s="4" t="s">
        <v>33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36</v>
      </c>
      <c r="I1054" s="5">
        <v>44317</v>
      </c>
      <c r="J1054" s="6">
        <v>0</v>
      </c>
      <c r="K1054" s="6">
        <v>0</v>
      </c>
      <c r="L1054" s="6">
        <v>0.56999999999999995</v>
      </c>
      <c r="M1054" s="6">
        <v>0.56999999999999995</v>
      </c>
      <c r="N1054" s="6">
        <v>0.56999999999999995</v>
      </c>
      <c r="O1054" s="6">
        <v>0.56999999999999995</v>
      </c>
      <c r="P1054" s="6">
        <v>0</v>
      </c>
      <c r="Q1054" s="4" t="s">
        <v>26</v>
      </c>
      <c r="R1054" s="4">
        <v>0</v>
      </c>
      <c r="S1054" s="4" t="s">
        <v>437</v>
      </c>
      <c r="T1054" s="4" t="s">
        <v>670</v>
      </c>
      <c r="U1054" s="4">
        <v>0</v>
      </c>
      <c r="V1054" s="4">
        <v>59</v>
      </c>
      <c r="W1054" s="4">
        <v>5</v>
      </c>
    </row>
    <row r="1055" spans="1:23" ht="11.25" customHeight="1" x14ac:dyDescent="0.25">
      <c r="A1055" s="4" t="s">
        <v>21</v>
      </c>
      <c r="B1055" s="4" t="s">
        <v>37</v>
      </c>
      <c r="C1055" s="4" t="s">
        <v>33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36</v>
      </c>
      <c r="I1055" s="5">
        <v>44348</v>
      </c>
      <c r="J1055" s="6">
        <v>0</v>
      </c>
      <c r="K1055" s="6">
        <v>0</v>
      </c>
      <c r="L1055" s="6">
        <v>0.52600000000000002</v>
      </c>
      <c r="M1055" s="6">
        <v>0.52600000000000002</v>
      </c>
      <c r="N1055" s="6">
        <v>0.52600000000000002</v>
      </c>
      <c r="O1055" s="6">
        <v>0.52600000000000002</v>
      </c>
      <c r="P1055" s="6">
        <v>0</v>
      </c>
      <c r="Q1055" s="4" t="s">
        <v>26</v>
      </c>
      <c r="R1055" s="4">
        <v>0</v>
      </c>
      <c r="S1055" s="4" t="s">
        <v>438</v>
      </c>
      <c r="T1055" s="4" t="s">
        <v>671</v>
      </c>
      <c r="U1055" s="4">
        <v>0</v>
      </c>
      <c r="V1055" s="4">
        <v>59</v>
      </c>
      <c r="W1055" s="4">
        <v>5</v>
      </c>
    </row>
    <row r="1056" spans="1:23" ht="11.25" customHeight="1" x14ac:dyDescent="0.25">
      <c r="A1056" s="4" t="s">
        <v>21</v>
      </c>
      <c r="B1056" s="4" t="s">
        <v>37</v>
      </c>
      <c r="C1056" s="4" t="s">
        <v>33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36</v>
      </c>
      <c r="I1056" s="5">
        <v>44378</v>
      </c>
      <c r="J1056" s="6">
        <v>0</v>
      </c>
      <c r="K1056" s="6">
        <v>0</v>
      </c>
      <c r="L1056" s="6">
        <v>0.60599999999999998</v>
      </c>
      <c r="M1056" s="6">
        <v>0.60599999999999998</v>
      </c>
      <c r="N1056" s="6">
        <v>0.60599999999999998</v>
      </c>
      <c r="O1056" s="6">
        <v>0.60599999999999998</v>
      </c>
      <c r="P1056" s="6">
        <v>0</v>
      </c>
      <c r="Q1056" s="4" t="s">
        <v>26</v>
      </c>
      <c r="R1056" s="4">
        <v>0</v>
      </c>
      <c r="S1056" s="4" t="s">
        <v>439</v>
      </c>
      <c r="T1056" s="4" t="s">
        <v>672</v>
      </c>
      <c r="U1056" s="4">
        <v>0</v>
      </c>
      <c r="V1056" s="4">
        <v>59</v>
      </c>
      <c r="W1056" s="4">
        <v>5</v>
      </c>
    </row>
    <row r="1057" spans="1:23" ht="11.25" customHeight="1" x14ac:dyDescent="0.25">
      <c r="A1057" s="4" t="s">
        <v>21</v>
      </c>
      <c r="B1057" s="4" t="s">
        <v>37</v>
      </c>
      <c r="C1057" s="4" t="s">
        <v>33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36</v>
      </c>
      <c r="I1057" s="5">
        <v>44409</v>
      </c>
      <c r="J1057" s="6">
        <v>0</v>
      </c>
      <c r="K1057" s="6">
        <v>0</v>
      </c>
      <c r="L1057" s="6">
        <v>0.59599999999999997</v>
      </c>
      <c r="M1057" s="6">
        <v>0.59599999999999997</v>
      </c>
      <c r="N1057" s="6">
        <v>0.59599999999999997</v>
      </c>
      <c r="O1057" s="6">
        <v>0.59599999999999997</v>
      </c>
      <c r="P1057" s="6">
        <v>0</v>
      </c>
      <c r="Q1057" s="4" t="s">
        <v>26</v>
      </c>
      <c r="R1057" s="4">
        <v>0</v>
      </c>
      <c r="S1057" s="4" t="s">
        <v>440</v>
      </c>
      <c r="T1057" s="4" t="s">
        <v>673</v>
      </c>
      <c r="U1057" s="4">
        <v>0</v>
      </c>
      <c r="V1057" s="4">
        <v>59</v>
      </c>
      <c r="W1057" s="4">
        <v>5</v>
      </c>
    </row>
    <row r="1058" spans="1:23" ht="11.25" customHeight="1" x14ac:dyDescent="0.25">
      <c r="A1058" s="4" t="s">
        <v>21</v>
      </c>
      <c r="B1058" s="4" t="s">
        <v>37</v>
      </c>
      <c r="C1058" s="4" t="s">
        <v>33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36</v>
      </c>
      <c r="I1058" s="5">
        <v>44440</v>
      </c>
      <c r="J1058" s="6">
        <v>0</v>
      </c>
      <c r="K1058" s="6">
        <v>0</v>
      </c>
      <c r="L1058" s="6">
        <v>0.60299999999999998</v>
      </c>
      <c r="M1058" s="6">
        <v>0.60299999999999998</v>
      </c>
      <c r="N1058" s="6">
        <v>0.60299999999999998</v>
      </c>
      <c r="O1058" s="6">
        <v>0.60299999999999998</v>
      </c>
      <c r="P1058" s="6">
        <v>0</v>
      </c>
      <c r="Q1058" s="4" t="s">
        <v>26</v>
      </c>
      <c r="R1058" s="4">
        <v>0</v>
      </c>
      <c r="S1058" s="4" t="s">
        <v>441</v>
      </c>
      <c r="T1058" s="4" t="s">
        <v>674</v>
      </c>
      <c r="U1058" s="4">
        <v>0</v>
      </c>
      <c r="V1058" s="4">
        <v>59</v>
      </c>
      <c r="W1058" s="4">
        <v>5</v>
      </c>
    </row>
    <row r="1059" spans="1:23" ht="11.25" customHeight="1" x14ac:dyDescent="0.25">
      <c r="A1059" s="4" t="s">
        <v>21</v>
      </c>
      <c r="B1059" s="4" t="s">
        <v>37</v>
      </c>
      <c r="C1059" s="4" t="s">
        <v>33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36</v>
      </c>
      <c r="I1059" s="5">
        <v>44470</v>
      </c>
      <c r="J1059" s="6">
        <v>0</v>
      </c>
      <c r="K1059" s="6">
        <v>0</v>
      </c>
      <c r="L1059" s="6">
        <v>0.73599999999999999</v>
      </c>
      <c r="M1059" s="6">
        <v>0.73599999999999999</v>
      </c>
      <c r="N1059" s="6">
        <v>0.73599999999999999</v>
      </c>
      <c r="O1059" s="6">
        <v>0.73599999999999999</v>
      </c>
      <c r="P1059" s="6">
        <v>0</v>
      </c>
      <c r="Q1059" s="4" t="s">
        <v>26</v>
      </c>
      <c r="R1059" s="4">
        <v>0</v>
      </c>
      <c r="S1059" s="4" t="s">
        <v>442</v>
      </c>
      <c r="T1059" s="4" t="s">
        <v>675</v>
      </c>
      <c r="U1059" s="4">
        <v>0</v>
      </c>
      <c r="V1059" s="4">
        <v>59</v>
      </c>
      <c r="W1059" s="4">
        <v>5</v>
      </c>
    </row>
    <row r="1060" spans="1:23" ht="11.25" customHeight="1" x14ac:dyDescent="0.25">
      <c r="A1060" s="4" t="s">
        <v>27</v>
      </c>
      <c r="B1060" s="4" t="s">
        <v>37</v>
      </c>
      <c r="C1060" s="4" t="s">
        <v>33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36</v>
      </c>
      <c r="I1060" s="5">
        <v>44470</v>
      </c>
      <c r="J1060" s="6">
        <v>0</v>
      </c>
      <c r="K1060" s="6">
        <v>0</v>
      </c>
      <c r="L1060" s="6">
        <v>7.0000000000000001E-3</v>
      </c>
      <c r="M1060" s="6">
        <v>7.0000000000000001E-3</v>
      </c>
      <c r="N1060" s="6">
        <v>7.0000000000000001E-3</v>
      </c>
      <c r="O1060" s="6">
        <v>7.0000000000000001E-3</v>
      </c>
      <c r="P1060" s="6">
        <v>0</v>
      </c>
      <c r="Q1060" s="4" t="s">
        <v>26</v>
      </c>
      <c r="R1060" s="4">
        <v>0</v>
      </c>
      <c r="S1060" s="4" t="s">
        <v>442</v>
      </c>
      <c r="T1060" s="4" t="s">
        <v>675</v>
      </c>
      <c r="U1060" s="4">
        <v>0</v>
      </c>
      <c r="V1060" s="4">
        <v>59</v>
      </c>
      <c r="W1060" s="4">
        <v>5</v>
      </c>
    </row>
    <row r="1061" spans="1:23" ht="11.25" customHeight="1" x14ac:dyDescent="0.25">
      <c r="A1061" s="4" t="s">
        <v>21</v>
      </c>
      <c r="B1061" s="4" t="s">
        <v>37</v>
      </c>
      <c r="C1061" s="4" t="s">
        <v>33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36</v>
      </c>
      <c r="I1061" s="5">
        <v>44501</v>
      </c>
      <c r="J1061" s="6">
        <v>0</v>
      </c>
      <c r="K1061" s="6">
        <v>0</v>
      </c>
      <c r="L1061" s="6">
        <v>0.79500000000000004</v>
      </c>
      <c r="M1061" s="6">
        <v>0.79500000000000004</v>
      </c>
      <c r="N1061" s="6">
        <v>0.79500000000000004</v>
      </c>
      <c r="O1061" s="6">
        <v>0.79500000000000004</v>
      </c>
      <c r="P1061" s="6">
        <v>0</v>
      </c>
      <c r="Q1061" s="4" t="s">
        <v>26</v>
      </c>
      <c r="R1061" s="4">
        <v>0</v>
      </c>
      <c r="S1061" s="4" t="s">
        <v>443</v>
      </c>
      <c r="T1061" s="4" t="s">
        <v>676</v>
      </c>
      <c r="U1061" s="4">
        <v>0</v>
      </c>
      <c r="V1061" s="4">
        <v>59</v>
      </c>
      <c r="W1061" s="4">
        <v>5</v>
      </c>
    </row>
    <row r="1062" spans="1:23" ht="11.25" customHeight="1" x14ac:dyDescent="0.25">
      <c r="A1062" s="4" t="s">
        <v>21</v>
      </c>
      <c r="B1062" s="4" t="s">
        <v>37</v>
      </c>
      <c r="C1062" s="4" t="s">
        <v>33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36</v>
      </c>
      <c r="I1062" s="5">
        <v>44531</v>
      </c>
      <c r="J1062" s="6">
        <v>0</v>
      </c>
      <c r="K1062" s="6">
        <v>0</v>
      </c>
      <c r="L1062" s="6">
        <v>0.85599999999999998</v>
      </c>
      <c r="M1062" s="6">
        <v>0.85599999999999998</v>
      </c>
      <c r="N1062" s="6">
        <v>0.85599999999999998</v>
      </c>
      <c r="O1062" s="6">
        <v>0.85599999999999998</v>
      </c>
      <c r="P1062" s="6">
        <v>0</v>
      </c>
      <c r="Q1062" s="4" t="s">
        <v>26</v>
      </c>
      <c r="R1062" s="4">
        <v>0</v>
      </c>
      <c r="S1062" s="4" t="s">
        <v>444</v>
      </c>
      <c r="T1062" s="4" t="s">
        <v>677</v>
      </c>
      <c r="U1062" s="4">
        <v>0</v>
      </c>
      <c r="V1062" s="4">
        <v>59</v>
      </c>
      <c r="W1062" s="4">
        <v>5</v>
      </c>
    </row>
    <row r="1063" spans="1:23" ht="11.25" customHeight="1" x14ac:dyDescent="0.25">
      <c r="A1063" s="4" t="s">
        <v>28</v>
      </c>
      <c r="B1063" s="4" t="s">
        <v>37</v>
      </c>
      <c r="C1063" s="4" t="s">
        <v>33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36</v>
      </c>
      <c r="I1063" s="5">
        <v>44531</v>
      </c>
      <c r="J1063" s="6">
        <v>0</v>
      </c>
      <c r="K1063" s="6">
        <v>0</v>
      </c>
      <c r="L1063" s="6">
        <v>2.9000000000000001E-2</v>
      </c>
      <c r="M1063" s="6">
        <v>2.9000000000000001E-2</v>
      </c>
      <c r="N1063" s="6">
        <v>2.9000000000000001E-2</v>
      </c>
      <c r="O1063" s="6">
        <v>2.9000000000000001E-2</v>
      </c>
      <c r="P1063" s="6">
        <v>0</v>
      </c>
      <c r="Q1063" s="4" t="s">
        <v>26</v>
      </c>
      <c r="R1063" s="4">
        <v>0</v>
      </c>
      <c r="S1063" s="4" t="s">
        <v>444</v>
      </c>
      <c r="T1063" s="4" t="s">
        <v>677</v>
      </c>
      <c r="U1063" s="4">
        <v>0</v>
      </c>
      <c r="V1063" s="4">
        <v>59</v>
      </c>
      <c r="W1063" s="4">
        <v>5</v>
      </c>
    </row>
    <row r="1064" spans="1:23" ht="11.25" customHeight="1" x14ac:dyDescent="0.25">
      <c r="A1064" s="4" t="s">
        <v>55</v>
      </c>
      <c r="B1064" s="4" t="s">
        <v>37</v>
      </c>
      <c r="C1064" s="4" t="s">
        <v>33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36</v>
      </c>
      <c r="I1064" s="5">
        <v>44562</v>
      </c>
      <c r="J1064" s="6">
        <v>0</v>
      </c>
      <c r="K1064" s="6">
        <v>0</v>
      </c>
      <c r="L1064" s="6">
        <v>0.85599999999999998</v>
      </c>
      <c r="M1064" s="6">
        <v>0.85599999999999998</v>
      </c>
      <c r="N1064" s="6">
        <v>0.85599999999999998</v>
      </c>
      <c r="O1064" s="6">
        <v>0.85599999999999998</v>
      </c>
      <c r="P1064" s="6">
        <v>0</v>
      </c>
      <c r="Q1064" s="4" t="s">
        <v>26</v>
      </c>
      <c r="R1064" s="4">
        <v>0</v>
      </c>
      <c r="S1064" s="4" t="s">
        <v>445</v>
      </c>
      <c r="T1064" s="4" t="s">
        <v>678</v>
      </c>
      <c r="U1064" s="4">
        <v>0</v>
      </c>
      <c r="V1064" s="4">
        <v>59</v>
      </c>
      <c r="W1064" s="4">
        <v>5</v>
      </c>
    </row>
    <row r="1065" spans="1:23" ht="11.25" customHeight="1" x14ac:dyDescent="0.25">
      <c r="A1065" s="4" t="s">
        <v>55</v>
      </c>
      <c r="B1065" s="4" t="s">
        <v>37</v>
      </c>
      <c r="C1065" s="4" t="s">
        <v>33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36</v>
      </c>
      <c r="I1065" s="5">
        <v>44562</v>
      </c>
      <c r="J1065" s="6">
        <v>0</v>
      </c>
      <c r="K1065" s="6">
        <v>0</v>
      </c>
      <c r="L1065" s="6">
        <v>2.9000000000000001E-2</v>
      </c>
      <c r="M1065" s="6">
        <v>2.9000000000000001E-2</v>
      </c>
      <c r="N1065" s="6">
        <v>2.9000000000000001E-2</v>
      </c>
      <c r="O1065" s="6">
        <v>2.9000000000000001E-2</v>
      </c>
      <c r="P1065" s="6">
        <v>0</v>
      </c>
      <c r="Q1065" s="4" t="s">
        <v>26</v>
      </c>
      <c r="R1065" s="4">
        <v>0</v>
      </c>
      <c r="S1065" s="4" t="s">
        <v>445</v>
      </c>
      <c r="T1065" s="4" t="s">
        <v>678</v>
      </c>
      <c r="U1065" s="4">
        <v>0</v>
      </c>
      <c r="V1065" s="4">
        <v>59</v>
      </c>
      <c r="W1065" s="4">
        <v>5</v>
      </c>
    </row>
    <row r="1066" spans="1:23" ht="11.25" customHeight="1" x14ac:dyDescent="0.25">
      <c r="A1066" s="4" t="s">
        <v>21</v>
      </c>
      <c r="B1066" s="4" t="s">
        <v>37</v>
      </c>
      <c r="C1066" s="4" t="s">
        <v>33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34</v>
      </c>
      <c r="I1066" s="5">
        <v>44228</v>
      </c>
      <c r="J1066" s="6">
        <v>0</v>
      </c>
      <c r="K1066" s="6">
        <v>0</v>
      </c>
      <c r="L1066" s="6">
        <v>0.55600000000000005</v>
      </c>
      <c r="M1066" s="6">
        <v>0.55600000000000005</v>
      </c>
      <c r="N1066" s="6">
        <v>0.55600000000000005</v>
      </c>
      <c r="O1066" s="6">
        <v>0.55600000000000005</v>
      </c>
      <c r="P1066" s="6">
        <v>0</v>
      </c>
      <c r="Q1066" s="4" t="s">
        <v>26</v>
      </c>
      <c r="R1066" s="4">
        <v>0</v>
      </c>
      <c r="S1066" s="4" t="s">
        <v>446</v>
      </c>
      <c r="T1066" s="4" t="s">
        <v>679</v>
      </c>
      <c r="U1066" s="4">
        <v>0</v>
      </c>
      <c r="V1066" s="4">
        <v>58</v>
      </c>
      <c r="W1066" s="4">
        <v>84</v>
      </c>
    </row>
    <row r="1067" spans="1:23" ht="11.25" customHeight="1" x14ac:dyDescent="0.25">
      <c r="A1067" s="4" t="s">
        <v>21</v>
      </c>
      <c r="B1067" s="4" t="s">
        <v>37</v>
      </c>
      <c r="C1067" s="4" t="s">
        <v>33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34</v>
      </c>
      <c r="I1067" s="5">
        <v>44256</v>
      </c>
      <c r="J1067" s="6">
        <v>0</v>
      </c>
      <c r="K1067" s="6">
        <v>0</v>
      </c>
      <c r="L1067" s="6">
        <v>0.66</v>
      </c>
      <c r="M1067" s="6">
        <v>0.66</v>
      </c>
      <c r="N1067" s="6">
        <v>0.66</v>
      </c>
      <c r="O1067" s="6">
        <v>0.66</v>
      </c>
      <c r="P1067" s="6">
        <v>0</v>
      </c>
      <c r="Q1067" s="4" t="s">
        <v>26</v>
      </c>
      <c r="R1067" s="4">
        <v>0</v>
      </c>
      <c r="S1067" s="4" t="s">
        <v>447</v>
      </c>
      <c r="T1067" s="4" t="s">
        <v>680</v>
      </c>
      <c r="U1067" s="4">
        <v>0</v>
      </c>
      <c r="V1067" s="4">
        <v>58</v>
      </c>
      <c r="W1067" s="4">
        <v>84</v>
      </c>
    </row>
    <row r="1068" spans="1:23" ht="11.25" customHeight="1" x14ac:dyDescent="0.25">
      <c r="A1068" s="4" t="s">
        <v>21</v>
      </c>
      <c r="B1068" s="4" t="s">
        <v>37</v>
      </c>
      <c r="C1068" s="4" t="s">
        <v>33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34</v>
      </c>
      <c r="I1068" s="5">
        <v>44287</v>
      </c>
      <c r="J1068" s="6">
        <v>0</v>
      </c>
      <c r="K1068" s="6">
        <v>0</v>
      </c>
      <c r="L1068" s="6">
        <v>0.56399999999999995</v>
      </c>
      <c r="M1068" s="6">
        <v>0.56399999999999995</v>
      </c>
      <c r="N1068" s="6">
        <v>0.56399999999999995</v>
      </c>
      <c r="O1068" s="6">
        <v>0.56399999999999995</v>
      </c>
      <c r="P1068" s="6">
        <v>0</v>
      </c>
      <c r="Q1068" s="4" t="s">
        <v>26</v>
      </c>
      <c r="R1068" s="4">
        <v>0</v>
      </c>
      <c r="S1068" s="4" t="s">
        <v>448</v>
      </c>
      <c r="T1068" s="4" t="s">
        <v>681</v>
      </c>
      <c r="U1068" s="4">
        <v>0</v>
      </c>
      <c r="V1068" s="4">
        <v>58</v>
      </c>
      <c r="W1068" s="4">
        <v>84</v>
      </c>
    </row>
    <row r="1069" spans="1:23" ht="11.25" customHeight="1" x14ac:dyDescent="0.25">
      <c r="A1069" s="4" t="s">
        <v>21</v>
      </c>
      <c r="B1069" s="4" t="s">
        <v>37</v>
      </c>
      <c r="C1069" s="4" t="s">
        <v>33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34</v>
      </c>
      <c r="I1069" s="5">
        <v>44317</v>
      </c>
      <c r="J1069" s="6">
        <v>0</v>
      </c>
      <c r="K1069" s="6">
        <v>0</v>
      </c>
      <c r="L1069" s="6">
        <v>0.51600000000000001</v>
      </c>
      <c r="M1069" s="6">
        <v>0.51600000000000001</v>
      </c>
      <c r="N1069" s="6">
        <v>0.51600000000000001</v>
      </c>
      <c r="O1069" s="6">
        <v>0.51600000000000001</v>
      </c>
      <c r="P1069" s="6">
        <v>0</v>
      </c>
      <c r="Q1069" s="4" t="s">
        <v>26</v>
      </c>
      <c r="R1069" s="4">
        <v>0</v>
      </c>
      <c r="S1069" s="4" t="s">
        <v>449</v>
      </c>
      <c r="T1069" s="4" t="s">
        <v>682</v>
      </c>
      <c r="U1069" s="4">
        <v>0</v>
      </c>
      <c r="V1069" s="4">
        <v>58</v>
      </c>
      <c r="W1069" s="4">
        <v>84</v>
      </c>
    </row>
    <row r="1070" spans="1:23" ht="11.25" customHeight="1" x14ac:dyDescent="0.25">
      <c r="A1070" s="4" t="s">
        <v>21</v>
      </c>
      <c r="B1070" s="4" t="s">
        <v>37</v>
      </c>
      <c r="C1070" s="4" t="s">
        <v>33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34</v>
      </c>
      <c r="I1070" s="5">
        <v>44348</v>
      </c>
      <c r="J1070" s="6">
        <v>0</v>
      </c>
      <c r="K1070" s="6">
        <v>0</v>
      </c>
      <c r="L1070" s="6">
        <v>0.50700000000000001</v>
      </c>
      <c r="M1070" s="6">
        <v>0.50700000000000001</v>
      </c>
      <c r="N1070" s="6">
        <v>0.50700000000000001</v>
      </c>
      <c r="O1070" s="6">
        <v>0.50700000000000001</v>
      </c>
      <c r="P1070" s="6">
        <v>0</v>
      </c>
      <c r="Q1070" s="4" t="s">
        <v>26</v>
      </c>
      <c r="R1070" s="4">
        <v>0</v>
      </c>
      <c r="S1070" s="4" t="s">
        <v>450</v>
      </c>
      <c r="T1070" s="4" t="s">
        <v>683</v>
      </c>
      <c r="U1070" s="4">
        <v>0</v>
      </c>
      <c r="V1070" s="4">
        <v>58</v>
      </c>
      <c r="W1070" s="4">
        <v>84</v>
      </c>
    </row>
    <row r="1071" spans="1:23" ht="11.25" customHeight="1" x14ac:dyDescent="0.25">
      <c r="A1071" s="4" t="s">
        <v>21</v>
      </c>
      <c r="B1071" s="4" t="s">
        <v>37</v>
      </c>
      <c r="C1071" s="4" t="s">
        <v>33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34</v>
      </c>
      <c r="I1071" s="5">
        <v>44378</v>
      </c>
      <c r="J1071" s="6">
        <v>0</v>
      </c>
      <c r="K1071" s="6">
        <v>0</v>
      </c>
      <c r="L1071" s="6">
        <v>0.60799999999999998</v>
      </c>
      <c r="M1071" s="6">
        <v>0.60799999999999998</v>
      </c>
      <c r="N1071" s="6">
        <v>0.60799999999999998</v>
      </c>
      <c r="O1071" s="6">
        <v>0.60799999999999998</v>
      </c>
      <c r="P1071" s="6">
        <v>0</v>
      </c>
      <c r="Q1071" s="4" t="s">
        <v>26</v>
      </c>
      <c r="R1071" s="4">
        <v>0</v>
      </c>
      <c r="S1071" s="4" t="s">
        <v>451</v>
      </c>
      <c r="T1071" s="4" t="s">
        <v>684</v>
      </c>
      <c r="U1071" s="4">
        <v>0</v>
      </c>
      <c r="V1071" s="4">
        <v>58</v>
      </c>
      <c r="W1071" s="4">
        <v>84</v>
      </c>
    </row>
    <row r="1072" spans="1:23" ht="11.25" customHeight="1" x14ac:dyDescent="0.25">
      <c r="A1072" s="4" t="s">
        <v>21</v>
      </c>
      <c r="B1072" s="4" t="s">
        <v>37</v>
      </c>
      <c r="C1072" s="4" t="s">
        <v>33</v>
      </c>
      <c r="D1072" s="4" t="s">
        <v>42</v>
      </c>
      <c r="E1072" s="4" t="s">
        <v>25</v>
      </c>
      <c r="F1072" s="4" t="s">
        <v>25</v>
      </c>
      <c r="G1072" s="4" t="s">
        <v>25</v>
      </c>
      <c r="H1072" s="4" t="s">
        <v>34</v>
      </c>
      <c r="I1072" s="5">
        <v>44409</v>
      </c>
      <c r="J1072" s="6">
        <v>0</v>
      </c>
      <c r="K1072" s="6">
        <v>0</v>
      </c>
      <c r="L1072" s="6">
        <v>0.60899999999999999</v>
      </c>
      <c r="M1072" s="6">
        <v>0.60899999999999999</v>
      </c>
      <c r="N1072" s="6">
        <v>0.60899999999999999</v>
      </c>
      <c r="O1072" s="6">
        <v>0.60899999999999999</v>
      </c>
      <c r="P1072" s="6">
        <v>0</v>
      </c>
      <c r="Q1072" s="4" t="s">
        <v>26</v>
      </c>
      <c r="R1072" s="4">
        <v>0</v>
      </c>
      <c r="S1072" s="4" t="s">
        <v>452</v>
      </c>
      <c r="T1072" s="4" t="s">
        <v>685</v>
      </c>
      <c r="U1072" s="4">
        <v>0</v>
      </c>
      <c r="V1072" s="4">
        <v>58</v>
      </c>
      <c r="W1072" s="4">
        <v>84</v>
      </c>
    </row>
    <row r="1073" spans="1:23" ht="11.25" customHeight="1" x14ac:dyDescent="0.25">
      <c r="A1073" s="4" t="s">
        <v>21</v>
      </c>
      <c r="B1073" s="4" t="s">
        <v>37</v>
      </c>
      <c r="C1073" s="4" t="s">
        <v>33</v>
      </c>
      <c r="D1073" s="4" t="s">
        <v>42</v>
      </c>
      <c r="E1073" s="4" t="s">
        <v>25</v>
      </c>
      <c r="F1073" s="4" t="s">
        <v>25</v>
      </c>
      <c r="G1073" s="4" t="s">
        <v>25</v>
      </c>
      <c r="H1073" s="4" t="s">
        <v>34</v>
      </c>
      <c r="I1073" s="5">
        <v>44440</v>
      </c>
      <c r="J1073" s="6">
        <v>0</v>
      </c>
      <c r="K1073" s="6">
        <v>0</v>
      </c>
      <c r="L1073" s="6">
        <v>0.623</v>
      </c>
      <c r="M1073" s="6">
        <v>0.623</v>
      </c>
      <c r="N1073" s="6">
        <v>0.623</v>
      </c>
      <c r="O1073" s="6">
        <v>0.623</v>
      </c>
      <c r="P1073" s="6">
        <v>0</v>
      </c>
      <c r="Q1073" s="4" t="s">
        <v>26</v>
      </c>
      <c r="R1073" s="4">
        <v>0</v>
      </c>
      <c r="S1073" s="4" t="s">
        <v>453</v>
      </c>
      <c r="T1073" s="4" t="s">
        <v>686</v>
      </c>
      <c r="U1073" s="4">
        <v>0</v>
      </c>
      <c r="V1073" s="4">
        <v>58</v>
      </c>
      <c r="W1073" s="4">
        <v>84</v>
      </c>
    </row>
    <row r="1074" spans="1:23" ht="11.25" customHeight="1" x14ac:dyDescent="0.25">
      <c r="A1074" s="4" t="s">
        <v>21</v>
      </c>
      <c r="B1074" s="4" t="s">
        <v>37</v>
      </c>
      <c r="C1074" s="4" t="s">
        <v>33</v>
      </c>
      <c r="D1074" s="4" t="s">
        <v>42</v>
      </c>
      <c r="E1074" s="4" t="s">
        <v>25</v>
      </c>
      <c r="F1074" s="4" t="s">
        <v>25</v>
      </c>
      <c r="G1074" s="4" t="s">
        <v>25</v>
      </c>
      <c r="H1074" s="4" t="s">
        <v>34</v>
      </c>
      <c r="I1074" s="5">
        <v>44470</v>
      </c>
      <c r="J1074" s="6">
        <v>0</v>
      </c>
      <c r="K1074" s="6">
        <v>0</v>
      </c>
      <c r="L1074" s="6">
        <v>0.79600000000000004</v>
      </c>
      <c r="M1074" s="6">
        <v>0.79600000000000004</v>
      </c>
      <c r="N1074" s="6">
        <v>0.79600000000000004</v>
      </c>
      <c r="O1074" s="6">
        <v>0.79600000000000004</v>
      </c>
      <c r="P1074" s="6">
        <v>0</v>
      </c>
      <c r="Q1074" s="4" t="s">
        <v>26</v>
      </c>
      <c r="R1074" s="4">
        <v>0</v>
      </c>
      <c r="S1074" s="4" t="s">
        <v>454</v>
      </c>
      <c r="T1074" s="4" t="s">
        <v>687</v>
      </c>
      <c r="U1074" s="4">
        <v>0</v>
      </c>
      <c r="V1074" s="4">
        <v>58</v>
      </c>
      <c r="W1074" s="4">
        <v>84</v>
      </c>
    </row>
    <row r="1075" spans="1:23" ht="11.25" customHeight="1" x14ac:dyDescent="0.25">
      <c r="A1075" s="4" t="s">
        <v>27</v>
      </c>
      <c r="B1075" s="4" t="s">
        <v>37</v>
      </c>
      <c r="C1075" s="4" t="s">
        <v>33</v>
      </c>
      <c r="D1075" s="4" t="s">
        <v>42</v>
      </c>
      <c r="E1075" s="4" t="s">
        <v>25</v>
      </c>
      <c r="F1075" s="4" t="s">
        <v>25</v>
      </c>
      <c r="G1075" s="4" t="s">
        <v>25</v>
      </c>
      <c r="H1075" s="4" t="s">
        <v>34</v>
      </c>
      <c r="I1075" s="5">
        <v>44470</v>
      </c>
      <c r="J1075" s="6">
        <v>0</v>
      </c>
      <c r="K1075" s="6">
        <v>0</v>
      </c>
      <c r="L1075" s="6">
        <v>0.01</v>
      </c>
      <c r="M1075" s="6">
        <v>0.01</v>
      </c>
      <c r="N1075" s="6">
        <v>0.01</v>
      </c>
      <c r="O1075" s="6">
        <v>0.01</v>
      </c>
      <c r="P1075" s="6">
        <v>0</v>
      </c>
      <c r="Q1075" s="4" t="s">
        <v>26</v>
      </c>
      <c r="R1075" s="4">
        <v>0</v>
      </c>
      <c r="S1075" s="4" t="s">
        <v>454</v>
      </c>
      <c r="T1075" s="4" t="s">
        <v>687</v>
      </c>
      <c r="U1075" s="4">
        <v>0</v>
      </c>
      <c r="V1075" s="4">
        <v>58</v>
      </c>
      <c r="W1075" s="4">
        <v>84</v>
      </c>
    </row>
    <row r="1076" spans="1:23" ht="11.25" customHeight="1" x14ac:dyDescent="0.25">
      <c r="A1076" s="4" t="s">
        <v>21</v>
      </c>
      <c r="B1076" s="4" t="s">
        <v>37</v>
      </c>
      <c r="C1076" s="4" t="s">
        <v>33</v>
      </c>
      <c r="D1076" s="4" t="s">
        <v>42</v>
      </c>
      <c r="E1076" s="4" t="s">
        <v>25</v>
      </c>
      <c r="F1076" s="4" t="s">
        <v>25</v>
      </c>
      <c r="G1076" s="4" t="s">
        <v>25</v>
      </c>
      <c r="H1076" s="4" t="s">
        <v>34</v>
      </c>
      <c r="I1076" s="5">
        <v>44501</v>
      </c>
      <c r="J1076" s="6">
        <v>0</v>
      </c>
      <c r="K1076" s="6">
        <v>0</v>
      </c>
      <c r="L1076" s="6">
        <v>0.81299999999999994</v>
      </c>
      <c r="M1076" s="6">
        <v>0.81299999999999994</v>
      </c>
      <c r="N1076" s="6">
        <v>0.81299999999999994</v>
      </c>
      <c r="O1076" s="6">
        <v>0.81299999999999994</v>
      </c>
      <c r="P1076" s="6">
        <v>0</v>
      </c>
      <c r="Q1076" s="4" t="s">
        <v>26</v>
      </c>
      <c r="R1076" s="4">
        <v>0</v>
      </c>
      <c r="S1076" s="4" t="s">
        <v>455</v>
      </c>
      <c r="T1076" s="4" t="s">
        <v>688</v>
      </c>
      <c r="U1076" s="4">
        <v>0</v>
      </c>
      <c r="V1076" s="4">
        <v>58</v>
      </c>
      <c r="W1076" s="4">
        <v>84</v>
      </c>
    </row>
    <row r="1077" spans="1:23" ht="11.25" customHeight="1" x14ac:dyDescent="0.25">
      <c r="A1077" s="4" t="s">
        <v>21</v>
      </c>
      <c r="B1077" s="4" t="s">
        <v>37</v>
      </c>
      <c r="C1077" s="4" t="s">
        <v>33</v>
      </c>
      <c r="D1077" s="4" t="s">
        <v>42</v>
      </c>
      <c r="E1077" s="4" t="s">
        <v>25</v>
      </c>
      <c r="F1077" s="4" t="s">
        <v>25</v>
      </c>
      <c r="G1077" s="4" t="s">
        <v>25</v>
      </c>
      <c r="H1077" s="4" t="s">
        <v>34</v>
      </c>
      <c r="I1077" s="5">
        <v>44531</v>
      </c>
      <c r="J1077" s="6">
        <v>0</v>
      </c>
      <c r="K1077" s="6">
        <v>0</v>
      </c>
      <c r="L1077" s="6">
        <v>0.86699999999999999</v>
      </c>
      <c r="M1077" s="6">
        <v>0.86699999999999999</v>
      </c>
      <c r="N1077" s="6">
        <v>0.86699999999999999</v>
      </c>
      <c r="O1077" s="6">
        <v>0.86699999999999999</v>
      </c>
      <c r="P1077" s="6">
        <v>0</v>
      </c>
      <c r="Q1077" s="4" t="s">
        <v>26</v>
      </c>
      <c r="R1077" s="4">
        <v>0</v>
      </c>
      <c r="S1077" s="4" t="s">
        <v>456</v>
      </c>
      <c r="T1077" s="4" t="s">
        <v>689</v>
      </c>
      <c r="U1077" s="4">
        <v>0</v>
      </c>
      <c r="V1077" s="4">
        <v>58</v>
      </c>
      <c r="W1077" s="4">
        <v>84</v>
      </c>
    </row>
    <row r="1078" spans="1:23" ht="11.25" customHeight="1" x14ac:dyDescent="0.25">
      <c r="A1078" s="4" t="s">
        <v>28</v>
      </c>
      <c r="B1078" s="4" t="s">
        <v>37</v>
      </c>
      <c r="C1078" s="4" t="s">
        <v>33</v>
      </c>
      <c r="D1078" s="4" t="s">
        <v>42</v>
      </c>
      <c r="E1078" s="4" t="s">
        <v>25</v>
      </c>
      <c r="F1078" s="4" t="s">
        <v>25</v>
      </c>
      <c r="G1078" s="4" t="s">
        <v>25</v>
      </c>
      <c r="H1078" s="4" t="s">
        <v>34</v>
      </c>
      <c r="I1078" s="5">
        <v>44531</v>
      </c>
      <c r="J1078" s="6">
        <v>0</v>
      </c>
      <c r="K1078" s="6">
        <v>0</v>
      </c>
      <c r="L1078" s="6">
        <v>4.4999999999999998E-2</v>
      </c>
      <c r="M1078" s="6">
        <v>4.4999999999999998E-2</v>
      </c>
      <c r="N1078" s="6">
        <v>4.4999999999999998E-2</v>
      </c>
      <c r="O1078" s="6">
        <v>4.4999999999999998E-2</v>
      </c>
      <c r="P1078" s="6">
        <v>0</v>
      </c>
      <c r="Q1078" s="4" t="s">
        <v>26</v>
      </c>
      <c r="R1078" s="4">
        <v>0</v>
      </c>
      <c r="S1078" s="4" t="s">
        <v>456</v>
      </c>
      <c r="T1078" s="4" t="s">
        <v>689</v>
      </c>
      <c r="U1078" s="4">
        <v>0</v>
      </c>
      <c r="V1078" s="4">
        <v>58</v>
      </c>
      <c r="W1078" s="4">
        <v>84</v>
      </c>
    </row>
    <row r="1079" spans="1:23" ht="11.25" customHeight="1" x14ac:dyDescent="0.25">
      <c r="A1079" s="4" t="s">
        <v>55</v>
      </c>
      <c r="B1079" s="4" t="s">
        <v>37</v>
      </c>
      <c r="C1079" s="4" t="s">
        <v>33</v>
      </c>
      <c r="D1079" s="4" t="s">
        <v>42</v>
      </c>
      <c r="E1079" s="4" t="s">
        <v>25</v>
      </c>
      <c r="F1079" s="4" t="s">
        <v>25</v>
      </c>
      <c r="G1079" s="4" t="s">
        <v>25</v>
      </c>
      <c r="H1079" s="4" t="s">
        <v>34</v>
      </c>
      <c r="I1079" s="5">
        <v>44562</v>
      </c>
      <c r="J1079" s="6">
        <v>0</v>
      </c>
      <c r="K1079" s="6">
        <v>0</v>
      </c>
      <c r="L1079" s="6">
        <v>0.86699999999999999</v>
      </c>
      <c r="M1079" s="6">
        <v>0.86699999999999999</v>
      </c>
      <c r="N1079" s="6">
        <v>0.86699999999999999</v>
      </c>
      <c r="O1079" s="6">
        <v>0.86699999999999999</v>
      </c>
      <c r="P1079" s="6">
        <v>0</v>
      </c>
      <c r="Q1079" s="4" t="s">
        <v>26</v>
      </c>
      <c r="R1079" s="4">
        <v>0</v>
      </c>
      <c r="S1079" s="4" t="s">
        <v>457</v>
      </c>
      <c r="T1079" s="4" t="s">
        <v>690</v>
      </c>
      <c r="U1079" s="4">
        <v>0</v>
      </c>
      <c r="V1079" s="4">
        <v>58</v>
      </c>
      <c r="W1079" s="4">
        <v>84</v>
      </c>
    </row>
    <row r="1080" spans="1:23" ht="11.25" customHeight="1" x14ac:dyDescent="0.25">
      <c r="A1080" s="4" t="s">
        <v>55</v>
      </c>
      <c r="B1080" s="4" t="s">
        <v>37</v>
      </c>
      <c r="C1080" s="4" t="s">
        <v>33</v>
      </c>
      <c r="D1080" s="4" t="s">
        <v>42</v>
      </c>
      <c r="E1080" s="4" t="s">
        <v>25</v>
      </c>
      <c r="F1080" s="4" t="s">
        <v>25</v>
      </c>
      <c r="G1080" s="4" t="s">
        <v>25</v>
      </c>
      <c r="H1080" s="4" t="s">
        <v>34</v>
      </c>
      <c r="I1080" s="5">
        <v>44562</v>
      </c>
      <c r="J1080" s="6">
        <v>0</v>
      </c>
      <c r="K1080" s="6">
        <v>0</v>
      </c>
      <c r="L1080" s="6">
        <v>4.4999999999999998E-2</v>
      </c>
      <c r="M1080" s="6">
        <v>4.4999999999999998E-2</v>
      </c>
      <c r="N1080" s="6">
        <v>4.4999999999999998E-2</v>
      </c>
      <c r="O1080" s="6">
        <v>4.4999999999999998E-2</v>
      </c>
      <c r="P1080" s="6">
        <v>0</v>
      </c>
      <c r="Q1080" s="4" t="s">
        <v>26</v>
      </c>
      <c r="R1080" s="4">
        <v>0</v>
      </c>
      <c r="S1080" s="4" t="s">
        <v>457</v>
      </c>
      <c r="T1080" s="4" t="s">
        <v>690</v>
      </c>
      <c r="U1080" s="4">
        <v>0</v>
      </c>
      <c r="V1080" s="4">
        <v>58</v>
      </c>
      <c r="W1080" s="4">
        <v>84</v>
      </c>
    </row>
    <row r="1081" spans="1:23" ht="11.25" customHeight="1" x14ac:dyDescent="0.25">
      <c r="A1081" s="4" t="s">
        <v>21</v>
      </c>
      <c r="B1081" s="4" t="s">
        <v>37</v>
      </c>
      <c r="C1081" s="4" t="s">
        <v>23</v>
      </c>
      <c r="D1081" s="4" t="s">
        <v>42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44228</v>
      </c>
      <c r="J1081" s="6">
        <v>0</v>
      </c>
      <c r="K1081" s="6">
        <v>0</v>
      </c>
      <c r="L1081" s="6">
        <v>6249.5659999999998</v>
      </c>
      <c r="M1081" s="6">
        <v>6249.5659999999998</v>
      </c>
      <c r="N1081" s="6">
        <v>6249.5659999999998</v>
      </c>
      <c r="O1081" s="6">
        <v>6249.5659999999998</v>
      </c>
      <c r="P1081" s="6">
        <v>14916</v>
      </c>
      <c r="Q1081" s="4" t="s">
        <v>26</v>
      </c>
      <c r="R1081" s="4">
        <v>0</v>
      </c>
      <c r="S1081" s="4" t="s">
        <v>458</v>
      </c>
      <c r="T1081" s="4" t="s">
        <v>691</v>
      </c>
      <c r="U1081" s="4">
        <v>0</v>
      </c>
      <c r="V1081" s="4">
        <v>61</v>
      </c>
      <c r="W1081" s="4">
        <v>7</v>
      </c>
    </row>
    <row r="1082" spans="1:23" ht="11.25" customHeight="1" x14ac:dyDescent="0.25">
      <c r="A1082" s="4" t="s">
        <v>27</v>
      </c>
      <c r="B1082" s="4" t="s">
        <v>37</v>
      </c>
      <c r="C1082" s="4" t="s">
        <v>23</v>
      </c>
      <c r="D1082" s="4" t="s">
        <v>42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44228</v>
      </c>
      <c r="J1082" s="6">
        <v>0</v>
      </c>
      <c r="K1082" s="6">
        <v>0</v>
      </c>
      <c r="L1082" s="6">
        <v>-3.7160000000000002</v>
      </c>
      <c r="M1082" s="6">
        <v>-3.7160000000000002</v>
      </c>
      <c r="N1082" s="6">
        <v>-3.7160000000000002</v>
      </c>
      <c r="O1082" s="6">
        <v>-3.7160000000000002</v>
      </c>
      <c r="P1082" s="6">
        <v>0</v>
      </c>
      <c r="Q1082" s="4" t="s">
        <v>26</v>
      </c>
      <c r="R1082" s="4">
        <v>0</v>
      </c>
      <c r="S1082" s="4" t="s">
        <v>458</v>
      </c>
      <c r="T1082" s="4" t="s">
        <v>691</v>
      </c>
      <c r="U1082" s="4">
        <v>0</v>
      </c>
      <c r="V1082" s="4">
        <v>61</v>
      </c>
      <c r="W1082" s="4">
        <v>7</v>
      </c>
    </row>
    <row r="1083" spans="1:23" ht="11.25" customHeight="1" x14ac:dyDescent="0.25">
      <c r="A1083" s="4" t="s">
        <v>28</v>
      </c>
      <c r="B1083" s="4" t="s">
        <v>37</v>
      </c>
      <c r="C1083" s="4" t="s">
        <v>23</v>
      </c>
      <c r="D1083" s="4" t="s">
        <v>42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44228</v>
      </c>
      <c r="J1083" s="6">
        <v>0</v>
      </c>
      <c r="K1083" s="6">
        <v>0</v>
      </c>
      <c r="L1083" s="6">
        <v>249.79400000000001</v>
      </c>
      <c r="M1083" s="6">
        <v>249.79400000000001</v>
      </c>
      <c r="N1083" s="6">
        <v>249.79400000000001</v>
      </c>
      <c r="O1083" s="6">
        <v>249.79400000000001</v>
      </c>
      <c r="P1083" s="6">
        <v>339</v>
      </c>
      <c r="Q1083" s="4" t="s">
        <v>26</v>
      </c>
      <c r="R1083" s="4">
        <v>0</v>
      </c>
      <c r="S1083" s="4" t="s">
        <v>458</v>
      </c>
      <c r="T1083" s="4" t="s">
        <v>691</v>
      </c>
      <c r="U1083" s="4">
        <v>0</v>
      </c>
      <c r="V1083" s="4">
        <v>61</v>
      </c>
      <c r="W1083" s="4">
        <v>7</v>
      </c>
    </row>
    <row r="1084" spans="1:23" ht="11.25" customHeight="1" x14ac:dyDescent="0.25">
      <c r="A1084" s="4" t="s">
        <v>21</v>
      </c>
      <c r="B1084" s="4" t="s">
        <v>37</v>
      </c>
      <c r="C1084" s="4" t="s">
        <v>23</v>
      </c>
      <c r="D1084" s="4" t="s">
        <v>42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44256</v>
      </c>
      <c r="J1084" s="6">
        <v>0</v>
      </c>
      <c r="K1084" s="6">
        <v>0</v>
      </c>
      <c r="L1084" s="6">
        <v>6710.46</v>
      </c>
      <c r="M1084" s="6">
        <v>6710.46</v>
      </c>
      <c r="N1084" s="6">
        <v>6710.46</v>
      </c>
      <c r="O1084" s="6">
        <v>6710.46</v>
      </c>
      <c r="P1084" s="6">
        <v>14926</v>
      </c>
      <c r="Q1084" s="4" t="s">
        <v>26</v>
      </c>
      <c r="R1084" s="4">
        <v>0</v>
      </c>
      <c r="S1084" s="4" t="s">
        <v>459</v>
      </c>
      <c r="T1084" s="4" t="s">
        <v>692</v>
      </c>
      <c r="U1084" s="4">
        <v>0</v>
      </c>
      <c r="V1084" s="4">
        <v>61</v>
      </c>
      <c r="W1084" s="4">
        <v>7</v>
      </c>
    </row>
    <row r="1085" spans="1:23" ht="11.25" customHeight="1" x14ac:dyDescent="0.25">
      <c r="A1085" s="4" t="s">
        <v>27</v>
      </c>
      <c r="B1085" s="4" t="s">
        <v>37</v>
      </c>
      <c r="C1085" s="4" t="s">
        <v>23</v>
      </c>
      <c r="D1085" s="4" t="s">
        <v>42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44256</v>
      </c>
      <c r="J1085" s="6">
        <v>0</v>
      </c>
      <c r="K1085" s="6">
        <v>0</v>
      </c>
      <c r="L1085" s="6">
        <v>-7.0730000000000004</v>
      </c>
      <c r="M1085" s="6">
        <v>-7.0730000000000004</v>
      </c>
      <c r="N1085" s="6">
        <v>-7.0730000000000004</v>
      </c>
      <c r="O1085" s="6">
        <v>-7.0730000000000004</v>
      </c>
      <c r="P1085" s="6">
        <v>-2</v>
      </c>
      <c r="Q1085" s="4" t="s">
        <v>26</v>
      </c>
      <c r="R1085" s="4">
        <v>0</v>
      </c>
      <c r="S1085" s="4" t="s">
        <v>459</v>
      </c>
      <c r="T1085" s="4" t="s">
        <v>692</v>
      </c>
      <c r="U1085" s="4">
        <v>0</v>
      </c>
      <c r="V1085" s="4">
        <v>61</v>
      </c>
      <c r="W1085" s="4">
        <v>7</v>
      </c>
    </row>
    <row r="1086" spans="1:23" ht="11.25" customHeight="1" x14ac:dyDescent="0.25">
      <c r="A1086" s="4" t="s">
        <v>28</v>
      </c>
      <c r="B1086" s="4" t="s">
        <v>37</v>
      </c>
      <c r="C1086" s="4" t="s">
        <v>23</v>
      </c>
      <c r="D1086" s="4" t="s">
        <v>42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44256</v>
      </c>
      <c r="J1086" s="6">
        <v>0</v>
      </c>
      <c r="K1086" s="6">
        <v>0</v>
      </c>
      <c r="L1086" s="6">
        <v>270.69400000000002</v>
      </c>
      <c r="M1086" s="6">
        <v>270.69400000000002</v>
      </c>
      <c r="N1086" s="6">
        <v>270.69400000000002</v>
      </c>
      <c r="O1086" s="6">
        <v>270.69400000000002</v>
      </c>
      <c r="P1086" s="6">
        <v>349</v>
      </c>
      <c r="Q1086" s="4" t="s">
        <v>26</v>
      </c>
      <c r="R1086" s="4">
        <v>0</v>
      </c>
      <c r="S1086" s="4" t="s">
        <v>459</v>
      </c>
      <c r="T1086" s="4" t="s">
        <v>692</v>
      </c>
      <c r="U1086" s="4">
        <v>0</v>
      </c>
      <c r="V1086" s="4">
        <v>61</v>
      </c>
      <c r="W1086" s="4">
        <v>7</v>
      </c>
    </row>
    <row r="1087" spans="1:23" ht="11.25" customHeight="1" x14ac:dyDescent="0.25">
      <c r="A1087" s="4" t="s">
        <v>21</v>
      </c>
      <c r="B1087" s="4" t="s">
        <v>37</v>
      </c>
      <c r="C1087" s="4" t="s">
        <v>23</v>
      </c>
      <c r="D1087" s="4" t="s">
        <v>42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44287</v>
      </c>
      <c r="J1087" s="6">
        <v>0</v>
      </c>
      <c r="K1087" s="6">
        <v>0</v>
      </c>
      <c r="L1087" s="6">
        <v>6139.4750000000004</v>
      </c>
      <c r="M1087" s="6">
        <v>6139.4750000000004</v>
      </c>
      <c r="N1087" s="6">
        <v>6139.4750000000004</v>
      </c>
      <c r="O1087" s="6">
        <v>6139.4750000000004</v>
      </c>
      <c r="P1087" s="6">
        <v>14972</v>
      </c>
      <c r="Q1087" s="4" t="s">
        <v>26</v>
      </c>
      <c r="R1087" s="4">
        <v>0</v>
      </c>
      <c r="S1087" s="4" t="s">
        <v>460</v>
      </c>
      <c r="T1087" s="4" t="s">
        <v>693</v>
      </c>
      <c r="U1087" s="4">
        <v>0</v>
      </c>
      <c r="V1087" s="4">
        <v>61</v>
      </c>
      <c r="W1087" s="4">
        <v>7</v>
      </c>
    </row>
    <row r="1088" spans="1:23" ht="11.25" customHeight="1" x14ac:dyDescent="0.25">
      <c r="A1088" s="4" t="s">
        <v>27</v>
      </c>
      <c r="B1088" s="4" t="s">
        <v>37</v>
      </c>
      <c r="C1088" s="4" t="s">
        <v>23</v>
      </c>
      <c r="D1088" s="4" t="s">
        <v>42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44287</v>
      </c>
      <c r="J1088" s="6">
        <v>0</v>
      </c>
      <c r="K1088" s="6">
        <v>0</v>
      </c>
      <c r="L1088" s="6">
        <v>-0.1</v>
      </c>
      <c r="M1088" s="6">
        <v>-0.1</v>
      </c>
      <c r="N1088" s="6">
        <v>-0.1</v>
      </c>
      <c r="O1088" s="6">
        <v>-0.1</v>
      </c>
      <c r="P1088" s="6">
        <v>-1</v>
      </c>
      <c r="Q1088" s="4" t="s">
        <v>26</v>
      </c>
      <c r="R1088" s="4">
        <v>0</v>
      </c>
      <c r="S1088" s="4" t="s">
        <v>460</v>
      </c>
      <c r="T1088" s="4" t="s">
        <v>693</v>
      </c>
      <c r="U1088" s="4">
        <v>0</v>
      </c>
      <c r="V1088" s="4">
        <v>61</v>
      </c>
      <c r="W1088" s="4">
        <v>7</v>
      </c>
    </row>
    <row r="1089" spans="1:23" ht="11.25" customHeight="1" x14ac:dyDescent="0.25">
      <c r="A1089" s="4" t="s">
        <v>28</v>
      </c>
      <c r="B1089" s="4" t="s">
        <v>37</v>
      </c>
      <c r="C1089" s="4" t="s">
        <v>23</v>
      </c>
      <c r="D1089" s="4" t="s">
        <v>42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44287</v>
      </c>
      <c r="J1089" s="6">
        <v>0</v>
      </c>
      <c r="K1089" s="6">
        <v>0</v>
      </c>
      <c r="L1089" s="6">
        <v>294.31099999999998</v>
      </c>
      <c r="M1089" s="6">
        <v>294.31099999999998</v>
      </c>
      <c r="N1089" s="6">
        <v>294.31099999999998</v>
      </c>
      <c r="O1089" s="6">
        <v>294.31099999999998</v>
      </c>
      <c r="P1089" s="6">
        <v>388</v>
      </c>
      <c r="Q1089" s="4" t="s">
        <v>26</v>
      </c>
      <c r="R1089" s="4">
        <v>0</v>
      </c>
      <c r="S1089" s="4" t="s">
        <v>460</v>
      </c>
      <c r="T1089" s="4" t="s">
        <v>693</v>
      </c>
      <c r="U1089" s="4">
        <v>0</v>
      </c>
      <c r="V1089" s="4">
        <v>61</v>
      </c>
      <c r="W1089" s="4">
        <v>7</v>
      </c>
    </row>
    <row r="1090" spans="1:23" ht="11.25" customHeight="1" x14ac:dyDescent="0.25">
      <c r="A1090" s="4" t="s">
        <v>21</v>
      </c>
      <c r="B1090" s="4" t="s">
        <v>37</v>
      </c>
      <c r="C1090" s="4" t="s">
        <v>23</v>
      </c>
      <c r="D1090" s="4" t="s">
        <v>42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44317</v>
      </c>
      <c r="J1090" s="6">
        <v>0</v>
      </c>
      <c r="K1090" s="6">
        <v>0</v>
      </c>
      <c r="L1090" s="6">
        <v>6212.4359999999997</v>
      </c>
      <c r="M1090" s="6">
        <v>6212.4359999999997</v>
      </c>
      <c r="N1090" s="6">
        <v>6212.4359999999997</v>
      </c>
      <c r="O1090" s="6">
        <v>6212.4359999999997</v>
      </c>
      <c r="P1090" s="6">
        <v>14969</v>
      </c>
      <c r="Q1090" s="4" t="s">
        <v>26</v>
      </c>
      <c r="R1090" s="4">
        <v>0</v>
      </c>
      <c r="S1090" s="4" t="s">
        <v>461</v>
      </c>
      <c r="T1090" s="4" t="s">
        <v>694</v>
      </c>
      <c r="U1090" s="4">
        <v>0</v>
      </c>
      <c r="V1090" s="4">
        <v>61</v>
      </c>
      <c r="W1090" s="4">
        <v>7</v>
      </c>
    </row>
    <row r="1091" spans="1:23" ht="11.25" customHeight="1" x14ac:dyDescent="0.25">
      <c r="A1091" s="4" t="s">
        <v>27</v>
      </c>
      <c r="B1091" s="4" t="s">
        <v>37</v>
      </c>
      <c r="C1091" s="4" t="s">
        <v>23</v>
      </c>
      <c r="D1091" s="4" t="s">
        <v>42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44317</v>
      </c>
      <c r="J1091" s="6">
        <v>0</v>
      </c>
      <c r="K1091" s="6">
        <v>0</v>
      </c>
      <c r="L1091" s="6">
        <v>-0.47599999999999998</v>
      </c>
      <c r="M1091" s="6">
        <v>-0.47599999999999998</v>
      </c>
      <c r="N1091" s="6">
        <v>-0.47599999999999998</v>
      </c>
      <c r="O1091" s="6">
        <v>-0.47599999999999998</v>
      </c>
      <c r="P1091" s="6">
        <v>-1</v>
      </c>
      <c r="Q1091" s="4" t="s">
        <v>26</v>
      </c>
      <c r="R1091" s="4">
        <v>0</v>
      </c>
      <c r="S1091" s="4" t="s">
        <v>461</v>
      </c>
      <c r="T1091" s="4" t="s">
        <v>694</v>
      </c>
      <c r="U1091" s="4">
        <v>0</v>
      </c>
      <c r="V1091" s="4">
        <v>61</v>
      </c>
      <c r="W1091" s="4">
        <v>7</v>
      </c>
    </row>
    <row r="1092" spans="1:23" ht="11.25" customHeight="1" x14ac:dyDescent="0.25">
      <c r="A1092" s="4" t="s">
        <v>28</v>
      </c>
      <c r="B1092" s="4" t="s">
        <v>37</v>
      </c>
      <c r="C1092" s="4" t="s">
        <v>23</v>
      </c>
      <c r="D1092" s="4" t="s">
        <v>42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44317</v>
      </c>
      <c r="J1092" s="6">
        <v>0</v>
      </c>
      <c r="K1092" s="6">
        <v>0</v>
      </c>
      <c r="L1092" s="6">
        <v>351.71600000000001</v>
      </c>
      <c r="M1092" s="6">
        <v>351.71600000000001</v>
      </c>
      <c r="N1092" s="6">
        <v>351.71600000000001</v>
      </c>
      <c r="O1092" s="6">
        <v>351.71600000000001</v>
      </c>
      <c r="P1092" s="6">
        <v>408</v>
      </c>
      <c r="Q1092" s="4" t="s">
        <v>26</v>
      </c>
      <c r="R1092" s="4">
        <v>0</v>
      </c>
      <c r="S1092" s="4" t="s">
        <v>461</v>
      </c>
      <c r="T1092" s="4" t="s">
        <v>694</v>
      </c>
      <c r="U1092" s="4">
        <v>0</v>
      </c>
      <c r="V1092" s="4">
        <v>61</v>
      </c>
      <c r="W1092" s="4">
        <v>7</v>
      </c>
    </row>
    <row r="1093" spans="1:23" ht="11.25" customHeight="1" x14ac:dyDescent="0.25">
      <c r="A1093" s="4" t="s">
        <v>21</v>
      </c>
      <c r="B1093" s="4" t="s">
        <v>37</v>
      </c>
      <c r="C1093" s="4" t="s">
        <v>23</v>
      </c>
      <c r="D1093" s="4" t="s">
        <v>42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44348</v>
      </c>
      <c r="J1093" s="6">
        <v>0</v>
      </c>
      <c r="K1093" s="6">
        <v>0</v>
      </c>
      <c r="L1093" s="6">
        <v>5658.2920000000004</v>
      </c>
      <c r="M1093" s="6">
        <v>5658.2920000000004</v>
      </c>
      <c r="N1093" s="6">
        <v>5658.2920000000004</v>
      </c>
      <c r="O1093" s="6">
        <v>5658.2920000000004</v>
      </c>
      <c r="P1093" s="6">
        <v>14934</v>
      </c>
      <c r="Q1093" s="4" t="s">
        <v>26</v>
      </c>
      <c r="R1093" s="4">
        <v>0</v>
      </c>
      <c r="S1093" s="4" t="s">
        <v>462</v>
      </c>
      <c r="T1093" s="4" t="s">
        <v>695</v>
      </c>
      <c r="U1093" s="4">
        <v>0</v>
      </c>
      <c r="V1093" s="4">
        <v>61</v>
      </c>
      <c r="W1093" s="4">
        <v>7</v>
      </c>
    </row>
    <row r="1094" spans="1:23" ht="11.25" customHeight="1" x14ac:dyDescent="0.25">
      <c r="A1094" s="4" t="s">
        <v>27</v>
      </c>
      <c r="B1094" s="4" t="s">
        <v>37</v>
      </c>
      <c r="C1094" s="4" t="s">
        <v>23</v>
      </c>
      <c r="D1094" s="4" t="s">
        <v>42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44348</v>
      </c>
      <c r="J1094" s="6">
        <v>0</v>
      </c>
      <c r="K1094" s="6">
        <v>0</v>
      </c>
      <c r="L1094" s="6">
        <v>-14.468</v>
      </c>
      <c r="M1094" s="6">
        <v>-14.468</v>
      </c>
      <c r="N1094" s="6">
        <v>-14.468</v>
      </c>
      <c r="O1094" s="6">
        <v>-14.468</v>
      </c>
      <c r="P1094" s="6">
        <v>-7</v>
      </c>
      <c r="Q1094" s="4" t="s">
        <v>26</v>
      </c>
      <c r="R1094" s="4">
        <v>0</v>
      </c>
      <c r="S1094" s="4" t="s">
        <v>462</v>
      </c>
      <c r="T1094" s="4" t="s">
        <v>695</v>
      </c>
      <c r="U1094" s="4">
        <v>0</v>
      </c>
      <c r="V1094" s="4">
        <v>61</v>
      </c>
      <c r="W1094" s="4">
        <v>7</v>
      </c>
    </row>
    <row r="1095" spans="1:23" ht="11.25" customHeight="1" x14ac:dyDescent="0.25">
      <c r="A1095" s="4" t="s">
        <v>28</v>
      </c>
      <c r="B1095" s="4" t="s">
        <v>37</v>
      </c>
      <c r="C1095" s="4" t="s">
        <v>23</v>
      </c>
      <c r="D1095" s="4" t="s">
        <v>42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44348</v>
      </c>
      <c r="J1095" s="6">
        <v>0</v>
      </c>
      <c r="K1095" s="6">
        <v>0</v>
      </c>
      <c r="L1095" s="6">
        <v>339.85199999999998</v>
      </c>
      <c r="M1095" s="6">
        <v>339.85199999999998</v>
      </c>
      <c r="N1095" s="6">
        <v>339.85199999999998</v>
      </c>
      <c r="O1095" s="6">
        <v>339.85199999999998</v>
      </c>
      <c r="P1095" s="6">
        <v>427</v>
      </c>
      <c r="Q1095" s="4" t="s">
        <v>26</v>
      </c>
      <c r="R1095" s="4">
        <v>0</v>
      </c>
      <c r="S1095" s="4" t="s">
        <v>462</v>
      </c>
      <c r="T1095" s="4" t="s">
        <v>695</v>
      </c>
      <c r="U1095" s="4">
        <v>0</v>
      </c>
      <c r="V1095" s="4">
        <v>61</v>
      </c>
      <c r="W1095" s="4">
        <v>7</v>
      </c>
    </row>
    <row r="1096" spans="1:23" ht="11.25" customHeight="1" x14ac:dyDescent="0.25">
      <c r="A1096" s="4" t="s">
        <v>28</v>
      </c>
      <c r="B1096" s="4" t="s">
        <v>37</v>
      </c>
      <c r="C1096" s="4" t="s">
        <v>23</v>
      </c>
      <c r="D1096" s="4" t="s">
        <v>42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44348</v>
      </c>
      <c r="J1096" s="6">
        <v>0</v>
      </c>
      <c r="K1096" s="6">
        <v>0</v>
      </c>
      <c r="L1096" s="6">
        <v>-7.0999999999999994E-2</v>
      </c>
      <c r="M1096" s="6">
        <v>-7.0999999999999994E-2</v>
      </c>
      <c r="N1096" s="6">
        <v>-7.0999999999999994E-2</v>
      </c>
      <c r="O1096" s="6">
        <v>-7.0999999999999994E-2</v>
      </c>
      <c r="P1096" s="6">
        <v>0</v>
      </c>
      <c r="Q1096" s="4" t="s">
        <v>26</v>
      </c>
      <c r="R1096" s="4">
        <v>0</v>
      </c>
      <c r="S1096" s="4" t="s">
        <v>462</v>
      </c>
      <c r="T1096" s="4" t="s">
        <v>695</v>
      </c>
      <c r="U1096" s="4">
        <v>0</v>
      </c>
      <c r="V1096" s="4">
        <v>61</v>
      </c>
      <c r="W1096" s="4">
        <v>7</v>
      </c>
    </row>
    <row r="1097" spans="1:23" ht="11.25" customHeight="1" x14ac:dyDescent="0.25">
      <c r="A1097" s="4" t="s">
        <v>21</v>
      </c>
      <c r="B1097" s="4" t="s">
        <v>37</v>
      </c>
      <c r="C1097" s="4" t="s">
        <v>23</v>
      </c>
      <c r="D1097" s="4" t="s">
        <v>42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44378</v>
      </c>
      <c r="J1097" s="6">
        <v>0</v>
      </c>
      <c r="K1097" s="6">
        <v>0</v>
      </c>
      <c r="L1097" s="6">
        <v>6032.2740000000003</v>
      </c>
      <c r="M1097" s="6">
        <v>6032.2740000000003</v>
      </c>
      <c r="N1097" s="6">
        <v>6032.2740000000003</v>
      </c>
      <c r="O1097" s="6">
        <v>6032.2740000000003</v>
      </c>
      <c r="P1097" s="6">
        <v>14943</v>
      </c>
      <c r="Q1097" s="4" t="s">
        <v>26</v>
      </c>
      <c r="R1097" s="4">
        <v>0</v>
      </c>
      <c r="S1097" s="4" t="s">
        <v>463</v>
      </c>
      <c r="T1097" s="4" t="s">
        <v>696</v>
      </c>
      <c r="U1097" s="4">
        <v>0</v>
      </c>
      <c r="V1097" s="4">
        <v>61</v>
      </c>
      <c r="W1097" s="4">
        <v>7</v>
      </c>
    </row>
    <row r="1098" spans="1:23" ht="11.25" customHeight="1" x14ac:dyDescent="0.25">
      <c r="A1098" s="4" t="s">
        <v>27</v>
      </c>
      <c r="B1098" s="4" t="s">
        <v>37</v>
      </c>
      <c r="C1098" s="4" t="s">
        <v>23</v>
      </c>
      <c r="D1098" s="4" t="s">
        <v>42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44378</v>
      </c>
      <c r="J1098" s="6">
        <v>0</v>
      </c>
      <c r="K1098" s="6">
        <v>0</v>
      </c>
      <c r="L1098" s="6">
        <v>-1.958</v>
      </c>
      <c r="M1098" s="6">
        <v>-1.958</v>
      </c>
      <c r="N1098" s="6">
        <v>-1.958</v>
      </c>
      <c r="O1098" s="6">
        <v>-1.958</v>
      </c>
      <c r="P1098" s="6">
        <v>-1</v>
      </c>
      <c r="Q1098" s="4" t="s">
        <v>26</v>
      </c>
      <c r="R1098" s="4">
        <v>0</v>
      </c>
      <c r="S1098" s="4" t="s">
        <v>463</v>
      </c>
      <c r="T1098" s="4" t="s">
        <v>696</v>
      </c>
      <c r="U1098" s="4">
        <v>0</v>
      </c>
      <c r="V1098" s="4">
        <v>61</v>
      </c>
      <c r="W1098" s="4">
        <v>7</v>
      </c>
    </row>
    <row r="1099" spans="1:23" ht="11.25" customHeight="1" x14ac:dyDescent="0.25">
      <c r="A1099" s="4" t="s">
        <v>28</v>
      </c>
      <c r="B1099" s="4" t="s">
        <v>37</v>
      </c>
      <c r="C1099" s="4" t="s">
        <v>23</v>
      </c>
      <c r="D1099" s="4" t="s">
        <v>42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44378</v>
      </c>
      <c r="J1099" s="6">
        <v>0</v>
      </c>
      <c r="K1099" s="6">
        <v>0</v>
      </c>
      <c r="L1099" s="6">
        <v>373.64800000000002</v>
      </c>
      <c r="M1099" s="6">
        <v>373.64800000000002</v>
      </c>
      <c r="N1099" s="6">
        <v>373.64800000000002</v>
      </c>
      <c r="O1099" s="6">
        <v>373.64800000000002</v>
      </c>
      <c r="P1099" s="6">
        <v>450</v>
      </c>
      <c r="Q1099" s="4" t="s">
        <v>26</v>
      </c>
      <c r="R1099" s="4">
        <v>0</v>
      </c>
      <c r="S1099" s="4" t="s">
        <v>463</v>
      </c>
      <c r="T1099" s="4" t="s">
        <v>696</v>
      </c>
      <c r="U1099" s="4">
        <v>0</v>
      </c>
      <c r="V1099" s="4">
        <v>61</v>
      </c>
      <c r="W1099" s="4">
        <v>7</v>
      </c>
    </row>
    <row r="1100" spans="1:23" ht="11.25" customHeight="1" x14ac:dyDescent="0.25">
      <c r="A1100" s="4" t="s">
        <v>21</v>
      </c>
      <c r="B1100" s="4" t="s">
        <v>37</v>
      </c>
      <c r="C1100" s="4" t="s">
        <v>23</v>
      </c>
      <c r="D1100" s="4" t="s">
        <v>42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44409</v>
      </c>
      <c r="J1100" s="6">
        <v>0</v>
      </c>
      <c r="K1100" s="6">
        <v>0</v>
      </c>
      <c r="L1100" s="6">
        <v>5650.2250000000004</v>
      </c>
      <c r="M1100" s="6">
        <v>5650.2250000000004</v>
      </c>
      <c r="N1100" s="6">
        <v>5650.2250000000004</v>
      </c>
      <c r="O1100" s="6">
        <v>5650.2250000000004</v>
      </c>
      <c r="P1100" s="6">
        <v>14938</v>
      </c>
      <c r="Q1100" s="4" t="s">
        <v>26</v>
      </c>
      <c r="R1100" s="4">
        <v>0</v>
      </c>
      <c r="S1100" s="4" t="s">
        <v>464</v>
      </c>
      <c r="T1100" s="4" t="s">
        <v>697</v>
      </c>
      <c r="U1100" s="4">
        <v>0</v>
      </c>
      <c r="V1100" s="4">
        <v>61</v>
      </c>
      <c r="W1100" s="4">
        <v>7</v>
      </c>
    </row>
    <row r="1101" spans="1:23" ht="11.25" customHeight="1" x14ac:dyDescent="0.25">
      <c r="A1101" s="4" t="s">
        <v>27</v>
      </c>
      <c r="B1101" s="4" t="s">
        <v>37</v>
      </c>
      <c r="C1101" s="4" t="s">
        <v>23</v>
      </c>
      <c r="D1101" s="4" t="s">
        <v>42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44409</v>
      </c>
      <c r="J1101" s="6">
        <v>0</v>
      </c>
      <c r="K1101" s="6">
        <v>0</v>
      </c>
      <c r="L1101" s="6">
        <v>-17.959</v>
      </c>
      <c r="M1101" s="6">
        <v>-17.959</v>
      </c>
      <c r="N1101" s="6">
        <v>-17.959</v>
      </c>
      <c r="O1101" s="6">
        <v>-17.959</v>
      </c>
      <c r="P1101" s="6">
        <v>-2</v>
      </c>
      <c r="Q1101" s="4" t="s">
        <v>26</v>
      </c>
      <c r="R1101" s="4">
        <v>0</v>
      </c>
      <c r="S1101" s="4" t="s">
        <v>464</v>
      </c>
      <c r="T1101" s="4" t="s">
        <v>697</v>
      </c>
      <c r="U1101" s="4">
        <v>0</v>
      </c>
      <c r="V1101" s="4">
        <v>61</v>
      </c>
      <c r="W1101" s="4">
        <v>7</v>
      </c>
    </row>
    <row r="1102" spans="1:23" ht="11.25" customHeight="1" x14ac:dyDescent="0.25">
      <c r="A1102" s="4" t="s">
        <v>28</v>
      </c>
      <c r="B1102" s="4" t="s">
        <v>37</v>
      </c>
      <c r="C1102" s="4" t="s">
        <v>23</v>
      </c>
      <c r="D1102" s="4" t="s">
        <v>42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44409</v>
      </c>
      <c r="J1102" s="6">
        <v>0</v>
      </c>
      <c r="K1102" s="6">
        <v>0</v>
      </c>
      <c r="L1102" s="6">
        <v>371.334</v>
      </c>
      <c r="M1102" s="6">
        <v>371.334</v>
      </c>
      <c r="N1102" s="6">
        <v>371.334</v>
      </c>
      <c r="O1102" s="6">
        <v>371.334</v>
      </c>
      <c r="P1102" s="6">
        <v>479</v>
      </c>
      <c r="Q1102" s="4" t="s">
        <v>26</v>
      </c>
      <c r="R1102" s="4">
        <v>0</v>
      </c>
      <c r="S1102" s="4" t="s">
        <v>464</v>
      </c>
      <c r="T1102" s="4" t="s">
        <v>697</v>
      </c>
      <c r="U1102" s="4">
        <v>0</v>
      </c>
      <c r="V1102" s="4">
        <v>61</v>
      </c>
      <c r="W1102" s="4">
        <v>7</v>
      </c>
    </row>
    <row r="1103" spans="1:23" ht="11.25" customHeight="1" x14ac:dyDescent="0.25">
      <c r="A1103" s="4" t="s">
        <v>21</v>
      </c>
      <c r="B1103" s="4" t="s">
        <v>37</v>
      </c>
      <c r="C1103" s="4" t="s">
        <v>23</v>
      </c>
      <c r="D1103" s="4" t="s">
        <v>42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44440</v>
      </c>
      <c r="J1103" s="6">
        <v>0</v>
      </c>
      <c r="K1103" s="6">
        <v>0</v>
      </c>
      <c r="L1103" s="6">
        <v>5692.8609999999999</v>
      </c>
      <c r="M1103" s="6">
        <v>5692.8609999999999</v>
      </c>
      <c r="N1103" s="6">
        <v>5692.8609999999999</v>
      </c>
      <c r="O1103" s="6">
        <v>5692.8609999999999</v>
      </c>
      <c r="P1103" s="6">
        <v>14936</v>
      </c>
      <c r="Q1103" s="4" t="s">
        <v>26</v>
      </c>
      <c r="R1103" s="4">
        <v>0</v>
      </c>
      <c r="S1103" s="4" t="s">
        <v>465</v>
      </c>
      <c r="T1103" s="4" t="s">
        <v>698</v>
      </c>
      <c r="U1103" s="4">
        <v>0</v>
      </c>
      <c r="V1103" s="4">
        <v>61</v>
      </c>
      <c r="W1103" s="4">
        <v>7</v>
      </c>
    </row>
    <row r="1104" spans="1:23" ht="11.25" customHeight="1" x14ac:dyDescent="0.25">
      <c r="A1104" s="4" t="s">
        <v>27</v>
      </c>
      <c r="B1104" s="4" t="s">
        <v>37</v>
      </c>
      <c r="C1104" s="4" t="s">
        <v>23</v>
      </c>
      <c r="D1104" s="4" t="s">
        <v>42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44440</v>
      </c>
      <c r="J1104" s="6">
        <v>0</v>
      </c>
      <c r="K1104" s="6">
        <v>0</v>
      </c>
      <c r="L1104" s="6">
        <v>-20.847999999999999</v>
      </c>
      <c r="M1104" s="6">
        <v>-20.847999999999999</v>
      </c>
      <c r="N1104" s="6">
        <v>-20.847999999999999</v>
      </c>
      <c r="O1104" s="6">
        <v>-20.847999999999999</v>
      </c>
      <c r="P1104" s="6">
        <v>-7</v>
      </c>
      <c r="Q1104" s="4" t="s">
        <v>26</v>
      </c>
      <c r="R1104" s="4">
        <v>0</v>
      </c>
      <c r="S1104" s="4" t="s">
        <v>465</v>
      </c>
      <c r="T1104" s="4" t="s">
        <v>698</v>
      </c>
      <c r="U1104" s="4">
        <v>0</v>
      </c>
      <c r="V1104" s="4">
        <v>61</v>
      </c>
      <c r="W1104" s="4">
        <v>7</v>
      </c>
    </row>
    <row r="1105" spans="1:23" ht="11.25" customHeight="1" x14ac:dyDescent="0.25">
      <c r="A1105" s="4" t="s">
        <v>28</v>
      </c>
      <c r="B1105" s="4" t="s">
        <v>37</v>
      </c>
      <c r="C1105" s="4" t="s">
        <v>23</v>
      </c>
      <c r="D1105" s="4" t="s">
        <v>42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44440</v>
      </c>
      <c r="J1105" s="6">
        <v>0</v>
      </c>
      <c r="K1105" s="6">
        <v>0</v>
      </c>
      <c r="L1105" s="6">
        <v>312.32900000000001</v>
      </c>
      <c r="M1105" s="6">
        <v>312.32900000000001</v>
      </c>
      <c r="N1105" s="6">
        <v>312.32900000000001</v>
      </c>
      <c r="O1105" s="6">
        <v>312.32900000000001</v>
      </c>
      <c r="P1105" s="6">
        <v>507</v>
      </c>
      <c r="Q1105" s="4" t="s">
        <v>26</v>
      </c>
      <c r="R1105" s="4">
        <v>0</v>
      </c>
      <c r="S1105" s="4" t="s">
        <v>465</v>
      </c>
      <c r="T1105" s="4" t="s">
        <v>698</v>
      </c>
      <c r="U1105" s="4">
        <v>0</v>
      </c>
      <c r="V1105" s="4">
        <v>61</v>
      </c>
      <c r="W1105" s="4">
        <v>7</v>
      </c>
    </row>
    <row r="1106" spans="1:23" ht="11.25" customHeight="1" x14ac:dyDescent="0.25">
      <c r="A1106" s="4" t="s">
        <v>21</v>
      </c>
      <c r="B1106" s="4" t="s">
        <v>37</v>
      </c>
      <c r="C1106" s="4" t="s">
        <v>23</v>
      </c>
      <c r="D1106" s="4" t="s">
        <v>42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44470</v>
      </c>
      <c r="J1106" s="6">
        <v>0</v>
      </c>
      <c r="K1106" s="6">
        <v>0</v>
      </c>
      <c r="L1106" s="6">
        <v>6164.9219999999996</v>
      </c>
      <c r="M1106" s="6">
        <v>6164.9219999999996</v>
      </c>
      <c r="N1106" s="6">
        <v>6164.9219999999996</v>
      </c>
      <c r="O1106" s="6">
        <v>6164.9219999999996</v>
      </c>
      <c r="P1106" s="6">
        <v>14921</v>
      </c>
      <c r="Q1106" s="4" t="s">
        <v>26</v>
      </c>
      <c r="R1106" s="4">
        <v>0</v>
      </c>
      <c r="S1106" s="4" t="s">
        <v>466</v>
      </c>
      <c r="T1106" s="4" t="s">
        <v>699</v>
      </c>
      <c r="U1106" s="4">
        <v>0</v>
      </c>
      <c r="V1106" s="4">
        <v>61</v>
      </c>
      <c r="W1106" s="4">
        <v>7</v>
      </c>
    </row>
    <row r="1107" spans="1:23" ht="11.25" customHeight="1" x14ac:dyDescent="0.25">
      <c r="A1107" s="4" t="s">
        <v>27</v>
      </c>
      <c r="B1107" s="4" t="s">
        <v>37</v>
      </c>
      <c r="C1107" s="4" t="s">
        <v>23</v>
      </c>
      <c r="D1107" s="4" t="s">
        <v>42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44470</v>
      </c>
      <c r="J1107" s="6">
        <v>0</v>
      </c>
      <c r="K1107" s="6">
        <v>0</v>
      </c>
      <c r="L1107" s="6">
        <v>-4.9240000000000004</v>
      </c>
      <c r="M1107" s="6">
        <v>-4.9240000000000004</v>
      </c>
      <c r="N1107" s="6">
        <v>-4.9240000000000004</v>
      </c>
      <c r="O1107" s="6">
        <v>-4.9240000000000004</v>
      </c>
      <c r="P1107" s="6">
        <v>-3</v>
      </c>
      <c r="Q1107" s="4" t="s">
        <v>26</v>
      </c>
      <c r="R1107" s="4">
        <v>0</v>
      </c>
      <c r="S1107" s="4" t="s">
        <v>466</v>
      </c>
      <c r="T1107" s="4" t="s">
        <v>699</v>
      </c>
      <c r="U1107" s="4">
        <v>0</v>
      </c>
      <c r="V1107" s="4">
        <v>61</v>
      </c>
      <c r="W1107" s="4">
        <v>7</v>
      </c>
    </row>
    <row r="1108" spans="1:23" ht="11.25" customHeight="1" x14ac:dyDescent="0.25">
      <c r="A1108" s="4" t="s">
        <v>28</v>
      </c>
      <c r="B1108" s="4" t="s">
        <v>37</v>
      </c>
      <c r="C1108" s="4" t="s">
        <v>23</v>
      </c>
      <c r="D1108" s="4" t="s">
        <v>42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44470</v>
      </c>
      <c r="J1108" s="6">
        <v>0</v>
      </c>
      <c r="K1108" s="6">
        <v>0</v>
      </c>
      <c r="L1108" s="6">
        <v>380.94900000000001</v>
      </c>
      <c r="M1108" s="6">
        <v>380.94900000000001</v>
      </c>
      <c r="N1108" s="6">
        <v>380.94900000000001</v>
      </c>
      <c r="O1108" s="6">
        <v>380.94900000000001</v>
      </c>
      <c r="P1108" s="6">
        <v>540</v>
      </c>
      <c r="Q1108" s="4" t="s">
        <v>26</v>
      </c>
      <c r="R1108" s="4">
        <v>0</v>
      </c>
      <c r="S1108" s="4" t="s">
        <v>466</v>
      </c>
      <c r="T1108" s="4" t="s">
        <v>699</v>
      </c>
      <c r="U1108" s="4">
        <v>0</v>
      </c>
      <c r="V1108" s="4">
        <v>61</v>
      </c>
      <c r="W1108" s="4">
        <v>7</v>
      </c>
    </row>
    <row r="1109" spans="1:23" ht="11.25" customHeight="1" x14ac:dyDescent="0.25">
      <c r="A1109" s="4" t="s">
        <v>21</v>
      </c>
      <c r="B1109" s="4" t="s">
        <v>37</v>
      </c>
      <c r="C1109" s="4" t="s">
        <v>23</v>
      </c>
      <c r="D1109" s="4" t="s">
        <v>42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44501</v>
      </c>
      <c r="J1109" s="6">
        <v>0</v>
      </c>
      <c r="K1109" s="6">
        <v>0</v>
      </c>
      <c r="L1109" s="6">
        <v>6316.9679999999998</v>
      </c>
      <c r="M1109" s="6">
        <v>6316.9679999999998</v>
      </c>
      <c r="N1109" s="6">
        <v>6316.9679999999998</v>
      </c>
      <c r="O1109" s="6">
        <v>6316.9679999999998</v>
      </c>
      <c r="P1109" s="6">
        <v>14928</v>
      </c>
      <c r="Q1109" s="4" t="s">
        <v>26</v>
      </c>
      <c r="R1109" s="4">
        <v>0</v>
      </c>
      <c r="S1109" s="4" t="s">
        <v>467</v>
      </c>
      <c r="T1109" s="4" t="s">
        <v>700</v>
      </c>
      <c r="U1109" s="4">
        <v>0</v>
      </c>
      <c r="V1109" s="4">
        <v>61</v>
      </c>
      <c r="W1109" s="4">
        <v>7</v>
      </c>
    </row>
    <row r="1110" spans="1:23" ht="11.25" customHeight="1" x14ac:dyDescent="0.25">
      <c r="A1110" s="4" t="s">
        <v>27</v>
      </c>
      <c r="B1110" s="4" t="s">
        <v>37</v>
      </c>
      <c r="C1110" s="4" t="s">
        <v>23</v>
      </c>
      <c r="D1110" s="4" t="s">
        <v>42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44501</v>
      </c>
      <c r="J1110" s="6">
        <v>0</v>
      </c>
      <c r="K1110" s="6">
        <v>0</v>
      </c>
      <c r="L1110" s="6">
        <v>-0.91600000000000004</v>
      </c>
      <c r="M1110" s="6">
        <v>-0.91600000000000004</v>
      </c>
      <c r="N1110" s="6">
        <v>-0.91600000000000004</v>
      </c>
      <c r="O1110" s="6">
        <v>-0.91600000000000004</v>
      </c>
      <c r="P1110" s="6">
        <v>-1</v>
      </c>
      <c r="Q1110" s="4" t="s">
        <v>26</v>
      </c>
      <c r="R1110" s="4">
        <v>0</v>
      </c>
      <c r="S1110" s="4" t="s">
        <v>467</v>
      </c>
      <c r="T1110" s="4" t="s">
        <v>700</v>
      </c>
      <c r="U1110" s="4">
        <v>0</v>
      </c>
      <c r="V1110" s="4">
        <v>61</v>
      </c>
      <c r="W1110" s="4">
        <v>7</v>
      </c>
    </row>
    <row r="1111" spans="1:23" ht="11.25" customHeight="1" x14ac:dyDescent="0.25">
      <c r="A1111" s="4" t="s">
        <v>28</v>
      </c>
      <c r="B1111" s="4" t="s">
        <v>37</v>
      </c>
      <c r="C1111" s="4" t="s">
        <v>23</v>
      </c>
      <c r="D1111" s="4" t="s">
        <v>42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44501</v>
      </c>
      <c r="J1111" s="6">
        <v>0</v>
      </c>
      <c r="K1111" s="6">
        <v>0</v>
      </c>
      <c r="L1111" s="6">
        <v>364.74700000000001</v>
      </c>
      <c r="M1111" s="6">
        <v>364.74700000000001</v>
      </c>
      <c r="N1111" s="6">
        <v>364.74700000000001</v>
      </c>
      <c r="O1111" s="6">
        <v>364.74700000000001</v>
      </c>
      <c r="P1111" s="6">
        <v>552</v>
      </c>
      <c r="Q1111" s="4" t="s">
        <v>26</v>
      </c>
      <c r="R1111" s="4">
        <v>0</v>
      </c>
      <c r="S1111" s="4" t="s">
        <v>467</v>
      </c>
      <c r="T1111" s="4" t="s">
        <v>700</v>
      </c>
      <c r="U1111" s="4">
        <v>0</v>
      </c>
      <c r="V1111" s="4">
        <v>61</v>
      </c>
      <c r="W1111" s="4">
        <v>7</v>
      </c>
    </row>
    <row r="1112" spans="1:23" ht="11.25" customHeight="1" x14ac:dyDescent="0.25">
      <c r="A1112" s="4" t="s">
        <v>28</v>
      </c>
      <c r="B1112" s="4" t="s">
        <v>37</v>
      </c>
      <c r="C1112" s="4" t="s">
        <v>23</v>
      </c>
      <c r="D1112" s="4" t="s">
        <v>42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44501</v>
      </c>
      <c r="J1112" s="6">
        <v>0</v>
      </c>
      <c r="K1112" s="6">
        <v>0</v>
      </c>
      <c r="L1112" s="6">
        <v>-0.97599999999999998</v>
      </c>
      <c r="M1112" s="6">
        <v>-0.97599999999999998</v>
      </c>
      <c r="N1112" s="6">
        <v>-0.97599999999999998</v>
      </c>
      <c r="O1112" s="6">
        <v>-0.97599999999999998</v>
      </c>
      <c r="P1112" s="6">
        <v>0</v>
      </c>
      <c r="Q1112" s="4" t="s">
        <v>26</v>
      </c>
      <c r="R1112" s="4">
        <v>0</v>
      </c>
      <c r="S1112" s="4" t="s">
        <v>467</v>
      </c>
      <c r="T1112" s="4" t="s">
        <v>700</v>
      </c>
      <c r="U1112" s="4">
        <v>0</v>
      </c>
      <c r="V1112" s="4">
        <v>61</v>
      </c>
      <c r="W1112" s="4">
        <v>7</v>
      </c>
    </row>
    <row r="1113" spans="1:23" ht="11.25" customHeight="1" x14ac:dyDescent="0.25">
      <c r="A1113" s="4" t="s">
        <v>21</v>
      </c>
      <c r="B1113" s="4" t="s">
        <v>37</v>
      </c>
      <c r="C1113" s="4" t="s">
        <v>23</v>
      </c>
      <c r="D1113" s="4" t="s">
        <v>42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44531</v>
      </c>
      <c r="J1113" s="6">
        <v>0</v>
      </c>
      <c r="K1113" s="6">
        <v>0</v>
      </c>
      <c r="L1113" s="6">
        <v>6604.2439999999997</v>
      </c>
      <c r="M1113" s="6">
        <v>6604.2439999999997</v>
      </c>
      <c r="N1113" s="6">
        <v>6604.2439999999997</v>
      </c>
      <c r="O1113" s="6">
        <v>6604.2439999999997</v>
      </c>
      <c r="P1113" s="6">
        <v>14954</v>
      </c>
      <c r="Q1113" s="4" t="s">
        <v>26</v>
      </c>
      <c r="R1113" s="4">
        <v>0</v>
      </c>
      <c r="S1113" s="4" t="s">
        <v>468</v>
      </c>
      <c r="T1113" s="4" t="s">
        <v>701</v>
      </c>
      <c r="U1113" s="4">
        <v>0</v>
      </c>
      <c r="V1113" s="4">
        <v>61</v>
      </c>
      <c r="W1113" s="4">
        <v>7</v>
      </c>
    </row>
    <row r="1114" spans="1:23" ht="11.25" customHeight="1" x14ac:dyDescent="0.25">
      <c r="A1114" s="4" t="s">
        <v>28</v>
      </c>
      <c r="B1114" s="4" t="s">
        <v>37</v>
      </c>
      <c r="C1114" s="4" t="s">
        <v>23</v>
      </c>
      <c r="D1114" s="4" t="s">
        <v>42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44531</v>
      </c>
      <c r="J1114" s="6">
        <v>0</v>
      </c>
      <c r="K1114" s="6">
        <v>0</v>
      </c>
      <c r="L1114" s="6">
        <v>445.19299999999998</v>
      </c>
      <c r="M1114" s="6">
        <v>445.19299999999998</v>
      </c>
      <c r="N1114" s="6">
        <v>445.19299999999998</v>
      </c>
      <c r="O1114" s="6">
        <v>445.19299999999998</v>
      </c>
      <c r="P1114" s="6">
        <v>589</v>
      </c>
      <c r="Q1114" s="4" t="s">
        <v>26</v>
      </c>
      <c r="R1114" s="4">
        <v>0</v>
      </c>
      <c r="S1114" s="4" t="s">
        <v>468</v>
      </c>
      <c r="T1114" s="4" t="s">
        <v>701</v>
      </c>
      <c r="U1114" s="4">
        <v>0</v>
      </c>
      <c r="V1114" s="4">
        <v>61</v>
      </c>
      <c r="W1114" s="4">
        <v>7</v>
      </c>
    </row>
    <row r="1115" spans="1:23" ht="11.25" customHeight="1" x14ac:dyDescent="0.25">
      <c r="A1115" s="4" t="s">
        <v>28</v>
      </c>
      <c r="B1115" s="4" t="s">
        <v>37</v>
      </c>
      <c r="C1115" s="4" t="s">
        <v>23</v>
      </c>
      <c r="D1115" s="4" t="s">
        <v>42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44531</v>
      </c>
      <c r="J1115" s="6">
        <v>0</v>
      </c>
      <c r="K1115" s="6">
        <v>0</v>
      </c>
      <c r="L1115" s="6">
        <v>-0.27100000000000002</v>
      </c>
      <c r="M1115" s="6">
        <v>-0.27100000000000002</v>
      </c>
      <c r="N1115" s="6">
        <v>-0.27100000000000002</v>
      </c>
      <c r="O1115" s="6">
        <v>-0.27100000000000002</v>
      </c>
      <c r="P1115" s="6">
        <v>0</v>
      </c>
      <c r="Q1115" s="4" t="s">
        <v>26</v>
      </c>
      <c r="R1115" s="4">
        <v>0</v>
      </c>
      <c r="S1115" s="4" t="s">
        <v>468</v>
      </c>
      <c r="T1115" s="4" t="s">
        <v>701</v>
      </c>
      <c r="U1115" s="4">
        <v>0</v>
      </c>
      <c r="V1115" s="4">
        <v>61</v>
      </c>
      <c r="W1115" s="4">
        <v>7</v>
      </c>
    </row>
    <row r="1116" spans="1:23" ht="11.25" customHeight="1" x14ac:dyDescent="0.25">
      <c r="A1116" s="4" t="s">
        <v>55</v>
      </c>
      <c r="B1116" s="4" t="s">
        <v>37</v>
      </c>
      <c r="C1116" s="4" t="s">
        <v>23</v>
      </c>
      <c r="D1116" s="4" t="s">
        <v>42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44562</v>
      </c>
      <c r="J1116" s="6">
        <v>0</v>
      </c>
      <c r="K1116" s="6">
        <v>0</v>
      </c>
      <c r="L1116" s="6">
        <v>6604.2439999999997</v>
      </c>
      <c r="M1116" s="6">
        <v>6604.2439999999997</v>
      </c>
      <c r="N1116" s="6">
        <v>6604.2439999999997</v>
      </c>
      <c r="O1116" s="6">
        <v>6604.2439999999997</v>
      </c>
      <c r="P1116" s="6">
        <v>14954</v>
      </c>
      <c r="Q1116" s="4" t="s">
        <v>26</v>
      </c>
      <c r="R1116" s="4">
        <v>0</v>
      </c>
      <c r="S1116" s="4" t="s">
        <v>469</v>
      </c>
      <c r="T1116" s="4" t="s">
        <v>702</v>
      </c>
      <c r="U1116" s="4">
        <v>0</v>
      </c>
      <c r="V1116" s="4">
        <v>61</v>
      </c>
      <c r="W1116" s="4">
        <v>7</v>
      </c>
    </row>
    <row r="1117" spans="1:23" ht="11.25" customHeight="1" x14ac:dyDescent="0.25">
      <c r="A1117" s="4" t="s">
        <v>55</v>
      </c>
      <c r="B1117" s="4" t="s">
        <v>37</v>
      </c>
      <c r="C1117" s="4" t="s">
        <v>23</v>
      </c>
      <c r="D1117" s="4" t="s">
        <v>42</v>
      </c>
      <c r="E1117" s="4" t="s">
        <v>25</v>
      </c>
      <c r="F1117" s="4" t="s">
        <v>25</v>
      </c>
      <c r="G1117" s="4" t="s">
        <v>25</v>
      </c>
      <c r="H1117" s="4" t="s">
        <v>25</v>
      </c>
      <c r="I1117" s="5">
        <v>44562</v>
      </c>
      <c r="J1117" s="6">
        <v>0</v>
      </c>
      <c r="K1117" s="6">
        <v>0</v>
      </c>
      <c r="L1117" s="6">
        <v>445.19299999999998</v>
      </c>
      <c r="M1117" s="6">
        <v>445.19299999999998</v>
      </c>
      <c r="N1117" s="6">
        <v>445.19299999999998</v>
      </c>
      <c r="O1117" s="6">
        <v>445.19299999999998</v>
      </c>
      <c r="P1117" s="6">
        <v>589</v>
      </c>
      <c r="Q1117" s="4" t="s">
        <v>26</v>
      </c>
      <c r="R1117" s="4">
        <v>0</v>
      </c>
      <c r="S1117" s="4" t="s">
        <v>469</v>
      </c>
      <c r="T1117" s="4" t="s">
        <v>702</v>
      </c>
      <c r="U1117" s="4">
        <v>0</v>
      </c>
      <c r="V1117" s="4">
        <v>61</v>
      </c>
      <c r="W1117" s="4">
        <v>7</v>
      </c>
    </row>
    <row r="1118" spans="1:23" ht="11.25" customHeight="1" x14ac:dyDescent="0.25">
      <c r="A1118" s="4" t="s">
        <v>55</v>
      </c>
      <c r="B1118" s="4" t="s">
        <v>37</v>
      </c>
      <c r="C1118" s="4" t="s">
        <v>23</v>
      </c>
      <c r="D1118" s="4" t="s">
        <v>42</v>
      </c>
      <c r="E1118" s="4" t="s">
        <v>25</v>
      </c>
      <c r="F1118" s="4" t="s">
        <v>25</v>
      </c>
      <c r="G1118" s="4" t="s">
        <v>25</v>
      </c>
      <c r="H1118" s="4" t="s">
        <v>25</v>
      </c>
      <c r="I1118" s="5">
        <v>44562</v>
      </c>
      <c r="J1118" s="6">
        <v>0</v>
      </c>
      <c r="K1118" s="6">
        <v>0</v>
      </c>
      <c r="L1118" s="6">
        <v>-0.27100000000000002</v>
      </c>
      <c r="M1118" s="6">
        <v>-0.27100000000000002</v>
      </c>
      <c r="N1118" s="6">
        <v>-0.27100000000000002</v>
      </c>
      <c r="O1118" s="6">
        <v>-0.27100000000000002</v>
      </c>
      <c r="P1118" s="6">
        <v>0</v>
      </c>
      <c r="Q1118" s="4" t="s">
        <v>26</v>
      </c>
      <c r="R1118" s="4">
        <v>0</v>
      </c>
      <c r="S1118" s="4" t="s">
        <v>469</v>
      </c>
      <c r="T1118" s="4" t="s">
        <v>702</v>
      </c>
      <c r="U1118" s="4">
        <v>0</v>
      </c>
      <c r="V1118" s="4">
        <v>61</v>
      </c>
      <c r="W1118" s="4">
        <v>7</v>
      </c>
    </row>
    <row r="1119" spans="1:23" ht="11.25" customHeight="1" x14ac:dyDescent="0.25">
      <c r="A1119" s="4" t="s">
        <v>21</v>
      </c>
      <c r="B1119" s="4" t="s">
        <v>37</v>
      </c>
      <c r="C1119" s="4" t="s">
        <v>23</v>
      </c>
      <c r="D1119" s="4" t="s">
        <v>51</v>
      </c>
      <c r="E1119" s="4" t="s">
        <v>25</v>
      </c>
      <c r="F1119" s="4" t="s">
        <v>25</v>
      </c>
      <c r="G1119" s="4" t="s">
        <v>25</v>
      </c>
      <c r="H1119" s="4" t="s">
        <v>25</v>
      </c>
      <c r="I1119" s="5">
        <v>44228</v>
      </c>
      <c r="J1119" s="6">
        <v>0</v>
      </c>
      <c r="K1119" s="6">
        <v>0</v>
      </c>
      <c r="L1119" s="6">
        <v>5.6680000000000001</v>
      </c>
      <c r="M1119" s="6">
        <v>5.6680000000000001</v>
      </c>
      <c r="N1119" s="6">
        <v>5.6680000000000001</v>
      </c>
      <c r="O1119" s="6">
        <v>5.6680000000000001</v>
      </c>
      <c r="P1119" s="6">
        <v>10</v>
      </c>
      <c r="Q1119" s="4" t="s">
        <v>26</v>
      </c>
      <c r="R1119" s="4">
        <v>0</v>
      </c>
      <c r="S1119" s="4" t="s">
        <v>458</v>
      </c>
      <c r="T1119" s="4" t="s">
        <v>691</v>
      </c>
      <c r="U1119" s="4">
        <v>0</v>
      </c>
      <c r="V1119" s="4">
        <v>61</v>
      </c>
      <c r="W1119" s="4">
        <v>7</v>
      </c>
    </row>
    <row r="1120" spans="1:23" ht="11.25" customHeight="1" x14ac:dyDescent="0.25">
      <c r="A1120" s="4" t="s">
        <v>21</v>
      </c>
      <c r="B1120" s="4" t="s">
        <v>37</v>
      </c>
      <c r="C1120" s="4" t="s">
        <v>23</v>
      </c>
      <c r="D1120" s="4" t="s">
        <v>51</v>
      </c>
      <c r="E1120" s="4" t="s">
        <v>25</v>
      </c>
      <c r="F1120" s="4" t="s">
        <v>25</v>
      </c>
      <c r="G1120" s="4" t="s">
        <v>25</v>
      </c>
      <c r="H1120" s="4" t="s">
        <v>25</v>
      </c>
      <c r="I1120" s="5">
        <v>44256</v>
      </c>
      <c r="J1120" s="6">
        <v>0</v>
      </c>
      <c r="K1120" s="6">
        <v>0</v>
      </c>
      <c r="L1120" s="6">
        <v>6.37</v>
      </c>
      <c r="M1120" s="6">
        <v>6.37</v>
      </c>
      <c r="N1120" s="6">
        <v>6.37</v>
      </c>
      <c r="O1120" s="6">
        <v>6.37</v>
      </c>
      <c r="P1120" s="6">
        <v>10</v>
      </c>
      <c r="Q1120" s="4" t="s">
        <v>26</v>
      </c>
      <c r="R1120" s="4">
        <v>0</v>
      </c>
      <c r="S1120" s="4" t="s">
        <v>459</v>
      </c>
      <c r="T1120" s="4" t="s">
        <v>692</v>
      </c>
      <c r="U1120" s="4">
        <v>0</v>
      </c>
      <c r="V1120" s="4">
        <v>61</v>
      </c>
      <c r="W1120" s="4">
        <v>7</v>
      </c>
    </row>
    <row r="1121" spans="1:23" ht="11.25" customHeight="1" x14ac:dyDescent="0.25">
      <c r="A1121" s="4" t="s">
        <v>21</v>
      </c>
      <c r="B1121" s="4" t="s">
        <v>37</v>
      </c>
      <c r="C1121" s="4" t="s">
        <v>23</v>
      </c>
      <c r="D1121" s="4" t="s">
        <v>51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44287</v>
      </c>
      <c r="J1121" s="6">
        <v>0</v>
      </c>
      <c r="K1121" s="6">
        <v>0</v>
      </c>
      <c r="L1121" s="6">
        <v>6.4660000000000002</v>
      </c>
      <c r="M1121" s="6">
        <v>6.4660000000000002</v>
      </c>
      <c r="N1121" s="6">
        <v>6.4660000000000002</v>
      </c>
      <c r="O1121" s="6">
        <v>6.4660000000000002</v>
      </c>
      <c r="P1121" s="6">
        <v>12</v>
      </c>
      <c r="Q1121" s="4" t="s">
        <v>26</v>
      </c>
      <c r="R1121" s="4">
        <v>0</v>
      </c>
      <c r="S1121" s="4" t="s">
        <v>460</v>
      </c>
      <c r="T1121" s="4" t="s">
        <v>693</v>
      </c>
      <c r="U1121" s="4">
        <v>0</v>
      </c>
      <c r="V1121" s="4">
        <v>61</v>
      </c>
      <c r="W1121" s="4">
        <v>7</v>
      </c>
    </row>
    <row r="1122" spans="1:23" ht="11.25" customHeight="1" x14ac:dyDescent="0.25">
      <c r="A1122" s="4" t="s">
        <v>21</v>
      </c>
      <c r="B1122" s="4" t="s">
        <v>37</v>
      </c>
      <c r="C1122" s="4" t="s">
        <v>23</v>
      </c>
      <c r="D1122" s="4" t="s">
        <v>51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44317</v>
      </c>
      <c r="J1122" s="6">
        <v>0</v>
      </c>
      <c r="K1122" s="6">
        <v>0</v>
      </c>
      <c r="L1122" s="6">
        <v>6.57</v>
      </c>
      <c r="M1122" s="6">
        <v>6.57</v>
      </c>
      <c r="N1122" s="6">
        <v>6.57</v>
      </c>
      <c r="O1122" s="6">
        <v>6.57</v>
      </c>
      <c r="P1122" s="6">
        <v>13</v>
      </c>
      <c r="Q1122" s="4" t="s">
        <v>26</v>
      </c>
      <c r="R1122" s="4">
        <v>0</v>
      </c>
      <c r="S1122" s="4" t="s">
        <v>461</v>
      </c>
      <c r="T1122" s="4" t="s">
        <v>694</v>
      </c>
      <c r="U1122" s="4">
        <v>0</v>
      </c>
      <c r="V1122" s="4">
        <v>61</v>
      </c>
      <c r="W1122" s="4">
        <v>7</v>
      </c>
    </row>
    <row r="1123" spans="1:23" ht="11.25" customHeight="1" x14ac:dyDescent="0.25">
      <c r="A1123" s="4" t="s">
        <v>21</v>
      </c>
      <c r="B1123" s="4" t="s">
        <v>37</v>
      </c>
      <c r="C1123" s="4" t="s">
        <v>23</v>
      </c>
      <c r="D1123" s="4" t="s">
        <v>51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44348</v>
      </c>
      <c r="J1123" s="6">
        <v>0</v>
      </c>
      <c r="K1123" s="6">
        <v>0</v>
      </c>
      <c r="L1123" s="6">
        <v>5.9379999999999997</v>
      </c>
      <c r="M1123" s="6">
        <v>5.9379999999999997</v>
      </c>
      <c r="N1123" s="6">
        <v>5.9379999999999997</v>
      </c>
      <c r="O1123" s="6">
        <v>5.9379999999999997</v>
      </c>
      <c r="P1123" s="6">
        <v>13</v>
      </c>
      <c r="Q1123" s="4" t="s">
        <v>26</v>
      </c>
      <c r="R1123" s="4">
        <v>0</v>
      </c>
      <c r="S1123" s="4" t="s">
        <v>462</v>
      </c>
      <c r="T1123" s="4" t="s">
        <v>695</v>
      </c>
      <c r="U1123" s="4">
        <v>0</v>
      </c>
      <c r="V1123" s="4">
        <v>61</v>
      </c>
      <c r="W1123" s="4">
        <v>7</v>
      </c>
    </row>
    <row r="1124" spans="1:23" ht="11.25" customHeight="1" x14ac:dyDescent="0.25">
      <c r="A1124" s="4" t="s">
        <v>21</v>
      </c>
      <c r="B1124" s="4" t="s">
        <v>37</v>
      </c>
      <c r="C1124" s="4" t="s">
        <v>23</v>
      </c>
      <c r="D1124" s="4" t="s">
        <v>51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44378</v>
      </c>
      <c r="J1124" s="6">
        <v>0</v>
      </c>
      <c r="K1124" s="6">
        <v>0</v>
      </c>
      <c r="L1124" s="6">
        <v>6.6929999999999996</v>
      </c>
      <c r="M1124" s="6">
        <v>6.6929999999999996</v>
      </c>
      <c r="N1124" s="6">
        <v>6.6929999999999996</v>
      </c>
      <c r="O1124" s="6">
        <v>6.6929999999999996</v>
      </c>
      <c r="P1124" s="6">
        <v>13</v>
      </c>
      <c r="Q1124" s="4" t="s">
        <v>26</v>
      </c>
      <c r="R1124" s="4">
        <v>0</v>
      </c>
      <c r="S1124" s="4" t="s">
        <v>463</v>
      </c>
      <c r="T1124" s="4" t="s">
        <v>696</v>
      </c>
      <c r="U1124" s="4">
        <v>0</v>
      </c>
      <c r="V1124" s="4">
        <v>61</v>
      </c>
      <c r="W1124" s="4">
        <v>7</v>
      </c>
    </row>
    <row r="1125" spans="1:23" ht="11.25" customHeight="1" x14ac:dyDescent="0.25">
      <c r="A1125" s="4" t="s">
        <v>21</v>
      </c>
      <c r="B1125" s="4" t="s">
        <v>37</v>
      </c>
      <c r="C1125" s="4" t="s">
        <v>23</v>
      </c>
      <c r="D1125" s="4" t="s">
        <v>51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44409</v>
      </c>
      <c r="J1125" s="6">
        <v>0</v>
      </c>
      <c r="K1125" s="6">
        <v>0</v>
      </c>
      <c r="L1125" s="6">
        <v>5.8540000000000001</v>
      </c>
      <c r="M1125" s="6">
        <v>5.8540000000000001</v>
      </c>
      <c r="N1125" s="6">
        <v>5.8540000000000001</v>
      </c>
      <c r="O1125" s="6">
        <v>5.8540000000000001</v>
      </c>
      <c r="P1125" s="6">
        <v>11</v>
      </c>
      <c r="Q1125" s="4" t="s">
        <v>26</v>
      </c>
      <c r="R1125" s="4">
        <v>0</v>
      </c>
      <c r="S1125" s="4" t="s">
        <v>464</v>
      </c>
      <c r="T1125" s="4" t="s">
        <v>697</v>
      </c>
      <c r="U1125" s="4">
        <v>0</v>
      </c>
      <c r="V1125" s="4">
        <v>61</v>
      </c>
      <c r="W1125" s="4">
        <v>7</v>
      </c>
    </row>
    <row r="1126" spans="1:23" ht="11.25" customHeight="1" x14ac:dyDescent="0.25">
      <c r="A1126" s="4" t="s">
        <v>27</v>
      </c>
      <c r="B1126" s="4" t="s">
        <v>37</v>
      </c>
      <c r="C1126" s="4" t="s">
        <v>23</v>
      </c>
      <c r="D1126" s="4" t="s">
        <v>51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44409</v>
      </c>
      <c r="J1126" s="6">
        <v>0</v>
      </c>
      <c r="K1126" s="6">
        <v>0</v>
      </c>
      <c r="L1126" s="6">
        <v>0.123</v>
      </c>
      <c r="M1126" s="6">
        <v>0.123</v>
      </c>
      <c r="N1126" s="6">
        <v>0.123</v>
      </c>
      <c r="O1126" s="6">
        <v>0.123</v>
      </c>
      <c r="P1126" s="6">
        <v>1</v>
      </c>
      <c r="Q1126" s="4" t="s">
        <v>26</v>
      </c>
      <c r="R1126" s="4">
        <v>0</v>
      </c>
      <c r="S1126" s="4" t="s">
        <v>464</v>
      </c>
      <c r="T1126" s="4" t="s">
        <v>697</v>
      </c>
      <c r="U1126" s="4">
        <v>0</v>
      </c>
      <c r="V1126" s="4">
        <v>61</v>
      </c>
      <c r="W1126" s="4">
        <v>7</v>
      </c>
    </row>
    <row r="1127" spans="1:23" ht="11.25" customHeight="1" x14ac:dyDescent="0.25">
      <c r="A1127" s="4" t="s">
        <v>21</v>
      </c>
      <c r="B1127" s="4" t="s">
        <v>37</v>
      </c>
      <c r="C1127" s="4" t="s">
        <v>23</v>
      </c>
      <c r="D1127" s="4" t="s">
        <v>51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44440</v>
      </c>
      <c r="J1127" s="6">
        <v>0</v>
      </c>
      <c r="K1127" s="6">
        <v>0</v>
      </c>
      <c r="L1127" s="6">
        <v>5.9420000000000002</v>
      </c>
      <c r="M1127" s="6">
        <v>5.9420000000000002</v>
      </c>
      <c r="N1127" s="6">
        <v>5.9420000000000002</v>
      </c>
      <c r="O1127" s="6">
        <v>5.9420000000000002</v>
      </c>
      <c r="P1127" s="6">
        <v>11</v>
      </c>
      <c r="Q1127" s="4" t="s">
        <v>26</v>
      </c>
      <c r="R1127" s="4">
        <v>0</v>
      </c>
      <c r="S1127" s="4" t="s">
        <v>465</v>
      </c>
      <c r="T1127" s="4" t="s">
        <v>698</v>
      </c>
      <c r="U1127" s="4">
        <v>0</v>
      </c>
      <c r="V1127" s="4">
        <v>61</v>
      </c>
      <c r="W1127" s="4">
        <v>7</v>
      </c>
    </row>
    <row r="1128" spans="1:23" ht="11.25" customHeight="1" x14ac:dyDescent="0.25">
      <c r="A1128" s="4" t="s">
        <v>21</v>
      </c>
      <c r="B1128" s="4" t="s">
        <v>37</v>
      </c>
      <c r="C1128" s="4" t="s">
        <v>23</v>
      </c>
      <c r="D1128" s="4" t="s">
        <v>51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44470</v>
      </c>
      <c r="J1128" s="6">
        <v>0</v>
      </c>
      <c r="K1128" s="6">
        <v>0</v>
      </c>
      <c r="L1128" s="6">
        <v>6.5289999999999999</v>
      </c>
      <c r="M1128" s="6">
        <v>6.5289999999999999</v>
      </c>
      <c r="N1128" s="6">
        <v>6.5289999999999999</v>
      </c>
      <c r="O1128" s="6">
        <v>6.5289999999999999</v>
      </c>
      <c r="P1128" s="6">
        <v>11</v>
      </c>
      <c r="Q1128" s="4" t="s">
        <v>26</v>
      </c>
      <c r="R1128" s="4">
        <v>0</v>
      </c>
      <c r="S1128" s="4" t="s">
        <v>466</v>
      </c>
      <c r="T1128" s="4" t="s">
        <v>699</v>
      </c>
      <c r="U1128" s="4">
        <v>0</v>
      </c>
      <c r="V1128" s="4">
        <v>61</v>
      </c>
      <c r="W1128" s="4">
        <v>7</v>
      </c>
    </row>
    <row r="1129" spans="1:23" ht="11.25" customHeight="1" x14ac:dyDescent="0.25">
      <c r="A1129" s="4" t="s">
        <v>21</v>
      </c>
      <c r="B1129" s="4" t="s">
        <v>37</v>
      </c>
      <c r="C1129" s="4" t="s">
        <v>23</v>
      </c>
      <c r="D1129" s="4" t="s">
        <v>51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44501</v>
      </c>
      <c r="J1129" s="6">
        <v>0</v>
      </c>
      <c r="K1129" s="6">
        <v>0</v>
      </c>
      <c r="L1129" s="6">
        <v>6.1230000000000002</v>
      </c>
      <c r="M1129" s="6">
        <v>6.1230000000000002</v>
      </c>
      <c r="N1129" s="6">
        <v>6.1230000000000002</v>
      </c>
      <c r="O1129" s="6">
        <v>6.1230000000000002</v>
      </c>
      <c r="P1129" s="6">
        <v>11</v>
      </c>
      <c r="Q1129" s="4" t="s">
        <v>26</v>
      </c>
      <c r="R1129" s="4">
        <v>0</v>
      </c>
      <c r="S1129" s="4" t="s">
        <v>467</v>
      </c>
      <c r="T1129" s="4" t="s">
        <v>700</v>
      </c>
      <c r="U1129" s="4">
        <v>0</v>
      </c>
      <c r="V1129" s="4">
        <v>61</v>
      </c>
      <c r="W1129" s="4">
        <v>7</v>
      </c>
    </row>
    <row r="1130" spans="1:23" ht="11.25" customHeight="1" x14ac:dyDescent="0.25">
      <c r="A1130" s="4" t="s">
        <v>21</v>
      </c>
      <c r="B1130" s="4" t="s">
        <v>37</v>
      </c>
      <c r="C1130" s="4" t="s">
        <v>23</v>
      </c>
      <c r="D1130" s="4" t="s">
        <v>51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44531</v>
      </c>
      <c r="J1130" s="6">
        <v>0</v>
      </c>
      <c r="K1130" s="6">
        <v>0</v>
      </c>
      <c r="L1130" s="6">
        <v>6.798</v>
      </c>
      <c r="M1130" s="6">
        <v>6.798</v>
      </c>
      <c r="N1130" s="6">
        <v>6.798</v>
      </c>
      <c r="O1130" s="6">
        <v>6.798</v>
      </c>
      <c r="P1130" s="6">
        <v>14</v>
      </c>
      <c r="Q1130" s="4" t="s">
        <v>26</v>
      </c>
      <c r="R1130" s="4">
        <v>0</v>
      </c>
      <c r="S1130" s="4" t="s">
        <v>468</v>
      </c>
      <c r="T1130" s="4" t="s">
        <v>701</v>
      </c>
      <c r="U1130" s="4">
        <v>0</v>
      </c>
      <c r="V1130" s="4">
        <v>61</v>
      </c>
      <c r="W1130" s="4">
        <v>7</v>
      </c>
    </row>
    <row r="1131" spans="1:23" ht="11.25" customHeight="1" x14ac:dyDescent="0.25">
      <c r="A1131" s="4" t="s">
        <v>55</v>
      </c>
      <c r="B1131" s="4" t="s">
        <v>37</v>
      </c>
      <c r="C1131" s="4" t="s">
        <v>23</v>
      </c>
      <c r="D1131" s="4" t="s">
        <v>51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44562</v>
      </c>
      <c r="J1131" s="6">
        <v>0</v>
      </c>
      <c r="K1131" s="6">
        <v>0</v>
      </c>
      <c r="L1131" s="6">
        <v>6.798</v>
      </c>
      <c r="M1131" s="6">
        <v>6.798</v>
      </c>
      <c r="N1131" s="6">
        <v>6.798</v>
      </c>
      <c r="O1131" s="6">
        <v>6.798</v>
      </c>
      <c r="P1131" s="6">
        <v>14</v>
      </c>
      <c r="Q1131" s="4" t="s">
        <v>26</v>
      </c>
      <c r="R1131" s="4">
        <v>0</v>
      </c>
      <c r="S1131" s="4" t="s">
        <v>469</v>
      </c>
      <c r="T1131" s="4" t="s">
        <v>702</v>
      </c>
      <c r="U1131" s="4">
        <v>0</v>
      </c>
      <c r="V1131" s="4">
        <v>61</v>
      </c>
      <c r="W1131" s="4">
        <v>7</v>
      </c>
    </row>
    <row r="1132" spans="1:23" ht="11.25" customHeight="1" x14ac:dyDescent="0.25">
      <c r="A1132" s="4" t="s">
        <v>21</v>
      </c>
      <c r="B1132" s="4" t="s">
        <v>37</v>
      </c>
      <c r="C1132" s="4" t="s">
        <v>23</v>
      </c>
      <c r="D1132" s="4" t="s">
        <v>38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44228</v>
      </c>
      <c r="J1132" s="6">
        <v>0</v>
      </c>
      <c r="K1132" s="6">
        <v>0</v>
      </c>
      <c r="L1132" s="6">
        <v>395.22</v>
      </c>
      <c r="M1132" s="6">
        <v>395.22</v>
      </c>
      <c r="N1132" s="6">
        <v>395.22</v>
      </c>
      <c r="O1132" s="6">
        <v>395.22</v>
      </c>
      <c r="P1132" s="6">
        <v>398</v>
      </c>
      <c r="Q1132" s="4" t="s">
        <v>26</v>
      </c>
      <c r="R1132" s="4">
        <v>0</v>
      </c>
      <c r="S1132" s="4" t="s">
        <v>458</v>
      </c>
      <c r="T1132" s="4" t="s">
        <v>691</v>
      </c>
      <c r="U1132" s="4">
        <v>0</v>
      </c>
      <c r="V1132" s="4">
        <v>61</v>
      </c>
      <c r="W1132" s="4">
        <v>7</v>
      </c>
    </row>
    <row r="1133" spans="1:23" ht="11.25" customHeight="1" x14ac:dyDescent="0.25">
      <c r="A1133" s="4" t="s">
        <v>28</v>
      </c>
      <c r="B1133" s="4" t="s">
        <v>37</v>
      </c>
      <c r="C1133" s="4" t="s">
        <v>23</v>
      </c>
      <c r="D1133" s="4" t="s">
        <v>38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44228</v>
      </c>
      <c r="J1133" s="6">
        <v>0</v>
      </c>
      <c r="K1133" s="6">
        <v>0</v>
      </c>
      <c r="L1133" s="6">
        <v>34.006</v>
      </c>
      <c r="M1133" s="6">
        <v>34.006</v>
      </c>
      <c r="N1133" s="6">
        <v>34.006</v>
      </c>
      <c r="O1133" s="6">
        <v>34.006</v>
      </c>
      <c r="P1133" s="6">
        <v>28</v>
      </c>
      <c r="Q1133" s="4" t="s">
        <v>26</v>
      </c>
      <c r="R1133" s="4">
        <v>0</v>
      </c>
      <c r="S1133" s="4" t="s">
        <v>458</v>
      </c>
      <c r="T1133" s="4" t="s">
        <v>691</v>
      </c>
      <c r="U1133" s="4">
        <v>0</v>
      </c>
      <c r="V1133" s="4">
        <v>61</v>
      </c>
      <c r="W1133" s="4">
        <v>7</v>
      </c>
    </row>
    <row r="1134" spans="1:23" ht="11.25" customHeight="1" x14ac:dyDescent="0.25">
      <c r="A1134" s="4" t="s">
        <v>21</v>
      </c>
      <c r="B1134" s="4" t="s">
        <v>37</v>
      </c>
      <c r="C1134" s="4" t="s">
        <v>23</v>
      </c>
      <c r="D1134" s="4" t="s">
        <v>38</v>
      </c>
      <c r="E1134" s="4" t="s">
        <v>25</v>
      </c>
      <c r="F1134" s="4" t="s">
        <v>25</v>
      </c>
      <c r="G1134" s="4" t="s">
        <v>25</v>
      </c>
      <c r="H1134" s="4" t="s">
        <v>25</v>
      </c>
      <c r="I1134" s="5">
        <v>44256</v>
      </c>
      <c r="J1134" s="6">
        <v>0</v>
      </c>
      <c r="K1134" s="6">
        <v>0</v>
      </c>
      <c r="L1134" s="6">
        <v>412.42399999999998</v>
      </c>
      <c r="M1134" s="6">
        <v>412.42399999999998</v>
      </c>
      <c r="N1134" s="6">
        <v>412.42399999999998</v>
      </c>
      <c r="O1134" s="6">
        <v>412.42399999999998</v>
      </c>
      <c r="P1134" s="6">
        <v>401</v>
      </c>
      <c r="Q1134" s="4" t="s">
        <v>26</v>
      </c>
      <c r="R1134" s="4">
        <v>0</v>
      </c>
      <c r="S1134" s="4" t="s">
        <v>459</v>
      </c>
      <c r="T1134" s="4" t="s">
        <v>692</v>
      </c>
      <c r="U1134" s="4">
        <v>0</v>
      </c>
      <c r="V1134" s="4">
        <v>61</v>
      </c>
      <c r="W1134" s="4">
        <v>7</v>
      </c>
    </row>
    <row r="1135" spans="1:23" ht="11.25" customHeight="1" x14ac:dyDescent="0.25">
      <c r="A1135" s="4" t="s">
        <v>28</v>
      </c>
      <c r="B1135" s="4" t="s">
        <v>37</v>
      </c>
      <c r="C1135" s="4" t="s">
        <v>23</v>
      </c>
      <c r="D1135" s="4" t="s">
        <v>38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5">
        <v>44256</v>
      </c>
      <c r="J1135" s="6">
        <v>0</v>
      </c>
      <c r="K1135" s="6">
        <v>0</v>
      </c>
      <c r="L1135" s="6">
        <v>28.431999999999999</v>
      </c>
      <c r="M1135" s="6">
        <v>28.431999999999999</v>
      </c>
      <c r="N1135" s="6">
        <v>28.431999999999999</v>
      </c>
      <c r="O1135" s="6">
        <v>28.431999999999999</v>
      </c>
      <c r="P1135" s="6">
        <v>31</v>
      </c>
      <c r="Q1135" s="4" t="s">
        <v>26</v>
      </c>
      <c r="R1135" s="4">
        <v>0</v>
      </c>
      <c r="S1135" s="4" t="s">
        <v>459</v>
      </c>
      <c r="T1135" s="4" t="s">
        <v>692</v>
      </c>
      <c r="U1135" s="4">
        <v>0</v>
      </c>
      <c r="V1135" s="4">
        <v>61</v>
      </c>
      <c r="W1135" s="4">
        <v>7</v>
      </c>
    </row>
    <row r="1136" spans="1:23" ht="11.25" customHeight="1" x14ac:dyDescent="0.25">
      <c r="A1136" s="4" t="s">
        <v>21</v>
      </c>
      <c r="B1136" s="4" t="s">
        <v>37</v>
      </c>
      <c r="C1136" s="4" t="s">
        <v>23</v>
      </c>
      <c r="D1136" s="4" t="s">
        <v>38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5">
        <v>44287</v>
      </c>
      <c r="J1136" s="6">
        <v>0</v>
      </c>
      <c r="K1136" s="6">
        <v>0</v>
      </c>
      <c r="L1136" s="6">
        <v>465.09800000000001</v>
      </c>
      <c r="M1136" s="6">
        <v>465.09800000000001</v>
      </c>
      <c r="N1136" s="6">
        <v>465.09800000000001</v>
      </c>
      <c r="O1136" s="6">
        <v>465.09800000000001</v>
      </c>
      <c r="P1136" s="6">
        <v>402</v>
      </c>
      <c r="Q1136" s="4" t="s">
        <v>26</v>
      </c>
      <c r="R1136" s="4">
        <v>0</v>
      </c>
      <c r="S1136" s="4" t="s">
        <v>460</v>
      </c>
      <c r="T1136" s="4" t="s">
        <v>693</v>
      </c>
      <c r="U1136" s="4">
        <v>0</v>
      </c>
      <c r="V1136" s="4">
        <v>61</v>
      </c>
      <c r="W1136" s="4">
        <v>7</v>
      </c>
    </row>
    <row r="1137" spans="1:23" ht="11.25" customHeight="1" x14ac:dyDescent="0.25">
      <c r="A1137" s="4" t="s">
        <v>27</v>
      </c>
      <c r="B1137" s="4" t="s">
        <v>37</v>
      </c>
      <c r="C1137" s="4" t="s">
        <v>23</v>
      </c>
      <c r="D1137" s="4" t="s">
        <v>38</v>
      </c>
      <c r="E1137" s="4" t="s">
        <v>25</v>
      </c>
      <c r="F1137" s="4" t="s">
        <v>25</v>
      </c>
      <c r="G1137" s="4" t="s">
        <v>25</v>
      </c>
      <c r="H1137" s="4" t="s">
        <v>25</v>
      </c>
      <c r="I1137" s="5">
        <v>44287</v>
      </c>
      <c r="J1137" s="6">
        <v>0</v>
      </c>
      <c r="K1137" s="6">
        <v>0</v>
      </c>
      <c r="L1137" s="6">
        <v>-2.14</v>
      </c>
      <c r="M1137" s="6">
        <v>-2.14</v>
      </c>
      <c r="N1137" s="6">
        <v>-2.14</v>
      </c>
      <c r="O1137" s="6">
        <v>-2.14</v>
      </c>
      <c r="P1137" s="6">
        <v>-1</v>
      </c>
      <c r="Q1137" s="4" t="s">
        <v>26</v>
      </c>
      <c r="R1137" s="4">
        <v>0</v>
      </c>
      <c r="S1137" s="4" t="s">
        <v>460</v>
      </c>
      <c r="T1137" s="4" t="s">
        <v>693</v>
      </c>
      <c r="U1137" s="4">
        <v>0</v>
      </c>
      <c r="V1137" s="4">
        <v>61</v>
      </c>
      <c r="W1137" s="4">
        <v>7</v>
      </c>
    </row>
    <row r="1138" spans="1:23" ht="11.25" customHeight="1" x14ac:dyDescent="0.25">
      <c r="A1138" s="4" t="s">
        <v>28</v>
      </c>
      <c r="B1138" s="4" t="s">
        <v>37</v>
      </c>
      <c r="C1138" s="4" t="s">
        <v>23</v>
      </c>
      <c r="D1138" s="4" t="s">
        <v>38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5">
        <v>44287</v>
      </c>
      <c r="J1138" s="6">
        <v>0</v>
      </c>
      <c r="K1138" s="6">
        <v>0</v>
      </c>
      <c r="L1138" s="6">
        <v>33.573999999999998</v>
      </c>
      <c r="M1138" s="6">
        <v>33.573999999999998</v>
      </c>
      <c r="N1138" s="6">
        <v>33.573999999999998</v>
      </c>
      <c r="O1138" s="6">
        <v>33.573999999999998</v>
      </c>
      <c r="P1138" s="6">
        <v>33</v>
      </c>
      <c r="Q1138" s="4" t="s">
        <v>26</v>
      </c>
      <c r="R1138" s="4">
        <v>0</v>
      </c>
      <c r="S1138" s="4" t="s">
        <v>460</v>
      </c>
      <c r="T1138" s="4" t="s">
        <v>693</v>
      </c>
      <c r="U1138" s="4">
        <v>0</v>
      </c>
      <c r="V1138" s="4">
        <v>61</v>
      </c>
      <c r="W1138" s="4">
        <v>7</v>
      </c>
    </row>
    <row r="1139" spans="1:23" ht="11.25" customHeight="1" x14ac:dyDescent="0.25">
      <c r="A1139" s="4" t="s">
        <v>21</v>
      </c>
      <c r="B1139" s="4" t="s">
        <v>37</v>
      </c>
      <c r="C1139" s="4" t="s">
        <v>23</v>
      </c>
      <c r="D1139" s="4" t="s">
        <v>38</v>
      </c>
      <c r="E1139" s="4" t="s">
        <v>25</v>
      </c>
      <c r="F1139" s="4" t="s">
        <v>25</v>
      </c>
      <c r="G1139" s="4" t="s">
        <v>25</v>
      </c>
      <c r="H1139" s="4" t="s">
        <v>25</v>
      </c>
      <c r="I1139" s="5">
        <v>44317</v>
      </c>
      <c r="J1139" s="6">
        <v>0</v>
      </c>
      <c r="K1139" s="6">
        <v>0</v>
      </c>
      <c r="L1139" s="6">
        <v>411.48399999999998</v>
      </c>
      <c r="M1139" s="6">
        <v>411.48399999999998</v>
      </c>
      <c r="N1139" s="6">
        <v>411.48399999999998</v>
      </c>
      <c r="O1139" s="6">
        <v>411.48399999999998</v>
      </c>
      <c r="P1139" s="6">
        <v>405</v>
      </c>
      <c r="Q1139" s="4" t="s">
        <v>26</v>
      </c>
      <c r="R1139" s="4">
        <v>0</v>
      </c>
      <c r="S1139" s="4" t="s">
        <v>461</v>
      </c>
      <c r="T1139" s="4" t="s">
        <v>694</v>
      </c>
      <c r="U1139" s="4">
        <v>0</v>
      </c>
      <c r="V1139" s="4">
        <v>61</v>
      </c>
      <c r="W1139" s="4">
        <v>7</v>
      </c>
    </row>
    <row r="1140" spans="1:23" ht="11.25" customHeight="1" x14ac:dyDescent="0.25">
      <c r="A1140" s="4" t="s">
        <v>27</v>
      </c>
      <c r="B1140" s="4" t="s">
        <v>37</v>
      </c>
      <c r="C1140" s="4" t="s">
        <v>23</v>
      </c>
      <c r="D1140" s="4" t="s">
        <v>38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5">
        <v>44317</v>
      </c>
      <c r="J1140" s="6">
        <v>0</v>
      </c>
      <c r="K1140" s="6">
        <v>0</v>
      </c>
      <c r="L1140" s="6">
        <v>-0.98599999999999999</v>
      </c>
      <c r="M1140" s="6">
        <v>-0.98599999999999999</v>
      </c>
      <c r="N1140" s="6">
        <v>-0.98599999999999999</v>
      </c>
      <c r="O1140" s="6">
        <v>-0.98599999999999999</v>
      </c>
      <c r="P1140" s="6">
        <v>0</v>
      </c>
      <c r="Q1140" s="4" t="s">
        <v>26</v>
      </c>
      <c r="R1140" s="4">
        <v>0</v>
      </c>
      <c r="S1140" s="4" t="s">
        <v>461</v>
      </c>
      <c r="T1140" s="4" t="s">
        <v>694</v>
      </c>
      <c r="U1140" s="4">
        <v>0</v>
      </c>
      <c r="V1140" s="4">
        <v>61</v>
      </c>
      <c r="W1140" s="4">
        <v>7</v>
      </c>
    </row>
    <row r="1141" spans="1:23" ht="11.25" customHeight="1" x14ac:dyDescent="0.25">
      <c r="A1141" s="4" t="s">
        <v>28</v>
      </c>
      <c r="B1141" s="4" t="s">
        <v>37</v>
      </c>
      <c r="C1141" s="4" t="s">
        <v>23</v>
      </c>
      <c r="D1141" s="4" t="s">
        <v>38</v>
      </c>
      <c r="E1141" s="4" t="s">
        <v>25</v>
      </c>
      <c r="F1141" s="4" t="s">
        <v>25</v>
      </c>
      <c r="G1141" s="4" t="s">
        <v>25</v>
      </c>
      <c r="H1141" s="4" t="s">
        <v>25</v>
      </c>
      <c r="I1141" s="5">
        <v>44317</v>
      </c>
      <c r="J1141" s="6">
        <v>0</v>
      </c>
      <c r="K1141" s="6">
        <v>0</v>
      </c>
      <c r="L1141" s="6">
        <v>35.981999999999999</v>
      </c>
      <c r="M1141" s="6">
        <v>35.981999999999999</v>
      </c>
      <c r="N1141" s="6">
        <v>35.981999999999999</v>
      </c>
      <c r="O1141" s="6">
        <v>35.981999999999999</v>
      </c>
      <c r="P1141" s="6">
        <v>33</v>
      </c>
      <c r="Q1141" s="4" t="s">
        <v>26</v>
      </c>
      <c r="R1141" s="4">
        <v>0</v>
      </c>
      <c r="S1141" s="4" t="s">
        <v>461</v>
      </c>
      <c r="T1141" s="4" t="s">
        <v>694</v>
      </c>
      <c r="U1141" s="4">
        <v>0</v>
      </c>
      <c r="V1141" s="4">
        <v>61</v>
      </c>
      <c r="W1141" s="4">
        <v>7</v>
      </c>
    </row>
    <row r="1142" spans="1:23" ht="11.25" customHeight="1" x14ac:dyDescent="0.25">
      <c r="A1142" s="4" t="s">
        <v>21</v>
      </c>
      <c r="B1142" s="4" t="s">
        <v>37</v>
      </c>
      <c r="C1142" s="4" t="s">
        <v>23</v>
      </c>
      <c r="D1142" s="4" t="s">
        <v>38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5">
        <v>44348</v>
      </c>
      <c r="J1142" s="6">
        <v>0</v>
      </c>
      <c r="K1142" s="6">
        <v>0</v>
      </c>
      <c r="L1142" s="6">
        <v>372.315</v>
      </c>
      <c r="M1142" s="6">
        <v>372.315</v>
      </c>
      <c r="N1142" s="6">
        <v>372.315</v>
      </c>
      <c r="O1142" s="6">
        <v>372.315</v>
      </c>
      <c r="P1142" s="6">
        <v>396</v>
      </c>
      <c r="Q1142" s="4" t="s">
        <v>26</v>
      </c>
      <c r="R1142" s="4">
        <v>0</v>
      </c>
      <c r="S1142" s="4" t="s">
        <v>462</v>
      </c>
      <c r="T1142" s="4" t="s">
        <v>695</v>
      </c>
      <c r="U1142" s="4">
        <v>0</v>
      </c>
      <c r="V1142" s="4">
        <v>61</v>
      </c>
      <c r="W1142" s="4">
        <v>7</v>
      </c>
    </row>
    <row r="1143" spans="1:23" ht="11.25" customHeight="1" x14ac:dyDescent="0.25">
      <c r="A1143" s="4" t="s">
        <v>28</v>
      </c>
      <c r="B1143" s="4" t="s">
        <v>37</v>
      </c>
      <c r="C1143" s="4" t="s">
        <v>23</v>
      </c>
      <c r="D1143" s="4" t="s">
        <v>38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5">
        <v>44348</v>
      </c>
      <c r="J1143" s="6">
        <v>0</v>
      </c>
      <c r="K1143" s="6">
        <v>0</v>
      </c>
      <c r="L1143" s="6">
        <v>50.466999999999999</v>
      </c>
      <c r="M1143" s="6">
        <v>50.466999999999999</v>
      </c>
      <c r="N1143" s="6">
        <v>50.466999999999999</v>
      </c>
      <c r="O1143" s="6">
        <v>50.466999999999999</v>
      </c>
      <c r="P1143" s="6">
        <v>35</v>
      </c>
      <c r="Q1143" s="4" t="s">
        <v>26</v>
      </c>
      <c r="R1143" s="4">
        <v>0</v>
      </c>
      <c r="S1143" s="4" t="s">
        <v>462</v>
      </c>
      <c r="T1143" s="4" t="s">
        <v>695</v>
      </c>
      <c r="U1143" s="4">
        <v>0</v>
      </c>
      <c r="V1143" s="4">
        <v>61</v>
      </c>
      <c r="W1143" s="4">
        <v>7</v>
      </c>
    </row>
    <row r="1144" spans="1:23" ht="11.25" customHeight="1" x14ac:dyDescent="0.25">
      <c r="A1144" s="4" t="s">
        <v>21</v>
      </c>
      <c r="B1144" s="4" t="s">
        <v>37</v>
      </c>
      <c r="C1144" s="4" t="s">
        <v>23</v>
      </c>
      <c r="D1144" s="4" t="s">
        <v>38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5">
        <v>44378</v>
      </c>
      <c r="J1144" s="6">
        <v>0</v>
      </c>
      <c r="K1144" s="6">
        <v>0</v>
      </c>
      <c r="L1144" s="6">
        <v>419.09399999999999</v>
      </c>
      <c r="M1144" s="6">
        <v>419.09399999999999</v>
      </c>
      <c r="N1144" s="6">
        <v>419.09399999999999</v>
      </c>
      <c r="O1144" s="6">
        <v>419.09399999999999</v>
      </c>
      <c r="P1144" s="6">
        <v>397</v>
      </c>
      <c r="Q1144" s="4" t="s">
        <v>26</v>
      </c>
      <c r="R1144" s="4">
        <v>0</v>
      </c>
      <c r="S1144" s="4" t="s">
        <v>463</v>
      </c>
      <c r="T1144" s="4" t="s">
        <v>696</v>
      </c>
      <c r="U1144" s="4">
        <v>0</v>
      </c>
      <c r="V1144" s="4">
        <v>61</v>
      </c>
      <c r="W1144" s="4">
        <v>7</v>
      </c>
    </row>
    <row r="1145" spans="1:23" ht="11.25" customHeight="1" x14ac:dyDescent="0.25">
      <c r="A1145" s="4" t="s">
        <v>28</v>
      </c>
      <c r="B1145" s="4" t="s">
        <v>37</v>
      </c>
      <c r="C1145" s="4" t="s">
        <v>23</v>
      </c>
      <c r="D1145" s="4" t="s">
        <v>38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5">
        <v>44378</v>
      </c>
      <c r="J1145" s="6">
        <v>0</v>
      </c>
      <c r="K1145" s="6">
        <v>0</v>
      </c>
      <c r="L1145" s="6">
        <v>60.704000000000001</v>
      </c>
      <c r="M1145" s="6">
        <v>60.704000000000001</v>
      </c>
      <c r="N1145" s="6">
        <v>60.704000000000001</v>
      </c>
      <c r="O1145" s="6">
        <v>60.704000000000001</v>
      </c>
      <c r="P1145" s="6">
        <v>35</v>
      </c>
      <c r="Q1145" s="4" t="s">
        <v>26</v>
      </c>
      <c r="R1145" s="4">
        <v>0</v>
      </c>
      <c r="S1145" s="4" t="s">
        <v>463</v>
      </c>
      <c r="T1145" s="4" t="s">
        <v>696</v>
      </c>
      <c r="U1145" s="4">
        <v>0</v>
      </c>
      <c r="V1145" s="4">
        <v>61</v>
      </c>
      <c r="W1145" s="4">
        <v>7</v>
      </c>
    </row>
    <row r="1146" spans="1:23" ht="11.25" customHeight="1" x14ac:dyDescent="0.25">
      <c r="A1146" s="4" t="s">
        <v>21</v>
      </c>
      <c r="B1146" s="4" t="s">
        <v>37</v>
      </c>
      <c r="C1146" s="4" t="s">
        <v>23</v>
      </c>
      <c r="D1146" s="4" t="s">
        <v>38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5">
        <v>44409</v>
      </c>
      <c r="J1146" s="6">
        <v>0</v>
      </c>
      <c r="K1146" s="6">
        <v>0</v>
      </c>
      <c r="L1146" s="6">
        <v>399.577</v>
      </c>
      <c r="M1146" s="6">
        <v>399.577</v>
      </c>
      <c r="N1146" s="6">
        <v>399.577</v>
      </c>
      <c r="O1146" s="6">
        <v>399.577</v>
      </c>
      <c r="P1146" s="6">
        <v>396</v>
      </c>
      <c r="Q1146" s="4" t="s">
        <v>26</v>
      </c>
      <c r="R1146" s="4">
        <v>0</v>
      </c>
      <c r="S1146" s="4" t="s">
        <v>464</v>
      </c>
      <c r="T1146" s="4" t="s">
        <v>697</v>
      </c>
      <c r="U1146" s="4">
        <v>0</v>
      </c>
      <c r="V1146" s="4">
        <v>61</v>
      </c>
      <c r="W1146" s="4">
        <v>7</v>
      </c>
    </row>
    <row r="1147" spans="1:23" ht="11.25" customHeight="1" x14ac:dyDescent="0.25">
      <c r="A1147" s="4" t="s">
        <v>27</v>
      </c>
      <c r="B1147" s="4" t="s">
        <v>37</v>
      </c>
      <c r="C1147" s="4" t="s">
        <v>23</v>
      </c>
      <c r="D1147" s="4" t="s">
        <v>38</v>
      </c>
      <c r="E1147" s="4" t="s">
        <v>25</v>
      </c>
      <c r="F1147" s="4" t="s">
        <v>25</v>
      </c>
      <c r="G1147" s="4" t="s">
        <v>25</v>
      </c>
      <c r="H1147" s="4" t="s">
        <v>25</v>
      </c>
      <c r="I1147" s="5">
        <v>44409</v>
      </c>
      <c r="J1147" s="6">
        <v>0</v>
      </c>
      <c r="K1147" s="6">
        <v>0</v>
      </c>
      <c r="L1147" s="6">
        <v>-0.80600000000000005</v>
      </c>
      <c r="M1147" s="6">
        <v>-0.80600000000000005</v>
      </c>
      <c r="N1147" s="6">
        <v>-0.80600000000000005</v>
      </c>
      <c r="O1147" s="6">
        <v>-0.80600000000000005</v>
      </c>
      <c r="P1147" s="6">
        <v>0</v>
      </c>
      <c r="Q1147" s="4" t="s">
        <v>26</v>
      </c>
      <c r="R1147" s="4">
        <v>0</v>
      </c>
      <c r="S1147" s="4" t="s">
        <v>464</v>
      </c>
      <c r="T1147" s="4" t="s">
        <v>697</v>
      </c>
      <c r="U1147" s="4">
        <v>0</v>
      </c>
      <c r="V1147" s="4">
        <v>61</v>
      </c>
      <c r="W1147" s="4">
        <v>7</v>
      </c>
    </row>
    <row r="1148" spans="1:23" ht="11.25" customHeight="1" x14ac:dyDescent="0.25">
      <c r="A1148" s="4" t="s">
        <v>28</v>
      </c>
      <c r="B1148" s="4" t="s">
        <v>37</v>
      </c>
      <c r="C1148" s="4" t="s">
        <v>23</v>
      </c>
      <c r="D1148" s="4" t="s">
        <v>38</v>
      </c>
      <c r="E1148" s="4" t="s">
        <v>25</v>
      </c>
      <c r="F1148" s="4" t="s">
        <v>25</v>
      </c>
      <c r="G1148" s="4" t="s">
        <v>25</v>
      </c>
      <c r="H1148" s="4" t="s">
        <v>25</v>
      </c>
      <c r="I1148" s="5">
        <v>44409</v>
      </c>
      <c r="J1148" s="6">
        <v>0</v>
      </c>
      <c r="K1148" s="6">
        <v>0</v>
      </c>
      <c r="L1148" s="6">
        <v>55.6</v>
      </c>
      <c r="M1148" s="6">
        <v>55.6</v>
      </c>
      <c r="N1148" s="6">
        <v>55.6</v>
      </c>
      <c r="O1148" s="6">
        <v>55.6</v>
      </c>
      <c r="P1148" s="6">
        <v>36</v>
      </c>
      <c r="Q1148" s="4" t="s">
        <v>26</v>
      </c>
      <c r="R1148" s="4">
        <v>0</v>
      </c>
      <c r="S1148" s="4" t="s">
        <v>464</v>
      </c>
      <c r="T1148" s="4" t="s">
        <v>697</v>
      </c>
      <c r="U1148" s="4">
        <v>0</v>
      </c>
      <c r="V1148" s="4">
        <v>61</v>
      </c>
      <c r="W1148" s="4">
        <v>7</v>
      </c>
    </row>
    <row r="1149" spans="1:23" ht="11.25" customHeight="1" x14ac:dyDescent="0.25">
      <c r="A1149" s="4" t="s">
        <v>21</v>
      </c>
      <c r="B1149" s="4" t="s">
        <v>37</v>
      </c>
      <c r="C1149" s="4" t="s">
        <v>23</v>
      </c>
      <c r="D1149" s="4" t="s">
        <v>38</v>
      </c>
      <c r="E1149" s="4" t="s">
        <v>25</v>
      </c>
      <c r="F1149" s="4" t="s">
        <v>25</v>
      </c>
      <c r="G1149" s="4" t="s">
        <v>25</v>
      </c>
      <c r="H1149" s="4" t="s">
        <v>25</v>
      </c>
      <c r="I1149" s="5">
        <v>44440</v>
      </c>
      <c r="J1149" s="6">
        <v>0</v>
      </c>
      <c r="K1149" s="6">
        <v>0</v>
      </c>
      <c r="L1149" s="6">
        <v>402.161</v>
      </c>
      <c r="M1149" s="6">
        <v>402.161</v>
      </c>
      <c r="N1149" s="6">
        <v>402.161</v>
      </c>
      <c r="O1149" s="6">
        <v>402.161</v>
      </c>
      <c r="P1149" s="6">
        <v>395</v>
      </c>
      <c r="Q1149" s="4" t="s">
        <v>26</v>
      </c>
      <c r="R1149" s="4">
        <v>0</v>
      </c>
      <c r="S1149" s="4" t="s">
        <v>465</v>
      </c>
      <c r="T1149" s="4" t="s">
        <v>698</v>
      </c>
      <c r="U1149" s="4">
        <v>0</v>
      </c>
      <c r="V1149" s="4">
        <v>61</v>
      </c>
      <c r="W1149" s="4">
        <v>7</v>
      </c>
    </row>
    <row r="1150" spans="1:23" ht="11.25" customHeight="1" x14ac:dyDescent="0.25">
      <c r="A1150" s="4" t="s">
        <v>28</v>
      </c>
      <c r="B1150" s="4" t="s">
        <v>37</v>
      </c>
      <c r="C1150" s="4" t="s">
        <v>23</v>
      </c>
      <c r="D1150" s="4" t="s">
        <v>38</v>
      </c>
      <c r="E1150" s="4" t="s">
        <v>25</v>
      </c>
      <c r="F1150" s="4" t="s">
        <v>25</v>
      </c>
      <c r="G1150" s="4" t="s">
        <v>25</v>
      </c>
      <c r="H1150" s="4" t="s">
        <v>25</v>
      </c>
      <c r="I1150" s="5">
        <v>44440</v>
      </c>
      <c r="J1150" s="6">
        <v>0</v>
      </c>
      <c r="K1150" s="6">
        <v>0</v>
      </c>
      <c r="L1150" s="6">
        <v>52.469000000000001</v>
      </c>
      <c r="M1150" s="6">
        <v>52.469000000000001</v>
      </c>
      <c r="N1150" s="6">
        <v>52.469000000000001</v>
      </c>
      <c r="O1150" s="6">
        <v>52.469000000000001</v>
      </c>
      <c r="P1150" s="6">
        <v>39</v>
      </c>
      <c r="Q1150" s="4" t="s">
        <v>26</v>
      </c>
      <c r="R1150" s="4">
        <v>0</v>
      </c>
      <c r="S1150" s="4" t="s">
        <v>465</v>
      </c>
      <c r="T1150" s="4" t="s">
        <v>698</v>
      </c>
      <c r="U1150" s="4">
        <v>0</v>
      </c>
      <c r="V1150" s="4">
        <v>61</v>
      </c>
      <c r="W1150" s="4">
        <v>7</v>
      </c>
    </row>
    <row r="1151" spans="1:23" ht="11.25" customHeight="1" x14ac:dyDescent="0.25">
      <c r="A1151" s="4" t="s">
        <v>21</v>
      </c>
      <c r="B1151" s="4" t="s">
        <v>37</v>
      </c>
      <c r="C1151" s="4" t="s">
        <v>23</v>
      </c>
      <c r="D1151" s="4" t="s">
        <v>38</v>
      </c>
      <c r="E1151" s="4" t="s">
        <v>25</v>
      </c>
      <c r="F1151" s="4" t="s">
        <v>25</v>
      </c>
      <c r="G1151" s="4" t="s">
        <v>25</v>
      </c>
      <c r="H1151" s="4" t="s">
        <v>25</v>
      </c>
      <c r="I1151" s="5">
        <v>44470</v>
      </c>
      <c r="J1151" s="6">
        <v>0</v>
      </c>
      <c r="K1151" s="6">
        <v>0</v>
      </c>
      <c r="L1151" s="6">
        <v>396.13400000000001</v>
      </c>
      <c r="M1151" s="6">
        <v>396.13400000000001</v>
      </c>
      <c r="N1151" s="6">
        <v>396.13400000000001</v>
      </c>
      <c r="O1151" s="6">
        <v>396.13400000000001</v>
      </c>
      <c r="P1151" s="6">
        <v>390</v>
      </c>
      <c r="Q1151" s="4" t="s">
        <v>26</v>
      </c>
      <c r="R1151" s="4">
        <v>0</v>
      </c>
      <c r="S1151" s="4" t="s">
        <v>466</v>
      </c>
      <c r="T1151" s="4" t="s">
        <v>699</v>
      </c>
      <c r="U1151" s="4">
        <v>0</v>
      </c>
      <c r="V1151" s="4">
        <v>61</v>
      </c>
      <c r="W1151" s="4">
        <v>7</v>
      </c>
    </row>
    <row r="1152" spans="1:23" ht="11.25" customHeight="1" x14ac:dyDescent="0.25">
      <c r="A1152" s="4" t="s">
        <v>28</v>
      </c>
      <c r="B1152" s="4" t="s">
        <v>37</v>
      </c>
      <c r="C1152" s="4" t="s">
        <v>23</v>
      </c>
      <c r="D1152" s="4" t="s">
        <v>38</v>
      </c>
      <c r="E1152" s="4" t="s">
        <v>25</v>
      </c>
      <c r="F1152" s="4" t="s">
        <v>25</v>
      </c>
      <c r="G1152" s="4" t="s">
        <v>25</v>
      </c>
      <c r="H1152" s="4" t="s">
        <v>25</v>
      </c>
      <c r="I1152" s="5">
        <v>44470</v>
      </c>
      <c r="J1152" s="6">
        <v>0</v>
      </c>
      <c r="K1152" s="6">
        <v>0</v>
      </c>
      <c r="L1152" s="6">
        <v>55.122</v>
      </c>
      <c r="M1152" s="6">
        <v>55.122</v>
      </c>
      <c r="N1152" s="6">
        <v>55.122</v>
      </c>
      <c r="O1152" s="6">
        <v>55.122</v>
      </c>
      <c r="P1152" s="6">
        <v>42</v>
      </c>
      <c r="Q1152" s="4" t="s">
        <v>26</v>
      </c>
      <c r="R1152" s="4">
        <v>0</v>
      </c>
      <c r="S1152" s="4" t="s">
        <v>466</v>
      </c>
      <c r="T1152" s="4" t="s">
        <v>699</v>
      </c>
      <c r="U1152" s="4">
        <v>0</v>
      </c>
      <c r="V1152" s="4">
        <v>61</v>
      </c>
      <c r="W1152" s="4">
        <v>7</v>
      </c>
    </row>
    <row r="1153" spans="1:23" ht="11.25" customHeight="1" x14ac:dyDescent="0.25">
      <c r="A1153" s="4" t="s">
        <v>21</v>
      </c>
      <c r="B1153" s="4" t="s">
        <v>37</v>
      </c>
      <c r="C1153" s="4" t="s">
        <v>23</v>
      </c>
      <c r="D1153" s="4" t="s">
        <v>38</v>
      </c>
      <c r="E1153" s="4" t="s">
        <v>25</v>
      </c>
      <c r="F1153" s="4" t="s">
        <v>25</v>
      </c>
      <c r="G1153" s="4" t="s">
        <v>25</v>
      </c>
      <c r="H1153" s="4" t="s">
        <v>25</v>
      </c>
      <c r="I1153" s="5">
        <v>44501</v>
      </c>
      <c r="J1153" s="6">
        <v>0</v>
      </c>
      <c r="K1153" s="6">
        <v>0</v>
      </c>
      <c r="L1153" s="6">
        <v>358.63400000000001</v>
      </c>
      <c r="M1153" s="6">
        <v>358.63400000000001</v>
      </c>
      <c r="N1153" s="6">
        <v>358.63400000000001</v>
      </c>
      <c r="O1153" s="6">
        <v>358.63400000000001</v>
      </c>
      <c r="P1153" s="6">
        <v>390</v>
      </c>
      <c r="Q1153" s="4" t="s">
        <v>26</v>
      </c>
      <c r="R1153" s="4">
        <v>0</v>
      </c>
      <c r="S1153" s="4" t="s">
        <v>467</v>
      </c>
      <c r="T1153" s="4" t="s">
        <v>700</v>
      </c>
      <c r="U1153" s="4">
        <v>0</v>
      </c>
      <c r="V1153" s="4">
        <v>61</v>
      </c>
      <c r="W1153" s="4">
        <v>7</v>
      </c>
    </row>
    <row r="1154" spans="1:23" ht="11.25" customHeight="1" x14ac:dyDescent="0.25">
      <c r="A1154" s="4" t="s">
        <v>27</v>
      </c>
      <c r="B1154" s="4" t="s">
        <v>37</v>
      </c>
      <c r="C1154" s="4" t="s">
        <v>23</v>
      </c>
      <c r="D1154" s="4" t="s">
        <v>38</v>
      </c>
      <c r="E1154" s="4" t="s">
        <v>25</v>
      </c>
      <c r="F1154" s="4" t="s">
        <v>25</v>
      </c>
      <c r="G1154" s="4" t="s">
        <v>25</v>
      </c>
      <c r="H1154" s="4" t="s">
        <v>25</v>
      </c>
      <c r="I1154" s="5">
        <v>44501</v>
      </c>
      <c r="J1154" s="6">
        <v>0</v>
      </c>
      <c r="K1154" s="6">
        <v>0</v>
      </c>
      <c r="L1154" s="6">
        <v>-0.25700000000000001</v>
      </c>
      <c r="M1154" s="6">
        <v>-0.25700000000000001</v>
      </c>
      <c r="N1154" s="6">
        <v>-0.25700000000000001</v>
      </c>
      <c r="O1154" s="6">
        <v>-0.25700000000000001</v>
      </c>
      <c r="P1154" s="6">
        <v>0</v>
      </c>
      <c r="Q1154" s="4" t="s">
        <v>26</v>
      </c>
      <c r="R1154" s="4">
        <v>0</v>
      </c>
      <c r="S1154" s="4" t="s">
        <v>467</v>
      </c>
      <c r="T1154" s="4" t="s">
        <v>700</v>
      </c>
      <c r="U1154" s="4">
        <v>0</v>
      </c>
      <c r="V1154" s="4">
        <v>61</v>
      </c>
      <c r="W1154" s="4">
        <v>7</v>
      </c>
    </row>
    <row r="1155" spans="1:23" ht="11.25" customHeight="1" x14ac:dyDescent="0.25">
      <c r="A1155" s="4" t="s">
        <v>28</v>
      </c>
      <c r="B1155" s="4" t="s">
        <v>37</v>
      </c>
      <c r="C1155" s="4" t="s">
        <v>23</v>
      </c>
      <c r="D1155" s="4" t="s">
        <v>38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5">
        <v>44501</v>
      </c>
      <c r="J1155" s="6">
        <v>0</v>
      </c>
      <c r="K1155" s="6">
        <v>0</v>
      </c>
      <c r="L1155" s="6">
        <v>51.185000000000002</v>
      </c>
      <c r="M1155" s="6">
        <v>51.185000000000002</v>
      </c>
      <c r="N1155" s="6">
        <v>51.185000000000002</v>
      </c>
      <c r="O1155" s="6">
        <v>51.185000000000002</v>
      </c>
      <c r="P1155" s="6">
        <v>45</v>
      </c>
      <c r="Q1155" s="4" t="s">
        <v>26</v>
      </c>
      <c r="R1155" s="4">
        <v>0</v>
      </c>
      <c r="S1155" s="4" t="s">
        <v>467</v>
      </c>
      <c r="T1155" s="4" t="s">
        <v>700</v>
      </c>
      <c r="U1155" s="4">
        <v>0</v>
      </c>
      <c r="V1155" s="4">
        <v>61</v>
      </c>
      <c r="W1155" s="4">
        <v>7</v>
      </c>
    </row>
    <row r="1156" spans="1:23" ht="11.25" customHeight="1" x14ac:dyDescent="0.25">
      <c r="A1156" s="4" t="s">
        <v>21</v>
      </c>
      <c r="B1156" s="4" t="s">
        <v>37</v>
      </c>
      <c r="C1156" s="4" t="s">
        <v>23</v>
      </c>
      <c r="D1156" s="4" t="s">
        <v>38</v>
      </c>
      <c r="E1156" s="4" t="s">
        <v>25</v>
      </c>
      <c r="F1156" s="4" t="s">
        <v>25</v>
      </c>
      <c r="G1156" s="4" t="s">
        <v>25</v>
      </c>
      <c r="H1156" s="4" t="s">
        <v>25</v>
      </c>
      <c r="I1156" s="5">
        <v>44531</v>
      </c>
      <c r="J1156" s="6">
        <v>0</v>
      </c>
      <c r="K1156" s="6">
        <v>0</v>
      </c>
      <c r="L1156" s="6">
        <v>377.56599999999997</v>
      </c>
      <c r="M1156" s="6">
        <v>377.56599999999997</v>
      </c>
      <c r="N1156" s="6">
        <v>377.56599999999997</v>
      </c>
      <c r="O1156" s="6">
        <v>377.56599999999997</v>
      </c>
      <c r="P1156" s="6">
        <v>384</v>
      </c>
      <c r="Q1156" s="4" t="s">
        <v>26</v>
      </c>
      <c r="R1156" s="4">
        <v>0</v>
      </c>
      <c r="S1156" s="4" t="s">
        <v>468</v>
      </c>
      <c r="T1156" s="4" t="s">
        <v>701</v>
      </c>
      <c r="U1156" s="4">
        <v>0</v>
      </c>
      <c r="V1156" s="4">
        <v>61</v>
      </c>
      <c r="W1156" s="4">
        <v>7</v>
      </c>
    </row>
    <row r="1157" spans="1:23" ht="11.25" customHeight="1" x14ac:dyDescent="0.25">
      <c r="A1157" s="4" t="s">
        <v>27</v>
      </c>
      <c r="B1157" s="4" t="s">
        <v>37</v>
      </c>
      <c r="C1157" s="4" t="s">
        <v>23</v>
      </c>
      <c r="D1157" s="4" t="s">
        <v>38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5">
        <v>44531</v>
      </c>
      <c r="J1157" s="6">
        <v>0</v>
      </c>
      <c r="K1157" s="6">
        <v>0</v>
      </c>
      <c r="L1157" s="6">
        <v>-2.1429999999999998</v>
      </c>
      <c r="M1157" s="6">
        <v>-2.1429999999999998</v>
      </c>
      <c r="N1157" s="6">
        <v>-2.1429999999999998</v>
      </c>
      <c r="O1157" s="6">
        <v>-2.1429999999999998</v>
      </c>
      <c r="P1157" s="6">
        <v>0</v>
      </c>
      <c r="Q1157" s="4" t="s">
        <v>26</v>
      </c>
      <c r="R1157" s="4">
        <v>0</v>
      </c>
      <c r="S1157" s="4" t="s">
        <v>468</v>
      </c>
      <c r="T1157" s="4" t="s">
        <v>701</v>
      </c>
      <c r="U1157" s="4">
        <v>0</v>
      </c>
      <c r="V1157" s="4">
        <v>61</v>
      </c>
      <c r="W1157" s="4">
        <v>7</v>
      </c>
    </row>
    <row r="1158" spans="1:23" ht="11.25" customHeight="1" x14ac:dyDescent="0.25">
      <c r="A1158" s="4" t="s">
        <v>28</v>
      </c>
      <c r="B1158" s="4" t="s">
        <v>37</v>
      </c>
      <c r="C1158" s="4" t="s">
        <v>23</v>
      </c>
      <c r="D1158" s="4" t="s">
        <v>38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44531</v>
      </c>
      <c r="J1158" s="6">
        <v>0</v>
      </c>
      <c r="K1158" s="6">
        <v>0</v>
      </c>
      <c r="L1158" s="6">
        <v>51.215000000000003</v>
      </c>
      <c r="M1158" s="6">
        <v>51.215000000000003</v>
      </c>
      <c r="N1158" s="6">
        <v>51.215000000000003</v>
      </c>
      <c r="O1158" s="6">
        <v>51.215000000000003</v>
      </c>
      <c r="P1158" s="6">
        <v>47</v>
      </c>
      <c r="Q1158" s="4" t="s">
        <v>26</v>
      </c>
      <c r="R1158" s="4">
        <v>0</v>
      </c>
      <c r="S1158" s="4" t="s">
        <v>468</v>
      </c>
      <c r="T1158" s="4" t="s">
        <v>701</v>
      </c>
      <c r="U1158" s="4">
        <v>0</v>
      </c>
      <c r="V1158" s="4">
        <v>61</v>
      </c>
      <c r="W1158" s="4">
        <v>7</v>
      </c>
    </row>
    <row r="1159" spans="1:23" ht="11.25" customHeight="1" x14ac:dyDescent="0.25">
      <c r="A1159" s="4" t="s">
        <v>55</v>
      </c>
      <c r="B1159" s="4" t="s">
        <v>37</v>
      </c>
      <c r="C1159" s="4" t="s">
        <v>23</v>
      </c>
      <c r="D1159" s="4" t="s">
        <v>38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44562</v>
      </c>
      <c r="J1159" s="6">
        <v>0</v>
      </c>
      <c r="K1159" s="6">
        <v>0</v>
      </c>
      <c r="L1159" s="6">
        <v>377.56599999999997</v>
      </c>
      <c r="M1159" s="6">
        <v>377.56599999999997</v>
      </c>
      <c r="N1159" s="6">
        <v>377.56599999999997</v>
      </c>
      <c r="O1159" s="6">
        <v>377.56599999999997</v>
      </c>
      <c r="P1159" s="6">
        <v>384</v>
      </c>
      <c r="Q1159" s="4" t="s">
        <v>26</v>
      </c>
      <c r="R1159" s="4">
        <v>0</v>
      </c>
      <c r="S1159" s="4" t="s">
        <v>469</v>
      </c>
      <c r="T1159" s="4" t="s">
        <v>702</v>
      </c>
      <c r="U1159" s="4">
        <v>0</v>
      </c>
      <c r="V1159" s="4">
        <v>61</v>
      </c>
      <c r="W1159" s="4">
        <v>7</v>
      </c>
    </row>
    <row r="1160" spans="1:23" ht="11.25" customHeight="1" x14ac:dyDescent="0.25">
      <c r="A1160" s="4" t="s">
        <v>55</v>
      </c>
      <c r="B1160" s="4" t="s">
        <v>37</v>
      </c>
      <c r="C1160" s="4" t="s">
        <v>23</v>
      </c>
      <c r="D1160" s="4" t="s">
        <v>38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44562</v>
      </c>
      <c r="J1160" s="6">
        <v>0</v>
      </c>
      <c r="K1160" s="6">
        <v>0</v>
      </c>
      <c r="L1160" s="6">
        <v>-2.1429999999999998</v>
      </c>
      <c r="M1160" s="6">
        <v>-2.1429999999999998</v>
      </c>
      <c r="N1160" s="6">
        <v>-2.1429999999999998</v>
      </c>
      <c r="O1160" s="6">
        <v>-2.1429999999999998</v>
      </c>
      <c r="P1160" s="6">
        <v>0</v>
      </c>
      <c r="Q1160" s="4" t="s">
        <v>26</v>
      </c>
      <c r="R1160" s="4">
        <v>0</v>
      </c>
      <c r="S1160" s="4" t="s">
        <v>469</v>
      </c>
      <c r="T1160" s="4" t="s">
        <v>702</v>
      </c>
      <c r="U1160" s="4">
        <v>0</v>
      </c>
      <c r="V1160" s="4">
        <v>61</v>
      </c>
      <c r="W1160" s="4">
        <v>7</v>
      </c>
    </row>
    <row r="1161" spans="1:23" ht="11.25" customHeight="1" x14ac:dyDescent="0.25">
      <c r="A1161" s="4" t="s">
        <v>55</v>
      </c>
      <c r="B1161" s="4" t="s">
        <v>37</v>
      </c>
      <c r="C1161" s="4" t="s">
        <v>23</v>
      </c>
      <c r="D1161" s="4" t="s">
        <v>38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44562</v>
      </c>
      <c r="J1161" s="6">
        <v>0</v>
      </c>
      <c r="K1161" s="6">
        <v>0</v>
      </c>
      <c r="L1161" s="6">
        <v>51.215000000000003</v>
      </c>
      <c r="M1161" s="6">
        <v>51.215000000000003</v>
      </c>
      <c r="N1161" s="6">
        <v>51.215000000000003</v>
      </c>
      <c r="O1161" s="6">
        <v>51.215000000000003</v>
      </c>
      <c r="P1161" s="6">
        <v>47</v>
      </c>
      <c r="Q1161" s="4" t="s">
        <v>26</v>
      </c>
      <c r="R1161" s="4">
        <v>0</v>
      </c>
      <c r="S1161" s="4" t="s">
        <v>469</v>
      </c>
      <c r="T1161" s="4" t="s">
        <v>702</v>
      </c>
      <c r="U1161" s="4">
        <v>0</v>
      </c>
      <c r="V1161" s="4">
        <v>61</v>
      </c>
      <c r="W1161" s="4">
        <v>7</v>
      </c>
    </row>
    <row r="1162" spans="1:23" ht="11.25" customHeight="1" x14ac:dyDescent="0.25">
      <c r="A1162" s="4" t="s">
        <v>21</v>
      </c>
      <c r="B1162" s="4" t="s">
        <v>37</v>
      </c>
      <c r="C1162" s="4" t="s">
        <v>23</v>
      </c>
      <c r="D1162" s="4" t="s">
        <v>45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44228</v>
      </c>
      <c r="J1162" s="6">
        <v>0</v>
      </c>
      <c r="K1162" s="6">
        <v>0</v>
      </c>
      <c r="L1162" s="6">
        <v>791.82899999999995</v>
      </c>
      <c r="M1162" s="6">
        <v>791.82899999999995</v>
      </c>
      <c r="N1162" s="6">
        <v>791.82899999999995</v>
      </c>
      <c r="O1162" s="6">
        <v>791.82899999999995</v>
      </c>
      <c r="P1162" s="6">
        <v>1415</v>
      </c>
      <c r="Q1162" s="4" t="s">
        <v>26</v>
      </c>
      <c r="R1162" s="4">
        <v>0</v>
      </c>
      <c r="S1162" s="4" t="s">
        <v>458</v>
      </c>
      <c r="T1162" s="4" t="s">
        <v>691</v>
      </c>
      <c r="U1162" s="4">
        <v>0</v>
      </c>
      <c r="V1162" s="4">
        <v>61</v>
      </c>
      <c r="W1162" s="4">
        <v>7</v>
      </c>
    </row>
    <row r="1163" spans="1:23" ht="11.25" customHeight="1" x14ac:dyDescent="0.25">
      <c r="A1163" s="4" t="s">
        <v>28</v>
      </c>
      <c r="B1163" s="4" t="s">
        <v>37</v>
      </c>
      <c r="C1163" s="4" t="s">
        <v>23</v>
      </c>
      <c r="D1163" s="4" t="s">
        <v>45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44228</v>
      </c>
      <c r="J1163" s="6">
        <v>0</v>
      </c>
      <c r="K1163" s="6">
        <v>0</v>
      </c>
      <c r="L1163" s="6">
        <v>9.1050000000000004</v>
      </c>
      <c r="M1163" s="6">
        <v>9.1050000000000004</v>
      </c>
      <c r="N1163" s="6">
        <v>9.1050000000000004</v>
      </c>
      <c r="O1163" s="6">
        <v>9.1050000000000004</v>
      </c>
      <c r="P1163" s="6">
        <v>1</v>
      </c>
      <c r="Q1163" s="4" t="s">
        <v>26</v>
      </c>
      <c r="R1163" s="4">
        <v>0</v>
      </c>
      <c r="S1163" s="4" t="s">
        <v>458</v>
      </c>
      <c r="T1163" s="4" t="s">
        <v>691</v>
      </c>
      <c r="U1163" s="4">
        <v>0</v>
      </c>
      <c r="V1163" s="4">
        <v>61</v>
      </c>
      <c r="W1163" s="4">
        <v>7</v>
      </c>
    </row>
    <row r="1164" spans="1:23" ht="11.25" customHeight="1" x14ac:dyDescent="0.25">
      <c r="A1164" s="4" t="s">
        <v>21</v>
      </c>
      <c r="B1164" s="4" t="s">
        <v>37</v>
      </c>
      <c r="C1164" s="4" t="s">
        <v>23</v>
      </c>
      <c r="D1164" s="4" t="s">
        <v>45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44256</v>
      </c>
      <c r="J1164" s="6">
        <v>0</v>
      </c>
      <c r="K1164" s="6">
        <v>0</v>
      </c>
      <c r="L1164" s="6">
        <v>808.64700000000005</v>
      </c>
      <c r="M1164" s="6">
        <v>808.64700000000005</v>
      </c>
      <c r="N1164" s="6">
        <v>808.64700000000005</v>
      </c>
      <c r="O1164" s="6">
        <v>808.64700000000005</v>
      </c>
      <c r="P1164" s="6">
        <v>1429</v>
      </c>
      <c r="Q1164" s="4" t="s">
        <v>26</v>
      </c>
      <c r="R1164" s="4">
        <v>0</v>
      </c>
      <c r="S1164" s="4" t="s">
        <v>459</v>
      </c>
      <c r="T1164" s="4" t="s">
        <v>692</v>
      </c>
      <c r="U1164" s="4">
        <v>0</v>
      </c>
      <c r="V1164" s="4">
        <v>61</v>
      </c>
      <c r="W1164" s="4">
        <v>7</v>
      </c>
    </row>
    <row r="1165" spans="1:23" ht="11.25" customHeight="1" x14ac:dyDescent="0.25">
      <c r="A1165" s="4" t="s">
        <v>28</v>
      </c>
      <c r="B1165" s="4" t="s">
        <v>37</v>
      </c>
      <c r="C1165" s="4" t="s">
        <v>23</v>
      </c>
      <c r="D1165" s="4" t="s">
        <v>45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44256</v>
      </c>
      <c r="J1165" s="6">
        <v>0</v>
      </c>
      <c r="K1165" s="6">
        <v>0</v>
      </c>
      <c r="L1165" s="6">
        <v>9.8379999999999992</v>
      </c>
      <c r="M1165" s="6">
        <v>9.8379999999999992</v>
      </c>
      <c r="N1165" s="6">
        <v>9.8379999999999992</v>
      </c>
      <c r="O1165" s="6">
        <v>9.8379999999999992</v>
      </c>
      <c r="P1165" s="6">
        <v>1</v>
      </c>
      <c r="Q1165" s="4" t="s">
        <v>26</v>
      </c>
      <c r="R1165" s="4">
        <v>0</v>
      </c>
      <c r="S1165" s="4" t="s">
        <v>459</v>
      </c>
      <c r="T1165" s="4" t="s">
        <v>692</v>
      </c>
      <c r="U1165" s="4">
        <v>0</v>
      </c>
      <c r="V1165" s="4">
        <v>61</v>
      </c>
      <c r="W1165" s="4">
        <v>7</v>
      </c>
    </row>
    <row r="1166" spans="1:23" ht="11.25" customHeight="1" x14ac:dyDescent="0.25">
      <c r="A1166" s="4" t="s">
        <v>21</v>
      </c>
      <c r="B1166" s="4" t="s">
        <v>37</v>
      </c>
      <c r="C1166" s="4" t="s">
        <v>23</v>
      </c>
      <c r="D1166" s="4" t="s">
        <v>45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44287</v>
      </c>
      <c r="J1166" s="6">
        <v>0</v>
      </c>
      <c r="K1166" s="6">
        <v>0</v>
      </c>
      <c r="L1166" s="6">
        <v>783.99</v>
      </c>
      <c r="M1166" s="6">
        <v>783.99</v>
      </c>
      <c r="N1166" s="6">
        <v>783.99</v>
      </c>
      <c r="O1166" s="6">
        <v>783.99</v>
      </c>
      <c r="P1166" s="6">
        <v>1439</v>
      </c>
      <c r="Q1166" s="4" t="s">
        <v>26</v>
      </c>
      <c r="R1166" s="4">
        <v>0</v>
      </c>
      <c r="S1166" s="4" t="s">
        <v>460</v>
      </c>
      <c r="T1166" s="4" t="s">
        <v>693</v>
      </c>
      <c r="U1166" s="4">
        <v>0</v>
      </c>
      <c r="V1166" s="4">
        <v>61</v>
      </c>
      <c r="W1166" s="4">
        <v>7</v>
      </c>
    </row>
    <row r="1167" spans="1:23" ht="11.25" customHeight="1" x14ac:dyDescent="0.25">
      <c r="A1167" s="4" t="s">
        <v>27</v>
      </c>
      <c r="B1167" s="4" t="s">
        <v>37</v>
      </c>
      <c r="C1167" s="4" t="s">
        <v>23</v>
      </c>
      <c r="D1167" s="4" t="s">
        <v>45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44287</v>
      </c>
      <c r="J1167" s="6">
        <v>0</v>
      </c>
      <c r="K1167" s="6">
        <v>0</v>
      </c>
      <c r="L1167" s="6">
        <v>0.03</v>
      </c>
      <c r="M1167" s="6">
        <v>0.03</v>
      </c>
      <c r="N1167" s="6">
        <v>0.03</v>
      </c>
      <c r="O1167" s="6">
        <v>0.03</v>
      </c>
      <c r="P1167" s="6">
        <v>1</v>
      </c>
      <c r="Q1167" s="4" t="s">
        <v>26</v>
      </c>
      <c r="R1167" s="4">
        <v>0</v>
      </c>
      <c r="S1167" s="4" t="s">
        <v>460</v>
      </c>
      <c r="T1167" s="4" t="s">
        <v>693</v>
      </c>
      <c r="U1167" s="4">
        <v>0</v>
      </c>
      <c r="V1167" s="4">
        <v>61</v>
      </c>
      <c r="W1167" s="4">
        <v>7</v>
      </c>
    </row>
    <row r="1168" spans="1:23" ht="11.25" customHeight="1" x14ac:dyDescent="0.25">
      <c r="A1168" s="4" t="s">
        <v>28</v>
      </c>
      <c r="B1168" s="4" t="s">
        <v>37</v>
      </c>
      <c r="C1168" s="4" t="s">
        <v>23</v>
      </c>
      <c r="D1168" s="4" t="s">
        <v>45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5">
        <v>44287</v>
      </c>
      <c r="J1168" s="6">
        <v>0</v>
      </c>
      <c r="K1168" s="6">
        <v>0</v>
      </c>
      <c r="L1168" s="6">
        <v>8.5030000000000001</v>
      </c>
      <c r="M1168" s="6">
        <v>8.5030000000000001</v>
      </c>
      <c r="N1168" s="6">
        <v>8.5030000000000001</v>
      </c>
      <c r="O1168" s="6">
        <v>8.5030000000000001</v>
      </c>
      <c r="P1168" s="6">
        <v>1</v>
      </c>
      <c r="Q1168" s="4" t="s">
        <v>26</v>
      </c>
      <c r="R1168" s="4">
        <v>0</v>
      </c>
      <c r="S1168" s="4" t="s">
        <v>460</v>
      </c>
      <c r="T1168" s="4" t="s">
        <v>693</v>
      </c>
      <c r="U1168" s="4">
        <v>0</v>
      </c>
      <c r="V1168" s="4">
        <v>61</v>
      </c>
      <c r="W1168" s="4">
        <v>7</v>
      </c>
    </row>
    <row r="1169" spans="1:23" ht="11.25" customHeight="1" x14ac:dyDescent="0.25">
      <c r="A1169" s="4" t="s">
        <v>21</v>
      </c>
      <c r="B1169" s="4" t="s">
        <v>37</v>
      </c>
      <c r="C1169" s="4" t="s">
        <v>23</v>
      </c>
      <c r="D1169" s="4" t="s">
        <v>45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5">
        <v>44317</v>
      </c>
      <c r="J1169" s="6">
        <v>0</v>
      </c>
      <c r="K1169" s="6">
        <v>0</v>
      </c>
      <c r="L1169" s="6">
        <v>766.19399999999996</v>
      </c>
      <c r="M1169" s="6">
        <v>766.19399999999996</v>
      </c>
      <c r="N1169" s="6">
        <v>766.19399999999996</v>
      </c>
      <c r="O1169" s="6">
        <v>766.19399999999996</v>
      </c>
      <c r="P1169" s="6">
        <v>1438</v>
      </c>
      <c r="Q1169" s="4" t="s">
        <v>26</v>
      </c>
      <c r="R1169" s="4">
        <v>0</v>
      </c>
      <c r="S1169" s="4" t="s">
        <v>461</v>
      </c>
      <c r="T1169" s="4" t="s">
        <v>694</v>
      </c>
      <c r="U1169" s="4">
        <v>0</v>
      </c>
      <c r="V1169" s="4">
        <v>61</v>
      </c>
      <c r="W1169" s="4">
        <v>7</v>
      </c>
    </row>
    <row r="1170" spans="1:23" ht="11.25" customHeight="1" x14ac:dyDescent="0.25">
      <c r="A1170" s="4" t="s">
        <v>28</v>
      </c>
      <c r="B1170" s="4" t="s">
        <v>37</v>
      </c>
      <c r="C1170" s="4" t="s">
        <v>23</v>
      </c>
      <c r="D1170" s="4" t="s">
        <v>45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5">
        <v>44317</v>
      </c>
      <c r="J1170" s="6">
        <v>0</v>
      </c>
      <c r="K1170" s="6">
        <v>0</v>
      </c>
      <c r="L1170" s="6">
        <v>10.4</v>
      </c>
      <c r="M1170" s="6">
        <v>10.4</v>
      </c>
      <c r="N1170" s="6">
        <v>10.4</v>
      </c>
      <c r="O1170" s="6">
        <v>10.4</v>
      </c>
      <c r="P1170" s="6">
        <v>1</v>
      </c>
      <c r="Q1170" s="4" t="s">
        <v>26</v>
      </c>
      <c r="R1170" s="4">
        <v>0</v>
      </c>
      <c r="S1170" s="4" t="s">
        <v>461</v>
      </c>
      <c r="T1170" s="4" t="s">
        <v>694</v>
      </c>
      <c r="U1170" s="4">
        <v>0</v>
      </c>
      <c r="V1170" s="4">
        <v>61</v>
      </c>
      <c r="W1170" s="4">
        <v>7</v>
      </c>
    </row>
    <row r="1171" spans="1:23" ht="11.25" customHeight="1" x14ac:dyDescent="0.25">
      <c r="A1171" s="4" t="s">
        <v>21</v>
      </c>
      <c r="B1171" s="4" t="s">
        <v>37</v>
      </c>
      <c r="C1171" s="4" t="s">
        <v>23</v>
      </c>
      <c r="D1171" s="4" t="s">
        <v>45</v>
      </c>
      <c r="E1171" s="4" t="s">
        <v>25</v>
      </c>
      <c r="F1171" s="4" t="s">
        <v>25</v>
      </c>
      <c r="G1171" s="4" t="s">
        <v>25</v>
      </c>
      <c r="H1171" s="4" t="s">
        <v>25</v>
      </c>
      <c r="I1171" s="5">
        <v>44348</v>
      </c>
      <c r="J1171" s="6">
        <v>0</v>
      </c>
      <c r="K1171" s="6">
        <v>0</v>
      </c>
      <c r="L1171" s="6">
        <v>669.51</v>
      </c>
      <c r="M1171" s="6">
        <v>669.51</v>
      </c>
      <c r="N1171" s="6">
        <v>669.51</v>
      </c>
      <c r="O1171" s="6">
        <v>669.51</v>
      </c>
      <c r="P1171" s="6">
        <v>1424</v>
      </c>
      <c r="Q1171" s="4" t="s">
        <v>26</v>
      </c>
      <c r="R1171" s="4">
        <v>0</v>
      </c>
      <c r="S1171" s="4" t="s">
        <v>462</v>
      </c>
      <c r="T1171" s="4" t="s">
        <v>695</v>
      </c>
      <c r="U1171" s="4">
        <v>0</v>
      </c>
      <c r="V1171" s="4">
        <v>61</v>
      </c>
      <c r="W1171" s="4">
        <v>7</v>
      </c>
    </row>
    <row r="1172" spans="1:23" ht="11.25" customHeight="1" x14ac:dyDescent="0.25">
      <c r="A1172" s="4" t="s">
        <v>27</v>
      </c>
      <c r="B1172" s="4" t="s">
        <v>37</v>
      </c>
      <c r="C1172" s="4" t="s">
        <v>23</v>
      </c>
      <c r="D1172" s="4" t="s">
        <v>45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5">
        <v>44348</v>
      </c>
      <c r="J1172" s="6">
        <v>0</v>
      </c>
      <c r="K1172" s="6">
        <v>0</v>
      </c>
      <c r="L1172" s="6">
        <v>-0.13</v>
      </c>
      <c r="M1172" s="6">
        <v>-0.13</v>
      </c>
      <c r="N1172" s="6">
        <v>-0.13</v>
      </c>
      <c r="O1172" s="6">
        <v>-0.13</v>
      </c>
      <c r="P1172" s="6">
        <v>-2</v>
      </c>
      <c r="Q1172" s="4" t="s">
        <v>26</v>
      </c>
      <c r="R1172" s="4">
        <v>0</v>
      </c>
      <c r="S1172" s="4" t="s">
        <v>462</v>
      </c>
      <c r="T1172" s="4" t="s">
        <v>695</v>
      </c>
      <c r="U1172" s="4">
        <v>0</v>
      </c>
      <c r="V1172" s="4">
        <v>61</v>
      </c>
      <c r="W1172" s="4">
        <v>7</v>
      </c>
    </row>
    <row r="1173" spans="1:23" ht="11.25" customHeight="1" x14ac:dyDescent="0.25">
      <c r="A1173" s="4" t="s">
        <v>28</v>
      </c>
      <c r="B1173" s="4" t="s">
        <v>37</v>
      </c>
      <c r="C1173" s="4" t="s">
        <v>23</v>
      </c>
      <c r="D1173" s="4" t="s">
        <v>45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5">
        <v>44348</v>
      </c>
      <c r="J1173" s="6">
        <v>0</v>
      </c>
      <c r="K1173" s="6">
        <v>0</v>
      </c>
      <c r="L1173" s="6">
        <v>9.7520000000000007</v>
      </c>
      <c r="M1173" s="6">
        <v>9.7520000000000007</v>
      </c>
      <c r="N1173" s="6">
        <v>9.7520000000000007</v>
      </c>
      <c r="O1173" s="6">
        <v>9.7520000000000007</v>
      </c>
      <c r="P1173" s="6">
        <v>1</v>
      </c>
      <c r="Q1173" s="4" t="s">
        <v>26</v>
      </c>
      <c r="R1173" s="4">
        <v>0</v>
      </c>
      <c r="S1173" s="4" t="s">
        <v>462</v>
      </c>
      <c r="T1173" s="4" t="s">
        <v>695</v>
      </c>
      <c r="U1173" s="4">
        <v>0</v>
      </c>
      <c r="V1173" s="4">
        <v>61</v>
      </c>
      <c r="W1173" s="4">
        <v>7</v>
      </c>
    </row>
    <row r="1174" spans="1:23" ht="11.25" customHeight="1" x14ac:dyDescent="0.25">
      <c r="A1174" s="4" t="s">
        <v>21</v>
      </c>
      <c r="B1174" s="4" t="s">
        <v>37</v>
      </c>
      <c r="C1174" s="4" t="s">
        <v>23</v>
      </c>
      <c r="D1174" s="4" t="s">
        <v>45</v>
      </c>
      <c r="E1174" s="4" t="s">
        <v>25</v>
      </c>
      <c r="F1174" s="4" t="s">
        <v>25</v>
      </c>
      <c r="G1174" s="4" t="s">
        <v>25</v>
      </c>
      <c r="H1174" s="4" t="s">
        <v>25</v>
      </c>
      <c r="I1174" s="5">
        <v>44378</v>
      </c>
      <c r="J1174" s="6">
        <v>0</v>
      </c>
      <c r="K1174" s="6">
        <v>0</v>
      </c>
      <c r="L1174" s="6">
        <v>711.63800000000003</v>
      </c>
      <c r="M1174" s="6">
        <v>711.63800000000003</v>
      </c>
      <c r="N1174" s="6">
        <v>711.63800000000003</v>
      </c>
      <c r="O1174" s="6">
        <v>711.63800000000003</v>
      </c>
      <c r="P1174" s="6">
        <v>1425</v>
      </c>
      <c r="Q1174" s="4" t="s">
        <v>26</v>
      </c>
      <c r="R1174" s="4">
        <v>0</v>
      </c>
      <c r="S1174" s="4" t="s">
        <v>463</v>
      </c>
      <c r="T1174" s="4" t="s">
        <v>696</v>
      </c>
      <c r="U1174" s="4">
        <v>0</v>
      </c>
      <c r="V1174" s="4">
        <v>61</v>
      </c>
      <c r="W1174" s="4">
        <v>7</v>
      </c>
    </row>
    <row r="1175" spans="1:23" ht="11.25" customHeight="1" x14ac:dyDescent="0.25">
      <c r="A1175" s="4" t="s">
        <v>28</v>
      </c>
      <c r="B1175" s="4" t="s">
        <v>37</v>
      </c>
      <c r="C1175" s="4" t="s">
        <v>23</v>
      </c>
      <c r="D1175" s="4" t="s">
        <v>45</v>
      </c>
      <c r="E1175" s="4" t="s">
        <v>25</v>
      </c>
      <c r="F1175" s="4" t="s">
        <v>25</v>
      </c>
      <c r="G1175" s="4" t="s">
        <v>25</v>
      </c>
      <c r="H1175" s="4" t="s">
        <v>25</v>
      </c>
      <c r="I1175" s="5">
        <v>44378</v>
      </c>
      <c r="J1175" s="6">
        <v>0</v>
      </c>
      <c r="K1175" s="6">
        <v>0</v>
      </c>
      <c r="L1175" s="6">
        <v>9.8030000000000008</v>
      </c>
      <c r="M1175" s="6">
        <v>9.8030000000000008</v>
      </c>
      <c r="N1175" s="6">
        <v>9.8030000000000008</v>
      </c>
      <c r="O1175" s="6">
        <v>9.8030000000000008</v>
      </c>
      <c r="P1175" s="6">
        <v>1</v>
      </c>
      <c r="Q1175" s="4" t="s">
        <v>26</v>
      </c>
      <c r="R1175" s="4">
        <v>0</v>
      </c>
      <c r="S1175" s="4" t="s">
        <v>463</v>
      </c>
      <c r="T1175" s="4" t="s">
        <v>696</v>
      </c>
      <c r="U1175" s="4">
        <v>0</v>
      </c>
      <c r="V1175" s="4">
        <v>61</v>
      </c>
      <c r="W1175" s="4">
        <v>7</v>
      </c>
    </row>
    <row r="1176" spans="1:23" ht="11.25" customHeight="1" x14ac:dyDescent="0.25">
      <c r="A1176" s="4" t="s">
        <v>21</v>
      </c>
      <c r="B1176" s="4" t="s">
        <v>37</v>
      </c>
      <c r="C1176" s="4" t="s">
        <v>23</v>
      </c>
      <c r="D1176" s="4" t="s">
        <v>45</v>
      </c>
      <c r="E1176" s="4" t="s">
        <v>25</v>
      </c>
      <c r="F1176" s="4" t="s">
        <v>25</v>
      </c>
      <c r="G1176" s="4" t="s">
        <v>25</v>
      </c>
      <c r="H1176" s="4" t="s">
        <v>25</v>
      </c>
      <c r="I1176" s="5">
        <v>44409</v>
      </c>
      <c r="J1176" s="6">
        <v>0</v>
      </c>
      <c r="K1176" s="6">
        <v>0</v>
      </c>
      <c r="L1176" s="6">
        <v>690.24300000000005</v>
      </c>
      <c r="M1176" s="6">
        <v>690.24300000000005</v>
      </c>
      <c r="N1176" s="6">
        <v>690.24300000000005</v>
      </c>
      <c r="O1176" s="6">
        <v>690.24300000000005</v>
      </c>
      <c r="P1176" s="6">
        <v>1427</v>
      </c>
      <c r="Q1176" s="4" t="s">
        <v>26</v>
      </c>
      <c r="R1176" s="4">
        <v>0</v>
      </c>
      <c r="S1176" s="4" t="s">
        <v>464</v>
      </c>
      <c r="T1176" s="4" t="s">
        <v>697</v>
      </c>
      <c r="U1176" s="4">
        <v>0</v>
      </c>
      <c r="V1176" s="4">
        <v>61</v>
      </c>
      <c r="W1176" s="4">
        <v>7</v>
      </c>
    </row>
    <row r="1177" spans="1:23" ht="11.25" customHeight="1" x14ac:dyDescent="0.25">
      <c r="A1177" s="4" t="s">
        <v>27</v>
      </c>
      <c r="B1177" s="4" t="s">
        <v>37</v>
      </c>
      <c r="C1177" s="4" t="s">
        <v>23</v>
      </c>
      <c r="D1177" s="4" t="s">
        <v>45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5">
        <v>44409</v>
      </c>
      <c r="J1177" s="6">
        <v>0</v>
      </c>
      <c r="K1177" s="6">
        <v>0</v>
      </c>
      <c r="L1177" s="6">
        <v>-11.167</v>
      </c>
      <c r="M1177" s="6">
        <v>-11.167</v>
      </c>
      <c r="N1177" s="6">
        <v>-11.167</v>
      </c>
      <c r="O1177" s="6">
        <v>-11.167</v>
      </c>
      <c r="P1177" s="6">
        <v>1</v>
      </c>
      <c r="Q1177" s="4" t="s">
        <v>26</v>
      </c>
      <c r="R1177" s="4">
        <v>0</v>
      </c>
      <c r="S1177" s="4" t="s">
        <v>464</v>
      </c>
      <c r="T1177" s="4" t="s">
        <v>697</v>
      </c>
      <c r="U1177" s="4">
        <v>0</v>
      </c>
      <c r="V1177" s="4">
        <v>61</v>
      </c>
      <c r="W1177" s="4">
        <v>7</v>
      </c>
    </row>
    <row r="1178" spans="1:23" ht="11.25" customHeight="1" x14ac:dyDescent="0.25">
      <c r="A1178" s="4" t="s">
        <v>28</v>
      </c>
      <c r="B1178" s="4" t="s">
        <v>37</v>
      </c>
      <c r="C1178" s="4" t="s">
        <v>23</v>
      </c>
      <c r="D1178" s="4" t="s">
        <v>45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5">
        <v>44409</v>
      </c>
      <c r="J1178" s="6">
        <v>0</v>
      </c>
      <c r="K1178" s="6">
        <v>0</v>
      </c>
      <c r="L1178" s="6">
        <v>7.3659999999999997</v>
      </c>
      <c r="M1178" s="6">
        <v>7.3659999999999997</v>
      </c>
      <c r="N1178" s="6">
        <v>7.3659999999999997</v>
      </c>
      <c r="O1178" s="6">
        <v>7.3659999999999997</v>
      </c>
      <c r="P1178" s="6">
        <v>1</v>
      </c>
      <c r="Q1178" s="4" t="s">
        <v>26</v>
      </c>
      <c r="R1178" s="4">
        <v>0</v>
      </c>
      <c r="S1178" s="4" t="s">
        <v>464</v>
      </c>
      <c r="T1178" s="4" t="s">
        <v>697</v>
      </c>
      <c r="U1178" s="4">
        <v>0</v>
      </c>
      <c r="V1178" s="4">
        <v>61</v>
      </c>
      <c r="W1178" s="4">
        <v>7</v>
      </c>
    </row>
    <row r="1179" spans="1:23" ht="11.25" customHeight="1" x14ac:dyDescent="0.25">
      <c r="A1179" s="4" t="s">
        <v>21</v>
      </c>
      <c r="B1179" s="4" t="s">
        <v>37</v>
      </c>
      <c r="C1179" s="4" t="s">
        <v>23</v>
      </c>
      <c r="D1179" s="4" t="s">
        <v>45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5">
        <v>44440</v>
      </c>
      <c r="J1179" s="6">
        <v>0</v>
      </c>
      <c r="K1179" s="6">
        <v>0</v>
      </c>
      <c r="L1179" s="6">
        <v>679.69399999999996</v>
      </c>
      <c r="M1179" s="6">
        <v>679.69399999999996</v>
      </c>
      <c r="N1179" s="6">
        <v>679.69399999999996</v>
      </c>
      <c r="O1179" s="6">
        <v>679.69399999999996</v>
      </c>
      <c r="P1179" s="6">
        <v>1421</v>
      </c>
      <c r="Q1179" s="4" t="s">
        <v>26</v>
      </c>
      <c r="R1179" s="4">
        <v>0</v>
      </c>
      <c r="S1179" s="4" t="s">
        <v>465</v>
      </c>
      <c r="T1179" s="4" t="s">
        <v>698</v>
      </c>
      <c r="U1179" s="4">
        <v>0</v>
      </c>
      <c r="V1179" s="4">
        <v>61</v>
      </c>
      <c r="W1179" s="4">
        <v>7</v>
      </c>
    </row>
    <row r="1180" spans="1:23" ht="11.25" customHeight="1" x14ac:dyDescent="0.25">
      <c r="A1180" s="4" t="s">
        <v>28</v>
      </c>
      <c r="B1180" s="4" t="s">
        <v>37</v>
      </c>
      <c r="C1180" s="4" t="s">
        <v>23</v>
      </c>
      <c r="D1180" s="4" t="s">
        <v>45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5">
        <v>44440</v>
      </c>
      <c r="J1180" s="6">
        <v>0</v>
      </c>
      <c r="K1180" s="6">
        <v>0</v>
      </c>
      <c r="L1180" s="6">
        <v>8.0009999999999994</v>
      </c>
      <c r="M1180" s="6">
        <v>8.0009999999999994</v>
      </c>
      <c r="N1180" s="6">
        <v>8.0009999999999994</v>
      </c>
      <c r="O1180" s="6">
        <v>8.0009999999999994</v>
      </c>
      <c r="P1180" s="6">
        <v>1</v>
      </c>
      <c r="Q1180" s="4" t="s">
        <v>26</v>
      </c>
      <c r="R1180" s="4">
        <v>0</v>
      </c>
      <c r="S1180" s="4" t="s">
        <v>465</v>
      </c>
      <c r="T1180" s="4" t="s">
        <v>698</v>
      </c>
      <c r="U1180" s="4">
        <v>0</v>
      </c>
      <c r="V1180" s="4">
        <v>61</v>
      </c>
      <c r="W1180" s="4">
        <v>7</v>
      </c>
    </row>
    <row r="1181" spans="1:23" ht="11.25" customHeight="1" x14ac:dyDescent="0.25">
      <c r="A1181" s="4" t="s">
        <v>21</v>
      </c>
      <c r="B1181" s="4" t="s">
        <v>37</v>
      </c>
      <c r="C1181" s="4" t="s">
        <v>23</v>
      </c>
      <c r="D1181" s="4" t="s">
        <v>45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5">
        <v>44470</v>
      </c>
      <c r="J1181" s="6">
        <v>0</v>
      </c>
      <c r="K1181" s="6">
        <v>0</v>
      </c>
      <c r="L1181" s="6">
        <v>796.76199999999994</v>
      </c>
      <c r="M1181" s="6">
        <v>796.76199999999994</v>
      </c>
      <c r="N1181" s="6">
        <v>796.76199999999994</v>
      </c>
      <c r="O1181" s="6">
        <v>796.76199999999994</v>
      </c>
      <c r="P1181" s="6">
        <v>1428</v>
      </c>
      <c r="Q1181" s="4" t="s">
        <v>26</v>
      </c>
      <c r="R1181" s="4">
        <v>0</v>
      </c>
      <c r="S1181" s="4" t="s">
        <v>466</v>
      </c>
      <c r="T1181" s="4" t="s">
        <v>699</v>
      </c>
      <c r="U1181" s="4">
        <v>0</v>
      </c>
      <c r="V1181" s="4">
        <v>61</v>
      </c>
      <c r="W1181" s="4">
        <v>7</v>
      </c>
    </row>
    <row r="1182" spans="1:23" ht="11.25" customHeight="1" x14ac:dyDescent="0.25">
      <c r="A1182" s="4" t="s">
        <v>28</v>
      </c>
      <c r="B1182" s="4" t="s">
        <v>37</v>
      </c>
      <c r="C1182" s="4" t="s">
        <v>23</v>
      </c>
      <c r="D1182" s="4" t="s">
        <v>45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5">
        <v>44470</v>
      </c>
      <c r="J1182" s="6">
        <v>0</v>
      </c>
      <c r="K1182" s="6">
        <v>0</v>
      </c>
      <c r="L1182" s="6">
        <v>8.19</v>
      </c>
      <c r="M1182" s="6">
        <v>8.19</v>
      </c>
      <c r="N1182" s="6">
        <v>8.19</v>
      </c>
      <c r="O1182" s="6">
        <v>8.19</v>
      </c>
      <c r="P1182" s="6">
        <v>1</v>
      </c>
      <c r="Q1182" s="4" t="s">
        <v>26</v>
      </c>
      <c r="R1182" s="4">
        <v>0</v>
      </c>
      <c r="S1182" s="4" t="s">
        <v>466</v>
      </c>
      <c r="T1182" s="4" t="s">
        <v>699</v>
      </c>
      <c r="U1182" s="4">
        <v>0</v>
      </c>
      <c r="V1182" s="4">
        <v>61</v>
      </c>
      <c r="W1182" s="4">
        <v>7</v>
      </c>
    </row>
    <row r="1183" spans="1:23" ht="11.25" customHeight="1" x14ac:dyDescent="0.25">
      <c r="A1183" s="4" t="s">
        <v>21</v>
      </c>
      <c r="B1183" s="4" t="s">
        <v>37</v>
      </c>
      <c r="C1183" s="4" t="s">
        <v>23</v>
      </c>
      <c r="D1183" s="4" t="s">
        <v>45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5">
        <v>44501</v>
      </c>
      <c r="J1183" s="6">
        <v>0</v>
      </c>
      <c r="K1183" s="6">
        <v>0</v>
      </c>
      <c r="L1183" s="6">
        <v>835.428</v>
      </c>
      <c r="M1183" s="6">
        <v>835.428</v>
      </c>
      <c r="N1183" s="6">
        <v>835.428</v>
      </c>
      <c r="O1183" s="6">
        <v>835.428</v>
      </c>
      <c r="P1183" s="6">
        <v>1431</v>
      </c>
      <c r="Q1183" s="4" t="s">
        <v>26</v>
      </c>
      <c r="R1183" s="4">
        <v>0</v>
      </c>
      <c r="S1183" s="4" t="s">
        <v>467</v>
      </c>
      <c r="T1183" s="4" t="s">
        <v>700</v>
      </c>
      <c r="U1183" s="4">
        <v>0</v>
      </c>
      <c r="V1183" s="4">
        <v>61</v>
      </c>
      <c r="W1183" s="4">
        <v>7</v>
      </c>
    </row>
    <row r="1184" spans="1:23" ht="11.25" customHeight="1" x14ac:dyDescent="0.25">
      <c r="A1184" s="4" t="s">
        <v>27</v>
      </c>
      <c r="B1184" s="4" t="s">
        <v>37</v>
      </c>
      <c r="C1184" s="4" t="s">
        <v>23</v>
      </c>
      <c r="D1184" s="4" t="s">
        <v>45</v>
      </c>
      <c r="E1184" s="4" t="s">
        <v>25</v>
      </c>
      <c r="F1184" s="4" t="s">
        <v>25</v>
      </c>
      <c r="G1184" s="4" t="s">
        <v>25</v>
      </c>
      <c r="H1184" s="4" t="s">
        <v>25</v>
      </c>
      <c r="I1184" s="5">
        <v>44501</v>
      </c>
      <c r="J1184" s="6">
        <v>0</v>
      </c>
      <c r="K1184" s="6">
        <v>0</v>
      </c>
      <c r="L1184" s="6">
        <v>-11.247</v>
      </c>
      <c r="M1184" s="6">
        <v>-11.247</v>
      </c>
      <c r="N1184" s="6">
        <v>-11.247</v>
      </c>
      <c r="O1184" s="6">
        <v>-11.247</v>
      </c>
      <c r="P1184" s="6">
        <v>-3</v>
      </c>
      <c r="Q1184" s="4" t="s">
        <v>26</v>
      </c>
      <c r="R1184" s="4">
        <v>0</v>
      </c>
      <c r="S1184" s="4" t="s">
        <v>467</v>
      </c>
      <c r="T1184" s="4" t="s">
        <v>700</v>
      </c>
      <c r="U1184" s="4">
        <v>0</v>
      </c>
      <c r="V1184" s="4">
        <v>61</v>
      </c>
      <c r="W1184" s="4">
        <v>7</v>
      </c>
    </row>
    <row r="1185" spans="1:23" ht="11.25" customHeight="1" x14ac:dyDescent="0.25">
      <c r="A1185" s="4" t="s">
        <v>28</v>
      </c>
      <c r="B1185" s="4" t="s">
        <v>37</v>
      </c>
      <c r="C1185" s="4" t="s">
        <v>23</v>
      </c>
      <c r="D1185" s="4" t="s">
        <v>45</v>
      </c>
      <c r="E1185" s="4" t="s">
        <v>25</v>
      </c>
      <c r="F1185" s="4" t="s">
        <v>25</v>
      </c>
      <c r="G1185" s="4" t="s">
        <v>25</v>
      </c>
      <c r="H1185" s="4" t="s">
        <v>25</v>
      </c>
      <c r="I1185" s="5">
        <v>44501</v>
      </c>
      <c r="J1185" s="6">
        <v>0</v>
      </c>
      <c r="K1185" s="6">
        <v>0</v>
      </c>
      <c r="L1185" s="6">
        <v>9.3480000000000008</v>
      </c>
      <c r="M1185" s="6">
        <v>9.3480000000000008</v>
      </c>
      <c r="N1185" s="6">
        <v>9.3480000000000008</v>
      </c>
      <c r="O1185" s="6">
        <v>9.3480000000000008</v>
      </c>
      <c r="P1185" s="6">
        <v>1</v>
      </c>
      <c r="Q1185" s="4" t="s">
        <v>26</v>
      </c>
      <c r="R1185" s="4">
        <v>0</v>
      </c>
      <c r="S1185" s="4" t="s">
        <v>467</v>
      </c>
      <c r="T1185" s="4" t="s">
        <v>700</v>
      </c>
      <c r="U1185" s="4">
        <v>0</v>
      </c>
      <c r="V1185" s="4">
        <v>61</v>
      </c>
      <c r="W1185" s="4">
        <v>7</v>
      </c>
    </row>
    <row r="1186" spans="1:23" ht="11.25" customHeight="1" x14ac:dyDescent="0.25">
      <c r="A1186" s="4" t="s">
        <v>21</v>
      </c>
      <c r="B1186" s="4" t="s">
        <v>37</v>
      </c>
      <c r="C1186" s="4" t="s">
        <v>23</v>
      </c>
      <c r="D1186" s="4" t="s">
        <v>45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5">
        <v>44531</v>
      </c>
      <c r="J1186" s="6">
        <v>0</v>
      </c>
      <c r="K1186" s="6">
        <v>0</v>
      </c>
      <c r="L1186" s="6">
        <v>898.94600000000003</v>
      </c>
      <c r="M1186" s="6">
        <v>898.94600000000003</v>
      </c>
      <c r="N1186" s="6">
        <v>898.94600000000003</v>
      </c>
      <c r="O1186" s="6">
        <v>898.94600000000003</v>
      </c>
      <c r="P1186" s="6">
        <v>1436</v>
      </c>
      <c r="Q1186" s="4" t="s">
        <v>26</v>
      </c>
      <c r="R1186" s="4">
        <v>0</v>
      </c>
      <c r="S1186" s="4" t="s">
        <v>468</v>
      </c>
      <c r="T1186" s="4" t="s">
        <v>701</v>
      </c>
      <c r="U1186" s="4">
        <v>0</v>
      </c>
      <c r="V1186" s="4">
        <v>61</v>
      </c>
      <c r="W1186" s="4">
        <v>7</v>
      </c>
    </row>
    <row r="1187" spans="1:23" ht="11.25" customHeight="1" x14ac:dyDescent="0.25">
      <c r="A1187" s="4" t="s">
        <v>28</v>
      </c>
      <c r="B1187" s="4" t="s">
        <v>37</v>
      </c>
      <c r="C1187" s="4" t="s">
        <v>23</v>
      </c>
      <c r="D1187" s="4" t="s">
        <v>45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5">
        <v>44531</v>
      </c>
      <c r="J1187" s="6">
        <v>0</v>
      </c>
      <c r="K1187" s="6">
        <v>0</v>
      </c>
      <c r="L1187" s="6">
        <v>11.028</v>
      </c>
      <c r="M1187" s="6">
        <v>11.028</v>
      </c>
      <c r="N1187" s="6">
        <v>11.028</v>
      </c>
      <c r="O1187" s="6">
        <v>11.028</v>
      </c>
      <c r="P1187" s="6">
        <v>1</v>
      </c>
      <c r="Q1187" s="4" t="s">
        <v>26</v>
      </c>
      <c r="R1187" s="4">
        <v>0</v>
      </c>
      <c r="S1187" s="4" t="s">
        <v>468</v>
      </c>
      <c r="T1187" s="4" t="s">
        <v>701</v>
      </c>
      <c r="U1187" s="4">
        <v>0</v>
      </c>
      <c r="V1187" s="4">
        <v>61</v>
      </c>
      <c r="W1187" s="4">
        <v>7</v>
      </c>
    </row>
    <row r="1188" spans="1:23" ht="11.25" customHeight="1" x14ac:dyDescent="0.25">
      <c r="A1188" s="4" t="s">
        <v>55</v>
      </c>
      <c r="B1188" s="4" t="s">
        <v>37</v>
      </c>
      <c r="C1188" s="4" t="s">
        <v>23</v>
      </c>
      <c r="D1188" s="4" t="s">
        <v>45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5">
        <v>44562</v>
      </c>
      <c r="J1188" s="6">
        <v>0</v>
      </c>
      <c r="K1188" s="6">
        <v>0</v>
      </c>
      <c r="L1188" s="6">
        <v>898.94600000000003</v>
      </c>
      <c r="M1188" s="6">
        <v>898.94600000000003</v>
      </c>
      <c r="N1188" s="6">
        <v>898.94600000000003</v>
      </c>
      <c r="O1188" s="6">
        <v>898.94600000000003</v>
      </c>
      <c r="P1188" s="6">
        <v>1436</v>
      </c>
      <c r="Q1188" s="4" t="s">
        <v>26</v>
      </c>
      <c r="R1188" s="4">
        <v>0</v>
      </c>
      <c r="S1188" s="4" t="s">
        <v>469</v>
      </c>
      <c r="T1188" s="4" t="s">
        <v>702</v>
      </c>
      <c r="U1188" s="4">
        <v>0</v>
      </c>
      <c r="V1188" s="4">
        <v>61</v>
      </c>
      <c r="W1188" s="4">
        <v>7</v>
      </c>
    </row>
    <row r="1189" spans="1:23" ht="11.25" customHeight="1" x14ac:dyDescent="0.25">
      <c r="A1189" s="4" t="s">
        <v>55</v>
      </c>
      <c r="B1189" s="4" t="s">
        <v>37</v>
      </c>
      <c r="C1189" s="4" t="s">
        <v>23</v>
      </c>
      <c r="D1189" s="4" t="s">
        <v>45</v>
      </c>
      <c r="E1189" s="4" t="s">
        <v>25</v>
      </c>
      <c r="F1189" s="4" t="s">
        <v>25</v>
      </c>
      <c r="G1189" s="4" t="s">
        <v>25</v>
      </c>
      <c r="H1189" s="4" t="s">
        <v>25</v>
      </c>
      <c r="I1189" s="5">
        <v>44562</v>
      </c>
      <c r="J1189" s="6">
        <v>0</v>
      </c>
      <c r="K1189" s="6">
        <v>0</v>
      </c>
      <c r="L1189" s="6">
        <v>11.028</v>
      </c>
      <c r="M1189" s="6">
        <v>11.028</v>
      </c>
      <c r="N1189" s="6">
        <v>11.028</v>
      </c>
      <c r="O1189" s="6">
        <v>11.028</v>
      </c>
      <c r="P1189" s="6">
        <v>1</v>
      </c>
      <c r="Q1189" s="4" t="s">
        <v>26</v>
      </c>
      <c r="R1189" s="4">
        <v>0</v>
      </c>
      <c r="S1189" s="4" t="s">
        <v>469</v>
      </c>
      <c r="T1189" s="4" t="s">
        <v>702</v>
      </c>
      <c r="U1189" s="4">
        <v>0</v>
      </c>
      <c r="V1189" s="4">
        <v>61</v>
      </c>
      <c r="W1189" s="4">
        <v>7</v>
      </c>
    </row>
    <row r="1190" spans="1:23" ht="11.25" customHeight="1" x14ac:dyDescent="0.25">
      <c r="A1190" s="4" t="s">
        <v>21</v>
      </c>
      <c r="B1190" s="4" t="s">
        <v>37</v>
      </c>
      <c r="C1190" s="4" t="s">
        <v>23</v>
      </c>
      <c r="D1190" s="4" t="s">
        <v>49</v>
      </c>
      <c r="E1190" s="4" t="s">
        <v>50</v>
      </c>
      <c r="F1190" s="4" t="s">
        <v>25</v>
      </c>
      <c r="G1190" s="4" t="s">
        <v>25</v>
      </c>
      <c r="H1190" s="4" t="s">
        <v>25</v>
      </c>
      <c r="I1190" s="5">
        <v>44228</v>
      </c>
      <c r="J1190" s="6">
        <v>0</v>
      </c>
      <c r="K1190" s="6">
        <v>0</v>
      </c>
      <c r="L1190" s="6">
        <v>78.28</v>
      </c>
      <c r="M1190" s="6">
        <v>73.583200000000005</v>
      </c>
      <c r="N1190" s="6">
        <v>78.28</v>
      </c>
      <c r="O1190" s="6">
        <v>73.583200000000005</v>
      </c>
      <c r="P1190" s="6">
        <v>64</v>
      </c>
      <c r="Q1190" s="4" t="s">
        <v>26</v>
      </c>
      <c r="R1190" s="4">
        <v>0</v>
      </c>
      <c r="S1190" s="4" t="s">
        <v>458</v>
      </c>
      <c r="T1190" s="4" t="s">
        <v>691</v>
      </c>
      <c r="U1190" s="4">
        <v>0</v>
      </c>
      <c r="V1190" s="4">
        <v>61</v>
      </c>
      <c r="W1190" s="4">
        <v>7</v>
      </c>
    </row>
    <row r="1191" spans="1:23" ht="11.25" customHeight="1" x14ac:dyDescent="0.25">
      <c r="A1191" s="4" t="s">
        <v>21</v>
      </c>
      <c r="B1191" s="4" t="s">
        <v>37</v>
      </c>
      <c r="C1191" s="4" t="s">
        <v>23</v>
      </c>
      <c r="D1191" s="4" t="s">
        <v>49</v>
      </c>
      <c r="E1191" s="4" t="s">
        <v>50</v>
      </c>
      <c r="F1191" s="4" t="s">
        <v>25</v>
      </c>
      <c r="G1191" s="4" t="s">
        <v>25</v>
      </c>
      <c r="H1191" s="4" t="s">
        <v>25</v>
      </c>
      <c r="I1191" s="5">
        <v>44256</v>
      </c>
      <c r="J1191" s="6">
        <v>0</v>
      </c>
      <c r="K1191" s="6">
        <v>0</v>
      </c>
      <c r="L1191" s="6">
        <v>88.935000000000002</v>
      </c>
      <c r="M1191" s="6">
        <v>83.5989</v>
      </c>
      <c r="N1191" s="6">
        <v>88.935000000000002</v>
      </c>
      <c r="O1191" s="6">
        <v>83.5989</v>
      </c>
      <c r="P1191" s="6">
        <v>66</v>
      </c>
      <c r="Q1191" s="4" t="s">
        <v>26</v>
      </c>
      <c r="R1191" s="4">
        <v>0</v>
      </c>
      <c r="S1191" s="4" t="s">
        <v>459</v>
      </c>
      <c r="T1191" s="4" t="s">
        <v>692</v>
      </c>
      <c r="U1191" s="4">
        <v>0</v>
      </c>
      <c r="V1191" s="4">
        <v>61</v>
      </c>
      <c r="W1191" s="4">
        <v>7</v>
      </c>
    </row>
    <row r="1192" spans="1:23" ht="11.25" customHeight="1" x14ac:dyDescent="0.25">
      <c r="A1192" s="4" t="s">
        <v>21</v>
      </c>
      <c r="B1192" s="4" t="s">
        <v>37</v>
      </c>
      <c r="C1192" s="4" t="s">
        <v>23</v>
      </c>
      <c r="D1192" s="4" t="s">
        <v>49</v>
      </c>
      <c r="E1192" s="4" t="s">
        <v>50</v>
      </c>
      <c r="F1192" s="4" t="s">
        <v>25</v>
      </c>
      <c r="G1192" s="4" t="s">
        <v>25</v>
      </c>
      <c r="H1192" s="4" t="s">
        <v>25</v>
      </c>
      <c r="I1192" s="5">
        <v>44287</v>
      </c>
      <c r="J1192" s="6">
        <v>0</v>
      </c>
      <c r="K1192" s="6">
        <v>0</v>
      </c>
      <c r="L1192" s="6">
        <v>85.811000000000007</v>
      </c>
      <c r="M1192" s="6">
        <v>80.66234</v>
      </c>
      <c r="N1192" s="6">
        <v>85.811000000000007</v>
      </c>
      <c r="O1192" s="6">
        <v>80.66234</v>
      </c>
      <c r="P1192" s="6">
        <v>65</v>
      </c>
      <c r="Q1192" s="4" t="s">
        <v>26</v>
      </c>
      <c r="R1192" s="4">
        <v>0</v>
      </c>
      <c r="S1192" s="4" t="s">
        <v>460</v>
      </c>
      <c r="T1192" s="4" t="s">
        <v>693</v>
      </c>
      <c r="U1192" s="4">
        <v>0</v>
      </c>
      <c r="V1192" s="4">
        <v>61</v>
      </c>
      <c r="W1192" s="4">
        <v>7</v>
      </c>
    </row>
    <row r="1193" spans="1:23" ht="11.25" customHeight="1" x14ac:dyDescent="0.25">
      <c r="A1193" s="4" t="s">
        <v>21</v>
      </c>
      <c r="B1193" s="4" t="s">
        <v>37</v>
      </c>
      <c r="C1193" s="4" t="s">
        <v>23</v>
      </c>
      <c r="D1193" s="4" t="s">
        <v>49</v>
      </c>
      <c r="E1193" s="4" t="s">
        <v>50</v>
      </c>
      <c r="F1193" s="4" t="s">
        <v>25</v>
      </c>
      <c r="G1193" s="4" t="s">
        <v>25</v>
      </c>
      <c r="H1193" s="4" t="s">
        <v>25</v>
      </c>
      <c r="I1193" s="5">
        <v>44317</v>
      </c>
      <c r="J1193" s="6">
        <v>0</v>
      </c>
      <c r="K1193" s="6">
        <v>0</v>
      </c>
      <c r="L1193" s="6">
        <v>97.037999999999997</v>
      </c>
      <c r="M1193" s="6">
        <v>91.215720000000005</v>
      </c>
      <c r="N1193" s="6">
        <v>97.037999999999997</v>
      </c>
      <c r="O1193" s="6">
        <v>91.215720000000005</v>
      </c>
      <c r="P1193" s="6">
        <v>64</v>
      </c>
      <c r="Q1193" s="4" t="s">
        <v>26</v>
      </c>
      <c r="R1193" s="4">
        <v>0</v>
      </c>
      <c r="S1193" s="4" t="s">
        <v>461</v>
      </c>
      <c r="T1193" s="4" t="s">
        <v>694</v>
      </c>
      <c r="U1193" s="4">
        <v>0</v>
      </c>
      <c r="V1193" s="4">
        <v>61</v>
      </c>
      <c r="W1193" s="4">
        <v>7</v>
      </c>
    </row>
    <row r="1194" spans="1:23" ht="11.25" customHeight="1" x14ac:dyDescent="0.25">
      <c r="A1194" s="4" t="s">
        <v>21</v>
      </c>
      <c r="B1194" s="4" t="s">
        <v>37</v>
      </c>
      <c r="C1194" s="4" t="s">
        <v>23</v>
      </c>
      <c r="D1194" s="4" t="s">
        <v>49</v>
      </c>
      <c r="E1194" s="4" t="s">
        <v>50</v>
      </c>
      <c r="F1194" s="4" t="s">
        <v>25</v>
      </c>
      <c r="G1194" s="4" t="s">
        <v>25</v>
      </c>
      <c r="H1194" s="4" t="s">
        <v>25</v>
      </c>
      <c r="I1194" s="5">
        <v>44348</v>
      </c>
      <c r="J1194" s="6">
        <v>0</v>
      </c>
      <c r="K1194" s="6">
        <v>0</v>
      </c>
      <c r="L1194" s="6">
        <v>79.037999999999997</v>
      </c>
      <c r="M1194" s="6">
        <v>74.295720000000003</v>
      </c>
      <c r="N1194" s="6">
        <v>79.037999999999997</v>
      </c>
      <c r="O1194" s="6">
        <v>74.295720000000003</v>
      </c>
      <c r="P1194" s="6">
        <v>65</v>
      </c>
      <c r="Q1194" s="4" t="s">
        <v>26</v>
      </c>
      <c r="R1194" s="4">
        <v>0</v>
      </c>
      <c r="S1194" s="4" t="s">
        <v>462</v>
      </c>
      <c r="T1194" s="4" t="s">
        <v>695</v>
      </c>
      <c r="U1194" s="4">
        <v>0</v>
      </c>
      <c r="V1194" s="4">
        <v>61</v>
      </c>
      <c r="W1194" s="4">
        <v>7</v>
      </c>
    </row>
    <row r="1195" spans="1:23" ht="11.25" customHeight="1" x14ac:dyDescent="0.25">
      <c r="A1195" s="4" t="s">
        <v>21</v>
      </c>
      <c r="B1195" s="4" t="s">
        <v>37</v>
      </c>
      <c r="C1195" s="4" t="s">
        <v>23</v>
      </c>
      <c r="D1195" s="4" t="s">
        <v>49</v>
      </c>
      <c r="E1195" s="4" t="s">
        <v>50</v>
      </c>
      <c r="F1195" s="4" t="s">
        <v>25</v>
      </c>
      <c r="G1195" s="4" t="s">
        <v>25</v>
      </c>
      <c r="H1195" s="4" t="s">
        <v>25</v>
      </c>
      <c r="I1195" s="5">
        <v>44378</v>
      </c>
      <c r="J1195" s="6">
        <v>0</v>
      </c>
      <c r="K1195" s="6">
        <v>0</v>
      </c>
      <c r="L1195" s="6">
        <v>90.715000000000003</v>
      </c>
      <c r="M1195" s="6">
        <v>85.272099999999995</v>
      </c>
      <c r="N1195" s="6">
        <v>90.715000000000003</v>
      </c>
      <c r="O1195" s="6">
        <v>85.272099999999995</v>
      </c>
      <c r="P1195" s="6">
        <v>65</v>
      </c>
      <c r="Q1195" s="4" t="s">
        <v>26</v>
      </c>
      <c r="R1195" s="4">
        <v>0</v>
      </c>
      <c r="S1195" s="4" t="s">
        <v>463</v>
      </c>
      <c r="T1195" s="4" t="s">
        <v>696</v>
      </c>
      <c r="U1195" s="4">
        <v>0</v>
      </c>
      <c r="V1195" s="4">
        <v>61</v>
      </c>
      <c r="W1195" s="4">
        <v>7</v>
      </c>
    </row>
    <row r="1196" spans="1:23" ht="11.25" customHeight="1" x14ac:dyDescent="0.25">
      <c r="A1196" s="4" t="s">
        <v>21</v>
      </c>
      <c r="B1196" s="4" t="s">
        <v>37</v>
      </c>
      <c r="C1196" s="4" t="s">
        <v>23</v>
      </c>
      <c r="D1196" s="4" t="s">
        <v>49</v>
      </c>
      <c r="E1196" s="4" t="s">
        <v>50</v>
      </c>
      <c r="F1196" s="4" t="s">
        <v>25</v>
      </c>
      <c r="G1196" s="4" t="s">
        <v>25</v>
      </c>
      <c r="H1196" s="4" t="s">
        <v>25</v>
      </c>
      <c r="I1196" s="5">
        <v>44409</v>
      </c>
      <c r="J1196" s="6">
        <v>0</v>
      </c>
      <c r="K1196" s="6">
        <v>0</v>
      </c>
      <c r="L1196" s="6">
        <v>80.218999999999994</v>
      </c>
      <c r="M1196" s="6">
        <v>75.405860000000004</v>
      </c>
      <c r="N1196" s="6">
        <v>80.218999999999994</v>
      </c>
      <c r="O1196" s="6">
        <v>75.405860000000004</v>
      </c>
      <c r="P1196" s="6">
        <v>65</v>
      </c>
      <c r="Q1196" s="4" t="s">
        <v>26</v>
      </c>
      <c r="R1196" s="4">
        <v>0</v>
      </c>
      <c r="S1196" s="4" t="s">
        <v>464</v>
      </c>
      <c r="T1196" s="4" t="s">
        <v>697</v>
      </c>
      <c r="U1196" s="4">
        <v>0</v>
      </c>
      <c r="V1196" s="4">
        <v>61</v>
      </c>
      <c r="W1196" s="4">
        <v>7</v>
      </c>
    </row>
    <row r="1197" spans="1:23" ht="11.25" customHeight="1" x14ac:dyDescent="0.25">
      <c r="A1197" s="4" t="s">
        <v>21</v>
      </c>
      <c r="B1197" s="4" t="s">
        <v>37</v>
      </c>
      <c r="C1197" s="4" t="s">
        <v>23</v>
      </c>
      <c r="D1197" s="4" t="s">
        <v>49</v>
      </c>
      <c r="E1197" s="4" t="s">
        <v>50</v>
      </c>
      <c r="F1197" s="4" t="s">
        <v>25</v>
      </c>
      <c r="G1197" s="4" t="s">
        <v>25</v>
      </c>
      <c r="H1197" s="4" t="s">
        <v>25</v>
      </c>
      <c r="I1197" s="5">
        <v>44440</v>
      </c>
      <c r="J1197" s="6">
        <v>0</v>
      </c>
      <c r="K1197" s="6">
        <v>0</v>
      </c>
      <c r="L1197" s="6">
        <v>81.337000000000003</v>
      </c>
      <c r="M1197" s="6">
        <v>76.456779999999995</v>
      </c>
      <c r="N1197" s="6">
        <v>81.337000000000003</v>
      </c>
      <c r="O1197" s="6">
        <v>76.456779999999995</v>
      </c>
      <c r="P1197" s="6">
        <v>65</v>
      </c>
      <c r="Q1197" s="4" t="s">
        <v>26</v>
      </c>
      <c r="R1197" s="4">
        <v>0</v>
      </c>
      <c r="S1197" s="4" t="s">
        <v>465</v>
      </c>
      <c r="T1197" s="4" t="s">
        <v>698</v>
      </c>
      <c r="U1197" s="4">
        <v>0</v>
      </c>
      <c r="V1197" s="4">
        <v>61</v>
      </c>
      <c r="W1197" s="4">
        <v>7</v>
      </c>
    </row>
    <row r="1198" spans="1:23" ht="11.25" customHeight="1" x14ac:dyDescent="0.25">
      <c r="A1198" s="4" t="s">
        <v>21</v>
      </c>
      <c r="B1198" s="4" t="s">
        <v>37</v>
      </c>
      <c r="C1198" s="4" t="s">
        <v>23</v>
      </c>
      <c r="D1198" s="4" t="s">
        <v>49</v>
      </c>
      <c r="E1198" s="4" t="s">
        <v>50</v>
      </c>
      <c r="F1198" s="4" t="s">
        <v>25</v>
      </c>
      <c r="G1198" s="4" t="s">
        <v>25</v>
      </c>
      <c r="H1198" s="4" t="s">
        <v>25</v>
      </c>
      <c r="I1198" s="5">
        <v>44470</v>
      </c>
      <c r="J1198" s="6">
        <v>0</v>
      </c>
      <c r="K1198" s="6">
        <v>0</v>
      </c>
      <c r="L1198" s="6">
        <v>87.936000000000007</v>
      </c>
      <c r="M1198" s="6">
        <v>82.659840000000003</v>
      </c>
      <c r="N1198" s="6">
        <v>87.936000000000007</v>
      </c>
      <c r="O1198" s="6">
        <v>82.659840000000003</v>
      </c>
      <c r="P1198" s="6">
        <v>65</v>
      </c>
      <c r="Q1198" s="4" t="s">
        <v>26</v>
      </c>
      <c r="R1198" s="4">
        <v>0</v>
      </c>
      <c r="S1198" s="4" t="s">
        <v>466</v>
      </c>
      <c r="T1198" s="4" t="s">
        <v>699</v>
      </c>
      <c r="U1198" s="4">
        <v>0</v>
      </c>
      <c r="V1198" s="4">
        <v>61</v>
      </c>
      <c r="W1198" s="4">
        <v>7</v>
      </c>
    </row>
    <row r="1199" spans="1:23" ht="11.25" customHeight="1" x14ac:dyDescent="0.25">
      <c r="A1199" s="4" t="s">
        <v>21</v>
      </c>
      <c r="B1199" s="4" t="s">
        <v>37</v>
      </c>
      <c r="C1199" s="4" t="s">
        <v>23</v>
      </c>
      <c r="D1199" s="4" t="s">
        <v>49</v>
      </c>
      <c r="E1199" s="4" t="s">
        <v>50</v>
      </c>
      <c r="F1199" s="4" t="s">
        <v>25</v>
      </c>
      <c r="G1199" s="4" t="s">
        <v>25</v>
      </c>
      <c r="H1199" s="4" t="s">
        <v>25</v>
      </c>
      <c r="I1199" s="5">
        <v>44501</v>
      </c>
      <c r="J1199" s="6">
        <v>0</v>
      </c>
      <c r="K1199" s="6">
        <v>0</v>
      </c>
      <c r="L1199" s="6">
        <v>87.006</v>
      </c>
      <c r="M1199" s="6">
        <v>81.785640000000001</v>
      </c>
      <c r="N1199" s="6">
        <v>87.006</v>
      </c>
      <c r="O1199" s="6">
        <v>81.785640000000001</v>
      </c>
      <c r="P1199" s="6">
        <v>67</v>
      </c>
      <c r="Q1199" s="4" t="s">
        <v>26</v>
      </c>
      <c r="R1199" s="4">
        <v>0</v>
      </c>
      <c r="S1199" s="4" t="s">
        <v>467</v>
      </c>
      <c r="T1199" s="4" t="s">
        <v>700</v>
      </c>
      <c r="U1199" s="4">
        <v>0</v>
      </c>
      <c r="V1199" s="4">
        <v>61</v>
      </c>
      <c r="W1199" s="4">
        <v>7</v>
      </c>
    </row>
    <row r="1200" spans="1:23" ht="11.25" customHeight="1" x14ac:dyDescent="0.25">
      <c r="A1200" s="4" t="s">
        <v>27</v>
      </c>
      <c r="B1200" s="4" t="s">
        <v>37</v>
      </c>
      <c r="C1200" s="4" t="s">
        <v>23</v>
      </c>
      <c r="D1200" s="4" t="s">
        <v>49</v>
      </c>
      <c r="E1200" s="4" t="s">
        <v>50</v>
      </c>
      <c r="F1200" s="4" t="s">
        <v>25</v>
      </c>
      <c r="G1200" s="4" t="s">
        <v>25</v>
      </c>
      <c r="H1200" s="4" t="s">
        <v>25</v>
      </c>
      <c r="I1200" s="5">
        <v>44501</v>
      </c>
      <c r="J1200" s="6">
        <v>0</v>
      </c>
      <c r="K1200" s="6">
        <v>0</v>
      </c>
      <c r="L1200" s="6">
        <v>-0.03</v>
      </c>
      <c r="M1200" s="6">
        <v>-2.8199999999999999E-2</v>
      </c>
      <c r="N1200" s="6">
        <v>-0.03</v>
      </c>
      <c r="O1200" s="6">
        <v>-2.8199999999999999E-2</v>
      </c>
      <c r="P1200" s="6">
        <v>-1</v>
      </c>
      <c r="Q1200" s="4" t="s">
        <v>26</v>
      </c>
      <c r="R1200" s="4">
        <v>0</v>
      </c>
      <c r="S1200" s="4" t="s">
        <v>467</v>
      </c>
      <c r="T1200" s="4" t="s">
        <v>700</v>
      </c>
      <c r="U1200" s="4">
        <v>0</v>
      </c>
      <c r="V1200" s="4">
        <v>61</v>
      </c>
      <c r="W1200" s="4">
        <v>7</v>
      </c>
    </row>
    <row r="1201" spans="1:23" ht="11.25" customHeight="1" x14ac:dyDescent="0.25">
      <c r="A1201" s="4" t="s">
        <v>21</v>
      </c>
      <c r="B1201" s="4" t="s">
        <v>37</v>
      </c>
      <c r="C1201" s="4" t="s">
        <v>23</v>
      </c>
      <c r="D1201" s="4" t="s">
        <v>49</v>
      </c>
      <c r="E1201" s="4" t="s">
        <v>50</v>
      </c>
      <c r="F1201" s="4" t="s">
        <v>25</v>
      </c>
      <c r="G1201" s="4" t="s">
        <v>25</v>
      </c>
      <c r="H1201" s="4" t="s">
        <v>25</v>
      </c>
      <c r="I1201" s="5">
        <v>44531</v>
      </c>
      <c r="J1201" s="6">
        <v>0</v>
      </c>
      <c r="K1201" s="6">
        <v>0</v>
      </c>
      <c r="L1201" s="6">
        <v>92.775000000000006</v>
      </c>
      <c r="M1201" s="6">
        <v>87.208500000000001</v>
      </c>
      <c r="N1201" s="6">
        <v>92.775000000000006</v>
      </c>
      <c r="O1201" s="6">
        <v>87.208500000000001</v>
      </c>
      <c r="P1201" s="6">
        <v>67</v>
      </c>
      <c r="Q1201" s="4" t="s">
        <v>26</v>
      </c>
      <c r="R1201" s="4">
        <v>0</v>
      </c>
      <c r="S1201" s="4" t="s">
        <v>468</v>
      </c>
      <c r="T1201" s="4" t="s">
        <v>701</v>
      </c>
      <c r="U1201" s="4">
        <v>0</v>
      </c>
      <c r="V1201" s="4">
        <v>61</v>
      </c>
      <c r="W1201" s="4">
        <v>7</v>
      </c>
    </row>
    <row r="1202" spans="1:23" ht="11.25" customHeight="1" x14ac:dyDescent="0.25">
      <c r="A1202" s="4" t="s">
        <v>55</v>
      </c>
      <c r="B1202" s="4" t="s">
        <v>37</v>
      </c>
      <c r="C1202" s="4" t="s">
        <v>23</v>
      </c>
      <c r="D1202" s="4" t="s">
        <v>49</v>
      </c>
      <c r="E1202" s="4" t="s">
        <v>50</v>
      </c>
      <c r="F1202" s="4" t="s">
        <v>25</v>
      </c>
      <c r="G1202" s="4" t="s">
        <v>25</v>
      </c>
      <c r="H1202" s="4" t="s">
        <v>25</v>
      </c>
      <c r="I1202" s="5">
        <v>44562</v>
      </c>
      <c r="J1202" s="6">
        <v>0</v>
      </c>
      <c r="K1202" s="6">
        <v>0</v>
      </c>
      <c r="L1202" s="6">
        <v>92.775000000000006</v>
      </c>
      <c r="M1202" s="6">
        <v>87.208500000000001</v>
      </c>
      <c r="N1202" s="6">
        <v>92.775000000000006</v>
      </c>
      <c r="O1202" s="6">
        <v>87.208500000000001</v>
      </c>
      <c r="P1202" s="6">
        <v>67</v>
      </c>
      <c r="Q1202" s="4" t="s">
        <v>26</v>
      </c>
      <c r="R1202" s="4">
        <v>0</v>
      </c>
      <c r="S1202" s="4" t="s">
        <v>469</v>
      </c>
      <c r="T1202" s="4" t="s">
        <v>702</v>
      </c>
      <c r="U1202" s="4">
        <v>0</v>
      </c>
      <c r="V1202" s="4">
        <v>61</v>
      </c>
      <c r="W1202" s="4">
        <v>7</v>
      </c>
    </row>
    <row r="1203" spans="1:23" ht="11.25" customHeight="1" x14ac:dyDescent="0.25">
      <c r="A1203" s="4" t="s">
        <v>21</v>
      </c>
      <c r="B1203" s="4" t="s">
        <v>46</v>
      </c>
      <c r="C1203" s="4" t="s">
        <v>23</v>
      </c>
      <c r="D1203" s="4" t="s">
        <v>47</v>
      </c>
      <c r="E1203" s="4" t="s">
        <v>48</v>
      </c>
      <c r="F1203" s="4" t="s">
        <v>25</v>
      </c>
      <c r="G1203" s="4" t="s">
        <v>25</v>
      </c>
      <c r="H1203" s="4" t="s">
        <v>25</v>
      </c>
      <c r="I1203" s="5">
        <v>44228</v>
      </c>
      <c r="J1203" s="6">
        <v>0</v>
      </c>
      <c r="K1203" s="6">
        <v>0</v>
      </c>
      <c r="L1203" s="6">
        <v>3064.1419999999998</v>
      </c>
      <c r="M1203" s="6">
        <v>3064.1419999999998</v>
      </c>
      <c r="N1203" s="6">
        <v>3064.1419999999998</v>
      </c>
      <c r="O1203" s="6">
        <v>3064.1419999999998</v>
      </c>
      <c r="P1203" s="6">
        <v>70</v>
      </c>
      <c r="Q1203" s="4" t="s">
        <v>26</v>
      </c>
      <c r="R1203" s="4">
        <v>0</v>
      </c>
      <c r="S1203" s="4" t="s">
        <v>470</v>
      </c>
      <c r="T1203" s="4" t="s">
        <v>703</v>
      </c>
      <c r="U1203" s="4">
        <v>0</v>
      </c>
      <c r="V1203" s="4">
        <v>63</v>
      </c>
      <c r="W1203" s="4">
        <v>80</v>
      </c>
    </row>
    <row r="1204" spans="1:23" ht="11.25" customHeight="1" x14ac:dyDescent="0.25">
      <c r="A1204" s="4" t="s">
        <v>21</v>
      </c>
      <c r="B1204" s="4" t="s">
        <v>46</v>
      </c>
      <c r="C1204" s="4" t="s">
        <v>23</v>
      </c>
      <c r="D1204" s="4" t="s">
        <v>47</v>
      </c>
      <c r="E1204" s="4" t="s">
        <v>48</v>
      </c>
      <c r="F1204" s="4" t="s">
        <v>25</v>
      </c>
      <c r="G1204" s="4" t="s">
        <v>25</v>
      </c>
      <c r="H1204" s="4" t="s">
        <v>25</v>
      </c>
      <c r="I1204" s="5">
        <v>44256</v>
      </c>
      <c r="J1204" s="6">
        <v>0</v>
      </c>
      <c r="K1204" s="6">
        <v>0</v>
      </c>
      <c r="L1204" s="6">
        <v>3061.0070000000001</v>
      </c>
      <c r="M1204" s="6">
        <v>3061.0070000000001</v>
      </c>
      <c r="N1204" s="6">
        <v>3061.0070000000001</v>
      </c>
      <c r="O1204" s="6">
        <v>3061.0070000000001</v>
      </c>
      <c r="P1204" s="6">
        <v>74</v>
      </c>
      <c r="Q1204" s="4" t="s">
        <v>26</v>
      </c>
      <c r="R1204" s="4">
        <v>0</v>
      </c>
      <c r="S1204" s="4" t="s">
        <v>471</v>
      </c>
      <c r="T1204" s="4" t="s">
        <v>704</v>
      </c>
      <c r="U1204" s="4">
        <v>0</v>
      </c>
      <c r="V1204" s="4">
        <v>63</v>
      </c>
      <c r="W1204" s="4">
        <v>80</v>
      </c>
    </row>
    <row r="1205" spans="1:23" ht="11.25" customHeight="1" x14ac:dyDescent="0.25">
      <c r="A1205" s="4" t="s">
        <v>21</v>
      </c>
      <c r="B1205" s="4" t="s">
        <v>46</v>
      </c>
      <c r="C1205" s="4" t="s">
        <v>23</v>
      </c>
      <c r="D1205" s="4" t="s">
        <v>47</v>
      </c>
      <c r="E1205" s="4" t="s">
        <v>48</v>
      </c>
      <c r="F1205" s="4" t="s">
        <v>25</v>
      </c>
      <c r="G1205" s="4" t="s">
        <v>25</v>
      </c>
      <c r="H1205" s="4" t="s">
        <v>25</v>
      </c>
      <c r="I1205" s="5">
        <v>44287</v>
      </c>
      <c r="J1205" s="6">
        <v>0</v>
      </c>
      <c r="K1205" s="6">
        <v>0</v>
      </c>
      <c r="L1205" s="6">
        <v>3070.6329999999998</v>
      </c>
      <c r="M1205" s="6">
        <v>3070.6329999999998</v>
      </c>
      <c r="N1205" s="6">
        <v>3070.6329999999998</v>
      </c>
      <c r="O1205" s="6">
        <v>3070.6329999999998</v>
      </c>
      <c r="P1205" s="6">
        <v>74</v>
      </c>
      <c r="Q1205" s="4" t="s">
        <v>26</v>
      </c>
      <c r="R1205" s="4">
        <v>0</v>
      </c>
      <c r="S1205" s="4" t="s">
        <v>472</v>
      </c>
      <c r="T1205" s="4" t="s">
        <v>705</v>
      </c>
      <c r="U1205" s="4">
        <v>0</v>
      </c>
      <c r="V1205" s="4">
        <v>63</v>
      </c>
      <c r="W1205" s="4">
        <v>80</v>
      </c>
    </row>
    <row r="1206" spans="1:23" ht="11.25" customHeight="1" x14ac:dyDescent="0.25">
      <c r="A1206" s="4" t="s">
        <v>21</v>
      </c>
      <c r="B1206" s="4" t="s">
        <v>46</v>
      </c>
      <c r="C1206" s="4" t="s">
        <v>23</v>
      </c>
      <c r="D1206" s="4" t="s">
        <v>47</v>
      </c>
      <c r="E1206" s="4" t="s">
        <v>48</v>
      </c>
      <c r="F1206" s="4" t="s">
        <v>25</v>
      </c>
      <c r="G1206" s="4" t="s">
        <v>25</v>
      </c>
      <c r="H1206" s="4" t="s">
        <v>25</v>
      </c>
      <c r="I1206" s="5">
        <v>44317</v>
      </c>
      <c r="J1206" s="6">
        <v>0</v>
      </c>
      <c r="K1206" s="6">
        <v>0</v>
      </c>
      <c r="L1206" s="6">
        <v>3101.3229999999999</v>
      </c>
      <c r="M1206" s="6">
        <v>3101.3229999999999</v>
      </c>
      <c r="N1206" s="6">
        <v>3101.3229999999999</v>
      </c>
      <c r="O1206" s="6">
        <v>3101.3229999999999</v>
      </c>
      <c r="P1206" s="6">
        <v>74</v>
      </c>
      <c r="Q1206" s="4" t="s">
        <v>26</v>
      </c>
      <c r="R1206" s="4">
        <v>0</v>
      </c>
      <c r="S1206" s="4" t="s">
        <v>473</v>
      </c>
      <c r="T1206" s="4" t="s">
        <v>706</v>
      </c>
      <c r="U1206" s="4">
        <v>0</v>
      </c>
      <c r="V1206" s="4">
        <v>63</v>
      </c>
      <c r="W1206" s="4">
        <v>80</v>
      </c>
    </row>
    <row r="1207" spans="1:23" ht="11.25" customHeight="1" x14ac:dyDescent="0.25">
      <c r="A1207" s="4" t="s">
        <v>21</v>
      </c>
      <c r="B1207" s="4" t="s">
        <v>46</v>
      </c>
      <c r="C1207" s="4" t="s">
        <v>23</v>
      </c>
      <c r="D1207" s="4" t="s">
        <v>47</v>
      </c>
      <c r="E1207" s="4" t="s">
        <v>48</v>
      </c>
      <c r="F1207" s="4" t="s">
        <v>25</v>
      </c>
      <c r="G1207" s="4" t="s">
        <v>25</v>
      </c>
      <c r="H1207" s="4" t="s">
        <v>25</v>
      </c>
      <c r="I1207" s="5">
        <v>44348</v>
      </c>
      <c r="J1207" s="6">
        <v>0</v>
      </c>
      <c r="K1207" s="6">
        <v>0</v>
      </c>
      <c r="L1207" s="6">
        <v>3350.3620000000001</v>
      </c>
      <c r="M1207" s="6">
        <v>3350.3620000000001</v>
      </c>
      <c r="N1207" s="6">
        <v>3350.3620000000001</v>
      </c>
      <c r="O1207" s="6">
        <v>3350.3620000000001</v>
      </c>
      <c r="P1207" s="6">
        <v>75</v>
      </c>
      <c r="Q1207" s="4" t="s">
        <v>26</v>
      </c>
      <c r="R1207" s="4">
        <v>0</v>
      </c>
      <c r="S1207" s="4" t="s">
        <v>474</v>
      </c>
      <c r="T1207" s="4" t="s">
        <v>707</v>
      </c>
      <c r="U1207" s="4">
        <v>0</v>
      </c>
      <c r="V1207" s="4">
        <v>63</v>
      </c>
      <c r="W1207" s="4">
        <v>80</v>
      </c>
    </row>
    <row r="1208" spans="1:23" ht="11.25" customHeight="1" x14ac:dyDescent="0.25">
      <c r="A1208" s="4" t="s">
        <v>21</v>
      </c>
      <c r="B1208" s="4" t="s">
        <v>46</v>
      </c>
      <c r="C1208" s="4" t="s">
        <v>23</v>
      </c>
      <c r="D1208" s="4" t="s">
        <v>47</v>
      </c>
      <c r="E1208" s="4" t="s">
        <v>48</v>
      </c>
      <c r="F1208" s="4" t="s">
        <v>25</v>
      </c>
      <c r="G1208" s="4" t="s">
        <v>25</v>
      </c>
      <c r="H1208" s="4" t="s">
        <v>25</v>
      </c>
      <c r="I1208" s="5">
        <v>44378</v>
      </c>
      <c r="J1208" s="6">
        <v>0</v>
      </c>
      <c r="K1208" s="6">
        <v>0</v>
      </c>
      <c r="L1208" s="6">
        <v>3083.627</v>
      </c>
      <c r="M1208" s="6">
        <v>3083.627</v>
      </c>
      <c r="N1208" s="6">
        <v>3083.627</v>
      </c>
      <c r="O1208" s="6">
        <v>3083.627</v>
      </c>
      <c r="P1208" s="6">
        <v>74</v>
      </c>
      <c r="Q1208" s="4" t="s">
        <v>26</v>
      </c>
      <c r="R1208" s="4">
        <v>0</v>
      </c>
      <c r="S1208" s="4" t="s">
        <v>475</v>
      </c>
      <c r="T1208" s="4" t="s">
        <v>708</v>
      </c>
      <c r="U1208" s="4">
        <v>0</v>
      </c>
      <c r="V1208" s="4">
        <v>63</v>
      </c>
      <c r="W1208" s="4">
        <v>80</v>
      </c>
    </row>
    <row r="1209" spans="1:23" ht="11.25" customHeight="1" x14ac:dyDescent="0.25">
      <c r="A1209" s="4" t="s">
        <v>21</v>
      </c>
      <c r="B1209" s="4" t="s">
        <v>46</v>
      </c>
      <c r="C1209" s="4" t="s">
        <v>23</v>
      </c>
      <c r="D1209" s="4" t="s">
        <v>47</v>
      </c>
      <c r="E1209" s="4" t="s">
        <v>48</v>
      </c>
      <c r="F1209" s="4" t="s">
        <v>25</v>
      </c>
      <c r="G1209" s="4" t="s">
        <v>25</v>
      </c>
      <c r="H1209" s="4" t="s">
        <v>25</v>
      </c>
      <c r="I1209" s="5">
        <v>44409</v>
      </c>
      <c r="J1209" s="6">
        <v>0</v>
      </c>
      <c r="K1209" s="6">
        <v>0</v>
      </c>
      <c r="L1209" s="6">
        <v>2883.42</v>
      </c>
      <c r="M1209" s="6">
        <v>2883.42</v>
      </c>
      <c r="N1209" s="6">
        <v>2883.42</v>
      </c>
      <c r="O1209" s="6">
        <v>2883.42</v>
      </c>
      <c r="P1209" s="6">
        <v>75</v>
      </c>
      <c r="Q1209" s="4" t="s">
        <v>26</v>
      </c>
      <c r="R1209" s="4">
        <v>0</v>
      </c>
      <c r="S1209" s="4" t="s">
        <v>476</v>
      </c>
      <c r="T1209" s="4" t="s">
        <v>709</v>
      </c>
      <c r="U1209" s="4">
        <v>0</v>
      </c>
      <c r="V1209" s="4">
        <v>63</v>
      </c>
      <c r="W1209" s="4">
        <v>80</v>
      </c>
    </row>
    <row r="1210" spans="1:23" ht="11.25" customHeight="1" x14ac:dyDescent="0.25">
      <c r="A1210" s="4" t="s">
        <v>21</v>
      </c>
      <c r="B1210" s="4" t="s">
        <v>46</v>
      </c>
      <c r="C1210" s="4" t="s">
        <v>23</v>
      </c>
      <c r="D1210" s="4" t="s">
        <v>47</v>
      </c>
      <c r="E1210" s="4" t="s">
        <v>48</v>
      </c>
      <c r="F1210" s="4" t="s">
        <v>25</v>
      </c>
      <c r="G1210" s="4" t="s">
        <v>25</v>
      </c>
      <c r="H1210" s="4" t="s">
        <v>25</v>
      </c>
      <c r="I1210" s="5">
        <v>44440</v>
      </c>
      <c r="J1210" s="6">
        <v>0</v>
      </c>
      <c r="K1210" s="6">
        <v>0</v>
      </c>
      <c r="L1210" s="6">
        <v>2778.9769999999999</v>
      </c>
      <c r="M1210" s="6">
        <v>2778.9769999999999</v>
      </c>
      <c r="N1210" s="6">
        <v>2778.9769999999999</v>
      </c>
      <c r="O1210" s="6">
        <v>2778.9769999999999</v>
      </c>
      <c r="P1210" s="6">
        <v>75</v>
      </c>
      <c r="Q1210" s="4" t="s">
        <v>26</v>
      </c>
      <c r="R1210" s="4">
        <v>0</v>
      </c>
      <c r="S1210" s="4" t="s">
        <v>477</v>
      </c>
      <c r="T1210" s="4" t="s">
        <v>710</v>
      </c>
      <c r="U1210" s="4">
        <v>0</v>
      </c>
      <c r="V1210" s="4">
        <v>63</v>
      </c>
      <c r="W1210" s="4">
        <v>80</v>
      </c>
    </row>
    <row r="1211" spans="1:23" ht="11.25" customHeight="1" x14ac:dyDescent="0.25">
      <c r="A1211" s="4" t="s">
        <v>21</v>
      </c>
      <c r="B1211" s="4" t="s">
        <v>46</v>
      </c>
      <c r="C1211" s="4" t="s">
        <v>23</v>
      </c>
      <c r="D1211" s="4" t="s">
        <v>47</v>
      </c>
      <c r="E1211" s="4" t="s">
        <v>48</v>
      </c>
      <c r="F1211" s="4" t="s">
        <v>25</v>
      </c>
      <c r="G1211" s="4" t="s">
        <v>25</v>
      </c>
      <c r="H1211" s="4" t="s">
        <v>25</v>
      </c>
      <c r="I1211" s="5">
        <v>44470</v>
      </c>
      <c r="J1211" s="6">
        <v>0</v>
      </c>
      <c r="K1211" s="6">
        <v>0</v>
      </c>
      <c r="L1211" s="6">
        <v>2857.6770000000001</v>
      </c>
      <c r="M1211" s="6">
        <v>2857.6770000000001</v>
      </c>
      <c r="N1211" s="6">
        <v>2857.6770000000001</v>
      </c>
      <c r="O1211" s="6">
        <v>2857.6770000000001</v>
      </c>
      <c r="P1211" s="6">
        <v>76</v>
      </c>
      <c r="Q1211" s="4" t="s">
        <v>26</v>
      </c>
      <c r="R1211" s="4">
        <v>0</v>
      </c>
      <c r="S1211" s="4" t="s">
        <v>478</v>
      </c>
      <c r="T1211" s="4" t="s">
        <v>711</v>
      </c>
      <c r="U1211" s="4">
        <v>0</v>
      </c>
      <c r="V1211" s="4">
        <v>63</v>
      </c>
      <c r="W1211" s="4">
        <v>80</v>
      </c>
    </row>
    <row r="1212" spans="1:23" ht="11.25" customHeight="1" x14ac:dyDescent="0.25">
      <c r="A1212" s="4" t="s">
        <v>21</v>
      </c>
      <c r="B1212" s="4" t="s">
        <v>46</v>
      </c>
      <c r="C1212" s="4" t="s">
        <v>23</v>
      </c>
      <c r="D1212" s="4" t="s">
        <v>47</v>
      </c>
      <c r="E1212" s="4" t="s">
        <v>48</v>
      </c>
      <c r="F1212" s="4" t="s">
        <v>25</v>
      </c>
      <c r="G1212" s="4" t="s">
        <v>25</v>
      </c>
      <c r="H1212" s="4" t="s">
        <v>25</v>
      </c>
      <c r="I1212" s="5">
        <v>44501</v>
      </c>
      <c r="J1212" s="6">
        <v>0</v>
      </c>
      <c r="K1212" s="6">
        <v>0</v>
      </c>
      <c r="L1212" s="6">
        <v>2714.1350000000002</v>
      </c>
      <c r="M1212" s="6">
        <v>2714.1350000000002</v>
      </c>
      <c r="N1212" s="6">
        <v>2714.1350000000002</v>
      </c>
      <c r="O1212" s="6">
        <v>2714.1350000000002</v>
      </c>
      <c r="P1212" s="6">
        <v>76</v>
      </c>
      <c r="Q1212" s="4" t="s">
        <v>26</v>
      </c>
      <c r="R1212" s="4">
        <v>0</v>
      </c>
      <c r="S1212" s="4" t="s">
        <v>479</v>
      </c>
      <c r="T1212" s="4" t="s">
        <v>712</v>
      </c>
      <c r="U1212" s="4">
        <v>0</v>
      </c>
      <c r="V1212" s="4">
        <v>63</v>
      </c>
      <c r="W1212" s="4">
        <v>80</v>
      </c>
    </row>
    <row r="1213" spans="1:23" ht="11.25" customHeight="1" x14ac:dyDescent="0.25">
      <c r="A1213" s="4" t="s">
        <v>21</v>
      </c>
      <c r="B1213" s="4" t="s">
        <v>46</v>
      </c>
      <c r="C1213" s="4" t="s">
        <v>23</v>
      </c>
      <c r="D1213" s="4" t="s">
        <v>47</v>
      </c>
      <c r="E1213" s="4" t="s">
        <v>48</v>
      </c>
      <c r="F1213" s="4" t="s">
        <v>25</v>
      </c>
      <c r="G1213" s="4" t="s">
        <v>25</v>
      </c>
      <c r="H1213" s="4" t="s">
        <v>25</v>
      </c>
      <c r="I1213" s="5">
        <v>44531</v>
      </c>
      <c r="J1213" s="6">
        <v>0</v>
      </c>
      <c r="K1213" s="6">
        <v>0</v>
      </c>
      <c r="L1213" s="6">
        <v>2795.0160000000001</v>
      </c>
      <c r="M1213" s="6">
        <v>2795.0160000000001</v>
      </c>
      <c r="N1213" s="6">
        <v>2795.0160000000001</v>
      </c>
      <c r="O1213" s="6">
        <v>2795.0160000000001</v>
      </c>
      <c r="P1213" s="6">
        <v>76</v>
      </c>
      <c r="Q1213" s="4" t="s">
        <v>26</v>
      </c>
      <c r="R1213" s="4">
        <v>0</v>
      </c>
      <c r="S1213" s="4" t="s">
        <v>480</v>
      </c>
      <c r="T1213" s="4" t="s">
        <v>713</v>
      </c>
      <c r="U1213" s="4">
        <v>0</v>
      </c>
      <c r="V1213" s="4">
        <v>63</v>
      </c>
      <c r="W1213" s="4">
        <v>80</v>
      </c>
    </row>
    <row r="1214" spans="1:23" ht="11.25" customHeight="1" x14ac:dyDescent="0.25">
      <c r="A1214" s="4" t="s">
        <v>55</v>
      </c>
      <c r="B1214" s="4" t="s">
        <v>46</v>
      </c>
      <c r="C1214" s="4" t="s">
        <v>23</v>
      </c>
      <c r="D1214" s="4" t="s">
        <v>47</v>
      </c>
      <c r="E1214" s="4" t="s">
        <v>48</v>
      </c>
      <c r="F1214" s="4" t="s">
        <v>25</v>
      </c>
      <c r="G1214" s="4" t="s">
        <v>25</v>
      </c>
      <c r="H1214" s="4" t="s">
        <v>25</v>
      </c>
      <c r="I1214" s="5">
        <v>44562</v>
      </c>
      <c r="J1214" s="6">
        <v>0</v>
      </c>
      <c r="K1214" s="6">
        <v>0</v>
      </c>
      <c r="L1214" s="6">
        <v>2795.0160000000001</v>
      </c>
      <c r="M1214" s="6">
        <v>2795.0160000000001</v>
      </c>
      <c r="N1214" s="6">
        <v>2795.0160000000001</v>
      </c>
      <c r="O1214" s="6">
        <v>2795.0160000000001</v>
      </c>
      <c r="P1214" s="6">
        <v>76</v>
      </c>
      <c r="Q1214" s="4" t="s">
        <v>26</v>
      </c>
      <c r="R1214" s="4">
        <v>0</v>
      </c>
      <c r="S1214" s="4" t="s">
        <v>481</v>
      </c>
      <c r="T1214" s="4" t="s">
        <v>714</v>
      </c>
      <c r="U1214" s="4">
        <v>0</v>
      </c>
      <c r="V1214" s="4">
        <v>63</v>
      </c>
      <c r="W1214" s="4">
        <v>80</v>
      </c>
    </row>
  </sheetData>
  <sortState xmlns:xlrd2="http://schemas.microsoft.com/office/spreadsheetml/2017/richdata2" ref="A2:W1214">
    <sortCondition ref="B2:B1214"/>
    <sortCondition ref="C2:C1214"/>
    <sortCondition ref="D2:D1214"/>
    <sortCondition ref="E2:E1214"/>
    <sortCondition ref="F2:F1214"/>
    <sortCondition ref="H2:H1214"/>
  </sortState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7A99D-C464-490F-BEC0-1FE914970709}">
  <dimension ref="A1:H121"/>
  <sheetViews>
    <sheetView showGridLines="0" topLeftCell="A82" workbookViewId="0">
      <selection activeCell="H1" sqref="H1"/>
    </sheetView>
  </sheetViews>
  <sheetFormatPr defaultRowHeight="11.25" customHeight="1" x14ac:dyDescent="0.25"/>
  <cols>
    <col min="1" max="1" width="11.140625" style="8" bestFit="1" customWidth="1"/>
    <col min="2" max="2" width="84.85546875" style="8" bestFit="1" customWidth="1"/>
    <col min="3" max="3" width="13.140625" style="8" bestFit="1" customWidth="1"/>
    <col min="4" max="4" width="5.5703125" style="8" bestFit="1" customWidth="1"/>
    <col min="5" max="5" width="7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62</v>
      </c>
      <c r="B1" s="7" t="s">
        <v>63</v>
      </c>
      <c r="C1" s="7" t="s">
        <v>64</v>
      </c>
      <c r="D1" s="7" t="s">
        <v>65</v>
      </c>
      <c r="E1" s="7" t="s">
        <v>66</v>
      </c>
      <c r="G1" s="7" t="s">
        <v>67</v>
      </c>
      <c r="H1" s="7">
        <f>COUNTA(A:A)</f>
        <v>121</v>
      </c>
    </row>
    <row r="2" spans="1:8" ht="11.25" customHeight="1" x14ac:dyDescent="0.25">
      <c r="A2" s="8" t="s">
        <v>507</v>
      </c>
      <c r="B2" s="8" t="s">
        <v>508</v>
      </c>
      <c r="C2" s="8" t="s">
        <v>509</v>
      </c>
      <c r="D2" s="8">
        <v>298</v>
      </c>
      <c r="E2" s="8" t="s">
        <v>510</v>
      </c>
    </row>
    <row r="3" spans="1:8" ht="11.25" customHeight="1" x14ac:dyDescent="0.25">
      <c r="A3" s="8" t="s">
        <v>507</v>
      </c>
      <c r="B3" s="8" t="s">
        <v>508</v>
      </c>
      <c r="C3" s="8" t="s">
        <v>509</v>
      </c>
      <c r="D3" s="8">
        <v>299</v>
      </c>
      <c r="E3" s="8" t="s">
        <v>510</v>
      </c>
    </row>
    <row r="4" spans="1:8" ht="11.25" customHeight="1" x14ac:dyDescent="0.25">
      <c r="A4" s="8" t="s">
        <v>507</v>
      </c>
      <c r="B4" s="8" t="s">
        <v>508</v>
      </c>
      <c r="C4" s="8" t="s">
        <v>509</v>
      </c>
      <c r="D4" s="8">
        <v>301</v>
      </c>
      <c r="E4" s="8" t="s">
        <v>510</v>
      </c>
    </row>
    <row r="5" spans="1:8" ht="11.25" customHeight="1" x14ac:dyDescent="0.25">
      <c r="A5" s="8" t="s">
        <v>507</v>
      </c>
      <c r="B5" s="8" t="s">
        <v>508</v>
      </c>
      <c r="C5" s="8" t="s">
        <v>509</v>
      </c>
      <c r="D5" s="8">
        <v>302</v>
      </c>
      <c r="E5" s="8" t="s">
        <v>510</v>
      </c>
    </row>
    <row r="6" spans="1:8" ht="11.25" customHeight="1" x14ac:dyDescent="0.25">
      <c r="A6" s="8" t="s">
        <v>507</v>
      </c>
      <c r="B6" s="8" t="s">
        <v>508</v>
      </c>
      <c r="C6" s="8" t="s">
        <v>509</v>
      </c>
      <c r="D6" s="8">
        <v>303</v>
      </c>
      <c r="E6" s="8" t="s">
        <v>510</v>
      </c>
    </row>
    <row r="7" spans="1:8" ht="11.25" customHeight="1" x14ac:dyDescent="0.25">
      <c r="A7" s="8" t="s">
        <v>507</v>
      </c>
      <c r="B7" s="8" t="s">
        <v>508</v>
      </c>
      <c r="C7" s="8" t="s">
        <v>509</v>
      </c>
      <c r="D7" s="8">
        <v>305</v>
      </c>
      <c r="E7" s="8" t="s">
        <v>510</v>
      </c>
    </row>
    <row r="8" spans="1:8" ht="11.25" customHeight="1" x14ac:dyDescent="0.25">
      <c r="A8" s="8" t="s">
        <v>507</v>
      </c>
      <c r="B8" s="8" t="s">
        <v>508</v>
      </c>
      <c r="C8" s="8" t="s">
        <v>509</v>
      </c>
      <c r="D8" s="8">
        <v>306</v>
      </c>
      <c r="E8" s="8" t="s">
        <v>510</v>
      </c>
    </row>
    <row r="9" spans="1:8" ht="11.25" customHeight="1" x14ac:dyDescent="0.25">
      <c r="A9" s="8" t="s">
        <v>507</v>
      </c>
      <c r="B9" s="8" t="s">
        <v>508</v>
      </c>
      <c r="C9" s="8" t="s">
        <v>509</v>
      </c>
      <c r="D9" s="8">
        <v>307</v>
      </c>
      <c r="E9" s="8" t="s">
        <v>510</v>
      </c>
    </row>
    <row r="10" spans="1:8" ht="11.25" customHeight="1" x14ac:dyDescent="0.25">
      <c r="A10" s="8" t="s">
        <v>507</v>
      </c>
      <c r="B10" s="8" t="s">
        <v>508</v>
      </c>
      <c r="C10" s="8" t="s">
        <v>509</v>
      </c>
      <c r="D10" s="8">
        <v>308</v>
      </c>
      <c r="E10" s="8" t="s">
        <v>510</v>
      </c>
    </row>
    <row r="11" spans="1:8" ht="11.25" customHeight="1" x14ac:dyDescent="0.25">
      <c r="A11" s="8" t="s">
        <v>507</v>
      </c>
      <c r="B11" s="8" t="s">
        <v>508</v>
      </c>
      <c r="C11" s="8" t="s">
        <v>509</v>
      </c>
      <c r="D11" s="8">
        <v>309</v>
      </c>
      <c r="E11" s="8" t="s">
        <v>510</v>
      </c>
    </row>
    <row r="12" spans="1:8" ht="11.25" customHeight="1" x14ac:dyDescent="0.25">
      <c r="A12" s="8" t="s">
        <v>507</v>
      </c>
      <c r="B12" s="8" t="s">
        <v>508</v>
      </c>
      <c r="C12" s="8" t="s">
        <v>509</v>
      </c>
      <c r="D12" s="8">
        <v>310</v>
      </c>
      <c r="E12" s="8" t="s">
        <v>510</v>
      </c>
    </row>
    <row r="13" spans="1:8" ht="11.25" customHeight="1" x14ac:dyDescent="0.25">
      <c r="A13" s="8" t="s">
        <v>507</v>
      </c>
      <c r="B13" s="8" t="s">
        <v>508</v>
      </c>
      <c r="C13" s="8" t="s">
        <v>509</v>
      </c>
      <c r="D13" s="8">
        <v>311</v>
      </c>
      <c r="E13" s="8" t="s">
        <v>510</v>
      </c>
    </row>
    <row r="14" spans="1:8" ht="11.25" customHeight="1" x14ac:dyDescent="0.25">
      <c r="A14" s="8" t="s">
        <v>507</v>
      </c>
      <c r="B14" s="8" t="s">
        <v>508</v>
      </c>
      <c r="C14" s="8" t="s">
        <v>509</v>
      </c>
      <c r="D14" s="8">
        <v>312</v>
      </c>
      <c r="E14" s="8" t="s">
        <v>510</v>
      </c>
    </row>
    <row r="15" spans="1:8" ht="11.25" customHeight="1" x14ac:dyDescent="0.25">
      <c r="A15" s="8" t="s">
        <v>507</v>
      </c>
      <c r="B15" s="8" t="s">
        <v>508</v>
      </c>
      <c r="C15" s="8" t="s">
        <v>509</v>
      </c>
      <c r="D15" s="8">
        <v>313</v>
      </c>
      <c r="E15" s="8" t="s">
        <v>510</v>
      </c>
    </row>
    <row r="16" spans="1:8" ht="11.25" customHeight="1" x14ac:dyDescent="0.25">
      <c r="A16" s="8" t="s">
        <v>507</v>
      </c>
      <c r="B16" s="8" t="s">
        <v>508</v>
      </c>
      <c r="C16" s="8" t="s">
        <v>509</v>
      </c>
      <c r="D16" s="8">
        <v>314</v>
      </c>
      <c r="E16" s="8" t="s">
        <v>510</v>
      </c>
    </row>
    <row r="17" spans="1:5" ht="11.25" customHeight="1" x14ac:dyDescent="0.25">
      <c r="A17" s="8" t="s">
        <v>507</v>
      </c>
      <c r="B17" s="8" t="s">
        <v>508</v>
      </c>
      <c r="C17" s="8" t="s">
        <v>509</v>
      </c>
      <c r="D17" s="8">
        <v>316</v>
      </c>
      <c r="E17" s="8" t="s">
        <v>510</v>
      </c>
    </row>
    <row r="18" spans="1:5" ht="11.25" customHeight="1" x14ac:dyDescent="0.25">
      <c r="A18" s="8" t="s">
        <v>507</v>
      </c>
      <c r="B18" s="8" t="s">
        <v>508</v>
      </c>
      <c r="C18" s="8" t="s">
        <v>509</v>
      </c>
      <c r="D18" s="8">
        <v>317</v>
      </c>
      <c r="E18" s="8" t="s">
        <v>510</v>
      </c>
    </row>
    <row r="19" spans="1:5" ht="11.25" customHeight="1" x14ac:dyDescent="0.25">
      <c r="A19" s="8" t="s">
        <v>507</v>
      </c>
      <c r="B19" s="8" t="s">
        <v>508</v>
      </c>
      <c r="C19" s="8" t="s">
        <v>509</v>
      </c>
      <c r="D19" s="8">
        <v>319</v>
      </c>
      <c r="E19" s="8" t="s">
        <v>510</v>
      </c>
    </row>
    <row r="20" spans="1:5" ht="11.25" customHeight="1" x14ac:dyDescent="0.25">
      <c r="A20" s="8" t="s">
        <v>507</v>
      </c>
      <c r="B20" s="8" t="s">
        <v>508</v>
      </c>
      <c r="C20" s="8" t="s">
        <v>509</v>
      </c>
      <c r="D20" s="8">
        <v>320</v>
      </c>
      <c r="E20" s="8" t="s">
        <v>510</v>
      </c>
    </row>
    <row r="21" spans="1:5" ht="11.25" customHeight="1" x14ac:dyDescent="0.25">
      <c r="A21" s="8" t="s">
        <v>507</v>
      </c>
      <c r="B21" s="8" t="s">
        <v>508</v>
      </c>
      <c r="C21" s="8" t="s">
        <v>509</v>
      </c>
      <c r="D21" s="8">
        <v>321</v>
      </c>
      <c r="E21" s="8" t="s">
        <v>510</v>
      </c>
    </row>
    <row r="22" spans="1:5" ht="11.25" customHeight="1" x14ac:dyDescent="0.25">
      <c r="A22" s="8" t="s">
        <v>507</v>
      </c>
      <c r="B22" s="8" t="s">
        <v>508</v>
      </c>
      <c r="C22" s="8" t="s">
        <v>509</v>
      </c>
      <c r="D22" s="8">
        <v>322</v>
      </c>
      <c r="E22" s="8" t="s">
        <v>510</v>
      </c>
    </row>
    <row r="23" spans="1:5" ht="11.25" customHeight="1" x14ac:dyDescent="0.25">
      <c r="A23" s="8" t="s">
        <v>507</v>
      </c>
      <c r="B23" s="8" t="s">
        <v>508</v>
      </c>
      <c r="C23" s="8" t="s">
        <v>509</v>
      </c>
      <c r="D23" s="8">
        <v>323</v>
      </c>
      <c r="E23" s="8" t="s">
        <v>510</v>
      </c>
    </row>
    <row r="24" spans="1:5" ht="11.25" customHeight="1" x14ac:dyDescent="0.25">
      <c r="A24" s="8" t="s">
        <v>507</v>
      </c>
      <c r="B24" s="8" t="s">
        <v>508</v>
      </c>
      <c r="C24" s="8" t="s">
        <v>509</v>
      </c>
      <c r="D24" s="8">
        <v>324</v>
      </c>
      <c r="E24" s="8" t="s">
        <v>510</v>
      </c>
    </row>
    <row r="25" spans="1:5" ht="11.25" customHeight="1" x14ac:dyDescent="0.25">
      <c r="A25" s="8" t="s">
        <v>507</v>
      </c>
      <c r="B25" s="8" t="s">
        <v>508</v>
      </c>
      <c r="C25" s="8" t="s">
        <v>509</v>
      </c>
      <c r="D25" s="8">
        <v>325</v>
      </c>
      <c r="E25" s="8" t="s">
        <v>510</v>
      </c>
    </row>
    <row r="26" spans="1:5" ht="11.25" customHeight="1" x14ac:dyDescent="0.25">
      <c r="A26" s="8" t="s">
        <v>507</v>
      </c>
      <c r="B26" s="8" t="s">
        <v>508</v>
      </c>
      <c r="C26" s="8" t="s">
        <v>509</v>
      </c>
      <c r="D26" s="8">
        <v>326</v>
      </c>
      <c r="E26" s="8" t="s">
        <v>510</v>
      </c>
    </row>
    <row r="27" spans="1:5" ht="11.25" customHeight="1" x14ac:dyDescent="0.25">
      <c r="A27" s="8" t="s">
        <v>507</v>
      </c>
      <c r="B27" s="8" t="s">
        <v>508</v>
      </c>
      <c r="C27" s="8" t="s">
        <v>509</v>
      </c>
      <c r="D27" s="8">
        <v>327</v>
      </c>
      <c r="E27" s="8" t="s">
        <v>510</v>
      </c>
    </row>
    <row r="28" spans="1:5" ht="11.25" customHeight="1" x14ac:dyDescent="0.25">
      <c r="A28" s="8" t="s">
        <v>507</v>
      </c>
      <c r="B28" s="8" t="s">
        <v>508</v>
      </c>
      <c r="C28" s="8" t="s">
        <v>509</v>
      </c>
      <c r="D28" s="8">
        <v>328</v>
      </c>
      <c r="E28" s="8" t="s">
        <v>510</v>
      </c>
    </row>
    <row r="29" spans="1:5" ht="11.25" customHeight="1" x14ac:dyDescent="0.25">
      <c r="A29" s="8" t="s">
        <v>507</v>
      </c>
      <c r="B29" s="8" t="s">
        <v>508</v>
      </c>
      <c r="C29" s="8" t="s">
        <v>509</v>
      </c>
      <c r="D29" s="8">
        <v>371</v>
      </c>
      <c r="E29" s="8" t="s">
        <v>510</v>
      </c>
    </row>
    <row r="30" spans="1:5" ht="11.25" customHeight="1" x14ac:dyDescent="0.25">
      <c r="A30" s="8" t="s">
        <v>507</v>
      </c>
      <c r="B30" s="8" t="s">
        <v>508</v>
      </c>
      <c r="C30" s="8" t="s">
        <v>509</v>
      </c>
      <c r="D30" s="8">
        <v>372</v>
      </c>
      <c r="E30" s="8" t="s">
        <v>510</v>
      </c>
    </row>
    <row r="31" spans="1:5" ht="11.25" customHeight="1" x14ac:dyDescent="0.25">
      <c r="A31" s="8" t="s">
        <v>507</v>
      </c>
      <c r="B31" s="8" t="s">
        <v>508</v>
      </c>
      <c r="C31" s="8" t="s">
        <v>509</v>
      </c>
      <c r="D31" s="8">
        <v>373</v>
      </c>
      <c r="E31" s="8" t="s">
        <v>510</v>
      </c>
    </row>
    <row r="32" spans="1:5" ht="11.25" customHeight="1" x14ac:dyDescent="0.25">
      <c r="A32" s="8" t="s">
        <v>507</v>
      </c>
      <c r="B32" s="8" t="s">
        <v>508</v>
      </c>
      <c r="C32" s="8" t="s">
        <v>509</v>
      </c>
      <c r="D32" s="8">
        <v>374</v>
      </c>
      <c r="E32" s="8" t="s">
        <v>510</v>
      </c>
    </row>
    <row r="33" spans="1:5" ht="11.25" customHeight="1" x14ac:dyDescent="0.25">
      <c r="A33" s="8" t="s">
        <v>507</v>
      </c>
      <c r="B33" s="8" t="s">
        <v>508</v>
      </c>
      <c r="C33" s="8" t="s">
        <v>509</v>
      </c>
      <c r="D33" s="8">
        <v>375</v>
      </c>
      <c r="E33" s="8" t="s">
        <v>510</v>
      </c>
    </row>
    <row r="34" spans="1:5" ht="11.25" customHeight="1" x14ac:dyDescent="0.25">
      <c r="A34" s="8" t="s">
        <v>507</v>
      </c>
      <c r="B34" s="8" t="s">
        <v>508</v>
      </c>
      <c r="C34" s="8" t="s">
        <v>509</v>
      </c>
      <c r="D34" s="8">
        <v>376</v>
      </c>
      <c r="E34" s="8" t="s">
        <v>510</v>
      </c>
    </row>
    <row r="35" spans="1:5" ht="11.25" customHeight="1" x14ac:dyDescent="0.25">
      <c r="A35" s="8" t="s">
        <v>507</v>
      </c>
      <c r="B35" s="8" t="s">
        <v>508</v>
      </c>
      <c r="C35" s="8" t="s">
        <v>509</v>
      </c>
      <c r="D35" s="8">
        <v>377</v>
      </c>
      <c r="E35" s="8" t="s">
        <v>510</v>
      </c>
    </row>
    <row r="36" spans="1:5" ht="11.25" customHeight="1" x14ac:dyDescent="0.25">
      <c r="A36" s="8" t="s">
        <v>507</v>
      </c>
      <c r="B36" s="8" t="s">
        <v>508</v>
      </c>
      <c r="C36" s="8" t="s">
        <v>509</v>
      </c>
      <c r="D36" s="8">
        <v>378</v>
      </c>
      <c r="E36" s="8" t="s">
        <v>510</v>
      </c>
    </row>
    <row r="37" spans="1:5" ht="11.25" customHeight="1" x14ac:dyDescent="0.25">
      <c r="A37" s="8" t="s">
        <v>507</v>
      </c>
      <c r="B37" s="8" t="s">
        <v>508</v>
      </c>
      <c r="C37" s="8" t="s">
        <v>509</v>
      </c>
      <c r="D37" s="8">
        <v>379</v>
      </c>
      <c r="E37" s="8" t="s">
        <v>510</v>
      </c>
    </row>
    <row r="38" spans="1:5" ht="11.25" customHeight="1" x14ac:dyDescent="0.25">
      <c r="A38" s="8" t="s">
        <v>507</v>
      </c>
      <c r="B38" s="8" t="s">
        <v>508</v>
      </c>
      <c r="C38" s="8" t="s">
        <v>509</v>
      </c>
      <c r="D38" s="8">
        <v>380</v>
      </c>
      <c r="E38" s="8" t="s">
        <v>510</v>
      </c>
    </row>
    <row r="39" spans="1:5" ht="11.25" customHeight="1" x14ac:dyDescent="0.25">
      <c r="A39" s="8" t="s">
        <v>507</v>
      </c>
      <c r="B39" s="8" t="s">
        <v>508</v>
      </c>
      <c r="C39" s="8" t="s">
        <v>509</v>
      </c>
      <c r="D39" s="8">
        <v>381</v>
      </c>
      <c r="E39" s="8" t="s">
        <v>510</v>
      </c>
    </row>
    <row r="40" spans="1:5" ht="11.25" customHeight="1" x14ac:dyDescent="0.25">
      <c r="A40" s="8" t="s">
        <v>507</v>
      </c>
      <c r="B40" s="8" t="s">
        <v>508</v>
      </c>
      <c r="C40" s="8" t="s">
        <v>509</v>
      </c>
      <c r="D40" s="8">
        <v>382</v>
      </c>
      <c r="E40" s="8" t="s">
        <v>510</v>
      </c>
    </row>
    <row r="41" spans="1:5" ht="11.25" customHeight="1" x14ac:dyDescent="0.25">
      <c r="A41" s="8" t="s">
        <v>507</v>
      </c>
      <c r="B41" s="8" t="s">
        <v>508</v>
      </c>
      <c r="C41" s="8" t="s">
        <v>509</v>
      </c>
      <c r="D41" s="8">
        <v>469</v>
      </c>
      <c r="E41" s="8" t="s">
        <v>510</v>
      </c>
    </row>
    <row r="42" spans="1:5" ht="11.25" customHeight="1" x14ac:dyDescent="0.25">
      <c r="A42" s="8" t="s">
        <v>507</v>
      </c>
      <c r="B42" s="8" t="s">
        <v>508</v>
      </c>
      <c r="C42" s="8" t="s">
        <v>509</v>
      </c>
      <c r="D42" s="8">
        <v>470</v>
      </c>
      <c r="E42" s="8" t="s">
        <v>510</v>
      </c>
    </row>
    <row r="43" spans="1:5" ht="11.25" customHeight="1" x14ac:dyDescent="0.25">
      <c r="A43" s="8" t="s">
        <v>507</v>
      </c>
      <c r="B43" s="8" t="s">
        <v>508</v>
      </c>
      <c r="C43" s="8" t="s">
        <v>509</v>
      </c>
      <c r="D43" s="8">
        <v>472</v>
      </c>
      <c r="E43" s="8" t="s">
        <v>510</v>
      </c>
    </row>
    <row r="44" spans="1:5" ht="11.25" customHeight="1" x14ac:dyDescent="0.25">
      <c r="A44" s="8" t="s">
        <v>507</v>
      </c>
      <c r="B44" s="8" t="s">
        <v>508</v>
      </c>
      <c r="C44" s="8" t="s">
        <v>509</v>
      </c>
      <c r="D44" s="8">
        <v>473</v>
      </c>
      <c r="E44" s="8" t="s">
        <v>510</v>
      </c>
    </row>
    <row r="45" spans="1:5" ht="11.25" customHeight="1" x14ac:dyDescent="0.25">
      <c r="A45" s="8" t="s">
        <v>507</v>
      </c>
      <c r="B45" s="8" t="s">
        <v>508</v>
      </c>
      <c r="C45" s="8" t="s">
        <v>509</v>
      </c>
      <c r="D45" s="8">
        <v>475</v>
      </c>
      <c r="E45" s="8" t="s">
        <v>510</v>
      </c>
    </row>
    <row r="46" spans="1:5" ht="11.25" customHeight="1" x14ac:dyDescent="0.25">
      <c r="A46" s="8" t="s">
        <v>507</v>
      </c>
      <c r="B46" s="8" t="s">
        <v>508</v>
      </c>
      <c r="C46" s="8" t="s">
        <v>509</v>
      </c>
      <c r="D46" s="8">
        <v>476</v>
      </c>
      <c r="E46" s="8" t="s">
        <v>510</v>
      </c>
    </row>
    <row r="47" spans="1:5" ht="11.25" customHeight="1" x14ac:dyDescent="0.25">
      <c r="A47" s="8" t="s">
        <v>507</v>
      </c>
      <c r="B47" s="8" t="s">
        <v>508</v>
      </c>
      <c r="C47" s="8" t="s">
        <v>509</v>
      </c>
      <c r="D47" s="8">
        <v>478</v>
      </c>
      <c r="E47" s="8" t="s">
        <v>510</v>
      </c>
    </row>
    <row r="48" spans="1:5" ht="11.25" customHeight="1" x14ac:dyDescent="0.25">
      <c r="A48" s="8" t="s">
        <v>507</v>
      </c>
      <c r="B48" s="8" t="s">
        <v>508</v>
      </c>
      <c r="C48" s="8" t="s">
        <v>509</v>
      </c>
      <c r="D48" s="8">
        <v>479</v>
      </c>
      <c r="E48" s="8" t="s">
        <v>510</v>
      </c>
    </row>
    <row r="49" spans="1:5" ht="11.25" customHeight="1" x14ac:dyDescent="0.25">
      <c r="A49" s="8" t="s">
        <v>507</v>
      </c>
      <c r="B49" s="8" t="s">
        <v>508</v>
      </c>
      <c r="C49" s="8" t="s">
        <v>509</v>
      </c>
      <c r="D49" s="8">
        <v>481</v>
      </c>
      <c r="E49" s="8" t="s">
        <v>510</v>
      </c>
    </row>
    <row r="50" spans="1:5" ht="11.25" customHeight="1" x14ac:dyDescent="0.25">
      <c r="A50" s="8" t="s">
        <v>507</v>
      </c>
      <c r="B50" s="8" t="s">
        <v>508</v>
      </c>
      <c r="C50" s="8" t="s">
        <v>509</v>
      </c>
      <c r="D50" s="8">
        <v>482</v>
      </c>
      <c r="E50" s="8" t="s">
        <v>510</v>
      </c>
    </row>
    <row r="51" spans="1:5" ht="11.25" customHeight="1" x14ac:dyDescent="0.25">
      <c r="A51" s="8" t="s">
        <v>507</v>
      </c>
      <c r="B51" s="8" t="s">
        <v>508</v>
      </c>
      <c r="C51" s="8" t="s">
        <v>509</v>
      </c>
      <c r="D51" s="8">
        <v>484</v>
      </c>
      <c r="E51" s="8" t="s">
        <v>510</v>
      </c>
    </row>
    <row r="52" spans="1:5" ht="11.25" customHeight="1" x14ac:dyDescent="0.25">
      <c r="A52" s="8" t="s">
        <v>507</v>
      </c>
      <c r="B52" s="8" t="s">
        <v>508</v>
      </c>
      <c r="C52" s="8" t="s">
        <v>509</v>
      </c>
      <c r="D52" s="8">
        <v>485</v>
      </c>
      <c r="E52" s="8" t="s">
        <v>510</v>
      </c>
    </row>
    <row r="53" spans="1:5" ht="11.25" customHeight="1" x14ac:dyDescent="0.25">
      <c r="A53" s="8" t="s">
        <v>507</v>
      </c>
      <c r="B53" s="8" t="s">
        <v>508</v>
      </c>
      <c r="C53" s="8" t="s">
        <v>509</v>
      </c>
      <c r="D53" s="8">
        <v>487</v>
      </c>
      <c r="E53" s="8" t="s">
        <v>510</v>
      </c>
    </row>
    <row r="54" spans="1:5" ht="11.25" customHeight="1" x14ac:dyDescent="0.25">
      <c r="A54" s="8" t="s">
        <v>507</v>
      </c>
      <c r="B54" s="8" t="s">
        <v>508</v>
      </c>
      <c r="C54" s="8" t="s">
        <v>509</v>
      </c>
      <c r="D54" s="8">
        <v>488</v>
      </c>
      <c r="E54" s="8" t="s">
        <v>510</v>
      </c>
    </row>
    <row r="55" spans="1:5" ht="11.25" customHeight="1" x14ac:dyDescent="0.25">
      <c r="A55" s="8" t="s">
        <v>507</v>
      </c>
      <c r="B55" s="8" t="s">
        <v>508</v>
      </c>
      <c r="C55" s="8" t="s">
        <v>509</v>
      </c>
      <c r="D55" s="8">
        <v>490</v>
      </c>
      <c r="E55" s="8" t="s">
        <v>510</v>
      </c>
    </row>
    <row r="56" spans="1:5" ht="11.25" customHeight="1" x14ac:dyDescent="0.25">
      <c r="A56" s="8" t="s">
        <v>507</v>
      </c>
      <c r="B56" s="8" t="s">
        <v>508</v>
      </c>
      <c r="C56" s="8" t="s">
        <v>509</v>
      </c>
      <c r="D56" s="8">
        <v>491</v>
      </c>
      <c r="E56" s="8" t="s">
        <v>510</v>
      </c>
    </row>
    <row r="57" spans="1:5" ht="11.25" customHeight="1" x14ac:dyDescent="0.25">
      <c r="A57" s="8" t="s">
        <v>507</v>
      </c>
      <c r="B57" s="8" t="s">
        <v>508</v>
      </c>
      <c r="C57" s="8" t="s">
        <v>509</v>
      </c>
      <c r="D57" s="8">
        <v>493</v>
      </c>
      <c r="E57" s="8" t="s">
        <v>510</v>
      </c>
    </row>
    <row r="58" spans="1:5" ht="11.25" customHeight="1" x14ac:dyDescent="0.25">
      <c r="A58" s="8" t="s">
        <v>507</v>
      </c>
      <c r="B58" s="8" t="s">
        <v>508</v>
      </c>
      <c r="C58" s="8" t="s">
        <v>509</v>
      </c>
      <c r="D58" s="8">
        <v>494</v>
      </c>
      <c r="E58" s="8" t="s">
        <v>510</v>
      </c>
    </row>
    <row r="59" spans="1:5" ht="11.25" customHeight="1" x14ac:dyDescent="0.25">
      <c r="A59" s="8" t="s">
        <v>507</v>
      </c>
      <c r="B59" s="8" t="s">
        <v>508</v>
      </c>
      <c r="C59" s="8" t="s">
        <v>509</v>
      </c>
      <c r="D59" s="8">
        <v>496</v>
      </c>
      <c r="E59" s="8" t="s">
        <v>510</v>
      </c>
    </row>
    <row r="60" spans="1:5" ht="11.25" customHeight="1" x14ac:dyDescent="0.25">
      <c r="A60" s="8" t="s">
        <v>507</v>
      </c>
      <c r="B60" s="8" t="s">
        <v>508</v>
      </c>
      <c r="C60" s="8" t="s">
        <v>509</v>
      </c>
      <c r="D60" s="8">
        <v>497</v>
      </c>
      <c r="E60" s="8" t="s">
        <v>510</v>
      </c>
    </row>
    <row r="61" spans="1:5" ht="11.25" customHeight="1" x14ac:dyDescent="0.25">
      <c r="A61" s="8" t="s">
        <v>507</v>
      </c>
      <c r="B61" s="8" t="s">
        <v>508</v>
      </c>
      <c r="C61" s="8" t="s">
        <v>509</v>
      </c>
      <c r="D61" s="8">
        <v>498</v>
      </c>
      <c r="E61" s="8" t="s">
        <v>510</v>
      </c>
    </row>
    <row r="62" spans="1:5" ht="11.25" customHeight="1" x14ac:dyDescent="0.25">
      <c r="A62" s="8" t="s">
        <v>507</v>
      </c>
      <c r="B62" s="8" t="s">
        <v>508</v>
      </c>
      <c r="C62" s="8" t="s">
        <v>509</v>
      </c>
      <c r="D62" s="8">
        <v>500</v>
      </c>
      <c r="E62" s="8" t="s">
        <v>510</v>
      </c>
    </row>
    <row r="63" spans="1:5" ht="11.25" customHeight="1" x14ac:dyDescent="0.25">
      <c r="A63" s="8" t="s">
        <v>507</v>
      </c>
      <c r="B63" s="8" t="s">
        <v>508</v>
      </c>
      <c r="C63" s="8" t="s">
        <v>509</v>
      </c>
      <c r="D63" s="8">
        <v>501</v>
      </c>
      <c r="E63" s="8" t="s">
        <v>510</v>
      </c>
    </row>
    <row r="64" spans="1:5" ht="11.25" customHeight="1" x14ac:dyDescent="0.25">
      <c r="A64" s="8" t="s">
        <v>507</v>
      </c>
      <c r="B64" s="8" t="s">
        <v>508</v>
      </c>
      <c r="C64" s="8" t="s">
        <v>509</v>
      </c>
      <c r="D64" s="8">
        <v>503</v>
      </c>
      <c r="E64" s="8" t="s">
        <v>510</v>
      </c>
    </row>
    <row r="65" spans="1:5" ht="11.25" customHeight="1" x14ac:dyDescent="0.25">
      <c r="A65" s="8" t="s">
        <v>507</v>
      </c>
      <c r="B65" s="8" t="s">
        <v>508</v>
      </c>
      <c r="C65" s="8" t="s">
        <v>509</v>
      </c>
      <c r="D65" s="8">
        <v>504</v>
      </c>
      <c r="E65" s="8" t="s">
        <v>510</v>
      </c>
    </row>
    <row r="66" spans="1:5" ht="11.25" customHeight="1" x14ac:dyDescent="0.25">
      <c r="A66" s="8" t="s">
        <v>507</v>
      </c>
      <c r="B66" s="8" t="s">
        <v>508</v>
      </c>
      <c r="C66" s="8" t="s">
        <v>509</v>
      </c>
      <c r="D66" s="8">
        <v>568</v>
      </c>
      <c r="E66" s="8" t="s">
        <v>510</v>
      </c>
    </row>
    <row r="67" spans="1:5" ht="11.25" customHeight="1" x14ac:dyDescent="0.25">
      <c r="A67" s="8" t="s">
        <v>507</v>
      </c>
      <c r="B67" s="8" t="s">
        <v>508</v>
      </c>
      <c r="C67" s="8" t="s">
        <v>509</v>
      </c>
      <c r="D67" s="8">
        <v>569</v>
      </c>
      <c r="E67" s="8" t="s">
        <v>510</v>
      </c>
    </row>
    <row r="68" spans="1:5" ht="11.25" customHeight="1" x14ac:dyDescent="0.25">
      <c r="A68" s="8" t="s">
        <v>507</v>
      </c>
      <c r="B68" s="8" t="s">
        <v>508</v>
      </c>
      <c r="C68" s="8" t="s">
        <v>509</v>
      </c>
      <c r="D68" s="8">
        <v>570</v>
      </c>
      <c r="E68" s="8" t="s">
        <v>510</v>
      </c>
    </row>
    <row r="69" spans="1:5" ht="11.25" customHeight="1" x14ac:dyDescent="0.25">
      <c r="A69" s="8" t="s">
        <v>507</v>
      </c>
      <c r="B69" s="8" t="s">
        <v>508</v>
      </c>
      <c r="C69" s="8" t="s">
        <v>509</v>
      </c>
      <c r="D69" s="8">
        <v>571</v>
      </c>
      <c r="E69" s="8" t="s">
        <v>510</v>
      </c>
    </row>
    <row r="70" spans="1:5" ht="11.25" customHeight="1" x14ac:dyDescent="0.25">
      <c r="A70" s="8" t="s">
        <v>507</v>
      </c>
      <c r="B70" s="8" t="s">
        <v>508</v>
      </c>
      <c r="C70" s="8" t="s">
        <v>509</v>
      </c>
      <c r="D70" s="8">
        <v>572</v>
      </c>
      <c r="E70" s="8" t="s">
        <v>510</v>
      </c>
    </row>
    <row r="71" spans="1:5" ht="11.25" customHeight="1" x14ac:dyDescent="0.25">
      <c r="A71" s="8" t="s">
        <v>507</v>
      </c>
      <c r="B71" s="8" t="s">
        <v>508</v>
      </c>
      <c r="C71" s="8" t="s">
        <v>509</v>
      </c>
      <c r="D71" s="8">
        <v>573</v>
      </c>
      <c r="E71" s="8" t="s">
        <v>510</v>
      </c>
    </row>
    <row r="72" spans="1:5" ht="11.25" customHeight="1" x14ac:dyDescent="0.25">
      <c r="A72" s="8" t="s">
        <v>507</v>
      </c>
      <c r="B72" s="8" t="s">
        <v>508</v>
      </c>
      <c r="C72" s="8" t="s">
        <v>509</v>
      </c>
      <c r="D72" s="8">
        <v>574</v>
      </c>
      <c r="E72" s="8" t="s">
        <v>510</v>
      </c>
    </row>
    <row r="73" spans="1:5" ht="11.25" customHeight="1" x14ac:dyDescent="0.25">
      <c r="A73" s="8" t="s">
        <v>507</v>
      </c>
      <c r="B73" s="8" t="s">
        <v>508</v>
      </c>
      <c r="C73" s="8" t="s">
        <v>509</v>
      </c>
      <c r="D73" s="8">
        <v>575</v>
      </c>
      <c r="E73" s="8" t="s">
        <v>510</v>
      </c>
    </row>
    <row r="74" spans="1:5" ht="11.25" customHeight="1" x14ac:dyDescent="0.25">
      <c r="A74" s="8" t="s">
        <v>507</v>
      </c>
      <c r="B74" s="8" t="s">
        <v>508</v>
      </c>
      <c r="C74" s="8" t="s">
        <v>509</v>
      </c>
      <c r="D74" s="8">
        <v>576</v>
      </c>
      <c r="E74" s="8" t="s">
        <v>510</v>
      </c>
    </row>
    <row r="75" spans="1:5" ht="11.25" customHeight="1" x14ac:dyDescent="0.25">
      <c r="A75" s="8" t="s">
        <v>507</v>
      </c>
      <c r="B75" s="8" t="s">
        <v>508</v>
      </c>
      <c r="C75" s="8" t="s">
        <v>509</v>
      </c>
      <c r="D75" s="8">
        <v>577</v>
      </c>
      <c r="E75" s="8" t="s">
        <v>510</v>
      </c>
    </row>
    <row r="76" spans="1:5" ht="11.25" customHeight="1" x14ac:dyDescent="0.25">
      <c r="A76" s="8" t="s">
        <v>507</v>
      </c>
      <c r="B76" s="8" t="s">
        <v>508</v>
      </c>
      <c r="C76" s="8" t="s">
        <v>509</v>
      </c>
      <c r="D76" s="8">
        <v>578</v>
      </c>
      <c r="E76" s="8" t="s">
        <v>510</v>
      </c>
    </row>
    <row r="77" spans="1:5" ht="11.25" customHeight="1" x14ac:dyDescent="0.25">
      <c r="A77" s="8" t="s">
        <v>507</v>
      </c>
      <c r="B77" s="8" t="s">
        <v>508</v>
      </c>
      <c r="C77" s="8" t="s">
        <v>509</v>
      </c>
      <c r="D77" s="8">
        <v>579</v>
      </c>
      <c r="E77" s="8" t="s">
        <v>510</v>
      </c>
    </row>
    <row r="78" spans="1:5" ht="11.25" customHeight="1" x14ac:dyDescent="0.25">
      <c r="A78" s="8" t="s">
        <v>507</v>
      </c>
      <c r="B78" s="8" t="s">
        <v>508</v>
      </c>
      <c r="C78" s="8" t="s">
        <v>509</v>
      </c>
      <c r="D78" s="8">
        <v>580</v>
      </c>
      <c r="E78" s="8" t="s">
        <v>510</v>
      </c>
    </row>
    <row r="79" spans="1:5" ht="11.25" customHeight="1" x14ac:dyDescent="0.25">
      <c r="A79" s="8" t="s">
        <v>507</v>
      </c>
      <c r="B79" s="8" t="s">
        <v>508</v>
      </c>
      <c r="C79" s="8" t="s">
        <v>509</v>
      </c>
      <c r="D79" s="8">
        <v>581</v>
      </c>
      <c r="E79" s="8" t="s">
        <v>510</v>
      </c>
    </row>
    <row r="80" spans="1:5" ht="11.25" customHeight="1" x14ac:dyDescent="0.25">
      <c r="A80" s="8" t="s">
        <v>507</v>
      </c>
      <c r="B80" s="8" t="s">
        <v>508</v>
      </c>
      <c r="C80" s="8" t="s">
        <v>509</v>
      </c>
      <c r="D80" s="8">
        <v>582</v>
      </c>
      <c r="E80" s="8" t="s">
        <v>510</v>
      </c>
    </row>
    <row r="81" spans="1:5" ht="11.25" customHeight="1" x14ac:dyDescent="0.25">
      <c r="A81" s="8" t="s">
        <v>507</v>
      </c>
      <c r="B81" s="8" t="s">
        <v>508</v>
      </c>
      <c r="C81" s="8" t="s">
        <v>509</v>
      </c>
      <c r="D81" s="8">
        <v>583</v>
      </c>
      <c r="E81" s="8" t="s">
        <v>510</v>
      </c>
    </row>
    <row r="82" spans="1:5" ht="11.25" customHeight="1" x14ac:dyDescent="0.25">
      <c r="A82" s="8" t="s">
        <v>507</v>
      </c>
      <c r="B82" s="8" t="s">
        <v>508</v>
      </c>
      <c r="C82" s="8" t="s">
        <v>509</v>
      </c>
      <c r="D82" s="8">
        <v>584</v>
      </c>
      <c r="E82" s="8" t="s">
        <v>510</v>
      </c>
    </row>
    <row r="83" spans="1:5" ht="11.25" customHeight="1" x14ac:dyDescent="0.25">
      <c r="A83" s="8" t="s">
        <v>507</v>
      </c>
      <c r="B83" s="8" t="s">
        <v>508</v>
      </c>
      <c r="C83" s="8" t="s">
        <v>509</v>
      </c>
      <c r="D83" s="8">
        <v>585</v>
      </c>
      <c r="E83" s="8" t="s">
        <v>510</v>
      </c>
    </row>
    <row r="84" spans="1:5" ht="11.25" customHeight="1" x14ac:dyDescent="0.25">
      <c r="A84" s="8" t="s">
        <v>507</v>
      </c>
      <c r="B84" s="8" t="s">
        <v>508</v>
      </c>
      <c r="C84" s="8" t="s">
        <v>509</v>
      </c>
      <c r="D84" s="8">
        <v>586</v>
      </c>
      <c r="E84" s="8" t="s">
        <v>510</v>
      </c>
    </row>
    <row r="85" spans="1:5" ht="11.25" customHeight="1" x14ac:dyDescent="0.25">
      <c r="A85" s="8" t="s">
        <v>507</v>
      </c>
      <c r="B85" s="8" t="s">
        <v>508</v>
      </c>
      <c r="C85" s="8" t="s">
        <v>509</v>
      </c>
      <c r="D85" s="8">
        <v>587</v>
      </c>
      <c r="E85" s="8" t="s">
        <v>510</v>
      </c>
    </row>
    <row r="86" spans="1:5" ht="11.25" customHeight="1" x14ac:dyDescent="0.25">
      <c r="A86" s="8" t="s">
        <v>507</v>
      </c>
      <c r="B86" s="8" t="s">
        <v>508</v>
      </c>
      <c r="C86" s="8" t="s">
        <v>509</v>
      </c>
      <c r="D86" s="8">
        <v>588</v>
      </c>
      <c r="E86" s="8" t="s">
        <v>510</v>
      </c>
    </row>
    <row r="87" spans="1:5" ht="11.25" customHeight="1" x14ac:dyDescent="0.25">
      <c r="A87" s="8" t="s">
        <v>507</v>
      </c>
      <c r="B87" s="8" t="s">
        <v>508</v>
      </c>
      <c r="C87" s="8" t="s">
        <v>509</v>
      </c>
      <c r="D87" s="8">
        <v>589</v>
      </c>
      <c r="E87" s="8" t="s">
        <v>510</v>
      </c>
    </row>
    <row r="88" spans="1:5" ht="11.25" customHeight="1" x14ac:dyDescent="0.25">
      <c r="A88" s="8" t="s">
        <v>507</v>
      </c>
      <c r="B88" s="8" t="s">
        <v>508</v>
      </c>
      <c r="C88" s="8" t="s">
        <v>509</v>
      </c>
      <c r="D88" s="8">
        <v>590</v>
      </c>
      <c r="E88" s="8" t="s">
        <v>510</v>
      </c>
    </row>
    <row r="89" spans="1:5" ht="11.25" customHeight="1" x14ac:dyDescent="0.25">
      <c r="A89" s="8" t="s">
        <v>507</v>
      </c>
      <c r="B89" s="8" t="s">
        <v>508</v>
      </c>
      <c r="C89" s="8" t="s">
        <v>509</v>
      </c>
      <c r="D89" s="8">
        <v>591</v>
      </c>
      <c r="E89" s="8" t="s">
        <v>510</v>
      </c>
    </row>
    <row r="90" spans="1:5" ht="11.25" customHeight="1" x14ac:dyDescent="0.25">
      <c r="A90" s="8" t="s">
        <v>507</v>
      </c>
      <c r="B90" s="8" t="s">
        <v>508</v>
      </c>
      <c r="C90" s="8" t="s">
        <v>509</v>
      </c>
      <c r="D90" s="8">
        <v>592</v>
      </c>
      <c r="E90" s="8" t="s">
        <v>510</v>
      </c>
    </row>
    <row r="91" spans="1:5" ht="11.25" customHeight="1" x14ac:dyDescent="0.25">
      <c r="A91" s="8" t="s">
        <v>507</v>
      </c>
      <c r="B91" s="8" t="s">
        <v>508</v>
      </c>
      <c r="C91" s="8" t="s">
        <v>509</v>
      </c>
      <c r="D91" s="8">
        <v>629</v>
      </c>
      <c r="E91" s="8" t="s">
        <v>510</v>
      </c>
    </row>
    <row r="92" spans="1:5" ht="11.25" customHeight="1" x14ac:dyDescent="0.25">
      <c r="A92" s="8" t="s">
        <v>507</v>
      </c>
      <c r="B92" s="8" t="s">
        <v>508</v>
      </c>
      <c r="C92" s="8" t="s">
        <v>509</v>
      </c>
      <c r="D92" s="8">
        <v>630</v>
      </c>
      <c r="E92" s="8" t="s">
        <v>510</v>
      </c>
    </row>
    <row r="93" spans="1:5" ht="11.25" customHeight="1" x14ac:dyDescent="0.25">
      <c r="A93" s="8" t="s">
        <v>507</v>
      </c>
      <c r="B93" s="8" t="s">
        <v>508</v>
      </c>
      <c r="C93" s="8" t="s">
        <v>509</v>
      </c>
      <c r="D93" s="8">
        <v>631</v>
      </c>
      <c r="E93" s="8" t="s">
        <v>510</v>
      </c>
    </row>
    <row r="94" spans="1:5" ht="11.25" customHeight="1" x14ac:dyDescent="0.25">
      <c r="A94" s="8" t="s">
        <v>507</v>
      </c>
      <c r="B94" s="8" t="s">
        <v>508</v>
      </c>
      <c r="C94" s="8" t="s">
        <v>509</v>
      </c>
      <c r="D94" s="8">
        <v>632</v>
      </c>
      <c r="E94" s="8" t="s">
        <v>510</v>
      </c>
    </row>
    <row r="95" spans="1:5" ht="11.25" customHeight="1" x14ac:dyDescent="0.25">
      <c r="A95" s="8" t="s">
        <v>507</v>
      </c>
      <c r="B95" s="8" t="s">
        <v>508</v>
      </c>
      <c r="C95" s="8" t="s">
        <v>509</v>
      </c>
      <c r="D95" s="8">
        <v>633</v>
      </c>
      <c r="E95" s="8" t="s">
        <v>510</v>
      </c>
    </row>
    <row r="96" spans="1:5" ht="11.25" customHeight="1" x14ac:dyDescent="0.25">
      <c r="A96" s="8" t="s">
        <v>507</v>
      </c>
      <c r="B96" s="8" t="s">
        <v>508</v>
      </c>
      <c r="C96" s="8" t="s">
        <v>509</v>
      </c>
      <c r="D96" s="8">
        <v>634</v>
      </c>
      <c r="E96" s="8" t="s">
        <v>510</v>
      </c>
    </row>
    <row r="97" spans="1:5" ht="11.25" customHeight="1" x14ac:dyDescent="0.25">
      <c r="A97" s="8" t="s">
        <v>507</v>
      </c>
      <c r="B97" s="8" t="s">
        <v>508</v>
      </c>
      <c r="C97" s="8" t="s">
        <v>509</v>
      </c>
      <c r="D97" s="8">
        <v>635</v>
      </c>
      <c r="E97" s="8" t="s">
        <v>510</v>
      </c>
    </row>
    <row r="98" spans="1:5" ht="11.25" customHeight="1" x14ac:dyDescent="0.25">
      <c r="A98" s="8" t="s">
        <v>507</v>
      </c>
      <c r="B98" s="8" t="s">
        <v>508</v>
      </c>
      <c r="C98" s="8" t="s">
        <v>509</v>
      </c>
      <c r="D98" s="8">
        <v>636</v>
      </c>
      <c r="E98" s="8" t="s">
        <v>510</v>
      </c>
    </row>
    <row r="99" spans="1:5" ht="11.25" customHeight="1" x14ac:dyDescent="0.25">
      <c r="A99" s="8" t="s">
        <v>507</v>
      </c>
      <c r="B99" s="8" t="s">
        <v>508</v>
      </c>
      <c r="C99" s="8" t="s">
        <v>509</v>
      </c>
      <c r="D99" s="8">
        <v>637</v>
      </c>
      <c r="E99" s="8" t="s">
        <v>510</v>
      </c>
    </row>
    <row r="100" spans="1:5" ht="11.25" customHeight="1" x14ac:dyDescent="0.25">
      <c r="A100" s="8" t="s">
        <v>507</v>
      </c>
      <c r="B100" s="8" t="s">
        <v>508</v>
      </c>
      <c r="C100" s="8" t="s">
        <v>509</v>
      </c>
      <c r="D100" s="8">
        <v>638</v>
      </c>
      <c r="E100" s="8" t="s">
        <v>510</v>
      </c>
    </row>
    <row r="101" spans="1:5" ht="11.25" customHeight="1" x14ac:dyDescent="0.25">
      <c r="A101" s="8" t="s">
        <v>507</v>
      </c>
      <c r="B101" s="8" t="s">
        <v>508</v>
      </c>
      <c r="C101" s="8" t="s">
        <v>509</v>
      </c>
      <c r="D101" s="8">
        <v>639</v>
      </c>
      <c r="E101" s="8" t="s">
        <v>510</v>
      </c>
    </row>
    <row r="102" spans="1:5" ht="11.25" customHeight="1" x14ac:dyDescent="0.25">
      <c r="A102" s="8" t="s">
        <v>507</v>
      </c>
      <c r="B102" s="8" t="s">
        <v>508</v>
      </c>
      <c r="C102" s="8" t="s">
        <v>509</v>
      </c>
      <c r="D102" s="8">
        <v>640</v>
      </c>
      <c r="E102" s="8" t="s">
        <v>510</v>
      </c>
    </row>
    <row r="103" spans="1:5" ht="11.25" customHeight="1" x14ac:dyDescent="0.25">
      <c r="A103" s="8" t="s">
        <v>507</v>
      </c>
      <c r="B103" s="8" t="s">
        <v>508</v>
      </c>
      <c r="C103" s="8" t="s">
        <v>509</v>
      </c>
      <c r="D103" s="8">
        <v>665</v>
      </c>
      <c r="E103" s="8" t="s">
        <v>510</v>
      </c>
    </row>
    <row r="104" spans="1:5" ht="11.25" customHeight="1" x14ac:dyDescent="0.25">
      <c r="A104" s="8" t="s">
        <v>507</v>
      </c>
      <c r="B104" s="8" t="s">
        <v>508</v>
      </c>
      <c r="C104" s="8" t="s">
        <v>509</v>
      </c>
      <c r="D104" s="8">
        <v>666</v>
      </c>
      <c r="E104" s="8" t="s">
        <v>510</v>
      </c>
    </row>
    <row r="105" spans="1:5" ht="11.25" customHeight="1" x14ac:dyDescent="0.25">
      <c r="A105" s="8" t="s">
        <v>507</v>
      </c>
      <c r="B105" s="8" t="s">
        <v>508</v>
      </c>
      <c r="C105" s="8" t="s">
        <v>509</v>
      </c>
      <c r="D105" s="8">
        <v>667</v>
      </c>
      <c r="E105" s="8" t="s">
        <v>510</v>
      </c>
    </row>
    <row r="106" spans="1:5" ht="11.25" customHeight="1" x14ac:dyDescent="0.25">
      <c r="A106" s="8" t="s">
        <v>507</v>
      </c>
      <c r="B106" s="8" t="s">
        <v>508</v>
      </c>
      <c r="C106" s="8" t="s">
        <v>509</v>
      </c>
      <c r="D106" s="8">
        <v>668</v>
      </c>
      <c r="E106" s="8" t="s">
        <v>510</v>
      </c>
    </row>
    <row r="107" spans="1:5" ht="11.25" customHeight="1" x14ac:dyDescent="0.25">
      <c r="A107" s="8" t="s">
        <v>507</v>
      </c>
      <c r="B107" s="8" t="s">
        <v>508</v>
      </c>
      <c r="C107" s="8" t="s">
        <v>509</v>
      </c>
      <c r="D107" s="8">
        <v>669</v>
      </c>
      <c r="E107" s="8" t="s">
        <v>510</v>
      </c>
    </row>
    <row r="108" spans="1:5" ht="11.25" customHeight="1" x14ac:dyDescent="0.25">
      <c r="A108" s="8" t="s">
        <v>507</v>
      </c>
      <c r="B108" s="8" t="s">
        <v>508</v>
      </c>
      <c r="C108" s="8" t="s">
        <v>509</v>
      </c>
      <c r="D108" s="8">
        <v>670</v>
      </c>
      <c r="E108" s="8" t="s">
        <v>510</v>
      </c>
    </row>
    <row r="109" spans="1:5" ht="11.25" customHeight="1" x14ac:dyDescent="0.25">
      <c r="A109" s="8" t="s">
        <v>507</v>
      </c>
      <c r="B109" s="8" t="s">
        <v>508</v>
      </c>
      <c r="C109" s="8" t="s">
        <v>509</v>
      </c>
      <c r="D109" s="8">
        <v>671</v>
      </c>
      <c r="E109" s="8" t="s">
        <v>510</v>
      </c>
    </row>
    <row r="110" spans="1:5" ht="11.25" customHeight="1" x14ac:dyDescent="0.25">
      <c r="A110" s="8" t="s">
        <v>507</v>
      </c>
      <c r="B110" s="8" t="s">
        <v>508</v>
      </c>
      <c r="C110" s="8" t="s">
        <v>509</v>
      </c>
      <c r="D110" s="8">
        <v>672</v>
      </c>
      <c r="E110" s="8" t="s">
        <v>510</v>
      </c>
    </row>
    <row r="111" spans="1:5" ht="11.25" customHeight="1" x14ac:dyDescent="0.25">
      <c r="A111" s="8" t="s">
        <v>507</v>
      </c>
      <c r="B111" s="8" t="s">
        <v>508</v>
      </c>
      <c r="C111" s="8" t="s">
        <v>509</v>
      </c>
      <c r="D111" s="8">
        <v>673</v>
      </c>
      <c r="E111" s="8" t="s">
        <v>510</v>
      </c>
    </row>
    <row r="112" spans="1:5" ht="11.25" customHeight="1" x14ac:dyDescent="0.25">
      <c r="A112" s="8" t="s">
        <v>507</v>
      </c>
      <c r="B112" s="8" t="s">
        <v>508</v>
      </c>
      <c r="C112" s="8" t="s">
        <v>509</v>
      </c>
      <c r="D112" s="8">
        <v>674</v>
      </c>
      <c r="E112" s="8" t="s">
        <v>510</v>
      </c>
    </row>
    <row r="113" spans="1:5" ht="11.25" customHeight="1" x14ac:dyDescent="0.25">
      <c r="A113" s="8" t="s">
        <v>507</v>
      </c>
      <c r="B113" s="8" t="s">
        <v>508</v>
      </c>
      <c r="C113" s="8" t="s">
        <v>509</v>
      </c>
      <c r="D113" s="8">
        <v>675</v>
      </c>
      <c r="E113" s="8" t="s">
        <v>510</v>
      </c>
    </row>
    <row r="114" spans="1:5" ht="11.25" customHeight="1" x14ac:dyDescent="0.25">
      <c r="A114" s="8" t="s">
        <v>507</v>
      </c>
      <c r="B114" s="8" t="s">
        <v>508</v>
      </c>
      <c r="C114" s="8" t="s">
        <v>509</v>
      </c>
      <c r="D114" s="8">
        <v>676</v>
      </c>
      <c r="E114" s="8" t="s">
        <v>510</v>
      </c>
    </row>
    <row r="115" spans="1:5" ht="11.25" customHeight="1" x14ac:dyDescent="0.25">
      <c r="A115" s="8" t="s">
        <v>507</v>
      </c>
      <c r="C115" s="8" t="s">
        <v>803</v>
      </c>
      <c r="D115" s="8">
        <v>27</v>
      </c>
      <c r="E115" s="8" t="s">
        <v>9</v>
      </c>
    </row>
    <row r="116" spans="1:5" ht="11.25" customHeight="1" x14ac:dyDescent="0.25">
      <c r="A116" s="8" t="s">
        <v>507</v>
      </c>
      <c r="C116" s="8" t="s">
        <v>803</v>
      </c>
      <c r="D116" s="8">
        <v>27</v>
      </c>
      <c r="E116" s="8" t="s">
        <v>9</v>
      </c>
    </row>
    <row r="117" spans="1:5" ht="11.25" customHeight="1" x14ac:dyDescent="0.25">
      <c r="A117" s="8" t="s">
        <v>507</v>
      </c>
      <c r="C117" s="8" t="s">
        <v>803</v>
      </c>
      <c r="D117" s="8">
        <v>27</v>
      </c>
      <c r="E117" s="8" t="s">
        <v>9</v>
      </c>
    </row>
    <row r="118" spans="1:5" ht="11.25" customHeight="1" x14ac:dyDescent="0.25">
      <c r="A118" s="8" t="s">
        <v>507</v>
      </c>
      <c r="C118" s="8" t="s">
        <v>803</v>
      </c>
      <c r="D118" s="8">
        <v>27</v>
      </c>
      <c r="E118" s="8" t="s">
        <v>9</v>
      </c>
    </row>
    <row r="119" spans="1:5" ht="11.25" customHeight="1" x14ac:dyDescent="0.25">
      <c r="A119" s="8" t="s">
        <v>507</v>
      </c>
      <c r="C119" s="8" t="s">
        <v>803</v>
      </c>
      <c r="D119" s="8">
        <v>27</v>
      </c>
      <c r="E119" s="8" t="s">
        <v>9</v>
      </c>
    </row>
    <row r="120" spans="1:5" ht="11.25" customHeight="1" x14ac:dyDescent="0.25">
      <c r="A120" s="8" t="s">
        <v>507</v>
      </c>
      <c r="C120" s="8" t="s">
        <v>803</v>
      </c>
      <c r="D120" s="8">
        <v>27</v>
      </c>
      <c r="E120" s="8" t="s">
        <v>9</v>
      </c>
    </row>
    <row r="121" spans="1:5" ht="11.25" customHeight="1" x14ac:dyDescent="0.25">
      <c r="A121" s="8" t="s">
        <v>507</v>
      </c>
      <c r="C121" s="8" t="s">
        <v>803</v>
      </c>
      <c r="D121" s="8">
        <v>27</v>
      </c>
      <c r="E12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AFEBE-0C9C-4659-87CC-3B40C44EBC04}">
  <dimension ref="A1:AX100"/>
  <sheetViews>
    <sheetView showGridLines="0" workbookViewId="0"/>
  </sheetViews>
  <sheetFormatPr defaultRowHeight="11.25" x14ac:dyDescent="0.25"/>
  <cols>
    <col min="1" max="1" width="4.7109375" style="8" bestFit="1" customWidth="1"/>
    <col min="2" max="2" width="8.85546875" style="8" bestFit="1" customWidth="1"/>
    <col min="3" max="3" width="8.7109375" style="8" bestFit="1" customWidth="1"/>
    <col min="4" max="4" width="27.140625" style="8" bestFit="1" customWidth="1"/>
    <col min="5" max="5" width="13.5703125" style="8" bestFit="1" customWidth="1"/>
    <col min="6" max="6" width="25.140625" style="8" bestFit="1" customWidth="1"/>
    <col min="7" max="9" width="10.28515625" style="8" bestFit="1" customWidth="1"/>
    <col min="10" max="10" width="6.85546875" style="8" bestFit="1" customWidth="1"/>
    <col min="11" max="11" width="4.5703125" style="8" bestFit="1" customWidth="1"/>
    <col min="12" max="12" width="4.42578125" style="8" bestFit="1" customWidth="1"/>
    <col min="13" max="13" width="6.7109375" style="8" bestFit="1" customWidth="1"/>
    <col min="14" max="14" width="6.28515625" style="8" bestFit="1" customWidth="1"/>
    <col min="15" max="15" width="11.140625" style="8" bestFit="1" customWidth="1"/>
    <col min="16" max="16" width="10.42578125" style="8" bestFit="1" customWidth="1"/>
    <col min="17" max="16384" width="9.140625" style="8"/>
  </cols>
  <sheetData>
    <row r="1" spans="1:50" ht="11.25" customHeight="1" x14ac:dyDescent="0.25">
      <c r="A1" s="30" t="s">
        <v>862</v>
      </c>
      <c r="B1" s="30" t="s">
        <v>853</v>
      </c>
      <c r="C1" s="30" t="s">
        <v>1</v>
      </c>
      <c r="D1" s="30" t="s">
        <v>2</v>
      </c>
      <c r="E1" s="30" t="s">
        <v>3</v>
      </c>
      <c r="F1" s="30" t="s">
        <v>4</v>
      </c>
      <c r="G1" s="30" t="s">
        <v>5</v>
      </c>
      <c r="H1" s="30" t="s">
        <v>6</v>
      </c>
      <c r="I1" s="30" t="s">
        <v>7</v>
      </c>
      <c r="J1" s="30" t="s">
        <v>854</v>
      </c>
      <c r="K1" s="30" t="s">
        <v>855</v>
      </c>
      <c r="L1" s="30" t="s">
        <v>856</v>
      </c>
      <c r="M1" s="30" t="s">
        <v>857</v>
      </c>
      <c r="N1" s="30" t="s">
        <v>858</v>
      </c>
      <c r="O1" s="30" t="s">
        <v>736</v>
      </c>
      <c r="P1" s="30" t="s">
        <v>722</v>
      </c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</row>
    <row r="2" spans="1:50" ht="11.25" customHeight="1" x14ac:dyDescent="0.25">
      <c r="A2" s="31">
        <v>1</v>
      </c>
      <c r="B2" s="31" t="s">
        <v>716</v>
      </c>
      <c r="C2" s="31" t="s">
        <v>56</v>
      </c>
      <c r="D2" s="31" t="s">
        <v>40</v>
      </c>
      <c r="E2" s="31" t="s">
        <v>25</v>
      </c>
      <c r="F2" s="31" t="s">
        <v>25</v>
      </c>
      <c r="G2" s="31" t="s">
        <v>25</v>
      </c>
      <c r="H2" s="31" t="s">
        <v>25</v>
      </c>
      <c r="I2" s="31" t="s">
        <v>25</v>
      </c>
      <c r="J2" s="31" t="s">
        <v>859</v>
      </c>
      <c r="K2" s="31" t="s">
        <v>860</v>
      </c>
      <c r="L2" s="31" t="s">
        <v>78</v>
      </c>
      <c r="M2" s="31">
        <v>2021</v>
      </c>
      <c r="N2" s="31">
        <v>0</v>
      </c>
      <c r="O2" s="31">
        <v>33.26</v>
      </c>
      <c r="P2" s="31">
        <v>18.795188577791599</v>
      </c>
    </row>
    <row r="3" spans="1:50" ht="11.25" customHeight="1" x14ac:dyDescent="0.25">
      <c r="A3" s="31">
        <v>2</v>
      </c>
      <c r="B3" s="31" t="s">
        <v>716</v>
      </c>
      <c r="C3" s="31" t="s">
        <v>56</v>
      </c>
      <c r="D3" s="31" t="s">
        <v>40</v>
      </c>
      <c r="E3" s="31" t="s">
        <v>25</v>
      </c>
      <c r="F3" s="31" t="s">
        <v>25</v>
      </c>
      <c r="G3" s="31" t="s">
        <v>85</v>
      </c>
      <c r="H3" s="31" t="s">
        <v>25</v>
      </c>
      <c r="I3" s="31" t="s">
        <v>25</v>
      </c>
      <c r="J3" s="31" t="s">
        <v>859</v>
      </c>
      <c r="K3" s="31" t="s">
        <v>860</v>
      </c>
      <c r="L3" s="31" t="s">
        <v>78</v>
      </c>
      <c r="M3" s="31">
        <v>2021</v>
      </c>
      <c r="N3" s="31">
        <v>0</v>
      </c>
      <c r="O3" s="31">
        <v>3.8</v>
      </c>
      <c r="P3" s="31">
        <v>0</v>
      </c>
    </row>
    <row r="4" spans="1:50" ht="11.25" customHeight="1" x14ac:dyDescent="0.25">
      <c r="A4" s="31">
        <v>3</v>
      </c>
      <c r="B4" s="31" t="s">
        <v>716</v>
      </c>
      <c r="C4" s="31" t="s">
        <v>56</v>
      </c>
      <c r="D4" s="31" t="s">
        <v>40</v>
      </c>
      <c r="E4" s="31" t="s">
        <v>25</v>
      </c>
      <c r="F4" s="31" t="s">
        <v>25</v>
      </c>
      <c r="G4" s="31" t="s">
        <v>25</v>
      </c>
      <c r="H4" s="31" t="s">
        <v>25</v>
      </c>
      <c r="I4" s="31" t="s">
        <v>34</v>
      </c>
      <c r="J4" s="31" t="s">
        <v>861</v>
      </c>
      <c r="K4" s="31" t="s">
        <v>860</v>
      </c>
      <c r="L4" s="31" t="s">
        <v>81</v>
      </c>
      <c r="M4" s="31">
        <v>2021</v>
      </c>
      <c r="N4" s="31">
        <v>0</v>
      </c>
      <c r="O4" s="31">
        <v>13.52</v>
      </c>
      <c r="P4" s="31">
        <v>0</v>
      </c>
    </row>
    <row r="5" spans="1:50" ht="11.25" customHeight="1" x14ac:dyDescent="0.25">
      <c r="A5" s="31">
        <v>4</v>
      </c>
      <c r="B5" s="31" t="s">
        <v>716</v>
      </c>
      <c r="C5" s="31" t="s">
        <v>56</v>
      </c>
      <c r="D5" s="31" t="s">
        <v>40</v>
      </c>
      <c r="E5" s="31" t="s">
        <v>25</v>
      </c>
      <c r="F5" s="31" t="s">
        <v>25</v>
      </c>
      <c r="G5" s="31" t="s">
        <v>25</v>
      </c>
      <c r="H5" s="31" t="s">
        <v>25</v>
      </c>
      <c r="I5" s="31" t="s">
        <v>35</v>
      </c>
      <c r="J5" s="31" t="s">
        <v>861</v>
      </c>
      <c r="K5" s="31" t="s">
        <v>860</v>
      </c>
      <c r="L5" s="31" t="s">
        <v>81</v>
      </c>
      <c r="M5" s="31">
        <v>2021</v>
      </c>
      <c r="N5" s="31">
        <v>0</v>
      </c>
      <c r="O5" s="31">
        <v>6.72</v>
      </c>
      <c r="P5" s="31">
        <v>0</v>
      </c>
    </row>
    <row r="6" spans="1:50" ht="11.25" customHeight="1" x14ac:dyDescent="0.25">
      <c r="A6" s="31">
        <v>5</v>
      </c>
      <c r="B6" s="31" t="s">
        <v>744</v>
      </c>
      <c r="C6" s="31" t="s">
        <v>37</v>
      </c>
      <c r="D6" s="31" t="s">
        <v>77</v>
      </c>
      <c r="E6" s="31" t="s">
        <v>25</v>
      </c>
      <c r="F6" s="31" t="s">
        <v>25</v>
      </c>
      <c r="G6" s="31" t="s">
        <v>25</v>
      </c>
      <c r="H6" s="31" t="s">
        <v>25</v>
      </c>
      <c r="I6" s="31" t="s">
        <v>36</v>
      </c>
      <c r="J6" s="31" t="s">
        <v>859</v>
      </c>
      <c r="K6" s="31" t="s">
        <v>860</v>
      </c>
      <c r="L6" s="31" t="s">
        <v>78</v>
      </c>
      <c r="M6" s="31">
        <v>2021</v>
      </c>
      <c r="N6" s="31">
        <v>0</v>
      </c>
      <c r="O6" s="31">
        <v>219.03</v>
      </c>
      <c r="P6" s="31"/>
    </row>
    <row r="7" spans="1:50" ht="11.25" customHeight="1" x14ac:dyDescent="0.25">
      <c r="A7" s="31">
        <v>6</v>
      </c>
      <c r="B7" s="31" t="s">
        <v>744</v>
      </c>
      <c r="C7" s="31" t="s">
        <v>37</v>
      </c>
      <c r="D7" s="31" t="s">
        <v>77</v>
      </c>
      <c r="E7" s="31" t="s">
        <v>25</v>
      </c>
      <c r="F7" s="31" t="s">
        <v>25</v>
      </c>
      <c r="G7" s="31" t="s">
        <v>25</v>
      </c>
      <c r="H7" s="31" t="s">
        <v>25</v>
      </c>
      <c r="I7" s="31" t="s">
        <v>35</v>
      </c>
      <c r="J7" s="31" t="s">
        <v>859</v>
      </c>
      <c r="K7" s="31" t="s">
        <v>860</v>
      </c>
      <c r="L7" s="31" t="s">
        <v>78</v>
      </c>
      <c r="M7" s="31">
        <v>2021</v>
      </c>
      <c r="N7" s="31">
        <v>0</v>
      </c>
      <c r="O7" s="31">
        <v>219.03</v>
      </c>
      <c r="P7" s="31"/>
    </row>
    <row r="8" spans="1:50" ht="11.25" customHeight="1" x14ac:dyDescent="0.25">
      <c r="A8" s="31">
        <v>7</v>
      </c>
      <c r="B8" s="31" t="s">
        <v>744</v>
      </c>
      <c r="C8" s="31" t="s">
        <v>37</v>
      </c>
      <c r="D8" s="31" t="s">
        <v>86</v>
      </c>
      <c r="E8" s="31" t="s">
        <v>25</v>
      </c>
      <c r="F8" s="31" t="s">
        <v>25</v>
      </c>
      <c r="G8" s="31" t="s">
        <v>25</v>
      </c>
      <c r="H8" s="31" t="s">
        <v>25</v>
      </c>
      <c r="I8" s="31" t="s">
        <v>25</v>
      </c>
      <c r="J8" s="31" t="s">
        <v>859</v>
      </c>
      <c r="K8" s="31" t="s">
        <v>860</v>
      </c>
      <c r="L8" s="31" t="s">
        <v>78</v>
      </c>
      <c r="M8" s="31">
        <v>2021</v>
      </c>
      <c r="N8" s="31">
        <v>0</v>
      </c>
      <c r="O8" s="31">
        <v>231.33</v>
      </c>
      <c r="P8" s="31"/>
    </row>
    <row r="9" spans="1:50" ht="11.25" customHeight="1" x14ac:dyDescent="0.25">
      <c r="A9" s="31">
        <v>8</v>
      </c>
      <c r="B9" s="31" t="s">
        <v>716</v>
      </c>
      <c r="C9" s="31" t="s">
        <v>56</v>
      </c>
      <c r="D9" s="31" t="s">
        <v>59</v>
      </c>
      <c r="E9" s="31" t="s">
        <v>25</v>
      </c>
      <c r="F9" s="31" t="s">
        <v>25</v>
      </c>
      <c r="G9" s="31" t="s">
        <v>25</v>
      </c>
      <c r="H9" s="31" t="s">
        <v>60</v>
      </c>
      <c r="I9" s="31" t="s">
        <v>25</v>
      </c>
      <c r="J9" s="31" t="s">
        <v>859</v>
      </c>
      <c r="K9" s="31" t="s">
        <v>860</v>
      </c>
      <c r="L9" s="31" t="s">
        <v>78</v>
      </c>
      <c r="M9" s="31">
        <v>2021</v>
      </c>
      <c r="N9" s="31">
        <v>0</v>
      </c>
      <c r="O9" s="31">
        <v>2.86</v>
      </c>
      <c r="P9" s="31">
        <v>0</v>
      </c>
    </row>
    <row r="10" spans="1:50" ht="11.25" customHeight="1" x14ac:dyDescent="0.25">
      <c r="A10" s="31">
        <v>9</v>
      </c>
      <c r="B10" s="31" t="s">
        <v>716</v>
      </c>
      <c r="C10" s="31" t="s">
        <v>39</v>
      </c>
      <c r="D10" s="31" t="s">
        <v>40</v>
      </c>
      <c r="E10" s="31" t="s">
        <v>25</v>
      </c>
      <c r="F10" s="31" t="s">
        <v>25</v>
      </c>
      <c r="G10" s="31" t="s">
        <v>25</v>
      </c>
      <c r="H10" s="31" t="s">
        <v>25</v>
      </c>
      <c r="I10" s="31" t="s">
        <v>34</v>
      </c>
      <c r="J10" s="31" t="s">
        <v>861</v>
      </c>
      <c r="K10" s="31" t="s">
        <v>860</v>
      </c>
      <c r="L10" s="31" t="s">
        <v>81</v>
      </c>
      <c r="M10" s="31">
        <v>2021</v>
      </c>
      <c r="N10" s="31">
        <v>0</v>
      </c>
      <c r="O10" s="31">
        <v>37.01</v>
      </c>
      <c r="P10" s="31">
        <v>0</v>
      </c>
    </row>
    <row r="11" spans="1:50" ht="11.25" customHeight="1" x14ac:dyDescent="0.25">
      <c r="A11" s="31">
        <v>10</v>
      </c>
      <c r="B11" s="31" t="s">
        <v>716</v>
      </c>
      <c r="C11" s="31" t="s">
        <v>39</v>
      </c>
      <c r="D11" s="31" t="s">
        <v>40</v>
      </c>
      <c r="E11" s="31" t="s">
        <v>25</v>
      </c>
      <c r="F11" s="31" t="s">
        <v>25</v>
      </c>
      <c r="G11" s="31" t="s">
        <v>25</v>
      </c>
      <c r="H11" s="31" t="s">
        <v>25</v>
      </c>
      <c r="I11" s="31" t="s">
        <v>35</v>
      </c>
      <c r="J11" s="31" t="s">
        <v>861</v>
      </c>
      <c r="K11" s="31" t="s">
        <v>860</v>
      </c>
      <c r="L11" s="31" t="s">
        <v>81</v>
      </c>
      <c r="M11" s="31">
        <v>2021</v>
      </c>
      <c r="N11" s="31">
        <v>0</v>
      </c>
      <c r="O11" s="31">
        <v>18.48</v>
      </c>
      <c r="P11" s="31">
        <v>0</v>
      </c>
    </row>
    <row r="12" spans="1:50" ht="11.25" customHeight="1" x14ac:dyDescent="0.25">
      <c r="A12" s="31">
        <v>11</v>
      </c>
      <c r="B12" s="31" t="s">
        <v>716</v>
      </c>
      <c r="C12" s="31" t="s">
        <v>39</v>
      </c>
      <c r="D12" s="31" t="s">
        <v>40</v>
      </c>
      <c r="E12" s="31" t="s">
        <v>25</v>
      </c>
      <c r="F12" s="31" t="s">
        <v>25</v>
      </c>
      <c r="G12" s="31" t="s">
        <v>25</v>
      </c>
      <c r="H12" s="31" t="s">
        <v>25</v>
      </c>
      <c r="I12" s="31" t="s">
        <v>25</v>
      </c>
      <c r="J12" s="31" t="s">
        <v>859</v>
      </c>
      <c r="K12" s="31" t="s">
        <v>860</v>
      </c>
      <c r="L12" s="31" t="s">
        <v>78</v>
      </c>
      <c r="M12" s="31">
        <v>2021</v>
      </c>
      <c r="N12" s="31">
        <v>0</v>
      </c>
      <c r="O12" s="31">
        <v>43.65</v>
      </c>
      <c r="P12" s="31">
        <v>24.405692630863701</v>
      </c>
    </row>
    <row r="13" spans="1:50" ht="11.25" customHeight="1" x14ac:dyDescent="0.25">
      <c r="A13" s="31">
        <v>12</v>
      </c>
      <c r="B13" s="31" t="s">
        <v>716</v>
      </c>
      <c r="C13" s="31" t="s">
        <v>88</v>
      </c>
      <c r="D13" s="31" t="s">
        <v>87</v>
      </c>
      <c r="E13" s="31" t="s">
        <v>25</v>
      </c>
      <c r="F13" s="31" t="s">
        <v>25</v>
      </c>
      <c r="G13" s="31" t="s">
        <v>89</v>
      </c>
      <c r="H13" s="31" t="s">
        <v>25</v>
      </c>
      <c r="I13" s="31" t="s">
        <v>25</v>
      </c>
      <c r="J13" s="31" t="s">
        <v>861</v>
      </c>
      <c r="K13" s="31" t="s">
        <v>860</v>
      </c>
      <c r="L13" s="31" t="s">
        <v>81</v>
      </c>
      <c r="M13" s="31">
        <v>2021</v>
      </c>
      <c r="N13" s="31">
        <v>0</v>
      </c>
      <c r="O13" s="31">
        <v>9.48</v>
      </c>
      <c r="P13" s="31">
        <v>0</v>
      </c>
    </row>
    <row r="14" spans="1:50" ht="11.25" customHeight="1" x14ac:dyDescent="0.25">
      <c r="A14" s="31">
        <v>13</v>
      </c>
      <c r="B14" s="31" t="s">
        <v>716</v>
      </c>
      <c r="C14" s="31" t="s">
        <v>88</v>
      </c>
      <c r="D14" s="31" t="s">
        <v>87</v>
      </c>
      <c r="E14" s="31" t="s">
        <v>25</v>
      </c>
      <c r="F14" s="31" t="s">
        <v>25</v>
      </c>
      <c r="G14" s="31" t="s">
        <v>90</v>
      </c>
      <c r="H14" s="31" t="s">
        <v>25</v>
      </c>
      <c r="I14" s="31" t="s">
        <v>25</v>
      </c>
      <c r="J14" s="31" t="s">
        <v>861</v>
      </c>
      <c r="K14" s="31" t="s">
        <v>860</v>
      </c>
      <c r="L14" s="31" t="s">
        <v>81</v>
      </c>
      <c r="M14" s="31">
        <v>2021</v>
      </c>
      <c r="N14" s="31">
        <v>0</v>
      </c>
      <c r="O14" s="31">
        <v>16.32</v>
      </c>
      <c r="P14" s="31">
        <v>0</v>
      </c>
    </row>
    <row r="15" spans="1:50" ht="11.25" customHeight="1" x14ac:dyDescent="0.25">
      <c r="A15" s="31">
        <v>14</v>
      </c>
      <c r="B15" s="31" t="s">
        <v>716</v>
      </c>
      <c r="C15" s="31" t="s">
        <v>22</v>
      </c>
      <c r="D15" s="31" t="s">
        <v>33</v>
      </c>
      <c r="E15" s="31" t="s">
        <v>24</v>
      </c>
      <c r="F15" s="31" t="s">
        <v>24</v>
      </c>
      <c r="G15" s="31" t="s">
        <v>25</v>
      </c>
      <c r="H15" s="31" t="s">
        <v>25</v>
      </c>
      <c r="I15" s="31" t="s">
        <v>34</v>
      </c>
      <c r="J15" s="31" t="s">
        <v>859</v>
      </c>
      <c r="K15" s="31" t="s">
        <v>860</v>
      </c>
      <c r="L15" s="31" t="s">
        <v>78</v>
      </c>
      <c r="M15" s="31">
        <v>2021</v>
      </c>
      <c r="N15" s="31">
        <v>0</v>
      </c>
      <c r="O15" s="31">
        <v>781.06</v>
      </c>
      <c r="P15" s="31">
        <v>28.052520265360499</v>
      </c>
    </row>
    <row r="16" spans="1:50" ht="11.25" customHeight="1" x14ac:dyDescent="0.25">
      <c r="A16" s="31">
        <v>15</v>
      </c>
      <c r="B16" s="31" t="s">
        <v>716</v>
      </c>
      <c r="C16" s="31" t="s">
        <v>22</v>
      </c>
      <c r="D16" s="31" t="s">
        <v>33</v>
      </c>
      <c r="E16" s="31" t="s">
        <v>24</v>
      </c>
      <c r="F16" s="31" t="s">
        <v>24</v>
      </c>
      <c r="G16" s="31" t="s">
        <v>25</v>
      </c>
      <c r="H16" s="31" t="s">
        <v>25</v>
      </c>
      <c r="I16" s="31" t="s">
        <v>36</v>
      </c>
      <c r="J16" s="31" t="s">
        <v>859</v>
      </c>
      <c r="K16" s="31" t="s">
        <v>860</v>
      </c>
      <c r="L16" s="31" t="s">
        <v>78</v>
      </c>
      <c r="M16" s="31">
        <v>2021</v>
      </c>
      <c r="N16" s="31">
        <v>0</v>
      </c>
      <c r="O16" s="31">
        <v>492.88</v>
      </c>
      <c r="P16" s="31">
        <v>28.052520265360499</v>
      </c>
    </row>
    <row r="17" spans="1:16" ht="11.25" customHeight="1" x14ac:dyDescent="0.25">
      <c r="A17" s="31">
        <v>16</v>
      </c>
      <c r="B17" s="31" t="s">
        <v>716</v>
      </c>
      <c r="C17" s="31" t="s">
        <v>22</v>
      </c>
      <c r="D17" s="31" t="s">
        <v>33</v>
      </c>
      <c r="E17" s="31" t="s">
        <v>24</v>
      </c>
      <c r="F17" s="31" t="s">
        <v>24</v>
      </c>
      <c r="G17" s="31" t="s">
        <v>25</v>
      </c>
      <c r="H17" s="31" t="s">
        <v>25</v>
      </c>
      <c r="I17" s="31" t="s">
        <v>35</v>
      </c>
      <c r="J17" s="31" t="s">
        <v>859</v>
      </c>
      <c r="K17" s="31" t="s">
        <v>860</v>
      </c>
      <c r="L17" s="31" t="s">
        <v>78</v>
      </c>
      <c r="M17" s="31">
        <v>2021</v>
      </c>
      <c r="N17" s="31">
        <v>0</v>
      </c>
      <c r="O17" s="31">
        <v>204.7</v>
      </c>
      <c r="P17" s="31">
        <v>28.052520265360499</v>
      </c>
    </row>
    <row r="18" spans="1:16" ht="11.25" customHeight="1" x14ac:dyDescent="0.25">
      <c r="A18" s="31">
        <v>17</v>
      </c>
      <c r="B18" s="31" t="s">
        <v>716</v>
      </c>
      <c r="C18" s="31" t="s">
        <v>22</v>
      </c>
      <c r="D18" s="31" t="s">
        <v>23</v>
      </c>
      <c r="E18" s="31" t="s">
        <v>24</v>
      </c>
      <c r="F18" s="31" t="s">
        <v>24</v>
      </c>
      <c r="G18" s="31" t="s">
        <v>25</v>
      </c>
      <c r="H18" s="31" t="s">
        <v>25</v>
      </c>
      <c r="I18" s="31" t="s">
        <v>25</v>
      </c>
      <c r="J18" s="31" t="s">
        <v>859</v>
      </c>
      <c r="K18" s="31" t="s">
        <v>860</v>
      </c>
      <c r="L18" s="31" t="s">
        <v>78</v>
      </c>
      <c r="M18" s="31">
        <v>2021</v>
      </c>
      <c r="N18" s="31">
        <v>0</v>
      </c>
      <c r="O18" s="31">
        <v>285.75</v>
      </c>
      <c r="P18" s="31">
        <v>28.052520265360499</v>
      </c>
    </row>
    <row r="19" spans="1:16" ht="11.25" customHeight="1" x14ac:dyDescent="0.25">
      <c r="A19" s="31">
        <v>18</v>
      </c>
      <c r="B19" s="31" t="s">
        <v>716</v>
      </c>
      <c r="C19" s="31" t="s">
        <v>39</v>
      </c>
      <c r="D19" s="31" t="s">
        <v>23</v>
      </c>
      <c r="E19" s="31" t="s">
        <v>25</v>
      </c>
      <c r="F19" s="31" t="s">
        <v>25</v>
      </c>
      <c r="G19" s="31" t="s">
        <v>25</v>
      </c>
      <c r="H19" s="31" t="s">
        <v>25</v>
      </c>
      <c r="I19" s="31" t="s">
        <v>25</v>
      </c>
      <c r="J19" s="31" t="s">
        <v>861</v>
      </c>
      <c r="K19" s="31" t="s">
        <v>860</v>
      </c>
      <c r="L19" s="31" t="s">
        <v>81</v>
      </c>
      <c r="M19" s="31">
        <v>2021</v>
      </c>
      <c r="N19" s="31">
        <v>0</v>
      </c>
      <c r="O19" s="31">
        <v>45.13</v>
      </c>
      <c r="P19" s="31">
        <v>0</v>
      </c>
    </row>
    <row r="20" spans="1:16" ht="11.25" customHeight="1" x14ac:dyDescent="0.25">
      <c r="A20" s="31">
        <v>19</v>
      </c>
      <c r="B20" s="31" t="s">
        <v>716</v>
      </c>
      <c r="C20" s="31" t="s">
        <v>39</v>
      </c>
      <c r="D20" s="31" t="s">
        <v>23</v>
      </c>
      <c r="E20" s="31" t="s">
        <v>25</v>
      </c>
      <c r="F20" s="31" t="s">
        <v>25</v>
      </c>
      <c r="G20" s="31" t="s">
        <v>25</v>
      </c>
      <c r="H20" s="31" t="s">
        <v>25</v>
      </c>
      <c r="I20" s="31" t="s">
        <v>25</v>
      </c>
      <c r="J20" s="31" t="s">
        <v>859</v>
      </c>
      <c r="K20" s="31" t="s">
        <v>860</v>
      </c>
      <c r="L20" s="31" t="s">
        <v>78</v>
      </c>
      <c r="M20" s="31">
        <v>2021</v>
      </c>
      <c r="N20" s="31">
        <v>0</v>
      </c>
      <c r="O20" s="31">
        <v>43.65</v>
      </c>
      <c r="P20" s="31">
        <v>24.405692630863701</v>
      </c>
    </row>
    <row r="21" spans="1:16" ht="11.25" customHeight="1" x14ac:dyDescent="0.25">
      <c r="A21" s="31">
        <v>20</v>
      </c>
      <c r="B21" s="31" t="s">
        <v>716</v>
      </c>
      <c r="C21" s="31" t="s">
        <v>39</v>
      </c>
      <c r="D21" s="31" t="s">
        <v>59</v>
      </c>
      <c r="E21" s="31" t="s">
        <v>25</v>
      </c>
      <c r="F21" s="31" t="s">
        <v>25</v>
      </c>
      <c r="G21" s="31" t="s">
        <v>25</v>
      </c>
      <c r="H21" s="31" t="s">
        <v>60</v>
      </c>
      <c r="I21" s="31" t="s">
        <v>35</v>
      </c>
      <c r="J21" s="31" t="s">
        <v>861</v>
      </c>
      <c r="K21" s="31" t="s">
        <v>860</v>
      </c>
      <c r="L21" s="31" t="s">
        <v>81</v>
      </c>
      <c r="M21" s="31">
        <v>2021</v>
      </c>
      <c r="N21" s="31">
        <v>0</v>
      </c>
      <c r="O21" s="31">
        <v>11.82</v>
      </c>
      <c r="P21" s="31">
        <v>0</v>
      </c>
    </row>
    <row r="22" spans="1:16" ht="11.25" customHeight="1" x14ac:dyDescent="0.25">
      <c r="A22" s="31">
        <v>21</v>
      </c>
      <c r="B22" s="31" t="s">
        <v>716</v>
      </c>
      <c r="C22" s="31" t="s">
        <v>39</v>
      </c>
      <c r="D22" s="31" t="s">
        <v>59</v>
      </c>
      <c r="E22" s="31" t="s">
        <v>25</v>
      </c>
      <c r="F22" s="31" t="s">
        <v>25</v>
      </c>
      <c r="G22" s="31" t="s">
        <v>25</v>
      </c>
      <c r="H22" s="31" t="s">
        <v>60</v>
      </c>
      <c r="I22" s="31" t="s">
        <v>25</v>
      </c>
      <c r="J22" s="31" t="s">
        <v>859</v>
      </c>
      <c r="K22" s="31" t="s">
        <v>860</v>
      </c>
      <c r="L22" s="31" t="s">
        <v>78</v>
      </c>
      <c r="M22" s="31">
        <v>2021</v>
      </c>
      <c r="N22" s="31">
        <v>0</v>
      </c>
      <c r="O22" s="31">
        <v>5.76</v>
      </c>
      <c r="P22" s="31">
        <v>0</v>
      </c>
    </row>
    <row r="23" spans="1:16" ht="11.25" customHeight="1" x14ac:dyDescent="0.25">
      <c r="A23" s="31">
        <v>22</v>
      </c>
      <c r="B23" s="31" t="s">
        <v>716</v>
      </c>
      <c r="C23" s="31" t="s">
        <v>39</v>
      </c>
      <c r="D23" s="31" t="s">
        <v>87</v>
      </c>
      <c r="E23" s="31" t="s">
        <v>25</v>
      </c>
      <c r="F23" s="31" t="s">
        <v>25</v>
      </c>
      <c r="G23" s="31" t="s">
        <v>25</v>
      </c>
      <c r="H23" s="31" t="s">
        <v>25</v>
      </c>
      <c r="I23" s="31" t="s">
        <v>25</v>
      </c>
      <c r="J23" s="31" t="s">
        <v>861</v>
      </c>
      <c r="K23" s="31" t="s">
        <v>860</v>
      </c>
      <c r="L23" s="31" t="s">
        <v>81</v>
      </c>
      <c r="M23" s="31">
        <v>2021</v>
      </c>
      <c r="N23" s="31">
        <v>0</v>
      </c>
      <c r="O23" s="31">
        <v>8.91</v>
      </c>
      <c r="P23" s="31">
        <v>0</v>
      </c>
    </row>
    <row r="24" spans="1:16" ht="11.25" customHeight="1" x14ac:dyDescent="0.25">
      <c r="A24" s="31">
        <v>23</v>
      </c>
      <c r="B24" s="31" t="s">
        <v>716</v>
      </c>
      <c r="C24" s="31" t="s">
        <v>39</v>
      </c>
      <c r="D24" s="31" t="s">
        <v>41</v>
      </c>
      <c r="E24" s="31" t="s">
        <v>25</v>
      </c>
      <c r="F24" s="31" t="s">
        <v>25</v>
      </c>
      <c r="G24" s="31" t="s">
        <v>25</v>
      </c>
      <c r="H24" s="31" t="s">
        <v>25</v>
      </c>
      <c r="I24" s="31" t="s">
        <v>25</v>
      </c>
      <c r="J24" s="31" t="s">
        <v>861</v>
      </c>
      <c r="K24" s="31" t="s">
        <v>860</v>
      </c>
      <c r="L24" s="31" t="s">
        <v>81</v>
      </c>
      <c r="M24" s="31">
        <v>2021</v>
      </c>
      <c r="N24" s="31">
        <v>0</v>
      </c>
      <c r="O24" s="31">
        <v>18.48</v>
      </c>
      <c r="P24" s="31">
        <v>0</v>
      </c>
    </row>
    <row r="25" spans="1:16" ht="11.25" customHeight="1" x14ac:dyDescent="0.25">
      <c r="A25" s="31">
        <v>24</v>
      </c>
      <c r="B25" s="31" t="s">
        <v>716</v>
      </c>
      <c r="C25" s="31" t="s">
        <v>39</v>
      </c>
      <c r="D25" s="31" t="s">
        <v>41</v>
      </c>
      <c r="E25" s="31" t="s">
        <v>25</v>
      </c>
      <c r="F25" s="31" t="s">
        <v>25</v>
      </c>
      <c r="G25" s="31" t="s">
        <v>25</v>
      </c>
      <c r="H25" s="31" t="s">
        <v>25</v>
      </c>
      <c r="I25" s="31" t="s">
        <v>34</v>
      </c>
      <c r="J25" s="31" t="s">
        <v>859</v>
      </c>
      <c r="K25" s="31" t="s">
        <v>860</v>
      </c>
      <c r="L25" s="31" t="s">
        <v>78</v>
      </c>
      <c r="M25" s="31">
        <v>2021</v>
      </c>
      <c r="N25" s="31">
        <v>0</v>
      </c>
      <c r="O25" s="31">
        <v>943.81</v>
      </c>
      <c r="P25" s="31">
        <v>24.405692630863701</v>
      </c>
    </row>
    <row r="26" spans="1:16" ht="11.25" customHeight="1" x14ac:dyDescent="0.25">
      <c r="A26" s="31">
        <v>25</v>
      </c>
      <c r="B26" s="31" t="s">
        <v>716</v>
      </c>
      <c r="C26" s="31" t="s">
        <v>39</v>
      </c>
      <c r="D26" s="31" t="s">
        <v>41</v>
      </c>
      <c r="E26" s="31" t="s">
        <v>25</v>
      </c>
      <c r="F26" s="31" t="s">
        <v>25</v>
      </c>
      <c r="G26" s="31" t="s">
        <v>25</v>
      </c>
      <c r="H26" s="31" t="s">
        <v>25</v>
      </c>
      <c r="I26" s="31" t="s">
        <v>35</v>
      </c>
      <c r="J26" s="31" t="s">
        <v>859</v>
      </c>
      <c r="K26" s="31" t="s">
        <v>860</v>
      </c>
      <c r="L26" s="31" t="s">
        <v>78</v>
      </c>
      <c r="M26" s="31">
        <v>2021</v>
      </c>
      <c r="N26" s="31">
        <v>0</v>
      </c>
      <c r="O26" s="31">
        <v>43.65</v>
      </c>
      <c r="P26" s="31">
        <v>24.405692630863701</v>
      </c>
    </row>
    <row r="27" spans="1:16" ht="11.25" customHeight="1" x14ac:dyDescent="0.25">
      <c r="A27" s="31">
        <v>26</v>
      </c>
      <c r="B27" s="31" t="s">
        <v>716</v>
      </c>
      <c r="C27" s="31" t="s">
        <v>39</v>
      </c>
      <c r="D27" s="31" t="s">
        <v>41</v>
      </c>
      <c r="E27" s="31" t="s">
        <v>25</v>
      </c>
      <c r="F27" s="31" t="s">
        <v>25</v>
      </c>
      <c r="G27" s="31" t="s">
        <v>85</v>
      </c>
      <c r="H27" s="31" t="s">
        <v>25</v>
      </c>
      <c r="I27" s="31" t="s">
        <v>34</v>
      </c>
      <c r="J27" s="31" t="s">
        <v>859</v>
      </c>
      <c r="K27" s="31" t="s">
        <v>860</v>
      </c>
      <c r="L27" s="31" t="s">
        <v>78</v>
      </c>
      <c r="M27" s="31">
        <v>2021</v>
      </c>
      <c r="N27" s="31">
        <v>0</v>
      </c>
      <c r="O27" s="31">
        <v>908.41</v>
      </c>
      <c r="P27" s="31">
        <v>0</v>
      </c>
    </row>
    <row r="28" spans="1:16" ht="11.25" customHeight="1" x14ac:dyDescent="0.25">
      <c r="A28" s="31">
        <v>27</v>
      </c>
      <c r="B28" s="31" t="s">
        <v>716</v>
      </c>
      <c r="C28" s="31" t="s">
        <v>39</v>
      </c>
      <c r="D28" s="31" t="s">
        <v>41</v>
      </c>
      <c r="E28" s="31" t="s">
        <v>25</v>
      </c>
      <c r="F28" s="31" t="s">
        <v>25</v>
      </c>
      <c r="G28" s="31" t="s">
        <v>85</v>
      </c>
      <c r="H28" s="31" t="s">
        <v>25</v>
      </c>
      <c r="I28" s="31" t="s">
        <v>35</v>
      </c>
      <c r="J28" s="31" t="s">
        <v>859</v>
      </c>
      <c r="K28" s="31" t="s">
        <v>860</v>
      </c>
      <c r="L28" s="31" t="s">
        <v>78</v>
      </c>
      <c r="M28" s="31">
        <v>2021</v>
      </c>
      <c r="N28" s="31">
        <v>0</v>
      </c>
      <c r="O28" s="31">
        <v>8.25</v>
      </c>
      <c r="P28" s="31">
        <v>0</v>
      </c>
    </row>
    <row r="29" spans="1:16" ht="11.25" customHeight="1" x14ac:dyDescent="0.25">
      <c r="A29" s="31">
        <v>28</v>
      </c>
      <c r="B29" s="31" t="s">
        <v>716</v>
      </c>
      <c r="C29" s="31" t="s">
        <v>56</v>
      </c>
      <c r="D29" s="31" t="s">
        <v>59</v>
      </c>
      <c r="E29" s="31" t="s">
        <v>25</v>
      </c>
      <c r="F29" s="31" t="s">
        <v>25</v>
      </c>
      <c r="G29" s="31" t="s">
        <v>25</v>
      </c>
      <c r="H29" s="31" t="s">
        <v>60</v>
      </c>
      <c r="I29" s="31" t="s">
        <v>34</v>
      </c>
      <c r="J29" s="31" t="s">
        <v>861</v>
      </c>
      <c r="K29" s="31" t="s">
        <v>860</v>
      </c>
      <c r="L29" s="31" t="s">
        <v>81</v>
      </c>
      <c r="M29" s="31">
        <v>2021</v>
      </c>
      <c r="N29" s="31">
        <v>0</v>
      </c>
      <c r="O29" s="31">
        <v>13.52</v>
      </c>
      <c r="P29" s="31">
        <v>0</v>
      </c>
    </row>
    <row r="30" spans="1:16" ht="11.25" customHeight="1" x14ac:dyDescent="0.25">
      <c r="A30" s="31">
        <v>29</v>
      </c>
      <c r="B30" s="31" t="s">
        <v>716</v>
      </c>
      <c r="C30" s="31" t="s">
        <v>39</v>
      </c>
      <c r="D30" s="31" t="s">
        <v>40</v>
      </c>
      <c r="E30" s="31" t="s">
        <v>25</v>
      </c>
      <c r="F30" s="31" t="s">
        <v>25</v>
      </c>
      <c r="G30" s="31" t="s">
        <v>85</v>
      </c>
      <c r="H30" s="31" t="s">
        <v>25</v>
      </c>
      <c r="I30" s="31" t="s">
        <v>25</v>
      </c>
      <c r="J30" s="31" t="s">
        <v>859</v>
      </c>
      <c r="K30" s="31" t="s">
        <v>860</v>
      </c>
      <c r="L30" s="31" t="s">
        <v>78</v>
      </c>
      <c r="M30" s="31">
        <v>2021</v>
      </c>
      <c r="N30" s="31">
        <v>0</v>
      </c>
      <c r="O30" s="31">
        <v>8.25</v>
      </c>
      <c r="P30" s="31">
        <v>0</v>
      </c>
    </row>
    <row r="31" spans="1:16" ht="11.25" customHeight="1" x14ac:dyDescent="0.25">
      <c r="A31" s="31">
        <v>30</v>
      </c>
      <c r="B31" s="31" t="s">
        <v>716</v>
      </c>
      <c r="C31" s="31" t="s">
        <v>39</v>
      </c>
      <c r="D31" s="31" t="s">
        <v>59</v>
      </c>
      <c r="E31" s="31" t="s">
        <v>25</v>
      </c>
      <c r="F31" s="31" t="s">
        <v>25</v>
      </c>
      <c r="G31" s="31" t="s">
        <v>25</v>
      </c>
      <c r="H31" s="31" t="s">
        <v>60</v>
      </c>
      <c r="I31" s="31" t="s">
        <v>34</v>
      </c>
      <c r="J31" s="31" t="s">
        <v>861</v>
      </c>
      <c r="K31" s="31" t="s">
        <v>860</v>
      </c>
      <c r="L31" s="31" t="s">
        <v>81</v>
      </c>
      <c r="M31" s="31">
        <v>2021</v>
      </c>
      <c r="N31" s="31">
        <v>0</v>
      </c>
      <c r="O31" s="31">
        <v>22.39</v>
      </c>
      <c r="P31" s="31">
        <v>0</v>
      </c>
    </row>
    <row r="32" spans="1:16" ht="11.25" customHeight="1" x14ac:dyDescent="0.25">
      <c r="A32" s="31">
        <v>31</v>
      </c>
      <c r="B32" s="31" t="s">
        <v>744</v>
      </c>
      <c r="C32" s="31" t="s">
        <v>22</v>
      </c>
      <c r="D32" s="31" t="s">
        <v>92</v>
      </c>
      <c r="E32" s="31" t="s">
        <v>24</v>
      </c>
      <c r="F32" s="31" t="s">
        <v>24</v>
      </c>
      <c r="G32" s="31" t="s">
        <v>25</v>
      </c>
      <c r="H32" s="31" t="s">
        <v>25</v>
      </c>
      <c r="I32" s="31" t="s">
        <v>25</v>
      </c>
      <c r="J32" s="31" t="s">
        <v>859</v>
      </c>
      <c r="K32" s="31" t="s">
        <v>860</v>
      </c>
      <c r="L32" s="31" t="s">
        <v>78</v>
      </c>
      <c r="M32" s="31">
        <v>2021</v>
      </c>
      <c r="N32" s="31">
        <v>0</v>
      </c>
      <c r="O32" s="31">
        <v>231.33</v>
      </c>
      <c r="P32" s="31"/>
    </row>
    <row r="33" spans="1:16" ht="11.25" customHeight="1" x14ac:dyDescent="0.25">
      <c r="A33" s="31">
        <v>32</v>
      </c>
      <c r="B33" s="31" t="s">
        <v>744</v>
      </c>
      <c r="C33" s="31" t="s">
        <v>22</v>
      </c>
      <c r="D33" s="31" t="s">
        <v>92</v>
      </c>
      <c r="E33" s="31" t="s">
        <v>24</v>
      </c>
      <c r="F33" s="31" t="s">
        <v>29</v>
      </c>
      <c r="G33" s="31" t="s">
        <v>25</v>
      </c>
      <c r="H33" s="31" t="s">
        <v>25</v>
      </c>
      <c r="I33" s="31" t="s">
        <v>25</v>
      </c>
      <c r="J33" s="31" t="s">
        <v>859</v>
      </c>
      <c r="K33" s="31" t="s">
        <v>860</v>
      </c>
      <c r="L33" s="31" t="s">
        <v>78</v>
      </c>
      <c r="M33" s="31">
        <v>2021</v>
      </c>
      <c r="N33" s="31">
        <v>0</v>
      </c>
      <c r="O33" s="31">
        <v>80.959999999999994</v>
      </c>
      <c r="P33" s="31"/>
    </row>
    <row r="34" spans="1:16" ht="11.25" customHeight="1" x14ac:dyDescent="0.25">
      <c r="A34" s="31">
        <v>33</v>
      </c>
      <c r="B34" s="31" t="s">
        <v>744</v>
      </c>
      <c r="C34" s="31" t="s">
        <v>22</v>
      </c>
      <c r="D34" s="31" t="s">
        <v>92</v>
      </c>
      <c r="E34" s="31" t="s">
        <v>24</v>
      </c>
      <c r="F34" s="31" t="s">
        <v>30</v>
      </c>
      <c r="G34" s="31" t="s">
        <v>25</v>
      </c>
      <c r="H34" s="31" t="s">
        <v>25</v>
      </c>
      <c r="I34" s="31" t="s">
        <v>25</v>
      </c>
      <c r="J34" s="31" t="s">
        <v>859</v>
      </c>
      <c r="K34" s="31" t="s">
        <v>860</v>
      </c>
      <c r="L34" s="31" t="s">
        <v>78</v>
      </c>
      <c r="M34" s="31">
        <v>2021</v>
      </c>
      <c r="N34" s="31">
        <v>0</v>
      </c>
      <c r="O34" s="31">
        <v>138.80000000000001</v>
      </c>
      <c r="P34" s="31"/>
    </row>
    <row r="35" spans="1:16" ht="11.25" customHeight="1" x14ac:dyDescent="0.25">
      <c r="A35" s="31">
        <v>34</v>
      </c>
      <c r="B35" s="31" t="s">
        <v>716</v>
      </c>
      <c r="C35" s="31" t="s">
        <v>22</v>
      </c>
      <c r="D35" s="31" t="s">
        <v>23</v>
      </c>
      <c r="E35" s="31" t="s">
        <v>24</v>
      </c>
      <c r="F35" s="31" t="s">
        <v>29</v>
      </c>
      <c r="G35" s="31" t="s">
        <v>25</v>
      </c>
      <c r="H35" s="31" t="s">
        <v>25</v>
      </c>
      <c r="I35" s="31" t="s">
        <v>25</v>
      </c>
      <c r="J35" s="31" t="s">
        <v>859</v>
      </c>
      <c r="K35" s="31" t="s">
        <v>860</v>
      </c>
      <c r="L35" s="31" t="s">
        <v>78</v>
      </c>
      <c r="M35" s="31">
        <v>2021</v>
      </c>
      <c r="N35" s="31">
        <v>0</v>
      </c>
      <c r="O35" s="31">
        <v>86.27</v>
      </c>
      <c r="P35" s="31">
        <v>0</v>
      </c>
    </row>
    <row r="36" spans="1:16" ht="11.25" customHeight="1" x14ac:dyDescent="0.25">
      <c r="A36" s="31">
        <v>35</v>
      </c>
      <c r="B36" s="31" t="s">
        <v>716</v>
      </c>
      <c r="C36" s="31" t="s">
        <v>22</v>
      </c>
      <c r="D36" s="31" t="s">
        <v>23</v>
      </c>
      <c r="E36" s="31" t="s">
        <v>24</v>
      </c>
      <c r="F36" s="31" t="s">
        <v>30</v>
      </c>
      <c r="G36" s="31" t="s">
        <v>25</v>
      </c>
      <c r="H36" s="31" t="s">
        <v>25</v>
      </c>
      <c r="I36" s="31" t="s">
        <v>25</v>
      </c>
      <c r="J36" s="31" t="s">
        <v>859</v>
      </c>
      <c r="K36" s="31" t="s">
        <v>860</v>
      </c>
      <c r="L36" s="31" t="s">
        <v>78</v>
      </c>
      <c r="M36" s="31">
        <v>2021</v>
      </c>
      <c r="N36" s="31">
        <v>0</v>
      </c>
      <c r="O36" s="31">
        <v>147.9</v>
      </c>
      <c r="P36" s="31">
        <v>0</v>
      </c>
    </row>
    <row r="37" spans="1:16" ht="11.25" customHeight="1" x14ac:dyDescent="0.25">
      <c r="A37" s="31">
        <v>36</v>
      </c>
      <c r="B37" s="31" t="s">
        <v>716</v>
      </c>
      <c r="C37" s="31" t="s">
        <v>22</v>
      </c>
      <c r="D37" s="31" t="s">
        <v>23</v>
      </c>
      <c r="E37" s="31" t="s">
        <v>24</v>
      </c>
      <c r="F37" s="31" t="s">
        <v>31</v>
      </c>
      <c r="G37" s="31" t="s">
        <v>25</v>
      </c>
      <c r="H37" s="31" t="s">
        <v>25</v>
      </c>
      <c r="I37" s="31" t="s">
        <v>25</v>
      </c>
      <c r="J37" s="31" t="s">
        <v>859</v>
      </c>
      <c r="K37" s="31" t="s">
        <v>860</v>
      </c>
      <c r="L37" s="31" t="s">
        <v>78</v>
      </c>
      <c r="M37" s="31">
        <v>2021</v>
      </c>
      <c r="N37" s="31">
        <v>0</v>
      </c>
      <c r="O37" s="31">
        <v>221.85</v>
      </c>
      <c r="P37" s="31">
        <v>0</v>
      </c>
    </row>
    <row r="38" spans="1:16" ht="11.25" customHeight="1" x14ac:dyDescent="0.25">
      <c r="A38" s="31">
        <v>37</v>
      </c>
      <c r="B38" s="31" t="s">
        <v>716</v>
      </c>
      <c r="C38" s="31" t="s">
        <v>22</v>
      </c>
      <c r="D38" s="31" t="s">
        <v>23</v>
      </c>
      <c r="E38" s="31" t="s">
        <v>24</v>
      </c>
      <c r="F38" s="31" t="s">
        <v>32</v>
      </c>
      <c r="G38" s="31" t="s">
        <v>25</v>
      </c>
      <c r="H38" s="31" t="s">
        <v>25</v>
      </c>
      <c r="I38" s="31" t="s">
        <v>25</v>
      </c>
      <c r="J38" s="31" t="s">
        <v>859</v>
      </c>
      <c r="K38" s="31" t="s">
        <v>860</v>
      </c>
      <c r="L38" s="31" t="s">
        <v>78</v>
      </c>
      <c r="M38" s="31">
        <v>2021</v>
      </c>
      <c r="N38" s="31">
        <v>0</v>
      </c>
      <c r="O38" s="31">
        <v>246.5</v>
      </c>
      <c r="P38" s="31">
        <v>0</v>
      </c>
    </row>
    <row r="39" spans="1:16" ht="11.25" customHeight="1" x14ac:dyDescent="0.25">
      <c r="A39" s="31">
        <v>38</v>
      </c>
      <c r="B39" s="31" t="s">
        <v>716</v>
      </c>
      <c r="C39" s="31" t="s">
        <v>22</v>
      </c>
      <c r="D39" s="31" t="s">
        <v>93</v>
      </c>
      <c r="E39" s="31" t="s">
        <v>24</v>
      </c>
      <c r="F39" s="31" t="s">
        <v>24</v>
      </c>
      <c r="G39" s="31" t="s">
        <v>25</v>
      </c>
      <c r="H39" s="31" t="s">
        <v>25</v>
      </c>
      <c r="I39" s="31" t="s">
        <v>25</v>
      </c>
      <c r="J39" s="31" t="s">
        <v>859</v>
      </c>
      <c r="K39" s="31" t="s">
        <v>860</v>
      </c>
      <c r="L39" s="31" t="s">
        <v>78</v>
      </c>
      <c r="M39" s="31">
        <v>2021</v>
      </c>
      <c r="N39" s="31">
        <v>0</v>
      </c>
      <c r="O39" s="31">
        <v>285.75</v>
      </c>
      <c r="P39" s="31">
        <v>28.052520265360499</v>
      </c>
    </row>
    <row r="40" spans="1:16" ht="11.25" customHeight="1" x14ac:dyDescent="0.25">
      <c r="A40" s="31">
        <v>39</v>
      </c>
      <c r="B40" s="31" t="s">
        <v>716</v>
      </c>
      <c r="C40" s="31" t="s">
        <v>22</v>
      </c>
      <c r="D40" s="31" t="s">
        <v>93</v>
      </c>
      <c r="E40" s="31" t="s">
        <v>24</v>
      </c>
      <c r="F40" s="31" t="s">
        <v>29</v>
      </c>
      <c r="G40" s="31" t="s">
        <v>25</v>
      </c>
      <c r="H40" s="31" t="s">
        <v>25</v>
      </c>
      <c r="I40" s="31" t="s">
        <v>25</v>
      </c>
      <c r="J40" s="31" t="s">
        <v>859</v>
      </c>
      <c r="K40" s="31" t="s">
        <v>860</v>
      </c>
      <c r="L40" s="31" t="s">
        <v>78</v>
      </c>
      <c r="M40" s="31">
        <v>2021</v>
      </c>
      <c r="N40" s="31">
        <v>0</v>
      </c>
      <c r="O40" s="31">
        <v>86.27</v>
      </c>
      <c r="P40" s="31">
        <v>0</v>
      </c>
    </row>
    <row r="41" spans="1:16" ht="11.25" customHeight="1" x14ac:dyDescent="0.25">
      <c r="A41" s="31">
        <v>40</v>
      </c>
      <c r="B41" s="31" t="s">
        <v>716</v>
      </c>
      <c r="C41" s="31" t="s">
        <v>22</v>
      </c>
      <c r="D41" s="31" t="s">
        <v>93</v>
      </c>
      <c r="E41" s="31" t="s">
        <v>24</v>
      </c>
      <c r="F41" s="31" t="s">
        <v>30</v>
      </c>
      <c r="G41" s="31" t="s">
        <v>25</v>
      </c>
      <c r="H41" s="31" t="s">
        <v>25</v>
      </c>
      <c r="I41" s="31" t="s">
        <v>25</v>
      </c>
      <c r="J41" s="31" t="s">
        <v>859</v>
      </c>
      <c r="K41" s="31" t="s">
        <v>860</v>
      </c>
      <c r="L41" s="31" t="s">
        <v>78</v>
      </c>
      <c r="M41" s="31">
        <v>2021</v>
      </c>
      <c r="N41" s="31">
        <v>0</v>
      </c>
      <c r="O41" s="31">
        <v>147.9</v>
      </c>
      <c r="P41" s="31">
        <v>0</v>
      </c>
    </row>
    <row r="42" spans="1:16" ht="11.25" customHeight="1" x14ac:dyDescent="0.25">
      <c r="A42" s="31">
        <v>41</v>
      </c>
      <c r="B42" s="31" t="s">
        <v>716</v>
      </c>
      <c r="C42" s="31" t="s">
        <v>22</v>
      </c>
      <c r="D42" s="31" t="s">
        <v>93</v>
      </c>
      <c r="E42" s="31" t="s">
        <v>24</v>
      </c>
      <c r="F42" s="31" t="s">
        <v>31</v>
      </c>
      <c r="G42" s="31" t="s">
        <v>25</v>
      </c>
      <c r="H42" s="31" t="s">
        <v>25</v>
      </c>
      <c r="I42" s="31" t="s">
        <v>25</v>
      </c>
      <c r="J42" s="31" t="s">
        <v>859</v>
      </c>
      <c r="K42" s="31" t="s">
        <v>860</v>
      </c>
      <c r="L42" s="31" t="s">
        <v>78</v>
      </c>
      <c r="M42" s="31">
        <v>2021</v>
      </c>
      <c r="N42" s="31">
        <v>0</v>
      </c>
      <c r="O42" s="31">
        <v>221.85</v>
      </c>
      <c r="P42" s="31">
        <v>0</v>
      </c>
    </row>
    <row r="43" spans="1:16" ht="11.25" customHeight="1" x14ac:dyDescent="0.25">
      <c r="A43" s="31">
        <v>42</v>
      </c>
      <c r="B43" s="31" t="s">
        <v>716</v>
      </c>
      <c r="C43" s="31" t="s">
        <v>22</v>
      </c>
      <c r="D43" s="31" t="s">
        <v>93</v>
      </c>
      <c r="E43" s="31" t="s">
        <v>24</v>
      </c>
      <c r="F43" s="31" t="s">
        <v>32</v>
      </c>
      <c r="G43" s="31" t="s">
        <v>25</v>
      </c>
      <c r="H43" s="31" t="s">
        <v>25</v>
      </c>
      <c r="I43" s="31" t="s">
        <v>25</v>
      </c>
      <c r="J43" s="31" t="s">
        <v>859</v>
      </c>
      <c r="K43" s="31" t="s">
        <v>860</v>
      </c>
      <c r="L43" s="31" t="s">
        <v>78</v>
      </c>
      <c r="M43" s="31">
        <v>2021</v>
      </c>
      <c r="N43" s="31">
        <v>0</v>
      </c>
      <c r="O43" s="31">
        <v>246.5</v>
      </c>
      <c r="P43" s="31">
        <v>0</v>
      </c>
    </row>
    <row r="44" spans="1:16" ht="11.25" customHeight="1" x14ac:dyDescent="0.25">
      <c r="A44" s="31">
        <v>43</v>
      </c>
      <c r="B44" s="31" t="s">
        <v>716</v>
      </c>
      <c r="C44" s="31" t="s">
        <v>43</v>
      </c>
      <c r="D44" s="31" t="s">
        <v>33</v>
      </c>
      <c r="E44" s="31" t="s">
        <v>44</v>
      </c>
      <c r="F44" s="31" t="s">
        <v>25</v>
      </c>
      <c r="G44" s="31" t="s">
        <v>25</v>
      </c>
      <c r="H44" s="31" t="s">
        <v>25</v>
      </c>
      <c r="I44" s="31" t="s">
        <v>34</v>
      </c>
      <c r="J44" s="31" t="s">
        <v>859</v>
      </c>
      <c r="K44" s="31" t="s">
        <v>860</v>
      </c>
      <c r="L44" s="31" t="s">
        <v>78</v>
      </c>
      <c r="M44" s="31">
        <v>2021</v>
      </c>
      <c r="N44" s="31">
        <v>0</v>
      </c>
      <c r="O44" s="31">
        <v>687.34</v>
      </c>
      <c r="P44" s="31">
        <v>24.686217833517301</v>
      </c>
    </row>
    <row r="45" spans="1:16" ht="11.25" customHeight="1" x14ac:dyDescent="0.25">
      <c r="A45" s="31">
        <v>44</v>
      </c>
      <c r="B45" s="31" t="s">
        <v>716</v>
      </c>
      <c r="C45" s="31" t="s">
        <v>43</v>
      </c>
      <c r="D45" s="31" t="s">
        <v>33</v>
      </c>
      <c r="E45" s="31" t="s">
        <v>44</v>
      </c>
      <c r="F45" s="31" t="s">
        <v>25</v>
      </c>
      <c r="G45" s="31" t="s">
        <v>25</v>
      </c>
      <c r="H45" s="31" t="s">
        <v>25</v>
      </c>
      <c r="I45" s="31" t="s">
        <v>36</v>
      </c>
      <c r="J45" s="31" t="s">
        <v>859</v>
      </c>
      <c r="K45" s="31" t="s">
        <v>860</v>
      </c>
      <c r="L45" s="31" t="s">
        <v>78</v>
      </c>
      <c r="M45" s="31">
        <v>2021</v>
      </c>
      <c r="N45" s="31">
        <v>0</v>
      </c>
      <c r="O45" s="31">
        <v>433.74</v>
      </c>
      <c r="P45" s="31">
        <v>24.686217833517301</v>
      </c>
    </row>
    <row r="46" spans="1:16" ht="11.25" customHeight="1" x14ac:dyDescent="0.25">
      <c r="A46" s="31">
        <v>45</v>
      </c>
      <c r="B46" s="31" t="s">
        <v>716</v>
      </c>
      <c r="C46" s="31" t="s">
        <v>43</v>
      </c>
      <c r="D46" s="31" t="s">
        <v>33</v>
      </c>
      <c r="E46" s="31" t="s">
        <v>44</v>
      </c>
      <c r="F46" s="31" t="s">
        <v>25</v>
      </c>
      <c r="G46" s="31" t="s">
        <v>25</v>
      </c>
      <c r="H46" s="31" t="s">
        <v>25</v>
      </c>
      <c r="I46" s="31" t="s">
        <v>35</v>
      </c>
      <c r="J46" s="31" t="s">
        <v>859</v>
      </c>
      <c r="K46" s="31" t="s">
        <v>860</v>
      </c>
      <c r="L46" s="31" t="s">
        <v>78</v>
      </c>
      <c r="M46" s="31">
        <v>2021</v>
      </c>
      <c r="N46" s="31">
        <v>0</v>
      </c>
      <c r="O46" s="31">
        <v>180.14</v>
      </c>
      <c r="P46" s="31">
        <v>24.686217833517301</v>
      </c>
    </row>
    <row r="47" spans="1:16" ht="11.25" customHeight="1" x14ac:dyDescent="0.25">
      <c r="A47" s="31">
        <v>46</v>
      </c>
      <c r="B47" s="31" t="s">
        <v>716</v>
      </c>
      <c r="C47" s="31" t="s">
        <v>43</v>
      </c>
      <c r="D47" s="31" t="s">
        <v>23</v>
      </c>
      <c r="E47" s="31" t="s">
        <v>44</v>
      </c>
      <c r="F47" s="31" t="s">
        <v>25</v>
      </c>
      <c r="G47" s="31" t="s">
        <v>25</v>
      </c>
      <c r="H47" s="31" t="s">
        <v>25</v>
      </c>
      <c r="I47" s="31" t="s">
        <v>25</v>
      </c>
      <c r="J47" s="31" t="s">
        <v>859</v>
      </c>
      <c r="K47" s="31" t="s">
        <v>860</v>
      </c>
      <c r="L47" s="31" t="s">
        <v>78</v>
      </c>
      <c r="M47" s="31">
        <v>2021</v>
      </c>
      <c r="N47" s="31">
        <v>0</v>
      </c>
      <c r="O47" s="31">
        <v>251.46</v>
      </c>
      <c r="P47" s="31">
        <v>24.686217833517301</v>
      </c>
    </row>
    <row r="48" spans="1:16" ht="11.25" customHeight="1" x14ac:dyDescent="0.25">
      <c r="A48" s="31">
        <v>47</v>
      </c>
      <c r="B48" s="31" t="s">
        <v>716</v>
      </c>
      <c r="C48" s="31" t="s">
        <v>43</v>
      </c>
      <c r="D48" s="31" t="s">
        <v>33</v>
      </c>
      <c r="E48" s="31" t="s">
        <v>44</v>
      </c>
      <c r="F48" s="31" t="s">
        <v>94</v>
      </c>
      <c r="G48" s="31" t="s">
        <v>25</v>
      </c>
      <c r="H48" s="31" t="s">
        <v>25</v>
      </c>
      <c r="I48" s="31" t="s">
        <v>34</v>
      </c>
      <c r="J48" s="31" t="s">
        <v>859</v>
      </c>
      <c r="K48" s="31" t="s">
        <v>860</v>
      </c>
      <c r="L48" s="31" t="s">
        <v>78</v>
      </c>
      <c r="M48" s="31">
        <v>2021</v>
      </c>
      <c r="N48" s="31">
        <v>0</v>
      </c>
      <c r="O48" s="31">
        <v>687.34</v>
      </c>
      <c r="P48" s="31">
        <v>24.686217833517301</v>
      </c>
    </row>
    <row r="49" spans="1:16" ht="11.25" customHeight="1" x14ac:dyDescent="0.25">
      <c r="A49" s="31">
        <v>48</v>
      </c>
      <c r="B49" s="31" t="s">
        <v>716</v>
      </c>
      <c r="C49" s="31" t="s">
        <v>43</v>
      </c>
      <c r="D49" s="31" t="s">
        <v>33</v>
      </c>
      <c r="E49" s="31" t="s">
        <v>44</v>
      </c>
      <c r="F49" s="31" t="s">
        <v>94</v>
      </c>
      <c r="G49" s="31" t="s">
        <v>25</v>
      </c>
      <c r="H49" s="31" t="s">
        <v>25</v>
      </c>
      <c r="I49" s="31" t="s">
        <v>36</v>
      </c>
      <c r="J49" s="31" t="s">
        <v>859</v>
      </c>
      <c r="K49" s="31" t="s">
        <v>860</v>
      </c>
      <c r="L49" s="31" t="s">
        <v>78</v>
      </c>
      <c r="M49" s="31">
        <v>2021</v>
      </c>
      <c r="N49" s="31">
        <v>0</v>
      </c>
      <c r="O49" s="31">
        <v>433.74</v>
      </c>
      <c r="P49" s="31">
        <v>24.686217833517301</v>
      </c>
    </row>
    <row r="50" spans="1:16" ht="11.25" customHeight="1" x14ac:dyDescent="0.25">
      <c r="A50" s="31">
        <v>49</v>
      </c>
      <c r="B50" s="31" t="s">
        <v>716</v>
      </c>
      <c r="C50" s="31" t="s">
        <v>43</v>
      </c>
      <c r="D50" s="31" t="s">
        <v>33</v>
      </c>
      <c r="E50" s="31" t="s">
        <v>44</v>
      </c>
      <c r="F50" s="31" t="s">
        <v>94</v>
      </c>
      <c r="G50" s="31" t="s">
        <v>25</v>
      </c>
      <c r="H50" s="31" t="s">
        <v>25</v>
      </c>
      <c r="I50" s="31" t="s">
        <v>35</v>
      </c>
      <c r="J50" s="31" t="s">
        <v>859</v>
      </c>
      <c r="K50" s="31" t="s">
        <v>860</v>
      </c>
      <c r="L50" s="31" t="s">
        <v>78</v>
      </c>
      <c r="M50" s="31">
        <v>2021</v>
      </c>
      <c r="N50" s="31">
        <v>0</v>
      </c>
      <c r="O50" s="31">
        <v>180.14</v>
      </c>
      <c r="P50" s="31">
        <v>24.686217833517301</v>
      </c>
    </row>
    <row r="51" spans="1:16" ht="11.25" customHeight="1" x14ac:dyDescent="0.25">
      <c r="A51" s="31">
        <v>50</v>
      </c>
      <c r="B51" s="31" t="s">
        <v>716</v>
      </c>
      <c r="C51" s="31" t="s">
        <v>43</v>
      </c>
      <c r="D51" s="31" t="s">
        <v>23</v>
      </c>
      <c r="E51" s="31" t="s">
        <v>44</v>
      </c>
      <c r="F51" s="31" t="s">
        <v>94</v>
      </c>
      <c r="G51" s="31" t="s">
        <v>25</v>
      </c>
      <c r="H51" s="31" t="s">
        <v>25</v>
      </c>
      <c r="I51" s="31" t="s">
        <v>25</v>
      </c>
      <c r="J51" s="31" t="s">
        <v>859</v>
      </c>
      <c r="K51" s="31" t="s">
        <v>860</v>
      </c>
      <c r="L51" s="31" t="s">
        <v>78</v>
      </c>
      <c r="M51" s="31">
        <v>2021</v>
      </c>
      <c r="N51" s="31">
        <v>0</v>
      </c>
      <c r="O51" s="31">
        <v>251.46</v>
      </c>
      <c r="P51" s="31">
        <v>24.686217833517301</v>
      </c>
    </row>
    <row r="52" spans="1:16" ht="11.25" customHeight="1" x14ac:dyDescent="0.25">
      <c r="A52" s="31">
        <v>51</v>
      </c>
      <c r="B52" s="31" t="s">
        <v>716</v>
      </c>
      <c r="C52" s="31" t="s">
        <v>43</v>
      </c>
      <c r="D52" s="31" t="s">
        <v>33</v>
      </c>
      <c r="E52" s="31" t="s">
        <v>44</v>
      </c>
      <c r="F52" s="31" t="s">
        <v>95</v>
      </c>
      <c r="G52" s="31" t="s">
        <v>25</v>
      </c>
      <c r="H52" s="31" t="s">
        <v>25</v>
      </c>
      <c r="I52" s="31" t="s">
        <v>34</v>
      </c>
      <c r="J52" s="31" t="s">
        <v>859</v>
      </c>
      <c r="K52" s="31" t="s">
        <v>860</v>
      </c>
      <c r="L52" s="31" t="s">
        <v>78</v>
      </c>
      <c r="M52" s="31">
        <v>2021</v>
      </c>
      <c r="N52" s="31">
        <v>0</v>
      </c>
      <c r="O52" s="31">
        <v>656.09</v>
      </c>
      <c r="P52" s="31">
        <v>23.564117022902899</v>
      </c>
    </row>
    <row r="53" spans="1:16" ht="11.25" customHeight="1" x14ac:dyDescent="0.25">
      <c r="A53" s="31">
        <v>52</v>
      </c>
      <c r="B53" s="31" t="s">
        <v>716</v>
      </c>
      <c r="C53" s="31" t="s">
        <v>43</v>
      </c>
      <c r="D53" s="31" t="s">
        <v>33</v>
      </c>
      <c r="E53" s="31" t="s">
        <v>44</v>
      </c>
      <c r="F53" s="31" t="s">
        <v>95</v>
      </c>
      <c r="G53" s="31" t="s">
        <v>25</v>
      </c>
      <c r="H53" s="31" t="s">
        <v>25</v>
      </c>
      <c r="I53" s="31" t="s">
        <v>36</v>
      </c>
      <c r="J53" s="31" t="s">
        <v>859</v>
      </c>
      <c r="K53" s="31" t="s">
        <v>860</v>
      </c>
      <c r="L53" s="31" t="s">
        <v>78</v>
      </c>
      <c r="M53" s="31">
        <v>2021</v>
      </c>
      <c r="N53" s="31">
        <v>0</v>
      </c>
      <c r="O53" s="31">
        <v>414.02</v>
      </c>
      <c r="P53" s="31">
        <v>23.564117022902899</v>
      </c>
    </row>
    <row r="54" spans="1:16" ht="11.25" customHeight="1" x14ac:dyDescent="0.25">
      <c r="A54" s="31">
        <v>53</v>
      </c>
      <c r="B54" s="31" t="s">
        <v>716</v>
      </c>
      <c r="C54" s="31" t="s">
        <v>43</v>
      </c>
      <c r="D54" s="31" t="s">
        <v>33</v>
      </c>
      <c r="E54" s="31" t="s">
        <v>44</v>
      </c>
      <c r="F54" s="31" t="s">
        <v>95</v>
      </c>
      <c r="G54" s="31" t="s">
        <v>25</v>
      </c>
      <c r="H54" s="31" t="s">
        <v>25</v>
      </c>
      <c r="I54" s="31" t="s">
        <v>35</v>
      </c>
      <c r="J54" s="31" t="s">
        <v>859</v>
      </c>
      <c r="K54" s="31" t="s">
        <v>860</v>
      </c>
      <c r="L54" s="31" t="s">
        <v>78</v>
      </c>
      <c r="M54" s="31">
        <v>2021</v>
      </c>
      <c r="N54" s="31">
        <v>0</v>
      </c>
      <c r="O54" s="31">
        <v>171.95</v>
      </c>
      <c r="P54" s="31">
        <v>23.564117022902899</v>
      </c>
    </row>
    <row r="55" spans="1:16" ht="11.25" customHeight="1" x14ac:dyDescent="0.25">
      <c r="A55" s="31">
        <v>54</v>
      </c>
      <c r="B55" s="31" t="s">
        <v>716</v>
      </c>
      <c r="C55" s="31" t="s">
        <v>43</v>
      </c>
      <c r="D55" s="31" t="s">
        <v>23</v>
      </c>
      <c r="E55" s="31" t="s">
        <v>44</v>
      </c>
      <c r="F55" s="31" t="s">
        <v>95</v>
      </c>
      <c r="G55" s="31" t="s">
        <v>25</v>
      </c>
      <c r="H55" s="31" t="s">
        <v>25</v>
      </c>
      <c r="I55" s="31" t="s">
        <v>25</v>
      </c>
      <c r="J55" s="31" t="s">
        <v>859</v>
      </c>
      <c r="K55" s="31" t="s">
        <v>860</v>
      </c>
      <c r="L55" s="31" t="s">
        <v>78</v>
      </c>
      <c r="M55" s="31">
        <v>2021</v>
      </c>
      <c r="N55" s="31">
        <v>0</v>
      </c>
      <c r="O55" s="31">
        <v>240.03</v>
      </c>
      <c r="P55" s="31">
        <v>23.564117022902899</v>
      </c>
    </row>
    <row r="56" spans="1:16" ht="11.25" customHeight="1" x14ac:dyDescent="0.25">
      <c r="A56" s="31">
        <v>55</v>
      </c>
      <c r="B56" s="31" t="s">
        <v>716</v>
      </c>
      <c r="C56" s="31" t="s">
        <v>43</v>
      </c>
      <c r="D56" s="31" t="s">
        <v>93</v>
      </c>
      <c r="E56" s="31" t="s">
        <v>44</v>
      </c>
      <c r="F56" s="31" t="s">
        <v>25</v>
      </c>
      <c r="G56" s="31" t="s">
        <v>25</v>
      </c>
      <c r="H56" s="31" t="s">
        <v>25</v>
      </c>
      <c r="I56" s="31" t="s">
        <v>25</v>
      </c>
      <c r="J56" s="31" t="s">
        <v>859</v>
      </c>
      <c r="K56" s="31" t="s">
        <v>860</v>
      </c>
      <c r="L56" s="31" t="s">
        <v>78</v>
      </c>
      <c r="M56" s="31">
        <v>2021</v>
      </c>
      <c r="N56" s="31">
        <v>0</v>
      </c>
      <c r="O56" s="31">
        <v>251.46</v>
      </c>
      <c r="P56" s="31">
        <v>24.686217833517301</v>
      </c>
    </row>
    <row r="57" spans="1:16" ht="11.25" customHeight="1" x14ac:dyDescent="0.25">
      <c r="A57" s="31">
        <v>56</v>
      </c>
      <c r="B57" s="31" t="s">
        <v>716</v>
      </c>
      <c r="C57" s="31" t="s">
        <v>43</v>
      </c>
      <c r="D57" s="31" t="s">
        <v>93</v>
      </c>
      <c r="E57" s="31" t="s">
        <v>44</v>
      </c>
      <c r="F57" s="31" t="s">
        <v>94</v>
      </c>
      <c r="G57" s="31" t="s">
        <v>25</v>
      </c>
      <c r="H57" s="31" t="s">
        <v>25</v>
      </c>
      <c r="I57" s="31" t="s">
        <v>25</v>
      </c>
      <c r="J57" s="31" t="s">
        <v>859</v>
      </c>
      <c r="K57" s="31" t="s">
        <v>860</v>
      </c>
      <c r="L57" s="31" t="s">
        <v>78</v>
      </c>
      <c r="M57" s="31">
        <v>2021</v>
      </c>
      <c r="N57" s="31">
        <v>0</v>
      </c>
      <c r="O57" s="31">
        <v>251.46</v>
      </c>
      <c r="P57" s="31">
        <v>24.686217833517301</v>
      </c>
    </row>
    <row r="58" spans="1:16" ht="11.25" customHeight="1" x14ac:dyDescent="0.25">
      <c r="A58" s="31">
        <v>57</v>
      </c>
      <c r="B58" s="31" t="s">
        <v>716</v>
      </c>
      <c r="C58" s="31" t="s">
        <v>43</v>
      </c>
      <c r="D58" s="31" t="s">
        <v>93</v>
      </c>
      <c r="E58" s="31" t="s">
        <v>44</v>
      </c>
      <c r="F58" s="31" t="s">
        <v>95</v>
      </c>
      <c r="G58" s="31" t="s">
        <v>25</v>
      </c>
      <c r="H58" s="31" t="s">
        <v>25</v>
      </c>
      <c r="I58" s="31" t="s">
        <v>25</v>
      </c>
      <c r="J58" s="31" t="s">
        <v>859</v>
      </c>
      <c r="K58" s="31" t="s">
        <v>860</v>
      </c>
      <c r="L58" s="31" t="s">
        <v>78</v>
      </c>
      <c r="M58" s="31">
        <v>2021</v>
      </c>
      <c r="N58" s="31">
        <v>0</v>
      </c>
      <c r="O58" s="31">
        <v>240.03</v>
      </c>
      <c r="P58" s="31">
        <v>23.564117022902899</v>
      </c>
    </row>
    <row r="59" spans="1:16" ht="11.25" customHeight="1" x14ac:dyDescent="0.25">
      <c r="A59" s="31">
        <v>58</v>
      </c>
      <c r="B59" s="31" t="s">
        <v>716</v>
      </c>
      <c r="C59" s="31" t="s">
        <v>37</v>
      </c>
      <c r="D59" s="31" t="s">
        <v>33</v>
      </c>
      <c r="E59" s="31" t="s">
        <v>25</v>
      </c>
      <c r="F59" s="31" t="s">
        <v>25</v>
      </c>
      <c r="G59" s="31" t="s">
        <v>25</v>
      </c>
      <c r="H59" s="31" t="s">
        <v>25</v>
      </c>
      <c r="I59" s="31" t="s">
        <v>34</v>
      </c>
      <c r="J59" s="31" t="s">
        <v>859</v>
      </c>
      <c r="K59" s="31" t="s">
        <v>860</v>
      </c>
      <c r="L59" s="31" t="s">
        <v>78</v>
      </c>
      <c r="M59" s="31">
        <v>2021</v>
      </c>
      <c r="N59" s="31">
        <v>0</v>
      </c>
      <c r="O59" s="31">
        <v>792.32</v>
      </c>
      <c r="P59" s="31">
        <v>28.052520265360499</v>
      </c>
    </row>
    <row r="60" spans="1:16" ht="11.25" customHeight="1" x14ac:dyDescent="0.25">
      <c r="A60" s="31">
        <v>59</v>
      </c>
      <c r="B60" s="31" t="s">
        <v>716</v>
      </c>
      <c r="C60" s="31" t="s">
        <v>37</v>
      </c>
      <c r="D60" s="31" t="s">
        <v>33</v>
      </c>
      <c r="E60" s="31" t="s">
        <v>25</v>
      </c>
      <c r="F60" s="31" t="s">
        <v>25</v>
      </c>
      <c r="G60" s="31" t="s">
        <v>25</v>
      </c>
      <c r="H60" s="31" t="s">
        <v>25</v>
      </c>
      <c r="I60" s="31" t="s">
        <v>36</v>
      </c>
      <c r="J60" s="31" t="s">
        <v>859</v>
      </c>
      <c r="K60" s="31" t="s">
        <v>860</v>
      </c>
      <c r="L60" s="31" t="s">
        <v>78</v>
      </c>
      <c r="M60" s="31">
        <v>2021</v>
      </c>
      <c r="N60" s="31">
        <v>0</v>
      </c>
      <c r="O60" s="31">
        <v>499.64</v>
      </c>
      <c r="P60" s="31">
        <v>28.052520265360499</v>
      </c>
    </row>
    <row r="61" spans="1:16" ht="11.25" customHeight="1" x14ac:dyDescent="0.25">
      <c r="A61" s="31">
        <v>60</v>
      </c>
      <c r="B61" s="31" t="s">
        <v>716</v>
      </c>
      <c r="C61" s="31" t="s">
        <v>37</v>
      </c>
      <c r="D61" s="31" t="s">
        <v>33</v>
      </c>
      <c r="E61" s="31" t="s">
        <v>25</v>
      </c>
      <c r="F61" s="31" t="s">
        <v>25</v>
      </c>
      <c r="G61" s="31" t="s">
        <v>25</v>
      </c>
      <c r="H61" s="31" t="s">
        <v>25</v>
      </c>
      <c r="I61" s="31" t="s">
        <v>35</v>
      </c>
      <c r="J61" s="31" t="s">
        <v>859</v>
      </c>
      <c r="K61" s="31" t="s">
        <v>860</v>
      </c>
      <c r="L61" s="31" t="s">
        <v>78</v>
      </c>
      <c r="M61" s="31">
        <v>2021</v>
      </c>
      <c r="N61" s="31">
        <v>0</v>
      </c>
      <c r="O61" s="31">
        <v>206.95</v>
      </c>
      <c r="P61" s="31">
        <v>28.052520265360499</v>
      </c>
    </row>
    <row r="62" spans="1:16" ht="11.25" customHeight="1" x14ac:dyDescent="0.25">
      <c r="A62" s="31">
        <v>61</v>
      </c>
      <c r="B62" s="31" t="s">
        <v>716</v>
      </c>
      <c r="C62" s="31" t="s">
        <v>37</v>
      </c>
      <c r="D62" s="31" t="s">
        <v>23</v>
      </c>
      <c r="E62" s="31" t="s">
        <v>25</v>
      </c>
      <c r="F62" s="31" t="s">
        <v>25</v>
      </c>
      <c r="G62" s="31" t="s">
        <v>25</v>
      </c>
      <c r="H62" s="31" t="s">
        <v>25</v>
      </c>
      <c r="I62" s="31" t="s">
        <v>25</v>
      </c>
      <c r="J62" s="31" t="s">
        <v>859</v>
      </c>
      <c r="K62" s="31" t="s">
        <v>860</v>
      </c>
      <c r="L62" s="31" t="s">
        <v>78</v>
      </c>
      <c r="M62" s="31">
        <v>2021</v>
      </c>
      <c r="N62" s="31">
        <v>0</v>
      </c>
      <c r="O62" s="31">
        <v>285.75</v>
      </c>
      <c r="P62" s="31">
        <v>28.052520265360499</v>
      </c>
    </row>
    <row r="63" spans="1:16" ht="11.25" customHeight="1" x14ac:dyDescent="0.25">
      <c r="A63" s="31">
        <v>62</v>
      </c>
      <c r="B63" s="31" t="s">
        <v>716</v>
      </c>
      <c r="C63" s="31" t="s">
        <v>37</v>
      </c>
      <c r="D63" s="31" t="s">
        <v>93</v>
      </c>
      <c r="E63" s="31" t="s">
        <v>25</v>
      </c>
      <c r="F63" s="31" t="s">
        <v>25</v>
      </c>
      <c r="G63" s="31" t="s">
        <v>25</v>
      </c>
      <c r="H63" s="31" t="s">
        <v>25</v>
      </c>
      <c r="I63" s="31" t="s">
        <v>25</v>
      </c>
      <c r="J63" s="31" t="s">
        <v>859</v>
      </c>
      <c r="K63" s="31" t="s">
        <v>860</v>
      </c>
      <c r="L63" s="31" t="s">
        <v>78</v>
      </c>
      <c r="M63" s="31">
        <v>2021</v>
      </c>
      <c r="N63" s="31">
        <v>0</v>
      </c>
      <c r="O63" s="31">
        <v>285.75</v>
      </c>
      <c r="P63" s="31">
        <v>28.052520265360499</v>
      </c>
    </row>
    <row r="64" spans="1:16" ht="11.25" customHeight="1" x14ac:dyDescent="0.25">
      <c r="A64" s="31">
        <v>63</v>
      </c>
      <c r="B64" s="31" t="s">
        <v>716</v>
      </c>
      <c r="C64" s="31" t="s">
        <v>46</v>
      </c>
      <c r="D64" s="31" t="s">
        <v>23</v>
      </c>
      <c r="E64" s="31" t="s">
        <v>47</v>
      </c>
      <c r="F64" s="31" t="s">
        <v>48</v>
      </c>
      <c r="G64" s="31" t="s">
        <v>25</v>
      </c>
      <c r="H64" s="31" t="s">
        <v>25</v>
      </c>
      <c r="I64" s="31" t="s">
        <v>25</v>
      </c>
      <c r="J64" s="31" t="s">
        <v>859</v>
      </c>
      <c r="K64" s="31" t="s">
        <v>860</v>
      </c>
      <c r="L64" s="31" t="s">
        <v>78</v>
      </c>
      <c r="M64" s="31">
        <v>2021</v>
      </c>
      <c r="N64" s="31">
        <v>0</v>
      </c>
      <c r="O64" s="31">
        <v>157.16</v>
      </c>
      <c r="P64" s="31">
        <v>15.428886145948301</v>
      </c>
    </row>
    <row r="65" spans="1:16" ht="11.25" customHeight="1" x14ac:dyDescent="0.25">
      <c r="A65" s="31">
        <v>64</v>
      </c>
      <c r="B65" s="31" t="s">
        <v>716</v>
      </c>
      <c r="C65" s="31" t="s">
        <v>46</v>
      </c>
      <c r="D65" s="31" t="s">
        <v>23</v>
      </c>
      <c r="E65" s="31" t="s">
        <v>47</v>
      </c>
      <c r="F65" s="31" t="s">
        <v>96</v>
      </c>
      <c r="G65" s="31" t="s">
        <v>25</v>
      </c>
      <c r="H65" s="31" t="s">
        <v>25</v>
      </c>
      <c r="I65" s="31" t="s">
        <v>25</v>
      </c>
      <c r="J65" s="31" t="s">
        <v>859</v>
      </c>
      <c r="K65" s="31" t="s">
        <v>860</v>
      </c>
      <c r="L65" s="31" t="s">
        <v>78</v>
      </c>
      <c r="M65" s="31">
        <v>2021</v>
      </c>
      <c r="N65" s="31">
        <v>0</v>
      </c>
      <c r="O65" s="31">
        <v>171.45</v>
      </c>
      <c r="P65" s="31">
        <v>16.831512159216299</v>
      </c>
    </row>
    <row r="66" spans="1:16" ht="11.25" customHeight="1" x14ac:dyDescent="0.25">
      <c r="A66" s="31">
        <v>65</v>
      </c>
      <c r="B66" s="31" t="s">
        <v>744</v>
      </c>
      <c r="C66" s="31" t="s">
        <v>56</v>
      </c>
      <c r="D66" s="31" t="s">
        <v>77</v>
      </c>
      <c r="E66" s="31" t="s">
        <v>25</v>
      </c>
      <c r="F66" s="31" t="s">
        <v>25</v>
      </c>
      <c r="G66" s="31" t="s">
        <v>25</v>
      </c>
      <c r="H66" s="31" t="s">
        <v>25</v>
      </c>
      <c r="I66" s="31" t="s">
        <v>34</v>
      </c>
      <c r="J66" s="31" t="s">
        <v>859</v>
      </c>
      <c r="K66" s="31" t="s">
        <v>860</v>
      </c>
      <c r="L66" s="31" t="s">
        <v>78</v>
      </c>
      <c r="M66" s="31">
        <v>2021</v>
      </c>
      <c r="N66" s="31">
        <v>0</v>
      </c>
      <c r="O66" s="31">
        <v>366.6</v>
      </c>
      <c r="P66" s="31"/>
    </row>
    <row r="67" spans="1:16" ht="11.25" customHeight="1" x14ac:dyDescent="0.25">
      <c r="A67" s="31">
        <v>66</v>
      </c>
      <c r="B67" s="31" t="s">
        <v>744</v>
      </c>
      <c r="C67" s="31" t="s">
        <v>56</v>
      </c>
      <c r="D67" s="31" t="s">
        <v>77</v>
      </c>
      <c r="E67" s="31" t="s">
        <v>25</v>
      </c>
      <c r="F67" s="31" t="s">
        <v>25</v>
      </c>
      <c r="G67" s="31" t="s">
        <v>25</v>
      </c>
      <c r="H67" s="31" t="s">
        <v>25</v>
      </c>
      <c r="I67" s="31" t="s">
        <v>35</v>
      </c>
      <c r="J67" s="31" t="s">
        <v>859</v>
      </c>
      <c r="K67" s="31" t="s">
        <v>860</v>
      </c>
      <c r="L67" s="31" t="s">
        <v>78</v>
      </c>
      <c r="M67" s="31">
        <v>2021</v>
      </c>
      <c r="N67" s="31">
        <v>0</v>
      </c>
      <c r="O67" s="31">
        <v>219.03</v>
      </c>
      <c r="P67" s="31"/>
    </row>
    <row r="68" spans="1:16" ht="11.25" customHeight="1" x14ac:dyDescent="0.25">
      <c r="A68" s="31">
        <v>67</v>
      </c>
      <c r="B68" s="31" t="s">
        <v>744</v>
      </c>
      <c r="C68" s="31" t="s">
        <v>39</v>
      </c>
      <c r="D68" s="31" t="s">
        <v>77</v>
      </c>
      <c r="E68" s="31" t="s">
        <v>25</v>
      </c>
      <c r="F68" s="31" t="s">
        <v>25</v>
      </c>
      <c r="G68" s="31" t="s">
        <v>25</v>
      </c>
      <c r="H68" s="31" t="s">
        <v>25</v>
      </c>
      <c r="I68" s="31" t="s">
        <v>34</v>
      </c>
      <c r="J68" s="31" t="s">
        <v>859</v>
      </c>
      <c r="K68" s="31" t="s">
        <v>860</v>
      </c>
      <c r="L68" s="31" t="s">
        <v>78</v>
      </c>
      <c r="M68" s="31">
        <v>2021</v>
      </c>
      <c r="N68" s="31">
        <v>0</v>
      </c>
      <c r="O68" s="31">
        <v>366.6</v>
      </c>
      <c r="P68" s="31"/>
    </row>
    <row r="69" spans="1:16" ht="11.25" customHeight="1" x14ac:dyDescent="0.25">
      <c r="A69" s="31">
        <v>68</v>
      </c>
      <c r="B69" s="31" t="s">
        <v>744</v>
      </c>
      <c r="C69" s="31" t="s">
        <v>39</v>
      </c>
      <c r="D69" s="31" t="s">
        <v>77</v>
      </c>
      <c r="E69" s="31" t="s">
        <v>25</v>
      </c>
      <c r="F69" s="31" t="s">
        <v>25</v>
      </c>
      <c r="G69" s="31" t="s">
        <v>25</v>
      </c>
      <c r="H69" s="31" t="s">
        <v>25</v>
      </c>
      <c r="I69" s="31" t="s">
        <v>35</v>
      </c>
      <c r="J69" s="31" t="s">
        <v>859</v>
      </c>
      <c r="K69" s="31" t="s">
        <v>860</v>
      </c>
      <c r="L69" s="31" t="s">
        <v>78</v>
      </c>
      <c r="M69" s="31">
        <v>2021</v>
      </c>
      <c r="N69" s="31">
        <v>0</v>
      </c>
      <c r="O69" s="31">
        <v>219.03</v>
      </c>
      <c r="P69" s="31"/>
    </row>
    <row r="70" spans="1:16" ht="11.25" customHeight="1" x14ac:dyDescent="0.25">
      <c r="A70" s="31">
        <v>69</v>
      </c>
      <c r="B70" s="31" t="s">
        <v>744</v>
      </c>
      <c r="C70" s="31" t="s">
        <v>39</v>
      </c>
      <c r="D70" s="31" t="s">
        <v>86</v>
      </c>
      <c r="E70" s="31" t="s">
        <v>25</v>
      </c>
      <c r="F70" s="31" t="s">
        <v>25</v>
      </c>
      <c r="G70" s="31" t="s">
        <v>25</v>
      </c>
      <c r="H70" s="31" t="s">
        <v>25</v>
      </c>
      <c r="I70" s="31" t="s">
        <v>25</v>
      </c>
      <c r="J70" s="31" t="s">
        <v>859</v>
      </c>
      <c r="K70" s="31" t="s">
        <v>860</v>
      </c>
      <c r="L70" s="31" t="s">
        <v>78</v>
      </c>
      <c r="M70" s="31">
        <v>2021</v>
      </c>
      <c r="N70" s="31">
        <v>0</v>
      </c>
      <c r="O70" s="31">
        <v>231.33</v>
      </c>
      <c r="P70" s="31"/>
    </row>
    <row r="71" spans="1:16" ht="11.25" customHeight="1" x14ac:dyDescent="0.25">
      <c r="A71" s="31">
        <v>70</v>
      </c>
      <c r="B71" s="31" t="s">
        <v>744</v>
      </c>
      <c r="C71" s="31" t="s">
        <v>22</v>
      </c>
      <c r="D71" s="31" t="s">
        <v>77</v>
      </c>
      <c r="E71" s="31" t="s">
        <v>24</v>
      </c>
      <c r="F71" s="31" t="s">
        <v>24</v>
      </c>
      <c r="G71" s="31" t="s">
        <v>25</v>
      </c>
      <c r="H71" s="31" t="s">
        <v>25</v>
      </c>
      <c r="I71" s="31" t="s">
        <v>34</v>
      </c>
      <c r="J71" s="31" t="s">
        <v>859</v>
      </c>
      <c r="K71" s="31" t="s">
        <v>860</v>
      </c>
      <c r="L71" s="31" t="s">
        <v>78</v>
      </c>
      <c r="M71" s="31">
        <v>2021</v>
      </c>
      <c r="N71" s="31">
        <v>0</v>
      </c>
      <c r="O71" s="31">
        <v>366.6</v>
      </c>
      <c r="P71" s="31"/>
    </row>
    <row r="72" spans="1:16" ht="11.25" customHeight="1" x14ac:dyDescent="0.25">
      <c r="A72" s="31">
        <v>71</v>
      </c>
      <c r="B72" s="31" t="s">
        <v>744</v>
      </c>
      <c r="C72" s="31" t="s">
        <v>22</v>
      </c>
      <c r="D72" s="31" t="s">
        <v>77</v>
      </c>
      <c r="E72" s="31" t="s">
        <v>24</v>
      </c>
      <c r="F72" s="31" t="s">
        <v>24</v>
      </c>
      <c r="G72" s="31" t="s">
        <v>25</v>
      </c>
      <c r="H72" s="31" t="s">
        <v>25</v>
      </c>
      <c r="I72" s="31" t="s">
        <v>36</v>
      </c>
      <c r="J72" s="31" t="s">
        <v>859</v>
      </c>
      <c r="K72" s="31" t="s">
        <v>860</v>
      </c>
      <c r="L72" s="31" t="s">
        <v>78</v>
      </c>
      <c r="M72" s="31">
        <v>2021</v>
      </c>
      <c r="N72" s="31">
        <v>0</v>
      </c>
      <c r="O72" s="31">
        <v>219.03</v>
      </c>
      <c r="P72" s="31"/>
    </row>
    <row r="73" spans="1:16" ht="11.25" customHeight="1" x14ac:dyDescent="0.25">
      <c r="A73" s="31">
        <v>72</v>
      </c>
      <c r="B73" s="31" t="s">
        <v>744</v>
      </c>
      <c r="C73" s="31" t="s">
        <v>22</v>
      </c>
      <c r="D73" s="31" t="s">
        <v>77</v>
      </c>
      <c r="E73" s="31" t="s">
        <v>24</v>
      </c>
      <c r="F73" s="31" t="s">
        <v>24</v>
      </c>
      <c r="G73" s="31" t="s">
        <v>25</v>
      </c>
      <c r="H73" s="31" t="s">
        <v>25</v>
      </c>
      <c r="I73" s="31" t="s">
        <v>35</v>
      </c>
      <c r="J73" s="31" t="s">
        <v>859</v>
      </c>
      <c r="K73" s="31" t="s">
        <v>860</v>
      </c>
      <c r="L73" s="31" t="s">
        <v>78</v>
      </c>
      <c r="M73" s="31">
        <v>2021</v>
      </c>
      <c r="N73" s="31">
        <v>0</v>
      </c>
      <c r="O73" s="31">
        <v>219.03</v>
      </c>
      <c r="P73" s="31"/>
    </row>
    <row r="74" spans="1:16" ht="11.25" customHeight="1" x14ac:dyDescent="0.25">
      <c r="A74" s="31">
        <v>73</v>
      </c>
      <c r="B74" s="31" t="s">
        <v>744</v>
      </c>
      <c r="C74" s="31" t="s">
        <v>22</v>
      </c>
      <c r="D74" s="31" t="s">
        <v>86</v>
      </c>
      <c r="E74" s="31" t="s">
        <v>24</v>
      </c>
      <c r="F74" s="31" t="s">
        <v>24</v>
      </c>
      <c r="G74" s="31" t="s">
        <v>25</v>
      </c>
      <c r="H74" s="31" t="s">
        <v>25</v>
      </c>
      <c r="I74" s="31" t="s">
        <v>25</v>
      </c>
      <c r="J74" s="31" t="s">
        <v>859</v>
      </c>
      <c r="K74" s="31" t="s">
        <v>860</v>
      </c>
      <c r="L74" s="31" t="s">
        <v>78</v>
      </c>
      <c r="M74" s="31">
        <v>2021</v>
      </c>
      <c r="N74" s="31">
        <v>0</v>
      </c>
      <c r="O74" s="31">
        <v>231.33</v>
      </c>
      <c r="P74" s="31"/>
    </row>
    <row r="75" spans="1:16" ht="11.25" customHeight="1" x14ac:dyDescent="0.25">
      <c r="A75" s="31">
        <v>74</v>
      </c>
      <c r="B75" s="31" t="s">
        <v>744</v>
      </c>
      <c r="C75" s="31" t="s">
        <v>22</v>
      </c>
      <c r="D75" s="31" t="s">
        <v>86</v>
      </c>
      <c r="E75" s="31" t="s">
        <v>24</v>
      </c>
      <c r="F75" s="31" t="s">
        <v>29</v>
      </c>
      <c r="G75" s="31" t="s">
        <v>25</v>
      </c>
      <c r="H75" s="31" t="s">
        <v>25</v>
      </c>
      <c r="I75" s="31" t="s">
        <v>25</v>
      </c>
      <c r="J75" s="31" t="s">
        <v>859</v>
      </c>
      <c r="K75" s="31" t="s">
        <v>860</v>
      </c>
      <c r="L75" s="31" t="s">
        <v>78</v>
      </c>
      <c r="M75" s="31">
        <v>2021</v>
      </c>
      <c r="N75" s="31">
        <v>0</v>
      </c>
      <c r="O75" s="31">
        <v>80.959999999999994</v>
      </c>
      <c r="P75" s="31"/>
    </row>
    <row r="76" spans="1:16" ht="11.25" customHeight="1" x14ac:dyDescent="0.25">
      <c r="A76" s="31">
        <v>75</v>
      </c>
      <c r="B76" s="31" t="s">
        <v>744</v>
      </c>
      <c r="C76" s="31" t="s">
        <v>22</v>
      </c>
      <c r="D76" s="31" t="s">
        <v>86</v>
      </c>
      <c r="E76" s="31" t="s">
        <v>24</v>
      </c>
      <c r="F76" s="31" t="s">
        <v>30</v>
      </c>
      <c r="G76" s="31" t="s">
        <v>25</v>
      </c>
      <c r="H76" s="31" t="s">
        <v>25</v>
      </c>
      <c r="I76" s="31" t="s">
        <v>25</v>
      </c>
      <c r="J76" s="31" t="s">
        <v>859</v>
      </c>
      <c r="K76" s="31" t="s">
        <v>860</v>
      </c>
      <c r="L76" s="31" t="s">
        <v>78</v>
      </c>
      <c r="M76" s="31">
        <v>2021</v>
      </c>
      <c r="N76" s="31">
        <v>0</v>
      </c>
      <c r="O76" s="31">
        <v>138.80000000000001</v>
      </c>
      <c r="P76" s="31"/>
    </row>
    <row r="77" spans="1:16" ht="11.25" customHeight="1" x14ac:dyDescent="0.25">
      <c r="A77" s="31">
        <v>76</v>
      </c>
      <c r="B77" s="31" t="s">
        <v>744</v>
      </c>
      <c r="C77" s="31" t="s">
        <v>22</v>
      </c>
      <c r="D77" s="31" t="s">
        <v>86</v>
      </c>
      <c r="E77" s="31" t="s">
        <v>24</v>
      </c>
      <c r="F77" s="31" t="s">
        <v>31</v>
      </c>
      <c r="G77" s="31" t="s">
        <v>25</v>
      </c>
      <c r="H77" s="31" t="s">
        <v>25</v>
      </c>
      <c r="I77" s="31" t="s">
        <v>25</v>
      </c>
      <c r="J77" s="31" t="s">
        <v>859</v>
      </c>
      <c r="K77" s="31" t="s">
        <v>860</v>
      </c>
      <c r="L77" s="31" t="s">
        <v>78</v>
      </c>
      <c r="M77" s="31">
        <v>2021</v>
      </c>
      <c r="N77" s="31">
        <v>0</v>
      </c>
      <c r="O77" s="31">
        <v>208.2</v>
      </c>
      <c r="P77" s="31"/>
    </row>
    <row r="78" spans="1:16" ht="11.25" customHeight="1" x14ac:dyDescent="0.25">
      <c r="A78" s="31">
        <v>77</v>
      </c>
      <c r="B78" s="31" t="s">
        <v>744</v>
      </c>
      <c r="C78" s="31" t="s">
        <v>22</v>
      </c>
      <c r="D78" s="31" t="s">
        <v>86</v>
      </c>
      <c r="E78" s="31" t="s">
        <v>24</v>
      </c>
      <c r="F78" s="31" t="s">
        <v>32</v>
      </c>
      <c r="G78" s="31" t="s">
        <v>25</v>
      </c>
      <c r="H78" s="31" t="s">
        <v>25</v>
      </c>
      <c r="I78" s="31" t="s">
        <v>25</v>
      </c>
      <c r="J78" s="31" t="s">
        <v>859</v>
      </c>
      <c r="K78" s="31" t="s">
        <v>860</v>
      </c>
      <c r="L78" s="31" t="s">
        <v>78</v>
      </c>
      <c r="M78" s="31">
        <v>2021</v>
      </c>
      <c r="N78" s="31">
        <v>0</v>
      </c>
      <c r="O78" s="31">
        <v>231.33</v>
      </c>
      <c r="P78" s="31"/>
    </row>
    <row r="79" spans="1:16" ht="11.25" customHeight="1" x14ac:dyDescent="0.25">
      <c r="A79" s="31">
        <v>78</v>
      </c>
      <c r="B79" s="31" t="s">
        <v>716</v>
      </c>
      <c r="C79" s="31" t="s">
        <v>56</v>
      </c>
      <c r="D79" s="31" t="s">
        <v>59</v>
      </c>
      <c r="E79" s="31" t="s">
        <v>25</v>
      </c>
      <c r="F79" s="31" t="s">
        <v>25</v>
      </c>
      <c r="G79" s="31" t="s">
        <v>25</v>
      </c>
      <c r="H79" s="31" t="s">
        <v>60</v>
      </c>
      <c r="I79" s="31" t="s">
        <v>35</v>
      </c>
      <c r="J79" s="31" t="s">
        <v>861</v>
      </c>
      <c r="K79" s="31" t="s">
        <v>860</v>
      </c>
      <c r="L79" s="31" t="s">
        <v>81</v>
      </c>
      <c r="M79" s="31">
        <v>2021</v>
      </c>
      <c r="N79" s="31">
        <v>0</v>
      </c>
      <c r="O79" s="31">
        <v>6.72</v>
      </c>
      <c r="P79" s="31">
        <v>0</v>
      </c>
    </row>
    <row r="80" spans="1:16" ht="11.25" customHeight="1" x14ac:dyDescent="0.25">
      <c r="A80" s="31">
        <v>79</v>
      </c>
      <c r="B80" s="31" t="s">
        <v>744</v>
      </c>
      <c r="C80" s="31" t="s">
        <v>37</v>
      </c>
      <c r="D80" s="31" t="s">
        <v>92</v>
      </c>
      <c r="E80" s="31" t="s">
        <v>25</v>
      </c>
      <c r="F80" s="31" t="s">
        <v>25</v>
      </c>
      <c r="G80" s="31" t="s">
        <v>25</v>
      </c>
      <c r="H80" s="31" t="s">
        <v>25</v>
      </c>
      <c r="I80" s="31" t="s">
        <v>25</v>
      </c>
      <c r="J80" s="31" t="s">
        <v>859</v>
      </c>
      <c r="K80" s="31" t="s">
        <v>860</v>
      </c>
      <c r="L80" s="31" t="s">
        <v>78</v>
      </c>
      <c r="M80" s="31">
        <v>2021</v>
      </c>
      <c r="N80" s="31">
        <v>0</v>
      </c>
      <c r="O80" s="31">
        <v>231.33</v>
      </c>
      <c r="P80" s="31"/>
    </row>
    <row r="81" spans="1:16" ht="11.25" customHeight="1" x14ac:dyDescent="0.25">
      <c r="A81" s="31">
        <v>80</v>
      </c>
      <c r="B81" s="31" t="s">
        <v>744</v>
      </c>
      <c r="C81" s="31" t="s">
        <v>46</v>
      </c>
      <c r="D81" s="31" t="s">
        <v>86</v>
      </c>
      <c r="E81" s="31" t="s">
        <v>47</v>
      </c>
      <c r="F81" s="31" t="s">
        <v>48</v>
      </c>
      <c r="G81" s="31" t="s">
        <v>25</v>
      </c>
      <c r="H81" s="31" t="s">
        <v>25</v>
      </c>
      <c r="I81" s="31" t="s">
        <v>25</v>
      </c>
      <c r="J81" s="31" t="s">
        <v>859</v>
      </c>
      <c r="K81" s="31" t="s">
        <v>860</v>
      </c>
      <c r="L81" s="31" t="s">
        <v>78</v>
      </c>
      <c r="M81" s="31">
        <v>2021</v>
      </c>
      <c r="N81" s="31">
        <v>0</v>
      </c>
      <c r="O81" s="31">
        <v>127.23</v>
      </c>
      <c r="P81" s="31"/>
    </row>
    <row r="82" spans="1:16" ht="11.25" customHeight="1" x14ac:dyDescent="0.25">
      <c r="A82" s="31">
        <v>81</v>
      </c>
      <c r="B82" s="31" t="s">
        <v>744</v>
      </c>
      <c r="C82" s="31" t="s">
        <v>46</v>
      </c>
      <c r="D82" s="31" t="s">
        <v>86</v>
      </c>
      <c r="E82" s="31" t="s">
        <v>47</v>
      </c>
      <c r="F82" s="31" t="s">
        <v>96</v>
      </c>
      <c r="G82" s="31" t="s">
        <v>25</v>
      </c>
      <c r="H82" s="31" t="s">
        <v>25</v>
      </c>
      <c r="I82" s="31" t="s">
        <v>25</v>
      </c>
      <c r="J82" s="31" t="s">
        <v>859</v>
      </c>
      <c r="K82" s="31" t="s">
        <v>860</v>
      </c>
      <c r="L82" s="31" t="s">
        <v>78</v>
      </c>
      <c r="M82" s="31">
        <v>2021</v>
      </c>
      <c r="N82" s="31">
        <v>0</v>
      </c>
      <c r="O82" s="31">
        <v>138.80000000000001</v>
      </c>
      <c r="P82" s="31"/>
    </row>
    <row r="83" spans="1:16" ht="11.25" customHeight="1" x14ac:dyDescent="0.25">
      <c r="A83" s="31">
        <v>82</v>
      </c>
      <c r="B83" s="31" t="s">
        <v>744</v>
      </c>
      <c r="C83" s="31" t="s">
        <v>43</v>
      </c>
      <c r="D83" s="31" t="s">
        <v>92</v>
      </c>
      <c r="E83" s="31" t="s">
        <v>44</v>
      </c>
      <c r="F83" s="31" t="s">
        <v>94</v>
      </c>
      <c r="G83" s="31" t="s">
        <v>25</v>
      </c>
      <c r="H83" s="31" t="s">
        <v>25</v>
      </c>
      <c r="I83" s="31" t="s">
        <v>25</v>
      </c>
      <c r="J83" s="31" t="s">
        <v>859</v>
      </c>
      <c r="K83" s="31" t="s">
        <v>860</v>
      </c>
      <c r="L83" s="31" t="s">
        <v>78</v>
      </c>
      <c r="M83" s="31">
        <v>2021</v>
      </c>
      <c r="N83" s="31">
        <v>0</v>
      </c>
      <c r="O83" s="31">
        <v>203.57</v>
      </c>
      <c r="P83" s="31"/>
    </row>
    <row r="84" spans="1:16" ht="11.25" customHeight="1" x14ac:dyDescent="0.25">
      <c r="A84" s="31">
        <v>83</v>
      </c>
      <c r="B84" s="31" t="s">
        <v>744</v>
      </c>
      <c r="C84" s="31" t="s">
        <v>43</v>
      </c>
      <c r="D84" s="31" t="s">
        <v>92</v>
      </c>
      <c r="E84" s="31" t="s">
        <v>44</v>
      </c>
      <c r="F84" s="31" t="s">
        <v>95</v>
      </c>
      <c r="G84" s="31" t="s">
        <v>25</v>
      </c>
      <c r="H84" s="31" t="s">
        <v>25</v>
      </c>
      <c r="I84" s="31" t="s">
        <v>25</v>
      </c>
      <c r="J84" s="31" t="s">
        <v>859</v>
      </c>
      <c r="K84" s="31" t="s">
        <v>860</v>
      </c>
      <c r="L84" s="31" t="s">
        <v>78</v>
      </c>
      <c r="M84" s="31">
        <v>2021</v>
      </c>
      <c r="N84" s="31">
        <v>0</v>
      </c>
      <c r="O84" s="31">
        <v>194.32</v>
      </c>
      <c r="P84" s="31"/>
    </row>
    <row r="85" spans="1:16" ht="11.25" customHeight="1" x14ac:dyDescent="0.25">
      <c r="A85" s="31">
        <v>84</v>
      </c>
      <c r="B85" s="31" t="s">
        <v>744</v>
      </c>
      <c r="C85" s="31" t="s">
        <v>37</v>
      </c>
      <c r="D85" s="31" t="s">
        <v>77</v>
      </c>
      <c r="E85" s="31" t="s">
        <v>25</v>
      </c>
      <c r="F85" s="31" t="s">
        <v>25</v>
      </c>
      <c r="G85" s="31" t="s">
        <v>25</v>
      </c>
      <c r="H85" s="31" t="s">
        <v>25</v>
      </c>
      <c r="I85" s="31" t="s">
        <v>34</v>
      </c>
      <c r="J85" s="31" t="s">
        <v>859</v>
      </c>
      <c r="K85" s="31" t="s">
        <v>860</v>
      </c>
      <c r="L85" s="31" t="s">
        <v>78</v>
      </c>
      <c r="M85" s="31">
        <v>2021</v>
      </c>
      <c r="N85" s="31">
        <v>0</v>
      </c>
      <c r="O85" s="31">
        <v>366.6</v>
      </c>
      <c r="P85" s="31"/>
    </row>
    <row r="86" spans="1:16" ht="11.25" customHeight="1" x14ac:dyDescent="0.25">
      <c r="A86" s="31">
        <v>85</v>
      </c>
      <c r="B86" s="31" t="s">
        <v>744</v>
      </c>
      <c r="C86" s="31" t="s">
        <v>43</v>
      </c>
      <c r="D86" s="31" t="s">
        <v>77</v>
      </c>
      <c r="E86" s="31" t="s">
        <v>44</v>
      </c>
      <c r="F86" s="31" t="s">
        <v>95</v>
      </c>
      <c r="G86" s="31" t="s">
        <v>25</v>
      </c>
      <c r="H86" s="31" t="s">
        <v>25</v>
      </c>
      <c r="I86" s="31" t="s">
        <v>35</v>
      </c>
      <c r="J86" s="31" t="s">
        <v>859</v>
      </c>
      <c r="K86" s="31" t="s">
        <v>860</v>
      </c>
      <c r="L86" s="31" t="s">
        <v>78</v>
      </c>
      <c r="M86" s="31">
        <v>2021</v>
      </c>
      <c r="N86" s="31">
        <v>0</v>
      </c>
      <c r="O86" s="31">
        <v>183.99</v>
      </c>
      <c r="P86" s="31"/>
    </row>
    <row r="87" spans="1:16" ht="11.25" customHeight="1" x14ac:dyDescent="0.25">
      <c r="A87" s="31">
        <v>86</v>
      </c>
      <c r="B87" s="31" t="s">
        <v>744</v>
      </c>
      <c r="C87" s="31" t="s">
        <v>43</v>
      </c>
      <c r="D87" s="31" t="s">
        <v>86</v>
      </c>
      <c r="E87" s="31" t="s">
        <v>44</v>
      </c>
      <c r="F87" s="31" t="s">
        <v>95</v>
      </c>
      <c r="G87" s="31" t="s">
        <v>25</v>
      </c>
      <c r="H87" s="31" t="s">
        <v>25</v>
      </c>
      <c r="I87" s="31" t="s">
        <v>25</v>
      </c>
      <c r="J87" s="31" t="s">
        <v>859</v>
      </c>
      <c r="K87" s="31" t="s">
        <v>860</v>
      </c>
      <c r="L87" s="31" t="s">
        <v>78</v>
      </c>
      <c r="M87" s="31">
        <v>2021</v>
      </c>
      <c r="N87" s="31">
        <v>0</v>
      </c>
      <c r="O87" s="31">
        <v>194.32</v>
      </c>
      <c r="P87" s="31"/>
    </row>
    <row r="88" spans="1:16" ht="11.25" customHeight="1" x14ac:dyDescent="0.25">
      <c r="A88" s="31">
        <v>87</v>
      </c>
      <c r="B88" s="31" t="s">
        <v>744</v>
      </c>
      <c r="C88" s="31" t="s">
        <v>43</v>
      </c>
      <c r="D88" s="31" t="s">
        <v>92</v>
      </c>
      <c r="E88" s="31" t="s">
        <v>44</v>
      </c>
      <c r="F88" s="31" t="s">
        <v>25</v>
      </c>
      <c r="G88" s="31" t="s">
        <v>25</v>
      </c>
      <c r="H88" s="31" t="s">
        <v>25</v>
      </c>
      <c r="I88" s="31" t="s">
        <v>25</v>
      </c>
      <c r="J88" s="31" t="s">
        <v>859</v>
      </c>
      <c r="K88" s="31" t="s">
        <v>860</v>
      </c>
      <c r="L88" s="31" t="s">
        <v>78</v>
      </c>
      <c r="M88" s="31">
        <v>2021</v>
      </c>
      <c r="N88" s="31">
        <v>0</v>
      </c>
      <c r="O88" s="31">
        <v>203.57</v>
      </c>
      <c r="P88" s="31"/>
    </row>
    <row r="89" spans="1:16" ht="11.25" customHeight="1" x14ac:dyDescent="0.25">
      <c r="A89" s="31">
        <v>88</v>
      </c>
      <c r="B89" s="31" t="s">
        <v>744</v>
      </c>
      <c r="C89" s="31" t="s">
        <v>43</v>
      </c>
      <c r="D89" s="31" t="s">
        <v>86</v>
      </c>
      <c r="E89" s="31" t="s">
        <v>44</v>
      </c>
      <c r="F89" s="31" t="s">
        <v>94</v>
      </c>
      <c r="G89" s="31" t="s">
        <v>25</v>
      </c>
      <c r="H89" s="31" t="s">
        <v>25</v>
      </c>
      <c r="I89" s="31" t="s">
        <v>25</v>
      </c>
      <c r="J89" s="31" t="s">
        <v>859</v>
      </c>
      <c r="K89" s="31" t="s">
        <v>860</v>
      </c>
      <c r="L89" s="31" t="s">
        <v>78</v>
      </c>
      <c r="M89" s="31">
        <v>2021</v>
      </c>
      <c r="N89" s="31">
        <v>0</v>
      </c>
      <c r="O89" s="31">
        <v>203.57</v>
      </c>
      <c r="P89" s="31"/>
    </row>
    <row r="90" spans="1:16" ht="11.25" customHeight="1" x14ac:dyDescent="0.25">
      <c r="A90" s="31">
        <v>89</v>
      </c>
      <c r="B90" s="31" t="s">
        <v>744</v>
      </c>
      <c r="C90" s="31" t="s">
        <v>43</v>
      </c>
      <c r="D90" s="31" t="s">
        <v>77</v>
      </c>
      <c r="E90" s="31" t="s">
        <v>44</v>
      </c>
      <c r="F90" s="31" t="s">
        <v>95</v>
      </c>
      <c r="G90" s="31" t="s">
        <v>25</v>
      </c>
      <c r="H90" s="31" t="s">
        <v>25</v>
      </c>
      <c r="I90" s="31" t="s">
        <v>34</v>
      </c>
      <c r="J90" s="31" t="s">
        <v>859</v>
      </c>
      <c r="K90" s="31" t="s">
        <v>860</v>
      </c>
      <c r="L90" s="31" t="s">
        <v>78</v>
      </c>
      <c r="M90" s="31">
        <v>2021</v>
      </c>
      <c r="N90" s="31">
        <v>0</v>
      </c>
      <c r="O90" s="31">
        <v>307.94</v>
      </c>
      <c r="P90" s="31"/>
    </row>
    <row r="91" spans="1:16" ht="11.25" customHeight="1" x14ac:dyDescent="0.25">
      <c r="A91" s="31">
        <v>90</v>
      </c>
      <c r="B91" s="31" t="s">
        <v>744</v>
      </c>
      <c r="C91" s="31" t="s">
        <v>43</v>
      </c>
      <c r="D91" s="31" t="s">
        <v>77</v>
      </c>
      <c r="E91" s="31" t="s">
        <v>44</v>
      </c>
      <c r="F91" s="31" t="s">
        <v>95</v>
      </c>
      <c r="G91" s="31" t="s">
        <v>25</v>
      </c>
      <c r="H91" s="31" t="s">
        <v>25</v>
      </c>
      <c r="I91" s="31" t="s">
        <v>36</v>
      </c>
      <c r="J91" s="31" t="s">
        <v>859</v>
      </c>
      <c r="K91" s="31" t="s">
        <v>860</v>
      </c>
      <c r="L91" s="31" t="s">
        <v>78</v>
      </c>
      <c r="M91" s="31">
        <v>2021</v>
      </c>
      <c r="N91" s="31">
        <v>0</v>
      </c>
      <c r="O91" s="31">
        <v>183.99</v>
      </c>
      <c r="P91" s="31"/>
    </row>
    <row r="92" spans="1:16" ht="11.25" customHeight="1" x14ac:dyDescent="0.25">
      <c r="A92" s="31">
        <v>91</v>
      </c>
      <c r="B92" s="31" t="s">
        <v>744</v>
      </c>
      <c r="C92" s="31" t="s">
        <v>43</v>
      </c>
      <c r="D92" s="31" t="s">
        <v>77</v>
      </c>
      <c r="E92" s="31" t="s">
        <v>44</v>
      </c>
      <c r="F92" s="31" t="s">
        <v>94</v>
      </c>
      <c r="G92" s="31" t="s">
        <v>25</v>
      </c>
      <c r="H92" s="31" t="s">
        <v>25</v>
      </c>
      <c r="I92" s="31" t="s">
        <v>34</v>
      </c>
      <c r="J92" s="31" t="s">
        <v>859</v>
      </c>
      <c r="K92" s="31" t="s">
        <v>860</v>
      </c>
      <c r="L92" s="31" t="s">
        <v>78</v>
      </c>
      <c r="M92" s="31">
        <v>2021</v>
      </c>
      <c r="N92" s="31">
        <v>0</v>
      </c>
      <c r="O92" s="31">
        <v>322.61</v>
      </c>
      <c r="P92" s="31"/>
    </row>
    <row r="93" spans="1:16" ht="11.25" customHeight="1" x14ac:dyDescent="0.25">
      <c r="A93" s="31">
        <v>92</v>
      </c>
      <c r="B93" s="31" t="s">
        <v>744</v>
      </c>
      <c r="C93" s="31" t="s">
        <v>43</v>
      </c>
      <c r="D93" s="31" t="s">
        <v>77</v>
      </c>
      <c r="E93" s="31" t="s">
        <v>44</v>
      </c>
      <c r="F93" s="31" t="s">
        <v>94</v>
      </c>
      <c r="G93" s="31" t="s">
        <v>25</v>
      </c>
      <c r="H93" s="31" t="s">
        <v>25</v>
      </c>
      <c r="I93" s="31" t="s">
        <v>36</v>
      </c>
      <c r="J93" s="31" t="s">
        <v>859</v>
      </c>
      <c r="K93" s="31" t="s">
        <v>860</v>
      </c>
      <c r="L93" s="31" t="s">
        <v>78</v>
      </c>
      <c r="M93" s="31">
        <v>2021</v>
      </c>
      <c r="N93" s="31">
        <v>0</v>
      </c>
      <c r="O93" s="31">
        <v>192.75</v>
      </c>
      <c r="P93" s="31"/>
    </row>
    <row r="94" spans="1:16" ht="11.25" customHeight="1" x14ac:dyDescent="0.25">
      <c r="A94" s="31">
        <v>93</v>
      </c>
      <c r="B94" s="31" t="s">
        <v>744</v>
      </c>
      <c r="C94" s="31" t="s">
        <v>43</v>
      </c>
      <c r="D94" s="31" t="s">
        <v>77</v>
      </c>
      <c r="E94" s="31" t="s">
        <v>44</v>
      </c>
      <c r="F94" s="31" t="s">
        <v>94</v>
      </c>
      <c r="G94" s="31" t="s">
        <v>25</v>
      </c>
      <c r="H94" s="31" t="s">
        <v>25</v>
      </c>
      <c r="I94" s="31" t="s">
        <v>35</v>
      </c>
      <c r="J94" s="31" t="s">
        <v>859</v>
      </c>
      <c r="K94" s="31" t="s">
        <v>860</v>
      </c>
      <c r="L94" s="31" t="s">
        <v>78</v>
      </c>
      <c r="M94" s="31">
        <v>2021</v>
      </c>
      <c r="N94" s="31">
        <v>0</v>
      </c>
      <c r="O94" s="31">
        <v>192.75</v>
      </c>
      <c r="P94" s="31"/>
    </row>
    <row r="95" spans="1:16" ht="11.25" customHeight="1" x14ac:dyDescent="0.25">
      <c r="A95" s="31">
        <v>94</v>
      </c>
      <c r="B95" s="31" t="s">
        <v>744</v>
      </c>
      <c r="C95" s="31" t="s">
        <v>22</v>
      </c>
      <c r="D95" s="31" t="s">
        <v>92</v>
      </c>
      <c r="E95" s="31" t="s">
        <v>24</v>
      </c>
      <c r="F95" s="31" t="s">
        <v>31</v>
      </c>
      <c r="G95" s="31" t="s">
        <v>25</v>
      </c>
      <c r="H95" s="31" t="s">
        <v>25</v>
      </c>
      <c r="I95" s="31" t="s">
        <v>25</v>
      </c>
      <c r="J95" s="31" t="s">
        <v>859</v>
      </c>
      <c r="K95" s="31" t="s">
        <v>860</v>
      </c>
      <c r="L95" s="31" t="s">
        <v>78</v>
      </c>
      <c r="M95" s="31">
        <v>2021</v>
      </c>
      <c r="N95" s="31">
        <v>0</v>
      </c>
      <c r="O95" s="31">
        <v>208.2</v>
      </c>
      <c r="P95" s="31"/>
    </row>
    <row r="96" spans="1:16" ht="11.25" customHeight="1" x14ac:dyDescent="0.25">
      <c r="A96" s="31">
        <v>95</v>
      </c>
      <c r="B96" s="31" t="s">
        <v>744</v>
      </c>
      <c r="C96" s="31" t="s">
        <v>22</v>
      </c>
      <c r="D96" s="31" t="s">
        <v>92</v>
      </c>
      <c r="E96" s="31" t="s">
        <v>24</v>
      </c>
      <c r="F96" s="31" t="s">
        <v>32</v>
      </c>
      <c r="G96" s="31" t="s">
        <v>25</v>
      </c>
      <c r="H96" s="31" t="s">
        <v>25</v>
      </c>
      <c r="I96" s="31" t="s">
        <v>25</v>
      </c>
      <c r="J96" s="31" t="s">
        <v>859</v>
      </c>
      <c r="K96" s="31" t="s">
        <v>860</v>
      </c>
      <c r="L96" s="31" t="s">
        <v>78</v>
      </c>
      <c r="M96" s="31">
        <v>2021</v>
      </c>
      <c r="N96" s="31">
        <v>0</v>
      </c>
      <c r="O96" s="31">
        <v>231.33</v>
      </c>
      <c r="P96" s="31"/>
    </row>
    <row r="97" spans="1:16" ht="11.25" customHeight="1" x14ac:dyDescent="0.25">
      <c r="A97" s="31">
        <v>96</v>
      </c>
      <c r="B97" s="31" t="s">
        <v>744</v>
      </c>
      <c r="C97" s="31" t="s">
        <v>43</v>
      </c>
      <c r="D97" s="31" t="s">
        <v>77</v>
      </c>
      <c r="E97" s="31" t="s">
        <v>44</v>
      </c>
      <c r="F97" s="31" t="s">
        <v>25</v>
      </c>
      <c r="G97" s="31" t="s">
        <v>25</v>
      </c>
      <c r="H97" s="31" t="s">
        <v>25</v>
      </c>
      <c r="I97" s="31" t="s">
        <v>34</v>
      </c>
      <c r="J97" s="31" t="s">
        <v>859</v>
      </c>
      <c r="K97" s="31" t="s">
        <v>860</v>
      </c>
      <c r="L97" s="31" t="s">
        <v>78</v>
      </c>
      <c r="M97" s="31">
        <v>2021</v>
      </c>
      <c r="N97" s="31">
        <v>0</v>
      </c>
      <c r="O97" s="31">
        <v>322.61</v>
      </c>
      <c r="P97" s="31"/>
    </row>
    <row r="98" spans="1:16" ht="11.25" customHeight="1" x14ac:dyDescent="0.25">
      <c r="A98" s="31">
        <v>97</v>
      </c>
      <c r="B98" s="31" t="s">
        <v>744</v>
      </c>
      <c r="C98" s="31" t="s">
        <v>43</v>
      </c>
      <c r="D98" s="31" t="s">
        <v>77</v>
      </c>
      <c r="E98" s="31" t="s">
        <v>44</v>
      </c>
      <c r="F98" s="31" t="s">
        <v>25</v>
      </c>
      <c r="G98" s="31" t="s">
        <v>25</v>
      </c>
      <c r="H98" s="31" t="s">
        <v>25</v>
      </c>
      <c r="I98" s="31" t="s">
        <v>36</v>
      </c>
      <c r="J98" s="31" t="s">
        <v>859</v>
      </c>
      <c r="K98" s="31" t="s">
        <v>860</v>
      </c>
      <c r="L98" s="31" t="s">
        <v>78</v>
      </c>
      <c r="M98" s="31">
        <v>2021</v>
      </c>
      <c r="N98" s="31">
        <v>0</v>
      </c>
      <c r="O98" s="31">
        <v>192.75</v>
      </c>
      <c r="P98" s="31"/>
    </row>
    <row r="99" spans="1:16" ht="11.25" customHeight="1" x14ac:dyDescent="0.25">
      <c r="A99" s="31">
        <v>98</v>
      </c>
      <c r="B99" s="31" t="s">
        <v>744</v>
      </c>
      <c r="C99" s="31" t="s">
        <v>43</v>
      </c>
      <c r="D99" s="31" t="s">
        <v>77</v>
      </c>
      <c r="E99" s="31" t="s">
        <v>44</v>
      </c>
      <c r="F99" s="31" t="s">
        <v>25</v>
      </c>
      <c r="G99" s="31" t="s">
        <v>25</v>
      </c>
      <c r="H99" s="31" t="s">
        <v>25</v>
      </c>
      <c r="I99" s="31" t="s">
        <v>35</v>
      </c>
      <c r="J99" s="31" t="s">
        <v>859</v>
      </c>
      <c r="K99" s="31" t="s">
        <v>860</v>
      </c>
      <c r="L99" s="31" t="s">
        <v>78</v>
      </c>
      <c r="M99" s="31">
        <v>2021</v>
      </c>
      <c r="N99" s="31">
        <v>0</v>
      </c>
      <c r="O99" s="31">
        <v>192.75</v>
      </c>
      <c r="P99" s="31"/>
    </row>
    <row r="100" spans="1:16" ht="11.25" customHeight="1" x14ac:dyDescent="0.25">
      <c r="A100" s="31">
        <v>99</v>
      </c>
      <c r="B100" s="31" t="s">
        <v>744</v>
      </c>
      <c r="C100" s="31" t="s">
        <v>43</v>
      </c>
      <c r="D100" s="31" t="s">
        <v>86</v>
      </c>
      <c r="E100" s="31" t="s">
        <v>44</v>
      </c>
      <c r="F100" s="31" t="s">
        <v>25</v>
      </c>
      <c r="G100" s="31" t="s">
        <v>25</v>
      </c>
      <c r="H100" s="31" t="s">
        <v>25</v>
      </c>
      <c r="I100" s="31" t="s">
        <v>25</v>
      </c>
      <c r="J100" s="31" t="s">
        <v>859</v>
      </c>
      <c r="K100" s="31" t="s">
        <v>860</v>
      </c>
      <c r="L100" s="31" t="s">
        <v>78</v>
      </c>
      <c r="M100" s="31">
        <v>2021</v>
      </c>
      <c r="N100" s="31">
        <v>0</v>
      </c>
      <c r="O100" s="31">
        <v>203.57</v>
      </c>
      <c r="P100" s="3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3AF41-92E9-4836-8F5A-927E798BDAA8}">
  <dimension ref="A1:AD59"/>
  <sheetViews>
    <sheetView showGridLines="0" workbookViewId="0"/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44228</v>
      </c>
      <c r="J1" s="11">
        <v>44256</v>
      </c>
      <c r="K1" s="11">
        <v>44287</v>
      </c>
      <c r="L1" s="11">
        <v>44317</v>
      </c>
      <c r="M1" s="11">
        <v>44348</v>
      </c>
      <c r="N1" s="11">
        <v>44378</v>
      </c>
      <c r="O1" s="11">
        <v>44409</v>
      </c>
      <c r="P1" s="11">
        <v>44440</v>
      </c>
      <c r="Q1" s="11">
        <v>44470</v>
      </c>
      <c r="R1" s="11">
        <v>44501</v>
      </c>
      <c r="S1" s="11">
        <v>44531</v>
      </c>
      <c r="T1" s="11">
        <v>44562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1" t="s">
        <v>56</v>
      </c>
      <c r="B2" s="91" t="s">
        <v>40</v>
      </c>
      <c r="C2" s="91" t="s">
        <v>25</v>
      </c>
      <c r="D2" s="91" t="s">
        <v>25</v>
      </c>
      <c r="E2" s="91" t="s">
        <v>25</v>
      </c>
      <c r="F2" s="91" t="s">
        <v>25</v>
      </c>
      <c r="G2" s="12" t="s">
        <v>82</v>
      </c>
      <c r="H2" s="12" t="s">
        <v>81</v>
      </c>
      <c r="I2" s="12">
        <f>SUMIF(Mercado_Receita!$S$2:$S$1214,"44228A3AzulNão se aplicaNão se aplicaNão se aplicaNão se aplicaPonta",Mercado_Receita!$J$2:$J$1214)+SUMIF(Mercado_Receita!$S$2:$S$1214,"44228A3AzulNão se aplicaNão se aplicaAPENão se aplicaPonta",Mercado_Receita!$J$2:$J$1214)+SUMIF(Mercado_Receita!$S$2:$S$1214,"44228A3ConvencionalNão se aplicaNão se aplicaNão se aplicaNão se aplicaNão se aplica",Mercado_Receita!$J$2:$J$1214)*0.72</f>
        <v>9835</v>
      </c>
      <c r="J2" s="12">
        <f>SUMIF(Mercado_Receita!$S$2:$S$1214,"44256A3AzulNão se aplicaNão se aplicaNão se aplicaNão se aplicaPonta",Mercado_Receita!$J$2:$J$1214)+SUMIF(Mercado_Receita!$S$2:$S$1214,"44256A3AzulNão se aplicaNão se aplicaAPENão se aplicaPonta",Mercado_Receita!$J$2:$J$1214)+SUMIF(Mercado_Receita!$S$2:$S$1214,"44256A3ConvencionalNão se aplicaNão se aplicaNão se aplicaNão se aplicaNão se aplica",Mercado_Receita!$J$2:$J$1214)*0.72</f>
        <v>9888</v>
      </c>
      <c r="K2" s="12">
        <f>SUMIF(Mercado_Receita!$S$2:$S$1214,"44287A3AzulNão se aplicaNão se aplicaNão se aplicaNão se aplicaPonta",Mercado_Receita!$J$2:$J$1214)+SUMIF(Mercado_Receita!$S$2:$S$1214,"44287A3AzulNão se aplicaNão se aplicaAPENão se aplicaPonta",Mercado_Receita!$J$2:$J$1214)+SUMIF(Mercado_Receita!$S$2:$S$1214,"44287A3ConvencionalNão se aplicaNão se aplicaNão se aplicaNão se aplicaNão se aplica",Mercado_Receita!$J$2:$J$1214)*0.72</f>
        <v>9849</v>
      </c>
      <c r="L2" s="12">
        <f>SUMIF(Mercado_Receita!$S$2:$S$1214,"44317A3AzulNão se aplicaNão se aplicaNão se aplicaNão se aplicaPonta",Mercado_Receita!$J$2:$J$1214)+SUMIF(Mercado_Receita!$S$2:$S$1214,"44317A3AzulNão se aplicaNão se aplicaAPENão se aplicaPonta",Mercado_Receita!$J$2:$J$1214)+SUMIF(Mercado_Receita!$S$2:$S$1214,"44317A3ConvencionalNão se aplicaNão se aplicaNão se aplicaNão se aplicaNão se aplica",Mercado_Receita!$J$2:$J$1214)*0.72</f>
        <v>9675</v>
      </c>
      <c r="M2" s="12">
        <f>SUMIF(Mercado_Receita!$S$2:$S$1214,"44348A3AzulNão se aplicaNão se aplicaNão se aplicaNão se aplicaPonta",Mercado_Receita!$J$2:$J$1214)+SUMIF(Mercado_Receita!$S$2:$S$1214,"44348A3AzulNão se aplicaNão se aplicaAPENão se aplicaPonta",Mercado_Receita!$J$2:$J$1214)+SUMIF(Mercado_Receita!$S$2:$S$1214,"44348A3ConvencionalNão se aplicaNão se aplicaNão se aplicaNão se aplicaNão se aplica",Mercado_Receita!$J$2:$J$1214)*0.72</f>
        <v>9775</v>
      </c>
      <c r="N2" s="12">
        <f>SUMIF(Mercado_Receita!$S$2:$S$1214,"44378A3AzulNão se aplicaNão se aplicaNão se aplicaNão se aplicaPonta",Mercado_Receita!$J$2:$J$1214)+SUMIF(Mercado_Receita!$S$2:$S$1214,"44378A3AzulNão se aplicaNão se aplicaAPENão se aplicaPonta",Mercado_Receita!$J$2:$J$1214)+SUMIF(Mercado_Receita!$S$2:$S$1214,"44378A3ConvencionalNão se aplicaNão se aplicaNão se aplicaNão se aplicaNão se aplica",Mercado_Receita!$J$2:$J$1214)*0.72</f>
        <v>9500</v>
      </c>
      <c r="O2" s="12">
        <f>SUMIF(Mercado_Receita!$S$2:$S$1214,"44409A3AzulNão se aplicaNão se aplicaNão se aplicaNão se aplicaPonta",Mercado_Receita!$J$2:$J$1214)+SUMIF(Mercado_Receita!$S$2:$S$1214,"44409A3AzulNão se aplicaNão se aplicaAPENão se aplicaPonta",Mercado_Receita!$J$2:$J$1214)+SUMIF(Mercado_Receita!$S$2:$S$1214,"44409A3ConvencionalNão se aplicaNão se aplicaNão se aplicaNão se aplicaNão se aplica",Mercado_Receita!$J$2:$J$1214)*0.72</f>
        <v>9539</v>
      </c>
      <c r="P2" s="12">
        <f>SUMIF(Mercado_Receita!$S$2:$S$1214,"44440A3AzulNão se aplicaNão se aplicaNão se aplicaNão se aplicaPonta",Mercado_Receita!$J$2:$J$1214)+SUMIF(Mercado_Receita!$S$2:$S$1214,"44440A3AzulNão se aplicaNão se aplicaAPENão se aplicaPonta",Mercado_Receita!$J$2:$J$1214)+SUMIF(Mercado_Receita!$S$2:$S$1214,"44440A3ConvencionalNão se aplicaNão se aplicaNão se aplicaNão se aplicaNão se aplica",Mercado_Receita!$J$2:$J$1214)*0.72</f>
        <v>9500</v>
      </c>
      <c r="Q2" s="12">
        <f>SUMIF(Mercado_Receita!$S$2:$S$1214,"44470A3AzulNão se aplicaNão se aplicaNão se aplicaNão se aplicaPonta",Mercado_Receita!$J$2:$J$1214)+SUMIF(Mercado_Receita!$S$2:$S$1214,"44470A3AzulNão se aplicaNão se aplicaAPENão se aplicaPonta",Mercado_Receita!$J$2:$J$1214)+SUMIF(Mercado_Receita!$S$2:$S$1214,"44470A3ConvencionalNão se aplicaNão se aplicaNão se aplicaNão se aplicaNão se aplica",Mercado_Receita!$J$2:$J$1214)*0.72</f>
        <v>9524</v>
      </c>
      <c r="R2" s="12">
        <f>SUMIF(Mercado_Receita!$S$2:$S$1214,"44501A3AzulNão se aplicaNão se aplicaNão se aplicaNão se aplicaPonta",Mercado_Receita!$J$2:$J$1214)+SUMIF(Mercado_Receita!$S$2:$S$1214,"44501A3AzulNão se aplicaNão se aplicaAPENão se aplicaPonta",Mercado_Receita!$J$2:$J$1214)+SUMIF(Mercado_Receita!$S$2:$S$1214,"44501A3ConvencionalNão se aplicaNão se aplicaNão se aplicaNão se aplicaNão se aplica",Mercado_Receita!$J$2:$J$1214)*0.72</f>
        <v>9528</v>
      </c>
      <c r="S2" s="12">
        <f>SUMIF(Mercado_Receita!$S$2:$S$1214,"44531A3AzulNão se aplicaNão se aplicaNão se aplicaNão se aplicaPonta",Mercado_Receita!$J$2:$J$1214)+SUMIF(Mercado_Receita!$S$2:$S$1214,"44531A3AzulNão se aplicaNão se aplicaAPENão se aplicaPonta",Mercado_Receita!$J$2:$J$1214)+SUMIF(Mercado_Receita!$S$2:$S$1214,"44531A3ConvencionalNão se aplicaNão se aplicaNão se aplicaNão se aplicaNão se aplica",Mercado_Receita!$J$2:$J$1214)*0.72</f>
        <v>9656</v>
      </c>
      <c r="T2" s="12">
        <f>SUMIF(Mercado_Receita!$S$2:$S$1214,"44562A3AzulNão se aplicaNão se aplicaNão se aplicaNão se aplicaPonta",Mercado_Receita!$J$2:$J$1214)+SUMIF(Mercado_Receita!$S$2:$S$1214,"44562A3AzulNão se aplicaNão se aplicaAPENão se aplicaPonta",Mercado_Receita!$J$2:$J$1214)+SUMIF(Mercado_Receita!$S$2:$S$1214,"44562A3ConvencionalNão se aplicaNão se aplicaNão se aplicaNão se aplicaNão se aplica",Mercado_Receita!$J$2:$J$1214)*0.72</f>
        <v>9656</v>
      </c>
      <c r="U2" s="12">
        <f t="shared" ref="U2:U33" si="0">SUM(I2:T2)</f>
        <v>115925</v>
      </c>
      <c r="V2" s="12"/>
      <c r="W2" s="12"/>
    </row>
    <row r="3" spans="1:30" ht="11.25" customHeight="1" x14ac:dyDescent="0.25">
      <c r="A3" s="92"/>
      <c r="B3" s="92"/>
      <c r="C3" s="92"/>
      <c r="D3" s="92"/>
      <c r="E3" s="92"/>
      <c r="F3" s="92"/>
      <c r="G3" s="12" t="s">
        <v>83</v>
      </c>
      <c r="H3" s="12" t="s">
        <v>81</v>
      </c>
      <c r="I3" s="12">
        <f>SUMIF(Mercado_Receita!$S$2:$S$1214,"44228A3AzulNão se aplicaNão se aplicaNão se aplicaNão se aplicaFora ponta",Mercado_Receita!$J$2:$J$1214)+SUMIF(Mercado_Receita!$S$2:$S$1214,"44228A3AzulNão se aplicaNão se aplicaAPENão se aplicaFora ponta",Mercado_Receita!$J$2:$J$1214)+SUMIF(Mercado_Receita!$S$2:$S$1214,"44228A3ConvencionalNão se aplicaNão se aplicaNão se aplicaNão se aplicaNão se aplica",Mercado_Receita!$J$2:$J$1214)*1</f>
        <v>9989</v>
      </c>
      <c r="J3" s="12">
        <f>SUMIF(Mercado_Receita!$S$2:$S$1214,"44256A3AzulNão se aplicaNão se aplicaNão se aplicaNão se aplicaFora ponta",Mercado_Receita!$J$2:$J$1214)+SUMIF(Mercado_Receita!$S$2:$S$1214,"44256A3AzulNão se aplicaNão se aplicaAPENão se aplicaFora ponta",Mercado_Receita!$J$2:$J$1214)+SUMIF(Mercado_Receita!$S$2:$S$1214,"44256A3ConvencionalNão se aplicaNão se aplicaNão se aplicaNão se aplicaNão se aplica",Mercado_Receita!$J$2:$J$1214)*1</f>
        <v>9976</v>
      </c>
      <c r="K3" s="12">
        <f>SUMIF(Mercado_Receita!$S$2:$S$1214,"44287A3AzulNão se aplicaNão se aplicaNão se aplicaNão se aplicaFora ponta",Mercado_Receita!$J$2:$J$1214)+SUMIF(Mercado_Receita!$S$2:$S$1214,"44287A3AzulNão se aplicaNão se aplicaAPENão se aplicaFora ponta",Mercado_Receita!$J$2:$J$1214)+SUMIF(Mercado_Receita!$S$2:$S$1214,"44287A3ConvencionalNão se aplicaNão se aplicaNão se aplicaNão se aplicaNão se aplica",Mercado_Receita!$J$2:$J$1214)*1</f>
        <v>9903</v>
      </c>
      <c r="L3" s="12">
        <f>SUMIF(Mercado_Receita!$S$2:$S$1214,"44317A3AzulNão se aplicaNão se aplicaNão se aplicaNão se aplicaFora ponta",Mercado_Receita!$J$2:$J$1214)+SUMIF(Mercado_Receita!$S$2:$S$1214,"44317A3AzulNão se aplicaNão se aplicaAPENão se aplicaFora ponta",Mercado_Receita!$J$2:$J$1214)+SUMIF(Mercado_Receita!$S$2:$S$1214,"44317A3ConvencionalNão se aplicaNão se aplicaNão se aplicaNão se aplicaNão se aplica",Mercado_Receita!$J$2:$J$1214)*1</f>
        <v>9799</v>
      </c>
      <c r="M3" s="12">
        <f>SUMIF(Mercado_Receita!$S$2:$S$1214,"44348A3AzulNão se aplicaNão se aplicaNão se aplicaNão se aplicaFora ponta",Mercado_Receita!$J$2:$J$1214)+SUMIF(Mercado_Receita!$S$2:$S$1214,"44348A3AzulNão se aplicaNão se aplicaAPENão se aplicaFora ponta",Mercado_Receita!$J$2:$J$1214)+SUMIF(Mercado_Receita!$S$2:$S$1214,"44348A3ConvencionalNão se aplicaNão se aplicaNão se aplicaNão se aplicaNão se aplica",Mercado_Receita!$J$2:$J$1214)*1</f>
        <v>10067</v>
      </c>
      <c r="N3" s="12">
        <f>SUMIF(Mercado_Receita!$S$2:$S$1214,"44378A3AzulNão se aplicaNão se aplicaNão se aplicaNão se aplicaFora ponta",Mercado_Receita!$J$2:$J$1214)+SUMIF(Mercado_Receita!$S$2:$S$1214,"44378A3AzulNão se aplicaNão se aplicaAPENão se aplicaFora ponta",Mercado_Receita!$J$2:$J$1214)+SUMIF(Mercado_Receita!$S$2:$S$1214,"44378A3ConvencionalNão se aplicaNão se aplicaNão se aplicaNão se aplicaNão se aplica",Mercado_Receita!$J$2:$J$1214)*1</f>
        <v>9594</v>
      </c>
      <c r="O3" s="12">
        <f>SUMIF(Mercado_Receita!$S$2:$S$1214,"44409A3AzulNão se aplicaNão se aplicaNão se aplicaNão se aplicaFora ponta",Mercado_Receita!$J$2:$J$1214)+SUMIF(Mercado_Receita!$S$2:$S$1214,"44409A3AzulNão se aplicaNão se aplicaAPENão se aplicaFora ponta",Mercado_Receita!$J$2:$J$1214)+SUMIF(Mercado_Receita!$S$2:$S$1214,"44409A3ConvencionalNão se aplicaNão se aplicaNão se aplicaNão se aplicaNão se aplica",Mercado_Receita!$J$2:$J$1214)*1</f>
        <v>9718</v>
      </c>
      <c r="P3" s="12">
        <f>SUMIF(Mercado_Receita!$S$2:$S$1214,"44440A3AzulNão se aplicaNão se aplicaNão se aplicaNão se aplicaFora ponta",Mercado_Receita!$J$2:$J$1214)+SUMIF(Mercado_Receita!$S$2:$S$1214,"44440A3AzulNão se aplicaNão se aplicaAPENão se aplicaFora ponta",Mercado_Receita!$J$2:$J$1214)+SUMIF(Mercado_Receita!$S$2:$S$1214,"44440A3ConvencionalNão se aplicaNão se aplicaNão se aplicaNão se aplicaNão se aplica",Mercado_Receita!$J$2:$J$1214)*1</f>
        <v>9617</v>
      </c>
      <c r="Q3" s="12">
        <f>SUMIF(Mercado_Receita!$S$2:$S$1214,"44470A3AzulNão se aplicaNão se aplicaNão se aplicaNão se aplicaFora ponta",Mercado_Receita!$J$2:$J$1214)+SUMIF(Mercado_Receita!$S$2:$S$1214,"44470A3AzulNão se aplicaNão se aplicaAPENão se aplicaFora ponta",Mercado_Receita!$J$2:$J$1214)+SUMIF(Mercado_Receita!$S$2:$S$1214,"44470A3ConvencionalNão se aplicaNão se aplicaNão se aplicaNão se aplicaNão se aplica",Mercado_Receita!$J$2:$J$1214)*1</f>
        <v>9570</v>
      </c>
      <c r="R3" s="12">
        <f>SUMIF(Mercado_Receita!$S$2:$S$1214,"44501A3AzulNão se aplicaNão se aplicaNão se aplicaNão se aplicaFora ponta",Mercado_Receita!$J$2:$J$1214)+SUMIF(Mercado_Receita!$S$2:$S$1214,"44501A3AzulNão se aplicaNão se aplicaAPENão se aplicaFora ponta",Mercado_Receita!$J$2:$J$1214)+SUMIF(Mercado_Receita!$S$2:$S$1214,"44501A3ConvencionalNão se aplicaNão se aplicaNão se aplicaNão se aplicaNão se aplica",Mercado_Receita!$J$2:$J$1214)*1</f>
        <v>9835</v>
      </c>
      <c r="S3" s="12">
        <f>SUMIF(Mercado_Receita!$S$2:$S$1214,"44531A3AzulNão se aplicaNão se aplicaNão se aplicaNão se aplicaFora ponta",Mercado_Receita!$J$2:$J$1214)+SUMIF(Mercado_Receita!$S$2:$S$1214,"44531A3AzulNão se aplicaNão se aplicaAPENão se aplicaFora ponta",Mercado_Receita!$J$2:$J$1214)+SUMIF(Mercado_Receita!$S$2:$S$1214,"44531A3ConvencionalNão se aplicaNão se aplicaNão se aplicaNão se aplicaNão se aplica",Mercado_Receita!$J$2:$J$1214)*1</f>
        <v>9890</v>
      </c>
      <c r="T3" s="12">
        <f>SUMIF(Mercado_Receita!$S$2:$S$1214,"44562A3AzulNão se aplicaNão se aplicaNão se aplicaNão se aplicaFora ponta",Mercado_Receita!$J$2:$J$1214)+SUMIF(Mercado_Receita!$S$2:$S$1214,"44562A3AzulNão se aplicaNão se aplicaAPENão se aplicaFora ponta",Mercado_Receita!$J$2:$J$1214)+SUMIF(Mercado_Receita!$S$2:$S$1214,"44562A3ConvencionalNão se aplicaNão se aplicaNão se aplicaNão se aplicaNão se aplica",Mercado_Receita!$J$2:$J$1214)*1</f>
        <v>9890</v>
      </c>
      <c r="U3" s="12">
        <f t="shared" si="0"/>
        <v>117848</v>
      </c>
      <c r="V3" s="12"/>
      <c r="W3" s="12"/>
    </row>
    <row r="4" spans="1:30" ht="11.25" customHeight="1" x14ac:dyDescent="0.25">
      <c r="A4" s="92"/>
      <c r="B4" s="92"/>
      <c r="C4" s="92"/>
      <c r="D4" s="92"/>
      <c r="E4" s="92"/>
      <c r="F4" s="92"/>
      <c r="G4" s="12" t="s">
        <v>84</v>
      </c>
      <c r="H4" s="12" t="s">
        <v>78</v>
      </c>
      <c r="I4" s="12">
        <f>SUMIF(Mercado_Receita!$S$2:$S$1214,"44228A3AzulNão se aplicaNão se aplicaNão se aplicaNão se aplicaPonta",Mercado_Receita!$L$2:$L$1214)+SUMIF(Mercado_Receita!$S$2:$S$1214,"44228A3AzulNão se aplicaNão se aplicaNão se aplicaNão se aplicaFora ponta",Mercado_Receita!$L$2:$L$1214)+SUMIF(Mercado_Receita!$S$2:$S$1214,"44228A3AzulNão se aplicaNão se aplicaNão se aplicaNão se aplicaIntermediário",Mercado_Receita!$L$2:$L$1214)+SUMIF(Mercado_Receita!$S$2:$S$1214,"44228A3AzulNão se aplicaNão se aplicaNão se aplicaNão se aplicaNão se aplica",Mercado_Receita!$L$2:$L$1214)+SUMIF(Mercado_Receita!$S$2:$S$1214,"44228A3ConvencionalNão se aplicaNão se aplicaNão se aplicaNão se aplicaNão se aplica",Mercado_Receita!$L$2:$L$1214)</f>
        <v>5486.0870000000004</v>
      </c>
      <c r="J4" s="12">
        <f>SUMIF(Mercado_Receita!$S$2:$S$1214,"44256A3AzulNão se aplicaNão se aplicaNão se aplicaNão se aplicaPonta",Mercado_Receita!$L$2:$L$1214)+SUMIF(Mercado_Receita!$S$2:$S$1214,"44256A3AzulNão se aplicaNão se aplicaNão se aplicaNão se aplicaFora ponta",Mercado_Receita!$L$2:$L$1214)+SUMIF(Mercado_Receita!$S$2:$S$1214,"44256A3AzulNão se aplicaNão se aplicaNão se aplicaNão se aplicaIntermediário",Mercado_Receita!$L$2:$L$1214)+SUMIF(Mercado_Receita!$S$2:$S$1214,"44256A3AzulNão se aplicaNão se aplicaNão se aplicaNão se aplicaNão se aplica",Mercado_Receita!$L$2:$L$1214)+SUMIF(Mercado_Receita!$S$2:$S$1214,"44256A3ConvencionalNão se aplicaNão se aplicaNão se aplicaNão se aplicaNão se aplica",Mercado_Receita!$L$2:$L$1214)</f>
        <v>5492.0010000000002</v>
      </c>
      <c r="K4" s="12">
        <f>SUMIF(Mercado_Receita!$S$2:$S$1214,"44287A3AzulNão se aplicaNão se aplicaNão se aplicaNão se aplicaPonta",Mercado_Receita!$L$2:$L$1214)+SUMIF(Mercado_Receita!$S$2:$S$1214,"44287A3AzulNão se aplicaNão se aplicaNão se aplicaNão se aplicaFora ponta",Mercado_Receita!$L$2:$L$1214)+SUMIF(Mercado_Receita!$S$2:$S$1214,"44287A3AzulNão se aplicaNão se aplicaNão se aplicaNão se aplicaIntermediário",Mercado_Receita!$L$2:$L$1214)+SUMIF(Mercado_Receita!$S$2:$S$1214,"44287A3AzulNão se aplicaNão se aplicaNão se aplicaNão se aplicaNão se aplica",Mercado_Receita!$L$2:$L$1214)+SUMIF(Mercado_Receita!$S$2:$S$1214,"44287A3ConvencionalNão se aplicaNão se aplicaNão se aplicaNão se aplicaNão se aplica",Mercado_Receita!$L$2:$L$1214)</f>
        <v>5592.4160000000002</v>
      </c>
      <c r="L4" s="12">
        <f>SUMIF(Mercado_Receita!$S$2:$S$1214,"44317A3AzulNão se aplicaNão se aplicaNão se aplicaNão se aplicaPonta",Mercado_Receita!$L$2:$L$1214)+SUMIF(Mercado_Receita!$S$2:$S$1214,"44317A3AzulNão se aplicaNão se aplicaNão se aplicaNão se aplicaFora ponta",Mercado_Receita!$L$2:$L$1214)+SUMIF(Mercado_Receita!$S$2:$S$1214,"44317A3AzulNão se aplicaNão se aplicaNão se aplicaNão se aplicaIntermediário",Mercado_Receita!$L$2:$L$1214)+SUMIF(Mercado_Receita!$S$2:$S$1214,"44317A3AzulNão se aplicaNão se aplicaNão se aplicaNão se aplicaNão se aplica",Mercado_Receita!$L$2:$L$1214)+SUMIF(Mercado_Receita!$S$2:$S$1214,"44317A3ConvencionalNão se aplicaNão se aplicaNão se aplicaNão se aplicaNão se aplica",Mercado_Receita!$L$2:$L$1214)</f>
        <v>5484.3810000000003</v>
      </c>
      <c r="M4" s="12">
        <f>SUMIF(Mercado_Receita!$S$2:$S$1214,"44348A3AzulNão se aplicaNão se aplicaNão se aplicaNão se aplicaPonta",Mercado_Receita!$L$2:$L$1214)+SUMIF(Mercado_Receita!$S$2:$S$1214,"44348A3AzulNão se aplicaNão se aplicaNão se aplicaNão se aplicaFora ponta",Mercado_Receita!$L$2:$L$1214)+SUMIF(Mercado_Receita!$S$2:$S$1214,"44348A3AzulNão se aplicaNão se aplicaNão se aplicaNão se aplicaIntermediário",Mercado_Receita!$L$2:$L$1214)+SUMIF(Mercado_Receita!$S$2:$S$1214,"44348A3AzulNão se aplicaNão se aplicaNão se aplicaNão se aplicaNão se aplica",Mercado_Receita!$L$2:$L$1214)+SUMIF(Mercado_Receita!$S$2:$S$1214,"44348A3ConvencionalNão se aplicaNão se aplicaNão se aplicaNão se aplicaNão se aplica",Mercado_Receita!$L$2:$L$1214)</f>
        <v>5812.6880000000001</v>
      </c>
      <c r="N4" s="12">
        <f>SUMIF(Mercado_Receita!$S$2:$S$1214,"44378A3AzulNão se aplicaNão se aplicaNão se aplicaNão se aplicaPonta",Mercado_Receita!$L$2:$L$1214)+SUMIF(Mercado_Receita!$S$2:$S$1214,"44378A3AzulNão se aplicaNão se aplicaNão se aplicaNão se aplicaFora ponta",Mercado_Receita!$L$2:$L$1214)+SUMIF(Mercado_Receita!$S$2:$S$1214,"44378A3AzulNão se aplicaNão se aplicaNão se aplicaNão se aplicaIntermediário",Mercado_Receita!$L$2:$L$1214)+SUMIF(Mercado_Receita!$S$2:$S$1214,"44378A3AzulNão se aplicaNão se aplicaNão se aplicaNão se aplicaNão se aplica",Mercado_Receita!$L$2:$L$1214)+SUMIF(Mercado_Receita!$S$2:$S$1214,"44378A3ConvencionalNão se aplicaNão se aplicaNão se aplicaNão se aplicaNão se aplica",Mercado_Receita!$L$2:$L$1214)</f>
        <v>5507.1850000000004</v>
      </c>
      <c r="O4" s="12">
        <f>SUMIF(Mercado_Receita!$S$2:$S$1214,"44409A3AzulNão se aplicaNão se aplicaNão se aplicaNão se aplicaPonta",Mercado_Receita!$L$2:$L$1214)+SUMIF(Mercado_Receita!$S$2:$S$1214,"44409A3AzulNão se aplicaNão se aplicaNão se aplicaNão se aplicaFora ponta",Mercado_Receita!$L$2:$L$1214)+SUMIF(Mercado_Receita!$S$2:$S$1214,"44409A3AzulNão se aplicaNão se aplicaNão se aplicaNão se aplicaIntermediário",Mercado_Receita!$L$2:$L$1214)+SUMIF(Mercado_Receita!$S$2:$S$1214,"44409A3AzulNão se aplicaNão se aplicaNão se aplicaNão se aplicaNão se aplica",Mercado_Receita!$L$2:$L$1214)+SUMIF(Mercado_Receita!$S$2:$S$1214,"44409A3ConvencionalNão se aplicaNão se aplicaNão se aplicaNão se aplicaNão se aplica",Mercado_Receita!$L$2:$L$1214)</f>
        <v>6117.5540000000001</v>
      </c>
      <c r="P4" s="12">
        <f>SUMIF(Mercado_Receita!$S$2:$S$1214,"44440A3AzulNão se aplicaNão se aplicaNão se aplicaNão se aplicaPonta",Mercado_Receita!$L$2:$L$1214)+SUMIF(Mercado_Receita!$S$2:$S$1214,"44440A3AzulNão se aplicaNão se aplicaNão se aplicaNão se aplicaFora ponta",Mercado_Receita!$L$2:$L$1214)+SUMIF(Mercado_Receita!$S$2:$S$1214,"44440A3AzulNão se aplicaNão se aplicaNão se aplicaNão se aplicaIntermediário",Mercado_Receita!$L$2:$L$1214)+SUMIF(Mercado_Receita!$S$2:$S$1214,"44440A3AzulNão se aplicaNão se aplicaNão se aplicaNão se aplicaNão se aplica",Mercado_Receita!$L$2:$L$1214)+SUMIF(Mercado_Receita!$S$2:$S$1214,"44440A3ConvencionalNão se aplicaNão se aplicaNão se aplicaNão se aplicaNão se aplica",Mercado_Receita!$L$2:$L$1214)</f>
        <v>5970.9549999999999</v>
      </c>
      <c r="Q4" s="12">
        <f>SUMIF(Mercado_Receita!$S$2:$S$1214,"44470A3AzulNão se aplicaNão se aplicaNão se aplicaNão se aplicaPonta",Mercado_Receita!$L$2:$L$1214)+SUMIF(Mercado_Receita!$S$2:$S$1214,"44470A3AzulNão se aplicaNão se aplicaNão se aplicaNão se aplicaFora ponta",Mercado_Receita!$L$2:$L$1214)+SUMIF(Mercado_Receita!$S$2:$S$1214,"44470A3AzulNão se aplicaNão se aplicaNão se aplicaNão se aplicaIntermediário",Mercado_Receita!$L$2:$L$1214)+SUMIF(Mercado_Receita!$S$2:$S$1214,"44470A3AzulNão se aplicaNão se aplicaNão se aplicaNão se aplicaNão se aplica",Mercado_Receita!$L$2:$L$1214)+SUMIF(Mercado_Receita!$S$2:$S$1214,"44470A3ConvencionalNão se aplicaNão se aplicaNão se aplicaNão se aplicaNão se aplica",Mercado_Receita!$L$2:$L$1214)</f>
        <v>5870.5640000000003</v>
      </c>
      <c r="R4" s="12">
        <f>SUMIF(Mercado_Receita!$S$2:$S$1214,"44501A3AzulNão se aplicaNão se aplicaNão se aplicaNão se aplicaPonta",Mercado_Receita!$L$2:$L$1214)+SUMIF(Mercado_Receita!$S$2:$S$1214,"44501A3AzulNão se aplicaNão se aplicaNão se aplicaNão se aplicaFora ponta",Mercado_Receita!$L$2:$L$1214)+SUMIF(Mercado_Receita!$S$2:$S$1214,"44501A3AzulNão se aplicaNão se aplicaNão se aplicaNão se aplicaIntermediário",Mercado_Receita!$L$2:$L$1214)+SUMIF(Mercado_Receita!$S$2:$S$1214,"44501A3AzulNão se aplicaNão se aplicaNão se aplicaNão se aplicaNão se aplica",Mercado_Receita!$L$2:$L$1214)+SUMIF(Mercado_Receita!$S$2:$S$1214,"44501A3ConvencionalNão se aplicaNão se aplicaNão se aplicaNão se aplicaNão se aplica",Mercado_Receita!$L$2:$L$1214)</f>
        <v>6109.4520000000002</v>
      </c>
      <c r="S4" s="12">
        <f>SUMIF(Mercado_Receita!$S$2:$S$1214,"44531A3AzulNão se aplicaNão se aplicaNão se aplicaNão se aplicaPonta",Mercado_Receita!$L$2:$L$1214)+SUMIF(Mercado_Receita!$S$2:$S$1214,"44531A3AzulNão se aplicaNão se aplicaNão se aplicaNão se aplicaFora ponta",Mercado_Receita!$L$2:$L$1214)+SUMIF(Mercado_Receita!$S$2:$S$1214,"44531A3AzulNão se aplicaNão se aplicaNão se aplicaNão se aplicaIntermediário",Mercado_Receita!$L$2:$L$1214)+SUMIF(Mercado_Receita!$S$2:$S$1214,"44531A3AzulNão se aplicaNão se aplicaNão se aplicaNão se aplicaNão se aplica",Mercado_Receita!$L$2:$L$1214)+SUMIF(Mercado_Receita!$S$2:$S$1214,"44531A3ConvencionalNão se aplicaNão se aplicaNão se aplicaNão se aplicaNão se aplica",Mercado_Receita!$L$2:$L$1214)</f>
        <v>5940.8140000000003</v>
      </c>
      <c r="T4" s="12">
        <f>SUMIF(Mercado_Receita!$S$2:$S$1214,"44562A3AzulNão se aplicaNão se aplicaNão se aplicaNão se aplicaPonta",Mercado_Receita!$L$2:$L$1214)+SUMIF(Mercado_Receita!$S$2:$S$1214,"44562A3AzulNão se aplicaNão se aplicaNão se aplicaNão se aplicaFora ponta",Mercado_Receita!$L$2:$L$1214)+SUMIF(Mercado_Receita!$S$2:$S$1214,"44562A3AzulNão se aplicaNão se aplicaNão se aplicaNão se aplicaIntermediário",Mercado_Receita!$L$2:$L$1214)+SUMIF(Mercado_Receita!$S$2:$S$1214,"44562A3AzulNão se aplicaNão se aplicaNão se aplicaNão se aplicaNão se aplica",Mercado_Receita!$L$2:$L$1214)+SUMIF(Mercado_Receita!$S$2:$S$1214,"44562A3ConvencionalNão se aplicaNão se aplicaNão se aplicaNão se aplicaNão se aplica",Mercado_Receita!$L$2:$L$1214)</f>
        <v>5940.8140000000003</v>
      </c>
      <c r="U4" s="12">
        <f t="shared" si="0"/>
        <v>69324.911000000007</v>
      </c>
      <c r="V4" s="12"/>
      <c r="W4" s="12"/>
    </row>
    <row r="5" spans="1:30" ht="11.25" customHeight="1" x14ac:dyDescent="0.25">
      <c r="A5" s="92"/>
      <c r="B5" s="92"/>
      <c r="C5" s="92"/>
      <c r="D5" s="92"/>
      <c r="E5" s="13" t="s">
        <v>85</v>
      </c>
      <c r="F5" s="13" t="s">
        <v>25</v>
      </c>
      <c r="G5" s="12" t="s">
        <v>84</v>
      </c>
      <c r="H5" s="12" t="s">
        <v>78</v>
      </c>
      <c r="I5" s="12">
        <f>SUMIF(Mercado_Receita!$S$2:$S$1214,"44228A3AzulNão se aplicaNão se aplicaAPENão se aplicaPonta",Mercado_Receita!$L$2:$L$1214)+SUMIF(Mercado_Receita!$S$2:$S$1214,"44228A3AzulNão se aplicaNão se aplicaAPENão se aplicaFora ponta",Mercado_Receita!$L$2:$L$1214)+SUMIF(Mercado_Receita!$S$2:$S$1214,"44228A3AzulNão se aplicaNão se aplicaAPENão se aplicaIntermediário",Mercado_Receita!$L$2:$L$1214)+SUMIF(Mercado_Receita!$S$2:$S$1214,"44228A3AzulNão se aplicaNão se aplicaAPENão se aplicaNão se aplica",Mercado_Receita!$L$2:$L$1214)+SUMIF(Mercado_Receita!$S$2:$S$1214,"44228A3ConvencionalNão se aplicaNão se aplicaAPENão se aplicaNão se aplica",Mercado_Receita!$L$2:$L$1214)</f>
        <v>0</v>
      </c>
      <c r="J5" s="12">
        <f>SUMIF(Mercado_Receita!$S$2:$S$1214,"44256A3AzulNão se aplicaNão se aplicaAPENão se aplicaPonta",Mercado_Receita!$L$2:$L$1214)+SUMIF(Mercado_Receita!$S$2:$S$1214,"44256A3AzulNão se aplicaNão se aplicaAPENão se aplicaFora ponta",Mercado_Receita!$L$2:$L$1214)+SUMIF(Mercado_Receita!$S$2:$S$1214,"44256A3AzulNão se aplicaNão se aplicaAPENão se aplicaIntermediário",Mercado_Receita!$L$2:$L$1214)+SUMIF(Mercado_Receita!$S$2:$S$1214,"44256A3AzulNão se aplicaNão se aplicaAPENão se aplicaNão se aplica",Mercado_Receita!$L$2:$L$1214)+SUMIF(Mercado_Receita!$S$2:$S$1214,"44256A3ConvencionalNão se aplicaNão se aplicaAPENão se aplicaNão se aplica",Mercado_Receita!$L$2:$L$1214)</f>
        <v>0</v>
      </c>
      <c r="K5" s="12">
        <f>SUMIF(Mercado_Receita!$S$2:$S$1214,"44287A3AzulNão se aplicaNão se aplicaAPENão se aplicaPonta",Mercado_Receita!$L$2:$L$1214)+SUMIF(Mercado_Receita!$S$2:$S$1214,"44287A3AzulNão se aplicaNão se aplicaAPENão se aplicaFora ponta",Mercado_Receita!$L$2:$L$1214)+SUMIF(Mercado_Receita!$S$2:$S$1214,"44287A3AzulNão se aplicaNão se aplicaAPENão se aplicaIntermediário",Mercado_Receita!$L$2:$L$1214)+SUMIF(Mercado_Receita!$S$2:$S$1214,"44287A3AzulNão se aplicaNão se aplicaAPENão se aplicaNão se aplica",Mercado_Receita!$L$2:$L$1214)+SUMIF(Mercado_Receita!$S$2:$S$1214,"44287A3ConvencionalNão se aplicaNão se aplicaAPENão se aplicaNão se aplica",Mercado_Receita!$L$2:$L$1214)</f>
        <v>0</v>
      </c>
      <c r="L5" s="12">
        <f>SUMIF(Mercado_Receita!$S$2:$S$1214,"44317A3AzulNão se aplicaNão se aplicaAPENão se aplicaPonta",Mercado_Receita!$L$2:$L$1214)+SUMIF(Mercado_Receita!$S$2:$S$1214,"44317A3AzulNão se aplicaNão se aplicaAPENão se aplicaFora ponta",Mercado_Receita!$L$2:$L$1214)+SUMIF(Mercado_Receita!$S$2:$S$1214,"44317A3AzulNão se aplicaNão se aplicaAPENão se aplicaIntermediário",Mercado_Receita!$L$2:$L$1214)+SUMIF(Mercado_Receita!$S$2:$S$1214,"44317A3AzulNão se aplicaNão se aplicaAPENão se aplicaNão se aplica",Mercado_Receita!$L$2:$L$1214)+SUMIF(Mercado_Receita!$S$2:$S$1214,"44317A3ConvencionalNão se aplicaNão se aplicaAPENão se aplicaNão se aplica",Mercado_Receita!$L$2:$L$1214)</f>
        <v>0</v>
      </c>
      <c r="M5" s="12">
        <f>SUMIF(Mercado_Receita!$S$2:$S$1214,"44348A3AzulNão se aplicaNão se aplicaAPENão se aplicaPonta",Mercado_Receita!$L$2:$L$1214)+SUMIF(Mercado_Receita!$S$2:$S$1214,"44348A3AzulNão se aplicaNão se aplicaAPENão se aplicaFora ponta",Mercado_Receita!$L$2:$L$1214)+SUMIF(Mercado_Receita!$S$2:$S$1214,"44348A3AzulNão se aplicaNão se aplicaAPENão se aplicaIntermediário",Mercado_Receita!$L$2:$L$1214)+SUMIF(Mercado_Receita!$S$2:$S$1214,"44348A3AzulNão se aplicaNão se aplicaAPENão se aplicaNão se aplica",Mercado_Receita!$L$2:$L$1214)+SUMIF(Mercado_Receita!$S$2:$S$1214,"44348A3ConvencionalNão se aplicaNão se aplicaAPENão se aplicaNão se aplica",Mercado_Receita!$L$2:$L$1214)</f>
        <v>0</v>
      </c>
      <c r="N5" s="12">
        <f>SUMIF(Mercado_Receita!$S$2:$S$1214,"44378A3AzulNão se aplicaNão se aplicaAPENão se aplicaPonta",Mercado_Receita!$L$2:$L$1214)+SUMIF(Mercado_Receita!$S$2:$S$1214,"44378A3AzulNão se aplicaNão se aplicaAPENão se aplicaFora ponta",Mercado_Receita!$L$2:$L$1214)+SUMIF(Mercado_Receita!$S$2:$S$1214,"44378A3AzulNão se aplicaNão se aplicaAPENão se aplicaIntermediário",Mercado_Receita!$L$2:$L$1214)+SUMIF(Mercado_Receita!$S$2:$S$1214,"44378A3AzulNão se aplicaNão se aplicaAPENão se aplicaNão se aplica",Mercado_Receita!$L$2:$L$1214)+SUMIF(Mercado_Receita!$S$2:$S$1214,"44378A3ConvencionalNão se aplicaNão se aplicaAPENão se aplicaNão se aplica",Mercado_Receita!$L$2:$L$1214)</f>
        <v>0</v>
      </c>
      <c r="O5" s="12">
        <f>SUMIF(Mercado_Receita!$S$2:$S$1214,"44409A3AzulNão se aplicaNão se aplicaAPENão se aplicaPonta",Mercado_Receita!$L$2:$L$1214)+SUMIF(Mercado_Receita!$S$2:$S$1214,"44409A3AzulNão se aplicaNão se aplicaAPENão se aplicaFora ponta",Mercado_Receita!$L$2:$L$1214)+SUMIF(Mercado_Receita!$S$2:$S$1214,"44409A3AzulNão se aplicaNão se aplicaAPENão se aplicaIntermediário",Mercado_Receita!$L$2:$L$1214)+SUMIF(Mercado_Receita!$S$2:$S$1214,"44409A3AzulNão se aplicaNão se aplicaAPENão se aplicaNão se aplica",Mercado_Receita!$L$2:$L$1214)+SUMIF(Mercado_Receita!$S$2:$S$1214,"44409A3ConvencionalNão se aplicaNão se aplicaAPENão se aplicaNão se aplica",Mercado_Receita!$L$2:$L$1214)</f>
        <v>0</v>
      </c>
      <c r="P5" s="12">
        <f>SUMIF(Mercado_Receita!$S$2:$S$1214,"44440A3AzulNão se aplicaNão se aplicaAPENão se aplicaPonta",Mercado_Receita!$L$2:$L$1214)+SUMIF(Mercado_Receita!$S$2:$S$1214,"44440A3AzulNão se aplicaNão se aplicaAPENão se aplicaFora ponta",Mercado_Receita!$L$2:$L$1214)+SUMIF(Mercado_Receita!$S$2:$S$1214,"44440A3AzulNão se aplicaNão se aplicaAPENão se aplicaIntermediário",Mercado_Receita!$L$2:$L$1214)+SUMIF(Mercado_Receita!$S$2:$S$1214,"44440A3AzulNão se aplicaNão se aplicaAPENão se aplicaNão se aplica",Mercado_Receita!$L$2:$L$1214)+SUMIF(Mercado_Receita!$S$2:$S$1214,"44440A3ConvencionalNão se aplicaNão se aplicaAPENão se aplicaNão se aplica",Mercado_Receita!$L$2:$L$1214)</f>
        <v>0</v>
      </c>
      <c r="Q5" s="12">
        <f>SUMIF(Mercado_Receita!$S$2:$S$1214,"44470A3AzulNão se aplicaNão se aplicaAPENão se aplicaPonta",Mercado_Receita!$L$2:$L$1214)+SUMIF(Mercado_Receita!$S$2:$S$1214,"44470A3AzulNão se aplicaNão se aplicaAPENão se aplicaFora ponta",Mercado_Receita!$L$2:$L$1214)+SUMIF(Mercado_Receita!$S$2:$S$1214,"44470A3AzulNão se aplicaNão se aplicaAPENão se aplicaIntermediário",Mercado_Receita!$L$2:$L$1214)+SUMIF(Mercado_Receita!$S$2:$S$1214,"44470A3AzulNão se aplicaNão se aplicaAPENão se aplicaNão se aplica",Mercado_Receita!$L$2:$L$1214)+SUMIF(Mercado_Receita!$S$2:$S$1214,"44470A3ConvencionalNão se aplicaNão se aplicaAPENão se aplicaNão se aplica",Mercado_Receita!$L$2:$L$1214)</f>
        <v>0</v>
      </c>
      <c r="R5" s="12">
        <f>SUMIF(Mercado_Receita!$S$2:$S$1214,"44501A3AzulNão se aplicaNão se aplicaAPENão se aplicaPonta",Mercado_Receita!$L$2:$L$1214)+SUMIF(Mercado_Receita!$S$2:$S$1214,"44501A3AzulNão se aplicaNão se aplicaAPENão se aplicaFora ponta",Mercado_Receita!$L$2:$L$1214)+SUMIF(Mercado_Receita!$S$2:$S$1214,"44501A3AzulNão se aplicaNão se aplicaAPENão se aplicaIntermediário",Mercado_Receita!$L$2:$L$1214)+SUMIF(Mercado_Receita!$S$2:$S$1214,"44501A3AzulNão se aplicaNão se aplicaAPENão se aplicaNão se aplica",Mercado_Receita!$L$2:$L$1214)+SUMIF(Mercado_Receita!$S$2:$S$1214,"44501A3ConvencionalNão se aplicaNão se aplicaAPENão se aplicaNão se aplica",Mercado_Receita!$L$2:$L$1214)</f>
        <v>0</v>
      </c>
      <c r="S5" s="12">
        <f>SUMIF(Mercado_Receita!$S$2:$S$1214,"44531A3AzulNão se aplicaNão se aplicaAPENão se aplicaPonta",Mercado_Receita!$L$2:$L$1214)+SUMIF(Mercado_Receita!$S$2:$S$1214,"44531A3AzulNão se aplicaNão se aplicaAPENão se aplicaFora ponta",Mercado_Receita!$L$2:$L$1214)+SUMIF(Mercado_Receita!$S$2:$S$1214,"44531A3AzulNão se aplicaNão se aplicaAPENão se aplicaIntermediário",Mercado_Receita!$L$2:$L$1214)+SUMIF(Mercado_Receita!$S$2:$S$1214,"44531A3AzulNão se aplicaNão se aplicaAPENão se aplicaNão se aplica",Mercado_Receita!$L$2:$L$1214)+SUMIF(Mercado_Receita!$S$2:$S$1214,"44531A3ConvencionalNão se aplicaNão se aplicaAPENão se aplicaNão se aplica",Mercado_Receita!$L$2:$L$1214)</f>
        <v>0</v>
      </c>
      <c r="T5" s="12">
        <f>SUMIF(Mercado_Receita!$S$2:$S$1214,"44562A3AzulNão se aplicaNão se aplicaAPENão se aplicaPonta",Mercado_Receita!$L$2:$L$1214)+SUMIF(Mercado_Receita!$S$2:$S$1214,"44562A3AzulNão se aplicaNão se aplicaAPENão se aplicaFora ponta",Mercado_Receita!$L$2:$L$1214)+SUMIF(Mercado_Receita!$S$2:$S$1214,"44562A3AzulNão se aplicaNão se aplicaAPENão se aplicaIntermediário",Mercado_Receita!$L$2:$L$1214)+SUMIF(Mercado_Receita!$S$2:$S$1214,"44562A3AzulNão se aplicaNão se aplicaAPENão se aplicaNão se aplica",Mercado_Receita!$L$2:$L$1214)+SUMIF(Mercado_Receita!$S$2:$S$1214,"44562A3ConvencionalNão se aplicaNão se aplicaAPENão se aplicaNão se aplica",Mercado_Receita!$L$2:$L$1214)</f>
        <v>0</v>
      </c>
      <c r="U5" s="12">
        <f t="shared" si="0"/>
        <v>0</v>
      </c>
      <c r="V5" s="12"/>
      <c r="W5" s="12"/>
    </row>
    <row r="6" spans="1:30" ht="11.25" customHeight="1" x14ac:dyDescent="0.25">
      <c r="A6" s="92"/>
      <c r="B6" s="91" t="s">
        <v>59</v>
      </c>
      <c r="C6" s="91" t="s">
        <v>25</v>
      </c>
      <c r="D6" s="91" t="s">
        <v>25</v>
      </c>
      <c r="E6" s="91" t="s">
        <v>25</v>
      </c>
      <c r="F6" s="91" t="s">
        <v>60</v>
      </c>
      <c r="G6" s="12" t="s">
        <v>82</v>
      </c>
      <c r="H6" s="12" t="s">
        <v>81</v>
      </c>
      <c r="I6" s="12">
        <f>SUMIF(Mercado_Receita!$S$2:$S$1214,"44228A3DistribuiçãoNão se aplicaNão se aplicaNão se aplicaEPBPonta",Mercado_Receita!$J$2:$J$1214)+SUMIF(Mercado_Receita!$S$2:$S$1214,"44228A3DistribuiçãoNão se aplicaNão se aplicaNão se aplicaEPBNão se aplica",Mercado_Receita!$J$2:$J$1214)*0.72</f>
        <v>18000</v>
      </c>
      <c r="J6" s="12">
        <f>SUMIF(Mercado_Receita!$S$2:$S$1214,"44256A3DistribuiçãoNão se aplicaNão se aplicaNão se aplicaEPBPonta",Mercado_Receita!$J$2:$J$1214)+SUMIF(Mercado_Receita!$S$2:$S$1214,"44256A3DistribuiçãoNão se aplicaNão se aplicaNão se aplicaEPBNão se aplica",Mercado_Receita!$J$2:$J$1214)*0.72</f>
        <v>18000</v>
      </c>
      <c r="K6" s="12">
        <f>SUMIF(Mercado_Receita!$S$2:$S$1214,"44287A3DistribuiçãoNão se aplicaNão se aplicaNão se aplicaEPBPonta",Mercado_Receita!$J$2:$J$1214)+SUMIF(Mercado_Receita!$S$2:$S$1214,"44287A3DistribuiçãoNão se aplicaNão se aplicaNão se aplicaEPBNão se aplica",Mercado_Receita!$J$2:$J$1214)*0.72</f>
        <v>18000</v>
      </c>
      <c r="L6" s="12">
        <f>SUMIF(Mercado_Receita!$S$2:$S$1214,"44317A3DistribuiçãoNão se aplicaNão se aplicaNão se aplicaEPBPonta",Mercado_Receita!$J$2:$J$1214)+SUMIF(Mercado_Receita!$S$2:$S$1214,"44317A3DistribuiçãoNão se aplicaNão se aplicaNão se aplicaEPBNão se aplica",Mercado_Receita!$J$2:$J$1214)*0.72</f>
        <v>18000</v>
      </c>
      <c r="M6" s="12">
        <f>SUMIF(Mercado_Receita!$S$2:$S$1214,"44348A3DistribuiçãoNão se aplicaNão se aplicaNão se aplicaEPBPonta",Mercado_Receita!$J$2:$J$1214)+SUMIF(Mercado_Receita!$S$2:$S$1214,"44348A3DistribuiçãoNão se aplicaNão se aplicaNão se aplicaEPBNão se aplica",Mercado_Receita!$J$2:$J$1214)*0.72</f>
        <v>18000</v>
      </c>
      <c r="N6" s="12">
        <f>SUMIF(Mercado_Receita!$S$2:$S$1214,"44378A3DistribuiçãoNão se aplicaNão se aplicaNão se aplicaEPBPonta",Mercado_Receita!$J$2:$J$1214)+SUMIF(Mercado_Receita!$S$2:$S$1214,"44378A3DistribuiçãoNão se aplicaNão se aplicaNão se aplicaEPBNão se aplica",Mercado_Receita!$J$2:$J$1214)*0.72</f>
        <v>18000</v>
      </c>
      <c r="O6" s="12">
        <f>SUMIF(Mercado_Receita!$S$2:$S$1214,"44409A3DistribuiçãoNão se aplicaNão se aplicaNão se aplicaEPBPonta",Mercado_Receita!$J$2:$J$1214)+SUMIF(Mercado_Receita!$S$2:$S$1214,"44409A3DistribuiçãoNão se aplicaNão se aplicaNão se aplicaEPBNão se aplica",Mercado_Receita!$J$2:$J$1214)*0.72</f>
        <v>18000</v>
      </c>
      <c r="P6" s="12">
        <f>SUMIF(Mercado_Receita!$S$2:$S$1214,"44440A3DistribuiçãoNão se aplicaNão se aplicaNão se aplicaEPBPonta",Mercado_Receita!$J$2:$J$1214)+SUMIF(Mercado_Receita!$S$2:$S$1214,"44440A3DistribuiçãoNão se aplicaNão se aplicaNão se aplicaEPBNão se aplica",Mercado_Receita!$J$2:$J$1214)*0.72</f>
        <v>18000</v>
      </c>
      <c r="Q6" s="12">
        <f>SUMIF(Mercado_Receita!$S$2:$S$1214,"44470A3DistribuiçãoNão se aplicaNão se aplicaNão se aplicaEPBPonta",Mercado_Receita!$J$2:$J$1214)+SUMIF(Mercado_Receita!$S$2:$S$1214,"44470A3DistribuiçãoNão se aplicaNão se aplicaNão se aplicaEPBNão se aplica",Mercado_Receita!$J$2:$J$1214)*0.72</f>
        <v>18624</v>
      </c>
      <c r="R6" s="12">
        <f>SUMIF(Mercado_Receita!$S$2:$S$1214,"44501A3DistribuiçãoNão se aplicaNão se aplicaNão se aplicaEPBPonta",Mercado_Receita!$J$2:$J$1214)+SUMIF(Mercado_Receita!$S$2:$S$1214,"44501A3DistribuiçãoNão se aplicaNão se aplicaNão se aplicaEPBNão se aplica",Mercado_Receita!$J$2:$J$1214)*0.72</f>
        <v>18000</v>
      </c>
      <c r="S6" s="12">
        <f>SUMIF(Mercado_Receita!$S$2:$S$1214,"44531A3DistribuiçãoNão se aplicaNão se aplicaNão se aplicaEPBPonta",Mercado_Receita!$J$2:$J$1214)+SUMIF(Mercado_Receita!$S$2:$S$1214,"44531A3DistribuiçãoNão se aplicaNão se aplicaNão se aplicaEPBNão se aplica",Mercado_Receita!$J$2:$J$1214)*0.72</f>
        <v>18000</v>
      </c>
      <c r="T6" s="12">
        <f>SUMIF(Mercado_Receita!$S$2:$S$1214,"44562A3DistribuiçãoNão se aplicaNão se aplicaNão se aplicaEPBPonta",Mercado_Receita!$J$2:$J$1214)+SUMIF(Mercado_Receita!$S$2:$S$1214,"44562A3DistribuiçãoNão se aplicaNão se aplicaNão se aplicaEPBNão se aplica",Mercado_Receita!$J$2:$J$1214)*0.72</f>
        <v>18000</v>
      </c>
      <c r="U6" s="12">
        <f t="shared" si="0"/>
        <v>216624</v>
      </c>
      <c r="V6" s="12"/>
      <c r="W6" s="12"/>
    </row>
    <row r="7" spans="1:30" ht="11.25" customHeight="1" x14ac:dyDescent="0.25">
      <c r="A7" s="92"/>
      <c r="B7" s="92"/>
      <c r="C7" s="92"/>
      <c r="D7" s="92"/>
      <c r="E7" s="92"/>
      <c r="F7" s="92"/>
      <c r="G7" s="12" t="s">
        <v>83</v>
      </c>
      <c r="H7" s="12" t="s">
        <v>81</v>
      </c>
      <c r="I7" s="12">
        <f>SUMIF(Mercado_Receita!$S$2:$S$1214,"44228A3DistribuiçãoNão se aplicaNão se aplicaNão se aplicaEPBFora ponta",Mercado_Receita!$J$2:$J$1214)+SUMIF(Mercado_Receita!$S$2:$S$1214,"44228A3DistribuiçãoNão se aplicaNão se aplicaNão se aplicaEPBNão se aplica",Mercado_Receita!$J$2:$J$1214)*1</f>
        <v>18000</v>
      </c>
      <c r="J7" s="12">
        <f>SUMIF(Mercado_Receita!$S$2:$S$1214,"44256A3DistribuiçãoNão se aplicaNão se aplicaNão se aplicaEPBFora ponta",Mercado_Receita!$J$2:$J$1214)+SUMIF(Mercado_Receita!$S$2:$S$1214,"44256A3DistribuiçãoNão se aplicaNão se aplicaNão se aplicaEPBNão se aplica",Mercado_Receita!$J$2:$J$1214)*1</f>
        <v>18000</v>
      </c>
      <c r="K7" s="12">
        <f>SUMIF(Mercado_Receita!$S$2:$S$1214,"44287A3DistribuiçãoNão se aplicaNão se aplicaNão se aplicaEPBFora ponta",Mercado_Receita!$J$2:$J$1214)+SUMIF(Mercado_Receita!$S$2:$S$1214,"44287A3DistribuiçãoNão se aplicaNão se aplicaNão se aplicaEPBNão se aplica",Mercado_Receita!$J$2:$J$1214)*1</f>
        <v>18000</v>
      </c>
      <c r="L7" s="12">
        <f>SUMIF(Mercado_Receita!$S$2:$S$1214,"44317A3DistribuiçãoNão se aplicaNão se aplicaNão se aplicaEPBFora ponta",Mercado_Receita!$J$2:$J$1214)+SUMIF(Mercado_Receita!$S$2:$S$1214,"44317A3DistribuiçãoNão se aplicaNão se aplicaNão se aplicaEPBNão se aplica",Mercado_Receita!$J$2:$J$1214)*1</f>
        <v>18000</v>
      </c>
      <c r="M7" s="12">
        <f>SUMIF(Mercado_Receita!$S$2:$S$1214,"44348A3DistribuiçãoNão se aplicaNão se aplicaNão se aplicaEPBFora ponta",Mercado_Receita!$J$2:$J$1214)+SUMIF(Mercado_Receita!$S$2:$S$1214,"44348A3DistribuiçãoNão se aplicaNão se aplicaNão se aplicaEPBNão se aplica",Mercado_Receita!$J$2:$J$1214)*1</f>
        <v>18000</v>
      </c>
      <c r="N7" s="12">
        <f>SUMIF(Mercado_Receita!$S$2:$S$1214,"44378A3DistribuiçãoNão se aplicaNão se aplicaNão se aplicaEPBFora ponta",Mercado_Receita!$J$2:$J$1214)+SUMIF(Mercado_Receita!$S$2:$S$1214,"44378A3DistribuiçãoNão se aplicaNão se aplicaNão se aplicaEPBNão se aplica",Mercado_Receita!$J$2:$J$1214)*1</f>
        <v>18000</v>
      </c>
      <c r="O7" s="12">
        <f>SUMIF(Mercado_Receita!$S$2:$S$1214,"44409A3DistribuiçãoNão se aplicaNão se aplicaNão se aplicaEPBFora ponta",Mercado_Receita!$J$2:$J$1214)+SUMIF(Mercado_Receita!$S$2:$S$1214,"44409A3DistribuiçãoNão se aplicaNão se aplicaNão se aplicaEPBNão se aplica",Mercado_Receita!$J$2:$J$1214)*1</f>
        <v>18000</v>
      </c>
      <c r="P7" s="12">
        <f>SUMIF(Mercado_Receita!$S$2:$S$1214,"44440A3DistribuiçãoNão se aplicaNão se aplicaNão se aplicaEPBFora ponta",Mercado_Receita!$J$2:$J$1214)+SUMIF(Mercado_Receita!$S$2:$S$1214,"44440A3DistribuiçãoNão se aplicaNão se aplicaNão se aplicaEPBNão se aplica",Mercado_Receita!$J$2:$J$1214)*1</f>
        <v>18000</v>
      </c>
      <c r="Q7" s="12">
        <f>SUMIF(Mercado_Receita!$S$2:$S$1214,"44470A3DistribuiçãoNão se aplicaNão se aplicaNão se aplicaEPBFora ponta",Mercado_Receita!$J$2:$J$1214)+SUMIF(Mercado_Receita!$S$2:$S$1214,"44470A3DistribuiçãoNão se aplicaNão se aplicaNão se aplicaEPBNão se aplica",Mercado_Receita!$J$2:$J$1214)*1</f>
        <v>18000</v>
      </c>
      <c r="R7" s="12">
        <f>SUMIF(Mercado_Receita!$S$2:$S$1214,"44501A3DistribuiçãoNão se aplicaNão se aplicaNão se aplicaEPBFora ponta",Mercado_Receita!$J$2:$J$1214)+SUMIF(Mercado_Receita!$S$2:$S$1214,"44501A3DistribuiçãoNão se aplicaNão se aplicaNão se aplicaEPBNão se aplica",Mercado_Receita!$J$2:$J$1214)*1</f>
        <v>18000</v>
      </c>
      <c r="S7" s="12">
        <f>SUMIF(Mercado_Receita!$S$2:$S$1214,"44531A3DistribuiçãoNão se aplicaNão se aplicaNão se aplicaEPBFora ponta",Mercado_Receita!$J$2:$J$1214)+SUMIF(Mercado_Receita!$S$2:$S$1214,"44531A3DistribuiçãoNão se aplicaNão se aplicaNão se aplicaEPBNão se aplica",Mercado_Receita!$J$2:$J$1214)*1</f>
        <v>19960</v>
      </c>
      <c r="T7" s="12">
        <f>SUMIF(Mercado_Receita!$S$2:$S$1214,"44562A3DistribuiçãoNão se aplicaNão se aplicaNão se aplicaEPBFora ponta",Mercado_Receita!$J$2:$J$1214)+SUMIF(Mercado_Receita!$S$2:$S$1214,"44562A3DistribuiçãoNão se aplicaNão se aplicaNão se aplicaEPBNão se aplica",Mercado_Receita!$J$2:$J$1214)*1</f>
        <v>19960</v>
      </c>
      <c r="U7" s="12">
        <f t="shared" si="0"/>
        <v>219920</v>
      </c>
      <c r="V7" s="12"/>
      <c r="W7" s="12"/>
    </row>
    <row r="8" spans="1:30" ht="11.25" customHeight="1" x14ac:dyDescent="0.25">
      <c r="A8" s="92"/>
      <c r="B8" s="92"/>
      <c r="C8" s="92"/>
      <c r="D8" s="92"/>
      <c r="E8" s="92"/>
      <c r="F8" s="92"/>
      <c r="G8" s="12" t="s">
        <v>84</v>
      </c>
      <c r="H8" s="12" t="s">
        <v>78</v>
      </c>
      <c r="I8" s="12">
        <f>IF((I6+I7)&lt;&gt;0,SUMIF(Mercado_Receita!$S$2:$S$1214,"44228A3DistribuiçãoNão se aplicaNão se aplicaNão se aplicaEPBPonta",Mercado_Receita!$L$2:$L$1214)+SUMIF(Mercado_Receita!$S$2:$S$1214,"44228A3DistribuiçãoNão se aplicaNão se aplicaNão se aplicaEPBFora ponta",Mercado_Receita!$L$2:$L$1214)+SUMIF(Mercado_Receita!$S$2:$S$1214,"44228A3DistribuiçãoNão se aplicaNão se aplicaNão se aplicaEPBIntermediário",Mercado_Receita!$L$2:$L$1214)+SUMIF(Mercado_Receita!$S$2:$S$1214,"44228A3DistribuiçãoNão se aplicaNão se aplicaNão se aplicaEPBNão se aplica",Mercado_Receita!$L$2:$L$1214),0)</f>
        <v>3631.2449999999999</v>
      </c>
      <c r="J8" s="12">
        <f>IF((J6+J7)&lt;&gt;0,SUMIF(Mercado_Receita!$S$2:$S$1214,"44256A3DistribuiçãoNão se aplicaNão se aplicaNão se aplicaEPBPonta",Mercado_Receita!$L$2:$L$1214)+SUMIF(Mercado_Receita!$S$2:$S$1214,"44256A3DistribuiçãoNão se aplicaNão se aplicaNão se aplicaEPBFora ponta",Mercado_Receita!$L$2:$L$1214)+SUMIF(Mercado_Receita!$S$2:$S$1214,"44256A3DistribuiçãoNão se aplicaNão se aplicaNão se aplicaEPBIntermediário",Mercado_Receita!$L$2:$L$1214)+SUMIF(Mercado_Receita!$S$2:$S$1214,"44256A3DistribuiçãoNão se aplicaNão se aplicaNão se aplicaEPBNão se aplica",Mercado_Receita!$L$2:$L$1214),0)</f>
        <v>3521.2919999999999</v>
      </c>
      <c r="K8" s="12">
        <f>IF((K6+K7)&lt;&gt;0,SUMIF(Mercado_Receita!$S$2:$S$1214,"44287A3DistribuiçãoNão se aplicaNão se aplicaNão se aplicaEPBPonta",Mercado_Receita!$L$2:$L$1214)+SUMIF(Mercado_Receita!$S$2:$S$1214,"44287A3DistribuiçãoNão se aplicaNão se aplicaNão se aplicaEPBFora ponta",Mercado_Receita!$L$2:$L$1214)+SUMIF(Mercado_Receita!$S$2:$S$1214,"44287A3DistribuiçãoNão se aplicaNão se aplicaNão se aplicaEPBIntermediário",Mercado_Receita!$L$2:$L$1214)+SUMIF(Mercado_Receita!$S$2:$S$1214,"44287A3DistribuiçãoNão se aplicaNão se aplicaNão se aplicaEPBNão se aplica",Mercado_Receita!$L$2:$L$1214),0)</f>
        <v>3705.5189999999998</v>
      </c>
      <c r="L8" s="12">
        <f>IF((L6+L7)&lt;&gt;0,SUMIF(Mercado_Receita!$S$2:$S$1214,"44317A3DistribuiçãoNão se aplicaNão se aplicaNão se aplicaEPBPonta",Mercado_Receita!$L$2:$L$1214)+SUMIF(Mercado_Receita!$S$2:$S$1214,"44317A3DistribuiçãoNão se aplicaNão se aplicaNão se aplicaEPBFora ponta",Mercado_Receita!$L$2:$L$1214)+SUMIF(Mercado_Receita!$S$2:$S$1214,"44317A3DistribuiçãoNão se aplicaNão se aplicaNão se aplicaEPBIntermediário",Mercado_Receita!$L$2:$L$1214)+SUMIF(Mercado_Receita!$S$2:$S$1214,"44317A3DistribuiçãoNão se aplicaNão se aplicaNão se aplicaEPBNão se aplica",Mercado_Receita!$L$2:$L$1214),0)</f>
        <v>3171.585</v>
      </c>
      <c r="M8" s="12">
        <f>IF((M6+M7)&lt;&gt;0,SUMIF(Mercado_Receita!$S$2:$S$1214,"44348A3DistribuiçãoNão se aplicaNão se aplicaNão se aplicaEPBPonta",Mercado_Receita!$L$2:$L$1214)+SUMIF(Mercado_Receita!$S$2:$S$1214,"44348A3DistribuiçãoNão se aplicaNão se aplicaNão se aplicaEPBFora ponta",Mercado_Receita!$L$2:$L$1214)+SUMIF(Mercado_Receita!$S$2:$S$1214,"44348A3DistribuiçãoNão se aplicaNão se aplicaNão se aplicaEPBIntermediário",Mercado_Receita!$L$2:$L$1214)+SUMIF(Mercado_Receita!$S$2:$S$1214,"44348A3DistribuiçãoNão se aplicaNão se aplicaNão se aplicaEPBNão se aplica",Mercado_Receita!$L$2:$L$1214),0)</f>
        <v>3439.7919999999999</v>
      </c>
      <c r="N8" s="12">
        <f>IF((N6+N7)&lt;&gt;0,SUMIF(Mercado_Receita!$S$2:$S$1214,"44378A3DistribuiçãoNão se aplicaNão se aplicaNão se aplicaEPBPonta",Mercado_Receita!$L$2:$L$1214)+SUMIF(Mercado_Receita!$S$2:$S$1214,"44378A3DistribuiçãoNão se aplicaNão se aplicaNão se aplicaEPBFora ponta",Mercado_Receita!$L$2:$L$1214)+SUMIF(Mercado_Receita!$S$2:$S$1214,"44378A3DistribuiçãoNão se aplicaNão se aplicaNão se aplicaEPBIntermediário",Mercado_Receita!$L$2:$L$1214)+SUMIF(Mercado_Receita!$S$2:$S$1214,"44378A3DistribuiçãoNão se aplicaNão se aplicaNão se aplicaEPBNão se aplica",Mercado_Receita!$L$2:$L$1214),0)</f>
        <v>3213.2269999999999</v>
      </c>
      <c r="O8" s="12">
        <f>IF((O6+O7)&lt;&gt;0,SUMIF(Mercado_Receita!$S$2:$S$1214,"44409A3DistribuiçãoNão se aplicaNão se aplicaNão se aplicaEPBPonta",Mercado_Receita!$L$2:$L$1214)+SUMIF(Mercado_Receita!$S$2:$S$1214,"44409A3DistribuiçãoNão se aplicaNão se aplicaNão se aplicaEPBFora ponta",Mercado_Receita!$L$2:$L$1214)+SUMIF(Mercado_Receita!$S$2:$S$1214,"44409A3DistribuiçãoNão se aplicaNão se aplicaNão se aplicaEPBIntermediário",Mercado_Receita!$L$2:$L$1214)+SUMIF(Mercado_Receita!$S$2:$S$1214,"44409A3DistribuiçãoNão se aplicaNão se aplicaNão se aplicaEPBNão se aplica",Mercado_Receita!$L$2:$L$1214),0)</f>
        <v>3284.6260000000002</v>
      </c>
      <c r="P8" s="12">
        <f>IF((P6+P7)&lt;&gt;0,SUMIF(Mercado_Receita!$S$2:$S$1214,"44440A3DistribuiçãoNão se aplicaNão se aplicaNão se aplicaEPBPonta",Mercado_Receita!$L$2:$L$1214)+SUMIF(Mercado_Receita!$S$2:$S$1214,"44440A3DistribuiçãoNão se aplicaNão se aplicaNão se aplicaEPBFora ponta",Mercado_Receita!$L$2:$L$1214)+SUMIF(Mercado_Receita!$S$2:$S$1214,"44440A3DistribuiçãoNão se aplicaNão se aplicaNão se aplicaEPBIntermediário",Mercado_Receita!$L$2:$L$1214)+SUMIF(Mercado_Receita!$S$2:$S$1214,"44440A3DistribuiçãoNão se aplicaNão se aplicaNão se aplicaEPBNão se aplica",Mercado_Receita!$L$2:$L$1214),0)</f>
        <v>3266.6419999999998</v>
      </c>
      <c r="Q8" s="12">
        <f>IF((Q6+Q7)&lt;&gt;0,SUMIF(Mercado_Receita!$S$2:$S$1214,"44470A3DistribuiçãoNão se aplicaNão se aplicaNão se aplicaEPBPonta",Mercado_Receita!$L$2:$L$1214)+SUMIF(Mercado_Receita!$S$2:$S$1214,"44470A3DistribuiçãoNão se aplicaNão se aplicaNão se aplicaEPBFora ponta",Mercado_Receita!$L$2:$L$1214)+SUMIF(Mercado_Receita!$S$2:$S$1214,"44470A3DistribuiçãoNão se aplicaNão se aplicaNão se aplicaEPBIntermediário",Mercado_Receita!$L$2:$L$1214)+SUMIF(Mercado_Receita!$S$2:$S$1214,"44470A3DistribuiçãoNão se aplicaNão se aplicaNão se aplicaEPBNão se aplica",Mercado_Receita!$L$2:$L$1214),0)</f>
        <v>3490.26</v>
      </c>
      <c r="R8" s="12">
        <f>IF((R6+R7)&lt;&gt;0,SUMIF(Mercado_Receita!$S$2:$S$1214,"44501A3DistribuiçãoNão se aplicaNão se aplicaNão se aplicaEPBPonta",Mercado_Receita!$L$2:$L$1214)+SUMIF(Mercado_Receita!$S$2:$S$1214,"44501A3DistribuiçãoNão se aplicaNão se aplicaNão se aplicaEPBFora ponta",Mercado_Receita!$L$2:$L$1214)+SUMIF(Mercado_Receita!$S$2:$S$1214,"44501A3DistribuiçãoNão se aplicaNão se aplicaNão se aplicaEPBIntermediário",Mercado_Receita!$L$2:$L$1214)+SUMIF(Mercado_Receita!$S$2:$S$1214,"44501A3DistribuiçãoNão se aplicaNão se aplicaNão se aplicaEPBNão se aplica",Mercado_Receita!$L$2:$L$1214),0)</f>
        <v>3623.9630000000002</v>
      </c>
      <c r="S8" s="12">
        <f>IF((S6+S7)&lt;&gt;0,SUMIF(Mercado_Receita!$S$2:$S$1214,"44531A3DistribuiçãoNão se aplicaNão se aplicaNão se aplicaEPBPonta",Mercado_Receita!$L$2:$L$1214)+SUMIF(Mercado_Receita!$S$2:$S$1214,"44531A3DistribuiçãoNão se aplicaNão se aplicaNão se aplicaEPBFora ponta",Mercado_Receita!$L$2:$L$1214)+SUMIF(Mercado_Receita!$S$2:$S$1214,"44531A3DistribuiçãoNão se aplicaNão se aplicaNão se aplicaEPBIntermediário",Mercado_Receita!$L$2:$L$1214)+SUMIF(Mercado_Receita!$S$2:$S$1214,"44531A3DistribuiçãoNão se aplicaNão se aplicaNão se aplicaEPBNão se aplica",Mercado_Receita!$L$2:$L$1214),0)</f>
        <v>3811.665</v>
      </c>
      <c r="T8" s="12">
        <f>IF((T6+T7)&lt;&gt;0,SUMIF(Mercado_Receita!$S$2:$S$1214,"44562A3DistribuiçãoNão se aplicaNão se aplicaNão se aplicaEPBPonta",Mercado_Receita!$L$2:$L$1214)+SUMIF(Mercado_Receita!$S$2:$S$1214,"44562A3DistribuiçãoNão se aplicaNão se aplicaNão se aplicaEPBFora ponta",Mercado_Receita!$L$2:$L$1214)+SUMIF(Mercado_Receita!$S$2:$S$1214,"44562A3DistribuiçãoNão se aplicaNão se aplicaNão se aplicaEPBIntermediário",Mercado_Receita!$L$2:$L$1214)+SUMIF(Mercado_Receita!$S$2:$S$1214,"44562A3DistribuiçãoNão se aplicaNão se aplicaNão se aplicaEPBNão se aplica",Mercado_Receita!$L$2:$L$1214),0)</f>
        <v>3811.665</v>
      </c>
      <c r="U8" s="12">
        <f t="shared" si="0"/>
        <v>41971.481000000007</v>
      </c>
      <c r="V8" s="12"/>
      <c r="W8" s="12"/>
    </row>
    <row r="9" spans="1:30" ht="11.25" customHeight="1" x14ac:dyDescent="0.25">
      <c r="A9" s="91" t="s">
        <v>39</v>
      </c>
      <c r="B9" s="91" t="s">
        <v>40</v>
      </c>
      <c r="C9" s="91" t="s">
        <v>25</v>
      </c>
      <c r="D9" s="91" t="s">
        <v>25</v>
      </c>
      <c r="E9" s="91" t="s">
        <v>25</v>
      </c>
      <c r="F9" s="91" t="s">
        <v>25</v>
      </c>
      <c r="G9" s="12" t="s">
        <v>82</v>
      </c>
      <c r="H9" s="12" t="s">
        <v>81</v>
      </c>
      <c r="I9" s="12">
        <f>SUMIF(Mercado_Receita!$S$2:$S$1214,"44228A4AzulNão se aplicaNão se aplicaNão se aplicaNão se aplicaPonta",Mercado_Receita!$J$2:$J$1214)+SUMIF(Mercado_Receita!$S$2:$S$1214,"44228A4AzulNão se aplicaNão se aplicaAPENão se aplicaPonta",Mercado_Receita!$J$2:$J$1214)</f>
        <v>8148</v>
      </c>
      <c r="J9" s="12">
        <f>SUMIF(Mercado_Receita!$S$2:$S$1214,"44256A4AzulNão se aplicaNão se aplicaNão se aplicaNão se aplicaPonta",Mercado_Receita!$J$2:$J$1214)+SUMIF(Mercado_Receita!$S$2:$S$1214,"44256A4AzulNão se aplicaNão se aplicaAPENão se aplicaPonta",Mercado_Receita!$J$2:$J$1214)</f>
        <v>7845</v>
      </c>
      <c r="K9" s="12">
        <f>SUMIF(Mercado_Receita!$S$2:$S$1214,"44287A4AzulNão se aplicaNão se aplicaNão se aplicaNão se aplicaPonta",Mercado_Receita!$J$2:$J$1214)+SUMIF(Mercado_Receita!$S$2:$S$1214,"44287A4AzulNão se aplicaNão se aplicaAPENão se aplicaPonta",Mercado_Receita!$J$2:$J$1214)</f>
        <v>8043</v>
      </c>
      <c r="L9" s="12">
        <f>SUMIF(Mercado_Receita!$S$2:$S$1214,"44317A4AzulNão se aplicaNão se aplicaNão se aplicaNão se aplicaPonta",Mercado_Receita!$J$2:$J$1214)+SUMIF(Mercado_Receita!$S$2:$S$1214,"44317A4AzulNão se aplicaNão se aplicaAPENão se aplicaPonta",Mercado_Receita!$J$2:$J$1214)</f>
        <v>7926</v>
      </c>
      <c r="M9" s="12">
        <f>SUMIF(Mercado_Receita!$S$2:$S$1214,"44348A4AzulNão se aplicaNão se aplicaNão se aplicaNão se aplicaPonta",Mercado_Receita!$J$2:$J$1214)+SUMIF(Mercado_Receita!$S$2:$S$1214,"44348A4AzulNão se aplicaNão se aplicaAPENão se aplicaPonta",Mercado_Receita!$J$2:$J$1214)</f>
        <v>7942</v>
      </c>
      <c r="N9" s="12">
        <f>SUMIF(Mercado_Receita!$S$2:$S$1214,"44378A4AzulNão se aplicaNão se aplicaNão se aplicaNão se aplicaPonta",Mercado_Receita!$J$2:$J$1214)+SUMIF(Mercado_Receita!$S$2:$S$1214,"44378A4AzulNão se aplicaNão se aplicaAPENão se aplicaPonta",Mercado_Receita!$J$2:$J$1214)</f>
        <v>7950</v>
      </c>
      <c r="O9" s="12">
        <f>SUMIF(Mercado_Receita!$S$2:$S$1214,"44409A4AzulNão se aplicaNão se aplicaNão se aplicaNão se aplicaPonta",Mercado_Receita!$J$2:$J$1214)+SUMIF(Mercado_Receita!$S$2:$S$1214,"44409A4AzulNão se aplicaNão se aplicaAPENão se aplicaPonta",Mercado_Receita!$J$2:$J$1214)</f>
        <v>7911</v>
      </c>
      <c r="P9" s="12">
        <f>SUMIF(Mercado_Receita!$S$2:$S$1214,"44440A4AzulNão se aplicaNão se aplicaNão se aplicaNão se aplicaPonta",Mercado_Receita!$J$2:$J$1214)+SUMIF(Mercado_Receita!$S$2:$S$1214,"44440A4AzulNão se aplicaNão se aplicaAPENão se aplicaPonta",Mercado_Receita!$J$2:$J$1214)</f>
        <v>7839</v>
      </c>
      <c r="Q9" s="12">
        <f>SUMIF(Mercado_Receita!$S$2:$S$1214,"44470A4AzulNão se aplicaNão se aplicaNão se aplicaNão se aplicaPonta",Mercado_Receita!$J$2:$J$1214)+SUMIF(Mercado_Receita!$S$2:$S$1214,"44470A4AzulNão se aplicaNão se aplicaAPENão se aplicaPonta",Mercado_Receita!$J$2:$J$1214)</f>
        <v>8079</v>
      </c>
      <c r="R9" s="12">
        <f>SUMIF(Mercado_Receita!$S$2:$S$1214,"44501A4AzulNão se aplicaNão se aplicaNão se aplicaNão se aplicaPonta",Mercado_Receita!$J$2:$J$1214)+SUMIF(Mercado_Receita!$S$2:$S$1214,"44501A4AzulNão se aplicaNão se aplicaAPENão se aplicaPonta",Mercado_Receita!$J$2:$J$1214)</f>
        <v>8173</v>
      </c>
      <c r="S9" s="12">
        <f>SUMIF(Mercado_Receita!$S$2:$S$1214,"44531A4AzulNão se aplicaNão se aplicaNão se aplicaNão se aplicaPonta",Mercado_Receita!$J$2:$J$1214)+SUMIF(Mercado_Receita!$S$2:$S$1214,"44531A4AzulNão se aplicaNão se aplicaAPENão se aplicaPonta",Mercado_Receita!$J$2:$J$1214)</f>
        <v>8229</v>
      </c>
      <c r="T9" s="12">
        <f>SUMIF(Mercado_Receita!$S$2:$S$1214,"44562A4AzulNão se aplicaNão se aplicaNão se aplicaNão se aplicaPonta",Mercado_Receita!$J$2:$J$1214)+SUMIF(Mercado_Receita!$S$2:$S$1214,"44562A4AzulNão se aplicaNão se aplicaAPENão se aplicaPonta",Mercado_Receita!$J$2:$J$1214)</f>
        <v>8229</v>
      </c>
      <c r="U9" s="12">
        <f t="shared" si="0"/>
        <v>96314</v>
      </c>
      <c r="V9" s="12"/>
      <c r="W9" s="12"/>
    </row>
    <row r="10" spans="1:30" ht="11.25" customHeight="1" x14ac:dyDescent="0.25">
      <c r="A10" s="92"/>
      <c r="B10" s="92"/>
      <c r="C10" s="92"/>
      <c r="D10" s="92"/>
      <c r="E10" s="92"/>
      <c r="F10" s="92"/>
      <c r="G10" s="12" t="s">
        <v>83</v>
      </c>
      <c r="H10" s="12" t="s">
        <v>81</v>
      </c>
      <c r="I10" s="12">
        <f>SUMIF(Mercado_Receita!$S$2:$S$1214,"44228A4AzulNão se aplicaNão se aplicaNão se aplicaNão se aplicaFora ponta",Mercado_Receita!$J$2:$J$1214)+SUMIF(Mercado_Receita!$S$2:$S$1214,"44228A4AzulNão se aplicaNão se aplicaAPENão se aplicaFora ponta",Mercado_Receita!$J$2:$J$1214)</f>
        <v>9558</v>
      </c>
      <c r="J10" s="12">
        <f>SUMIF(Mercado_Receita!$S$2:$S$1214,"44256A4AzulNão se aplicaNão se aplicaNão se aplicaNão se aplicaFora ponta",Mercado_Receita!$J$2:$J$1214)+SUMIF(Mercado_Receita!$S$2:$S$1214,"44256A4AzulNão se aplicaNão se aplicaAPENão se aplicaFora ponta",Mercado_Receita!$J$2:$J$1214)</f>
        <v>9355</v>
      </c>
      <c r="K10" s="12">
        <f>SUMIF(Mercado_Receita!$S$2:$S$1214,"44287A4AzulNão se aplicaNão se aplicaNão se aplicaNão se aplicaFora ponta",Mercado_Receita!$J$2:$J$1214)+SUMIF(Mercado_Receita!$S$2:$S$1214,"44287A4AzulNão se aplicaNão se aplicaAPENão se aplicaFora ponta",Mercado_Receita!$J$2:$J$1214)</f>
        <v>9489</v>
      </c>
      <c r="L10" s="12">
        <f>SUMIF(Mercado_Receita!$S$2:$S$1214,"44317A4AzulNão se aplicaNão se aplicaNão se aplicaNão se aplicaFora ponta",Mercado_Receita!$J$2:$J$1214)+SUMIF(Mercado_Receita!$S$2:$S$1214,"44317A4AzulNão se aplicaNão se aplicaAPENão se aplicaFora ponta",Mercado_Receita!$J$2:$J$1214)</f>
        <v>9347</v>
      </c>
      <c r="M10" s="12">
        <f>SUMIF(Mercado_Receita!$S$2:$S$1214,"44348A4AzulNão se aplicaNão se aplicaNão se aplicaNão se aplicaFora ponta",Mercado_Receita!$J$2:$J$1214)+SUMIF(Mercado_Receita!$S$2:$S$1214,"44348A4AzulNão se aplicaNão se aplicaAPENão se aplicaFora ponta",Mercado_Receita!$J$2:$J$1214)</f>
        <v>9377</v>
      </c>
      <c r="N10" s="12">
        <f>SUMIF(Mercado_Receita!$S$2:$S$1214,"44378A4AzulNão se aplicaNão se aplicaNão se aplicaNão se aplicaFora ponta",Mercado_Receita!$J$2:$J$1214)+SUMIF(Mercado_Receita!$S$2:$S$1214,"44378A4AzulNão se aplicaNão se aplicaAPENão se aplicaFora ponta",Mercado_Receita!$J$2:$J$1214)</f>
        <v>9317</v>
      </c>
      <c r="O10" s="12">
        <f>SUMIF(Mercado_Receita!$S$2:$S$1214,"44409A4AzulNão se aplicaNão se aplicaNão se aplicaNão se aplicaFora ponta",Mercado_Receita!$J$2:$J$1214)+SUMIF(Mercado_Receita!$S$2:$S$1214,"44409A4AzulNão se aplicaNão se aplicaAPENão se aplicaFora ponta",Mercado_Receita!$J$2:$J$1214)</f>
        <v>9527</v>
      </c>
      <c r="P10" s="12">
        <f>SUMIF(Mercado_Receita!$S$2:$S$1214,"44440A4AzulNão se aplicaNão se aplicaNão se aplicaNão se aplicaFora ponta",Mercado_Receita!$J$2:$J$1214)+SUMIF(Mercado_Receita!$S$2:$S$1214,"44440A4AzulNão se aplicaNão se aplicaAPENão se aplicaFora ponta",Mercado_Receita!$J$2:$J$1214)</f>
        <v>9284</v>
      </c>
      <c r="Q10" s="12">
        <f>SUMIF(Mercado_Receita!$S$2:$S$1214,"44470A4AzulNão se aplicaNão se aplicaNão se aplicaNão se aplicaFora ponta",Mercado_Receita!$J$2:$J$1214)+SUMIF(Mercado_Receita!$S$2:$S$1214,"44470A4AzulNão se aplicaNão se aplicaAPENão se aplicaFora ponta",Mercado_Receita!$J$2:$J$1214)</f>
        <v>9362</v>
      </c>
      <c r="R10" s="12">
        <f>SUMIF(Mercado_Receita!$S$2:$S$1214,"44501A4AzulNão se aplicaNão se aplicaNão se aplicaNão se aplicaFora ponta",Mercado_Receita!$J$2:$J$1214)+SUMIF(Mercado_Receita!$S$2:$S$1214,"44501A4AzulNão se aplicaNão se aplicaAPENão se aplicaFora ponta",Mercado_Receita!$J$2:$J$1214)</f>
        <v>9503</v>
      </c>
      <c r="S10" s="12">
        <f>SUMIF(Mercado_Receita!$S$2:$S$1214,"44531A4AzulNão se aplicaNão se aplicaNão se aplicaNão se aplicaFora ponta",Mercado_Receita!$J$2:$J$1214)+SUMIF(Mercado_Receita!$S$2:$S$1214,"44531A4AzulNão se aplicaNão se aplicaAPENão se aplicaFora ponta",Mercado_Receita!$J$2:$J$1214)</f>
        <v>9416</v>
      </c>
      <c r="T10" s="12">
        <f>SUMIF(Mercado_Receita!$S$2:$S$1214,"44562A4AzulNão se aplicaNão se aplicaNão se aplicaNão se aplicaFora ponta",Mercado_Receita!$J$2:$J$1214)+SUMIF(Mercado_Receita!$S$2:$S$1214,"44562A4AzulNão se aplicaNão se aplicaAPENão se aplicaFora ponta",Mercado_Receita!$J$2:$J$1214)</f>
        <v>9416</v>
      </c>
      <c r="U10" s="12">
        <f t="shared" si="0"/>
        <v>112951</v>
      </c>
      <c r="V10" s="12"/>
      <c r="W10" s="12"/>
    </row>
    <row r="11" spans="1:30" ht="11.25" customHeight="1" x14ac:dyDescent="0.25">
      <c r="A11" s="92"/>
      <c r="B11" s="92"/>
      <c r="C11" s="92"/>
      <c r="D11" s="92"/>
      <c r="E11" s="92"/>
      <c r="F11" s="92"/>
      <c r="G11" s="12" t="s">
        <v>84</v>
      </c>
      <c r="H11" s="12" t="s">
        <v>78</v>
      </c>
      <c r="I11" s="12">
        <f>SUMIF(Mercado_Receita!$S$2:$S$1214,"44228A4AzulNão se aplicaNão se aplicaNão se aplicaNão se aplicaPonta",Mercado_Receita!$L$2:$L$1214)+SUMIF(Mercado_Receita!$S$2:$S$1214,"44228A4AzulNão se aplicaNão se aplicaNão se aplicaNão se aplicaFora ponta",Mercado_Receita!$L$2:$L$1214)+SUMIF(Mercado_Receita!$S$2:$S$1214,"44228A4AzulNão se aplicaNão se aplicaNão se aplicaNão se aplicaIntermediário",Mercado_Receita!$L$2:$L$1214)+SUMIF(Mercado_Receita!$S$2:$S$1214,"44228A4AzulNão se aplicaNão se aplicaNão se aplicaNão se aplicaNão se aplica",Mercado_Receita!$L$2:$L$1214)</f>
        <v>3632.7849999999999</v>
      </c>
      <c r="J11" s="12">
        <f>SUMIF(Mercado_Receita!$S$2:$S$1214,"44256A4AzulNão se aplicaNão se aplicaNão se aplicaNão se aplicaPonta",Mercado_Receita!$L$2:$L$1214)+SUMIF(Mercado_Receita!$S$2:$S$1214,"44256A4AzulNão se aplicaNão se aplicaNão se aplicaNão se aplicaFora ponta",Mercado_Receita!$L$2:$L$1214)+SUMIF(Mercado_Receita!$S$2:$S$1214,"44256A4AzulNão se aplicaNão se aplicaNão se aplicaNão se aplicaIntermediário",Mercado_Receita!$L$2:$L$1214)+SUMIF(Mercado_Receita!$S$2:$S$1214,"44256A4AzulNão se aplicaNão se aplicaNão se aplicaNão se aplicaNão se aplica",Mercado_Receita!$L$2:$L$1214)</f>
        <v>3685.02</v>
      </c>
      <c r="K11" s="12">
        <f>SUMIF(Mercado_Receita!$S$2:$S$1214,"44287A4AzulNão se aplicaNão se aplicaNão se aplicaNão se aplicaPonta",Mercado_Receita!$L$2:$L$1214)+SUMIF(Mercado_Receita!$S$2:$S$1214,"44287A4AzulNão se aplicaNão se aplicaNão se aplicaNão se aplicaFora ponta",Mercado_Receita!$L$2:$L$1214)+SUMIF(Mercado_Receita!$S$2:$S$1214,"44287A4AzulNão se aplicaNão se aplicaNão se aplicaNão se aplicaIntermediário",Mercado_Receita!$L$2:$L$1214)+SUMIF(Mercado_Receita!$S$2:$S$1214,"44287A4AzulNão se aplicaNão se aplicaNão se aplicaNão se aplicaNão se aplica",Mercado_Receita!$L$2:$L$1214)</f>
        <v>3583.502</v>
      </c>
      <c r="L11" s="12">
        <f>SUMIF(Mercado_Receita!$S$2:$S$1214,"44317A4AzulNão se aplicaNão se aplicaNão se aplicaNão se aplicaPonta",Mercado_Receita!$L$2:$L$1214)+SUMIF(Mercado_Receita!$S$2:$S$1214,"44317A4AzulNão se aplicaNão se aplicaNão se aplicaNão se aplicaFora ponta",Mercado_Receita!$L$2:$L$1214)+SUMIF(Mercado_Receita!$S$2:$S$1214,"44317A4AzulNão se aplicaNão se aplicaNão se aplicaNão se aplicaIntermediário",Mercado_Receita!$L$2:$L$1214)+SUMIF(Mercado_Receita!$S$2:$S$1214,"44317A4AzulNão se aplicaNão se aplicaNão se aplicaNão se aplicaNão se aplica",Mercado_Receita!$L$2:$L$1214)</f>
        <v>3602.268</v>
      </c>
      <c r="M11" s="12">
        <f>SUMIF(Mercado_Receita!$S$2:$S$1214,"44348A4AzulNão se aplicaNão se aplicaNão se aplicaNão se aplicaPonta",Mercado_Receita!$L$2:$L$1214)+SUMIF(Mercado_Receita!$S$2:$S$1214,"44348A4AzulNão se aplicaNão se aplicaNão se aplicaNão se aplicaFora ponta",Mercado_Receita!$L$2:$L$1214)+SUMIF(Mercado_Receita!$S$2:$S$1214,"44348A4AzulNão se aplicaNão se aplicaNão se aplicaNão se aplicaIntermediário",Mercado_Receita!$L$2:$L$1214)+SUMIF(Mercado_Receita!$S$2:$S$1214,"44348A4AzulNão se aplicaNão se aplicaNão se aplicaNão se aplicaNão se aplica",Mercado_Receita!$L$2:$L$1214)</f>
        <v>3631.0030000000002</v>
      </c>
      <c r="N11" s="12">
        <f>SUMIF(Mercado_Receita!$S$2:$S$1214,"44378A4AzulNão se aplicaNão se aplicaNão se aplicaNão se aplicaPonta",Mercado_Receita!$L$2:$L$1214)+SUMIF(Mercado_Receita!$S$2:$S$1214,"44378A4AzulNão se aplicaNão se aplicaNão se aplicaNão se aplicaFora ponta",Mercado_Receita!$L$2:$L$1214)+SUMIF(Mercado_Receita!$S$2:$S$1214,"44378A4AzulNão se aplicaNão se aplicaNão se aplicaNão se aplicaIntermediário",Mercado_Receita!$L$2:$L$1214)+SUMIF(Mercado_Receita!$S$2:$S$1214,"44378A4AzulNão se aplicaNão se aplicaNão se aplicaNão se aplicaNão se aplica",Mercado_Receita!$L$2:$L$1214)</f>
        <v>3343.19</v>
      </c>
      <c r="O11" s="12">
        <f>SUMIF(Mercado_Receita!$S$2:$S$1214,"44409A4AzulNão se aplicaNão se aplicaNão se aplicaNão se aplicaPonta",Mercado_Receita!$L$2:$L$1214)+SUMIF(Mercado_Receita!$S$2:$S$1214,"44409A4AzulNão se aplicaNão se aplicaNão se aplicaNão se aplicaFora ponta",Mercado_Receita!$L$2:$L$1214)+SUMIF(Mercado_Receita!$S$2:$S$1214,"44409A4AzulNão se aplicaNão se aplicaNão se aplicaNão se aplicaIntermediário",Mercado_Receita!$L$2:$L$1214)+SUMIF(Mercado_Receita!$S$2:$S$1214,"44409A4AzulNão se aplicaNão se aplicaNão se aplicaNão se aplicaNão se aplica",Mercado_Receita!$L$2:$L$1214)</f>
        <v>3602.3450000000003</v>
      </c>
      <c r="P11" s="12">
        <f>SUMIF(Mercado_Receita!$S$2:$S$1214,"44440A4AzulNão se aplicaNão se aplicaNão se aplicaNão se aplicaPonta",Mercado_Receita!$L$2:$L$1214)+SUMIF(Mercado_Receita!$S$2:$S$1214,"44440A4AzulNão se aplicaNão se aplicaNão se aplicaNão se aplicaFora ponta",Mercado_Receita!$L$2:$L$1214)+SUMIF(Mercado_Receita!$S$2:$S$1214,"44440A4AzulNão se aplicaNão se aplicaNão se aplicaNão se aplicaIntermediário",Mercado_Receita!$L$2:$L$1214)+SUMIF(Mercado_Receita!$S$2:$S$1214,"44440A4AzulNão se aplicaNão se aplicaNão se aplicaNão se aplicaNão se aplica",Mercado_Receita!$L$2:$L$1214)</f>
        <v>3532.1220000000003</v>
      </c>
      <c r="Q11" s="12">
        <f>SUMIF(Mercado_Receita!$S$2:$S$1214,"44470A4AzulNão se aplicaNão se aplicaNão se aplicaNão se aplicaPonta",Mercado_Receita!$L$2:$L$1214)+SUMIF(Mercado_Receita!$S$2:$S$1214,"44470A4AzulNão se aplicaNão se aplicaNão se aplicaNão se aplicaFora ponta",Mercado_Receita!$L$2:$L$1214)+SUMIF(Mercado_Receita!$S$2:$S$1214,"44470A4AzulNão se aplicaNão se aplicaNão se aplicaNão se aplicaIntermediário",Mercado_Receita!$L$2:$L$1214)+SUMIF(Mercado_Receita!$S$2:$S$1214,"44470A4AzulNão se aplicaNão se aplicaNão se aplicaNão se aplicaNão se aplica",Mercado_Receita!$L$2:$L$1214)</f>
        <v>3622.5279999999998</v>
      </c>
      <c r="R11" s="12">
        <f>SUMIF(Mercado_Receita!$S$2:$S$1214,"44501A4AzulNão se aplicaNão se aplicaNão se aplicaNão se aplicaPonta",Mercado_Receita!$L$2:$L$1214)+SUMIF(Mercado_Receita!$S$2:$S$1214,"44501A4AzulNão se aplicaNão se aplicaNão se aplicaNão se aplicaFora ponta",Mercado_Receita!$L$2:$L$1214)+SUMIF(Mercado_Receita!$S$2:$S$1214,"44501A4AzulNão se aplicaNão se aplicaNão se aplicaNão se aplicaIntermediário",Mercado_Receita!$L$2:$L$1214)+SUMIF(Mercado_Receita!$S$2:$S$1214,"44501A4AzulNão se aplicaNão se aplicaNão se aplicaNão se aplicaNão se aplica",Mercado_Receita!$L$2:$L$1214)</f>
        <v>3838.7869999999998</v>
      </c>
      <c r="S11" s="12">
        <f>SUMIF(Mercado_Receita!$S$2:$S$1214,"44531A4AzulNão se aplicaNão se aplicaNão se aplicaNão se aplicaPonta",Mercado_Receita!$L$2:$L$1214)+SUMIF(Mercado_Receita!$S$2:$S$1214,"44531A4AzulNão se aplicaNão se aplicaNão se aplicaNão se aplicaFora ponta",Mercado_Receita!$L$2:$L$1214)+SUMIF(Mercado_Receita!$S$2:$S$1214,"44531A4AzulNão se aplicaNão se aplicaNão se aplicaNão se aplicaIntermediário",Mercado_Receita!$L$2:$L$1214)+SUMIF(Mercado_Receita!$S$2:$S$1214,"44531A4AzulNão se aplicaNão se aplicaNão se aplicaNão se aplicaNão se aplica",Mercado_Receita!$L$2:$L$1214)</f>
        <v>3834.8069999999998</v>
      </c>
      <c r="T11" s="12">
        <f>SUMIF(Mercado_Receita!$S$2:$S$1214,"44562A4AzulNão se aplicaNão se aplicaNão se aplicaNão se aplicaPonta",Mercado_Receita!$L$2:$L$1214)+SUMIF(Mercado_Receita!$S$2:$S$1214,"44562A4AzulNão se aplicaNão se aplicaNão se aplicaNão se aplicaFora ponta",Mercado_Receita!$L$2:$L$1214)+SUMIF(Mercado_Receita!$S$2:$S$1214,"44562A4AzulNão se aplicaNão se aplicaNão se aplicaNão se aplicaIntermediário",Mercado_Receita!$L$2:$L$1214)+SUMIF(Mercado_Receita!$S$2:$S$1214,"44562A4AzulNão se aplicaNão se aplicaNão se aplicaNão se aplicaNão se aplica",Mercado_Receita!$L$2:$L$1214)</f>
        <v>3834.8069999999998</v>
      </c>
      <c r="U11" s="12">
        <f t="shared" si="0"/>
        <v>43743.163999999997</v>
      </c>
      <c r="V11" s="12"/>
      <c r="W11" s="12"/>
    </row>
    <row r="12" spans="1:30" ht="11.25" customHeight="1" x14ac:dyDescent="0.25">
      <c r="A12" s="92"/>
      <c r="B12" s="92"/>
      <c r="C12" s="92"/>
      <c r="D12" s="92"/>
      <c r="E12" s="13" t="s">
        <v>85</v>
      </c>
      <c r="F12" s="13" t="s">
        <v>25</v>
      </c>
      <c r="G12" s="12" t="s">
        <v>84</v>
      </c>
      <c r="H12" s="12" t="s">
        <v>78</v>
      </c>
      <c r="I12" s="12">
        <f>SUMIF(Mercado_Receita!$S$2:$S$1214,"44228A4AzulNão se aplicaNão se aplicaAPENão se aplicaPonta",Mercado_Receita!$L$2:$L$1214)+SUMIF(Mercado_Receita!$S$2:$S$1214,"44228A4AzulNão se aplicaNão se aplicaAPENão se aplicaFora ponta",Mercado_Receita!$L$2:$L$1214)+SUMIF(Mercado_Receita!$S$2:$S$1214,"44228A4AzulNão se aplicaNão se aplicaAPENão se aplicaIntermediário",Mercado_Receita!$L$2:$L$1214)+SUMIF(Mercado_Receita!$S$2:$S$1214,"44228A4AzulNão se aplicaNão se aplicaAPENão se aplicaNão se aplica",Mercado_Receita!$L$2:$L$1214)</f>
        <v>0</v>
      </c>
      <c r="J12" s="12">
        <f>SUMIF(Mercado_Receita!$S$2:$S$1214,"44256A4AzulNão se aplicaNão se aplicaAPENão se aplicaPonta",Mercado_Receita!$L$2:$L$1214)+SUMIF(Mercado_Receita!$S$2:$S$1214,"44256A4AzulNão se aplicaNão se aplicaAPENão se aplicaFora ponta",Mercado_Receita!$L$2:$L$1214)+SUMIF(Mercado_Receita!$S$2:$S$1214,"44256A4AzulNão se aplicaNão se aplicaAPENão se aplicaIntermediário",Mercado_Receita!$L$2:$L$1214)+SUMIF(Mercado_Receita!$S$2:$S$1214,"44256A4AzulNão se aplicaNão se aplicaAPENão se aplicaNão se aplica",Mercado_Receita!$L$2:$L$1214)</f>
        <v>0</v>
      </c>
      <c r="K12" s="12">
        <f>SUMIF(Mercado_Receita!$S$2:$S$1214,"44287A4AzulNão se aplicaNão se aplicaAPENão se aplicaPonta",Mercado_Receita!$L$2:$L$1214)+SUMIF(Mercado_Receita!$S$2:$S$1214,"44287A4AzulNão se aplicaNão se aplicaAPENão se aplicaFora ponta",Mercado_Receita!$L$2:$L$1214)+SUMIF(Mercado_Receita!$S$2:$S$1214,"44287A4AzulNão se aplicaNão se aplicaAPENão se aplicaIntermediário",Mercado_Receita!$L$2:$L$1214)+SUMIF(Mercado_Receita!$S$2:$S$1214,"44287A4AzulNão se aplicaNão se aplicaAPENão se aplicaNão se aplica",Mercado_Receita!$L$2:$L$1214)</f>
        <v>0</v>
      </c>
      <c r="L12" s="12">
        <f>SUMIF(Mercado_Receita!$S$2:$S$1214,"44317A4AzulNão se aplicaNão se aplicaAPENão se aplicaPonta",Mercado_Receita!$L$2:$L$1214)+SUMIF(Mercado_Receita!$S$2:$S$1214,"44317A4AzulNão se aplicaNão se aplicaAPENão se aplicaFora ponta",Mercado_Receita!$L$2:$L$1214)+SUMIF(Mercado_Receita!$S$2:$S$1214,"44317A4AzulNão se aplicaNão se aplicaAPENão se aplicaIntermediário",Mercado_Receita!$L$2:$L$1214)+SUMIF(Mercado_Receita!$S$2:$S$1214,"44317A4AzulNão se aplicaNão se aplicaAPENão se aplicaNão se aplica",Mercado_Receita!$L$2:$L$1214)</f>
        <v>0</v>
      </c>
      <c r="M12" s="12">
        <f>SUMIF(Mercado_Receita!$S$2:$S$1214,"44348A4AzulNão se aplicaNão se aplicaAPENão se aplicaPonta",Mercado_Receita!$L$2:$L$1214)+SUMIF(Mercado_Receita!$S$2:$S$1214,"44348A4AzulNão se aplicaNão se aplicaAPENão se aplicaFora ponta",Mercado_Receita!$L$2:$L$1214)+SUMIF(Mercado_Receita!$S$2:$S$1214,"44348A4AzulNão se aplicaNão se aplicaAPENão se aplicaIntermediário",Mercado_Receita!$L$2:$L$1214)+SUMIF(Mercado_Receita!$S$2:$S$1214,"44348A4AzulNão se aplicaNão se aplicaAPENão se aplicaNão se aplica",Mercado_Receita!$L$2:$L$1214)</f>
        <v>0</v>
      </c>
      <c r="N12" s="12">
        <f>SUMIF(Mercado_Receita!$S$2:$S$1214,"44378A4AzulNão se aplicaNão se aplicaAPENão se aplicaPonta",Mercado_Receita!$L$2:$L$1214)+SUMIF(Mercado_Receita!$S$2:$S$1214,"44378A4AzulNão se aplicaNão se aplicaAPENão se aplicaFora ponta",Mercado_Receita!$L$2:$L$1214)+SUMIF(Mercado_Receita!$S$2:$S$1214,"44378A4AzulNão se aplicaNão se aplicaAPENão se aplicaIntermediário",Mercado_Receita!$L$2:$L$1214)+SUMIF(Mercado_Receita!$S$2:$S$1214,"44378A4AzulNão se aplicaNão se aplicaAPENão se aplicaNão se aplica",Mercado_Receita!$L$2:$L$1214)</f>
        <v>0</v>
      </c>
      <c r="O12" s="12">
        <f>SUMIF(Mercado_Receita!$S$2:$S$1214,"44409A4AzulNão se aplicaNão se aplicaAPENão se aplicaPonta",Mercado_Receita!$L$2:$L$1214)+SUMIF(Mercado_Receita!$S$2:$S$1214,"44409A4AzulNão se aplicaNão se aplicaAPENão se aplicaFora ponta",Mercado_Receita!$L$2:$L$1214)+SUMIF(Mercado_Receita!$S$2:$S$1214,"44409A4AzulNão se aplicaNão se aplicaAPENão se aplicaIntermediário",Mercado_Receita!$L$2:$L$1214)+SUMIF(Mercado_Receita!$S$2:$S$1214,"44409A4AzulNão se aplicaNão se aplicaAPENão se aplicaNão se aplica",Mercado_Receita!$L$2:$L$1214)</f>
        <v>0</v>
      </c>
      <c r="P12" s="12">
        <f>SUMIF(Mercado_Receita!$S$2:$S$1214,"44440A4AzulNão se aplicaNão se aplicaAPENão se aplicaPonta",Mercado_Receita!$L$2:$L$1214)+SUMIF(Mercado_Receita!$S$2:$S$1214,"44440A4AzulNão se aplicaNão se aplicaAPENão se aplicaFora ponta",Mercado_Receita!$L$2:$L$1214)+SUMIF(Mercado_Receita!$S$2:$S$1214,"44440A4AzulNão se aplicaNão se aplicaAPENão se aplicaIntermediário",Mercado_Receita!$L$2:$L$1214)+SUMIF(Mercado_Receita!$S$2:$S$1214,"44440A4AzulNão se aplicaNão se aplicaAPENão se aplicaNão se aplica",Mercado_Receita!$L$2:$L$1214)</f>
        <v>0</v>
      </c>
      <c r="Q12" s="12">
        <f>SUMIF(Mercado_Receita!$S$2:$S$1214,"44470A4AzulNão se aplicaNão se aplicaAPENão se aplicaPonta",Mercado_Receita!$L$2:$L$1214)+SUMIF(Mercado_Receita!$S$2:$S$1214,"44470A4AzulNão se aplicaNão se aplicaAPENão se aplicaFora ponta",Mercado_Receita!$L$2:$L$1214)+SUMIF(Mercado_Receita!$S$2:$S$1214,"44470A4AzulNão se aplicaNão se aplicaAPENão se aplicaIntermediário",Mercado_Receita!$L$2:$L$1214)+SUMIF(Mercado_Receita!$S$2:$S$1214,"44470A4AzulNão se aplicaNão se aplicaAPENão se aplicaNão se aplica",Mercado_Receita!$L$2:$L$1214)</f>
        <v>0</v>
      </c>
      <c r="R12" s="12">
        <f>SUMIF(Mercado_Receita!$S$2:$S$1214,"44501A4AzulNão se aplicaNão se aplicaAPENão se aplicaPonta",Mercado_Receita!$L$2:$L$1214)+SUMIF(Mercado_Receita!$S$2:$S$1214,"44501A4AzulNão se aplicaNão se aplicaAPENão se aplicaFora ponta",Mercado_Receita!$L$2:$L$1214)+SUMIF(Mercado_Receita!$S$2:$S$1214,"44501A4AzulNão se aplicaNão se aplicaAPENão se aplicaIntermediário",Mercado_Receita!$L$2:$L$1214)+SUMIF(Mercado_Receita!$S$2:$S$1214,"44501A4AzulNão se aplicaNão se aplicaAPENão se aplicaNão se aplica",Mercado_Receita!$L$2:$L$1214)</f>
        <v>0</v>
      </c>
      <c r="S12" s="12">
        <f>SUMIF(Mercado_Receita!$S$2:$S$1214,"44531A4AzulNão se aplicaNão se aplicaAPENão se aplicaPonta",Mercado_Receita!$L$2:$L$1214)+SUMIF(Mercado_Receita!$S$2:$S$1214,"44531A4AzulNão se aplicaNão se aplicaAPENão se aplicaFora ponta",Mercado_Receita!$L$2:$L$1214)+SUMIF(Mercado_Receita!$S$2:$S$1214,"44531A4AzulNão se aplicaNão se aplicaAPENão se aplicaIntermediário",Mercado_Receita!$L$2:$L$1214)+SUMIF(Mercado_Receita!$S$2:$S$1214,"44531A4AzulNão se aplicaNão se aplicaAPENão se aplicaNão se aplica",Mercado_Receita!$L$2:$L$1214)</f>
        <v>0</v>
      </c>
      <c r="T12" s="12">
        <f>SUMIF(Mercado_Receita!$S$2:$S$1214,"44562A4AzulNão se aplicaNão se aplicaAPENão se aplicaPonta",Mercado_Receita!$L$2:$L$1214)+SUMIF(Mercado_Receita!$S$2:$S$1214,"44562A4AzulNão se aplicaNão se aplicaAPENão se aplicaFora ponta",Mercado_Receita!$L$2:$L$1214)+SUMIF(Mercado_Receita!$S$2:$S$1214,"44562A4AzulNão se aplicaNão se aplicaAPENão se aplicaIntermediário",Mercado_Receita!$L$2:$L$1214)+SUMIF(Mercado_Receita!$S$2:$S$1214,"44562A4AzulNão se aplicaNão se aplicaAPENão se aplicaNão se aplica",Mercado_Receita!$L$2:$L$1214)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92"/>
      <c r="B13" s="91" t="s">
        <v>59</v>
      </c>
      <c r="C13" s="91" t="s">
        <v>25</v>
      </c>
      <c r="D13" s="91" t="s">
        <v>25</v>
      </c>
      <c r="E13" s="91" t="s">
        <v>25</v>
      </c>
      <c r="F13" s="91" t="s">
        <v>60</v>
      </c>
      <c r="G13" s="12" t="s">
        <v>82</v>
      </c>
      <c r="H13" s="12" t="s">
        <v>81</v>
      </c>
      <c r="I13" s="12">
        <f>SUMIF(Mercado_Receita!$S$2:$S$1214,"44228A4DistribuiçãoNão se aplicaNão se aplicaNão se aplicaEPBPonta",Mercado_Receita!$J$2:$J$1214)+SUMIF(Mercado_Receita!$S$2:$S$1214,"44228A4DistribuiçãoNão se aplicaNão se aplicaNão se aplicaEPBNão se aplica",Mercado_Receita!$J$2:$J$1214)*0.72</f>
        <v>150</v>
      </c>
      <c r="J13" s="12">
        <f>SUMIF(Mercado_Receita!$S$2:$S$1214,"44256A4DistribuiçãoNão se aplicaNão se aplicaNão se aplicaEPBPonta",Mercado_Receita!$J$2:$J$1214)+SUMIF(Mercado_Receita!$S$2:$S$1214,"44256A4DistribuiçãoNão se aplicaNão se aplicaNão se aplicaEPBNão se aplica",Mercado_Receita!$J$2:$J$1214)*0.72</f>
        <v>150</v>
      </c>
      <c r="K13" s="12">
        <f>SUMIF(Mercado_Receita!$S$2:$S$1214,"44287A4DistribuiçãoNão se aplicaNão se aplicaNão se aplicaEPBPonta",Mercado_Receita!$J$2:$J$1214)+SUMIF(Mercado_Receita!$S$2:$S$1214,"44287A4DistribuiçãoNão se aplicaNão se aplicaNão se aplicaEPBNão se aplica",Mercado_Receita!$J$2:$J$1214)*0.72</f>
        <v>150</v>
      </c>
      <c r="L13" s="12">
        <f>SUMIF(Mercado_Receita!$S$2:$S$1214,"44317A4DistribuiçãoNão se aplicaNão se aplicaNão se aplicaEPBPonta",Mercado_Receita!$J$2:$J$1214)+SUMIF(Mercado_Receita!$S$2:$S$1214,"44317A4DistribuiçãoNão se aplicaNão se aplicaNão se aplicaEPBNão se aplica",Mercado_Receita!$J$2:$J$1214)*0.72</f>
        <v>150</v>
      </c>
      <c r="M13" s="12">
        <f>SUMIF(Mercado_Receita!$S$2:$S$1214,"44348A4DistribuiçãoNão se aplicaNão se aplicaNão se aplicaEPBPonta",Mercado_Receita!$J$2:$J$1214)+SUMIF(Mercado_Receita!$S$2:$S$1214,"44348A4DistribuiçãoNão se aplicaNão se aplicaNão se aplicaEPBNão se aplica",Mercado_Receita!$J$2:$J$1214)*0.72</f>
        <v>150</v>
      </c>
      <c r="N13" s="12">
        <f>SUMIF(Mercado_Receita!$S$2:$S$1214,"44378A4DistribuiçãoNão se aplicaNão se aplicaNão se aplicaEPBPonta",Mercado_Receita!$J$2:$J$1214)+SUMIF(Mercado_Receita!$S$2:$S$1214,"44378A4DistribuiçãoNão se aplicaNão se aplicaNão se aplicaEPBNão se aplica",Mercado_Receita!$J$2:$J$1214)*0.72</f>
        <v>150</v>
      </c>
      <c r="O13" s="12">
        <f>SUMIF(Mercado_Receita!$S$2:$S$1214,"44409A4DistribuiçãoNão se aplicaNão se aplicaNão se aplicaEPBPonta",Mercado_Receita!$J$2:$J$1214)+SUMIF(Mercado_Receita!$S$2:$S$1214,"44409A4DistribuiçãoNão se aplicaNão se aplicaNão se aplicaEPBNão se aplica",Mercado_Receita!$J$2:$J$1214)*0.72</f>
        <v>150</v>
      </c>
      <c r="P13" s="12">
        <f>SUMIF(Mercado_Receita!$S$2:$S$1214,"44440A4DistribuiçãoNão se aplicaNão se aplicaNão se aplicaEPBPonta",Mercado_Receita!$J$2:$J$1214)+SUMIF(Mercado_Receita!$S$2:$S$1214,"44440A4DistribuiçãoNão se aplicaNão se aplicaNão se aplicaEPBNão se aplica",Mercado_Receita!$J$2:$J$1214)*0.72</f>
        <v>150</v>
      </c>
      <c r="Q13" s="12">
        <f>SUMIF(Mercado_Receita!$S$2:$S$1214,"44470A4DistribuiçãoNão se aplicaNão se aplicaNão se aplicaEPBPonta",Mercado_Receita!$J$2:$J$1214)+SUMIF(Mercado_Receita!$S$2:$S$1214,"44470A4DistribuiçãoNão se aplicaNão se aplicaNão se aplicaEPBNão se aplica",Mercado_Receita!$J$2:$J$1214)*0.72</f>
        <v>150</v>
      </c>
      <c r="R13" s="12">
        <f>SUMIF(Mercado_Receita!$S$2:$S$1214,"44501A4DistribuiçãoNão se aplicaNão se aplicaNão se aplicaEPBPonta",Mercado_Receita!$J$2:$J$1214)+SUMIF(Mercado_Receita!$S$2:$S$1214,"44501A4DistribuiçãoNão se aplicaNão se aplicaNão se aplicaEPBNão se aplica",Mercado_Receita!$J$2:$J$1214)*0.72</f>
        <v>150</v>
      </c>
      <c r="S13" s="12">
        <f>SUMIF(Mercado_Receita!$S$2:$S$1214,"44531A4DistribuiçãoNão se aplicaNão se aplicaNão se aplicaEPBPonta",Mercado_Receita!$J$2:$J$1214)+SUMIF(Mercado_Receita!$S$2:$S$1214,"44531A4DistribuiçãoNão se aplicaNão se aplicaNão se aplicaEPBNão se aplica",Mercado_Receita!$J$2:$J$1214)*0.72</f>
        <v>152</v>
      </c>
      <c r="T13" s="12">
        <f>SUMIF(Mercado_Receita!$S$2:$S$1214,"44562A4DistribuiçãoNão se aplicaNão se aplicaNão se aplicaEPBPonta",Mercado_Receita!$J$2:$J$1214)+SUMIF(Mercado_Receita!$S$2:$S$1214,"44562A4DistribuiçãoNão se aplicaNão se aplicaNão se aplicaEPBNão se aplica",Mercado_Receita!$J$2:$J$1214)*0.72</f>
        <v>152</v>
      </c>
      <c r="U13" s="12">
        <f t="shared" si="0"/>
        <v>1804</v>
      </c>
      <c r="V13" s="12"/>
      <c r="W13" s="12"/>
    </row>
    <row r="14" spans="1:30" ht="11.25" customHeight="1" x14ac:dyDescent="0.25">
      <c r="A14" s="92"/>
      <c r="B14" s="92"/>
      <c r="C14" s="92"/>
      <c r="D14" s="92"/>
      <c r="E14" s="92"/>
      <c r="F14" s="92"/>
      <c r="G14" s="12" t="s">
        <v>83</v>
      </c>
      <c r="H14" s="12" t="s">
        <v>81</v>
      </c>
      <c r="I14" s="12">
        <f>SUMIF(Mercado_Receita!$S$2:$S$1214,"44228A4DistribuiçãoNão se aplicaNão se aplicaNão se aplicaEPBFora ponta",Mercado_Receita!$J$2:$J$1214)+SUMIF(Mercado_Receita!$S$2:$S$1214,"44228A4DistribuiçãoNão se aplicaNão se aplicaNão se aplicaEPBNão se aplica",Mercado_Receita!$J$2:$J$1214)*1</f>
        <v>150</v>
      </c>
      <c r="J14" s="12">
        <f>SUMIF(Mercado_Receita!$S$2:$S$1214,"44256A4DistribuiçãoNão se aplicaNão se aplicaNão se aplicaEPBFora ponta",Mercado_Receita!$J$2:$J$1214)+SUMIF(Mercado_Receita!$S$2:$S$1214,"44256A4DistribuiçãoNão se aplicaNão se aplicaNão se aplicaEPBNão se aplica",Mercado_Receita!$J$2:$J$1214)*1</f>
        <v>150</v>
      </c>
      <c r="K14" s="12">
        <f>SUMIF(Mercado_Receita!$S$2:$S$1214,"44287A4DistribuiçãoNão se aplicaNão se aplicaNão se aplicaEPBFora ponta",Mercado_Receita!$J$2:$J$1214)+SUMIF(Mercado_Receita!$S$2:$S$1214,"44287A4DistribuiçãoNão se aplicaNão se aplicaNão se aplicaEPBNão se aplica",Mercado_Receita!$J$2:$J$1214)*1</f>
        <v>150</v>
      </c>
      <c r="L14" s="12">
        <f>SUMIF(Mercado_Receita!$S$2:$S$1214,"44317A4DistribuiçãoNão se aplicaNão se aplicaNão se aplicaEPBFora ponta",Mercado_Receita!$J$2:$J$1214)+SUMIF(Mercado_Receita!$S$2:$S$1214,"44317A4DistribuiçãoNão se aplicaNão se aplicaNão se aplicaEPBNão se aplica",Mercado_Receita!$J$2:$J$1214)*1</f>
        <v>150</v>
      </c>
      <c r="M14" s="12">
        <f>SUMIF(Mercado_Receita!$S$2:$S$1214,"44348A4DistribuiçãoNão se aplicaNão se aplicaNão se aplicaEPBFora ponta",Mercado_Receita!$J$2:$J$1214)+SUMIF(Mercado_Receita!$S$2:$S$1214,"44348A4DistribuiçãoNão se aplicaNão se aplicaNão se aplicaEPBNão se aplica",Mercado_Receita!$J$2:$J$1214)*1</f>
        <v>150</v>
      </c>
      <c r="N14" s="12">
        <f>SUMIF(Mercado_Receita!$S$2:$S$1214,"44378A4DistribuiçãoNão se aplicaNão se aplicaNão se aplicaEPBFora ponta",Mercado_Receita!$J$2:$J$1214)+SUMIF(Mercado_Receita!$S$2:$S$1214,"44378A4DistribuiçãoNão se aplicaNão se aplicaNão se aplicaEPBNão se aplica",Mercado_Receita!$J$2:$J$1214)*1</f>
        <v>150</v>
      </c>
      <c r="O14" s="12">
        <f>SUMIF(Mercado_Receita!$S$2:$S$1214,"44409A4DistribuiçãoNão se aplicaNão se aplicaNão se aplicaEPBFora ponta",Mercado_Receita!$J$2:$J$1214)+SUMIF(Mercado_Receita!$S$2:$S$1214,"44409A4DistribuiçãoNão se aplicaNão se aplicaNão se aplicaEPBNão se aplica",Mercado_Receita!$J$2:$J$1214)*1</f>
        <v>150</v>
      </c>
      <c r="P14" s="12">
        <f>SUMIF(Mercado_Receita!$S$2:$S$1214,"44440A4DistribuiçãoNão se aplicaNão se aplicaNão se aplicaEPBFora ponta",Mercado_Receita!$J$2:$J$1214)+SUMIF(Mercado_Receita!$S$2:$S$1214,"44440A4DistribuiçãoNão se aplicaNão se aplicaNão se aplicaEPBNão se aplica",Mercado_Receita!$J$2:$J$1214)*1</f>
        <v>150</v>
      </c>
      <c r="Q14" s="12">
        <f>SUMIF(Mercado_Receita!$S$2:$S$1214,"44470A4DistribuiçãoNão se aplicaNão se aplicaNão se aplicaEPBFora ponta",Mercado_Receita!$J$2:$J$1214)+SUMIF(Mercado_Receita!$S$2:$S$1214,"44470A4DistribuiçãoNão se aplicaNão se aplicaNão se aplicaEPBNão se aplica",Mercado_Receita!$J$2:$J$1214)*1</f>
        <v>150</v>
      </c>
      <c r="R14" s="12">
        <f>SUMIF(Mercado_Receita!$S$2:$S$1214,"44501A4DistribuiçãoNão se aplicaNão se aplicaNão se aplicaEPBFora ponta",Mercado_Receita!$J$2:$J$1214)+SUMIF(Mercado_Receita!$S$2:$S$1214,"44501A4DistribuiçãoNão se aplicaNão se aplicaNão se aplicaEPBNão se aplica",Mercado_Receita!$J$2:$J$1214)*1</f>
        <v>150</v>
      </c>
      <c r="S14" s="12">
        <f>SUMIF(Mercado_Receita!$S$2:$S$1214,"44531A4DistribuiçãoNão se aplicaNão se aplicaNão se aplicaEPBFora ponta",Mercado_Receita!$J$2:$J$1214)+SUMIF(Mercado_Receita!$S$2:$S$1214,"44531A4DistribuiçãoNão se aplicaNão se aplicaNão se aplicaEPBNão se aplica",Mercado_Receita!$J$2:$J$1214)*1</f>
        <v>152</v>
      </c>
      <c r="T14" s="12">
        <f>SUMIF(Mercado_Receita!$S$2:$S$1214,"44562A4DistribuiçãoNão se aplicaNão se aplicaNão se aplicaEPBFora ponta",Mercado_Receita!$J$2:$J$1214)+SUMIF(Mercado_Receita!$S$2:$S$1214,"44562A4DistribuiçãoNão se aplicaNão se aplicaNão se aplicaEPBNão se aplica",Mercado_Receita!$J$2:$J$1214)*1</f>
        <v>152</v>
      </c>
      <c r="U14" s="12">
        <f t="shared" si="0"/>
        <v>1804</v>
      </c>
      <c r="V14" s="12"/>
      <c r="W14" s="12"/>
    </row>
    <row r="15" spans="1:30" ht="11.25" customHeight="1" x14ac:dyDescent="0.25">
      <c r="A15" s="92"/>
      <c r="B15" s="92"/>
      <c r="C15" s="92"/>
      <c r="D15" s="92"/>
      <c r="E15" s="92"/>
      <c r="F15" s="92"/>
      <c r="G15" s="12" t="s">
        <v>84</v>
      </c>
      <c r="H15" s="12" t="s">
        <v>78</v>
      </c>
      <c r="I15" s="12">
        <f>IF((I13+I14)&lt;&gt;0,SUMIF(Mercado_Receita!$S$2:$S$1214,"44228A4DistribuiçãoNão se aplicaNão se aplicaNão se aplicaEPBPonta",Mercado_Receita!$L$2:$L$1214)+SUMIF(Mercado_Receita!$S$2:$S$1214,"44228A4DistribuiçãoNão se aplicaNão se aplicaNão se aplicaEPBFora ponta",Mercado_Receita!$L$2:$L$1214)+SUMIF(Mercado_Receita!$S$2:$S$1214,"44228A4DistribuiçãoNão se aplicaNão se aplicaNão se aplicaEPBIntermediário",Mercado_Receita!$L$2:$L$1214)+SUMIF(Mercado_Receita!$S$2:$S$1214,"44228A4DistribuiçãoNão se aplicaNão se aplicaNão se aplicaEPBNão se aplica",Mercado_Receita!$L$2:$L$1214),0)</f>
        <v>63.761000000000003</v>
      </c>
      <c r="J15" s="12">
        <f>IF((J13+J14)&lt;&gt;0,SUMIF(Mercado_Receita!$S$2:$S$1214,"44256A4DistribuiçãoNão se aplicaNão se aplicaNão se aplicaEPBPonta",Mercado_Receita!$L$2:$L$1214)+SUMIF(Mercado_Receita!$S$2:$S$1214,"44256A4DistribuiçãoNão se aplicaNão se aplicaNão se aplicaEPBFora ponta",Mercado_Receita!$L$2:$L$1214)+SUMIF(Mercado_Receita!$S$2:$S$1214,"44256A4DistribuiçãoNão se aplicaNão se aplicaNão se aplicaEPBIntermediário",Mercado_Receita!$L$2:$L$1214)+SUMIF(Mercado_Receita!$S$2:$S$1214,"44256A4DistribuiçãoNão se aplicaNão se aplicaNão se aplicaEPBNão se aplica",Mercado_Receita!$L$2:$L$1214),0)</f>
        <v>56.863</v>
      </c>
      <c r="K15" s="12">
        <f>IF((K13+K14)&lt;&gt;0,SUMIF(Mercado_Receita!$S$2:$S$1214,"44287A4DistribuiçãoNão se aplicaNão se aplicaNão se aplicaEPBPonta",Mercado_Receita!$L$2:$L$1214)+SUMIF(Mercado_Receita!$S$2:$S$1214,"44287A4DistribuiçãoNão se aplicaNão se aplicaNão se aplicaEPBFora ponta",Mercado_Receita!$L$2:$L$1214)+SUMIF(Mercado_Receita!$S$2:$S$1214,"44287A4DistribuiçãoNão se aplicaNão se aplicaNão se aplicaEPBIntermediário",Mercado_Receita!$L$2:$L$1214)+SUMIF(Mercado_Receita!$S$2:$S$1214,"44287A4DistribuiçãoNão se aplicaNão se aplicaNão se aplicaEPBNão se aplica",Mercado_Receita!$L$2:$L$1214),0)</f>
        <v>57.767000000000003</v>
      </c>
      <c r="L15" s="12">
        <f>IF((L13+L14)&lt;&gt;0,SUMIF(Mercado_Receita!$S$2:$S$1214,"44317A4DistribuiçãoNão se aplicaNão se aplicaNão se aplicaEPBPonta",Mercado_Receita!$L$2:$L$1214)+SUMIF(Mercado_Receita!$S$2:$S$1214,"44317A4DistribuiçãoNão se aplicaNão se aplicaNão se aplicaEPBFora ponta",Mercado_Receita!$L$2:$L$1214)+SUMIF(Mercado_Receita!$S$2:$S$1214,"44317A4DistribuiçãoNão se aplicaNão se aplicaNão se aplicaEPBIntermediário",Mercado_Receita!$L$2:$L$1214)+SUMIF(Mercado_Receita!$S$2:$S$1214,"44317A4DistribuiçãoNão se aplicaNão se aplicaNão se aplicaEPBNão se aplica",Mercado_Receita!$L$2:$L$1214),0)</f>
        <v>58.203000000000003</v>
      </c>
      <c r="M15" s="12">
        <f>IF((M13+M14)&lt;&gt;0,SUMIF(Mercado_Receita!$S$2:$S$1214,"44348A4DistribuiçãoNão se aplicaNão se aplicaNão se aplicaEPBPonta",Mercado_Receita!$L$2:$L$1214)+SUMIF(Mercado_Receita!$S$2:$S$1214,"44348A4DistribuiçãoNão se aplicaNão se aplicaNão se aplicaEPBFora ponta",Mercado_Receita!$L$2:$L$1214)+SUMIF(Mercado_Receita!$S$2:$S$1214,"44348A4DistribuiçãoNão se aplicaNão se aplicaNão se aplicaEPBIntermediário",Mercado_Receita!$L$2:$L$1214)+SUMIF(Mercado_Receita!$S$2:$S$1214,"44348A4DistribuiçãoNão se aplicaNão se aplicaNão se aplicaEPBNão se aplica",Mercado_Receita!$L$2:$L$1214),0)</f>
        <v>55.857999999999997</v>
      </c>
      <c r="N15" s="12">
        <f>IF((N13+N14)&lt;&gt;0,SUMIF(Mercado_Receita!$S$2:$S$1214,"44378A4DistribuiçãoNão se aplicaNão se aplicaNão se aplicaEPBPonta",Mercado_Receita!$L$2:$L$1214)+SUMIF(Mercado_Receita!$S$2:$S$1214,"44378A4DistribuiçãoNão se aplicaNão se aplicaNão se aplicaEPBFora ponta",Mercado_Receita!$L$2:$L$1214)+SUMIF(Mercado_Receita!$S$2:$S$1214,"44378A4DistribuiçãoNão se aplicaNão se aplicaNão se aplicaEPBIntermediário",Mercado_Receita!$L$2:$L$1214)+SUMIF(Mercado_Receita!$S$2:$S$1214,"44378A4DistribuiçãoNão se aplicaNão se aplicaNão se aplicaEPBNão se aplica",Mercado_Receita!$L$2:$L$1214),0)</f>
        <v>56.055999999999997</v>
      </c>
      <c r="O15" s="12">
        <f>IF((O13+O14)&lt;&gt;0,SUMIF(Mercado_Receita!$S$2:$S$1214,"44409A4DistribuiçãoNão se aplicaNão se aplicaNão se aplicaEPBPonta",Mercado_Receita!$L$2:$L$1214)+SUMIF(Mercado_Receita!$S$2:$S$1214,"44409A4DistribuiçãoNão se aplicaNão se aplicaNão se aplicaEPBFora ponta",Mercado_Receita!$L$2:$L$1214)+SUMIF(Mercado_Receita!$S$2:$S$1214,"44409A4DistribuiçãoNão se aplicaNão se aplicaNão se aplicaEPBIntermediário",Mercado_Receita!$L$2:$L$1214)+SUMIF(Mercado_Receita!$S$2:$S$1214,"44409A4DistribuiçãoNão se aplicaNão se aplicaNão se aplicaEPBNão se aplica",Mercado_Receita!$L$2:$L$1214),0)</f>
        <v>58.896999999999998</v>
      </c>
      <c r="P15" s="12">
        <f>IF((P13+P14)&lt;&gt;0,SUMIF(Mercado_Receita!$S$2:$S$1214,"44440A4DistribuiçãoNão se aplicaNão se aplicaNão se aplicaEPBPonta",Mercado_Receita!$L$2:$L$1214)+SUMIF(Mercado_Receita!$S$2:$S$1214,"44440A4DistribuiçãoNão se aplicaNão se aplicaNão se aplicaEPBFora ponta",Mercado_Receita!$L$2:$L$1214)+SUMIF(Mercado_Receita!$S$2:$S$1214,"44440A4DistribuiçãoNão se aplicaNão se aplicaNão se aplicaEPBIntermediário",Mercado_Receita!$L$2:$L$1214)+SUMIF(Mercado_Receita!$S$2:$S$1214,"44440A4DistribuiçãoNão se aplicaNão se aplicaNão se aplicaEPBNão se aplica",Mercado_Receita!$L$2:$L$1214),0)</f>
        <v>55.802</v>
      </c>
      <c r="Q15" s="12">
        <f>IF((Q13+Q14)&lt;&gt;0,SUMIF(Mercado_Receita!$S$2:$S$1214,"44470A4DistribuiçãoNão se aplicaNão se aplicaNão se aplicaEPBPonta",Mercado_Receita!$L$2:$L$1214)+SUMIF(Mercado_Receita!$S$2:$S$1214,"44470A4DistribuiçãoNão se aplicaNão se aplicaNão se aplicaEPBFora ponta",Mercado_Receita!$L$2:$L$1214)+SUMIF(Mercado_Receita!$S$2:$S$1214,"44470A4DistribuiçãoNão se aplicaNão se aplicaNão se aplicaEPBIntermediário",Mercado_Receita!$L$2:$L$1214)+SUMIF(Mercado_Receita!$S$2:$S$1214,"44470A4DistribuiçãoNão se aplicaNão se aplicaNão se aplicaEPBNão se aplica",Mercado_Receita!$L$2:$L$1214),0)</f>
        <v>58.435000000000002</v>
      </c>
      <c r="R15" s="12">
        <f>IF((R13+R14)&lt;&gt;0,SUMIF(Mercado_Receita!$S$2:$S$1214,"44501A4DistribuiçãoNão se aplicaNão se aplicaNão se aplicaEPBPonta",Mercado_Receita!$L$2:$L$1214)+SUMIF(Mercado_Receita!$S$2:$S$1214,"44501A4DistribuiçãoNão se aplicaNão se aplicaNão se aplicaEPBFora ponta",Mercado_Receita!$L$2:$L$1214)+SUMIF(Mercado_Receita!$S$2:$S$1214,"44501A4DistribuiçãoNão se aplicaNão se aplicaNão se aplicaEPBIntermediário",Mercado_Receita!$L$2:$L$1214)+SUMIF(Mercado_Receita!$S$2:$S$1214,"44501A4DistribuiçãoNão se aplicaNão se aplicaNão se aplicaEPBNão se aplica",Mercado_Receita!$L$2:$L$1214),0)</f>
        <v>63.966999999999999</v>
      </c>
      <c r="S15" s="12">
        <f>IF((S13+S14)&lt;&gt;0,SUMIF(Mercado_Receita!$S$2:$S$1214,"44531A4DistribuiçãoNão se aplicaNão se aplicaNão se aplicaEPBPonta",Mercado_Receita!$L$2:$L$1214)+SUMIF(Mercado_Receita!$S$2:$S$1214,"44531A4DistribuiçãoNão se aplicaNão se aplicaNão se aplicaEPBFora ponta",Mercado_Receita!$L$2:$L$1214)+SUMIF(Mercado_Receita!$S$2:$S$1214,"44531A4DistribuiçãoNão se aplicaNão se aplicaNão se aplicaEPBIntermediário",Mercado_Receita!$L$2:$L$1214)+SUMIF(Mercado_Receita!$S$2:$S$1214,"44531A4DistribuiçãoNão se aplicaNão se aplicaNão se aplicaEPBNão se aplica",Mercado_Receita!$L$2:$L$1214),0)</f>
        <v>72.697000000000003</v>
      </c>
      <c r="T15" s="12">
        <f>IF((T13+T14)&lt;&gt;0,SUMIF(Mercado_Receita!$S$2:$S$1214,"44562A4DistribuiçãoNão se aplicaNão se aplicaNão se aplicaEPBPonta",Mercado_Receita!$L$2:$L$1214)+SUMIF(Mercado_Receita!$S$2:$S$1214,"44562A4DistribuiçãoNão se aplicaNão se aplicaNão se aplicaEPBFora ponta",Mercado_Receita!$L$2:$L$1214)+SUMIF(Mercado_Receita!$S$2:$S$1214,"44562A4DistribuiçãoNão se aplicaNão se aplicaNão se aplicaEPBIntermediário",Mercado_Receita!$L$2:$L$1214)+SUMIF(Mercado_Receita!$S$2:$S$1214,"44562A4DistribuiçãoNão se aplicaNão se aplicaNão se aplicaEPBNão se aplica",Mercado_Receita!$L$2:$L$1214),0)</f>
        <v>72.697000000000003</v>
      </c>
      <c r="U15" s="12">
        <f t="shared" si="0"/>
        <v>731.00300000000004</v>
      </c>
      <c r="V15" s="12"/>
      <c r="W15" s="12"/>
    </row>
    <row r="16" spans="1:30" ht="11.25" customHeight="1" x14ac:dyDescent="0.25">
      <c r="A16" s="92"/>
      <c r="B16" s="13" t="s">
        <v>87</v>
      </c>
      <c r="C16" s="13" t="s">
        <v>25</v>
      </c>
      <c r="D16" s="13" t="s">
        <v>25</v>
      </c>
      <c r="E16" s="13" t="s">
        <v>25</v>
      </c>
      <c r="F16" s="13" t="s">
        <v>25</v>
      </c>
      <c r="G16" s="12" t="s">
        <v>9</v>
      </c>
      <c r="H16" s="12" t="s">
        <v>81</v>
      </c>
      <c r="I16" s="12">
        <f>SUMIF(Mercado_Receita!$S$2:$S$1214,"44228A4GeraçãoNão se aplicaNão se aplicaNão se aplicaNão se aplicaNão se aplica",Mercado_Receita!$J$2:$J$1214)+SUMIF(Mercado_Receita!$S$2:$S$1214,"44228A4GeraçãoNão se aplicaNão se aplicaAPENão se aplicaNão se aplica",Mercado_Receita!$J$2:$J$1214)</f>
        <v>0</v>
      </c>
      <c r="J16" s="12">
        <f>SUMIF(Mercado_Receita!$S$2:$S$1214,"44256A4GeraçãoNão se aplicaNão se aplicaNão se aplicaNão se aplicaNão se aplica",Mercado_Receita!$J$2:$J$1214)+SUMIF(Mercado_Receita!$S$2:$S$1214,"44256A4GeraçãoNão se aplicaNão se aplicaAPENão se aplicaNão se aplica",Mercado_Receita!$J$2:$J$1214)</f>
        <v>0</v>
      </c>
      <c r="K16" s="12">
        <f>SUMIF(Mercado_Receita!$S$2:$S$1214,"44287A4GeraçãoNão se aplicaNão se aplicaNão se aplicaNão se aplicaNão se aplica",Mercado_Receita!$J$2:$J$1214)+SUMIF(Mercado_Receita!$S$2:$S$1214,"44287A4GeraçãoNão se aplicaNão se aplicaAPENão se aplicaNão se aplica",Mercado_Receita!$J$2:$J$1214)</f>
        <v>0</v>
      </c>
      <c r="L16" s="12">
        <f>SUMIF(Mercado_Receita!$S$2:$S$1214,"44317A4GeraçãoNão se aplicaNão se aplicaNão se aplicaNão se aplicaNão se aplica",Mercado_Receita!$J$2:$J$1214)+SUMIF(Mercado_Receita!$S$2:$S$1214,"44317A4GeraçãoNão se aplicaNão se aplicaAPENão se aplicaNão se aplica",Mercado_Receita!$J$2:$J$1214)</f>
        <v>0</v>
      </c>
      <c r="M16" s="12">
        <f>SUMIF(Mercado_Receita!$S$2:$S$1214,"44348A4GeraçãoNão se aplicaNão se aplicaNão se aplicaNão se aplicaNão se aplica",Mercado_Receita!$J$2:$J$1214)+SUMIF(Mercado_Receita!$S$2:$S$1214,"44348A4GeraçãoNão se aplicaNão se aplicaAPENão se aplicaNão se aplica",Mercado_Receita!$J$2:$J$1214)</f>
        <v>0</v>
      </c>
      <c r="N16" s="12">
        <f>SUMIF(Mercado_Receita!$S$2:$S$1214,"44378A4GeraçãoNão se aplicaNão se aplicaNão se aplicaNão se aplicaNão se aplica",Mercado_Receita!$J$2:$J$1214)+SUMIF(Mercado_Receita!$S$2:$S$1214,"44378A4GeraçãoNão se aplicaNão se aplicaAPENão se aplicaNão se aplica",Mercado_Receita!$J$2:$J$1214)</f>
        <v>0</v>
      </c>
      <c r="O16" s="12">
        <f>SUMIF(Mercado_Receita!$S$2:$S$1214,"44409A4GeraçãoNão se aplicaNão se aplicaNão se aplicaNão se aplicaNão se aplica",Mercado_Receita!$J$2:$J$1214)+SUMIF(Mercado_Receita!$S$2:$S$1214,"44409A4GeraçãoNão se aplicaNão se aplicaAPENão se aplicaNão se aplica",Mercado_Receita!$J$2:$J$1214)</f>
        <v>0</v>
      </c>
      <c r="P16" s="12">
        <f>SUMIF(Mercado_Receita!$S$2:$S$1214,"44440A4GeraçãoNão se aplicaNão se aplicaNão se aplicaNão se aplicaNão se aplica",Mercado_Receita!$J$2:$J$1214)+SUMIF(Mercado_Receita!$S$2:$S$1214,"44440A4GeraçãoNão se aplicaNão se aplicaAPENão se aplicaNão se aplica",Mercado_Receita!$J$2:$J$1214)</f>
        <v>0</v>
      </c>
      <c r="Q16" s="12">
        <f>SUMIF(Mercado_Receita!$S$2:$S$1214,"44470A4GeraçãoNão se aplicaNão se aplicaNão se aplicaNão se aplicaNão se aplica",Mercado_Receita!$J$2:$J$1214)+SUMIF(Mercado_Receita!$S$2:$S$1214,"44470A4GeraçãoNão se aplicaNão se aplicaAPENão se aplicaNão se aplica",Mercado_Receita!$J$2:$J$1214)</f>
        <v>0</v>
      </c>
      <c r="R16" s="12">
        <f>SUMIF(Mercado_Receita!$S$2:$S$1214,"44501A4GeraçãoNão se aplicaNão se aplicaNão se aplicaNão se aplicaNão se aplica",Mercado_Receita!$J$2:$J$1214)+SUMIF(Mercado_Receita!$S$2:$S$1214,"44501A4GeraçãoNão se aplicaNão se aplicaAPENão se aplicaNão se aplica",Mercado_Receita!$J$2:$J$1214)</f>
        <v>0</v>
      </c>
      <c r="S16" s="12">
        <f>SUMIF(Mercado_Receita!$S$2:$S$1214,"44531A4GeraçãoNão se aplicaNão se aplicaNão se aplicaNão se aplicaNão se aplica",Mercado_Receita!$J$2:$J$1214)+SUMIF(Mercado_Receita!$S$2:$S$1214,"44531A4GeraçãoNão se aplicaNão se aplicaAPENão se aplicaNão se aplica",Mercado_Receita!$J$2:$J$1214)</f>
        <v>0</v>
      </c>
      <c r="T16" s="12">
        <f>SUMIF(Mercado_Receita!$S$2:$S$1214,"44562A4GeraçãoNão se aplicaNão se aplicaNão se aplicaNão se aplicaNão se aplica",Mercado_Receita!$J$2:$J$1214)+SUMIF(Mercado_Receita!$S$2:$S$1214,"44562A4GeraçãoNão se aplicaNão se aplicaAPENão se aplicaNão se aplica",Mercado_Receita!$J$2:$J$1214)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92"/>
      <c r="B17" s="91" t="s">
        <v>41</v>
      </c>
      <c r="C17" s="91" t="s">
        <v>25</v>
      </c>
      <c r="D17" s="91" t="s">
        <v>25</v>
      </c>
      <c r="E17" s="91" t="s">
        <v>25</v>
      </c>
      <c r="F17" s="91" t="s">
        <v>25</v>
      </c>
      <c r="G17" s="12" t="s">
        <v>9</v>
      </c>
      <c r="H17" s="12" t="s">
        <v>81</v>
      </c>
      <c r="I17" s="12">
        <f>SUMIF(Mercado_Receita!$S$2:$S$1214,"44228A4VerdeNão se aplicaNão se aplicaNão se aplicaNão se aplicaNão se aplica",Mercado_Receita!$J$2:$J$1214)+SUMIF(Mercado_Receita!$S$2:$S$1214,"44228A4VerdeNão se aplicaNão se aplicaAPENão se aplicaNão se aplica",Mercado_Receita!$J$2:$J$1214)</f>
        <v>61802</v>
      </c>
      <c r="J17" s="12">
        <f>SUMIF(Mercado_Receita!$S$2:$S$1214,"44256A4VerdeNão se aplicaNão se aplicaNão se aplicaNão se aplicaNão se aplica",Mercado_Receita!$J$2:$J$1214)+SUMIF(Mercado_Receita!$S$2:$S$1214,"44256A4VerdeNão se aplicaNão se aplicaAPENão se aplicaNão se aplica",Mercado_Receita!$J$2:$J$1214)</f>
        <v>61506</v>
      </c>
      <c r="K17" s="12">
        <f>SUMIF(Mercado_Receita!$S$2:$S$1214,"44287A4VerdeNão se aplicaNão se aplicaNão se aplicaNão se aplicaNão se aplica",Mercado_Receita!$J$2:$J$1214)+SUMIF(Mercado_Receita!$S$2:$S$1214,"44287A4VerdeNão se aplicaNão se aplicaAPENão se aplicaNão se aplica",Mercado_Receita!$J$2:$J$1214)</f>
        <v>61740</v>
      </c>
      <c r="L17" s="12">
        <f>SUMIF(Mercado_Receita!$S$2:$S$1214,"44317A4VerdeNão se aplicaNão se aplicaNão se aplicaNão se aplicaNão se aplica",Mercado_Receita!$J$2:$J$1214)+SUMIF(Mercado_Receita!$S$2:$S$1214,"44317A4VerdeNão se aplicaNão se aplicaAPENão se aplicaNão se aplica",Mercado_Receita!$J$2:$J$1214)</f>
        <v>61372</v>
      </c>
      <c r="M17" s="12">
        <f>SUMIF(Mercado_Receita!$S$2:$S$1214,"44348A4VerdeNão se aplicaNão se aplicaNão se aplicaNão se aplicaNão se aplica",Mercado_Receita!$J$2:$J$1214)+SUMIF(Mercado_Receita!$S$2:$S$1214,"44348A4VerdeNão se aplicaNão se aplicaAPENão se aplicaNão se aplica",Mercado_Receita!$J$2:$J$1214)</f>
        <v>60721</v>
      </c>
      <c r="N17" s="12">
        <f>SUMIF(Mercado_Receita!$S$2:$S$1214,"44378A4VerdeNão se aplicaNão se aplicaNão se aplicaNão se aplicaNão se aplica",Mercado_Receita!$J$2:$J$1214)+SUMIF(Mercado_Receita!$S$2:$S$1214,"44378A4VerdeNão se aplicaNão se aplicaAPENão se aplicaNão se aplica",Mercado_Receita!$J$2:$J$1214)</f>
        <v>61740</v>
      </c>
      <c r="O17" s="12">
        <f>SUMIF(Mercado_Receita!$S$2:$S$1214,"44409A4VerdeNão se aplicaNão se aplicaNão se aplicaNão se aplicaNão se aplica",Mercado_Receita!$J$2:$J$1214)+SUMIF(Mercado_Receita!$S$2:$S$1214,"44409A4VerdeNão se aplicaNão se aplicaAPENão se aplicaNão se aplica",Mercado_Receita!$J$2:$J$1214)</f>
        <v>61791</v>
      </c>
      <c r="P17" s="12">
        <f>SUMIF(Mercado_Receita!$S$2:$S$1214,"44440A4VerdeNão se aplicaNão se aplicaNão se aplicaNão se aplicaNão se aplica",Mercado_Receita!$J$2:$J$1214)+SUMIF(Mercado_Receita!$S$2:$S$1214,"44440A4VerdeNão se aplicaNão se aplicaAPENão se aplicaNão se aplica",Mercado_Receita!$J$2:$J$1214)</f>
        <v>62741</v>
      </c>
      <c r="Q17" s="12">
        <f>SUMIF(Mercado_Receita!$S$2:$S$1214,"44470A4VerdeNão se aplicaNão se aplicaNão se aplicaNão se aplicaNão se aplica",Mercado_Receita!$J$2:$J$1214)+SUMIF(Mercado_Receita!$S$2:$S$1214,"44470A4VerdeNão se aplicaNão se aplicaAPENão se aplicaNão se aplica",Mercado_Receita!$J$2:$J$1214)</f>
        <v>64002</v>
      </c>
      <c r="R17" s="12">
        <f>SUMIF(Mercado_Receita!$S$2:$S$1214,"44501A4VerdeNão se aplicaNão se aplicaNão se aplicaNão se aplicaNão se aplica",Mercado_Receita!$J$2:$J$1214)+SUMIF(Mercado_Receita!$S$2:$S$1214,"44501A4VerdeNão se aplicaNão se aplicaAPENão se aplicaNão se aplica",Mercado_Receita!$J$2:$J$1214)</f>
        <v>64746</v>
      </c>
      <c r="S17" s="12">
        <f>SUMIF(Mercado_Receita!$S$2:$S$1214,"44531A4VerdeNão se aplicaNão se aplicaNão se aplicaNão se aplicaNão se aplica",Mercado_Receita!$J$2:$J$1214)+SUMIF(Mercado_Receita!$S$2:$S$1214,"44531A4VerdeNão se aplicaNão se aplicaAPENão se aplicaNão se aplica",Mercado_Receita!$J$2:$J$1214)</f>
        <v>64344</v>
      </c>
      <c r="T17" s="12">
        <f>SUMIF(Mercado_Receita!$S$2:$S$1214,"44562A4VerdeNão se aplicaNão se aplicaNão se aplicaNão se aplicaNão se aplica",Mercado_Receita!$J$2:$J$1214)+SUMIF(Mercado_Receita!$S$2:$S$1214,"44562A4VerdeNão se aplicaNão se aplicaAPENão se aplicaNão se aplica",Mercado_Receita!$J$2:$J$1214)</f>
        <v>64344</v>
      </c>
      <c r="U17" s="12">
        <f t="shared" si="0"/>
        <v>750849</v>
      </c>
      <c r="V17" s="12"/>
      <c r="W17" s="12"/>
    </row>
    <row r="18" spans="1:23" ht="11.25" customHeight="1" x14ac:dyDescent="0.25">
      <c r="A18" s="92"/>
      <c r="B18" s="92"/>
      <c r="C18" s="92"/>
      <c r="D18" s="92"/>
      <c r="E18" s="92"/>
      <c r="F18" s="92"/>
      <c r="G18" s="12" t="s">
        <v>79</v>
      </c>
      <c r="H18" s="12" t="s">
        <v>78</v>
      </c>
      <c r="I18" s="12">
        <f>SUMIF(Mercado_Receita!$S$2:$S$1214,"44228A4VerdeNão se aplicaNão se aplicaNão se aplicaNão se aplicaPonta",Mercado_Receita!$L$2:$L$1214)</f>
        <v>826.49099999999987</v>
      </c>
      <c r="J18" s="12">
        <f>SUMIF(Mercado_Receita!$S$2:$S$1214,"44256A4VerdeNão se aplicaNão se aplicaNão se aplicaNão se aplicaPonta",Mercado_Receita!$L$2:$L$1214)</f>
        <v>785.65800000000002</v>
      </c>
      <c r="K18" s="12">
        <f>SUMIF(Mercado_Receita!$S$2:$S$1214,"44287A4VerdeNão se aplicaNão se aplicaNão se aplicaNão se aplicaPonta",Mercado_Receita!$L$2:$L$1214)</f>
        <v>843.44399999999996</v>
      </c>
      <c r="L18" s="12">
        <f>SUMIF(Mercado_Receita!$S$2:$S$1214,"44317A4VerdeNão se aplicaNão se aplicaNão se aplicaNão se aplicaPonta",Mercado_Receita!$L$2:$L$1214)</f>
        <v>768.11399999999992</v>
      </c>
      <c r="M18" s="12">
        <f>SUMIF(Mercado_Receita!$S$2:$S$1214,"44348A4VerdeNão se aplicaNão se aplicaNão se aplicaNão se aplicaPonta",Mercado_Receita!$L$2:$L$1214)</f>
        <v>803.37599999999998</v>
      </c>
      <c r="N18" s="12">
        <f>SUMIF(Mercado_Receita!$S$2:$S$1214,"44378A4VerdeNão se aplicaNão se aplicaNão se aplicaNão se aplicaPonta",Mercado_Receita!$L$2:$L$1214)</f>
        <v>847.05200000000025</v>
      </c>
      <c r="O18" s="12">
        <f>SUMIF(Mercado_Receita!$S$2:$S$1214,"44409A4VerdeNão se aplicaNão se aplicaNão se aplicaNão se aplicaPonta",Mercado_Receita!$L$2:$L$1214)</f>
        <v>871.09100000000001</v>
      </c>
      <c r="P18" s="12">
        <f>SUMIF(Mercado_Receita!$S$2:$S$1214,"44440A4VerdeNão se aplicaNão se aplicaNão se aplicaNão se aplicaPonta",Mercado_Receita!$L$2:$L$1214)</f>
        <v>866.26099999999985</v>
      </c>
      <c r="Q18" s="12">
        <f>SUMIF(Mercado_Receita!$S$2:$S$1214,"44470A4VerdeNão se aplicaNão se aplicaNão se aplicaNão se aplicaPonta",Mercado_Receita!$L$2:$L$1214)</f>
        <v>861.01099999999997</v>
      </c>
      <c r="R18" s="12">
        <f>SUMIF(Mercado_Receita!$S$2:$S$1214,"44501A4VerdeNão se aplicaNão se aplicaNão se aplicaNão se aplicaPonta",Mercado_Receita!$L$2:$L$1214)</f>
        <v>894.06400000000008</v>
      </c>
      <c r="S18" s="12">
        <f>SUMIF(Mercado_Receita!$S$2:$S$1214,"44531A4VerdeNão se aplicaNão se aplicaNão se aplicaNão se aplicaPonta",Mercado_Receita!$L$2:$L$1214)</f>
        <v>966.71999999999991</v>
      </c>
      <c r="T18" s="12">
        <f>SUMIF(Mercado_Receita!$S$2:$S$1214,"44562A4VerdeNão se aplicaNão se aplicaNão se aplicaNão se aplicaPonta",Mercado_Receita!$L$2:$L$1214)</f>
        <v>966.71999999999991</v>
      </c>
      <c r="U18" s="12">
        <f t="shared" si="0"/>
        <v>10300.001999999999</v>
      </c>
      <c r="V18" s="12"/>
      <c r="W18" s="12"/>
    </row>
    <row r="19" spans="1:23" ht="11.25" customHeight="1" x14ac:dyDescent="0.25">
      <c r="A19" s="92"/>
      <c r="B19" s="92"/>
      <c r="C19" s="92"/>
      <c r="D19" s="92"/>
      <c r="E19" s="92"/>
      <c r="F19" s="92"/>
      <c r="G19" s="12" t="s">
        <v>80</v>
      </c>
      <c r="H19" s="12" t="s">
        <v>78</v>
      </c>
      <c r="I19" s="12">
        <f>SUMIF(Mercado_Receita!$S$2:$S$1214,"44228A4VerdeNão se aplicaNão se aplicaNão se aplicaNão se aplicaFora ponta",Mercado_Receita!$L$2:$L$1214)</f>
        <v>11874.295</v>
      </c>
      <c r="J19" s="12">
        <f>SUMIF(Mercado_Receita!$S$2:$S$1214,"44256A4VerdeNão se aplicaNão se aplicaNão se aplicaNão se aplicaFora ponta",Mercado_Receita!$L$2:$L$1214)</f>
        <v>11819.352000000001</v>
      </c>
      <c r="K19" s="12">
        <f>SUMIF(Mercado_Receita!$S$2:$S$1214,"44287A4VerdeNão se aplicaNão se aplicaNão se aplicaNão se aplicaFora ponta",Mercado_Receita!$L$2:$L$1214)</f>
        <v>11895.218000000001</v>
      </c>
      <c r="L19" s="12">
        <f>SUMIF(Mercado_Receita!$S$2:$S$1214,"44317A4VerdeNão se aplicaNão se aplicaNão se aplicaNão se aplicaFora ponta",Mercado_Receita!$L$2:$L$1214)</f>
        <v>11782.432000000001</v>
      </c>
      <c r="M19" s="12">
        <f>SUMIF(Mercado_Receita!$S$2:$S$1214,"44348A4VerdeNão se aplicaNão se aplicaNão se aplicaNão se aplicaFora ponta",Mercado_Receita!$L$2:$L$1214)</f>
        <v>11348.762999999999</v>
      </c>
      <c r="N19" s="12">
        <f>SUMIF(Mercado_Receita!$S$2:$S$1214,"44378A4VerdeNão se aplicaNão se aplicaNão se aplicaNão se aplicaFora ponta",Mercado_Receita!$L$2:$L$1214)</f>
        <v>11986.990000000002</v>
      </c>
      <c r="O19" s="12">
        <f>SUMIF(Mercado_Receita!$S$2:$S$1214,"44409A4VerdeNão se aplicaNão se aplicaNão se aplicaNão se aplicaFora ponta",Mercado_Receita!$L$2:$L$1214)</f>
        <v>12131.766</v>
      </c>
      <c r="P19" s="12">
        <f>SUMIF(Mercado_Receita!$S$2:$S$1214,"44440A4VerdeNão se aplicaNão se aplicaNão se aplicaNão se aplicaFora ponta",Mercado_Receita!$L$2:$L$1214)</f>
        <v>12261.401</v>
      </c>
      <c r="Q19" s="12">
        <f>SUMIF(Mercado_Receita!$S$2:$S$1214,"44470A4VerdeNão se aplicaNão se aplicaNão se aplicaNão se aplicaFora ponta",Mercado_Receita!$L$2:$L$1214)</f>
        <v>12691.395</v>
      </c>
      <c r="R19" s="12">
        <f>SUMIF(Mercado_Receita!$S$2:$S$1214,"44501A4VerdeNão se aplicaNão se aplicaNão se aplicaNão se aplicaFora ponta",Mercado_Receita!$L$2:$L$1214)</f>
        <v>12914.385999999999</v>
      </c>
      <c r="S19" s="12">
        <f>SUMIF(Mercado_Receita!$S$2:$S$1214,"44531A4VerdeNão se aplicaNão se aplicaNão se aplicaNão se aplicaFora ponta",Mercado_Receita!$L$2:$L$1214)</f>
        <v>12721.286000000002</v>
      </c>
      <c r="T19" s="12">
        <f>SUMIF(Mercado_Receita!$S$2:$S$1214,"44562A4VerdeNão se aplicaNão se aplicaNão se aplicaNão se aplicaFora ponta",Mercado_Receita!$L$2:$L$1214)</f>
        <v>12721.286000000002</v>
      </c>
      <c r="U19" s="12">
        <f t="shared" si="0"/>
        <v>146148.57</v>
      </c>
      <c r="V19" s="12"/>
      <c r="W19" s="12"/>
    </row>
    <row r="20" spans="1:23" ht="11.25" customHeight="1" x14ac:dyDescent="0.25">
      <c r="A20" s="92"/>
      <c r="B20" s="92"/>
      <c r="C20" s="92"/>
      <c r="D20" s="92"/>
      <c r="E20" s="91" t="s">
        <v>85</v>
      </c>
      <c r="F20" s="91" t="s">
        <v>25</v>
      </c>
      <c r="G20" s="12" t="s">
        <v>79</v>
      </c>
      <c r="H20" s="12" t="s">
        <v>78</v>
      </c>
      <c r="I20" s="12">
        <f>SUMIF(Mercado_Receita!$S$2:$S$1214,"44228A4VerdeNão se aplicaNão se aplicaAPENão se aplicaPonta",Mercado_Receita!$L$2:$L$1214)</f>
        <v>0</v>
      </c>
      <c r="J20" s="12">
        <f>SUMIF(Mercado_Receita!$S$2:$S$1214,"44256A4VerdeNão se aplicaNão se aplicaAPENão se aplicaPonta",Mercado_Receita!$L$2:$L$1214)</f>
        <v>0</v>
      </c>
      <c r="K20" s="12">
        <f>SUMIF(Mercado_Receita!$S$2:$S$1214,"44287A4VerdeNão se aplicaNão se aplicaAPENão se aplicaPonta",Mercado_Receita!$L$2:$L$1214)</f>
        <v>0</v>
      </c>
      <c r="L20" s="12">
        <f>SUMIF(Mercado_Receita!$S$2:$S$1214,"44317A4VerdeNão se aplicaNão se aplicaAPENão se aplicaPonta",Mercado_Receita!$L$2:$L$1214)</f>
        <v>0</v>
      </c>
      <c r="M20" s="12">
        <f>SUMIF(Mercado_Receita!$S$2:$S$1214,"44348A4VerdeNão se aplicaNão se aplicaAPENão se aplicaPonta",Mercado_Receita!$L$2:$L$1214)</f>
        <v>0</v>
      </c>
      <c r="N20" s="12">
        <f>SUMIF(Mercado_Receita!$S$2:$S$1214,"44378A4VerdeNão se aplicaNão se aplicaAPENão se aplicaPonta",Mercado_Receita!$L$2:$L$1214)</f>
        <v>0</v>
      </c>
      <c r="O20" s="12">
        <f>SUMIF(Mercado_Receita!$S$2:$S$1214,"44409A4VerdeNão se aplicaNão se aplicaAPENão se aplicaPonta",Mercado_Receita!$L$2:$L$1214)</f>
        <v>0</v>
      </c>
      <c r="P20" s="12">
        <f>SUMIF(Mercado_Receita!$S$2:$S$1214,"44440A4VerdeNão se aplicaNão se aplicaAPENão se aplicaPonta",Mercado_Receita!$L$2:$L$1214)</f>
        <v>0</v>
      </c>
      <c r="Q20" s="12">
        <f>SUMIF(Mercado_Receita!$S$2:$S$1214,"44470A4VerdeNão se aplicaNão se aplicaAPENão se aplicaPonta",Mercado_Receita!$L$2:$L$1214)</f>
        <v>0</v>
      </c>
      <c r="R20" s="12">
        <f>SUMIF(Mercado_Receita!$S$2:$S$1214,"44501A4VerdeNão se aplicaNão se aplicaAPENão se aplicaPonta",Mercado_Receita!$L$2:$L$1214)</f>
        <v>0</v>
      </c>
      <c r="S20" s="12">
        <f>SUMIF(Mercado_Receita!$S$2:$S$1214,"44531A4VerdeNão se aplicaNão se aplicaAPENão se aplicaPonta",Mercado_Receita!$L$2:$L$1214)</f>
        <v>0</v>
      </c>
      <c r="T20" s="12">
        <f>SUMIF(Mercado_Receita!$S$2:$S$1214,"44562A4VerdeNão se aplicaNão se aplicaAPENão se aplicaPonta",Mercado_Receita!$L$2:$L$1214)</f>
        <v>0</v>
      </c>
      <c r="U20" s="12">
        <f t="shared" si="0"/>
        <v>0</v>
      </c>
      <c r="V20" s="12"/>
      <c r="W20" s="12"/>
    </row>
    <row r="21" spans="1:23" ht="11.25" customHeight="1" x14ac:dyDescent="0.25">
      <c r="A21" s="92"/>
      <c r="B21" s="92"/>
      <c r="C21" s="92"/>
      <c r="D21" s="92"/>
      <c r="E21" s="92"/>
      <c r="F21" s="92"/>
      <c r="G21" s="12" t="s">
        <v>80</v>
      </c>
      <c r="H21" s="12" t="s">
        <v>78</v>
      </c>
      <c r="I21" s="12">
        <f>SUMIF(Mercado_Receita!$S$2:$S$1214,"44228A4VerdeNão se aplicaNão se aplicaAPENão se aplicaFora ponta",Mercado_Receita!$L$2:$L$1214)</f>
        <v>0</v>
      </c>
      <c r="J21" s="12">
        <f>SUMIF(Mercado_Receita!$S$2:$S$1214,"44256A4VerdeNão se aplicaNão se aplicaAPENão se aplicaFora ponta",Mercado_Receita!$L$2:$L$1214)</f>
        <v>0</v>
      </c>
      <c r="K21" s="12">
        <f>SUMIF(Mercado_Receita!$S$2:$S$1214,"44287A4VerdeNão se aplicaNão se aplicaAPENão se aplicaFora ponta",Mercado_Receita!$L$2:$L$1214)</f>
        <v>0</v>
      </c>
      <c r="L21" s="12">
        <f>SUMIF(Mercado_Receita!$S$2:$S$1214,"44317A4VerdeNão se aplicaNão se aplicaAPENão se aplicaFora ponta",Mercado_Receita!$L$2:$L$1214)</f>
        <v>0</v>
      </c>
      <c r="M21" s="12">
        <f>SUMIF(Mercado_Receita!$S$2:$S$1214,"44348A4VerdeNão se aplicaNão se aplicaAPENão se aplicaFora ponta",Mercado_Receita!$L$2:$L$1214)</f>
        <v>0</v>
      </c>
      <c r="N21" s="12">
        <f>SUMIF(Mercado_Receita!$S$2:$S$1214,"44378A4VerdeNão se aplicaNão se aplicaAPENão se aplicaFora ponta",Mercado_Receita!$L$2:$L$1214)</f>
        <v>0</v>
      </c>
      <c r="O21" s="12">
        <f>SUMIF(Mercado_Receita!$S$2:$S$1214,"44409A4VerdeNão se aplicaNão se aplicaAPENão se aplicaFora ponta",Mercado_Receita!$L$2:$L$1214)</f>
        <v>0</v>
      </c>
      <c r="P21" s="12">
        <f>SUMIF(Mercado_Receita!$S$2:$S$1214,"44440A4VerdeNão se aplicaNão se aplicaAPENão se aplicaFora ponta",Mercado_Receita!$L$2:$L$1214)</f>
        <v>0</v>
      </c>
      <c r="Q21" s="12">
        <f>SUMIF(Mercado_Receita!$S$2:$S$1214,"44470A4VerdeNão se aplicaNão se aplicaAPENão se aplicaFora ponta",Mercado_Receita!$L$2:$L$1214)</f>
        <v>0</v>
      </c>
      <c r="R21" s="12">
        <f>SUMIF(Mercado_Receita!$S$2:$S$1214,"44501A4VerdeNão se aplicaNão se aplicaAPENão se aplicaFora ponta",Mercado_Receita!$L$2:$L$1214)</f>
        <v>0</v>
      </c>
      <c r="S21" s="12">
        <f>SUMIF(Mercado_Receita!$S$2:$S$1214,"44531A4VerdeNão se aplicaNão se aplicaAPENão se aplicaFora ponta",Mercado_Receita!$L$2:$L$1214)</f>
        <v>0</v>
      </c>
      <c r="T21" s="12">
        <f>SUMIF(Mercado_Receita!$S$2:$S$1214,"44562A4VerdeNão se aplicaNão se aplicaAPENão se aplicaFora ponta",Mercado_Receita!$L$2:$L$1214)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91" t="s">
        <v>88</v>
      </c>
      <c r="B22" s="91" t="s">
        <v>87</v>
      </c>
      <c r="C22" s="91" t="s">
        <v>25</v>
      </c>
      <c r="D22" s="91" t="s">
        <v>25</v>
      </c>
      <c r="E22" s="13" t="s">
        <v>89</v>
      </c>
      <c r="F22" s="13" t="s">
        <v>25</v>
      </c>
      <c r="G22" s="12" t="s">
        <v>9</v>
      </c>
      <c r="H22" s="12" t="s">
        <v>81</v>
      </c>
      <c r="I22" s="12">
        <f>SUMIF(Mercado_Receita!$S$2:$S$1214,"44228BGeraçãoNão se aplicaNão se aplicaTIPO 01Não se aplicaNão se aplica",Mercado_Receita!$J$2:$J$1214)+SUMIF(Mercado_Receita!$S$2:$S$1214,"44228BGeraçãoNão se aplicaNão se aplicaAPENão se aplicaNão se aplica",Mercado_Receita!$J$2:$J$1214)</f>
        <v>0</v>
      </c>
      <c r="J22" s="12">
        <f>SUMIF(Mercado_Receita!$S$2:$S$1214,"44256BGeraçãoNão se aplicaNão se aplicaTIPO 01Não se aplicaNão se aplica",Mercado_Receita!$J$2:$J$1214)+SUMIF(Mercado_Receita!$S$2:$S$1214,"44256BGeraçãoNão se aplicaNão se aplicaAPENão se aplicaNão se aplica",Mercado_Receita!$J$2:$J$1214)</f>
        <v>0</v>
      </c>
      <c r="K22" s="12">
        <f>SUMIF(Mercado_Receita!$S$2:$S$1214,"44287BGeraçãoNão se aplicaNão se aplicaTIPO 01Não se aplicaNão se aplica",Mercado_Receita!$J$2:$J$1214)+SUMIF(Mercado_Receita!$S$2:$S$1214,"44287BGeraçãoNão se aplicaNão se aplicaAPENão se aplicaNão se aplica",Mercado_Receita!$J$2:$J$1214)</f>
        <v>0</v>
      </c>
      <c r="L22" s="12">
        <f>SUMIF(Mercado_Receita!$S$2:$S$1214,"44317BGeraçãoNão se aplicaNão se aplicaTIPO 01Não se aplicaNão se aplica",Mercado_Receita!$J$2:$J$1214)+SUMIF(Mercado_Receita!$S$2:$S$1214,"44317BGeraçãoNão se aplicaNão se aplicaAPENão se aplicaNão se aplica",Mercado_Receita!$J$2:$J$1214)</f>
        <v>0</v>
      </c>
      <c r="M22" s="12">
        <f>SUMIF(Mercado_Receita!$S$2:$S$1214,"44348BGeraçãoNão se aplicaNão se aplicaTIPO 01Não se aplicaNão se aplica",Mercado_Receita!$J$2:$J$1214)+SUMIF(Mercado_Receita!$S$2:$S$1214,"44348BGeraçãoNão se aplicaNão se aplicaAPENão se aplicaNão se aplica",Mercado_Receita!$J$2:$J$1214)</f>
        <v>0</v>
      </c>
      <c r="N22" s="12">
        <f>SUMIF(Mercado_Receita!$S$2:$S$1214,"44378BGeraçãoNão se aplicaNão se aplicaTIPO 01Não se aplicaNão se aplica",Mercado_Receita!$J$2:$J$1214)+SUMIF(Mercado_Receita!$S$2:$S$1214,"44378BGeraçãoNão se aplicaNão se aplicaAPENão se aplicaNão se aplica",Mercado_Receita!$J$2:$J$1214)</f>
        <v>0</v>
      </c>
      <c r="O22" s="12">
        <f>SUMIF(Mercado_Receita!$S$2:$S$1214,"44409BGeraçãoNão se aplicaNão se aplicaTIPO 01Não se aplicaNão se aplica",Mercado_Receita!$J$2:$J$1214)+SUMIF(Mercado_Receita!$S$2:$S$1214,"44409BGeraçãoNão se aplicaNão se aplicaAPENão se aplicaNão se aplica",Mercado_Receita!$J$2:$J$1214)</f>
        <v>0</v>
      </c>
      <c r="P22" s="12">
        <f>SUMIF(Mercado_Receita!$S$2:$S$1214,"44440BGeraçãoNão se aplicaNão se aplicaTIPO 01Não se aplicaNão se aplica",Mercado_Receita!$J$2:$J$1214)+SUMIF(Mercado_Receita!$S$2:$S$1214,"44440BGeraçãoNão se aplicaNão se aplicaAPENão se aplicaNão se aplica",Mercado_Receita!$J$2:$J$1214)</f>
        <v>0</v>
      </c>
      <c r="Q22" s="12">
        <f>SUMIF(Mercado_Receita!$S$2:$S$1214,"44470BGeraçãoNão se aplicaNão se aplicaTIPO 01Não se aplicaNão se aplica",Mercado_Receita!$J$2:$J$1214)+SUMIF(Mercado_Receita!$S$2:$S$1214,"44470BGeraçãoNão se aplicaNão se aplicaAPENão se aplicaNão se aplica",Mercado_Receita!$J$2:$J$1214)</f>
        <v>0</v>
      </c>
      <c r="R22" s="12">
        <f>SUMIF(Mercado_Receita!$S$2:$S$1214,"44501BGeraçãoNão se aplicaNão se aplicaTIPO 01Não se aplicaNão se aplica",Mercado_Receita!$J$2:$J$1214)+SUMIF(Mercado_Receita!$S$2:$S$1214,"44501BGeraçãoNão se aplicaNão se aplicaAPENão se aplicaNão se aplica",Mercado_Receita!$J$2:$J$1214)</f>
        <v>0</v>
      </c>
      <c r="S22" s="12">
        <f>SUMIF(Mercado_Receita!$S$2:$S$1214,"44531BGeraçãoNão se aplicaNão se aplicaTIPO 01Não se aplicaNão se aplica",Mercado_Receita!$J$2:$J$1214)+SUMIF(Mercado_Receita!$S$2:$S$1214,"44531BGeraçãoNão se aplicaNão se aplicaAPENão se aplicaNão se aplica",Mercado_Receita!$J$2:$J$1214)</f>
        <v>0</v>
      </c>
      <c r="T22" s="12">
        <f>SUMIF(Mercado_Receita!$S$2:$S$1214,"44562BGeraçãoNão se aplicaNão se aplicaTIPO 01Não se aplicaNão se aplica",Mercado_Receita!$J$2:$J$1214)+SUMIF(Mercado_Receita!$S$2:$S$1214,"44562BGeraçãoNão se aplicaNão se aplicaAPENão se aplicaNão se aplica",Mercado_Receita!$J$2:$J$1214)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92"/>
      <c r="B23" s="92"/>
      <c r="C23" s="92"/>
      <c r="D23" s="92"/>
      <c r="E23" s="13" t="s">
        <v>90</v>
      </c>
      <c r="F23" s="13" t="s">
        <v>25</v>
      </c>
      <c r="G23" s="12" t="s">
        <v>9</v>
      </c>
      <c r="H23" s="12" t="s">
        <v>81</v>
      </c>
      <c r="I23" s="12">
        <f>SUMIF(Mercado_Receita!$S$2:$S$1214,"44228BGeraçãoNão se aplicaNão se aplicaTIPO 02Não se aplicaNão se aplica",Mercado_Receita!$J$2:$J$1214)+SUMIF(Mercado_Receita!$S$2:$S$1214,"44228BGeraçãoNão se aplicaNão se aplicaAPENão se aplicaNão se aplica",Mercado_Receita!$J$2:$J$1214)</f>
        <v>0</v>
      </c>
      <c r="J23" s="12">
        <f>SUMIF(Mercado_Receita!$S$2:$S$1214,"44256BGeraçãoNão se aplicaNão se aplicaTIPO 02Não se aplicaNão se aplica",Mercado_Receita!$J$2:$J$1214)+SUMIF(Mercado_Receita!$S$2:$S$1214,"44256BGeraçãoNão se aplicaNão se aplicaAPENão se aplicaNão se aplica",Mercado_Receita!$J$2:$J$1214)</f>
        <v>0</v>
      </c>
      <c r="K23" s="12">
        <f>SUMIF(Mercado_Receita!$S$2:$S$1214,"44287BGeraçãoNão se aplicaNão se aplicaTIPO 02Não se aplicaNão se aplica",Mercado_Receita!$J$2:$J$1214)+SUMIF(Mercado_Receita!$S$2:$S$1214,"44287BGeraçãoNão se aplicaNão se aplicaAPENão se aplicaNão se aplica",Mercado_Receita!$J$2:$J$1214)</f>
        <v>0</v>
      </c>
      <c r="L23" s="12">
        <f>SUMIF(Mercado_Receita!$S$2:$S$1214,"44317BGeraçãoNão se aplicaNão se aplicaTIPO 02Não se aplicaNão se aplica",Mercado_Receita!$J$2:$J$1214)+SUMIF(Mercado_Receita!$S$2:$S$1214,"44317BGeraçãoNão se aplicaNão se aplicaAPENão se aplicaNão se aplica",Mercado_Receita!$J$2:$J$1214)</f>
        <v>0</v>
      </c>
      <c r="M23" s="12">
        <f>SUMIF(Mercado_Receita!$S$2:$S$1214,"44348BGeraçãoNão se aplicaNão se aplicaTIPO 02Não se aplicaNão se aplica",Mercado_Receita!$J$2:$J$1214)+SUMIF(Mercado_Receita!$S$2:$S$1214,"44348BGeraçãoNão se aplicaNão se aplicaAPENão se aplicaNão se aplica",Mercado_Receita!$J$2:$J$1214)</f>
        <v>0</v>
      </c>
      <c r="N23" s="12">
        <f>SUMIF(Mercado_Receita!$S$2:$S$1214,"44378BGeraçãoNão se aplicaNão se aplicaTIPO 02Não se aplicaNão se aplica",Mercado_Receita!$J$2:$J$1214)+SUMIF(Mercado_Receita!$S$2:$S$1214,"44378BGeraçãoNão se aplicaNão se aplicaAPENão se aplicaNão se aplica",Mercado_Receita!$J$2:$J$1214)</f>
        <v>0</v>
      </c>
      <c r="O23" s="12">
        <f>SUMIF(Mercado_Receita!$S$2:$S$1214,"44409BGeraçãoNão se aplicaNão se aplicaTIPO 02Não se aplicaNão se aplica",Mercado_Receita!$J$2:$J$1214)+SUMIF(Mercado_Receita!$S$2:$S$1214,"44409BGeraçãoNão se aplicaNão se aplicaAPENão se aplicaNão se aplica",Mercado_Receita!$J$2:$J$1214)</f>
        <v>0</v>
      </c>
      <c r="P23" s="12">
        <f>SUMIF(Mercado_Receita!$S$2:$S$1214,"44440BGeraçãoNão se aplicaNão se aplicaTIPO 02Não se aplicaNão se aplica",Mercado_Receita!$J$2:$J$1214)+SUMIF(Mercado_Receita!$S$2:$S$1214,"44440BGeraçãoNão se aplicaNão se aplicaAPENão se aplicaNão se aplica",Mercado_Receita!$J$2:$J$1214)</f>
        <v>0</v>
      </c>
      <c r="Q23" s="12">
        <f>SUMIF(Mercado_Receita!$S$2:$S$1214,"44470BGeraçãoNão se aplicaNão se aplicaTIPO 02Não se aplicaNão se aplica",Mercado_Receita!$J$2:$J$1214)+SUMIF(Mercado_Receita!$S$2:$S$1214,"44470BGeraçãoNão se aplicaNão se aplicaAPENão se aplicaNão se aplica",Mercado_Receita!$J$2:$J$1214)</f>
        <v>0</v>
      </c>
      <c r="R23" s="12">
        <f>SUMIF(Mercado_Receita!$S$2:$S$1214,"44501BGeraçãoNão se aplicaNão se aplicaTIPO 02Não se aplicaNão se aplica",Mercado_Receita!$J$2:$J$1214)+SUMIF(Mercado_Receita!$S$2:$S$1214,"44501BGeraçãoNão se aplicaNão se aplicaAPENão se aplicaNão se aplica",Mercado_Receita!$J$2:$J$1214)</f>
        <v>0</v>
      </c>
      <c r="S23" s="12">
        <f>SUMIF(Mercado_Receita!$S$2:$S$1214,"44531BGeraçãoNão se aplicaNão se aplicaTIPO 02Não se aplicaNão se aplica",Mercado_Receita!$J$2:$J$1214)+SUMIF(Mercado_Receita!$S$2:$S$1214,"44531BGeraçãoNão se aplicaNão se aplicaAPENão se aplicaNão se aplica",Mercado_Receita!$J$2:$J$1214)</f>
        <v>0</v>
      </c>
      <c r="T23" s="12">
        <f>SUMIF(Mercado_Receita!$S$2:$S$1214,"44562BGeraçãoNão se aplicaNão se aplicaTIPO 02Não se aplicaNão se aplica",Mercado_Receita!$J$2:$J$1214)+SUMIF(Mercado_Receita!$S$2:$S$1214,"44562BGeraçãoNão se aplicaNão se aplicaAPENão se aplicaNão se aplica",Mercado_Receita!$J$2:$J$1214)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91" t="s">
        <v>22</v>
      </c>
      <c r="B24" s="91" t="s">
        <v>33</v>
      </c>
      <c r="C24" s="91" t="s">
        <v>24</v>
      </c>
      <c r="D24" s="91" t="s">
        <v>24</v>
      </c>
      <c r="E24" s="91" t="s">
        <v>25</v>
      </c>
      <c r="F24" s="91" t="s">
        <v>25</v>
      </c>
      <c r="G24" s="12" t="s">
        <v>79</v>
      </c>
      <c r="H24" s="12" t="s">
        <v>78</v>
      </c>
      <c r="I24" s="12">
        <f>SUMIF(Mercado_Receita!$S$2:$S$1214,"44228B1BrancaResidencialResidencialNão se aplicaNão se aplicaPonta",Mercado_Receita!$L$2:$L$1214)</f>
        <v>0.63500000000000001</v>
      </c>
      <c r="J24" s="12">
        <f>SUMIF(Mercado_Receita!$S$2:$S$1214,"44256B1BrancaResidencialResidencialNão se aplicaNão se aplicaPonta",Mercado_Receita!$L$2:$L$1214)</f>
        <v>0.71899999999999997</v>
      </c>
      <c r="K24" s="12">
        <f>SUMIF(Mercado_Receita!$S$2:$S$1214,"44287B1BrancaResidencialResidencialNão se aplicaNão se aplicaPonta",Mercado_Receita!$L$2:$L$1214)</f>
        <v>0.34799999999999998</v>
      </c>
      <c r="L24" s="12">
        <f>SUMIF(Mercado_Receita!$S$2:$S$1214,"44317B1BrancaResidencialResidencialNão se aplicaNão se aplicaPonta",Mercado_Receita!$L$2:$L$1214)</f>
        <v>0.69099999999999995</v>
      </c>
      <c r="M24" s="12">
        <f>SUMIF(Mercado_Receita!$S$2:$S$1214,"44348B1BrancaResidencialResidencialNão se aplicaNão se aplicaPonta",Mercado_Receita!$L$2:$L$1214)</f>
        <v>0.65400000000000003</v>
      </c>
      <c r="N24" s="12">
        <f>SUMIF(Mercado_Receita!$S$2:$S$1214,"44378B1BrancaResidencialResidencialNão se aplicaNão se aplicaPonta",Mercado_Receita!$L$2:$L$1214)</f>
        <v>0.65400000000000003</v>
      </c>
      <c r="O24" s="12">
        <f>SUMIF(Mercado_Receita!$S$2:$S$1214,"44409B1BrancaResidencialResidencialNão se aplicaNão se aplicaPonta",Mercado_Receita!$L$2:$L$1214)</f>
        <v>0.55800000000000005</v>
      </c>
      <c r="P24" s="12">
        <f>SUMIF(Mercado_Receita!$S$2:$S$1214,"44440B1BrancaResidencialResidencialNão se aplicaNão se aplicaPonta",Mercado_Receita!$L$2:$L$1214)</f>
        <v>0.48199999999999998</v>
      </c>
      <c r="Q24" s="12">
        <f>SUMIF(Mercado_Receita!$S$2:$S$1214,"44470B1BrancaResidencialResidencialNão se aplicaNão se aplicaPonta",Mercado_Receita!$L$2:$L$1214)</f>
        <v>0.53300000000000003</v>
      </c>
      <c r="R24" s="12">
        <f>SUMIF(Mercado_Receita!$S$2:$S$1214,"44501B1BrancaResidencialResidencialNão se aplicaNão se aplicaPonta",Mercado_Receita!$L$2:$L$1214)</f>
        <v>0.51600000000000001</v>
      </c>
      <c r="S24" s="12">
        <f>SUMIF(Mercado_Receita!$S$2:$S$1214,"44531B1BrancaResidencialResidencialNão se aplicaNão se aplicaPonta",Mercado_Receita!$L$2:$L$1214)</f>
        <v>0.56799999999999995</v>
      </c>
      <c r="T24" s="12">
        <f>SUMIF(Mercado_Receita!$S$2:$S$1214,"44562B1BrancaResidencialResidencialNão se aplicaNão se aplicaPonta",Mercado_Receita!$L$2:$L$1214)</f>
        <v>0.56799999999999995</v>
      </c>
      <c r="U24" s="12">
        <f t="shared" si="0"/>
        <v>6.9259999999999993</v>
      </c>
      <c r="V24" s="12"/>
      <c r="W24" s="12"/>
    </row>
    <row r="25" spans="1:23" ht="11.25" customHeight="1" x14ac:dyDescent="0.25">
      <c r="A25" s="92"/>
      <c r="B25" s="92"/>
      <c r="C25" s="92"/>
      <c r="D25" s="92"/>
      <c r="E25" s="92"/>
      <c r="F25" s="92"/>
      <c r="G25" s="12" t="s">
        <v>91</v>
      </c>
      <c r="H25" s="12" t="s">
        <v>78</v>
      </c>
      <c r="I25" s="12">
        <f>SUMIF(Mercado_Receita!$S$2:$S$1214,"44228B1BrancaResidencialResidencialNão se aplicaNão se aplicaIntermediário",Mercado_Receita!$L$2:$L$1214)</f>
        <v>0.41499999999999998</v>
      </c>
      <c r="J25" s="12">
        <f>SUMIF(Mercado_Receita!$S$2:$S$1214,"44256B1BrancaResidencialResidencialNão se aplicaNão se aplicaIntermediário",Mercado_Receita!$L$2:$L$1214)</f>
        <v>0.47099999999999997</v>
      </c>
      <c r="K25" s="12">
        <f>SUMIF(Mercado_Receita!$S$2:$S$1214,"44287B1BrancaResidencialResidencialNão se aplicaNão se aplicaIntermediário",Mercado_Receita!$L$2:$L$1214)</f>
        <v>0.24600000000000002</v>
      </c>
      <c r="L25" s="12">
        <f>SUMIF(Mercado_Receita!$S$2:$S$1214,"44317B1BrancaResidencialResidencialNão se aplicaNão se aplicaIntermediário",Mercado_Receita!$L$2:$L$1214)</f>
        <v>0.42599999999999999</v>
      </c>
      <c r="M25" s="12">
        <f>SUMIF(Mercado_Receita!$S$2:$S$1214,"44348B1BrancaResidencialResidencialNão se aplicaNão se aplicaIntermediário",Mercado_Receita!$L$2:$L$1214)</f>
        <v>0.40200000000000002</v>
      </c>
      <c r="N25" s="12">
        <f>SUMIF(Mercado_Receita!$S$2:$S$1214,"44378B1BrancaResidencialResidencialNão se aplicaNão se aplicaIntermediário",Mercado_Receita!$L$2:$L$1214)</f>
        <v>0.40400000000000003</v>
      </c>
      <c r="O25" s="12">
        <f>SUMIF(Mercado_Receita!$S$2:$S$1214,"44409B1BrancaResidencialResidencialNão se aplicaNão se aplicaIntermediário",Mercado_Receita!$L$2:$L$1214)</f>
        <v>0.34399999999999997</v>
      </c>
      <c r="P25" s="12">
        <f>SUMIF(Mercado_Receita!$S$2:$S$1214,"44440B1BrancaResidencialResidencialNão se aplicaNão se aplicaIntermediário",Mercado_Receita!$L$2:$L$1214)</f>
        <v>0.308</v>
      </c>
      <c r="Q25" s="12">
        <f>SUMIF(Mercado_Receita!$S$2:$S$1214,"44470B1BrancaResidencialResidencialNão se aplicaNão se aplicaIntermediário",Mercado_Receita!$L$2:$L$1214)</f>
        <v>0.38400000000000001</v>
      </c>
      <c r="R25" s="12">
        <f>SUMIF(Mercado_Receita!$S$2:$S$1214,"44501B1BrancaResidencialResidencialNão se aplicaNão se aplicaIntermediário",Mercado_Receita!$L$2:$L$1214)</f>
        <v>0.38</v>
      </c>
      <c r="S25" s="12">
        <f>SUMIF(Mercado_Receita!$S$2:$S$1214,"44531B1BrancaResidencialResidencialNão se aplicaNão se aplicaIntermediário",Mercado_Receita!$L$2:$L$1214)</f>
        <v>0.41499999999999998</v>
      </c>
      <c r="T25" s="12">
        <f>SUMIF(Mercado_Receita!$S$2:$S$1214,"44562B1BrancaResidencialResidencialNão se aplicaNão se aplicaIntermediário",Mercado_Receita!$L$2:$L$1214)</f>
        <v>0.41499999999999998</v>
      </c>
      <c r="U25" s="12">
        <f t="shared" si="0"/>
        <v>4.6099999999999994</v>
      </c>
      <c r="V25" s="12"/>
      <c r="W25" s="12"/>
    </row>
    <row r="26" spans="1:23" ht="11.25" customHeight="1" x14ac:dyDescent="0.25">
      <c r="A26" s="92"/>
      <c r="B26" s="92"/>
      <c r="C26" s="92"/>
      <c r="D26" s="92"/>
      <c r="E26" s="92"/>
      <c r="F26" s="92"/>
      <c r="G26" s="12" t="s">
        <v>80</v>
      </c>
      <c r="H26" s="12" t="s">
        <v>78</v>
      </c>
      <c r="I26" s="12">
        <f>SUMIF(Mercado_Receita!$S$2:$S$1214,"44228B1BrancaResidencialResidencialNão se aplicaNão se aplicaFora ponta",Mercado_Receita!$L$2:$L$1214)</f>
        <v>6.6319999999999997</v>
      </c>
      <c r="J26" s="12">
        <f>SUMIF(Mercado_Receita!$S$2:$S$1214,"44256B1BrancaResidencialResidencialNão se aplicaNão se aplicaFora ponta",Mercado_Receita!$L$2:$L$1214)</f>
        <v>7.2290000000000001</v>
      </c>
      <c r="K26" s="12">
        <f>SUMIF(Mercado_Receita!$S$2:$S$1214,"44287B1BrancaResidencialResidencialNão se aplicaNão se aplicaFora ponta",Mercado_Receita!$L$2:$L$1214)</f>
        <v>4.2880000000000003</v>
      </c>
      <c r="L26" s="12">
        <f>SUMIF(Mercado_Receita!$S$2:$S$1214,"44317B1BrancaResidencialResidencialNão se aplicaNão se aplicaFora ponta",Mercado_Receita!$L$2:$L$1214)</f>
        <v>7.01</v>
      </c>
      <c r="M26" s="12">
        <f>SUMIF(Mercado_Receita!$S$2:$S$1214,"44348B1BrancaResidencialResidencialNão se aplicaNão se aplicaFora ponta",Mercado_Receita!$L$2:$L$1214)</f>
        <v>6.101</v>
      </c>
      <c r="N26" s="12">
        <f>SUMIF(Mercado_Receita!$S$2:$S$1214,"44378B1BrancaResidencialResidencialNão se aplicaNão se aplicaFora ponta",Mercado_Receita!$L$2:$L$1214)</f>
        <v>6.0250000000000004</v>
      </c>
      <c r="O26" s="12">
        <f>SUMIF(Mercado_Receita!$S$2:$S$1214,"44409B1BrancaResidencialResidencialNão se aplicaNão se aplicaFora ponta",Mercado_Receita!$L$2:$L$1214)</f>
        <v>5.3410000000000002</v>
      </c>
      <c r="P26" s="12">
        <f>SUMIF(Mercado_Receita!$S$2:$S$1214,"44440B1BrancaResidencialResidencialNão se aplicaNão se aplicaFora ponta",Mercado_Receita!$L$2:$L$1214)</f>
        <v>4.9790000000000001</v>
      </c>
      <c r="Q26" s="12">
        <f>SUMIF(Mercado_Receita!$S$2:$S$1214,"44470B1BrancaResidencialResidencialNão se aplicaNão se aplicaFora ponta",Mercado_Receita!$L$2:$L$1214)</f>
        <v>6.0339999999999998</v>
      </c>
      <c r="R26" s="12">
        <f>SUMIF(Mercado_Receita!$S$2:$S$1214,"44501B1BrancaResidencialResidencialNão se aplicaNão se aplicaFora ponta",Mercado_Receita!$L$2:$L$1214)</f>
        <v>6.1790000000000003</v>
      </c>
      <c r="S26" s="12">
        <f>SUMIF(Mercado_Receita!$S$2:$S$1214,"44531B1BrancaResidencialResidencialNão se aplicaNão se aplicaFora ponta",Mercado_Receita!$L$2:$L$1214)</f>
        <v>6.6619999999999999</v>
      </c>
      <c r="T26" s="12">
        <f>SUMIF(Mercado_Receita!$S$2:$S$1214,"44562B1BrancaResidencialResidencialNão se aplicaNão se aplicaFora ponta",Mercado_Receita!$L$2:$L$1214)</f>
        <v>6.6619999999999999</v>
      </c>
      <c r="U26" s="12">
        <f t="shared" si="0"/>
        <v>73.14200000000001</v>
      </c>
      <c r="V26" s="12"/>
      <c r="W26" s="12"/>
    </row>
    <row r="27" spans="1:23" ht="11.25" customHeight="1" x14ac:dyDescent="0.25">
      <c r="A27" s="92"/>
      <c r="B27" s="91" t="s">
        <v>23</v>
      </c>
      <c r="C27" s="91" t="s">
        <v>24</v>
      </c>
      <c r="D27" s="13" t="s">
        <v>24</v>
      </c>
      <c r="E27" s="13" t="s">
        <v>25</v>
      </c>
      <c r="F27" s="13" t="s">
        <v>25</v>
      </c>
      <c r="G27" s="12" t="s">
        <v>84</v>
      </c>
      <c r="H27" s="12" t="s">
        <v>78</v>
      </c>
      <c r="I27" s="12">
        <f>SUMIF(Mercado_Receita!$S$2:$S$1214,"44228B1ConvencionalResidencialResidencialNão se aplicaNão se aplicaPonta",Mercado_Receita!$L$2:$L$1214)+SUMIF(Mercado_Receita!$S$2:$S$1214,"44228B1ConvencionalResidencialResidencialNão se aplicaNão se aplicaFora ponta",Mercado_Receita!$L$2:$L$1214)+SUMIF(Mercado_Receita!$S$2:$S$1214,"44228B1ConvencionalResidencialResidencialNão se aplicaNão se aplicaIntermediário",Mercado_Receita!$L$2:$L$1214)+SUMIF(Mercado_Receita!$S$2:$S$1214,"44228B1ConvencionalResidencialResidencialNão se aplicaNão se aplicaNão se aplica",Mercado_Receita!$L$2:$L$1214)</f>
        <v>17833.944</v>
      </c>
      <c r="J27" s="12">
        <f>SUMIF(Mercado_Receita!$S$2:$S$1214,"44256B1ConvencionalResidencialResidencialNão se aplicaNão se aplicaPonta",Mercado_Receita!$L$2:$L$1214)+SUMIF(Mercado_Receita!$S$2:$S$1214,"44256B1ConvencionalResidencialResidencialNão se aplicaNão se aplicaFora ponta",Mercado_Receita!$L$2:$L$1214)+SUMIF(Mercado_Receita!$S$2:$S$1214,"44256B1ConvencionalResidencialResidencialNão se aplicaNão se aplicaIntermediário",Mercado_Receita!$L$2:$L$1214)+SUMIF(Mercado_Receita!$S$2:$S$1214,"44256B1ConvencionalResidencialResidencialNão se aplicaNão se aplicaNão se aplica",Mercado_Receita!$L$2:$L$1214)</f>
        <v>19398.955999999998</v>
      </c>
      <c r="K27" s="12">
        <f>SUMIF(Mercado_Receita!$S$2:$S$1214,"44287B1ConvencionalResidencialResidencialNão se aplicaNão se aplicaPonta",Mercado_Receita!$L$2:$L$1214)+SUMIF(Mercado_Receita!$S$2:$S$1214,"44287B1ConvencionalResidencialResidencialNão se aplicaNão se aplicaFora ponta",Mercado_Receita!$L$2:$L$1214)+SUMIF(Mercado_Receita!$S$2:$S$1214,"44287B1ConvencionalResidencialResidencialNão se aplicaNão se aplicaIntermediário",Mercado_Receita!$L$2:$L$1214)+SUMIF(Mercado_Receita!$S$2:$S$1214,"44287B1ConvencionalResidencialResidencialNão se aplicaNão se aplicaNão se aplica",Mercado_Receita!$L$2:$L$1214)</f>
        <v>19707.157999999999</v>
      </c>
      <c r="L27" s="12">
        <f>SUMIF(Mercado_Receita!$S$2:$S$1214,"44317B1ConvencionalResidencialResidencialNão se aplicaNão se aplicaPonta",Mercado_Receita!$L$2:$L$1214)+SUMIF(Mercado_Receita!$S$2:$S$1214,"44317B1ConvencionalResidencialResidencialNão se aplicaNão se aplicaFora ponta",Mercado_Receita!$L$2:$L$1214)+SUMIF(Mercado_Receita!$S$2:$S$1214,"44317B1ConvencionalResidencialResidencialNão se aplicaNão se aplicaIntermediário",Mercado_Receita!$L$2:$L$1214)+SUMIF(Mercado_Receita!$S$2:$S$1214,"44317B1ConvencionalResidencialResidencialNão se aplicaNão se aplicaNão se aplica",Mercado_Receita!$L$2:$L$1214)</f>
        <v>18246.837</v>
      </c>
      <c r="M27" s="12">
        <f>SUMIF(Mercado_Receita!$S$2:$S$1214,"44348B1ConvencionalResidencialResidencialNão se aplicaNão se aplicaPonta",Mercado_Receita!$L$2:$L$1214)+SUMIF(Mercado_Receita!$S$2:$S$1214,"44348B1ConvencionalResidencialResidencialNão se aplicaNão se aplicaFora ponta",Mercado_Receita!$L$2:$L$1214)+SUMIF(Mercado_Receita!$S$2:$S$1214,"44348B1ConvencionalResidencialResidencialNão se aplicaNão se aplicaIntermediário",Mercado_Receita!$L$2:$L$1214)+SUMIF(Mercado_Receita!$S$2:$S$1214,"44348B1ConvencionalResidencialResidencialNão se aplicaNão se aplicaNão se aplica",Mercado_Receita!$L$2:$L$1214)</f>
        <v>17180.697</v>
      </c>
      <c r="N27" s="12">
        <f>SUMIF(Mercado_Receita!$S$2:$S$1214,"44378B1ConvencionalResidencialResidencialNão se aplicaNão se aplicaPonta",Mercado_Receita!$L$2:$L$1214)+SUMIF(Mercado_Receita!$S$2:$S$1214,"44378B1ConvencionalResidencialResidencialNão se aplicaNão se aplicaFora ponta",Mercado_Receita!$L$2:$L$1214)+SUMIF(Mercado_Receita!$S$2:$S$1214,"44378B1ConvencionalResidencialResidencialNão se aplicaNão se aplicaIntermediário",Mercado_Receita!$L$2:$L$1214)+SUMIF(Mercado_Receita!$S$2:$S$1214,"44378B1ConvencionalResidencialResidencialNão se aplicaNão se aplicaNão se aplica",Mercado_Receita!$L$2:$L$1214)</f>
        <v>17810.837</v>
      </c>
      <c r="O27" s="12">
        <f>SUMIF(Mercado_Receita!$S$2:$S$1214,"44409B1ConvencionalResidencialResidencialNão se aplicaNão se aplicaPonta",Mercado_Receita!$L$2:$L$1214)+SUMIF(Mercado_Receita!$S$2:$S$1214,"44409B1ConvencionalResidencialResidencialNão se aplicaNão se aplicaFora ponta",Mercado_Receita!$L$2:$L$1214)+SUMIF(Mercado_Receita!$S$2:$S$1214,"44409B1ConvencionalResidencialResidencialNão se aplicaNão se aplicaIntermediário",Mercado_Receita!$L$2:$L$1214)+SUMIF(Mercado_Receita!$S$2:$S$1214,"44409B1ConvencionalResidencialResidencialNão se aplicaNão se aplicaNão se aplica",Mercado_Receita!$L$2:$L$1214)</f>
        <v>16541.394</v>
      </c>
      <c r="P27" s="12">
        <f>SUMIF(Mercado_Receita!$S$2:$S$1214,"44440B1ConvencionalResidencialResidencialNão se aplicaNão se aplicaPonta",Mercado_Receita!$L$2:$L$1214)+SUMIF(Mercado_Receita!$S$2:$S$1214,"44440B1ConvencionalResidencialResidencialNão se aplicaNão se aplicaFora ponta",Mercado_Receita!$L$2:$L$1214)+SUMIF(Mercado_Receita!$S$2:$S$1214,"44440B1ConvencionalResidencialResidencialNão se aplicaNão se aplicaIntermediário",Mercado_Receita!$L$2:$L$1214)+SUMIF(Mercado_Receita!$S$2:$S$1214,"44440B1ConvencionalResidencialResidencialNão se aplicaNão se aplicaNão se aplica",Mercado_Receita!$L$2:$L$1214)</f>
        <v>16821.807000000001</v>
      </c>
      <c r="Q27" s="12">
        <f>SUMIF(Mercado_Receita!$S$2:$S$1214,"44470B1ConvencionalResidencialResidencialNão se aplicaNão se aplicaPonta",Mercado_Receita!$L$2:$L$1214)+SUMIF(Mercado_Receita!$S$2:$S$1214,"44470B1ConvencionalResidencialResidencialNão se aplicaNão se aplicaFora ponta",Mercado_Receita!$L$2:$L$1214)+SUMIF(Mercado_Receita!$S$2:$S$1214,"44470B1ConvencionalResidencialResidencialNão se aplicaNão se aplicaIntermediário",Mercado_Receita!$L$2:$L$1214)+SUMIF(Mercado_Receita!$S$2:$S$1214,"44470B1ConvencionalResidencialResidencialNão se aplicaNão se aplicaNão se aplica",Mercado_Receita!$L$2:$L$1214)</f>
        <v>17641.412</v>
      </c>
      <c r="R27" s="12">
        <f>SUMIF(Mercado_Receita!$S$2:$S$1214,"44501B1ConvencionalResidencialResidencialNão se aplicaNão se aplicaPonta",Mercado_Receita!$L$2:$L$1214)+SUMIF(Mercado_Receita!$S$2:$S$1214,"44501B1ConvencionalResidencialResidencialNão se aplicaNão se aplicaFora ponta",Mercado_Receita!$L$2:$L$1214)+SUMIF(Mercado_Receita!$S$2:$S$1214,"44501B1ConvencionalResidencialResidencialNão se aplicaNão se aplicaIntermediário",Mercado_Receita!$L$2:$L$1214)+SUMIF(Mercado_Receita!$S$2:$S$1214,"44501B1ConvencionalResidencialResidencialNão se aplicaNão se aplicaNão se aplica",Mercado_Receita!$L$2:$L$1214)</f>
        <v>17841.342000000001</v>
      </c>
      <c r="S27" s="12">
        <f>SUMIF(Mercado_Receita!$S$2:$S$1214,"44531B1ConvencionalResidencialResidencialNão se aplicaNão se aplicaPonta",Mercado_Receita!$L$2:$L$1214)+SUMIF(Mercado_Receita!$S$2:$S$1214,"44531B1ConvencionalResidencialResidencialNão se aplicaNão se aplicaFora ponta",Mercado_Receita!$L$2:$L$1214)+SUMIF(Mercado_Receita!$S$2:$S$1214,"44531B1ConvencionalResidencialResidencialNão se aplicaNão se aplicaIntermediário",Mercado_Receita!$L$2:$L$1214)+SUMIF(Mercado_Receita!$S$2:$S$1214,"44531B1ConvencionalResidencialResidencialNão se aplicaNão se aplicaNão se aplica",Mercado_Receita!$L$2:$L$1214)</f>
        <v>18752.63</v>
      </c>
      <c r="T27" s="12">
        <f>SUMIF(Mercado_Receita!$S$2:$S$1214,"44562B1ConvencionalResidencialResidencialNão se aplicaNão se aplicaPonta",Mercado_Receita!$L$2:$L$1214)+SUMIF(Mercado_Receita!$S$2:$S$1214,"44562B1ConvencionalResidencialResidencialNão se aplicaNão se aplicaFora ponta",Mercado_Receita!$L$2:$L$1214)+SUMIF(Mercado_Receita!$S$2:$S$1214,"44562B1ConvencionalResidencialResidencialNão se aplicaNão se aplicaIntermediário",Mercado_Receita!$L$2:$L$1214)+SUMIF(Mercado_Receita!$S$2:$S$1214,"44562B1ConvencionalResidencialResidencialNão se aplicaNão se aplicaNão se aplica",Mercado_Receita!$L$2:$L$1214)</f>
        <v>18752.63</v>
      </c>
      <c r="U27" s="12">
        <f t="shared" si="0"/>
        <v>216529.64400000003</v>
      </c>
      <c r="V27" s="12"/>
      <c r="W27" s="12"/>
    </row>
    <row r="28" spans="1:23" ht="11.25" customHeight="1" x14ac:dyDescent="0.25">
      <c r="A28" s="92"/>
      <c r="B28" s="92"/>
      <c r="C28" s="92"/>
      <c r="D28" s="13" t="s">
        <v>29</v>
      </c>
      <c r="E28" s="13" t="s">
        <v>25</v>
      </c>
      <c r="F28" s="13" t="s">
        <v>25</v>
      </c>
      <c r="G28" s="12" t="s">
        <v>84</v>
      </c>
      <c r="H28" s="12" t="s">
        <v>78</v>
      </c>
      <c r="I28" s="12">
        <f>SUMIF(Mercado_Receita!$S$2:$S$1214,"44228B1ConvencionalResidencialResidencial baixa renda – faixa 01Não se aplicaNão se aplicaPonta",Mercado_Receita!$L$2:$L$1214)+SUMIF(Mercado_Receita!$S$2:$S$1214,"44228B1ConvencionalResidencialResidencial baixa renda – faixa 01Não se aplicaNão se aplicaFora ponta",Mercado_Receita!$L$2:$L$1214)+SUMIF(Mercado_Receita!$S$2:$S$1214,"44228B1ConvencionalResidencialResidencial baixa renda – faixa 01Não se aplicaNão se aplicaIntermediário",Mercado_Receita!$L$2:$L$1214)+SUMIF(Mercado_Receita!$S$2:$S$1214,"44228B1ConvencionalResidencialResidencial baixa renda – faixa 01Não se aplicaNão se aplicaNão se aplica",Mercado_Receita!$L$2:$L$1214)</f>
        <v>1664.5920000000001</v>
      </c>
      <c r="J28" s="12">
        <f>SUMIF(Mercado_Receita!$S$2:$S$1214,"44256B1ConvencionalResidencialResidencial baixa renda – faixa 01Não se aplicaNão se aplicaPonta",Mercado_Receita!$L$2:$L$1214)+SUMIF(Mercado_Receita!$S$2:$S$1214,"44256B1ConvencionalResidencialResidencial baixa renda – faixa 01Não se aplicaNão se aplicaFora ponta",Mercado_Receita!$L$2:$L$1214)+SUMIF(Mercado_Receita!$S$2:$S$1214,"44256B1ConvencionalResidencialResidencial baixa renda – faixa 01Não se aplicaNão se aplicaIntermediário",Mercado_Receita!$L$2:$L$1214)+SUMIF(Mercado_Receita!$S$2:$S$1214,"44256B1ConvencionalResidencialResidencial baixa renda – faixa 01Não se aplicaNão se aplicaNão se aplica",Mercado_Receita!$L$2:$L$1214)</f>
        <v>1673.722</v>
      </c>
      <c r="K28" s="12">
        <f>SUMIF(Mercado_Receita!$S$2:$S$1214,"44287B1ConvencionalResidencialResidencial baixa renda – faixa 01Não se aplicaNão se aplicaPonta",Mercado_Receita!$L$2:$L$1214)+SUMIF(Mercado_Receita!$S$2:$S$1214,"44287B1ConvencionalResidencialResidencial baixa renda – faixa 01Não se aplicaNão se aplicaFora ponta",Mercado_Receita!$L$2:$L$1214)+SUMIF(Mercado_Receita!$S$2:$S$1214,"44287B1ConvencionalResidencialResidencial baixa renda – faixa 01Não se aplicaNão se aplicaIntermediário",Mercado_Receita!$L$2:$L$1214)+SUMIF(Mercado_Receita!$S$2:$S$1214,"44287B1ConvencionalResidencialResidencial baixa renda – faixa 01Não se aplicaNão se aplicaNão se aplica",Mercado_Receita!$L$2:$L$1214)</f>
        <v>1672.78</v>
      </c>
      <c r="L28" s="12">
        <f>SUMIF(Mercado_Receita!$S$2:$S$1214,"44317B1ConvencionalResidencialResidencial baixa renda – faixa 01Não se aplicaNão se aplicaPonta",Mercado_Receita!$L$2:$L$1214)+SUMIF(Mercado_Receita!$S$2:$S$1214,"44317B1ConvencionalResidencialResidencial baixa renda – faixa 01Não se aplicaNão se aplicaFora ponta",Mercado_Receita!$L$2:$L$1214)+SUMIF(Mercado_Receita!$S$2:$S$1214,"44317B1ConvencionalResidencialResidencial baixa renda – faixa 01Não se aplicaNão se aplicaIntermediário",Mercado_Receita!$L$2:$L$1214)+SUMIF(Mercado_Receita!$S$2:$S$1214,"44317B1ConvencionalResidencialResidencial baixa renda – faixa 01Não se aplicaNão se aplicaNão se aplica",Mercado_Receita!$L$2:$L$1214)</f>
        <v>1677.2629999999999</v>
      </c>
      <c r="M28" s="12">
        <f>SUMIF(Mercado_Receita!$S$2:$S$1214,"44348B1ConvencionalResidencialResidencial baixa renda – faixa 01Não se aplicaNão se aplicaPonta",Mercado_Receita!$L$2:$L$1214)+SUMIF(Mercado_Receita!$S$2:$S$1214,"44348B1ConvencionalResidencialResidencial baixa renda – faixa 01Não se aplicaNão se aplicaFora ponta",Mercado_Receita!$L$2:$L$1214)+SUMIF(Mercado_Receita!$S$2:$S$1214,"44348B1ConvencionalResidencialResidencial baixa renda – faixa 01Não se aplicaNão se aplicaIntermediário",Mercado_Receita!$L$2:$L$1214)+SUMIF(Mercado_Receita!$S$2:$S$1214,"44348B1ConvencionalResidencialResidencial baixa renda – faixa 01Não se aplicaNão se aplicaNão se aplica",Mercado_Receita!$L$2:$L$1214)</f>
        <v>1686.5169999999998</v>
      </c>
      <c r="N28" s="12">
        <f>SUMIF(Mercado_Receita!$S$2:$S$1214,"44378B1ConvencionalResidencialResidencial baixa renda – faixa 01Não se aplicaNão se aplicaPonta",Mercado_Receita!$L$2:$L$1214)+SUMIF(Mercado_Receita!$S$2:$S$1214,"44378B1ConvencionalResidencialResidencial baixa renda – faixa 01Não se aplicaNão se aplicaFora ponta",Mercado_Receita!$L$2:$L$1214)+SUMIF(Mercado_Receita!$S$2:$S$1214,"44378B1ConvencionalResidencialResidencial baixa renda – faixa 01Não se aplicaNão se aplicaIntermediário",Mercado_Receita!$L$2:$L$1214)+SUMIF(Mercado_Receita!$S$2:$S$1214,"44378B1ConvencionalResidencialResidencial baixa renda – faixa 01Não se aplicaNão se aplicaNão se aplica",Mercado_Receita!$L$2:$L$1214)</f>
        <v>1705.9379999999999</v>
      </c>
      <c r="O28" s="12">
        <f>SUMIF(Mercado_Receita!$S$2:$S$1214,"44409B1ConvencionalResidencialResidencial baixa renda – faixa 01Não se aplicaNão se aplicaPonta",Mercado_Receita!$L$2:$L$1214)+SUMIF(Mercado_Receita!$S$2:$S$1214,"44409B1ConvencionalResidencialResidencial baixa renda – faixa 01Não se aplicaNão se aplicaFora ponta",Mercado_Receita!$L$2:$L$1214)+SUMIF(Mercado_Receita!$S$2:$S$1214,"44409B1ConvencionalResidencialResidencial baixa renda – faixa 01Não se aplicaNão se aplicaIntermediário",Mercado_Receita!$L$2:$L$1214)+SUMIF(Mercado_Receita!$S$2:$S$1214,"44409B1ConvencionalResidencialResidencial baixa renda – faixa 01Não se aplicaNão se aplicaNão se aplica",Mercado_Receita!$L$2:$L$1214)</f>
        <v>1722.0549999999998</v>
      </c>
      <c r="P28" s="12">
        <f>SUMIF(Mercado_Receita!$S$2:$S$1214,"44440B1ConvencionalResidencialResidencial baixa renda – faixa 01Não se aplicaNão se aplicaPonta",Mercado_Receita!$L$2:$L$1214)+SUMIF(Mercado_Receita!$S$2:$S$1214,"44440B1ConvencionalResidencialResidencial baixa renda – faixa 01Não se aplicaNão se aplicaFora ponta",Mercado_Receita!$L$2:$L$1214)+SUMIF(Mercado_Receita!$S$2:$S$1214,"44440B1ConvencionalResidencialResidencial baixa renda – faixa 01Não se aplicaNão se aplicaIntermediário",Mercado_Receita!$L$2:$L$1214)+SUMIF(Mercado_Receita!$S$2:$S$1214,"44440B1ConvencionalResidencialResidencial baixa renda – faixa 01Não se aplicaNão se aplicaNão se aplica",Mercado_Receita!$L$2:$L$1214)</f>
        <v>1697.5120000000002</v>
      </c>
      <c r="Q28" s="12">
        <f>SUMIF(Mercado_Receita!$S$2:$S$1214,"44470B1ConvencionalResidencialResidencial baixa renda – faixa 01Não se aplicaNão se aplicaPonta",Mercado_Receita!$L$2:$L$1214)+SUMIF(Mercado_Receita!$S$2:$S$1214,"44470B1ConvencionalResidencialResidencial baixa renda – faixa 01Não se aplicaNão se aplicaFora ponta",Mercado_Receita!$L$2:$L$1214)+SUMIF(Mercado_Receita!$S$2:$S$1214,"44470B1ConvencionalResidencialResidencial baixa renda – faixa 01Não se aplicaNão se aplicaIntermediário",Mercado_Receita!$L$2:$L$1214)+SUMIF(Mercado_Receita!$S$2:$S$1214,"44470B1ConvencionalResidencialResidencial baixa renda – faixa 01Não se aplicaNão se aplicaNão se aplica",Mercado_Receita!$L$2:$L$1214)</f>
        <v>1722.444</v>
      </c>
      <c r="R28" s="12">
        <f>SUMIF(Mercado_Receita!$S$2:$S$1214,"44501B1ConvencionalResidencialResidencial baixa renda – faixa 01Não se aplicaNão se aplicaPonta",Mercado_Receita!$L$2:$L$1214)+SUMIF(Mercado_Receita!$S$2:$S$1214,"44501B1ConvencionalResidencialResidencial baixa renda – faixa 01Não se aplicaNão se aplicaFora ponta",Mercado_Receita!$L$2:$L$1214)+SUMIF(Mercado_Receita!$S$2:$S$1214,"44501B1ConvencionalResidencialResidencial baixa renda – faixa 01Não se aplicaNão se aplicaIntermediário",Mercado_Receita!$L$2:$L$1214)+SUMIF(Mercado_Receita!$S$2:$S$1214,"44501B1ConvencionalResidencialResidencial baixa renda – faixa 01Não se aplicaNão se aplicaNão se aplica",Mercado_Receita!$L$2:$L$1214)</f>
        <v>1728.3979999999999</v>
      </c>
      <c r="S28" s="12">
        <f>SUMIF(Mercado_Receita!$S$2:$S$1214,"44531B1ConvencionalResidencialResidencial baixa renda – faixa 01Não se aplicaNão se aplicaPonta",Mercado_Receita!$L$2:$L$1214)+SUMIF(Mercado_Receita!$S$2:$S$1214,"44531B1ConvencionalResidencialResidencial baixa renda – faixa 01Não se aplicaNão se aplicaFora ponta",Mercado_Receita!$L$2:$L$1214)+SUMIF(Mercado_Receita!$S$2:$S$1214,"44531B1ConvencionalResidencialResidencial baixa renda – faixa 01Não se aplicaNão se aplicaIntermediário",Mercado_Receita!$L$2:$L$1214)+SUMIF(Mercado_Receita!$S$2:$S$1214,"44531B1ConvencionalResidencialResidencial baixa renda – faixa 01Não se aplicaNão se aplicaNão se aplica",Mercado_Receita!$L$2:$L$1214)</f>
        <v>1725.38</v>
      </c>
      <c r="T28" s="12">
        <f>SUMIF(Mercado_Receita!$S$2:$S$1214,"44562B1ConvencionalResidencialResidencial baixa renda – faixa 01Não se aplicaNão se aplicaPonta",Mercado_Receita!$L$2:$L$1214)+SUMIF(Mercado_Receita!$S$2:$S$1214,"44562B1ConvencionalResidencialResidencial baixa renda – faixa 01Não se aplicaNão se aplicaFora ponta",Mercado_Receita!$L$2:$L$1214)+SUMIF(Mercado_Receita!$S$2:$S$1214,"44562B1ConvencionalResidencialResidencial baixa renda – faixa 01Não se aplicaNão se aplicaIntermediário",Mercado_Receita!$L$2:$L$1214)+SUMIF(Mercado_Receita!$S$2:$S$1214,"44562B1ConvencionalResidencialResidencial baixa renda – faixa 01Não se aplicaNão se aplicaNão se aplica",Mercado_Receita!$L$2:$L$1214)</f>
        <v>1725.38</v>
      </c>
      <c r="U28" s="12">
        <f t="shared" si="0"/>
        <v>20401.981000000003</v>
      </c>
      <c r="V28" s="12"/>
      <c r="W28" s="12"/>
    </row>
    <row r="29" spans="1:23" ht="11.25" customHeight="1" x14ac:dyDescent="0.25">
      <c r="A29" s="92"/>
      <c r="B29" s="92"/>
      <c r="C29" s="92"/>
      <c r="D29" s="13" t="s">
        <v>30</v>
      </c>
      <c r="E29" s="13" t="s">
        <v>25</v>
      </c>
      <c r="F29" s="13" t="s">
        <v>25</v>
      </c>
      <c r="G29" s="12" t="s">
        <v>84</v>
      </c>
      <c r="H29" s="12" t="s">
        <v>78</v>
      </c>
      <c r="I29" s="12">
        <f>SUMIF(Mercado_Receita!$S$2:$S$1214,"44228B1ConvencionalResidencialResidencial baixa renda – faixa 02Não se aplicaNão se aplicaPonta",Mercado_Receita!$L$2:$L$1214)+SUMIF(Mercado_Receita!$S$2:$S$1214,"44228B1ConvencionalResidencialResidencial baixa renda – faixa 02Não se aplicaNão se aplicaFora ponta",Mercado_Receita!$L$2:$L$1214)+SUMIF(Mercado_Receita!$S$2:$S$1214,"44228B1ConvencionalResidencialResidencial baixa renda – faixa 02Não se aplicaNão se aplicaIntermediário",Mercado_Receita!$L$2:$L$1214)+SUMIF(Mercado_Receita!$S$2:$S$1214,"44228B1ConvencionalResidencialResidencial baixa renda – faixa 02Não se aplicaNão se aplicaNão se aplica",Mercado_Receita!$L$2:$L$1214)</f>
        <v>2680.3710000000001</v>
      </c>
      <c r="J29" s="12">
        <f>SUMIF(Mercado_Receita!$S$2:$S$1214,"44256B1ConvencionalResidencialResidencial baixa renda – faixa 02Não se aplicaNão se aplicaPonta",Mercado_Receita!$L$2:$L$1214)+SUMIF(Mercado_Receita!$S$2:$S$1214,"44256B1ConvencionalResidencialResidencial baixa renda – faixa 02Não se aplicaNão se aplicaFora ponta",Mercado_Receita!$L$2:$L$1214)+SUMIF(Mercado_Receita!$S$2:$S$1214,"44256B1ConvencionalResidencialResidencial baixa renda – faixa 02Não se aplicaNão se aplicaIntermediário",Mercado_Receita!$L$2:$L$1214)+SUMIF(Mercado_Receita!$S$2:$S$1214,"44256B1ConvencionalResidencialResidencial baixa renda – faixa 02Não se aplicaNão se aplicaNão se aplica",Mercado_Receita!$L$2:$L$1214)</f>
        <v>2801.4799999999996</v>
      </c>
      <c r="K29" s="12">
        <f>SUMIF(Mercado_Receita!$S$2:$S$1214,"44287B1ConvencionalResidencialResidencial baixa renda – faixa 02Não se aplicaNão se aplicaPonta",Mercado_Receita!$L$2:$L$1214)+SUMIF(Mercado_Receita!$S$2:$S$1214,"44287B1ConvencionalResidencialResidencial baixa renda – faixa 02Não se aplicaNão se aplicaFora ponta",Mercado_Receita!$L$2:$L$1214)+SUMIF(Mercado_Receita!$S$2:$S$1214,"44287B1ConvencionalResidencialResidencial baixa renda – faixa 02Não se aplicaNão se aplicaIntermediário",Mercado_Receita!$L$2:$L$1214)+SUMIF(Mercado_Receita!$S$2:$S$1214,"44287B1ConvencionalResidencialResidencial baixa renda – faixa 02Não se aplicaNão se aplicaNão se aplica",Mercado_Receita!$L$2:$L$1214)</f>
        <v>2820.0829999999996</v>
      </c>
      <c r="L29" s="12">
        <f>SUMIF(Mercado_Receita!$S$2:$S$1214,"44317B1ConvencionalResidencialResidencial baixa renda – faixa 02Não se aplicaNão se aplicaPonta",Mercado_Receita!$L$2:$L$1214)+SUMIF(Mercado_Receita!$S$2:$S$1214,"44317B1ConvencionalResidencialResidencial baixa renda – faixa 02Não se aplicaNão se aplicaFora ponta",Mercado_Receita!$L$2:$L$1214)+SUMIF(Mercado_Receita!$S$2:$S$1214,"44317B1ConvencionalResidencialResidencial baixa renda – faixa 02Não se aplicaNão se aplicaIntermediário",Mercado_Receita!$L$2:$L$1214)+SUMIF(Mercado_Receita!$S$2:$S$1214,"44317B1ConvencionalResidencialResidencial baixa renda – faixa 02Não se aplicaNão se aplicaNão se aplica",Mercado_Receita!$L$2:$L$1214)</f>
        <v>2697.1689999999999</v>
      </c>
      <c r="M29" s="12">
        <f>SUMIF(Mercado_Receita!$S$2:$S$1214,"44348B1ConvencionalResidencialResidencial baixa renda – faixa 02Não se aplicaNão se aplicaPonta",Mercado_Receita!$L$2:$L$1214)+SUMIF(Mercado_Receita!$S$2:$S$1214,"44348B1ConvencionalResidencialResidencial baixa renda – faixa 02Não se aplicaNão se aplicaFora ponta",Mercado_Receita!$L$2:$L$1214)+SUMIF(Mercado_Receita!$S$2:$S$1214,"44348B1ConvencionalResidencialResidencial baixa renda – faixa 02Não se aplicaNão se aplicaIntermediário",Mercado_Receita!$L$2:$L$1214)+SUMIF(Mercado_Receita!$S$2:$S$1214,"44348B1ConvencionalResidencialResidencial baixa renda – faixa 02Não se aplicaNão se aplicaNão se aplica",Mercado_Receita!$L$2:$L$1214)</f>
        <v>2604.328</v>
      </c>
      <c r="N29" s="12">
        <f>SUMIF(Mercado_Receita!$S$2:$S$1214,"44378B1ConvencionalResidencialResidencial baixa renda – faixa 02Não se aplicaNão se aplicaPonta",Mercado_Receita!$L$2:$L$1214)+SUMIF(Mercado_Receita!$S$2:$S$1214,"44378B1ConvencionalResidencialResidencial baixa renda – faixa 02Não se aplicaNão se aplicaFora ponta",Mercado_Receita!$L$2:$L$1214)+SUMIF(Mercado_Receita!$S$2:$S$1214,"44378B1ConvencionalResidencialResidencial baixa renda – faixa 02Não se aplicaNão se aplicaIntermediário",Mercado_Receita!$L$2:$L$1214)+SUMIF(Mercado_Receita!$S$2:$S$1214,"44378B1ConvencionalResidencialResidencial baixa renda – faixa 02Não se aplicaNão se aplicaNão se aplica",Mercado_Receita!$L$2:$L$1214)</f>
        <v>2703.7170000000001</v>
      </c>
      <c r="O29" s="12">
        <f>SUMIF(Mercado_Receita!$S$2:$S$1214,"44409B1ConvencionalResidencialResidencial baixa renda – faixa 02Não se aplicaNão se aplicaPonta",Mercado_Receita!$L$2:$L$1214)+SUMIF(Mercado_Receita!$S$2:$S$1214,"44409B1ConvencionalResidencialResidencial baixa renda – faixa 02Não se aplicaNão se aplicaFora ponta",Mercado_Receita!$L$2:$L$1214)+SUMIF(Mercado_Receita!$S$2:$S$1214,"44409B1ConvencionalResidencialResidencial baixa renda – faixa 02Não se aplicaNão se aplicaIntermediário",Mercado_Receita!$L$2:$L$1214)+SUMIF(Mercado_Receita!$S$2:$S$1214,"44409B1ConvencionalResidencialResidencial baixa renda – faixa 02Não se aplicaNão se aplicaNão se aplica",Mercado_Receita!$L$2:$L$1214)</f>
        <v>2601.4279999999999</v>
      </c>
      <c r="P29" s="12">
        <f>SUMIF(Mercado_Receita!$S$2:$S$1214,"44440B1ConvencionalResidencialResidencial baixa renda – faixa 02Não se aplicaNão se aplicaPonta",Mercado_Receita!$L$2:$L$1214)+SUMIF(Mercado_Receita!$S$2:$S$1214,"44440B1ConvencionalResidencialResidencial baixa renda – faixa 02Não se aplicaNão se aplicaFora ponta",Mercado_Receita!$L$2:$L$1214)+SUMIF(Mercado_Receita!$S$2:$S$1214,"44440B1ConvencionalResidencialResidencial baixa renda – faixa 02Não se aplicaNão se aplicaIntermediário",Mercado_Receita!$L$2:$L$1214)+SUMIF(Mercado_Receita!$S$2:$S$1214,"44440B1ConvencionalResidencialResidencial baixa renda – faixa 02Não se aplicaNão se aplicaNão se aplica",Mercado_Receita!$L$2:$L$1214)</f>
        <v>2603.5320000000002</v>
      </c>
      <c r="Q29" s="12">
        <f>SUMIF(Mercado_Receita!$S$2:$S$1214,"44470B1ConvencionalResidencialResidencial baixa renda – faixa 02Não se aplicaNão se aplicaPonta",Mercado_Receita!$L$2:$L$1214)+SUMIF(Mercado_Receita!$S$2:$S$1214,"44470B1ConvencionalResidencialResidencial baixa renda – faixa 02Não se aplicaNão se aplicaFora ponta",Mercado_Receita!$L$2:$L$1214)+SUMIF(Mercado_Receita!$S$2:$S$1214,"44470B1ConvencionalResidencialResidencial baixa renda – faixa 02Não se aplicaNão se aplicaIntermediário",Mercado_Receita!$L$2:$L$1214)+SUMIF(Mercado_Receita!$S$2:$S$1214,"44470B1ConvencionalResidencialResidencial baixa renda – faixa 02Não se aplicaNão se aplicaNão se aplica",Mercado_Receita!$L$2:$L$1214)</f>
        <v>2750.402</v>
      </c>
      <c r="R29" s="12">
        <f>SUMIF(Mercado_Receita!$S$2:$S$1214,"44501B1ConvencionalResidencialResidencial baixa renda – faixa 02Não se aplicaNão se aplicaPonta",Mercado_Receita!$L$2:$L$1214)+SUMIF(Mercado_Receita!$S$2:$S$1214,"44501B1ConvencionalResidencialResidencial baixa renda – faixa 02Não se aplicaNão se aplicaFora ponta",Mercado_Receita!$L$2:$L$1214)+SUMIF(Mercado_Receita!$S$2:$S$1214,"44501B1ConvencionalResidencialResidencial baixa renda – faixa 02Não se aplicaNão se aplicaIntermediário",Mercado_Receita!$L$2:$L$1214)+SUMIF(Mercado_Receita!$S$2:$S$1214,"44501B1ConvencionalResidencialResidencial baixa renda – faixa 02Não se aplicaNão se aplicaNão se aplica",Mercado_Receita!$L$2:$L$1214)</f>
        <v>2770.732</v>
      </c>
      <c r="S29" s="12">
        <f>SUMIF(Mercado_Receita!$S$2:$S$1214,"44531B1ConvencionalResidencialResidencial baixa renda – faixa 02Não se aplicaNão se aplicaPonta",Mercado_Receita!$L$2:$L$1214)+SUMIF(Mercado_Receita!$S$2:$S$1214,"44531B1ConvencionalResidencialResidencial baixa renda – faixa 02Não se aplicaNão se aplicaFora ponta",Mercado_Receita!$L$2:$L$1214)+SUMIF(Mercado_Receita!$S$2:$S$1214,"44531B1ConvencionalResidencialResidencial baixa renda – faixa 02Não se aplicaNão se aplicaIntermediário",Mercado_Receita!$L$2:$L$1214)+SUMIF(Mercado_Receita!$S$2:$S$1214,"44531B1ConvencionalResidencialResidencial baixa renda – faixa 02Não se aplicaNão se aplicaNão se aplica",Mercado_Receita!$L$2:$L$1214)</f>
        <v>2836.7559999999999</v>
      </c>
      <c r="T29" s="12">
        <f>SUMIF(Mercado_Receita!$S$2:$S$1214,"44562B1ConvencionalResidencialResidencial baixa renda – faixa 02Não se aplicaNão se aplicaPonta",Mercado_Receita!$L$2:$L$1214)+SUMIF(Mercado_Receita!$S$2:$S$1214,"44562B1ConvencionalResidencialResidencial baixa renda – faixa 02Não se aplicaNão se aplicaFora ponta",Mercado_Receita!$L$2:$L$1214)+SUMIF(Mercado_Receita!$S$2:$S$1214,"44562B1ConvencionalResidencialResidencial baixa renda – faixa 02Não se aplicaNão se aplicaIntermediário",Mercado_Receita!$L$2:$L$1214)+SUMIF(Mercado_Receita!$S$2:$S$1214,"44562B1ConvencionalResidencialResidencial baixa renda – faixa 02Não se aplicaNão se aplicaNão se aplica",Mercado_Receita!$L$2:$L$1214)</f>
        <v>2836.7559999999999</v>
      </c>
      <c r="U29" s="12">
        <f t="shared" si="0"/>
        <v>32706.754000000004</v>
      </c>
      <c r="V29" s="12"/>
      <c r="W29" s="12"/>
    </row>
    <row r="30" spans="1:23" ht="11.25" customHeight="1" x14ac:dyDescent="0.25">
      <c r="A30" s="92"/>
      <c r="B30" s="92"/>
      <c r="C30" s="92"/>
      <c r="D30" s="13" t="s">
        <v>31</v>
      </c>
      <c r="E30" s="13" t="s">
        <v>25</v>
      </c>
      <c r="F30" s="13" t="s">
        <v>25</v>
      </c>
      <c r="G30" s="12" t="s">
        <v>84</v>
      </c>
      <c r="H30" s="12" t="s">
        <v>78</v>
      </c>
      <c r="I30" s="12">
        <f>SUMIF(Mercado_Receita!$S$2:$S$1214,"44228B1ConvencionalResidencialResidencial baixa renda – faixa 03Não se aplicaNão se aplicaPonta",Mercado_Receita!$L$2:$L$1214)+SUMIF(Mercado_Receita!$S$2:$S$1214,"44228B1ConvencionalResidencialResidencial baixa renda – faixa 03Não se aplicaNão se aplicaFora ponta",Mercado_Receita!$L$2:$L$1214)+SUMIF(Mercado_Receita!$S$2:$S$1214,"44228B1ConvencionalResidencialResidencial baixa renda – faixa 03Não se aplicaNão se aplicaIntermediário",Mercado_Receita!$L$2:$L$1214)+SUMIF(Mercado_Receita!$S$2:$S$1214,"44228B1ConvencionalResidencialResidencial baixa renda – faixa 03Não se aplicaNão se aplicaNão se aplica",Mercado_Receita!$L$2:$L$1214)</f>
        <v>1090.828</v>
      </c>
      <c r="J30" s="12">
        <f>SUMIF(Mercado_Receita!$S$2:$S$1214,"44256B1ConvencionalResidencialResidencial baixa renda – faixa 03Não se aplicaNão se aplicaPonta",Mercado_Receita!$L$2:$L$1214)+SUMIF(Mercado_Receita!$S$2:$S$1214,"44256B1ConvencionalResidencialResidencial baixa renda – faixa 03Não se aplicaNão se aplicaFora ponta",Mercado_Receita!$L$2:$L$1214)+SUMIF(Mercado_Receita!$S$2:$S$1214,"44256B1ConvencionalResidencialResidencial baixa renda – faixa 03Não se aplicaNão se aplicaIntermediário",Mercado_Receita!$L$2:$L$1214)+SUMIF(Mercado_Receita!$S$2:$S$1214,"44256B1ConvencionalResidencialResidencial baixa renda – faixa 03Não se aplicaNão se aplicaNão se aplica",Mercado_Receita!$L$2:$L$1214)</f>
        <v>1264.028</v>
      </c>
      <c r="K30" s="12">
        <f>SUMIF(Mercado_Receita!$S$2:$S$1214,"44287B1ConvencionalResidencialResidencial baixa renda – faixa 03Não se aplicaNão se aplicaPonta",Mercado_Receita!$L$2:$L$1214)+SUMIF(Mercado_Receita!$S$2:$S$1214,"44287B1ConvencionalResidencialResidencial baixa renda – faixa 03Não se aplicaNão se aplicaFora ponta",Mercado_Receita!$L$2:$L$1214)+SUMIF(Mercado_Receita!$S$2:$S$1214,"44287B1ConvencionalResidencialResidencial baixa renda – faixa 03Não se aplicaNão se aplicaIntermediário",Mercado_Receita!$L$2:$L$1214)+SUMIF(Mercado_Receita!$S$2:$S$1214,"44287B1ConvencionalResidencialResidencial baixa renda – faixa 03Não se aplicaNão se aplicaNão se aplica",Mercado_Receita!$L$2:$L$1214)</f>
        <v>1304.338</v>
      </c>
      <c r="L30" s="12">
        <f>SUMIF(Mercado_Receita!$S$2:$S$1214,"44317B1ConvencionalResidencialResidencial baixa renda – faixa 03Não se aplicaNão se aplicaPonta",Mercado_Receita!$L$2:$L$1214)+SUMIF(Mercado_Receita!$S$2:$S$1214,"44317B1ConvencionalResidencialResidencial baixa renda – faixa 03Não se aplicaNão se aplicaFora ponta",Mercado_Receita!$L$2:$L$1214)+SUMIF(Mercado_Receita!$S$2:$S$1214,"44317B1ConvencionalResidencialResidencial baixa renda – faixa 03Não se aplicaNão se aplicaIntermediário",Mercado_Receita!$L$2:$L$1214)+SUMIF(Mercado_Receita!$S$2:$S$1214,"44317B1ConvencionalResidencialResidencial baixa renda – faixa 03Não se aplicaNão se aplicaNão se aplica",Mercado_Receita!$L$2:$L$1214)</f>
        <v>1105.4889999999998</v>
      </c>
      <c r="M30" s="12">
        <f>SUMIF(Mercado_Receita!$S$2:$S$1214,"44348B1ConvencionalResidencialResidencial baixa renda – faixa 03Não se aplicaNão se aplicaPonta",Mercado_Receita!$L$2:$L$1214)+SUMIF(Mercado_Receita!$S$2:$S$1214,"44348B1ConvencionalResidencialResidencial baixa renda – faixa 03Não se aplicaNão se aplicaFora ponta",Mercado_Receita!$L$2:$L$1214)+SUMIF(Mercado_Receita!$S$2:$S$1214,"44348B1ConvencionalResidencialResidencial baixa renda – faixa 03Não se aplicaNão se aplicaIntermediário",Mercado_Receita!$L$2:$L$1214)+SUMIF(Mercado_Receita!$S$2:$S$1214,"44348B1ConvencionalResidencialResidencial baixa renda – faixa 03Não se aplicaNão se aplicaNão se aplica",Mercado_Receita!$L$2:$L$1214)</f>
        <v>966.399</v>
      </c>
      <c r="N30" s="12">
        <f>SUMIF(Mercado_Receita!$S$2:$S$1214,"44378B1ConvencionalResidencialResidencial baixa renda – faixa 03Não se aplicaNão se aplicaPonta",Mercado_Receita!$L$2:$L$1214)+SUMIF(Mercado_Receita!$S$2:$S$1214,"44378B1ConvencionalResidencialResidencial baixa renda – faixa 03Não se aplicaNão se aplicaFora ponta",Mercado_Receita!$L$2:$L$1214)+SUMIF(Mercado_Receita!$S$2:$S$1214,"44378B1ConvencionalResidencialResidencial baixa renda – faixa 03Não se aplicaNão se aplicaIntermediário",Mercado_Receita!$L$2:$L$1214)+SUMIF(Mercado_Receita!$S$2:$S$1214,"44378B1ConvencionalResidencialResidencial baixa renda – faixa 03Não se aplicaNão se aplicaNão se aplica",Mercado_Receita!$L$2:$L$1214)</f>
        <v>1071.521</v>
      </c>
      <c r="O30" s="12">
        <f>SUMIF(Mercado_Receita!$S$2:$S$1214,"44409B1ConvencionalResidencialResidencial baixa renda – faixa 03Não se aplicaNão se aplicaPonta",Mercado_Receita!$L$2:$L$1214)+SUMIF(Mercado_Receita!$S$2:$S$1214,"44409B1ConvencionalResidencialResidencial baixa renda – faixa 03Não se aplicaNão se aplicaFora ponta",Mercado_Receita!$L$2:$L$1214)+SUMIF(Mercado_Receita!$S$2:$S$1214,"44409B1ConvencionalResidencialResidencial baixa renda – faixa 03Não se aplicaNão se aplicaIntermediário",Mercado_Receita!$L$2:$L$1214)+SUMIF(Mercado_Receita!$S$2:$S$1214,"44409B1ConvencionalResidencialResidencial baixa renda – faixa 03Não se aplicaNão se aplicaNão se aplica",Mercado_Receita!$L$2:$L$1214)</f>
        <v>913.26600000000008</v>
      </c>
      <c r="P30" s="12">
        <f>SUMIF(Mercado_Receita!$S$2:$S$1214,"44440B1ConvencionalResidencialResidencial baixa renda – faixa 03Não se aplicaNão se aplicaPonta",Mercado_Receita!$L$2:$L$1214)+SUMIF(Mercado_Receita!$S$2:$S$1214,"44440B1ConvencionalResidencialResidencial baixa renda – faixa 03Não se aplicaNão se aplicaFora ponta",Mercado_Receita!$L$2:$L$1214)+SUMIF(Mercado_Receita!$S$2:$S$1214,"44440B1ConvencionalResidencialResidencial baixa renda – faixa 03Não se aplicaNão se aplicaIntermediário",Mercado_Receita!$L$2:$L$1214)+SUMIF(Mercado_Receita!$S$2:$S$1214,"44440B1ConvencionalResidencialResidencial baixa renda – faixa 03Não se aplicaNão se aplicaNão se aplica",Mercado_Receita!$L$2:$L$1214)</f>
        <v>929.92200000000003</v>
      </c>
      <c r="Q30" s="12">
        <f>SUMIF(Mercado_Receita!$S$2:$S$1214,"44470B1ConvencionalResidencialResidencial baixa renda – faixa 03Não se aplicaNão se aplicaPonta",Mercado_Receita!$L$2:$L$1214)+SUMIF(Mercado_Receita!$S$2:$S$1214,"44470B1ConvencionalResidencialResidencial baixa renda – faixa 03Não se aplicaNão se aplicaFora ponta",Mercado_Receita!$L$2:$L$1214)+SUMIF(Mercado_Receita!$S$2:$S$1214,"44470B1ConvencionalResidencialResidencial baixa renda – faixa 03Não se aplicaNão se aplicaIntermediário",Mercado_Receita!$L$2:$L$1214)+SUMIF(Mercado_Receita!$S$2:$S$1214,"44470B1ConvencionalResidencialResidencial baixa renda – faixa 03Não se aplicaNão se aplicaNão se aplica",Mercado_Receita!$L$2:$L$1214)</f>
        <v>1070.0919999999999</v>
      </c>
      <c r="R30" s="12">
        <f>SUMIF(Mercado_Receita!$S$2:$S$1214,"44501B1ConvencionalResidencialResidencial baixa renda – faixa 03Não se aplicaNão se aplicaPonta",Mercado_Receita!$L$2:$L$1214)+SUMIF(Mercado_Receita!$S$2:$S$1214,"44501B1ConvencionalResidencialResidencial baixa renda – faixa 03Não se aplicaNão se aplicaFora ponta",Mercado_Receita!$L$2:$L$1214)+SUMIF(Mercado_Receita!$S$2:$S$1214,"44501B1ConvencionalResidencialResidencial baixa renda – faixa 03Não se aplicaNão se aplicaIntermediário",Mercado_Receita!$L$2:$L$1214)+SUMIF(Mercado_Receita!$S$2:$S$1214,"44501B1ConvencionalResidencialResidencial baixa renda – faixa 03Não se aplicaNão se aplicaNão se aplica",Mercado_Receita!$L$2:$L$1214)</f>
        <v>1096.3130000000001</v>
      </c>
      <c r="S30" s="12">
        <f>SUMIF(Mercado_Receita!$S$2:$S$1214,"44531B1ConvencionalResidencialResidencial baixa renda – faixa 03Não se aplicaNão se aplicaPonta",Mercado_Receita!$L$2:$L$1214)+SUMIF(Mercado_Receita!$S$2:$S$1214,"44531B1ConvencionalResidencialResidencial baixa renda – faixa 03Não se aplicaNão se aplicaFora ponta",Mercado_Receita!$L$2:$L$1214)+SUMIF(Mercado_Receita!$S$2:$S$1214,"44531B1ConvencionalResidencialResidencial baixa renda – faixa 03Não se aplicaNão se aplicaIntermediário",Mercado_Receita!$L$2:$L$1214)+SUMIF(Mercado_Receita!$S$2:$S$1214,"44531B1ConvencionalResidencialResidencial baixa renda – faixa 03Não se aplicaNão se aplicaNão se aplica",Mercado_Receita!$L$2:$L$1214)</f>
        <v>1200.4829999999999</v>
      </c>
      <c r="T30" s="12">
        <f>SUMIF(Mercado_Receita!$S$2:$S$1214,"44562B1ConvencionalResidencialResidencial baixa renda – faixa 03Não se aplicaNão se aplicaPonta",Mercado_Receita!$L$2:$L$1214)+SUMIF(Mercado_Receita!$S$2:$S$1214,"44562B1ConvencionalResidencialResidencial baixa renda – faixa 03Não se aplicaNão se aplicaFora ponta",Mercado_Receita!$L$2:$L$1214)+SUMIF(Mercado_Receita!$S$2:$S$1214,"44562B1ConvencionalResidencialResidencial baixa renda – faixa 03Não se aplicaNão se aplicaIntermediário",Mercado_Receita!$L$2:$L$1214)+SUMIF(Mercado_Receita!$S$2:$S$1214,"44562B1ConvencionalResidencialResidencial baixa renda – faixa 03Não se aplicaNão se aplicaNão se aplica",Mercado_Receita!$L$2:$L$1214)</f>
        <v>1200.4829999999999</v>
      </c>
      <c r="U30" s="12">
        <f t="shared" si="0"/>
        <v>13213.162</v>
      </c>
      <c r="V30" s="12"/>
      <c r="W30" s="12"/>
    </row>
    <row r="31" spans="1:23" ht="11.25" customHeight="1" x14ac:dyDescent="0.25">
      <c r="A31" s="92"/>
      <c r="B31" s="92"/>
      <c r="C31" s="92"/>
      <c r="D31" s="13" t="s">
        <v>32</v>
      </c>
      <c r="E31" s="13" t="s">
        <v>25</v>
      </c>
      <c r="F31" s="13" t="s">
        <v>25</v>
      </c>
      <c r="G31" s="12" t="s">
        <v>84</v>
      </c>
      <c r="H31" s="12" t="s">
        <v>78</v>
      </c>
      <c r="I31" s="12">
        <f>SUMIF(Mercado_Receita!$S$2:$S$1214,"44228B1ConvencionalResidencialResidencial baixa renda – faixa 04Não se aplicaNão se aplicaPonta",Mercado_Receita!$L$2:$L$1214)+SUMIF(Mercado_Receita!$S$2:$S$1214,"44228B1ConvencionalResidencialResidencial baixa renda – faixa 04Não se aplicaNão se aplicaFora ponta",Mercado_Receita!$L$2:$L$1214)+SUMIF(Mercado_Receita!$S$2:$S$1214,"44228B1ConvencionalResidencialResidencial baixa renda – faixa 04Não se aplicaNão se aplicaIntermediário",Mercado_Receita!$L$2:$L$1214)+SUMIF(Mercado_Receita!$S$2:$S$1214,"44228B1ConvencionalResidencialResidencial baixa renda – faixa 04Não se aplicaNão se aplicaNão se aplica",Mercado_Receita!$L$2:$L$1214)</f>
        <v>230.501</v>
      </c>
      <c r="J31" s="12">
        <f>SUMIF(Mercado_Receita!$S$2:$S$1214,"44256B1ConvencionalResidencialResidencial baixa renda – faixa 04Não se aplicaNão se aplicaPonta",Mercado_Receita!$L$2:$L$1214)+SUMIF(Mercado_Receita!$S$2:$S$1214,"44256B1ConvencionalResidencialResidencial baixa renda – faixa 04Não se aplicaNão se aplicaFora ponta",Mercado_Receita!$L$2:$L$1214)+SUMIF(Mercado_Receita!$S$2:$S$1214,"44256B1ConvencionalResidencialResidencial baixa renda – faixa 04Não se aplicaNão se aplicaIntermediário",Mercado_Receita!$L$2:$L$1214)+SUMIF(Mercado_Receita!$S$2:$S$1214,"44256B1ConvencionalResidencialResidencial baixa renda – faixa 04Não se aplicaNão se aplicaNão se aplica",Mercado_Receita!$L$2:$L$1214)</f>
        <v>289.33199999999999</v>
      </c>
      <c r="K31" s="12">
        <f>SUMIF(Mercado_Receita!$S$2:$S$1214,"44287B1ConvencionalResidencialResidencial baixa renda – faixa 04Não se aplicaNão se aplicaPonta",Mercado_Receita!$L$2:$L$1214)+SUMIF(Mercado_Receita!$S$2:$S$1214,"44287B1ConvencionalResidencialResidencial baixa renda – faixa 04Não se aplicaNão se aplicaFora ponta",Mercado_Receita!$L$2:$L$1214)+SUMIF(Mercado_Receita!$S$2:$S$1214,"44287B1ConvencionalResidencialResidencial baixa renda – faixa 04Não se aplicaNão se aplicaIntermediário",Mercado_Receita!$L$2:$L$1214)+SUMIF(Mercado_Receita!$S$2:$S$1214,"44287B1ConvencionalResidencialResidencial baixa renda – faixa 04Não se aplicaNão se aplicaNão se aplica",Mercado_Receita!$L$2:$L$1214)</f>
        <v>292.02600000000001</v>
      </c>
      <c r="L31" s="12">
        <f>SUMIF(Mercado_Receita!$S$2:$S$1214,"44317B1ConvencionalResidencialResidencial baixa renda – faixa 04Não se aplicaNão se aplicaPonta",Mercado_Receita!$L$2:$L$1214)+SUMIF(Mercado_Receita!$S$2:$S$1214,"44317B1ConvencionalResidencialResidencial baixa renda – faixa 04Não se aplicaNão se aplicaFora ponta",Mercado_Receita!$L$2:$L$1214)+SUMIF(Mercado_Receita!$S$2:$S$1214,"44317B1ConvencionalResidencialResidencial baixa renda – faixa 04Não se aplicaNão se aplicaIntermediário",Mercado_Receita!$L$2:$L$1214)+SUMIF(Mercado_Receita!$S$2:$S$1214,"44317B1ConvencionalResidencialResidencial baixa renda – faixa 04Não se aplicaNão se aplicaNão se aplica",Mercado_Receita!$L$2:$L$1214)</f>
        <v>241.40600000000001</v>
      </c>
      <c r="M31" s="12">
        <f>SUMIF(Mercado_Receita!$S$2:$S$1214,"44348B1ConvencionalResidencialResidencial baixa renda – faixa 04Não se aplicaNão se aplicaPonta",Mercado_Receita!$L$2:$L$1214)+SUMIF(Mercado_Receita!$S$2:$S$1214,"44348B1ConvencionalResidencialResidencial baixa renda – faixa 04Não se aplicaNão se aplicaFora ponta",Mercado_Receita!$L$2:$L$1214)+SUMIF(Mercado_Receita!$S$2:$S$1214,"44348B1ConvencionalResidencialResidencial baixa renda – faixa 04Não se aplicaNão se aplicaIntermediário",Mercado_Receita!$L$2:$L$1214)+SUMIF(Mercado_Receita!$S$2:$S$1214,"44348B1ConvencionalResidencialResidencial baixa renda – faixa 04Não se aplicaNão se aplicaNão se aplica",Mercado_Receita!$L$2:$L$1214)</f>
        <v>201.471</v>
      </c>
      <c r="N31" s="12">
        <f>SUMIF(Mercado_Receita!$S$2:$S$1214,"44378B1ConvencionalResidencialResidencial baixa renda – faixa 04Não se aplicaNão se aplicaPonta",Mercado_Receita!$L$2:$L$1214)+SUMIF(Mercado_Receita!$S$2:$S$1214,"44378B1ConvencionalResidencialResidencial baixa renda – faixa 04Não se aplicaNão se aplicaFora ponta",Mercado_Receita!$L$2:$L$1214)+SUMIF(Mercado_Receita!$S$2:$S$1214,"44378B1ConvencionalResidencialResidencial baixa renda – faixa 04Não se aplicaNão se aplicaIntermediário",Mercado_Receita!$L$2:$L$1214)+SUMIF(Mercado_Receita!$S$2:$S$1214,"44378B1ConvencionalResidencialResidencial baixa renda – faixa 04Não se aplicaNão se aplicaNão se aplica",Mercado_Receita!$L$2:$L$1214)</f>
        <v>214.886</v>
      </c>
      <c r="O31" s="12">
        <f>SUMIF(Mercado_Receita!$S$2:$S$1214,"44409B1ConvencionalResidencialResidencial baixa renda – faixa 04Não se aplicaNão se aplicaPonta",Mercado_Receita!$L$2:$L$1214)+SUMIF(Mercado_Receita!$S$2:$S$1214,"44409B1ConvencionalResidencialResidencial baixa renda – faixa 04Não se aplicaNão se aplicaFora ponta",Mercado_Receita!$L$2:$L$1214)+SUMIF(Mercado_Receita!$S$2:$S$1214,"44409B1ConvencionalResidencialResidencial baixa renda – faixa 04Não se aplicaNão se aplicaIntermediário",Mercado_Receita!$L$2:$L$1214)+SUMIF(Mercado_Receita!$S$2:$S$1214,"44409B1ConvencionalResidencialResidencial baixa renda – faixa 04Não se aplicaNão se aplicaNão se aplica",Mercado_Receita!$L$2:$L$1214)</f>
        <v>187.55500000000001</v>
      </c>
      <c r="P31" s="12">
        <f>SUMIF(Mercado_Receita!$S$2:$S$1214,"44440B1ConvencionalResidencialResidencial baixa renda – faixa 04Não se aplicaNão se aplicaPonta",Mercado_Receita!$L$2:$L$1214)+SUMIF(Mercado_Receita!$S$2:$S$1214,"44440B1ConvencionalResidencialResidencial baixa renda – faixa 04Não se aplicaNão se aplicaFora ponta",Mercado_Receita!$L$2:$L$1214)+SUMIF(Mercado_Receita!$S$2:$S$1214,"44440B1ConvencionalResidencialResidencial baixa renda – faixa 04Não se aplicaNão se aplicaIntermediário",Mercado_Receita!$L$2:$L$1214)+SUMIF(Mercado_Receita!$S$2:$S$1214,"44440B1ConvencionalResidencialResidencial baixa renda – faixa 04Não se aplicaNão se aplicaNão se aplica",Mercado_Receita!$L$2:$L$1214)</f>
        <v>201.71899999999999</v>
      </c>
      <c r="Q31" s="12">
        <f>SUMIF(Mercado_Receita!$S$2:$S$1214,"44470B1ConvencionalResidencialResidencial baixa renda – faixa 04Não se aplicaNão se aplicaPonta",Mercado_Receita!$L$2:$L$1214)+SUMIF(Mercado_Receita!$S$2:$S$1214,"44470B1ConvencionalResidencialResidencial baixa renda – faixa 04Não se aplicaNão se aplicaFora ponta",Mercado_Receita!$L$2:$L$1214)+SUMIF(Mercado_Receita!$S$2:$S$1214,"44470B1ConvencionalResidencialResidencial baixa renda – faixa 04Não se aplicaNão se aplicaIntermediário",Mercado_Receita!$L$2:$L$1214)+SUMIF(Mercado_Receita!$S$2:$S$1214,"44470B1ConvencionalResidencialResidencial baixa renda – faixa 04Não se aplicaNão se aplicaNão se aplica",Mercado_Receita!$L$2:$L$1214)</f>
        <v>234.17000000000002</v>
      </c>
      <c r="R31" s="12">
        <f>SUMIF(Mercado_Receita!$S$2:$S$1214,"44501B1ConvencionalResidencialResidencial baixa renda – faixa 04Não se aplicaNão se aplicaPonta",Mercado_Receita!$L$2:$L$1214)+SUMIF(Mercado_Receita!$S$2:$S$1214,"44501B1ConvencionalResidencialResidencial baixa renda – faixa 04Não se aplicaNão se aplicaFora ponta",Mercado_Receita!$L$2:$L$1214)+SUMIF(Mercado_Receita!$S$2:$S$1214,"44501B1ConvencionalResidencialResidencial baixa renda – faixa 04Não se aplicaNão se aplicaIntermediário",Mercado_Receita!$L$2:$L$1214)+SUMIF(Mercado_Receita!$S$2:$S$1214,"44501B1ConvencionalResidencialResidencial baixa renda – faixa 04Não se aplicaNão se aplicaNão se aplica",Mercado_Receita!$L$2:$L$1214)</f>
        <v>247.56700000000001</v>
      </c>
      <c r="S31" s="12">
        <f>SUMIF(Mercado_Receita!$S$2:$S$1214,"44531B1ConvencionalResidencialResidencial baixa renda – faixa 04Não se aplicaNão se aplicaPonta",Mercado_Receita!$L$2:$L$1214)+SUMIF(Mercado_Receita!$S$2:$S$1214,"44531B1ConvencionalResidencialResidencial baixa renda – faixa 04Não se aplicaNão se aplicaFora ponta",Mercado_Receita!$L$2:$L$1214)+SUMIF(Mercado_Receita!$S$2:$S$1214,"44531B1ConvencionalResidencialResidencial baixa renda – faixa 04Não se aplicaNão se aplicaIntermediário",Mercado_Receita!$L$2:$L$1214)+SUMIF(Mercado_Receita!$S$2:$S$1214,"44531B1ConvencionalResidencialResidencial baixa renda – faixa 04Não se aplicaNão se aplicaNão se aplica",Mercado_Receita!$L$2:$L$1214)</f>
        <v>295.21499999999997</v>
      </c>
      <c r="T31" s="12">
        <f>SUMIF(Mercado_Receita!$S$2:$S$1214,"44562B1ConvencionalResidencialResidencial baixa renda – faixa 04Não se aplicaNão se aplicaPonta",Mercado_Receita!$L$2:$L$1214)+SUMIF(Mercado_Receita!$S$2:$S$1214,"44562B1ConvencionalResidencialResidencial baixa renda – faixa 04Não se aplicaNão se aplicaFora ponta",Mercado_Receita!$L$2:$L$1214)+SUMIF(Mercado_Receita!$S$2:$S$1214,"44562B1ConvencionalResidencialResidencial baixa renda – faixa 04Não se aplicaNão se aplicaIntermediário",Mercado_Receita!$L$2:$L$1214)+SUMIF(Mercado_Receita!$S$2:$S$1214,"44562B1ConvencionalResidencialResidencial baixa renda – faixa 04Não se aplicaNão se aplicaNão se aplica",Mercado_Receita!$L$2:$L$1214)</f>
        <v>295.21499999999997</v>
      </c>
      <c r="U31" s="12">
        <f t="shared" si="0"/>
        <v>2931.0630000000001</v>
      </c>
      <c r="V31" s="12"/>
      <c r="W31" s="12"/>
    </row>
    <row r="32" spans="1:23" ht="11.25" customHeight="1" x14ac:dyDescent="0.25">
      <c r="A32" s="92"/>
      <c r="B32" s="91" t="s">
        <v>93</v>
      </c>
      <c r="C32" s="91" t="s">
        <v>24</v>
      </c>
      <c r="D32" s="13" t="s">
        <v>24</v>
      </c>
      <c r="E32" s="13" t="s">
        <v>25</v>
      </c>
      <c r="F32" s="13" t="s">
        <v>25</v>
      </c>
      <c r="G32" s="12" t="s">
        <v>84</v>
      </c>
      <c r="H32" s="12" t="s">
        <v>78</v>
      </c>
      <c r="I32" s="12">
        <f>SUMIF(Mercado_Receita!$S$2:$S$1214,"44228B1Convencional pré-pagamentoResidencialResidencialNão se aplicaNão se aplicaPonta",Mercado_Receita!$L$2:$L$1214)+SUMIF(Mercado_Receita!$S$2:$S$1214,"44228B1Convencional pré-pagamentoResidencialResidencialNão se aplicaNão se aplicaFora ponta",Mercado_Receita!$L$2:$L$1214)+SUMIF(Mercado_Receita!$S$2:$S$1214,"44228B1Convencional pré-pagamentoResidencialResidencialNão se aplicaNão se aplicaIntermediário",Mercado_Receita!$L$2:$L$1214)+SUMIF(Mercado_Receita!$S$2:$S$1214,"44228B1Convencional pré-pagamentoResidencialResidencialNão se aplicaNão se aplicaNão se aplica",Mercado_Receita!$L$2:$L$1214)</f>
        <v>0</v>
      </c>
      <c r="J32" s="12">
        <f>SUMIF(Mercado_Receita!$S$2:$S$1214,"44256B1Convencional pré-pagamentoResidencialResidencialNão se aplicaNão se aplicaPonta",Mercado_Receita!$L$2:$L$1214)+SUMIF(Mercado_Receita!$S$2:$S$1214,"44256B1Convencional pré-pagamentoResidencialResidencialNão se aplicaNão se aplicaFora ponta",Mercado_Receita!$L$2:$L$1214)+SUMIF(Mercado_Receita!$S$2:$S$1214,"44256B1Convencional pré-pagamentoResidencialResidencialNão se aplicaNão se aplicaIntermediário",Mercado_Receita!$L$2:$L$1214)+SUMIF(Mercado_Receita!$S$2:$S$1214,"44256B1Convencional pré-pagamentoResidencialResidencialNão se aplicaNão se aplicaNão se aplica",Mercado_Receita!$L$2:$L$1214)</f>
        <v>0</v>
      </c>
      <c r="K32" s="12">
        <f>SUMIF(Mercado_Receita!$S$2:$S$1214,"44287B1Convencional pré-pagamentoResidencialResidencialNão se aplicaNão se aplicaPonta",Mercado_Receita!$L$2:$L$1214)+SUMIF(Mercado_Receita!$S$2:$S$1214,"44287B1Convencional pré-pagamentoResidencialResidencialNão se aplicaNão se aplicaFora ponta",Mercado_Receita!$L$2:$L$1214)+SUMIF(Mercado_Receita!$S$2:$S$1214,"44287B1Convencional pré-pagamentoResidencialResidencialNão se aplicaNão se aplicaIntermediário",Mercado_Receita!$L$2:$L$1214)+SUMIF(Mercado_Receita!$S$2:$S$1214,"44287B1Convencional pré-pagamentoResidencialResidencialNão se aplicaNão se aplicaNão se aplica",Mercado_Receita!$L$2:$L$1214)</f>
        <v>0</v>
      </c>
      <c r="L32" s="12">
        <f>SUMIF(Mercado_Receita!$S$2:$S$1214,"44317B1Convencional pré-pagamentoResidencialResidencialNão se aplicaNão se aplicaPonta",Mercado_Receita!$L$2:$L$1214)+SUMIF(Mercado_Receita!$S$2:$S$1214,"44317B1Convencional pré-pagamentoResidencialResidencialNão se aplicaNão se aplicaFora ponta",Mercado_Receita!$L$2:$L$1214)+SUMIF(Mercado_Receita!$S$2:$S$1214,"44317B1Convencional pré-pagamentoResidencialResidencialNão se aplicaNão se aplicaIntermediário",Mercado_Receita!$L$2:$L$1214)+SUMIF(Mercado_Receita!$S$2:$S$1214,"44317B1Convencional pré-pagamentoResidencialResidencialNão se aplicaNão se aplicaNão se aplica",Mercado_Receita!$L$2:$L$1214)</f>
        <v>0</v>
      </c>
      <c r="M32" s="12">
        <f>SUMIF(Mercado_Receita!$S$2:$S$1214,"44348B1Convencional pré-pagamentoResidencialResidencialNão se aplicaNão se aplicaPonta",Mercado_Receita!$L$2:$L$1214)+SUMIF(Mercado_Receita!$S$2:$S$1214,"44348B1Convencional pré-pagamentoResidencialResidencialNão se aplicaNão se aplicaFora ponta",Mercado_Receita!$L$2:$L$1214)+SUMIF(Mercado_Receita!$S$2:$S$1214,"44348B1Convencional pré-pagamentoResidencialResidencialNão se aplicaNão se aplicaIntermediário",Mercado_Receita!$L$2:$L$1214)+SUMIF(Mercado_Receita!$S$2:$S$1214,"44348B1Convencional pré-pagamentoResidencialResidencialNão se aplicaNão se aplicaNão se aplica",Mercado_Receita!$L$2:$L$1214)</f>
        <v>0</v>
      </c>
      <c r="N32" s="12">
        <f>SUMIF(Mercado_Receita!$S$2:$S$1214,"44378B1Convencional pré-pagamentoResidencialResidencialNão se aplicaNão se aplicaPonta",Mercado_Receita!$L$2:$L$1214)+SUMIF(Mercado_Receita!$S$2:$S$1214,"44378B1Convencional pré-pagamentoResidencialResidencialNão se aplicaNão se aplicaFora ponta",Mercado_Receita!$L$2:$L$1214)+SUMIF(Mercado_Receita!$S$2:$S$1214,"44378B1Convencional pré-pagamentoResidencialResidencialNão se aplicaNão se aplicaIntermediário",Mercado_Receita!$L$2:$L$1214)+SUMIF(Mercado_Receita!$S$2:$S$1214,"44378B1Convencional pré-pagamentoResidencialResidencialNão se aplicaNão se aplicaNão se aplica",Mercado_Receita!$L$2:$L$1214)</f>
        <v>0</v>
      </c>
      <c r="O32" s="12">
        <f>SUMIF(Mercado_Receita!$S$2:$S$1214,"44409B1Convencional pré-pagamentoResidencialResidencialNão se aplicaNão se aplicaPonta",Mercado_Receita!$L$2:$L$1214)+SUMIF(Mercado_Receita!$S$2:$S$1214,"44409B1Convencional pré-pagamentoResidencialResidencialNão se aplicaNão se aplicaFora ponta",Mercado_Receita!$L$2:$L$1214)+SUMIF(Mercado_Receita!$S$2:$S$1214,"44409B1Convencional pré-pagamentoResidencialResidencialNão se aplicaNão se aplicaIntermediário",Mercado_Receita!$L$2:$L$1214)+SUMIF(Mercado_Receita!$S$2:$S$1214,"44409B1Convencional pré-pagamentoResidencialResidencialNão se aplicaNão se aplicaNão se aplica",Mercado_Receita!$L$2:$L$1214)</f>
        <v>0</v>
      </c>
      <c r="P32" s="12">
        <f>SUMIF(Mercado_Receita!$S$2:$S$1214,"44440B1Convencional pré-pagamentoResidencialResidencialNão se aplicaNão se aplicaPonta",Mercado_Receita!$L$2:$L$1214)+SUMIF(Mercado_Receita!$S$2:$S$1214,"44440B1Convencional pré-pagamentoResidencialResidencialNão se aplicaNão se aplicaFora ponta",Mercado_Receita!$L$2:$L$1214)+SUMIF(Mercado_Receita!$S$2:$S$1214,"44440B1Convencional pré-pagamentoResidencialResidencialNão se aplicaNão se aplicaIntermediário",Mercado_Receita!$L$2:$L$1214)+SUMIF(Mercado_Receita!$S$2:$S$1214,"44440B1Convencional pré-pagamentoResidencialResidencialNão se aplicaNão se aplicaNão se aplica",Mercado_Receita!$L$2:$L$1214)</f>
        <v>0</v>
      </c>
      <c r="Q32" s="12">
        <f>SUMIF(Mercado_Receita!$S$2:$S$1214,"44470B1Convencional pré-pagamentoResidencialResidencialNão se aplicaNão se aplicaPonta",Mercado_Receita!$L$2:$L$1214)+SUMIF(Mercado_Receita!$S$2:$S$1214,"44470B1Convencional pré-pagamentoResidencialResidencialNão se aplicaNão se aplicaFora ponta",Mercado_Receita!$L$2:$L$1214)+SUMIF(Mercado_Receita!$S$2:$S$1214,"44470B1Convencional pré-pagamentoResidencialResidencialNão se aplicaNão se aplicaIntermediário",Mercado_Receita!$L$2:$L$1214)+SUMIF(Mercado_Receita!$S$2:$S$1214,"44470B1Convencional pré-pagamentoResidencialResidencialNão se aplicaNão se aplicaNão se aplica",Mercado_Receita!$L$2:$L$1214)</f>
        <v>0</v>
      </c>
      <c r="R32" s="12">
        <f>SUMIF(Mercado_Receita!$S$2:$S$1214,"44501B1Convencional pré-pagamentoResidencialResidencialNão se aplicaNão se aplicaPonta",Mercado_Receita!$L$2:$L$1214)+SUMIF(Mercado_Receita!$S$2:$S$1214,"44501B1Convencional pré-pagamentoResidencialResidencialNão se aplicaNão se aplicaFora ponta",Mercado_Receita!$L$2:$L$1214)+SUMIF(Mercado_Receita!$S$2:$S$1214,"44501B1Convencional pré-pagamentoResidencialResidencialNão se aplicaNão se aplicaIntermediário",Mercado_Receita!$L$2:$L$1214)+SUMIF(Mercado_Receita!$S$2:$S$1214,"44501B1Convencional pré-pagamentoResidencialResidencialNão se aplicaNão se aplicaNão se aplica",Mercado_Receita!$L$2:$L$1214)</f>
        <v>0</v>
      </c>
      <c r="S32" s="12">
        <f>SUMIF(Mercado_Receita!$S$2:$S$1214,"44531B1Convencional pré-pagamentoResidencialResidencialNão se aplicaNão se aplicaPonta",Mercado_Receita!$L$2:$L$1214)+SUMIF(Mercado_Receita!$S$2:$S$1214,"44531B1Convencional pré-pagamentoResidencialResidencialNão se aplicaNão se aplicaFora ponta",Mercado_Receita!$L$2:$L$1214)+SUMIF(Mercado_Receita!$S$2:$S$1214,"44531B1Convencional pré-pagamentoResidencialResidencialNão se aplicaNão se aplicaIntermediário",Mercado_Receita!$L$2:$L$1214)+SUMIF(Mercado_Receita!$S$2:$S$1214,"44531B1Convencional pré-pagamentoResidencialResidencialNão se aplicaNão se aplicaNão se aplica",Mercado_Receita!$L$2:$L$1214)</f>
        <v>0</v>
      </c>
      <c r="T32" s="12">
        <f>SUMIF(Mercado_Receita!$S$2:$S$1214,"44562B1Convencional pré-pagamentoResidencialResidencialNão se aplicaNão se aplicaPonta",Mercado_Receita!$L$2:$L$1214)+SUMIF(Mercado_Receita!$S$2:$S$1214,"44562B1Convencional pré-pagamentoResidencialResidencialNão se aplicaNão se aplicaFora ponta",Mercado_Receita!$L$2:$L$1214)+SUMIF(Mercado_Receita!$S$2:$S$1214,"44562B1Convencional pré-pagamentoResidencialResidencialNão se aplicaNão se aplicaIntermediário",Mercado_Receita!$L$2:$L$1214)+SUMIF(Mercado_Receita!$S$2:$S$1214,"44562B1Convencional pré-pagamentoResidencialResidencialNão se aplicaNão se aplicaNão se aplica",Mercado_Receita!$L$2:$L$1214)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92"/>
      <c r="B33" s="92"/>
      <c r="C33" s="92"/>
      <c r="D33" s="13" t="s">
        <v>29</v>
      </c>
      <c r="E33" s="13" t="s">
        <v>25</v>
      </c>
      <c r="F33" s="13" t="s">
        <v>25</v>
      </c>
      <c r="G33" s="12" t="s">
        <v>84</v>
      </c>
      <c r="H33" s="12" t="s">
        <v>78</v>
      </c>
      <c r="I33" s="12">
        <f>SUMIF(Mercado_Receita!$S$2:$S$1214,"44228B1Convencional pré-pagamentoResidencialResidencial baixa renda – faixa 01Não se aplicaNão se aplicaPonta",Mercado_Receita!$L$2:$L$1214)+SUMIF(Mercado_Receita!$S$2:$S$1214,"44228B1Convencional pré-pagamentoResidencialResidencial baixa renda – faixa 01Não se aplicaNão se aplicaFora ponta",Mercado_Receita!$L$2:$L$1214)+SUMIF(Mercado_Receita!$S$2:$S$1214,"44228B1Convencional pré-pagamentoResidencialResidencial baixa renda – faixa 01Não se aplicaNão se aplicaIntermediário",Mercado_Receita!$L$2:$L$1214)+SUMIF(Mercado_Receita!$S$2:$S$1214,"44228B1Convencional pré-pagamentoResidencialResidencial baixa renda – faixa 01Não se aplicaNão se aplicaNão se aplica",Mercado_Receita!$L$2:$L$1214)</f>
        <v>0</v>
      </c>
      <c r="J33" s="12">
        <f>SUMIF(Mercado_Receita!$S$2:$S$1214,"44256B1Convencional pré-pagamentoResidencialResidencial baixa renda – faixa 01Não se aplicaNão se aplicaPonta",Mercado_Receita!$L$2:$L$1214)+SUMIF(Mercado_Receita!$S$2:$S$1214,"44256B1Convencional pré-pagamentoResidencialResidencial baixa renda – faixa 01Não se aplicaNão se aplicaFora ponta",Mercado_Receita!$L$2:$L$1214)+SUMIF(Mercado_Receita!$S$2:$S$1214,"44256B1Convencional pré-pagamentoResidencialResidencial baixa renda – faixa 01Não se aplicaNão se aplicaIntermediário",Mercado_Receita!$L$2:$L$1214)+SUMIF(Mercado_Receita!$S$2:$S$1214,"44256B1Convencional pré-pagamentoResidencialResidencial baixa renda – faixa 01Não se aplicaNão se aplicaNão se aplica",Mercado_Receita!$L$2:$L$1214)</f>
        <v>0</v>
      </c>
      <c r="K33" s="12">
        <f>SUMIF(Mercado_Receita!$S$2:$S$1214,"44287B1Convencional pré-pagamentoResidencialResidencial baixa renda – faixa 01Não se aplicaNão se aplicaPonta",Mercado_Receita!$L$2:$L$1214)+SUMIF(Mercado_Receita!$S$2:$S$1214,"44287B1Convencional pré-pagamentoResidencialResidencial baixa renda – faixa 01Não se aplicaNão se aplicaFora ponta",Mercado_Receita!$L$2:$L$1214)+SUMIF(Mercado_Receita!$S$2:$S$1214,"44287B1Convencional pré-pagamentoResidencialResidencial baixa renda – faixa 01Não se aplicaNão se aplicaIntermediário",Mercado_Receita!$L$2:$L$1214)+SUMIF(Mercado_Receita!$S$2:$S$1214,"44287B1Convencional pré-pagamentoResidencialResidencial baixa renda – faixa 01Não se aplicaNão se aplicaNão se aplica",Mercado_Receita!$L$2:$L$1214)</f>
        <v>0</v>
      </c>
      <c r="L33" s="12">
        <f>SUMIF(Mercado_Receita!$S$2:$S$1214,"44317B1Convencional pré-pagamentoResidencialResidencial baixa renda – faixa 01Não se aplicaNão se aplicaPonta",Mercado_Receita!$L$2:$L$1214)+SUMIF(Mercado_Receita!$S$2:$S$1214,"44317B1Convencional pré-pagamentoResidencialResidencial baixa renda – faixa 01Não se aplicaNão se aplicaFora ponta",Mercado_Receita!$L$2:$L$1214)+SUMIF(Mercado_Receita!$S$2:$S$1214,"44317B1Convencional pré-pagamentoResidencialResidencial baixa renda – faixa 01Não se aplicaNão se aplicaIntermediário",Mercado_Receita!$L$2:$L$1214)+SUMIF(Mercado_Receita!$S$2:$S$1214,"44317B1Convencional pré-pagamentoResidencialResidencial baixa renda – faixa 01Não se aplicaNão se aplicaNão se aplica",Mercado_Receita!$L$2:$L$1214)</f>
        <v>0</v>
      </c>
      <c r="M33" s="12">
        <f>SUMIF(Mercado_Receita!$S$2:$S$1214,"44348B1Convencional pré-pagamentoResidencialResidencial baixa renda – faixa 01Não se aplicaNão se aplicaPonta",Mercado_Receita!$L$2:$L$1214)+SUMIF(Mercado_Receita!$S$2:$S$1214,"44348B1Convencional pré-pagamentoResidencialResidencial baixa renda – faixa 01Não se aplicaNão se aplicaFora ponta",Mercado_Receita!$L$2:$L$1214)+SUMIF(Mercado_Receita!$S$2:$S$1214,"44348B1Convencional pré-pagamentoResidencialResidencial baixa renda – faixa 01Não se aplicaNão se aplicaIntermediário",Mercado_Receita!$L$2:$L$1214)+SUMIF(Mercado_Receita!$S$2:$S$1214,"44348B1Convencional pré-pagamentoResidencialResidencial baixa renda – faixa 01Não se aplicaNão se aplicaNão se aplica",Mercado_Receita!$L$2:$L$1214)</f>
        <v>0</v>
      </c>
      <c r="N33" s="12">
        <f>SUMIF(Mercado_Receita!$S$2:$S$1214,"44378B1Convencional pré-pagamentoResidencialResidencial baixa renda – faixa 01Não se aplicaNão se aplicaPonta",Mercado_Receita!$L$2:$L$1214)+SUMIF(Mercado_Receita!$S$2:$S$1214,"44378B1Convencional pré-pagamentoResidencialResidencial baixa renda – faixa 01Não se aplicaNão se aplicaFora ponta",Mercado_Receita!$L$2:$L$1214)+SUMIF(Mercado_Receita!$S$2:$S$1214,"44378B1Convencional pré-pagamentoResidencialResidencial baixa renda – faixa 01Não se aplicaNão se aplicaIntermediário",Mercado_Receita!$L$2:$L$1214)+SUMIF(Mercado_Receita!$S$2:$S$1214,"44378B1Convencional pré-pagamentoResidencialResidencial baixa renda – faixa 01Não se aplicaNão se aplicaNão se aplica",Mercado_Receita!$L$2:$L$1214)</f>
        <v>0</v>
      </c>
      <c r="O33" s="12">
        <f>SUMIF(Mercado_Receita!$S$2:$S$1214,"44409B1Convencional pré-pagamentoResidencialResidencial baixa renda – faixa 01Não se aplicaNão se aplicaPonta",Mercado_Receita!$L$2:$L$1214)+SUMIF(Mercado_Receita!$S$2:$S$1214,"44409B1Convencional pré-pagamentoResidencialResidencial baixa renda – faixa 01Não se aplicaNão se aplicaFora ponta",Mercado_Receita!$L$2:$L$1214)+SUMIF(Mercado_Receita!$S$2:$S$1214,"44409B1Convencional pré-pagamentoResidencialResidencial baixa renda – faixa 01Não se aplicaNão se aplicaIntermediário",Mercado_Receita!$L$2:$L$1214)+SUMIF(Mercado_Receita!$S$2:$S$1214,"44409B1Convencional pré-pagamentoResidencialResidencial baixa renda – faixa 01Não se aplicaNão se aplicaNão se aplica",Mercado_Receita!$L$2:$L$1214)</f>
        <v>0</v>
      </c>
      <c r="P33" s="12">
        <f>SUMIF(Mercado_Receita!$S$2:$S$1214,"44440B1Convencional pré-pagamentoResidencialResidencial baixa renda – faixa 01Não se aplicaNão se aplicaPonta",Mercado_Receita!$L$2:$L$1214)+SUMIF(Mercado_Receita!$S$2:$S$1214,"44440B1Convencional pré-pagamentoResidencialResidencial baixa renda – faixa 01Não se aplicaNão se aplicaFora ponta",Mercado_Receita!$L$2:$L$1214)+SUMIF(Mercado_Receita!$S$2:$S$1214,"44440B1Convencional pré-pagamentoResidencialResidencial baixa renda – faixa 01Não se aplicaNão se aplicaIntermediário",Mercado_Receita!$L$2:$L$1214)+SUMIF(Mercado_Receita!$S$2:$S$1214,"44440B1Convencional pré-pagamentoResidencialResidencial baixa renda – faixa 01Não se aplicaNão se aplicaNão se aplica",Mercado_Receita!$L$2:$L$1214)</f>
        <v>0</v>
      </c>
      <c r="Q33" s="12">
        <f>SUMIF(Mercado_Receita!$S$2:$S$1214,"44470B1Convencional pré-pagamentoResidencialResidencial baixa renda – faixa 01Não se aplicaNão se aplicaPonta",Mercado_Receita!$L$2:$L$1214)+SUMIF(Mercado_Receita!$S$2:$S$1214,"44470B1Convencional pré-pagamentoResidencialResidencial baixa renda – faixa 01Não se aplicaNão se aplicaFora ponta",Mercado_Receita!$L$2:$L$1214)+SUMIF(Mercado_Receita!$S$2:$S$1214,"44470B1Convencional pré-pagamentoResidencialResidencial baixa renda – faixa 01Não se aplicaNão se aplicaIntermediário",Mercado_Receita!$L$2:$L$1214)+SUMIF(Mercado_Receita!$S$2:$S$1214,"44470B1Convencional pré-pagamentoResidencialResidencial baixa renda – faixa 01Não se aplicaNão se aplicaNão se aplica",Mercado_Receita!$L$2:$L$1214)</f>
        <v>0</v>
      </c>
      <c r="R33" s="12">
        <f>SUMIF(Mercado_Receita!$S$2:$S$1214,"44501B1Convencional pré-pagamentoResidencialResidencial baixa renda – faixa 01Não se aplicaNão se aplicaPonta",Mercado_Receita!$L$2:$L$1214)+SUMIF(Mercado_Receita!$S$2:$S$1214,"44501B1Convencional pré-pagamentoResidencialResidencial baixa renda – faixa 01Não se aplicaNão se aplicaFora ponta",Mercado_Receita!$L$2:$L$1214)+SUMIF(Mercado_Receita!$S$2:$S$1214,"44501B1Convencional pré-pagamentoResidencialResidencial baixa renda – faixa 01Não se aplicaNão se aplicaIntermediário",Mercado_Receita!$L$2:$L$1214)+SUMIF(Mercado_Receita!$S$2:$S$1214,"44501B1Convencional pré-pagamentoResidencialResidencial baixa renda – faixa 01Não se aplicaNão se aplicaNão se aplica",Mercado_Receita!$L$2:$L$1214)</f>
        <v>0</v>
      </c>
      <c r="S33" s="12">
        <f>SUMIF(Mercado_Receita!$S$2:$S$1214,"44531B1Convencional pré-pagamentoResidencialResidencial baixa renda – faixa 01Não se aplicaNão se aplicaPonta",Mercado_Receita!$L$2:$L$1214)+SUMIF(Mercado_Receita!$S$2:$S$1214,"44531B1Convencional pré-pagamentoResidencialResidencial baixa renda – faixa 01Não se aplicaNão se aplicaFora ponta",Mercado_Receita!$L$2:$L$1214)+SUMIF(Mercado_Receita!$S$2:$S$1214,"44531B1Convencional pré-pagamentoResidencialResidencial baixa renda – faixa 01Não se aplicaNão se aplicaIntermediário",Mercado_Receita!$L$2:$L$1214)+SUMIF(Mercado_Receita!$S$2:$S$1214,"44531B1Convencional pré-pagamentoResidencialResidencial baixa renda – faixa 01Não se aplicaNão se aplicaNão se aplica",Mercado_Receita!$L$2:$L$1214)</f>
        <v>0</v>
      </c>
      <c r="T33" s="12">
        <f>SUMIF(Mercado_Receita!$S$2:$S$1214,"44562B1Convencional pré-pagamentoResidencialResidencial baixa renda – faixa 01Não se aplicaNão se aplicaPonta",Mercado_Receita!$L$2:$L$1214)+SUMIF(Mercado_Receita!$S$2:$S$1214,"44562B1Convencional pré-pagamentoResidencialResidencial baixa renda – faixa 01Não se aplicaNão se aplicaFora ponta",Mercado_Receita!$L$2:$L$1214)+SUMIF(Mercado_Receita!$S$2:$S$1214,"44562B1Convencional pré-pagamentoResidencialResidencial baixa renda – faixa 01Não se aplicaNão se aplicaIntermediário",Mercado_Receita!$L$2:$L$1214)+SUMIF(Mercado_Receita!$S$2:$S$1214,"44562B1Convencional pré-pagamentoResidencialResidencial baixa renda – faixa 01Não se aplicaNão se aplicaNão se aplica",Mercado_Receita!$L$2:$L$1214)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92"/>
      <c r="B34" s="92"/>
      <c r="C34" s="92"/>
      <c r="D34" s="13" t="s">
        <v>30</v>
      </c>
      <c r="E34" s="13" t="s">
        <v>25</v>
      </c>
      <c r="F34" s="13" t="s">
        <v>25</v>
      </c>
      <c r="G34" s="12" t="s">
        <v>84</v>
      </c>
      <c r="H34" s="12" t="s">
        <v>78</v>
      </c>
      <c r="I34" s="12">
        <f>SUMIF(Mercado_Receita!$S$2:$S$1214,"44228B1Convencional pré-pagamentoResidencialResidencial baixa renda – faixa 02Não se aplicaNão se aplicaPonta",Mercado_Receita!$L$2:$L$1214)+SUMIF(Mercado_Receita!$S$2:$S$1214,"44228B1Convencional pré-pagamentoResidencialResidencial baixa renda – faixa 02Não se aplicaNão se aplicaFora ponta",Mercado_Receita!$L$2:$L$1214)+SUMIF(Mercado_Receita!$S$2:$S$1214,"44228B1Convencional pré-pagamentoResidencialResidencial baixa renda – faixa 02Não se aplicaNão se aplicaIntermediário",Mercado_Receita!$L$2:$L$1214)+SUMIF(Mercado_Receita!$S$2:$S$1214,"44228B1Convencional pré-pagamentoResidencialResidencial baixa renda – faixa 02Não se aplicaNão se aplicaNão se aplica",Mercado_Receita!$L$2:$L$1214)</f>
        <v>0</v>
      </c>
      <c r="J34" s="12">
        <f>SUMIF(Mercado_Receita!$S$2:$S$1214,"44256B1Convencional pré-pagamentoResidencialResidencial baixa renda – faixa 02Não se aplicaNão se aplicaPonta",Mercado_Receita!$L$2:$L$1214)+SUMIF(Mercado_Receita!$S$2:$S$1214,"44256B1Convencional pré-pagamentoResidencialResidencial baixa renda – faixa 02Não se aplicaNão se aplicaFora ponta",Mercado_Receita!$L$2:$L$1214)+SUMIF(Mercado_Receita!$S$2:$S$1214,"44256B1Convencional pré-pagamentoResidencialResidencial baixa renda – faixa 02Não se aplicaNão se aplicaIntermediário",Mercado_Receita!$L$2:$L$1214)+SUMIF(Mercado_Receita!$S$2:$S$1214,"44256B1Convencional pré-pagamentoResidencialResidencial baixa renda – faixa 02Não se aplicaNão se aplicaNão se aplica",Mercado_Receita!$L$2:$L$1214)</f>
        <v>0</v>
      </c>
      <c r="K34" s="12">
        <f>SUMIF(Mercado_Receita!$S$2:$S$1214,"44287B1Convencional pré-pagamentoResidencialResidencial baixa renda – faixa 02Não se aplicaNão se aplicaPonta",Mercado_Receita!$L$2:$L$1214)+SUMIF(Mercado_Receita!$S$2:$S$1214,"44287B1Convencional pré-pagamentoResidencialResidencial baixa renda – faixa 02Não se aplicaNão se aplicaFora ponta",Mercado_Receita!$L$2:$L$1214)+SUMIF(Mercado_Receita!$S$2:$S$1214,"44287B1Convencional pré-pagamentoResidencialResidencial baixa renda – faixa 02Não se aplicaNão se aplicaIntermediário",Mercado_Receita!$L$2:$L$1214)+SUMIF(Mercado_Receita!$S$2:$S$1214,"44287B1Convencional pré-pagamentoResidencialResidencial baixa renda – faixa 02Não se aplicaNão se aplicaNão se aplica",Mercado_Receita!$L$2:$L$1214)</f>
        <v>0</v>
      </c>
      <c r="L34" s="12">
        <f>SUMIF(Mercado_Receita!$S$2:$S$1214,"44317B1Convencional pré-pagamentoResidencialResidencial baixa renda – faixa 02Não se aplicaNão se aplicaPonta",Mercado_Receita!$L$2:$L$1214)+SUMIF(Mercado_Receita!$S$2:$S$1214,"44317B1Convencional pré-pagamentoResidencialResidencial baixa renda – faixa 02Não se aplicaNão se aplicaFora ponta",Mercado_Receita!$L$2:$L$1214)+SUMIF(Mercado_Receita!$S$2:$S$1214,"44317B1Convencional pré-pagamentoResidencialResidencial baixa renda – faixa 02Não se aplicaNão se aplicaIntermediário",Mercado_Receita!$L$2:$L$1214)+SUMIF(Mercado_Receita!$S$2:$S$1214,"44317B1Convencional pré-pagamentoResidencialResidencial baixa renda – faixa 02Não se aplicaNão se aplicaNão se aplica",Mercado_Receita!$L$2:$L$1214)</f>
        <v>0</v>
      </c>
      <c r="M34" s="12">
        <f>SUMIF(Mercado_Receita!$S$2:$S$1214,"44348B1Convencional pré-pagamentoResidencialResidencial baixa renda – faixa 02Não se aplicaNão se aplicaPonta",Mercado_Receita!$L$2:$L$1214)+SUMIF(Mercado_Receita!$S$2:$S$1214,"44348B1Convencional pré-pagamentoResidencialResidencial baixa renda – faixa 02Não se aplicaNão se aplicaFora ponta",Mercado_Receita!$L$2:$L$1214)+SUMIF(Mercado_Receita!$S$2:$S$1214,"44348B1Convencional pré-pagamentoResidencialResidencial baixa renda – faixa 02Não se aplicaNão se aplicaIntermediário",Mercado_Receita!$L$2:$L$1214)+SUMIF(Mercado_Receita!$S$2:$S$1214,"44348B1Convencional pré-pagamentoResidencialResidencial baixa renda – faixa 02Não se aplicaNão se aplicaNão se aplica",Mercado_Receita!$L$2:$L$1214)</f>
        <v>0</v>
      </c>
      <c r="N34" s="12">
        <f>SUMIF(Mercado_Receita!$S$2:$S$1214,"44378B1Convencional pré-pagamentoResidencialResidencial baixa renda – faixa 02Não se aplicaNão se aplicaPonta",Mercado_Receita!$L$2:$L$1214)+SUMIF(Mercado_Receita!$S$2:$S$1214,"44378B1Convencional pré-pagamentoResidencialResidencial baixa renda – faixa 02Não se aplicaNão se aplicaFora ponta",Mercado_Receita!$L$2:$L$1214)+SUMIF(Mercado_Receita!$S$2:$S$1214,"44378B1Convencional pré-pagamentoResidencialResidencial baixa renda – faixa 02Não se aplicaNão se aplicaIntermediário",Mercado_Receita!$L$2:$L$1214)+SUMIF(Mercado_Receita!$S$2:$S$1214,"44378B1Convencional pré-pagamentoResidencialResidencial baixa renda – faixa 02Não se aplicaNão se aplicaNão se aplica",Mercado_Receita!$L$2:$L$1214)</f>
        <v>0</v>
      </c>
      <c r="O34" s="12">
        <f>SUMIF(Mercado_Receita!$S$2:$S$1214,"44409B1Convencional pré-pagamentoResidencialResidencial baixa renda – faixa 02Não se aplicaNão se aplicaPonta",Mercado_Receita!$L$2:$L$1214)+SUMIF(Mercado_Receita!$S$2:$S$1214,"44409B1Convencional pré-pagamentoResidencialResidencial baixa renda – faixa 02Não se aplicaNão se aplicaFora ponta",Mercado_Receita!$L$2:$L$1214)+SUMIF(Mercado_Receita!$S$2:$S$1214,"44409B1Convencional pré-pagamentoResidencialResidencial baixa renda – faixa 02Não se aplicaNão se aplicaIntermediário",Mercado_Receita!$L$2:$L$1214)+SUMIF(Mercado_Receita!$S$2:$S$1214,"44409B1Convencional pré-pagamentoResidencialResidencial baixa renda – faixa 02Não se aplicaNão se aplicaNão se aplica",Mercado_Receita!$L$2:$L$1214)</f>
        <v>0</v>
      </c>
      <c r="P34" s="12">
        <f>SUMIF(Mercado_Receita!$S$2:$S$1214,"44440B1Convencional pré-pagamentoResidencialResidencial baixa renda – faixa 02Não se aplicaNão se aplicaPonta",Mercado_Receita!$L$2:$L$1214)+SUMIF(Mercado_Receita!$S$2:$S$1214,"44440B1Convencional pré-pagamentoResidencialResidencial baixa renda – faixa 02Não se aplicaNão se aplicaFora ponta",Mercado_Receita!$L$2:$L$1214)+SUMIF(Mercado_Receita!$S$2:$S$1214,"44440B1Convencional pré-pagamentoResidencialResidencial baixa renda – faixa 02Não se aplicaNão se aplicaIntermediário",Mercado_Receita!$L$2:$L$1214)+SUMIF(Mercado_Receita!$S$2:$S$1214,"44440B1Convencional pré-pagamentoResidencialResidencial baixa renda – faixa 02Não se aplicaNão se aplicaNão se aplica",Mercado_Receita!$L$2:$L$1214)</f>
        <v>0</v>
      </c>
      <c r="Q34" s="12">
        <f>SUMIF(Mercado_Receita!$S$2:$S$1214,"44470B1Convencional pré-pagamentoResidencialResidencial baixa renda – faixa 02Não se aplicaNão se aplicaPonta",Mercado_Receita!$L$2:$L$1214)+SUMIF(Mercado_Receita!$S$2:$S$1214,"44470B1Convencional pré-pagamentoResidencialResidencial baixa renda – faixa 02Não se aplicaNão se aplicaFora ponta",Mercado_Receita!$L$2:$L$1214)+SUMIF(Mercado_Receita!$S$2:$S$1214,"44470B1Convencional pré-pagamentoResidencialResidencial baixa renda – faixa 02Não se aplicaNão se aplicaIntermediário",Mercado_Receita!$L$2:$L$1214)+SUMIF(Mercado_Receita!$S$2:$S$1214,"44470B1Convencional pré-pagamentoResidencialResidencial baixa renda – faixa 02Não se aplicaNão se aplicaNão se aplica",Mercado_Receita!$L$2:$L$1214)</f>
        <v>0</v>
      </c>
      <c r="R34" s="12">
        <f>SUMIF(Mercado_Receita!$S$2:$S$1214,"44501B1Convencional pré-pagamentoResidencialResidencial baixa renda – faixa 02Não se aplicaNão se aplicaPonta",Mercado_Receita!$L$2:$L$1214)+SUMIF(Mercado_Receita!$S$2:$S$1214,"44501B1Convencional pré-pagamentoResidencialResidencial baixa renda – faixa 02Não se aplicaNão se aplicaFora ponta",Mercado_Receita!$L$2:$L$1214)+SUMIF(Mercado_Receita!$S$2:$S$1214,"44501B1Convencional pré-pagamentoResidencialResidencial baixa renda – faixa 02Não se aplicaNão se aplicaIntermediário",Mercado_Receita!$L$2:$L$1214)+SUMIF(Mercado_Receita!$S$2:$S$1214,"44501B1Convencional pré-pagamentoResidencialResidencial baixa renda – faixa 02Não se aplicaNão se aplicaNão se aplica",Mercado_Receita!$L$2:$L$1214)</f>
        <v>0</v>
      </c>
      <c r="S34" s="12">
        <f>SUMIF(Mercado_Receita!$S$2:$S$1214,"44531B1Convencional pré-pagamentoResidencialResidencial baixa renda – faixa 02Não se aplicaNão se aplicaPonta",Mercado_Receita!$L$2:$L$1214)+SUMIF(Mercado_Receita!$S$2:$S$1214,"44531B1Convencional pré-pagamentoResidencialResidencial baixa renda – faixa 02Não se aplicaNão se aplicaFora ponta",Mercado_Receita!$L$2:$L$1214)+SUMIF(Mercado_Receita!$S$2:$S$1214,"44531B1Convencional pré-pagamentoResidencialResidencial baixa renda – faixa 02Não se aplicaNão se aplicaIntermediário",Mercado_Receita!$L$2:$L$1214)+SUMIF(Mercado_Receita!$S$2:$S$1214,"44531B1Convencional pré-pagamentoResidencialResidencial baixa renda – faixa 02Não se aplicaNão se aplicaNão se aplica",Mercado_Receita!$L$2:$L$1214)</f>
        <v>0</v>
      </c>
      <c r="T34" s="12">
        <f>SUMIF(Mercado_Receita!$S$2:$S$1214,"44562B1Convencional pré-pagamentoResidencialResidencial baixa renda – faixa 02Não se aplicaNão se aplicaPonta",Mercado_Receita!$L$2:$L$1214)+SUMIF(Mercado_Receita!$S$2:$S$1214,"44562B1Convencional pré-pagamentoResidencialResidencial baixa renda – faixa 02Não se aplicaNão se aplicaFora ponta",Mercado_Receita!$L$2:$L$1214)+SUMIF(Mercado_Receita!$S$2:$S$1214,"44562B1Convencional pré-pagamentoResidencialResidencial baixa renda – faixa 02Não se aplicaNão se aplicaIntermediário",Mercado_Receita!$L$2:$L$1214)+SUMIF(Mercado_Receita!$S$2:$S$1214,"44562B1Convencional pré-pagamentoResidencialResidencial baixa renda – faixa 02Não se aplicaNão se aplicaNão se aplica",Mercado_Receita!$L$2:$L$1214)</f>
        <v>0</v>
      </c>
      <c r="U34" s="12">
        <f t="shared" ref="U34:U58" si="1">SUM(I34:T34)</f>
        <v>0</v>
      </c>
      <c r="V34" s="12"/>
      <c r="W34" s="12"/>
    </row>
    <row r="35" spans="1:23" ht="11.25" customHeight="1" x14ac:dyDescent="0.25">
      <c r="A35" s="92"/>
      <c r="B35" s="92"/>
      <c r="C35" s="92"/>
      <c r="D35" s="13" t="s">
        <v>31</v>
      </c>
      <c r="E35" s="13" t="s">
        <v>25</v>
      </c>
      <c r="F35" s="13" t="s">
        <v>25</v>
      </c>
      <c r="G35" s="12" t="s">
        <v>84</v>
      </c>
      <c r="H35" s="12" t="s">
        <v>78</v>
      </c>
      <c r="I35" s="12">
        <f>SUMIF(Mercado_Receita!$S$2:$S$1214,"44228B1Convencional pré-pagamentoResidencialResidencial baixa renda – faixa 03Não se aplicaNão se aplicaPonta",Mercado_Receita!$L$2:$L$1214)+SUMIF(Mercado_Receita!$S$2:$S$1214,"44228B1Convencional pré-pagamentoResidencialResidencial baixa renda – faixa 03Não se aplicaNão se aplicaFora ponta",Mercado_Receita!$L$2:$L$1214)+SUMIF(Mercado_Receita!$S$2:$S$1214,"44228B1Convencional pré-pagamentoResidencialResidencial baixa renda – faixa 03Não se aplicaNão se aplicaIntermediário",Mercado_Receita!$L$2:$L$1214)+SUMIF(Mercado_Receita!$S$2:$S$1214,"44228B1Convencional pré-pagamentoResidencialResidencial baixa renda – faixa 03Não se aplicaNão se aplicaNão se aplica",Mercado_Receita!$L$2:$L$1214)</f>
        <v>0</v>
      </c>
      <c r="J35" s="12">
        <f>SUMIF(Mercado_Receita!$S$2:$S$1214,"44256B1Convencional pré-pagamentoResidencialResidencial baixa renda – faixa 03Não se aplicaNão se aplicaPonta",Mercado_Receita!$L$2:$L$1214)+SUMIF(Mercado_Receita!$S$2:$S$1214,"44256B1Convencional pré-pagamentoResidencialResidencial baixa renda – faixa 03Não se aplicaNão se aplicaFora ponta",Mercado_Receita!$L$2:$L$1214)+SUMIF(Mercado_Receita!$S$2:$S$1214,"44256B1Convencional pré-pagamentoResidencialResidencial baixa renda – faixa 03Não se aplicaNão se aplicaIntermediário",Mercado_Receita!$L$2:$L$1214)+SUMIF(Mercado_Receita!$S$2:$S$1214,"44256B1Convencional pré-pagamentoResidencialResidencial baixa renda – faixa 03Não se aplicaNão se aplicaNão se aplica",Mercado_Receita!$L$2:$L$1214)</f>
        <v>0</v>
      </c>
      <c r="K35" s="12">
        <f>SUMIF(Mercado_Receita!$S$2:$S$1214,"44287B1Convencional pré-pagamentoResidencialResidencial baixa renda – faixa 03Não se aplicaNão se aplicaPonta",Mercado_Receita!$L$2:$L$1214)+SUMIF(Mercado_Receita!$S$2:$S$1214,"44287B1Convencional pré-pagamentoResidencialResidencial baixa renda – faixa 03Não se aplicaNão se aplicaFora ponta",Mercado_Receita!$L$2:$L$1214)+SUMIF(Mercado_Receita!$S$2:$S$1214,"44287B1Convencional pré-pagamentoResidencialResidencial baixa renda – faixa 03Não se aplicaNão se aplicaIntermediário",Mercado_Receita!$L$2:$L$1214)+SUMIF(Mercado_Receita!$S$2:$S$1214,"44287B1Convencional pré-pagamentoResidencialResidencial baixa renda – faixa 03Não se aplicaNão se aplicaNão se aplica",Mercado_Receita!$L$2:$L$1214)</f>
        <v>0</v>
      </c>
      <c r="L35" s="12">
        <f>SUMIF(Mercado_Receita!$S$2:$S$1214,"44317B1Convencional pré-pagamentoResidencialResidencial baixa renda – faixa 03Não se aplicaNão se aplicaPonta",Mercado_Receita!$L$2:$L$1214)+SUMIF(Mercado_Receita!$S$2:$S$1214,"44317B1Convencional pré-pagamentoResidencialResidencial baixa renda – faixa 03Não se aplicaNão se aplicaFora ponta",Mercado_Receita!$L$2:$L$1214)+SUMIF(Mercado_Receita!$S$2:$S$1214,"44317B1Convencional pré-pagamentoResidencialResidencial baixa renda – faixa 03Não se aplicaNão se aplicaIntermediário",Mercado_Receita!$L$2:$L$1214)+SUMIF(Mercado_Receita!$S$2:$S$1214,"44317B1Convencional pré-pagamentoResidencialResidencial baixa renda – faixa 03Não se aplicaNão se aplicaNão se aplica",Mercado_Receita!$L$2:$L$1214)</f>
        <v>0</v>
      </c>
      <c r="M35" s="12">
        <f>SUMIF(Mercado_Receita!$S$2:$S$1214,"44348B1Convencional pré-pagamentoResidencialResidencial baixa renda – faixa 03Não se aplicaNão se aplicaPonta",Mercado_Receita!$L$2:$L$1214)+SUMIF(Mercado_Receita!$S$2:$S$1214,"44348B1Convencional pré-pagamentoResidencialResidencial baixa renda – faixa 03Não se aplicaNão se aplicaFora ponta",Mercado_Receita!$L$2:$L$1214)+SUMIF(Mercado_Receita!$S$2:$S$1214,"44348B1Convencional pré-pagamentoResidencialResidencial baixa renda – faixa 03Não se aplicaNão se aplicaIntermediário",Mercado_Receita!$L$2:$L$1214)+SUMIF(Mercado_Receita!$S$2:$S$1214,"44348B1Convencional pré-pagamentoResidencialResidencial baixa renda – faixa 03Não se aplicaNão se aplicaNão se aplica",Mercado_Receita!$L$2:$L$1214)</f>
        <v>0</v>
      </c>
      <c r="N35" s="12">
        <f>SUMIF(Mercado_Receita!$S$2:$S$1214,"44378B1Convencional pré-pagamentoResidencialResidencial baixa renda – faixa 03Não se aplicaNão se aplicaPonta",Mercado_Receita!$L$2:$L$1214)+SUMIF(Mercado_Receita!$S$2:$S$1214,"44378B1Convencional pré-pagamentoResidencialResidencial baixa renda – faixa 03Não se aplicaNão se aplicaFora ponta",Mercado_Receita!$L$2:$L$1214)+SUMIF(Mercado_Receita!$S$2:$S$1214,"44378B1Convencional pré-pagamentoResidencialResidencial baixa renda – faixa 03Não se aplicaNão se aplicaIntermediário",Mercado_Receita!$L$2:$L$1214)+SUMIF(Mercado_Receita!$S$2:$S$1214,"44378B1Convencional pré-pagamentoResidencialResidencial baixa renda – faixa 03Não se aplicaNão se aplicaNão se aplica",Mercado_Receita!$L$2:$L$1214)</f>
        <v>0</v>
      </c>
      <c r="O35" s="12">
        <f>SUMIF(Mercado_Receita!$S$2:$S$1214,"44409B1Convencional pré-pagamentoResidencialResidencial baixa renda – faixa 03Não se aplicaNão se aplicaPonta",Mercado_Receita!$L$2:$L$1214)+SUMIF(Mercado_Receita!$S$2:$S$1214,"44409B1Convencional pré-pagamentoResidencialResidencial baixa renda – faixa 03Não se aplicaNão se aplicaFora ponta",Mercado_Receita!$L$2:$L$1214)+SUMIF(Mercado_Receita!$S$2:$S$1214,"44409B1Convencional pré-pagamentoResidencialResidencial baixa renda – faixa 03Não se aplicaNão se aplicaIntermediário",Mercado_Receita!$L$2:$L$1214)+SUMIF(Mercado_Receita!$S$2:$S$1214,"44409B1Convencional pré-pagamentoResidencialResidencial baixa renda – faixa 03Não se aplicaNão se aplicaNão se aplica",Mercado_Receita!$L$2:$L$1214)</f>
        <v>0</v>
      </c>
      <c r="P35" s="12">
        <f>SUMIF(Mercado_Receita!$S$2:$S$1214,"44440B1Convencional pré-pagamentoResidencialResidencial baixa renda – faixa 03Não se aplicaNão se aplicaPonta",Mercado_Receita!$L$2:$L$1214)+SUMIF(Mercado_Receita!$S$2:$S$1214,"44440B1Convencional pré-pagamentoResidencialResidencial baixa renda – faixa 03Não se aplicaNão se aplicaFora ponta",Mercado_Receita!$L$2:$L$1214)+SUMIF(Mercado_Receita!$S$2:$S$1214,"44440B1Convencional pré-pagamentoResidencialResidencial baixa renda – faixa 03Não se aplicaNão se aplicaIntermediário",Mercado_Receita!$L$2:$L$1214)+SUMIF(Mercado_Receita!$S$2:$S$1214,"44440B1Convencional pré-pagamentoResidencialResidencial baixa renda – faixa 03Não se aplicaNão se aplicaNão se aplica",Mercado_Receita!$L$2:$L$1214)</f>
        <v>0</v>
      </c>
      <c r="Q35" s="12">
        <f>SUMIF(Mercado_Receita!$S$2:$S$1214,"44470B1Convencional pré-pagamentoResidencialResidencial baixa renda – faixa 03Não se aplicaNão se aplicaPonta",Mercado_Receita!$L$2:$L$1214)+SUMIF(Mercado_Receita!$S$2:$S$1214,"44470B1Convencional pré-pagamentoResidencialResidencial baixa renda – faixa 03Não se aplicaNão se aplicaFora ponta",Mercado_Receita!$L$2:$L$1214)+SUMIF(Mercado_Receita!$S$2:$S$1214,"44470B1Convencional pré-pagamentoResidencialResidencial baixa renda – faixa 03Não se aplicaNão se aplicaIntermediário",Mercado_Receita!$L$2:$L$1214)+SUMIF(Mercado_Receita!$S$2:$S$1214,"44470B1Convencional pré-pagamentoResidencialResidencial baixa renda – faixa 03Não se aplicaNão se aplicaNão se aplica",Mercado_Receita!$L$2:$L$1214)</f>
        <v>0</v>
      </c>
      <c r="R35" s="12">
        <f>SUMIF(Mercado_Receita!$S$2:$S$1214,"44501B1Convencional pré-pagamentoResidencialResidencial baixa renda – faixa 03Não se aplicaNão se aplicaPonta",Mercado_Receita!$L$2:$L$1214)+SUMIF(Mercado_Receita!$S$2:$S$1214,"44501B1Convencional pré-pagamentoResidencialResidencial baixa renda – faixa 03Não se aplicaNão se aplicaFora ponta",Mercado_Receita!$L$2:$L$1214)+SUMIF(Mercado_Receita!$S$2:$S$1214,"44501B1Convencional pré-pagamentoResidencialResidencial baixa renda – faixa 03Não se aplicaNão se aplicaIntermediário",Mercado_Receita!$L$2:$L$1214)+SUMIF(Mercado_Receita!$S$2:$S$1214,"44501B1Convencional pré-pagamentoResidencialResidencial baixa renda – faixa 03Não se aplicaNão se aplicaNão se aplica",Mercado_Receita!$L$2:$L$1214)</f>
        <v>0</v>
      </c>
      <c r="S35" s="12">
        <f>SUMIF(Mercado_Receita!$S$2:$S$1214,"44531B1Convencional pré-pagamentoResidencialResidencial baixa renda – faixa 03Não se aplicaNão se aplicaPonta",Mercado_Receita!$L$2:$L$1214)+SUMIF(Mercado_Receita!$S$2:$S$1214,"44531B1Convencional pré-pagamentoResidencialResidencial baixa renda – faixa 03Não se aplicaNão se aplicaFora ponta",Mercado_Receita!$L$2:$L$1214)+SUMIF(Mercado_Receita!$S$2:$S$1214,"44531B1Convencional pré-pagamentoResidencialResidencial baixa renda – faixa 03Não se aplicaNão se aplicaIntermediário",Mercado_Receita!$L$2:$L$1214)+SUMIF(Mercado_Receita!$S$2:$S$1214,"44531B1Convencional pré-pagamentoResidencialResidencial baixa renda – faixa 03Não se aplicaNão se aplicaNão se aplica",Mercado_Receita!$L$2:$L$1214)</f>
        <v>0</v>
      </c>
      <c r="T35" s="12">
        <f>SUMIF(Mercado_Receita!$S$2:$S$1214,"44562B1Convencional pré-pagamentoResidencialResidencial baixa renda – faixa 03Não se aplicaNão se aplicaPonta",Mercado_Receita!$L$2:$L$1214)+SUMIF(Mercado_Receita!$S$2:$S$1214,"44562B1Convencional pré-pagamentoResidencialResidencial baixa renda – faixa 03Não se aplicaNão se aplicaFora ponta",Mercado_Receita!$L$2:$L$1214)+SUMIF(Mercado_Receita!$S$2:$S$1214,"44562B1Convencional pré-pagamentoResidencialResidencial baixa renda – faixa 03Não se aplicaNão se aplicaIntermediário",Mercado_Receita!$L$2:$L$1214)+SUMIF(Mercado_Receita!$S$2:$S$1214,"44562B1Convencional pré-pagamentoResidencialResidencial baixa renda – faixa 03Não se aplicaNão se aplicaNão se aplica",Mercado_Receita!$L$2:$L$1214)</f>
        <v>0</v>
      </c>
      <c r="U35" s="12">
        <f t="shared" si="1"/>
        <v>0</v>
      </c>
      <c r="V35" s="12"/>
      <c r="W35" s="12"/>
    </row>
    <row r="36" spans="1:23" ht="11.25" customHeight="1" x14ac:dyDescent="0.25">
      <c r="A36" s="92"/>
      <c r="B36" s="92"/>
      <c r="C36" s="92"/>
      <c r="D36" s="13" t="s">
        <v>32</v>
      </c>
      <c r="E36" s="13" t="s">
        <v>25</v>
      </c>
      <c r="F36" s="13" t="s">
        <v>25</v>
      </c>
      <c r="G36" s="12" t="s">
        <v>84</v>
      </c>
      <c r="H36" s="12" t="s">
        <v>78</v>
      </c>
      <c r="I36" s="12">
        <f>SUMIF(Mercado_Receita!$S$2:$S$1214,"44228B1Convencional pré-pagamentoResidencialResidencial baixa renda – faixa 04Não se aplicaNão se aplicaPonta",Mercado_Receita!$L$2:$L$1214)+SUMIF(Mercado_Receita!$S$2:$S$1214,"44228B1Convencional pré-pagamentoResidencialResidencial baixa renda – faixa 04Não se aplicaNão se aplicaFora ponta",Mercado_Receita!$L$2:$L$1214)+SUMIF(Mercado_Receita!$S$2:$S$1214,"44228B1Convencional pré-pagamentoResidencialResidencial baixa renda – faixa 04Não se aplicaNão se aplicaIntermediário",Mercado_Receita!$L$2:$L$1214)+SUMIF(Mercado_Receita!$S$2:$S$1214,"44228B1Convencional pré-pagamentoResidencialResidencial baixa renda – faixa 04Não se aplicaNão se aplicaNão se aplica",Mercado_Receita!$L$2:$L$1214)</f>
        <v>0</v>
      </c>
      <c r="J36" s="12">
        <f>SUMIF(Mercado_Receita!$S$2:$S$1214,"44256B1Convencional pré-pagamentoResidencialResidencial baixa renda – faixa 04Não se aplicaNão se aplicaPonta",Mercado_Receita!$L$2:$L$1214)+SUMIF(Mercado_Receita!$S$2:$S$1214,"44256B1Convencional pré-pagamentoResidencialResidencial baixa renda – faixa 04Não se aplicaNão se aplicaFora ponta",Mercado_Receita!$L$2:$L$1214)+SUMIF(Mercado_Receita!$S$2:$S$1214,"44256B1Convencional pré-pagamentoResidencialResidencial baixa renda – faixa 04Não se aplicaNão se aplicaIntermediário",Mercado_Receita!$L$2:$L$1214)+SUMIF(Mercado_Receita!$S$2:$S$1214,"44256B1Convencional pré-pagamentoResidencialResidencial baixa renda – faixa 04Não se aplicaNão se aplicaNão se aplica",Mercado_Receita!$L$2:$L$1214)</f>
        <v>0</v>
      </c>
      <c r="K36" s="12">
        <f>SUMIF(Mercado_Receita!$S$2:$S$1214,"44287B1Convencional pré-pagamentoResidencialResidencial baixa renda – faixa 04Não se aplicaNão se aplicaPonta",Mercado_Receita!$L$2:$L$1214)+SUMIF(Mercado_Receita!$S$2:$S$1214,"44287B1Convencional pré-pagamentoResidencialResidencial baixa renda – faixa 04Não se aplicaNão se aplicaFora ponta",Mercado_Receita!$L$2:$L$1214)+SUMIF(Mercado_Receita!$S$2:$S$1214,"44287B1Convencional pré-pagamentoResidencialResidencial baixa renda – faixa 04Não se aplicaNão se aplicaIntermediário",Mercado_Receita!$L$2:$L$1214)+SUMIF(Mercado_Receita!$S$2:$S$1214,"44287B1Convencional pré-pagamentoResidencialResidencial baixa renda – faixa 04Não se aplicaNão se aplicaNão se aplica",Mercado_Receita!$L$2:$L$1214)</f>
        <v>0</v>
      </c>
      <c r="L36" s="12">
        <f>SUMIF(Mercado_Receita!$S$2:$S$1214,"44317B1Convencional pré-pagamentoResidencialResidencial baixa renda – faixa 04Não se aplicaNão se aplicaPonta",Mercado_Receita!$L$2:$L$1214)+SUMIF(Mercado_Receita!$S$2:$S$1214,"44317B1Convencional pré-pagamentoResidencialResidencial baixa renda – faixa 04Não se aplicaNão se aplicaFora ponta",Mercado_Receita!$L$2:$L$1214)+SUMIF(Mercado_Receita!$S$2:$S$1214,"44317B1Convencional pré-pagamentoResidencialResidencial baixa renda – faixa 04Não se aplicaNão se aplicaIntermediário",Mercado_Receita!$L$2:$L$1214)+SUMIF(Mercado_Receita!$S$2:$S$1214,"44317B1Convencional pré-pagamentoResidencialResidencial baixa renda – faixa 04Não se aplicaNão se aplicaNão se aplica",Mercado_Receita!$L$2:$L$1214)</f>
        <v>0</v>
      </c>
      <c r="M36" s="12">
        <f>SUMIF(Mercado_Receita!$S$2:$S$1214,"44348B1Convencional pré-pagamentoResidencialResidencial baixa renda – faixa 04Não se aplicaNão se aplicaPonta",Mercado_Receita!$L$2:$L$1214)+SUMIF(Mercado_Receita!$S$2:$S$1214,"44348B1Convencional pré-pagamentoResidencialResidencial baixa renda – faixa 04Não se aplicaNão se aplicaFora ponta",Mercado_Receita!$L$2:$L$1214)+SUMIF(Mercado_Receita!$S$2:$S$1214,"44348B1Convencional pré-pagamentoResidencialResidencial baixa renda – faixa 04Não se aplicaNão se aplicaIntermediário",Mercado_Receita!$L$2:$L$1214)+SUMIF(Mercado_Receita!$S$2:$S$1214,"44348B1Convencional pré-pagamentoResidencialResidencial baixa renda – faixa 04Não se aplicaNão se aplicaNão se aplica",Mercado_Receita!$L$2:$L$1214)</f>
        <v>0</v>
      </c>
      <c r="N36" s="12">
        <f>SUMIF(Mercado_Receita!$S$2:$S$1214,"44378B1Convencional pré-pagamentoResidencialResidencial baixa renda – faixa 04Não se aplicaNão se aplicaPonta",Mercado_Receita!$L$2:$L$1214)+SUMIF(Mercado_Receita!$S$2:$S$1214,"44378B1Convencional pré-pagamentoResidencialResidencial baixa renda – faixa 04Não se aplicaNão se aplicaFora ponta",Mercado_Receita!$L$2:$L$1214)+SUMIF(Mercado_Receita!$S$2:$S$1214,"44378B1Convencional pré-pagamentoResidencialResidencial baixa renda – faixa 04Não se aplicaNão se aplicaIntermediário",Mercado_Receita!$L$2:$L$1214)+SUMIF(Mercado_Receita!$S$2:$S$1214,"44378B1Convencional pré-pagamentoResidencialResidencial baixa renda – faixa 04Não se aplicaNão se aplicaNão se aplica",Mercado_Receita!$L$2:$L$1214)</f>
        <v>0</v>
      </c>
      <c r="O36" s="12">
        <f>SUMIF(Mercado_Receita!$S$2:$S$1214,"44409B1Convencional pré-pagamentoResidencialResidencial baixa renda – faixa 04Não se aplicaNão se aplicaPonta",Mercado_Receita!$L$2:$L$1214)+SUMIF(Mercado_Receita!$S$2:$S$1214,"44409B1Convencional pré-pagamentoResidencialResidencial baixa renda – faixa 04Não se aplicaNão se aplicaFora ponta",Mercado_Receita!$L$2:$L$1214)+SUMIF(Mercado_Receita!$S$2:$S$1214,"44409B1Convencional pré-pagamentoResidencialResidencial baixa renda – faixa 04Não se aplicaNão se aplicaIntermediário",Mercado_Receita!$L$2:$L$1214)+SUMIF(Mercado_Receita!$S$2:$S$1214,"44409B1Convencional pré-pagamentoResidencialResidencial baixa renda – faixa 04Não se aplicaNão se aplicaNão se aplica",Mercado_Receita!$L$2:$L$1214)</f>
        <v>0</v>
      </c>
      <c r="P36" s="12">
        <f>SUMIF(Mercado_Receita!$S$2:$S$1214,"44440B1Convencional pré-pagamentoResidencialResidencial baixa renda – faixa 04Não se aplicaNão se aplicaPonta",Mercado_Receita!$L$2:$L$1214)+SUMIF(Mercado_Receita!$S$2:$S$1214,"44440B1Convencional pré-pagamentoResidencialResidencial baixa renda – faixa 04Não se aplicaNão se aplicaFora ponta",Mercado_Receita!$L$2:$L$1214)+SUMIF(Mercado_Receita!$S$2:$S$1214,"44440B1Convencional pré-pagamentoResidencialResidencial baixa renda – faixa 04Não se aplicaNão se aplicaIntermediário",Mercado_Receita!$L$2:$L$1214)+SUMIF(Mercado_Receita!$S$2:$S$1214,"44440B1Convencional pré-pagamentoResidencialResidencial baixa renda – faixa 04Não se aplicaNão se aplicaNão se aplica",Mercado_Receita!$L$2:$L$1214)</f>
        <v>0</v>
      </c>
      <c r="Q36" s="12">
        <f>SUMIF(Mercado_Receita!$S$2:$S$1214,"44470B1Convencional pré-pagamentoResidencialResidencial baixa renda – faixa 04Não se aplicaNão se aplicaPonta",Mercado_Receita!$L$2:$L$1214)+SUMIF(Mercado_Receita!$S$2:$S$1214,"44470B1Convencional pré-pagamentoResidencialResidencial baixa renda – faixa 04Não se aplicaNão se aplicaFora ponta",Mercado_Receita!$L$2:$L$1214)+SUMIF(Mercado_Receita!$S$2:$S$1214,"44470B1Convencional pré-pagamentoResidencialResidencial baixa renda – faixa 04Não se aplicaNão se aplicaIntermediário",Mercado_Receita!$L$2:$L$1214)+SUMIF(Mercado_Receita!$S$2:$S$1214,"44470B1Convencional pré-pagamentoResidencialResidencial baixa renda – faixa 04Não se aplicaNão se aplicaNão se aplica",Mercado_Receita!$L$2:$L$1214)</f>
        <v>0</v>
      </c>
      <c r="R36" s="12">
        <f>SUMIF(Mercado_Receita!$S$2:$S$1214,"44501B1Convencional pré-pagamentoResidencialResidencial baixa renda – faixa 04Não se aplicaNão se aplicaPonta",Mercado_Receita!$L$2:$L$1214)+SUMIF(Mercado_Receita!$S$2:$S$1214,"44501B1Convencional pré-pagamentoResidencialResidencial baixa renda – faixa 04Não se aplicaNão se aplicaFora ponta",Mercado_Receita!$L$2:$L$1214)+SUMIF(Mercado_Receita!$S$2:$S$1214,"44501B1Convencional pré-pagamentoResidencialResidencial baixa renda – faixa 04Não se aplicaNão se aplicaIntermediário",Mercado_Receita!$L$2:$L$1214)+SUMIF(Mercado_Receita!$S$2:$S$1214,"44501B1Convencional pré-pagamentoResidencialResidencial baixa renda – faixa 04Não se aplicaNão se aplicaNão se aplica",Mercado_Receita!$L$2:$L$1214)</f>
        <v>0</v>
      </c>
      <c r="S36" s="12">
        <f>SUMIF(Mercado_Receita!$S$2:$S$1214,"44531B1Convencional pré-pagamentoResidencialResidencial baixa renda – faixa 04Não se aplicaNão se aplicaPonta",Mercado_Receita!$L$2:$L$1214)+SUMIF(Mercado_Receita!$S$2:$S$1214,"44531B1Convencional pré-pagamentoResidencialResidencial baixa renda – faixa 04Não se aplicaNão se aplicaFora ponta",Mercado_Receita!$L$2:$L$1214)+SUMIF(Mercado_Receita!$S$2:$S$1214,"44531B1Convencional pré-pagamentoResidencialResidencial baixa renda – faixa 04Não se aplicaNão se aplicaIntermediário",Mercado_Receita!$L$2:$L$1214)+SUMIF(Mercado_Receita!$S$2:$S$1214,"44531B1Convencional pré-pagamentoResidencialResidencial baixa renda – faixa 04Não se aplicaNão se aplicaNão se aplica",Mercado_Receita!$L$2:$L$1214)</f>
        <v>0</v>
      </c>
      <c r="T36" s="12">
        <f>SUMIF(Mercado_Receita!$S$2:$S$1214,"44562B1Convencional pré-pagamentoResidencialResidencial baixa renda – faixa 04Não se aplicaNão se aplicaPonta",Mercado_Receita!$L$2:$L$1214)+SUMIF(Mercado_Receita!$S$2:$S$1214,"44562B1Convencional pré-pagamentoResidencialResidencial baixa renda – faixa 04Não se aplicaNão se aplicaFora ponta",Mercado_Receita!$L$2:$L$1214)+SUMIF(Mercado_Receita!$S$2:$S$1214,"44562B1Convencional pré-pagamentoResidencialResidencial baixa renda – faixa 04Não se aplicaNão se aplicaIntermediário",Mercado_Receita!$L$2:$L$1214)+SUMIF(Mercado_Receita!$S$2:$S$1214,"44562B1Convencional pré-pagamentoResidencialResidencial baixa renda – faixa 04Não se aplicaNão se aplicaNão se aplica",Mercado_Receita!$L$2:$L$1214)</f>
        <v>0</v>
      </c>
      <c r="U36" s="12">
        <f t="shared" si="1"/>
        <v>0</v>
      </c>
      <c r="V36" s="12"/>
      <c r="W36" s="12"/>
    </row>
    <row r="37" spans="1:23" ht="11.25" customHeight="1" x14ac:dyDescent="0.25">
      <c r="A37" s="91" t="s">
        <v>43</v>
      </c>
      <c r="B37" s="91" t="s">
        <v>33</v>
      </c>
      <c r="C37" s="91" t="s">
        <v>44</v>
      </c>
      <c r="D37" s="91" t="s">
        <v>25</v>
      </c>
      <c r="E37" s="91" t="s">
        <v>25</v>
      </c>
      <c r="F37" s="91" t="s">
        <v>25</v>
      </c>
      <c r="G37" s="12" t="s">
        <v>79</v>
      </c>
      <c r="H37" s="12" t="s">
        <v>78</v>
      </c>
      <c r="I37" s="12">
        <f>SUMIF(Mercado_Receita!$S$2:$S$1214,"44228B2BrancaRuralNão se aplicaNão se aplicaNão se aplicaPonta",Mercado_Receita!$L$2:$L$1214)</f>
        <v>1.0999999999999999E-2</v>
      </c>
      <c r="J37" s="12">
        <f>SUMIF(Mercado_Receita!$S$2:$S$1214,"44256B2BrancaRuralNão se aplicaNão se aplicaNão se aplicaPonta",Mercado_Receita!$L$2:$L$1214)</f>
        <v>1.4E-2</v>
      </c>
      <c r="K37" s="12">
        <f>SUMIF(Mercado_Receita!$S$2:$S$1214,"44287B2BrancaRuralNão se aplicaNão se aplicaNão se aplicaPonta",Mercado_Receita!$L$2:$L$1214)</f>
        <v>1.2999999999999999E-2</v>
      </c>
      <c r="L37" s="12">
        <f>SUMIF(Mercado_Receita!$S$2:$S$1214,"44317B2BrancaRuralNão se aplicaNão se aplicaNão se aplicaPonta",Mercado_Receita!$L$2:$L$1214)</f>
        <v>1.4999999999999999E-2</v>
      </c>
      <c r="M37" s="12">
        <f>SUMIF(Mercado_Receita!$S$2:$S$1214,"44348B2BrancaRuralNão se aplicaNão se aplicaNão se aplicaPonta",Mercado_Receita!$L$2:$L$1214)</f>
        <v>1.2999999999999999E-2</v>
      </c>
      <c r="N37" s="12">
        <f>SUMIF(Mercado_Receita!$S$2:$S$1214,"44378B2BrancaRuralNão se aplicaNão se aplicaNão se aplicaPonta",Mercado_Receita!$L$2:$L$1214)</f>
        <v>1.2999999999999999E-2</v>
      </c>
      <c r="O37" s="12">
        <f>SUMIF(Mercado_Receita!$S$2:$S$1214,"44409B2BrancaRuralNão se aplicaNão se aplicaNão se aplicaPonta",Mercado_Receita!$L$2:$L$1214)</f>
        <v>1.2E-2</v>
      </c>
      <c r="P37" s="12">
        <f>SUMIF(Mercado_Receita!$S$2:$S$1214,"44440B2BrancaRuralNão se aplicaNão se aplicaNão se aplicaPonta",Mercado_Receita!$L$2:$L$1214)</f>
        <v>1.2999999999999999E-2</v>
      </c>
      <c r="Q37" s="12">
        <f>SUMIF(Mercado_Receita!$S$2:$S$1214,"44470B2BrancaRuralNão se aplicaNão se aplicaNão se aplicaPonta",Mercado_Receita!$L$2:$L$1214)</f>
        <v>1.4999999999999999E-2</v>
      </c>
      <c r="R37" s="12">
        <f>SUMIF(Mercado_Receita!$S$2:$S$1214,"44501B2BrancaRuralNão se aplicaNão se aplicaNão se aplicaPonta",Mercado_Receita!$L$2:$L$1214)</f>
        <v>1.4999999999999999E-2</v>
      </c>
      <c r="S37" s="12">
        <f>SUMIF(Mercado_Receita!$S$2:$S$1214,"44531B2BrancaRuralNão se aplicaNão se aplicaNão se aplicaPonta",Mercado_Receita!$L$2:$L$1214)</f>
        <v>1.6E-2</v>
      </c>
      <c r="T37" s="12">
        <f>SUMIF(Mercado_Receita!$S$2:$S$1214,"44562B2BrancaRuralNão se aplicaNão se aplicaNão se aplicaPonta",Mercado_Receita!$L$2:$L$1214)</f>
        <v>1.6E-2</v>
      </c>
      <c r="U37" s="12">
        <f t="shared" si="1"/>
        <v>0.16600000000000004</v>
      </c>
      <c r="V37" s="12"/>
      <c r="W37" s="12"/>
    </row>
    <row r="38" spans="1:23" ht="11.25" customHeight="1" x14ac:dyDescent="0.25">
      <c r="A38" s="92"/>
      <c r="B38" s="92"/>
      <c r="C38" s="92"/>
      <c r="D38" s="92"/>
      <c r="E38" s="92"/>
      <c r="F38" s="92"/>
      <c r="G38" s="12" t="s">
        <v>91</v>
      </c>
      <c r="H38" s="12" t="s">
        <v>78</v>
      </c>
      <c r="I38" s="12">
        <f>SUMIF(Mercado_Receita!$S$2:$S$1214,"44228B2BrancaRuralNão se aplicaNão se aplicaNão se aplicaIntermediário",Mercado_Receita!$L$2:$L$1214)</f>
        <v>1.6E-2</v>
      </c>
      <c r="J38" s="12">
        <f>SUMIF(Mercado_Receita!$S$2:$S$1214,"44256B2BrancaRuralNão se aplicaNão se aplicaNão se aplicaIntermediário",Mercado_Receita!$L$2:$L$1214)</f>
        <v>0.02</v>
      </c>
      <c r="K38" s="12">
        <f>SUMIF(Mercado_Receita!$S$2:$S$1214,"44287B2BrancaRuralNão se aplicaNão se aplicaNão se aplicaIntermediário",Mercado_Receita!$L$2:$L$1214)</f>
        <v>0.01</v>
      </c>
      <c r="L38" s="12">
        <f>SUMIF(Mercado_Receita!$S$2:$S$1214,"44317B2BrancaRuralNão se aplicaNão se aplicaNão se aplicaIntermediário",Mercado_Receita!$L$2:$L$1214)</f>
        <v>1.2999999999999999E-2</v>
      </c>
      <c r="M38" s="12">
        <f>SUMIF(Mercado_Receita!$S$2:$S$1214,"44348B2BrancaRuralNão se aplicaNão se aplicaNão se aplicaIntermediário",Mercado_Receita!$L$2:$L$1214)</f>
        <v>1.0999999999999999E-2</v>
      </c>
      <c r="N38" s="12">
        <f>SUMIF(Mercado_Receita!$S$2:$S$1214,"44378B2BrancaRuralNão se aplicaNão se aplicaNão se aplicaIntermediário",Mercado_Receita!$L$2:$L$1214)</f>
        <v>0.01</v>
      </c>
      <c r="O38" s="12">
        <f>SUMIF(Mercado_Receita!$S$2:$S$1214,"44409B2BrancaRuralNão se aplicaNão se aplicaNão se aplicaIntermediário",Mercado_Receita!$L$2:$L$1214)</f>
        <v>8.0000000000000002E-3</v>
      </c>
      <c r="P38" s="12">
        <f>SUMIF(Mercado_Receita!$S$2:$S$1214,"44440B2BrancaRuralNão se aplicaNão se aplicaNão se aplicaIntermediário",Mercado_Receita!$L$2:$L$1214)</f>
        <v>1.0999999999999999E-2</v>
      </c>
      <c r="Q38" s="12">
        <f>SUMIF(Mercado_Receita!$S$2:$S$1214,"44470B2BrancaRuralNão se aplicaNão se aplicaNão se aplicaIntermediário",Mercado_Receita!$L$2:$L$1214)</f>
        <v>1.2E-2</v>
      </c>
      <c r="R38" s="12">
        <f>SUMIF(Mercado_Receita!$S$2:$S$1214,"44501B2BrancaRuralNão se aplicaNão se aplicaNão se aplicaIntermediário",Mercado_Receita!$L$2:$L$1214)</f>
        <v>0.01</v>
      </c>
      <c r="S38" s="12">
        <f>SUMIF(Mercado_Receita!$S$2:$S$1214,"44531B2BrancaRuralNão se aplicaNão se aplicaNão se aplicaIntermediário",Mercado_Receita!$L$2:$L$1214)</f>
        <v>1.2E-2</v>
      </c>
      <c r="T38" s="12">
        <f>SUMIF(Mercado_Receita!$S$2:$S$1214,"44562B2BrancaRuralNão se aplicaNão se aplicaNão se aplicaIntermediário",Mercado_Receita!$L$2:$L$1214)</f>
        <v>1.2E-2</v>
      </c>
      <c r="U38" s="12">
        <f t="shared" si="1"/>
        <v>0.14499999999999999</v>
      </c>
      <c r="V38" s="12"/>
      <c r="W38" s="12"/>
    </row>
    <row r="39" spans="1:23" ht="11.25" customHeight="1" x14ac:dyDescent="0.25">
      <c r="A39" s="92"/>
      <c r="B39" s="92"/>
      <c r="C39" s="92"/>
      <c r="D39" s="92"/>
      <c r="E39" s="92"/>
      <c r="F39" s="92"/>
      <c r="G39" s="12" t="s">
        <v>80</v>
      </c>
      <c r="H39" s="12" t="s">
        <v>78</v>
      </c>
      <c r="I39" s="12">
        <f>SUMIF(Mercado_Receita!$S$2:$S$1214,"44228B2BrancaRuralNão se aplicaNão se aplicaNão se aplicaFora ponta",Mercado_Receita!$L$2:$L$1214)</f>
        <v>0.28799999999999998</v>
      </c>
      <c r="J39" s="12">
        <f>SUMIF(Mercado_Receita!$S$2:$S$1214,"44256B2BrancaRuralNão se aplicaNão se aplicaNão se aplicaFora ponta",Mercado_Receita!$L$2:$L$1214)</f>
        <v>0.34799999999999998</v>
      </c>
      <c r="K39" s="12">
        <f>SUMIF(Mercado_Receita!$S$2:$S$1214,"44287B2BrancaRuralNão se aplicaNão se aplicaNão se aplicaFora ponta",Mercado_Receita!$L$2:$L$1214)</f>
        <v>0.434</v>
      </c>
      <c r="L39" s="12">
        <f>SUMIF(Mercado_Receita!$S$2:$S$1214,"44317B2BrancaRuralNão se aplicaNão se aplicaNão se aplicaFora ponta",Mercado_Receita!$L$2:$L$1214)</f>
        <v>0.27800000000000002</v>
      </c>
      <c r="M39" s="12">
        <f>SUMIF(Mercado_Receita!$S$2:$S$1214,"44348B2BrancaRuralNão se aplicaNão se aplicaNão se aplicaFora ponta",Mercado_Receita!$L$2:$L$1214)</f>
        <v>0.17799999999999999</v>
      </c>
      <c r="N39" s="12">
        <f>SUMIF(Mercado_Receita!$S$2:$S$1214,"44378B2BrancaRuralNão se aplicaNão se aplicaNão se aplicaFora ponta",Mercado_Receita!$L$2:$L$1214)</f>
        <v>0.24199999999999999</v>
      </c>
      <c r="O39" s="12">
        <f>SUMIF(Mercado_Receita!$S$2:$S$1214,"44409B2BrancaRuralNão se aplicaNão se aplicaNão se aplicaFora ponta",Mercado_Receita!$L$2:$L$1214)</f>
        <v>0.16900000000000001</v>
      </c>
      <c r="P39" s="12">
        <f>SUMIF(Mercado_Receita!$S$2:$S$1214,"44440B2BrancaRuralNão se aplicaNão se aplicaNão se aplicaFora ponta",Mercado_Receita!$L$2:$L$1214)</f>
        <v>0.191</v>
      </c>
      <c r="Q39" s="12">
        <f>SUMIF(Mercado_Receita!$S$2:$S$1214,"44470B2BrancaRuralNão se aplicaNão se aplicaNão se aplicaFora ponta",Mercado_Receita!$L$2:$L$1214)</f>
        <v>0.254</v>
      </c>
      <c r="R39" s="12">
        <f>SUMIF(Mercado_Receita!$S$2:$S$1214,"44501B2BrancaRuralNão se aplicaNão se aplicaNão se aplicaFora ponta",Mercado_Receita!$L$2:$L$1214)</f>
        <v>0.32200000000000001</v>
      </c>
      <c r="S39" s="12">
        <f>SUMIF(Mercado_Receita!$S$2:$S$1214,"44531B2BrancaRuralNão se aplicaNão se aplicaNão se aplicaFora ponta",Mercado_Receita!$L$2:$L$1214)</f>
        <v>0.33300000000000002</v>
      </c>
      <c r="T39" s="12">
        <f>SUMIF(Mercado_Receita!$S$2:$S$1214,"44562B2BrancaRuralNão se aplicaNão se aplicaNão se aplicaFora ponta",Mercado_Receita!$L$2:$L$1214)</f>
        <v>0.33300000000000002</v>
      </c>
      <c r="U39" s="12">
        <f t="shared" si="1"/>
        <v>3.37</v>
      </c>
      <c r="V39" s="12"/>
      <c r="W39" s="12"/>
    </row>
    <row r="40" spans="1:23" ht="11.25" customHeight="1" x14ac:dyDescent="0.25">
      <c r="A40" s="92"/>
      <c r="B40" s="13" t="s">
        <v>23</v>
      </c>
      <c r="C40" s="13" t="s">
        <v>44</v>
      </c>
      <c r="D40" s="13" t="s">
        <v>25</v>
      </c>
      <c r="E40" s="13" t="s">
        <v>25</v>
      </c>
      <c r="F40" s="13" t="s">
        <v>25</v>
      </c>
      <c r="G40" s="12" t="s">
        <v>84</v>
      </c>
      <c r="H40" s="12" t="s">
        <v>78</v>
      </c>
      <c r="I40" s="12">
        <f>SUMIF(Mercado_Receita!$S$2:$S$1214,"44228B2ConvencionalRuralNão se aplicaNão se aplicaNão se aplicaPonta",Mercado_Receita!$L$2:$L$1214)+SUMIF(Mercado_Receita!$S$2:$S$1214,"44228B2ConvencionalRuralNão se aplicaNão se aplicaNão se aplicaFora ponta",Mercado_Receita!$L$2:$L$1214)+SUMIF(Mercado_Receita!$S$2:$S$1214,"44228B2ConvencionalRuralNão se aplicaNão se aplicaNão se aplicaIntermediário",Mercado_Receita!$L$2:$L$1214)+SUMIF(Mercado_Receita!$S$2:$S$1214,"44228B2ConvencionalRuralNão se aplicaNão se aplicaNão se aplicaNão se aplica",Mercado_Receita!$L$2:$L$1214)</f>
        <v>2031.5230000000001</v>
      </c>
      <c r="J40" s="12">
        <f>SUMIF(Mercado_Receita!$S$2:$S$1214,"44256B2ConvencionalRuralNão se aplicaNão se aplicaNão se aplicaPonta",Mercado_Receita!$L$2:$L$1214)+SUMIF(Mercado_Receita!$S$2:$S$1214,"44256B2ConvencionalRuralNão se aplicaNão se aplicaNão se aplicaFora ponta",Mercado_Receita!$L$2:$L$1214)+SUMIF(Mercado_Receita!$S$2:$S$1214,"44256B2ConvencionalRuralNão se aplicaNão se aplicaNão se aplicaIntermediário",Mercado_Receita!$L$2:$L$1214)+SUMIF(Mercado_Receita!$S$2:$S$1214,"44256B2ConvencionalRuralNão se aplicaNão se aplicaNão se aplicaNão se aplica",Mercado_Receita!$L$2:$L$1214)</f>
        <v>2138.846</v>
      </c>
      <c r="K40" s="12">
        <f>SUMIF(Mercado_Receita!$S$2:$S$1214,"44287B2ConvencionalRuralNão se aplicaNão se aplicaNão se aplicaPonta",Mercado_Receita!$L$2:$L$1214)+SUMIF(Mercado_Receita!$S$2:$S$1214,"44287B2ConvencionalRuralNão se aplicaNão se aplicaNão se aplicaFora ponta",Mercado_Receita!$L$2:$L$1214)+SUMIF(Mercado_Receita!$S$2:$S$1214,"44287B2ConvencionalRuralNão se aplicaNão se aplicaNão se aplicaIntermediário",Mercado_Receita!$L$2:$L$1214)+SUMIF(Mercado_Receita!$S$2:$S$1214,"44287B2ConvencionalRuralNão se aplicaNão se aplicaNão se aplicaNão se aplica",Mercado_Receita!$L$2:$L$1214)</f>
        <v>2029.4369999999999</v>
      </c>
      <c r="L40" s="12">
        <f>SUMIF(Mercado_Receita!$S$2:$S$1214,"44317B2ConvencionalRuralNão se aplicaNão se aplicaNão se aplicaPonta",Mercado_Receita!$L$2:$L$1214)+SUMIF(Mercado_Receita!$S$2:$S$1214,"44317B2ConvencionalRuralNão se aplicaNão se aplicaNão se aplicaFora ponta",Mercado_Receita!$L$2:$L$1214)+SUMIF(Mercado_Receita!$S$2:$S$1214,"44317B2ConvencionalRuralNão se aplicaNão se aplicaNão se aplicaIntermediário",Mercado_Receita!$L$2:$L$1214)+SUMIF(Mercado_Receita!$S$2:$S$1214,"44317B2ConvencionalRuralNão se aplicaNão se aplicaNão se aplicaNão se aplica",Mercado_Receita!$L$2:$L$1214)</f>
        <v>1831.7780000000002</v>
      </c>
      <c r="M40" s="12">
        <f>SUMIF(Mercado_Receita!$S$2:$S$1214,"44348B2ConvencionalRuralNão se aplicaNão se aplicaNão se aplicaPonta",Mercado_Receita!$L$2:$L$1214)+SUMIF(Mercado_Receita!$S$2:$S$1214,"44348B2ConvencionalRuralNão se aplicaNão se aplicaNão se aplicaFora ponta",Mercado_Receita!$L$2:$L$1214)+SUMIF(Mercado_Receita!$S$2:$S$1214,"44348B2ConvencionalRuralNão se aplicaNão se aplicaNão se aplicaIntermediário",Mercado_Receita!$L$2:$L$1214)+SUMIF(Mercado_Receita!$S$2:$S$1214,"44348B2ConvencionalRuralNão se aplicaNão se aplicaNão se aplicaNão se aplica",Mercado_Receita!$L$2:$L$1214)</f>
        <v>1804.154</v>
      </c>
      <c r="N40" s="12">
        <f>SUMIF(Mercado_Receita!$S$2:$S$1214,"44378B2ConvencionalRuralNão se aplicaNão se aplicaNão se aplicaPonta",Mercado_Receita!$L$2:$L$1214)+SUMIF(Mercado_Receita!$S$2:$S$1214,"44378B2ConvencionalRuralNão se aplicaNão se aplicaNão se aplicaFora ponta",Mercado_Receita!$L$2:$L$1214)+SUMIF(Mercado_Receita!$S$2:$S$1214,"44378B2ConvencionalRuralNão se aplicaNão se aplicaNão se aplicaIntermediário",Mercado_Receita!$L$2:$L$1214)+SUMIF(Mercado_Receita!$S$2:$S$1214,"44378B2ConvencionalRuralNão se aplicaNão se aplicaNão se aplicaNão se aplica",Mercado_Receita!$L$2:$L$1214)</f>
        <v>1936.431</v>
      </c>
      <c r="O40" s="12">
        <f>SUMIF(Mercado_Receita!$S$2:$S$1214,"44409B2ConvencionalRuralNão se aplicaNão se aplicaNão se aplicaPonta",Mercado_Receita!$L$2:$L$1214)+SUMIF(Mercado_Receita!$S$2:$S$1214,"44409B2ConvencionalRuralNão se aplicaNão se aplicaNão se aplicaFora ponta",Mercado_Receita!$L$2:$L$1214)+SUMIF(Mercado_Receita!$S$2:$S$1214,"44409B2ConvencionalRuralNão se aplicaNão se aplicaNão se aplicaIntermediário",Mercado_Receita!$L$2:$L$1214)+SUMIF(Mercado_Receita!$S$2:$S$1214,"44409B2ConvencionalRuralNão se aplicaNão se aplicaNão se aplicaNão se aplica",Mercado_Receita!$L$2:$L$1214)</f>
        <v>1806.4019999999998</v>
      </c>
      <c r="P40" s="12">
        <f>SUMIF(Mercado_Receita!$S$2:$S$1214,"44440B2ConvencionalRuralNão se aplicaNão se aplicaNão se aplicaPonta",Mercado_Receita!$L$2:$L$1214)+SUMIF(Mercado_Receita!$S$2:$S$1214,"44440B2ConvencionalRuralNão se aplicaNão se aplicaNão se aplicaFora ponta",Mercado_Receita!$L$2:$L$1214)+SUMIF(Mercado_Receita!$S$2:$S$1214,"44440B2ConvencionalRuralNão se aplicaNão se aplicaNão se aplicaIntermediário",Mercado_Receita!$L$2:$L$1214)+SUMIF(Mercado_Receita!$S$2:$S$1214,"44440B2ConvencionalRuralNão se aplicaNão se aplicaNão se aplicaNão se aplica",Mercado_Receita!$L$2:$L$1214)</f>
        <v>1974.855</v>
      </c>
      <c r="Q40" s="12">
        <f>SUMIF(Mercado_Receita!$S$2:$S$1214,"44470B2ConvencionalRuralNão se aplicaNão se aplicaNão se aplicaPonta",Mercado_Receita!$L$2:$L$1214)+SUMIF(Mercado_Receita!$S$2:$S$1214,"44470B2ConvencionalRuralNão se aplicaNão se aplicaNão se aplicaFora ponta",Mercado_Receita!$L$2:$L$1214)+SUMIF(Mercado_Receita!$S$2:$S$1214,"44470B2ConvencionalRuralNão se aplicaNão se aplicaNão se aplicaIntermediário",Mercado_Receita!$L$2:$L$1214)+SUMIF(Mercado_Receita!$S$2:$S$1214,"44470B2ConvencionalRuralNão se aplicaNão se aplicaNão se aplicaNão se aplica",Mercado_Receita!$L$2:$L$1214)</f>
        <v>2029.633</v>
      </c>
      <c r="R40" s="12">
        <f>SUMIF(Mercado_Receita!$S$2:$S$1214,"44501B2ConvencionalRuralNão se aplicaNão se aplicaNão se aplicaPonta",Mercado_Receita!$L$2:$L$1214)+SUMIF(Mercado_Receita!$S$2:$S$1214,"44501B2ConvencionalRuralNão se aplicaNão se aplicaNão se aplicaFora ponta",Mercado_Receita!$L$2:$L$1214)+SUMIF(Mercado_Receita!$S$2:$S$1214,"44501B2ConvencionalRuralNão se aplicaNão se aplicaNão se aplicaIntermediário",Mercado_Receita!$L$2:$L$1214)+SUMIF(Mercado_Receita!$S$2:$S$1214,"44501B2ConvencionalRuralNão se aplicaNão se aplicaNão se aplicaNão se aplica",Mercado_Receita!$L$2:$L$1214)</f>
        <v>1994.0809999999999</v>
      </c>
      <c r="S40" s="12">
        <f>SUMIF(Mercado_Receita!$S$2:$S$1214,"44531B2ConvencionalRuralNão se aplicaNão se aplicaNão se aplicaPonta",Mercado_Receita!$L$2:$L$1214)+SUMIF(Mercado_Receita!$S$2:$S$1214,"44531B2ConvencionalRuralNão se aplicaNão se aplicaNão se aplicaFora ponta",Mercado_Receita!$L$2:$L$1214)+SUMIF(Mercado_Receita!$S$2:$S$1214,"44531B2ConvencionalRuralNão se aplicaNão se aplicaNão se aplicaIntermediário",Mercado_Receita!$L$2:$L$1214)+SUMIF(Mercado_Receita!$S$2:$S$1214,"44531B2ConvencionalRuralNão se aplicaNão se aplicaNão se aplicaNão se aplica",Mercado_Receita!$L$2:$L$1214)</f>
        <v>2082.2220000000002</v>
      </c>
      <c r="T40" s="12">
        <f>SUMIF(Mercado_Receita!$S$2:$S$1214,"44562B2ConvencionalRuralNão se aplicaNão se aplicaNão se aplicaPonta",Mercado_Receita!$L$2:$L$1214)+SUMIF(Mercado_Receita!$S$2:$S$1214,"44562B2ConvencionalRuralNão se aplicaNão se aplicaNão se aplicaFora ponta",Mercado_Receita!$L$2:$L$1214)+SUMIF(Mercado_Receita!$S$2:$S$1214,"44562B2ConvencionalRuralNão se aplicaNão se aplicaNão se aplicaIntermediário",Mercado_Receita!$L$2:$L$1214)+SUMIF(Mercado_Receita!$S$2:$S$1214,"44562B2ConvencionalRuralNão se aplicaNão se aplicaNão se aplicaNão se aplica",Mercado_Receita!$L$2:$L$1214)</f>
        <v>2082.2220000000002</v>
      </c>
      <c r="U40" s="12">
        <f t="shared" si="1"/>
        <v>23741.584000000003</v>
      </c>
      <c r="V40" s="12"/>
      <c r="W40" s="12"/>
    </row>
    <row r="41" spans="1:23" ht="11.25" customHeight="1" x14ac:dyDescent="0.25">
      <c r="A41" s="92"/>
      <c r="B41" s="91" t="s">
        <v>33</v>
      </c>
      <c r="C41" s="91" t="s">
        <v>44</v>
      </c>
      <c r="D41" s="91" t="s">
        <v>94</v>
      </c>
      <c r="E41" s="91" t="s">
        <v>25</v>
      </c>
      <c r="F41" s="91" t="s">
        <v>25</v>
      </c>
      <c r="G41" s="12" t="s">
        <v>79</v>
      </c>
      <c r="H41" s="12" t="s">
        <v>78</v>
      </c>
      <c r="I41" s="12">
        <f>SUMIF(Mercado_Receita!$S$2:$S$1214,"44228B2BrancaRuralCooperativa de eletrificação ruralNão se aplicaNão se aplicaPonta",Mercado_Receita!$L$2:$L$1214)</f>
        <v>0</v>
      </c>
      <c r="J41" s="12">
        <f>SUMIF(Mercado_Receita!$S$2:$S$1214,"44256B2BrancaRuralCooperativa de eletrificação ruralNão se aplicaNão se aplicaPonta",Mercado_Receita!$L$2:$L$1214)</f>
        <v>0</v>
      </c>
      <c r="K41" s="12">
        <f>SUMIF(Mercado_Receita!$S$2:$S$1214,"44287B2BrancaRuralCooperativa de eletrificação ruralNão se aplicaNão se aplicaPonta",Mercado_Receita!$L$2:$L$1214)</f>
        <v>0</v>
      </c>
      <c r="L41" s="12">
        <f>SUMIF(Mercado_Receita!$S$2:$S$1214,"44317B2BrancaRuralCooperativa de eletrificação ruralNão se aplicaNão se aplicaPonta",Mercado_Receita!$L$2:$L$1214)</f>
        <v>0</v>
      </c>
      <c r="M41" s="12">
        <f>SUMIF(Mercado_Receita!$S$2:$S$1214,"44348B2BrancaRuralCooperativa de eletrificação ruralNão se aplicaNão se aplicaPonta",Mercado_Receita!$L$2:$L$1214)</f>
        <v>0</v>
      </c>
      <c r="N41" s="12">
        <f>SUMIF(Mercado_Receita!$S$2:$S$1214,"44378B2BrancaRuralCooperativa de eletrificação ruralNão se aplicaNão se aplicaPonta",Mercado_Receita!$L$2:$L$1214)</f>
        <v>0</v>
      </c>
      <c r="O41" s="12">
        <f>SUMIF(Mercado_Receita!$S$2:$S$1214,"44409B2BrancaRuralCooperativa de eletrificação ruralNão se aplicaNão se aplicaPonta",Mercado_Receita!$L$2:$L$1214)</f>
        <v>0</v>
      </c>
      <c r="P41" s="12">
        <f>SUMIF(Mercado_Receita!$S$2:$S$1214,"44440B2BrancaRuralCooperativa de eletrificação ruralNão se aplicaNão se aplicaPonta",Mercado_Receita!$L$2:$L$1214)</f>
        <v>0</v>
      </c>
      <c r="Q41" s="12">
        <f>SUMIF(Mercado_Receita!$S$2:$S$1214,"44470B2BrancaRuralCooperativa de eletrificação ruralNão se aplicaNão se aplicaPonta",Mercado_Receita!$L$2:$L$1214)</f>
        <v>0</v>
      </c>
      <c r="R41" s="12">
        <f>SUMIF(Mercado_Receita!$S$2:$S$1214,"44501B2BrancaRuralCooperativa de eletrificação ruralNão se aplicaNão se aplicaPonta",Mercado_Receita!$L$2:$L$1214)</f>
        <v>0</v>
      </c>
      <c r="S41" s="12">
        <f>SUMIF(Mercado_Receita!$S$2:$S$1214,"44531B2BrancaRuralCooperativa de eletrificação ruralNão se aplicaNão se aplicaPonta",Mercado_Receita!$L$2:$L$1214)</f>
        <v>0</v>
      </c>
      <c r="T41" s="12">
        <f>SUMIF(Mercado_Receita!$S$2:$S$1214,"44562B2BrancaRuralCooperativa de eletrificação ruralNão se aplicaNão se aplicaPonta",Mercado_Receita!$L$2:$L$1214)</f>
        <v>0</v>
      </c>
      <c r="U41" s="12">
        <f t="shared" si="1"/>
        <v>0</v>
      </c>
      <c r="V41" s="12"/>
      <c r="W41" s="12"/>
    </row>
    <row r="42" spans="1:23" ht="11.25" customHeight="1" x14ac:dyDescent="0.25">
      <c r="A42" s="92"/>
      <c r="B42" s="92"/>
      <c r="C42" s="92"/>
      <c r="D42" s="92"/>
      <c r="E42" s="92"/>
      <c r="F42" s="92"/>
      <c r="G42" s="12" t="s">
        <v>91</v>
      </c>
      <c r="H42" s="12" t="s">
        <v>78</v>
      </c>
      <c r="I42" s="12">
        <f>SUMIF(Mercado_Receita!$S$2:$S$1214,"44228B2BrancaRuralCooperativa de eletrificação ruralNão se aplicaNão se aplicaIntermediário",Mercado_Receita!$L$2:$L$1214)</f>
        <v>0</v>
      </c>
      <c r="J42" s="12">
        <f>SUMIF(Mercado_Receita!$S$2:$S$1214,"44256B2BrancaRuralCooperativa de eletrificação ruralNão se aplicaNão se aplicaIntermediário",Mercado_Receita!$L$2:$L$1214)</f>
        <v>0</v>
      </c>
      <c r="K42" s="12">
        <f>SUMIF(Mercado_Receita!$S$2:$S$1214,"44287B2BrancaRuralCooperativa de eletrificação ruralNão se aplicaNão se aplicaIntermediário",Mercado_Receita!$L$2:$L$1214)</f>
        <v>0</v>
      </c>
      <c r="L42" s="12">
        <f>SUMIF(Mercado_Receita!$S$2:$S$1214,"44317B2BrancaRuralCooperativa de eletrificação ruralNão se aplicaNão se aplicaIntermediário",Mercado_Receita!$L$2:$L$1214)</f>
        <v>0</v>
      </c>
      <c r="M42" s="12">
        <f>SUMIF(Mercado_Receita!$S$2:$S$1214,"44348B2BrancaRuralCooperativa de eletrificação ruralNão se aplicaNão se aplicaIntermediário",Mercado_Receita!$L$2:$L$1214)</f>
        <v>0</v>
      </c>
      <c r="N42" s="12">
        <f>SUMIF(Mercado_Receita!$S$2:$S$1214,"44378B2BrancaRuralCooperativa de eletrificação ruralNão se aplicaNão se aplicaIntermediário",Mercado_Receita!$L$2:$L$1214)</f>
        <v>0</v>
      </c>
      <c r="O42" s="12">
        <f>SUMIF(Mercado_Receita!$S$2:$S$1214,"44409B2BrancaRuralCooperativa de eletrificação ruralNão se aplicaNão se aplicaIntermediário",Mercado_Receita!$L$2:$L$1214)</f>
        <v>0</v>
      </c>
      <c r="P42" s="12">
        <f>SUMIF(Mercado_Receita!$S$2:$S$1214,"44440B2BrancaRuralCooperativa de eletrificação ruralNão se aplicaNão se aplicaIntermediário",Mercado_Receita!$L$2:$L$1214)</f>
        <v>0</v>
      </c>
      <c r="Q42" s="12">
        <f>SUMIF(Mercado_Receita!$S$2:$S$1214,"44470B2BrancaRuralCooperativa de eletrificação ruralNão se aplicaNão se aplicaIntermediário",Mercado_Receita!$L$2:$L$1214)</f>
        <v>0</v>
      </c>
      <c r="R42" s="12">
        <f>SUMIF(Mercado_Receita!$S$2:$S$1214,"44501B2BrancaRuralCooperativa de eletrificação ruralNão se aplicaNão se aplicaIntermediário",Mercado_Receita!$L$2:$L$1214)</f>
        <v>0</v>
      </c>
      <c r="S42" s="12">
        <f>SUMIF(Mercado_Receita!$S$2:$S$1214,"44531B2BrancaRuralCooperativa de eletrificação ruralNão se aplicaNão se aplicaIntermediário",Mercado_Receita!$L$2:$L$1214)</f>
        <v>0</v>
      </c>
      <c r="T42" s="12">
        <f>SUMIF(Mercado_Receita!$S$2:$S$1214,"44562B2BrancaRuralCooperativa de eletrificação ruralNão se aplicaNão se aplicaIntermediário",Mercado_Receita!$L$2:$L$1214)</f>
        <v>0</v>
      </c>
      <c r="U42" s="12">
        <f t="shared" si="1"/>
        <v>0</v>
      </c>
      <c r="V42" s="12"/>
      <c r="W42" s="12"/>
    </row>
    <row r="43" spans="1:23" ht="11.25" customHeight="1" x14ac:dyDescent="0.25">
      <c r="A43" s="92"/>
      <c r="B43" s="92"/>
      <c r="C43" s="92"/>
      <c r="D43" s="92"/>
      <c r="E43" s="92"/>
      <c r="F43" s="92"/>
      <c r="G43" s="12" t="s">
        <v>80</v>
      </c>
      <c r="H43" s="12" t="s">
        <v>78</v>
      </c>
      <c r="I43" s="12">
        <f>SUMIF(Mercado_Receita!$S$2:$S$1214,"44228B2BrancaRuralCooperativa de eletrificação ruralNão se aplicaNão se aplicaFora ponta",Mercado_Receita!$L$2:$L$1214)</f>
        <v>0</v>
      </c>
      <c r="J43" s="12">
        <f>SUMIF(Mercado_Receita!$S$2:$S$1214,"44256B2BrancaRuralCooperativa de eletrificação ruralNão se aplicaNão se aplicaFora ponta",Mercado_Receita!$L$2:$L$1214)</f>
        <v>0</v>
      </c>
      <c r="K43" s="12">
        <f>SUMIF(Mercado_Receita!$S$2:$S$1214,"44287B2BrancaRuralCooperativa de eletrificação ruralNão se aplicaNão se aplicaFora ponta",Mercado_Receita!$L$2:$L$1214)</f>
        <v>0</v>
      </c>
      <c r="L43" s="12">
        <f>SUMIF(Mercado_Receita!$S$2:$S$1214,"44317B2BrancaRuralCooperativa de eletrificação ruralNão se aplicaNão se aplicaFora ponta",Mercado_Receita!$L$2:$L$1214)</f>
        <v>0</v>
      </c>
      <c r="M43" s="12">
        <f>SUMIF(Mercado_Receita!$S$2:$S$1214,"44348B2BrancaRuralCooperativa de eletrificação ruralNão se aplicaNão se aplicaFora ponta",Mercado_Receita!$L$2:$L$1214)</f>
        <v>0</v>
      </c>
      <c r="N43" s="12">
        <f>SUMIF(Mercado_Receita!$S$2:$S$1214,"44378B2BrancaRuralCooperativa de eletrificação ruralNão se aplicaNão se aplicaFora ponta",Mercado_Receita!$L$2:$L$1214)</f>
        <v>0</v>
      </c>
      <c r="O43" s="12">
        <f>SUMIF(Mercado_Receita!$S$2:$S$1214,"44409B2BrancaRuralCooperativa de eletrificação ruralNão se aplicaNão se aplicaFora ponta",Mercado_Receita!$L$2:$L$1214)</f>
        <v>0</v>
      </c>
      <c r="P43" s="12">
        <f>SUMIF(Mercado_Receita!$S$2:$S$1214,"44440B2BrancaRuralCooperativa de eletrificação ruralNão se aplicaNão se aplicaFora ponta",Mercado_Receita!$L$2:$L$1214)</f>
        <v>0</v>
      </c>
      <c r="Q43" s="12">
        <f>SUMIF(Mercado_Receita!$S$2:$S$1214,"44470B2BrancaRuralCooperativa de eletrificação ruralNão se aplicaNão se aplicaFora ponta",Mercado_Receita!$L$2:$L$1214)</f>
        <v>0</v>
      </c>
      <c r="R43" s="12">
        <f>SUMIF(Mercado_Receita!$S$2:$S$1214,"44501B2BrancaRuralCooperativa de eletrificação ruralNão se aplicaNão se aplicaFora ponta",Mercado_Receita!$L$2:$L$1214)</f>
        <v>0</v>
      </c>
      <c r="S43" s="12">
        <f>SUMIF(Mercado_Receita!$S$2:$S$1214,"44531B2BrancaRuralCooperativa de eletrificação ruralNão se aplicaNão se aplicaFora ponta",Mercado_Receita!$L$2:$L$1214)</f>
        <v>0</v>
      </c>
      <c r="T43" s="12">
        <f>SUMIF(Mercado_Receita!$S$2:$S$1214,"44562B2BrancaRuralCooperativa de eletrificação ruralNão se aplicaNão se aplicaFora ponta",Mercado_Receita!$L$2:$L$1214)</f>
        <v>0</v>
      </c>
      <c r="U43" s="12">
        <f t="shared" si="1"/>
        <v>0</v>
      </c>
      <c r="V43" s="12"/>
      <c r="W43" s="12"/>
    </row>
    <row r="44" spans="1:23" ht="11.25" customHeight="1" x14ac:dyDescent="0.25">
      <c r="A44" s="92"/>
      <c r="B44" s="13" t="s">
        <v>23</v>
      </c>
      <c r="C44" s="13" t="s">
        <v>44</v>
      </c>
      <c r="D44" s="13" t="s">
        <v>94</v>
      </c>
      <c r="E44" s="13" t="s">
        <v>25</v>
      </c>
      <c r="F44" s="13" t="s">
        <v>25</v>
      </c>
      <c r="G44" s="12" t="s">
        <v>84</v>
      </c>
      <c r="H44" s="12" t="s">
        <v>78</v>
      </c>
      <c r="I44" s="12">
        <f>SUMIF(Mercado_Receita!$S$2:$S$1214,"44228B2ConvencionalRuralCooperativa de eletrificação ruralNão se aplicaNão se aplicaPonta",Mercado_Receita!$L$2:$L$1214)+SUMIF(Mercado_Receita!$S$2:$S$1214,"44228B2ConvencionalRuralCooperativa de eletrificação ruralNão se aplicaNão se aplicaFora ponta",Mercado_Receita!$L$2:$L$1214)+SUMIF(Mercado_Receita!$S$2:$S$1214,"44228B2ConvencionalRuralCooperativa de eletrificação ruralNão se aplicaNão se aplicaIntermediário",Mercado_Receita!$L$2:$L$1214)+SUMIF(Mercado_Receita!$S$2:$S$1214,"44228B2ConvencionalRuralCooperativa de eletrificação ruralNão se aplicaNão se aplicaNão se aplica",Mercado_Receita!$L$2:$L$1214)</f>
        <v>0</v>
      </c>
      <c r="J44" s="12">
        <f>SUMIF(Mercado_Receita!$S$2:$S$1214,"44256B2ConvencionalRuralCooperativa de eletrificação ruralNão se aplicaNão se aplicaPonta",Mercado_Receita!$L$2:$L$1214)+SUMIF(Mercado_Receita!$S$2:$S$1214,"44256B2ConvencionalRuralCooperativa de eletrificação ruralNão se aplicaNão se aplicaFora ponta",Mercado_Receita!$L$2:$L$1214)+SUMIF(Mercado_Receita!$S$2:$S$1214,"44256B2ConvencionalRuralCooperativa de eletrificação ruralNão se aplicaNão se aplicaIntermediário",Mercado_Receita!$L$2:$L$1214)+SUMIF(Mercado_Receita!$S$2:$S$1214,"44256B2ConvencionalRuralCooperativa de eletrificação ruralNão se aplicaNão se aplicaNão se aplica",Mercado_Receita!$L$2:$L$1214)</f>
        <v>0</v>
      </c>
      <c r="K44" s="12">
        <f>SUMIF(Mercado_Receita!$S$2:$S$1214,"44287B2ConvencionalRuralCooperativa de eletrificação ruralNão se aplicaNão se aplicaPonta",Mercado_Receita!$L$2:$L$1214)+SUMIF(Mercado_Receita!$S$2:$S$1214,"44287B2ConvencionalRuralCooperativa de eletrificação ruralNão se aplicaNão se aplicaFora ponta",Mercado_Receita!$L$2:$L$1214)+SUMIF(Mercado_Receita!$S$2:$S$1214,"44287B2ConvencionalRuralCooperativa de eletrificação ruralNão se aplicaNão se aplicaIntermediário",Mercado_Receita!$L$2:$L$1214)+SUMIF(Mercado_Receita!$S$2:$S$1214,"44287B2ConvencionalRuralCooperativa de eletrificação ruralNão se aplicaNão se aplicaNão se aplica",Mercado_Receita!$L$2:$L$1214)</f>
        <v>0</v>
      </c>
      <c r="L44" s="12">
        <f>SUMIF(Mercado_Receita!$S$2:$S$1214,"44317B2ConvencionalRuralCooperativa de eletrificação ruralNão se aplicaNão se aplicaPonta",Mercado_Receita!$L$2:$L$1214)+SUMIF(Mercado_Receita!$S$2:$S$1214,"44317B2ConvencionalRuralCooperativa de eletrificação ruralNão se aplicaNão se aplicaFora ponta",Mercado_Receita!$L$2:$L$1214)+SUMIF(Mercado_Receita!$S$2:$S$1214,"44317B2ConvencionalRuralCooperativa de eletrificação ruralNão se aplicaNão se aplicaIntermediário",Mercado_Receita!$L$2:$L$1214)+SUMIF(Mercado_Receita!$S$2:$S$1214,"44317B2ConvencionalRuralCooperativa de eletrificação ruralNão se aplicaNão se aplicaNão se aplica",Mercado_Receita!$L$2:$L$1214)</f>
        <v>0</v>
      </c>
      <c r="M44" s="12">
        <f>SUMIF(Mercado_Receita!$S$2:$S$1214,"44348B2ConvencionalRuralCooperativa de eletrificação ruralNão se aplicaNão se aplicaPonta",Mercado_Receita!$L$2:$L$1214)+SUMIF(Mercado_Receita!$S$2:$S$1214,"44348B2ConvencionalRuralCooperativa de eletrificação ruralNão se aplicaNão se aplicaFora ponta",Mercado_Receita!$L$2:$L$1214)+SUMIF(Mercado_Receita!$S$2:$S$1214,"44348B2ConvencionalRuralCooperativa de eletrificação ruralNão se aplicaNão se aplicaIntermediário",Mercado_Receita!$L$2:$L$1214)+SUMIF(Mercado_Receita!$S$2:$S$1214,"44348B2ConvencionalRuralCooperativa de eletrificação ruralNão se aplicaNão se aplicaNão se aplica",Mercado_Receita!$L$2:$L$1214)</f>
        <v>0</v>
      </c>
      <c r="N44" s="12">
        <f>SUMIF(Mercado_Receita!$S$2:$S$1214,"44378B2ConvencionalRuralCooperativa de eletrificação ruralNão se aplicaNão se aplicaPonta",Mercado_Receita!$L$2:$L$1214)+SUMIF(Mercado_Receita!$S$2:$S$1214,"44378B2ConvencionalRuralCooperativa de eletrificação ruralNão se aplicaNão se aplicaFora ponta",Mercado_Receita!$L$2:$L$1214)+SUMIF(Mercado_Receita!$S$2:$S$1214,"44378B2ConvencionalRuralCooperativa de eletrificação ruralNão se aplicaNão se aplicaIntermediário",Mercado_Receita!$L$2:$L$1214)+SUMIF(Mercado_Receita!$S$2:$S$1214,"44378B2ConvencionalRuralCooperativa de eletrificação ruralNão se aplicaNão se aplicaNão se aplica",Mercado_Receita!$L$2:$L$1214)</f>
        <v>0</v>
      </c>
      <c r="O44" s="12">
        <f>SUMIF(Mercado_Receita!$S$2:$S$1214,"44409B2ConvencionalRuralCooperativa de eletrificação ruralNão se aplicaNão se aplicaPonta",Mercado_Receita!$L$2:$L$1214)+SUMIF(Mercado_Receita!$S$2:$S$1214,"44409B2ConvencionalRuralCooperativa de eletrificação ruralNão se aplicaNão se aplicaFora ponta",Mercado_Receita!$L$2:$L$1214)+SUMIF(Mercado_Receita!$S$2:$S$1214,"44409B2ConvencionalRuralCooperativa de eletrificação ruralNão se aplicaNão se aplicaIntermediário",Mercado_Receita!$L$2:$L$1214)+SUMIF(Mercado_Receita!$S$2:$S$1214,"44409B2ConvencionalRuralCooperativa de eletrificação ruralNão se aplicaNão se aplicaNão se aplica",Mercado_Receita!$L$2:$L$1214)</f>
        <v>0</v>
      </c>
      <c r="P44" s="12">
        <f>SUMIF(Mercado_Receita!$S$2:$S$1214,"44440B2ConvencionalRuralCooperativa de eletrificação ruralNão se aplicaNão se aplicaPonta",Mercado_Receita!$L$2:$L$1214)+SUMIF(Mercado_Receita!$S$2:$S$1214,"44440B2ConvencionalRuralCooperativa de eletrificação ruralNão se aplicaNão se aplicaFora ponta",Mercado_Receita!$L$2:$L$1214)+SUMIF(Mercado_Receita!$S$2:$S$1214,"44440B2ConvencionalRuralCooperativa de eletrificação ruralNão se aplicaNão se aplicaIntermediário",Mercado_Receita!$L$2:$L$1214)+SUMIF(Mercado_Receita!$S$2:$S$1214,"44440B2ConvencionalRuralCooperativa de eletrificação ruralNão se aplicaNão se aplicaNão se aplica",Mercado_Receita!$L$2:$L$1214)</f>
        <v>0</v>
      </c>
      <c r="Q44" s="12">
        <f>SUMIF(Mercado_Receita!$S$2:$S$1214,"44470B2ConvencionalRuralCooperativa de eletrificação ruralNão se aplicaNão se aplicaPonta",Mercado_Receita!$L$2:$L$1214)+SUMIF(Mercado_Receita!$S$2:$S$1214,"44470B2ConvencionalRuralCooperativa de eletrificação ruralNão se aplicaNão se aplicaFora ponta",Mercado_Receita!$L$2:$L$1214)+SUMIF(Mercado_Receita!$S$2:$S$1214,"44470B2ConvencionalRuralCooperativa de eletrificação ruralNão se aplicaNão se aplicaIntermediário",Mercado_Receita!$L$2:$L$1214)+SUMIF(Mercado_Receita!$S$2:$S$1214,"44470B2ConvencionalRuralCooperativa de eletrificação ruralNão se aplicaNão se aplicaNão se aplica",Mercado_Receita!$L$2:$L$1214)</f>
        <v>0</v>
      </c>
      <c r="R44" s="12">
        <f>SUMIF(Mercado_Receita!$S$2:$S$1214,"44501B2ConvencionalRuralCooperativa de eletrificação ruralNão se aplicaNão se aplicaPonta",Mercado_Receita!$L$2:$L$1214)+SUMIF(Mercado_Receita!$S$2:$S$1214,"44501B2ConvencionalRuralCooperativa de eletrificação ruralNão se aplicaNão se aplicaFora ponta",Mercado_Receita!$L$2:$L$1214)+SUMIF(Mercado_Receita!$S$2:$S$1214,"44501B2ConvencionalRuralCooperativa de eletrificação ruralNão se aplicaNão se aplicaIntermediário",Mercado_Receita!$L$2:$L$1214)+SUMIF(Mercado_Receita!$S$2:$S$1214,"44501B2ConvencionalRuralCooperativa de eletrificação ruralNão se aplicaNão se aplicaNão se aplica",Mercado_Receita!$L$2:$L$1214)</f>
        <v>0</v>
      </c>
      <c r="S44" s="12">
        <f>SUMIF(Mercado_Receita!$S$2:$S$1214,"44531B2ConvencionalRuralCooperativa de eletrificação ruralNão se aplicaNão se aplicaPonta",Mercado_Receita!$L$2:$L$1214)+SUMIF(Mercado_Receita!$S$2:$S$1214,"44531B2ConvencionalRuralCooperativa de eletrificação ruralNão se aplicaNão se aplicaFora ponta",Mercado_Receita!$L$2:$L$1214)+SUMIF(Mercado_Receita!$S$2:$S$1214,"44531B2ConvencionalRuralCooperativa de eletrificação ruralNão se aplicaNão se aplicaIntermediário",Mercado_Receita!$L$2:$L$1214)+SUMIF(Mercado_Receita!$S$2:$S$1214,"44531B2ConvencionalRuralCooperativa de eletrificação ruralNão se aplicaNão se aplicaNão se aplica",Mercado_Receita!$L$2:$L$1214)</f>
        <v>0</v>
      </c>
      <c r="T44" s="12">
        <f>SUMIF(Mercado_Receita!$S$2:$S$1214,"44562B2ConvencionalRuralCooperativa de eletrificação ruralNão se aplicaNão se aplicaPonta",Mercado_Receita!$L$2:$L$1214)+SUMIF(Mercado_Receita!$S$2:$S$1214,"44562B2ConvencionalRuralCooperativa de eletrificação ruralNão se aplicaNão se aplicaFora ponta",Mercado_Receita!$L$2:$L$1214)+SUMIF(Mercado_Receita!$S$2:$S$1214,"44562B2ConvencionalRuralCooperativa de eletrificação ruralNão se aplicaNão se aplicaIntermediário",Mercado_Receita!$L$2:$L$1214)+SUMIF(Mercado_Receita!$S$2:$S$1214,"44562B2ConvencionalRuralCooperativa de eletrificação ruralNão se aplicaNão se aplicaNão se aplica",Mercado_Receita!$L$2:$L$1214)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92"/>
      <c r="B45" s="91" t="s">
        <v>33</v>
      </c>
      <c r="C45" s="91" t="s">
        <v>44</v>
      </c>
      <c r="D45" s="91" t="s">
        <v>95</v>
      </c>
      <c r="E45" s="91" t="s">
        <v>25</v>
      </c>
      <c r="F45" s="91" t="s">
        <v>25</v>
      </c>
      <c r="G45" s="12" t="s">
        <v>79</v>
      </c>
      <c r="H45" s="12" t="s">
        <v>78</v>
      </c>
      <c r="I45" s="12">
        <f>SUMIF(Mercado_Receita!$S$2:$S$1214,"44228B2BrancaRuralServiço público de irrigação ruralNão se aplicaNão se aplicaPonta",Mercado_Receita!$L$2:$L$1214)</f>
        <v>0</v>
      </c>
      <c r="J45" s="12">
        <f>SUMIF(Mercado_Receita!$S$2:$S$1214,"44256B2BrancaRuralServiço público de irrigação ruralNão se aplicaNão se aplicaPonta",Mercado_Receita!$L$2:$L$1214)</f>
        <v>0</v>
      </c>
      <c r="K45" s="12">
        <f>SUMIF(Mercado_Receita!$S$2:$S$1214,"44287B2BrancaRuralServiço público de irrigação ruralNão se aplicaNão se aplicaPonta",Mercado_Receita!$L$2:$L$1214)</f>
        <v>0</v>
      </c>
      <c r="L45" s="12">
        <f>SUMIF(Mercado_Receita!$S$2:$S$1214,"44317B2BrancaRuralServiço público de irrigação ruralNão se aplicaNão se aplicaPonta",Mercado_Receita!$L$2:$L$1214)</f>
        <v>0</v>
      </c>
      <c r="M45" s="12">
        <f>SUMIF(Mercado_Receita!$S$2:$S$1214,"44348B2BrancaRuralServiço público de irrigação ruralNão se aplicaNão se aplicaPonta",Mercado_Receita!$L$2:$L$1214)</f>
        <v>0</v>
      </c>
      <c r="N45" s="12">
        <f>SUMIF(Mercado_Receita!$S$2:$S$1214,"44378B2BrancaRuralServiço público de irrigação ruralNão se aplicaNão se aplicaPonta",Mercado_Receita!$L$2:$L$1214)</f>
        <v>0</v>
      </c>
      <c r="O45" s="12">
        <f>SUMIF(Mercado_Receita!$S$2:$S$1214,"44409B2BrancaRuralServiço público de irrigação ruralNão se aplicaNão se aplicaPonta",Mercado_Receita!$L$2:$L$1214)</f>
        <v>0</v>
      </c>
      <c r="P45" s="12">
        <f>SUMIF(Mercado_Receita!$S$2:$S$1214,"44440B2BrancaRuralServiço público de irrigação ruralNão se aplicaNão se aplicaPonta",Mercado_Receita!$L$2:$L$1214)</f>
        <v>0</v>
      </c>
      <c r="Q45" s="12">
        <f>SUMIF(Mercado_Receita!$S$2:$S$1214,"44470B2BrancaRuralServiço público de irrigação ruralNão se aplicaNão se aplicaPonta",Mercado_Receita!$L$2:$L$1214)</f>
        <v>0</v>
      </c>
      <c r="R45" s="12">
        <f>SUMIF(Mercado_Receita!$S$2:$S$1214,"44501B2BrancaRuralServiço público de irrigação ruralNão se aplicaNão se aplicaPonta",Mercado_Receita!$L$2:$L$1214)</f>
        <v>0</v>
      </c>
      <c r="S45" s="12">
        <f>SUMIF(Mercado_Receita!$S$2:$S$1214,"44531B2BrancaRuralServiço público de irrigação ruralNão se aplicaNão se aplicaPonta",Mercado_Receita!$L$2:$L$1214)</f>
        <v>0</v>
      </c>
      <c r="T45" s="12">
        <f>SUMIF(Mercado_Receita!$S$2:$S$1214,"44562B2BrancaRuralServiço público de irrigação ruralNão se aplicaNão se aplicaPonta",Mercado_Receita!$L$2:$L$1214)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92"/>
      <c r="B46" s="92"/>
      <c r="C46" s="92"/>
      <c r="D46" s="92"/>
      <c r="E46" s="92"/>
      <c r="F46" s="92"/>
      <c r="G46" s="12" t="s">
        <v>91</v>
      </c>
      <c r="H46" s="12" t="s">
        <v>78</v>
      </c>
      <c r="I46" s="12">
        <f>SUMIF(Mercado_Receita!$S$2:$S$1214,"44228B2BrancaRuralServiço público de irrigação ruralNão se aplicaNão se aplicaIntermediário",Mercado_Receita!$L$2:$L$1214)</f>
        <v>0</v>
      </c>
      <c r="J46" s="12">
        <f>SUMIF(Mercado_Receita!$S$2:$S$1214,"44256B2BrancaRuralServiço público de irrigação ruralNão se aplicaNão se aplicaIntermediário",Mercado_Receita!$L$2:$L$1214)</f>
        <v>0</v>
      </c>
      <c r="K46" s="12">
        <f>SUMIF(Mercado_Receita!$S$2:$S$1214,"44287B2BrancaRuralServiço público de irrigação ruralNão se aplicaNão se aplicaIntermediário",Mercado_Receita!$L$2:$L$1214)</f>
        <v>0</v>
      </c>
      <c r="L46" s="12">
        <f>SUMIF(Mercado_Receita!$S$2:$S$1214,"44317B2BrancaRuralServiço público de irrigação ruralNão se aplicaNão se aplicaIntermediário",Mercado_Receita!$L$2:$L$1214)</f>
        <v>0</v>
      </c>
      <c r="M46" s="12">
        <f>SUMIF(Mercado_Receita!$S$2:$S$1214,"44348B2BrancaRuralServiço público de irrigação ruralNão se aplicaNão se aplicaIntermediário",Mercado_Receita!$L$2:$L$1214)</f>
        <v>0</v>
      </c>
      <c r="N46" s="12">
        <f>SUMIF(Mercado_Receita!$S$2:$S$1214,"44378B2BrancaRuralServiço público de irrigação ruralNão se aplicaNão se aplicaIntermediário",Mercado_Receita!$L$2:$L$1214)</f>
        <v>0</v>
      </c>
      <c r="O46" s="12">
        <f>SUMIF(Mercado_Receita!$S$2:$S$1214,"44409B2BrancaRuralServiço público de irrigação ruralNão se aplicaNão se aplicaIntermediário",Mercado_Receita!$L$2:$L$1214)</f>
        <v>0</v>
      </c>
      <c r="P46" s="12">
        <f>SUMIF(Mercado_Receita!$S$2:$S$1214,"44440B2BrancaRuralServiço público de irrigação ruralNão se aplicaNão se aplicaIntermediário",Mercado_Receita!$L$2:$L$1214)</f>
        <v>0</v>
      </c>
      <c r="Q46" s="12">
        <f>SUMIF(Mercado_Receita!$S$2:$S$1214,"44470B2BrancaRuralServiço público de irrigação ruralNão se aplicaNão se aplicaIntermediário",Mercado_Receita!$L$2:$L$1214)</f>
        <v>0</v>
      </c>
      <c r="R46" s="12">
        <f>SUMIF(Mercado_Receita!$S$2:$S$1214,"44501B2BrancaRuralServiço público de irrigação ruralNão se aplicaNão se aplicaIntermediário",Mercado_Receita!$L$2:$L$1214)</f>
        <v>0</v>
      </c>
      <c r="S46" s="12">
        <f>SUMIF(Mercado_Receita!$S$2:$S$1214,"44531B2BrancaRuralServiço público de irrigação ruralNão se aplicaNão se aplicaIntermediário",Mercado_Receita!$L$2:$L$1214)</f>
        <v>0</v>
      </c>
      <c r="T46" s="12">
        <f>SUMIF(Mercado_Receita!$S$2:$S$1214,"44562B2BrancaRuralServiço público de irrigação ruralNão se aplicaNão se aplicaIntermediário",Mercado_Receita!$L$2:$L$1214)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92"/>
      <c r="B47" s="92"/>
      <c r="C47" s="92"/>
      <c r="D47" s="92"/>
      <c r="E47" s="92"/>
      <c r="F47" s="92"/>
      <c r="G47" s="12" t="s">
        <v>80</v>
      </c>
      <c r="H47" s="12" t="s">
        <v>78</v>
      </c>
      <c r="I47" s="12">
        <f>SUMIF(Mercado_Receita!$S$2:$S$1214,"44228B2BrancaRuralServiço público de irrigação ruralNão se aplicaNão se aplicaFora ponta",Mercado_Receita!$L$2:$L$1214)</f>
        <v>0</v>
      </c>
      <c r="J47" s="12">
        <f>SUMIF(Mercado_Receita!$S$2:$S$1214,"44256B2BrancaRuralServiço público de irrigação ruralNão se aplicaNão se aplicaFora ponta",Mercado_Receita!$L$2:$L$1214)</f>
        <v>0</v>
      </c>
      <c r="K47" s="12">
        <f>SUMIF(Mercado_Receita!$S$2:$S$1214,"44287B2BrancaRuralServiço público de irrigação ruralNão se aplicaNão se aplicaFora ponta",Mercado_Receita!$L$2:$L$1214)</f>
        <v>0</v>
      </c>
      <c r="L47" s="12">
        <f>SUMIF(Mercado_Receita!$S$2:$S$1214,"44317B2BrancaRuralServiço público de irrigação ruralNão se aplicaNão se aplicaFora ponta",Mercado_Receita!$L$2:$L$1214)</f>
        <v>0</v>
      </c>
      <c r="M47" s="12">
        <f>SUMIF(Mercado_Receita!$S$2:$S$1214,"44348B2BrancaRuralServiço público de irrigação ruralNão se aplicaNão se aplicaFora ponta",Mercado_Receita!$L$2:$L$1214)</f>
        <v>0</v>
      </c>
      <c r="N47" s="12">
        <f>SUMIF(Mercado_Receita!$S$2:$S$1214,"44378B2BrancaRuralServiço público de irrigação ruralNão se aplicaNão se aplicaFora ponta",Mercado_Receita!$L$2:$L$1214)</f>
        <v>0</v>
      </c>
      <c r="O47" s="12">
        <f>SUMIF(Mercado_Receita!$S$2:$S$1214,"44409B2BrancaRuralServiço público de irrigação ruralNão se aplicaNão se aplicaFora ponta",Mercado_Receita!$L$2:$L$1214)</f>
        <v>0</v>
      </c>
      <c r="P47" s="12">
        <f>SUMIF(Mercado_Receita!$S$2:$S$1214,"44440B2BrancaRuralServiço público de irrigação ruralNão se aplicaNão se aplicaFora ponta",Mercado_Receita!$L$2:$L$1214)</f>
        <v>0</v>
      </c>
      <c r="Q47" s="12">
        <f>SUMIF(Mercado_Receita!$S$2:$S$1214,"44470B2BrancaRuralServiço público de irrigação ruralNão se aplicaNão se aplicaFora ponta",Mercado_Receita!$L$2:$L$1214)</f>
        <v>0</v>
      </c>
      <c r="R47" s="12">
        <f>SUMIF(Mercado_Receita!$S$2:$S$1214,"44501B2BrancaRuralServiço público de irrigação ruralNão se aplicaNão se aplicaFora ponta",Mercado_Receita!$L$2:$L$1214)</f>
        <v>0</v>
      </c>
      <c r="S47" s="12">
        <f>SUMIF(Mercado_Receita!$S$2:$S$1214,"44531B2BrancaRuralServiço público de irrigação ruralNão se aplicaNão se aplicaFora ponta",Mercado_Receita!$L$2:$L$1214)</f>
        <v>0</v>
      </c>
      <c r="T47" s="12">
        <f>SUMIF(Mercado_Receita!$S$2:$S$1214,"44562B2BrancaRuralServiço público de irrigação ruralNão se aplicaNão se aplicaFora ponta",Mercado_Receita!$L$2:$L$1214)</f>
        <v>0</v>
      </c>
      <c r="U47" s="12">
        <f t="shared" si="1"/>
        <v>0</v>
      </c>
      <c r="V47" s="12"/>
      <c r="W47" s="12"/>
    </row>
    <row r="48" spans="1:23" ht="11.25" customHeight="1" x14ac:dyDescent="0.25">
      <c r="A48" s="92"/>
      <c r="B48" s="13" t="s">
        <v>23</v>
      </c>
      <c r="C48" s="13" t="s">
        <v>44</v>
      </c>
      <c r="D48" s="13" t="s">
        <v>95</v>
      </c>
      <c r="E48" s="13" t="s">
        <v>25</v>
      </c>
      <c r="F48" s="13" t="s">
        <v>25</v>
      </c>
      <c r="G48" s="12" t="s">
        <v>84</v>
      </c>
      <c r="H48" s="12" t="s">
        <v>78</v>
      </c>
      <c r="I48" s="12">
        <f>SUMIF(Mercado_Receita!$S$2:$S$1214,"44228B2ConvencionalRuralServiço público de irrigação ruralNão se aplicaNão se aplicaPonta",Mercado_Receita!$L$2:$L$1214)+SUMIF(Mercado_Receita!$S$2:$S$1214,"44228B2ConvencionalRuralServiço público de irrigação ruralNão se aplicaNão se aplicaFora ponta",Mercado_Receita!$L$2:$L$1214)+SUMIF(Mercado_Receita!$S$2:$S$1214,"44228B2ConvencionalRuralServiço público de irrigação ruralNão se aplicaNão se aplicaIntermediário",Mercado_Receita!$L$2:$L$1214)+SUMIF(Mercado_Receita!$S$2:$S$1214,"44228B2ConvencionalRuralServiço público de irrigação ruralNão se aplicaNão se aplicaNão se aplica",Mercado_Receita!$L$2:$L$1214)</f>
        <v>0</v>
      </c>
      <c r="J48" s="12">
        <f>SUMIF(Mercado_Receita!$S$2:$S$1214,"44256B2ConvencionalRuralServiço público de irrigação ruralNão se aplicaNão se aplicaPonta",Mercado_Receita!$L$2:$L$1214)+SUMIF(Mercado_Receita!$S$2:$S$1214,"44256B2ConvencionalRuralServiço público de irrigação ruralNão se aplicaNão se aplicaFora ponta",Mercado_Receita!$L$2:$L$1214)+SUMIF(Mercado_Receita!$S$2:$S$1214,"44256B2ConvencionalRuralServiço público de irrigação ruralNão se aplicaNão se aplicaIntermediário",Mercado_Receita!$L$2:$L$1214)+SUMIF(Mercado_Receita!$S$2:$S$1214,"44256B2ConvencionalRuralServiço público de irrigação ruralNão se aplicaNão se aplicaNão se aplica",Mercado_Receita!$L$2:$L$1214)</f>
        <v>0</v>
      </c>
      <c r="K48" s="12">
        <f>SUMIF(Mercado_Receita!$S$2:$S$1214,"44287B2ConvencionalRuralServiço público de irrigação ruralNão se aplicaNão se aplicaPonta",Mercado_Receita!$L$2:$L$1214)+SUMIF(Mercado_Receita!$S$2:$S$1214,"44287B2ConvencionalRuralServiço público de irrigação ruralNão se aplicaNão se aplicaFora ponta",Mercado_Receita!$L$2:$L$1214)+SUMIF(Mercado_Receita!$S$2:$S$1214,"44287B2ConvencionalRuralServiço público de irrigação ruralNão se aplicaNão se aplicaIntermediário",Mercado_Receita!$L$2:$L$1214)+SUMIF(Mercado_Receita!$S$2:$S$1214,"44287B2ConvencionalRuralServiço público de irrigação ruralNão se aplicaNão se aplicaNão se aplica",Mercado_Receita!$L$2:$L$1214)</f>
        <v>0</v>
      </c>
      <c r="L48" s="12">
        <f>SUMIF(Mercado_Receita!$S$2:$S$1214,"44317B2ConvencionalRuralServiço público de irrigação ruralNão se aplicaNão se aplicaPonta",Mercado_Receita!$L$2:$L$1214)+SUMIF(Mercado_Receita!$S$2:$S$1214,"44317B2ConvencionalRuralServiço público de irrigação ruralNão se aplicaNão se aplicaFora ponta",Mercado_Receita!$L$2:$L$1214)+SUMIF(Mercado_Receita!$S$2:$S$1214,"44317B2ConvencionalRuralServiço público de irrigação ruralNão se aplicaNão se aplicaIntermediário",Mercado_Receita!$L$2:$L$1214)+SUMIF(Mercado_Receita!$S$2:$S$1214,"44317B2ConvencionalRuralServiço público de irrigação ruralNão se aplicaNão se aplicaNão se aplica",Mercado_Receita!$L$2:$L$1214)</f>
        <v>0</v>
      </c>
      <c r="M48" s="12">
        <f>SUMIF(Mercado_Receita!$S$2:$S$1214,"44348B2ConvencionalRuralServiço público de irrigação ruralNão se aplicaNão se aplicaPonta",Mercado_Receita!$L$2:$L$1214)+SUMIF(Mercado_Receita!$S$2:$S$1214,"44348B2ConvencionalRuralServiço público de irrigação ruralNão se aplicaNão se aplicaFora ponta",Mercado_Receita!$L$2:$L$1214)+SUMIF(Mercado_Receita!$S$2:$S$1214,"44348B2ConvencionalRuralServiço público de irrigação ruralNão se aplicaNão se aplicaIntermediário",Mercado_Receita!$L$2:$L$1214)+SUMIF(Mercado_Receita!$S$2:$S$1214,"44348B2ConvencionalRuralServiço público de irrigação ruralNão se aplicaNão se aplicaNão se aplica",Mercado_Receita!$L$2:$L$1214)</f>
        <v>0</v>
      </c>
      <c r="N48" s="12">
        <f>SUMIF(Mercado_Receita!$S$2:$S$1214,"44378B2ConvencionalRuralServiço público de irrigação ruralNão se aplicaNão se aplicaPonta",Mercado_Receita!$L$2:$L$1214)+SUMIF(Mercado_Receita!$S$2:$S$1214,"44378B2ConvencionalRuralServiço público de irrigação ruralNão se aplicaNão se aplicaFora ponta",Mercado_Receita!$L$2:$L$1214)+SUMIF(Mercado_Receita!$S$2:$S$1214,"44378B2ConvencionalRuralServiço público de irrigação ruralNão se aplicaNão se aplicaIntermediário",Mercado_Receita!$L$2:$L$1214)+SUMIF(Mercado_Receita!$S$2:$S$1214,"44378B2ConvencionalRuralServiço público de irrigação ruralNão se aplicaNão se aplicaNão se aplica",Mercado_Receita!$L$2:$L$1214)</f>
        <v>0</v>
      </c>
      <c r="O48" s="12">
        <f>SUMIF(Mercado_Receita!$S$2:$S$1214,"44409B2ConvencionalRuralServiço público de irrigação ruralNão se aplicaNão se aplicaPonta",Mercado_Receita!$L$2:$L$1214)+SUMIF(Mercado_Receita!$S$2:$S$1214,"44409B2ConvencionalRuralServiço público de irrigação ruralNão se aplicaNão se aplicaFora ponta",Mercado_Receita!$L$2:$L$1214)+SUMIF(Mercado_Receita!$S$2:$S$1214,"44409B2ConvencionalRuralServiço público de irrigação ruralNão se aplicaNão se aplicaIntermediário",Mercado_Receita!$L$2:$L$1214)+SUMIF(Mercado_Receita!$S$2:$S$1214,"44409B2ConvencionalRuralServiço público de irrigação ruralNão se aplicaNão se aplicaNão se aplica",Mercado_Receita!$L$2:$L$1214)</f>
        <v>0</v>
      </c>
      <c r="P48" s="12">
        <f>SUMIF(Mercado_Receita!$S$2:$S$1214,"44440B2ConvencionalRuralServiço público de irrigação ruralNão se aplicaNão se aplicaPonta",Mercado_Receita!$L$2:$L$1214)+SUMIF(Mercado_Receita!$S$2:$S$1214,"44440B2ConvencionalRuralServiço público de irrigação ruralNão se aplicaNão se aplicaFora ponta",Mercado_Receita!$L$2:$L$1214)+SUMIF(Mercado_Receita!$S$2:$S$1214,"44440B2ConvencionalRuralServiço público de irrigação ruralNão se aplicaNão se aplicaIntermediário",Mercado_Receita!$L$2:$L$1214)+SUMIF(Mercado_Receita!$S$2:$S$1214,"44440B2ConvencionalRuralServiço público de irrigação ruralNão se aplicaNão se aplicaNão se aplica",Mercado_Receita!$L$2:$L$1214)</f>
        <v>0</v>
      </c>
      <c r="Q48" s="12">
        <f>SUMIF(Mercado_Receita!$S$2:$S$1214,"44470B2ConvencionalRuralServiço público de irrigação ruralNão se aplicaNão se aplicaPonta",Mercado_Receita!$L$2:$L$1214)+SUMIF(Mercado_Receita!$S$2:$S$1214,"44470B2ConvencionalRuralServiço público de irrigação ruralNão se aplicaNão se aplicaFora ponta",Mercado_Receita!$L$2:$L$1214)+SUMIF(Mercado_Receita!$S$2:$S$1214,"44470B2ConvencionalRuralServiço público de irrigação ruralNão se aplicaNão se aplicaIntermediário",Mercado_Receita!$L$2:$L$1214)+SUMIF(Mercado_Receita!$S$2:$S$1214,"44470B2ConvencionalRuralServiço público de irrigação ruralNão se aplicaNão se aplicaNão se aplica",Mercado_Receita!$L$2:$L$1214)</f>
        <v>0</v>
      </c>
      <c r="R48" s="12">
        <f>SUMIF(Mercado_Receita!$S$2:$S$1214,"44501B2ConvencionalRuralServiço público de irrigação ruralNão se aplicaNão se aplicaPonta",Mercado_Receita!$L$2:$L$1214)+SUMIF(Mercado_Receita!$S$2:$S$1214,"44501B2ConvencionalRuralServiço público de irrigação ruralNão se aplicaNão se aplicaFora ponta",Mercado_Receita!$L$2:$L$1214)+SUMIF(Mercado_Receita!$S$2:$S$1214,"44501B2ConvencionalRuralServiço público de irrigação ruralNão se aplicaNão se aplicaIntermediário",Mercado_Receita!$L$2:$L$1214)+SUMIF(Mercado_Receita!$S$2:$S$1214,"44501B2ConvencionalRuralServiço público de irrigação ruralNão se aplicaNão se aplicaNão se aplica",Mercado_Receita!$L$2:$L$1214)</f>
        <v>0</v>
      </c>
      <c r="S48" s="12">
        <f>SUMIF(Mercado_Receita!$S$2:$S$1214,"44531B2ConvencionalRuralServiço público de irrigação ruralNão se aplicaNão se aplicaPonta",Mercado_Receita!$L$2:$L$1214)+SUMIF(Mercado_Receita!$S$2:$S$1214,"44531B2ConvencionalRuralServiço público de irrigação ruralNão se aplicaNão se aplicaFora ponta",Mercado_Receita!$L$2:$L$1214)+SUMIF(Mercado_Receita!$S$2:$S$1214,"44531B2ConvencionalRuralServiço público de irrigação ruralNão se aplicaNão se aplicaIntermediário",Mercado_Receita!$L$2:$L$1214)+SUMIF(Mercado_Receita!$S$2:$S$1214,"44531B2ConvencionalRuralServiço público de irrigação ruralNão se aplicaNão se aplicaNão se aplica",Mercado_Receita!$L$2:$L$1214)</f>
        <v>0</v>
      </c>
      <c r="T48" s="12">
        <f>SUMIF(Mercado_Receita!$S$2:$S$1214,"44562B2ConvencionalRuralServiço público de irrigação ruralNão se aplicaNão se aplicaPonta",Mercado_Receita!$L$2:$L$1214)+SUMIF(Mercado_Receita!$S$2:$S$1214,"44562B2ConvencionalRuralServiço público de irrigação ruralNão se aplicaNão se aplicaFora ponta",Mercado_Receita!$L$2:$L$1214)+SUMIF(Mercado_Receita!$S$2:$S$1214,"44562B2ConvencionalRuralServiço público de irrigação ruralNão se aplicaNão se aplicaIntermediário",Mercado_Receita!$L$2:$L$1214)+SUMIF(Mercado_Receita!$S$2:$S$1214,"44562B2ConvencionalRuralServiço público de irrigação ruralNão se aplicaNão se aplicaNão se aplica",Mercado_Receita!$L$2:$L$1214)</f>
        <v>0</v>
      </c>
      <c r="U48" s="12">
        <f t="shared" si="1"/>
        <v>0</v>
      </c>
      <c r="V48" s="12"/>
      <c r="W48" s="12"/>
    </row>
    <row r="49" spans="1:23" ht="11.25" customHeight="1" x14ac:dyDescent="0.25">
      <c r="A49" s="92"/>
      <c r="B49" s="91" t="s">
        <v>93</v>
      </c>
      <c r="C49" s="91" t="s">
        <v>44</v>
      </c>
      <c r="D49" s="13" t="s">
        <v>25</v>
      </c>
      <c r="E49" s="13" t="s">
        <v>25</v>
      </c>
      <c r="F49" s="13" t="s">
        <v>25</v>
      </c>
      <c r="G49" s="12" t="s">
        <v>84</v>
      </c>
      <c r="H49" s="12" t="s">
        <v>78</v>
      </c>
      <c r="I49" s="12">
        <f>SUMIF(Mercado_Receita!$S$2:$S$1214,"44228B2Convencional pré-pagamentoRuralNão se aplicaNão se aplicaNão se aplicaPonta",Mercado_Receita!$L$2:$L$1214)+SUMIF(Mercado_Receita!$S$2:$S$1214,"44228B2Convencional pré-pagamentoRuralNão se aplicaNão se aplicaNão se aplicaFora ponta",Mercado_Receita!$L$2:$L$1214)+SUMIF(Mercado_Receita!$S$2:$S$1214,"44228B2Convencional pré-pagamentoRuralNão se aplicaNão se aplicaNão se aplicaIntermediário",Mercado_Receita!$L$2:$L$1214)+SUMIF(Mercado_Receita!$S$2:$S$1214,"44228B2Convencional pré-pagamentoRuralNão se aplicaNão se aplicaNão se aplicaNão se aplica",Mercado_Receita!$L$2:$L$1214)</f>
        <v>0</v>
      </c>
      <c r="J49" s="12">
        <f>SUMIF(Mercado_Receita!$S$2:$S$1214,"44256B2Convencional pré-pagamentoRuralNão se aplicaNão se aplicaNão se aplicaPonta",Mercado_Receita!$L$2:$L$1214)+SUMIF(Mercado_Receita!$S$2:$S$1214,"44256B2Convencional pré-pagamentoRuralNão se aplicaNão se aplicaNão se aplicaFora ponta",Mercado_Receita!$L$2:$L$1214)+SUMIF(Mercado_Receita!$S$2:$S$1214,"44256B2Convencional pré-pagamentoRuralNão se aplicaNão se aplicaNão se aplicaIntermediário",Mercado_Receita!$L$2:$L$1214)+SUMIF(Mercado_Receita!$S$2:$S$1214,"44256B2Convencional pré-pagamentoRuralNão se aplicaNão se aplicaNão se aplicaNão se aplica",Mercado_Receita!$L$2:$L$1214)</f>
        <v>0</v>
      </c>
      <c r="K49" s="12">
        <f>SUMIF(Mercado_Receita!$S$2:$S$1214,"44287B2Convencional pré-pagamentoRuralNão se aplicaNão se aplicaNão se aplicaPonta",Mercado_Receita!$L$2:$L$1214)+SUMIF(Mercado_Receita!$S$2:$S$1214,"44287B2Convencional pré-pagamentoRuralNão se aplicaNão se aplicaNão se aplicaFora ponta",Mercado_Receita!$L$2:$L$1214)+SUMIF(Mercado_Receita!$S$2:$S$1214,"44287B2Convencional pré-pagamentoRuralNão se aplicaNão se aplicaNão se aplicaIntermediário",Mercado_Receita!$L$2:$L$1214)+SUMIF(Mercado_Receita!$S$2:$S$1214,"44287B2Convencional pré-pagamentoRuralNão se aplicaNão se aplicaNão se aplicaNão se aplica",Mercado_Receita!$L$2:$L$1214)</f>
        <v>0</v>
      </c>
      <c r="L49" s="12">
        <f>SUMIF(Mercado_Receita!$S$2:$S$1214,"44317B2Convencional pré-pagamentoRuralNão se aplicaNão se aplicaNão se aplicaPonta",Mercado_Receita!$L$2:$L$1214)+SUMIF(Mercado_Receita!$S$2:$S$1214,"44317B2Convencional pré-pagamentoRuralNão se aplicaNão se aplicaNão se aplicaFora ponta",Mercado_Receita!$L$2:$L$1214)+SUMIF(Mercado_Receita!$S$2:$S$1214,"44317B2Convencional pré-pagamentoRuralNão se aplicaNão se aplicaNão se aplicaIntermediário",Mercado_Receita!$L$2:$L$1214)+SUMIF(Mercado_Receita!$S$2:$S$1214,"44317B2Convencional pré-pagamentoRuralNão se aplicaNão se aplicaNão se aplicaNão se aplica",Mercado_Receita!$L$2:$L$1214)</f>
        <v>0</v>
      </c>
      <c r="M49" s="12">
        <f>SUMIF(Mercado_Receita!$S$2:$S$1214,"44348B2Convencional pré-pagamentoRuralNão se aplicaNão se aplicaNão se aplicaPonta",Mercado_Receita!$L$2:$L$1214)+SUMIF(Mercado_Receita!$S$2:$S$1214,"44348B2Convencional pré-pagamentoRuralNão se aplicaNão se aplicaNão se aplicaFora ponta",Mercado_Receita!$L$2:$L$1214)+SUMIF(Mercado_Receita!$S$2:$S$1214,"44348B2Convencional pré-pagamentoRuralNão se aplicaNão se aplicaNão se aplicaIntermediário",Mercado_Receita!$L$2:$L$1214)+SUMIF(Mercado_Receita!$S$2:$S$1214,"44348B2Convencional pré-pagamentoRuralNão se aplicaNão se aplicaNão se aplicaNão se aplica",Mercado_Receita!$L$2:$L$1214)</f>
        <v>0</v>
      </c>
      <c r="N49" s="12">
        <f>SUMIF(Mercado_Receita!$S$2:$S$1214,"44378B2Convencional pré-pagamentoRuralNão se aplicaNão se aplicaNão se aplicaPonta",Mercado_Receita!$L$2:$L$1214)+SUMIF(Mercado_Receita!$S$2:$S$1214,"44378B2Convencional pré-pagamentoRuralNão se aplicaNão se aplicaNão se aplicaFora ponta",Mercado_Receita!$L$2:$L$1214)+SUMIF(Mercado_Receita!$S$2:$S$1214,"44378B2Convencional pré-pagamentoRuralNão se aplicaNão se aplicaNão se aplicaIntermediário",Mercado_Receita!$L$2:$L$1214)+SUMIF(Mercado_Receita!$S$2:$S$1214,"44378B2Convencional pré-pagamentoRuralNão se aplicaNão se aplicaNão se aplicaNão se aplica",Mercado_Receita!$L$2:$L$1214)</f>
        <v>0</v>
      </c>
      <c r="O49" s="12">
        <f>SUMIF(Mercado_Receita!$S$2:$S$1214,"44409B2Convencional pré-pagamentoRuralNão se aplicaNão se aplicaNão se aplicaPonta",Mercado_Receita!$L$2:$L$1214)+SUMIF(Mercado_Receita!$S$2:$S$1214,"44409B2Convencional pré-pagamentoRuralNão se aplicaNão se aplicaNão se aplicaFora ponta",Mercado_Receita!$L$2:$L$1214)+SUMIF(Mercado_Receita!$S$2:$S$1214,"44409B2Convencional pré-pagamentoRuralNão se aplicaNão se aplicaNão se aplicaIntermediário",Mercado_Receita!$L$2:$L$1214)+SUMIF(Mercado_Receita!$S$2:$S$1214,"44409B2Convencional pré-pagamentoRuralNão se aplicaNão se aplicaNão se aplicaNão se aplica",Mercado_Receita!$L$2:$L$1214)</f>
        <v>0</v>
      </c>
      <c r="P49" s="12">
        <f>SUMIF(Mercado_Receita!$S$2:$S$1214,"44440B2Convencional pré-pagamentoRuralNão se aplicaNão se aplicaNão se aplicaPonta",Mercado_Receita!$L$2:$L$1214)+SUMIF(Mercado_Receita!$S$2:$S$1214,"44440B2Convencional pré-pagamentoRuralNão se aplicaNão se aplicaNão se aplicaFora ponta",Mercado_Receita!$L$2:$L$1214)+SUMIF(Mercado_Receita!$S$2:$S$1214,"44440B2Convencional pré-pagamentoRuralNão se aplicaNão se aplicaNão se aplicaIntermediário",Mercado_Receita!$L$2:$L$1214)+SUMIF(Mercado_Receita!$S$2:$S$1214,"44440B2Convencional pré-pagamentoRuralNão se aplicaNão se aplicaNão se aplicaNão se aplica",Mercado_Receita!$L$2:$L$1214)</f>
        <v>0</v>
      </c>
      <c r="Q49" s="12">
        <f>SUMIF(Mercado_Receita!$S$2:$S$1214,"44470B2Convencional pré-pagamentoRuralNão se aplicaNão se aplicaNão se aplicaPonta",Mercado_Receita!$L$2:$L$1214)+SUMIF(Mercado_Receita!$S$2:$S$1214,"44470B2Convencional pré-pagamentoRuralNão se aplicaNão se aplicaNão se aplicaFora ponta",Mercado_Receita!$L$2:$L$1214)+SUMIF(Mercado_Receita!$S$2:$S$1214,"44470B2Convencional pré-pagamentoRuralNão se aplicaNão se aplicaNão se aplicaIntermediário",Mercado_Receita!$L$2:$L$1214)+SUMIF(Mercado_Receita!$S$2:$S$1214,"44470B2Convencional pré-pagamentoRuralNão se aplicaNão se aplicaNão se aplicaNão se aplica",Mercado_Receita!$L$2:$L$1214)</f>
        <v>0</v>
      </c>
      <c r="R49" s="12">
        <f>SUMIF(Mercado_Receita!$S$2:$S$1214,"44501B2Convencional pré-pagamentoRuralNão se aplicaNão se aplicaNão se aplicaPonta",Mercado_Receita!$L$2:$L$1214)+SUMIF(Mercado_Receita!$S$2:$S$1214,"44501B2Convencional pré-pagamentoRuralNão se aplicaNão se aplicaNão se aplicaFora ponta",Mercado_Receita!$L$2:$L$1214)+SUMIF(Mercado_Receita!$S$2:$S$1214,"44501B2Convencional pré-pagamentoRuralNão se aplicaNão se aplicaNão se aplicaIntermediário",Mercado_Receita!$L$2:$L$1214)+SUMIF(Mercado_Receita!$S$2:$S$1214,"44501B2Convencional pré-pagamentoRuralNão se aplicaNão se aplicaNão se aplicaNão se aplica",Mercado_Receita!$L$2:$L$1214)</f>
        <v>0</v>
      </c>
      <c r="S49" s="12">
        <f>SUMIF(Mercado_Receita!$S$2:$S$1214,"44531B2Convencional pré-pagamentoRuralNão se aplicaNão se aplicaNão se aplicaPonta",Mercado_Receita!$L$2:$L$1214)+SUMIF(Mercado_Receita!$S$2:$S$1214,"44531B2Convencional pré-pagamentoRuralNão se aplicaNão se aplicaNão se aplicaFora ponta",Mercado_Receita!$L$2:$L$1214)+SUMIF(Mercado_Receita!$S$2:$S$1214,"44531B2Convencional pré-pagamentoRuralNão se aplicaNão se aplicaNão se aplicaIntermediário",Mercado_Receita!$L$2:$L$1214)+SUMIF(Mercado_Receita!$S$2:$S$1214,"44531B2Convencional pré-pagamentoRuralNão se aplicaNão se aplicaNão se aplicaNão se aplica",Mercado_Receita!$L$2:$L$1214)</f>
        <v>0</v>
      </c>
      <c r="T49" s="12">
        <f>SUMIF(Mercado_Receita!$S$2:$S$1214,"44562B2Convencional pré-pagamentoRuralNão se aplicaNão se aplicaNão se aplicaPonta",Mercado_Receita!$L$2:$L$1214)+SUMIF(Mercado_Receita!$S$2:$S$1214,"44562B2Convencional pré-pagamentoRuralNão se aplicaNão se aplicaNão se aplicaFora ponta",Mercado_Receita!$L$2:$L$1214)+SUMIF(Mercado_Receita!$S$2:$S$1214,"44562B2Convencional pré-pagamentoRuralNão se aplicaNão se aplicaNão se aplicaIntermediário",Mercado_Receita!$L$2:$L$1214)+SUMIF(Mercado_Receita!$S$2:$S$1214,"44562B2Convencional pré-pagamentoRuralNão se aplicaNão se aplicaNão se aplicaNão se aplica",Mercado_Receita!$L$2:$L$1214)</f>
        <v>0</v>
      </c>
      <c r="U49" s="12">
        <f t="shared" si="1"/>
        <v>0</v>
      </c>
      <c r="V49" s="12"/>
      <c r="W49" s="12"/>
    </row>
    <row r="50" spans="1:23" ht="11.25" customHeight="1" x14ac:dyDescent="0.25">
      <c r="A50" s="92"/>
      <c r="B50" s="92"/>
      <c r="C50" s="92"/>
      <c r="D50" s="13" t="s">
        <v>94</v>
      </c>
      <c r="E50" s="13" t="s">
        <v>25</v>
      </c>
      <c r="F50" s="13" t="s">
        <v>25</v>
      </c>
      <c r="G50" s="12" t="s">
        <v>84</v>
      </c>
      <c r="H50" s="12" t="s">
        <v>78</v>
      </c>
      <c r="I50" s="12">
        <f>SUMIF(Mercado_Receita!$S$2:$S$1214,"44228B2Convencional pré-pagamentoRuralCooperativa de eletrificação ruralNão se aplicaNão se aplicaPonta",Mercado_Receita!$L$2:$L$1214)+SUMIF(Mercado_Receita!$S$2:$S$1214,"44228B2Convencional pré-pagamentoRuralCooperativa de eletrificação ruralNão se aplicaNão se aplicaFora ponta",Mercado_Receita!$L$2:$L$1214)+SUMIF(Mercado_Receita!$S$2:$S$1214,"44228B2Convencional pré-pagamentoRuralCooperativa de eletrificação ruralNão se aplicaNão se aplicaIntermediário",Mercado_Receita!$L$2:$L$1214)+SUMIF(Mercado_Receita!$S$2:$S$1214,"44228B2Convencional pré-pagamentoRuralCooperativa de eletrificação ruralNão se aplicaNão se aplicaNão se aplica",Mercado_Receita!$L$2:$L$1214)</f>
        <v>0</v>
      </c>
      <c r="J50" s="12">
        <f>SUMIF(Mercado_Receita!$S$2:$S$1214,"44256B2Convencional pré-pagamentoRuralCooperativa de eletrificação ruralNão se aplicaNão se aplicaPonta",Mercado_Receita!$L$2:$L$1214)+SUMIF(Mercado_Receita!$S$2:$S$1214,"44256B2Convencional pré-pagamentoRuralCooperativa de eletrificação ruralNão se aplicaNão se aplicaFora ponta",Mercado_Receita!$L$2:$L$1214)+SUMIF(Mercado_Receita!$S$2:$S$1214,"44256B2Convencional pré-pagamentoRuralCooperativa de eletrificação ruralNão se aplicaNão se aplicaIntermediário",Mercado_Receita!$L$2:$L$1214)+SUMIF(Mercado_Receita!$S$2:$S$1214,"44256B2Convencional pré-pagamentoRuralCooperativa de eletrificação ruralNão se aplicaNão se aplicaNão se aplica",Mercado_Receita!$L$2:$L$1214)</f>
        <v>0</v>
      </c>
      <c r="K50" s="12">
        <f>SUMIF(Mercado_Receita!$S$2:$S$1214,"44287B2Convencional pré-pagamentoRuralCooperativa de eletrificação ruralNão se aplicaNão se aplicaPonta",Mercado_Receita!$L$2:$L$1214)+SUMIF(Mercado_Receita!$S$2:$S$1214,"44287B2Convencional pré-pagamentoRuralCooperativa de eletrificação ruralNão se aplicaNão se aplicaFora ponta",Mercado_Receita!$L$2:$L$1214)+SUMIF(Mercado_Receita!$S$2:$S$1214,"44287B2Convencional pré-pagamentoRuralCooperativa de eletrificação ruralNão se aplicaNão se aplicaIntermediário",Mercado_Receita!$L$2:$L$1214)+SUMIF(Mercado_Receita!$S$2:$S$1214,"44287B2Convencional pré-pagamentoRuralCooperativa de eletrificação ruralNão se aplicaNão se aplicaNão se aplica",Mercado_Receita!$L$2:$L$1214)</f>
        <v>0</v>
      </c>
      <c r="L50" s="12">
        <f>SUMIF(Mercado_Receita!$S$2:$S$1214,"44317B2Convencional pré-pagamentoRuralCooperativa de eletrificação ruralNão se aplicaNão se aplicaPonta",Mercado_Receita!$L$2:$L$1214)+SUMIF(Mercado_Receita!$S$2:$S$1214,"44317B2Convencional pré-pagamentoRuralCooperativa de eletrificação ruralNão se aplicaNão se aplicaFora ponta",Mercado_Receita!$L$2:$L$1214)+SUMIF(Mercado_Receita!$S$2:$S$1214,"44317B2Convencional pré-pagamentoRuralCooperativa de eletrificação ruralNão se aplicaNão se aplicaIntermediário",Mercado_Receita!$L$2:$L$1214)+SUMIF(Mercado_Receita!$S$2:$S$1214,"44317B2Convencional pré-pagamentoRuralCooperativa de eletrificação ruralNão se aplicaNão se aplicaNão se aplica",Mercado_Receita!$L$2:$L$1214)</f>
        <v>0</v>
      </c>
      <c r="M50" s="12">
        <f>SUMIF(Mercado_Receita!$S$2:$S$1214,"44348B2Convencional pré-pagamentoRuralCooperativa de eletrificação ruralNão se aplicaNão se aplicaPonta",Mercado_Receita!$L$2:$L$1214)+SUMIF(Mercado_Receita!$S$2:$S$1214,"44348B2Convencional pré-pagamentoRuralCooperativa de eletrificação ruralNão se aplicaNão se aplicaFora ponta",Mercado_Receita!$L$2:$L$1214)+SUMIF(Mercado_Receita!$S$2:$S$1214,"44348B2Convencional pré-pagamentoRuralCooperativa de eletrificação ruralNão se aplicaNão se aplicaIntermediário",Mercado_Receita!$L$2:$L$1214)+SUMIF(Mercado_Receita!$S$2:$S$1214,"44348B2Convencional pré-pagamentoRuralCooperativa de eletrificação ruralNão se aplicaNão se aplicaNão se aplica",Mercado_Receita!$L$2:$L$1214)</f>
        <v>0</v>
      </c>
      <c r="N50" s="12">
        <f>SUMIF(Mercado_Receita!$S$2:$S$1214,"44378B2Convencional pré-pagamentoRuralCooperativa de eletrificação ruralNão se aplicaNão se aplicaPonta",Mercado_Receita!$L$2:$L$1214)+SUMIF(Mercado_Receita!$S$2:$S$1214,"44378B2Convencional pré-pagamentoRuralCooperativa de eletrificação ruralNão se aplicaNão se aplicaFora ponta",Mercado_Receita!$L$2:$L$1214)+SUMIF(Mercado_Receita!$S$2:$S$1214,"44378B2Convencional pré-pagamentoRuralCooperativa de eletrificação ruralNão se aplicaNão se aplicaIntermediário",Mercado_Receita!$L$2:$L$1214)+SUMIF(Mercado_Receita!$S$2:$S$1214,"44378B2Convencional pré-pagamentoRuralCooperativa de eletrificação ruralNão se aplicaNão se aplicaNão se aplica",Mercado_Receita!$L$2:$L$1214)</f>
        <v>0</v>
      </c>
      <c r="O50" s="12">
        <f>SUMIF(Mercado_Receita!$S$2:$S$1214,"44409B2Convencional pré-pagamentoRuralCooperativa de eletrificação ruralNão se aplicaNão se aplicaPonta",Mercado_Receita!$L$2:$L$1214)+SUMIF(Mercado_Receita!$S$2:$S$1214,"44409B2Convencional pré-pagamentoRuralCooperativa de eletrificação ruralNão se aplicaNão se aplicaFora ponta",Mercado_Receita!$L$2:$L$1214)+SUMIF(Mercado_Receita!$S$2:$S$1214,"44409B2Convencional pré-pagamentoRuralCooperativa de eletrificação ruralNão se aplicaNão se aplicaIntermediário",Mercado_Receita!$L$2:$L$1214)+SUMIF(Mercado_Receita!$S$2:$S$1214,"44409B2Convencional pré-pagamentoRuralCooperativa de eletrificação ruralNão se aplicaNão se aplicaNão se aplica",Mercado_Receita!$L$2:$L$1214)</f>
        <v>0</v>
      </c>
      <c r="P50" s="12">
        <f>SUMIF(Mercado_Receita!$S$2:$S$1214,"44440B2Convencional pré-pagamentoRuralCooperativa de eletrificação ruralNão se aplicaNão se aplicaPonta",Mercado_Receita!$L$2:$L$1214)+SUMIF(Mercado_Receita!$S$2:$S$1214,"44440B2Convencional pré-pagamentoRuralCooperativa de eletrificação ruralNão se aplicaNão se aplicaFora ponta",Mercado_Receita!$L$2:$L$1214)+SUMIF(Mercado_Receita!$S$2:$S$1214,"44440B2Convencional pré-pagamentoRuralCooperativa de eletrificação ruralNão se aplicaNão se aplicaIntermediário",Mercado_Receita!$L$2:$L$1214)+SUMIF(Mercado_Receita!$S$2:$S$1214,"44440B2Convencional pré-pagamentoRuralCooperativa de eletrificação ruralNão se aplicaNão se aplicaNão se aplica",Mercado_Receita!$L$2:$L$1214)</f>
        <v>0</v>
      </c>
      <c r="Q50" s="12">
        <f>SUMIF(Mercado_Receita!$S$2:$S$1214,"44470B2Convencional pré-pagamentoRuralCooperativa de eletrificação ruralNão se aplicaNão se aplicaPonta",Mercado_Receita!$L$2:$L$1214)+SUMIF(Mercado_Receita!$S$2:$S$1214,"44470B2Convencional pré-pagamentoRuralCooperativa de eletrificação ruralNão se aplicaNão se aplicaFora ponta",Mercado_Receita!$L$2:$L$1214)+SUMIF(Mercado_Receita!$S$2:$S$1214,"44470B2Convencional pré-pagamentoRuralCooperativa de eletrificação ruralNão se aplicaNão se aplicaIntermediário",Mercado_Receita!$L$2:$L$1214)+SUMIF(Mercado_Receita!$S$2:$S$1214,"44470B2Convencional pré-pagamentoRuralCooperativa de eletrificação ruralNão se aplicaNão se aplicaNão se aplica",Mercado_Receita!$L$2:$L$1214)</f>
        <v>0</v>
      </c>
      <c r="R50" s="12">
        <f>SUMIF(Mercado_Receita!$S$2:$S$1214,"44501B2Convencional pré-pagamentoRuralCooperativa de eletrificação ruralNão se aplicaNão se aplicaPonta",Mercado_Receita!$L$2:$L$1214)+SUMIF(Mercado_Receita!$S$2:$S$1214,"44501B2Convencional pré-pagamentoRuralCooperativa de eletrificação ruralNão se aplicaNão se aplicaFora ponta",Mercado_Receita!$L$2:$L$1214)+SUMIF(Mercado_Receita!$S$2:$S$1214,"44501B2Convencional pré-pagamentoRuralCooperativa de eletrificação ruralNão se aplicaNão se aplicaIntermediário",Mercado_Receita!$L$2:$L$1214)+SUMIF(Mercado_Receita!$S$2:$S$1214,"44501B2Convencional pré-pagamentoRuralCooperativa de eletrificação ruralNão se aplicaNão se aplicaNão se aplica",Mercado_Receita!$L$2:$L$1214)</f>
        <v>0</v>
      </c>
      <c r="S50" s="12">
        <f>SUMIF(Mercado_Receita!$S$2:$S$1214,"44531B2Convencional pré-pagamentoRuralCooperativa de eletrificação ruralNão se aplicaNão se aplicaPonta",Mercado_Receita!$L$2:$L$1214)+SUMIF(Mercado_Receita!$S$2:$S$1214,"44531B2Convencional pré-pagamentoRuralCooperativa de eletrificação ruralNão se aplicaNão se aplicaFora ponta",Mercado_Receita!$L$2:$L$1214)+SUMIF(Mercado_Receita!$S$2:$S$1214,"44531B2Convencional pré-pagamentoRuralCooperativa de eletrificação ruralNão se aplicaNão se aplicaIntermediário",Mercado_Receita!$L$2:$L$1214)+SUMIF(Mercado_Receita!$S$2:$S$1214,"44531B2Convencional pré-pagamentoRuralCooperativa de eletrificação ruralNão se aplicaNão se aplicaNão se aplica",Mercado_Receita!$L$2:$L$1214)</f>
        <v>0</v>
      </c>
      <c r="T50" s="12">
        <f>SUMIF(Mercado_Receita!$S$2:$S$1214,"44562B2Convencional pré-pagamentoRuralCooperativa de eletrificação ruralNão se aplicaNão se aplicaPonta",Mercado_Receita!$L$2:$L$1214)+SUMIF(Mercado_Receita!$S$2:$S$1214,"44562B2Convencional pré-pagamentoRuralCooperativa de eletrificação ruralNão se aplicaNão se aplicaFora ponta",Mercado_Receita!$L$2:$L$1214)+SUMIF(Mercado_Receita!$S$2:$S$1214,"44562B2Convencional pré-pagamentoRuralCooperativa de eletrificação ruralNão se aplicaNão se aplicaIntermediário",Mercado_Receita!$L$2:$L$1214)+SUMIF(Mercado_Receita!$S$2:$S$1214,"44562B2Convencional pré-pagamentoRuralCooperativa de eletrificação ruralNão se aplicaNão se aplicaNão se aplica",Mercado_Receita!$L$2:$L$1214)</f>
        <v>0</v>
      </c>
      <c r="U50" s="12">
        <f t="shared" si="1"/>
        <v>0</v>
      </c>
      <c r="V50" s="12"/>
      <c r="W50" s="12"/>
    </row>
    <row r="51" spans="1:23" ht="11.25" customHeight="1" x14ac:dyDescent="0.25">
      <c r="A51" s="92"/>
      <c r="B51" s="92"/>
      <c r="C51" s="92"/>
      <c r="D51" s="13" t="s">
        <v>95</v>
      </c>
      <c r="E51" s="13" t="s">
        <v>25</v>
      </c>
      <c r="F51" s="13" t="s">
        <v>25</v>
      </c>
      <c r="G51" s="12" t="s">
        <v>84</v>
      </c>
      <c r="H51" s="12" t="s">
        <v>78</v>
      </c>
      <c r="I51" s="12">
        <f>SUMIF(Mercado_Receita!$S$2:$S$1214,"44228B2Convencional pré-pagamentoRuralServiço público de irrigação ruralNão se aplicaNão se aplicaPonta",Mercado_Receita!$L$2:$L$1214)+SUMIF(Mercado_Receita!$S$2:$S$1214,"44228B2Convencional pré-pagamentoRuralServiço público de irrigação ruralNão se aplicaNão se aplicaFora ponta",Mercado_Receita!$L$2:$L$1214)+SUMIF(Mercado_Receita!$S$2:$S$1214,"44228B2Convencional pré-pagamentoRuralServiço público de irrigação ruralNão se aplicaNão se aplicaIntermediário",Mercado_Receita!$L$2:$L$1214)+SUMIF(Mercado_Receita!$S$2:$S$1214,"44228B2Convencional pré-pagamentoRuralServiço público de irrigação ruralNão se aplicaNão se aplicaNão se aplica",Mercado_Receita!$L$2:$L$1214)</f>
        <v>0</v>
      </c>
      <c r="J51" s="12">
        <f>SUMIF(Mercado_Receita!$S$2:$S$1214,"44256B2Convencional pré-pagamentoRuralServiço público de irrigação ruralNão se aplicaNão se aplicaPonta",Mercado_Receita!$L$2:$L$1214)+SUMIF(Mercado_Receita!$S$2:$S$1214,"44256B2Convencional pré-pagamentoRuralServiço público de irrigação ruralNão se aplicaNão se aplicaFora ponta",Mercado_Receita!$L$2:$L$1214)+SUMIF(Mercado_Receita!$S$2:$S$1214,"44256B2Convencional pré-pagamentoRuralServiço público de irrigação ruralNão se aplicaNão se aplicaIntermediário",Mercado_Receita!$L$2:$L$1214)+SUMIF(Mercado_Receita!$S$2:$S$1214,"44256B2Convencional pré-pagamentoRuralServiço público de irrigação ruralNão se aplicaNão se aplicaNão se aplica",Mercado_Receita!$L$2:$L$1214)</f>
        <v>0</v>
      </c>
      <c r="K51" s="12">
        <f>SUMIF(Mercado_Receita!$S$2:$S$1214,"44287B2Convencional pré-pagamentoRuralServiço público de irrigação ruralNão se aplicaNão se aplicaPonta",Mercado_Receita!$L$2:$L$1214)+SUMIF(Mercado_Receita!$S$2:$S$1214,"44287B2Convencional pré-pagamentoRuralServiço público de irrigação ruralNão se aplicaNão se aplicaFora ponta",Mercado_Receita!$L$2:$L$1214)+SUMIF(Mercado_Receita!$S$2:$S$1214,"44287B2Convencional pré-pagamentoRuralServiço público de irrigação ruralNão se aplicaNão se aplicaIntermediário",Mercado_Receita!$L$2:$L$1214)+SUMIF(Mercado_Receita!$S$2:$S$1214,"44287B2Convencional pré-pagamentoRuralServiço público de irrigação ruralNão se aplicaNão se aplicaNão se aplica",Mercado_Receita!$L$2:$L$1214)</f>
        <v>0</v>
      </c>
      <c r="L51" s="12">
        <f>SUMIF(Mercado_Receita!$S$2:$S$1214,"44317B2Convencional pré-pagamentoRuralServiço público de irrigação ruralNão se aplicaNão se aplicaPonta",Mercado_Receita!$L$2:$L$1214)+SUMIF(Mercado_Receita!$S$2:$S$1214,"44317B2Convencional pré-pagamentoRuralServiço público de irrigação ruralNão se aplicaNão se aplicaFora ponta",Mercado_Receita!$L$2:$L$1214)+SUMIF(Mercado_Receita!$S$2:$S$1214,"44317B2Convencional pré-pagamentoRuralServiço público de irrigação ruralNão se aplicaNão se aplicaIntermediário",Mercado_Receita!$L$2:$L$1214)+SUMIF(Mercado_Receita!$S$2:$S$1214,"44317B2Convencional pré-pagamentoRuralServiço público de irrigação ruralNão se aplicaNão se aplicaNão se aplica",Mercado_Receita!$L$2:$L$1214)</f>
        <v>0</v>
      </c>
      <c r="M51" s="12">
        <f>SUMIF(Mercado_Receita!$S$2:$S$1214,"44348B2Convencional pré-pagamentoRuralServiço público de irrigação ruralNão se aplicaNão se aplicaPonta",Mercado_Receita!$L$2:$L$1214)+SUMIF(Mercado_Receita!$S$2:$S$1214,"44348B2Convencional pré-pagamentoRuralServiço público de irrigação ruralNão se aplicaNão se aplicaFora ponta",Mercado_Receita!$L$2:$L$1214)+SUMIF(Mercado_Receita!$S$2:$S$1214,"44348B2Convencional pré-pagamentoRuralServiço público de irrigação ruralNão se aplicaNão se aplicaIntermediário",Mercado_Receita!$L$2:$L$1214)+SUMIF(Mercado_Receita!$S$2:$S$1214,"44348B2Convencional pré-pagamentoRuralServiço público de irrigação ruralNão se aplicaNão se aplicaNão se aplica",Mercado_Receita!$L$2:$L$1214)</f>
        <v>0</v>
      </c>
      <c r="N51" s="12">
        <f>SUMIF(Mercado_Receita!$S$2:$S$1214,"44378B2Convencional pré-pagamentoRuralServiço público de irrigação ruralNão se aplicaNão se aplicaPonta",Mercado_Receita!$L$2:$L$1214)+SUMIF(Mercado_Receita!$S$2:$S$1214,"44378B2Convencional pré-pagamentoRuralServiço público de irrigação ruralNão se aplicaNão se aplicaFora ponta",Mercado_Receita!$L$2:$L$1214)+SUMIF(Mercado_Receita!$S$2:$S$1214,"44378B2Convencional pré-pagamentoRuralServiço público de irrigação ruralNão se aplicaNão se aplicaIntermediário",Mercado_Receita!$L$2:$L$1214)+SUMIF(Mercado_Receita!$S$2:$S$1214,"44378B2Convencional pré-pagamentoRuralServiço público de irrigação ruralNão se aplicaNão se aplicaNão se aplica",Mercado_Receita!$L$2:$L$1214)</f>
        <v>0</v>
      </c>
      <c r="O51" s="12">
        <f>SUMIF(Mercado_Receita!$S$2:$S$1214,"44409B2Convencional pré-pagamentoRuralServiço público de irrigação ruralNão se aplicaNão se aplicaPonta",Mercado_Receita!$L$2:$L$1214)+SUMIF(Mercado_Receita!$S$2:$S$1214,"44409B2Convencional pré-pagamentoRuralServiço público de irrigação ruralNão se aplicaNão se aplicaFora ponta",Mercado_Receita!$L$2:$L$1214)+SUMIF(Mercado_Receita!$S$2:$S$1214,"44409B2Convencional pré-pagamentoRuralServiço público de irrigação ruralNão se aplicaNão se aplicaIntermediário",Mercado_Receita!$L$2:$L$1214)+SUMIF(Mercado_Receita!$S$2:$S$1214,"44409B2Convencional pré-pagamentoRuralServiço público de irrigação ruralNão se aplicaNão se aplicaNão se aplica",Mercado_Receita!$L$2:$L$1214)</f>
        <v>0</v>
      </c>
      <c r="P51" s="12">
        <f>SUMIF(Mercado_Receita!$S$2:$S$1214,"44440B2Convencional pré-pagamentoRuralServiço público de irrigação ruralNão se aplicaNão se aplicaPonta",Mercado_Receita!$L$2:$L$1214)+SUMIF(Mercado_Receita!$S$2:$S$1214,"44440B2Convencional pré-pagamentoRuralServiço público de irrigação ruralNão se aplicaNão se aplicaFora ponta",Mercado_Receita!$L$2:$L$1214)+SUMIF(Mercado_Receita!$S$2:$S$1214,"44440B2Convencional pré-pagamentoRuralServiço público de irrigação ruralNão se aplicaNão se aplicaIntermediário",Mercado_Receita!$L$2:$L$1214)+SUMIF(Mercado_Receita!$S$2:$S$1214,"44440B2Convencional pré-pagamentoRuralServiço público de irrigação ruralNão se aplicaNão se aplicaNão se aplica",Mercado_Receita!$L$2:$L$1214)</f>
        <v>0</v>
      </c>
      <c r="Q51" s="12">
        <f>SUMIF(Mercado_Receita!$S$2:$S$1214,"44470B2Convencional pré-pagamentoRuralServiço público de irrigação ruralNão se aplicaNão se aplicaPonta",Mercado_Receita!$L$2:$L$1214)+SUMIF(Mercado_Receita!$S$2:$S$1214,"44470B2Convencional pré-pagamentoRuralServiço público de irrigação ruralNão se aplicaNão se aplicaFora ponta",Mercado_Receita!$L$2:$L$1214)+SUMIF(Mercado_Receita!$S$2:$S$1214,"44470B2Convencional pré-pagamentoRuralServiço público de irrigação ruralNão se aplicaNão se aplicaIntermediário",Mercado_Receita!$L$2:$L$1214)+SUMIF(Mercado_Receita!$S$2:$S$1214,"44470B2Convencional pré-pagamentoRuralServiço público de irrigação ruralNão se aplicaNão se aplicaNão se aplica",Mercado_Receita!$L$2:$L$1214)</f>
        <v>0</v>
      </c>
      <c r="R51" s="12">
        <f>SUMIF(Mercado_Receita!$S$2:$S$1214,"44501B2Convencional pré-pagamentoRuralServiço público de irrigação ruralNão se aplicaNão se aplicaPonta",Mercado_Receita!$L$2:$L$1214)+SUMIF(Mercado_Receita!$S$2:$S$1214,"44501B2Convencional pré-pagamentoRuralServiço público de irrigação ruralNão se aplicaNão se aplicaFora ponta",Mercado_Receita!$L$2:$L$1214)+SUMIF(Mercado_Receita!$S$2:$S$1214,"44501B2Convencional pré-pagamentoRuralServiço público de irrigação ruralNão se aplicaNão se aplicaIntermediário",Mercado_Receita!$L$2:$L$1214)+SUMIF(Mercado_Receita!$S$2:$S$1214,"44501B2Convencional pré-pagamentoRuralServiço público de irrigação ruralNão se aplicaNão se aplicaNão se aplica",Mercado_Receita!$L$2:$L$1214)</f>
        <v>0</v>
      </c>
      <c r="S51" s="12">
        <f>SUMIF(Mercado_Receita!$S$2:$S$1214,"44531B2Convencional pré-pagamentoRuralServiço público de irrigação ruralNão se aplicaNão se aplicaPonta",Mercado_Receita!$L$2:$L$1214)+SUMIF(Mercado_Receita!$S$2:$S$1214,"44531B2Convencional pré-pagamentoRuralServiço público de irrigação ruralNão se aplicaNão se aplicaFora ponta",Mercado_Receita!$L$2:$L$1214)+SUMIF(Mercado_Receita!$S$2:$S$1214,"44531B2Convencional pré-pagamentoRuralServiço público de irrigação ruralNão se aplicaNão se aplicaIntermediário",Mercado_Receita!$L$2:$L$1214)+SUMIF(Mercado_Receita!$S$2:$S$1214,"44531B2Convencional pré-pagamentoRuralServiço público de irrigação ruralNão se aplicaNão se aplicaNão se aplica",Mercado_Receita!$L$2:$L$1214)</f>
        <v>0</v>
      </c>
      <c r="T51" s="12">
        <f>SUMIF(Mercado_Receita!$S$2:$S$1214,"44562B2Convencional pré-pagamentoRuralServiço público de irrigação ruralNão se aplicaNão se aplicaPonta",Mercado_Receita!$L$2:$L$1214)+SUMIF(Mercado_Receita!$S$2:$S$1214,"44562B2Convencional pré-pagamentoRuralServiço público de irrigação ruralNão se aplicaNão se aplicaFora ponta",Mercado_Receita!$L$2:$L$1214)+SUMIF(Mercado_Receita!$S$2:$S$1214,"44562B2Convencional pré-pagamentoRuralServiço público de irrigação ruralNão se aplicaNão se aplicaIntermediário",Mercado_Receita!$L$2:$L$1214)+SUMIF(Mercado_Receita!$S$2:$S$1214,"44562B2Convencional pré-pagamentoRuralServiço público de irrigação ruralNão se aplicaNão se aplicaNão se aplica",Mercado_Receita!$L$2:$L$1214)</f>
        <v>0</v>
      </c>
      <c r="U51" s="12">
        <f t="shared" si="1"/>
        <v>0</v>
      </c>
      <c r="V51" s="12"/>
      <c r="W51" s="12"/>
    </row>
    <row r="52" spans="1:23" ht="11.25" customHeight="1" x14ac:dyDescent="0.25">
      <c r="A52" s="91" t="s">
        <v>37</v>
      </c>
      <c r="B52" s="91" t="s">
        <v>33</v>
      </c>
      <c r="C52" s="91" t="s">
        <v>25</v>
      </c>
      <c r="D52" s="91" t="s">
        <v>25</v>
      </c>
      <c r="E52" s="91" t="s">
        <v>25</v>
      </c>
      <c r="F52" s="91" t="s">
        <v>25</v>
      </c>
      <c r="G52" s="12" t="s">
        <v>79</v>
      </c>
      <c r="H52" s="12" t="s">
        <v>78</v>
      </c>
      <c r="I52" s="12">
        <f>SUMIF(Mercado_Receita!$S$2:$S$1214,"44228B3BrancaNão se aplicaNão se aplicaNão se aplicaNão se aplicaPonta",Mercado_Receita!$L$2:$L$1214)</f>
        <v>0.55600000000000005</v>
      </c>
      <c r="J52" s="12">
        <f>SUMIF(Mercado_Receita!$S$2:$S$1214,"44256B3BrancaNão se aplicaNão se aplicaNão se aplicaNão se aplicaPonta",Mercado_Receita!$L$2:$L$1214)</f>
        <v>0.66</v>
      </c>
      <c r="K52" s="12">
        <f>SUMIF(Mercado_Receita!$S$2:$S$1214,"44287B3BrancaNão se aplicaNão se aplicaNão se aplicaNão se aplicaPonta",Mercado_Receita!$L$2:$L$1214)</f>
        <v>0.56399999999999995</v>
      </c>
      <c r="L52" s="12">
        <f>SUMIF(Mercado_Receita!$S$2:$S$1214,"44317B3BrancaNão se aplicaNão se aplicaNão se aplicaNão se aplicaPonta",Mercado_Receita!$L$2:$L$1214)</f>
        <v>0.51600000000000001</v>
      </c>
      <c r="M52" s="12">
        <f>SUMIF(Mercado_Receita!$S$2:$S$1214,"44348B3BrancaNão se aplicaNão se aplicaNão se aplicaNão se aplicaPonta",Mercado_Receita!$L$2:$L$1214)</f>
        <v>0.50700000000000001</v>
      </c>
      <c r="N52" s="12">
        <f>SUMIF(Mercado_Receita!$S$2:$S$1214,"44378B3BrancaNão se aplicaNão se aplicaNão se aplicaNão se aplicaPonta",Mercado_Receita!$L$2:$L$1214)</f>
        <v>0.60799999999999998</v>
      </c>
      <c r="O52" s="12">
        <f>SUMIF(Mercado_Receita!$S$2:$S$1214,"44409B3BrancaNão se aplicaNão se aplicaNão se aplicaNão se aplicaPonta",Mercado_Receita!$L$2:$L$1214)</f>
        <v>0.60899999999999999</v>
      </c>
      <c r="P52" s="12">
        <f>SUMIF(Mercado_Receita!$S$2:$S$1214,"44440B3BrancaNão se aplicaNão se aplicaNão se aplicaNão se aplicaPonta",Mercado_Receita!$L$2:$L$1214)</f>
        <v>0.623</v>
      </c>
      <c r="Q52" s="12">
        <f>SUMIF(Mercado_Receita!$S$2:$S$1214,"44470B3BrancaNão se aplicaNão se aplicaNão se aplicaNão se aplicaPonta",Mercado_Receita!$L$2:$L$1214)</f>
        <v>0.80600000000000005</v>
      </c>
      <c r="R52" s="12">
        <f>SUMIF(Mercado_Receita!$S$2:$S$1214,"44501B3BrancaNão se aplicaNão se aplicaNão se aplicaNão se aplicaPonta",Mercado_Receita!$L$2:$L$1214)</f>
        <v>0.81299999999999994</v>
      </c>
      <c r="S52" s="12">
        <f>SUMIF(Mercado_Receita!$S$2:$S$1214,"44531B3BrancaNão se aplicaNão se aplicaNão se aplicaNão se aplicaPonta",Mercado_Receita!$L$2:$L$1214)</f>
        <v>0.91200000000000003</v>
      </c>
      <c r="T52" s="12">
        <f>SUMIF(Mercado_Receita!$S$2:$S$1214,"44562B3BrancaNão se aplicaNão se aplicaNão se aplicaNão se aplicaPonta",Mercado_Receita!$L$2:$L$1214)</f>
        <v>0.91200000000000003</v>
      </c>
      <c r="U52" s="12">
        <f t="shared" si="1"/>
        <v>8.0860000000000003</v>
      </c>
      <c r="V52" s="12"/>
      <c r="W52" s="12"/>
    </row>
    <row r="53" spans="1:23" ht="11.25" customHeight="1" x14ac:dyDescent="0.25">
      <c r="A53" s="92"/>
      <c r="B53" s="92"/>
      <c r="C53" s="92"/>
      <c r="D53" s="92"/>
      <c r="E53" s="92"/>
      <c r="F53" s="92"/>
      <c r="G53" s="12" t="s">
        <v>91</v>
      </c>
      <c r="H53" s="12" t="s">
        <v>78</v>
      </c>
      <c r="I53" s="12">
        <f>SUMIF(Mercado_Receita!$S$2:$S$1214,"44228B3BrancaNão se aplicaNão se aplicaNão se aplicaNão se aplicaIntermediário",Mercado_Receita!$L$2:$L$1214)</f>
        <v>0.60499999999999998</v>
      </c>
      <c r="J53" s="12">
        <f>SUMIF(Mercado_Receita!$S$2:$S$1214,"44256B3BrancaNão se aplicaNão se aplicaNão se aplicaNão se aplicaIntermediário",Mercado_Receita!$L$2:$L$1214)</f>
        <v>0.69</v>
      </c>
      <c r="K53" s="12">
        <f>SUMIF(Mercado_Receita!$S$2:$S$1214,"44287B3BrancaNão se aplicaNão se aplicaNão se aplicaNão se aplicaIntermediário",Mercado_Receita!$L$2:$L$1214)</f>
        <v>0.53100000000000003</v>
      </c>
      <c r="L53" s="12">
        <f>SUMIF(Mercado_Receita!$S$2:$S$1214,"44317B3BrancaNão se aplicaNão se aplicaNão se aplicaNão se aplicaIntermediário",Mercado_Receita!$L$2:$L$1214)</f>
        <v>0.56999999999999995</v>
      </c>
      <c r="M53" s="12">
        <f>SUMIF(Mercado_Receita!$S$2:$S$1214,"44348B3BrancaNão se aplicaNão se aplicaNão se aplicaNão se aplicaIntermediário",Mercado_Receita!$L$2:$L$1214)</f>
        <v>0.52600000000000002</v>
      </c>
      <c r="N53" s="12">
        <f>SUMIF(Mercado_Receita!$S$2:$S$1214,"44378B3BrancaNão se aplicaNão se aplicaNão se aplicaNão se aplicaIntermediário",Mercado_Receita!$L$2:$L$1214)</f>
        <v>0.60599999999999998</v>
      </c>
      <c r="O53" s="12">
        <f>SUMIF(Mercado_Receita!$S$2:$S$1214,"44409B3BrancaNão se aplicaNão se aplicaNão se aplicaNão se aplicaIntermediário",Mercado_Receita!$L$2:$L$1214)</f>
        <v>0.59599999999999997</v>
      </c>
      <c r="P53" s="12">
        <f>SUMIF(Mercado_Receita!$S$2:$S$1214,"44440B3BrancaNão se aplicaNão se aplicaNão se aplicaNão se aplicaIntermediário",Mercado_Receita!$L$2:$L$1214)</f>
        <v>0.60299999999999998</v>
      </c>
      <c r="Q53" s="12">
        <f>SUMIF(Mercado_Receita!$S$2:$S$1214,"44470B3BrancaNão se aplicaNão se aplicaNão se aplicaNão se aplicaIntermediário",Mercado_Receita!$L$2:$L$1214)</f>
        <v>0.74299999999999999</v>
      </c>
      <c r="R53" s="12">
        <f>SUMIF(Mercado_Receita!$S$2:$S$1214,"44501B3BrancaNão se aplicaNão se aplicaNão se aplicaNão se aplicaIntermediário",Mercado_Receita!$L$2:$L$1214)</f>
        <v>0.79500000000000004</v>
      </c>
      <c r="S53" s="12">
        <f>SUMIF(Mercado_Receita!$S$2:$S$1214,"44531B3BrancaNão se aplicaNão se aplicaNão se aplicaNão se aplicaIntermediário",Mercado_Receita!$L$2:$L$1214)</f>
        <v>0.88500000000000001</v>
      </c>
      <c r="T53" s="12">
        <f>SUMIF(Mercado_Receita!$S$2:$S$1214,"44562B3BrancaNão se aplicaNão se aplicaNão se aplicaNão se aplicaIntermediário",Mercado_Receita!$L$2:$L$1214)</f>
        <v>0.88500000000000001</v>
      </c>
      <c r="U53" s="12">
        <f t="shared" si="1"/>
        <v>8.0350000000000001</v>
      </c>
      <c r="V53" s="12"/>
      <c r="W53" s="12"/>
    </row>
    <row r="54" spans="1:23" ht="11.25" customHeight="1" x14ac:dyDescent="0.25">
      <c r="A54" s="92"/>
      <c r="B54" s="92"/>
      <c r="C54" s="92"/>
      <c r="D54" s="92"/>
      <c r="E54" s="92"/>
      <c r="F54" s="92"/>
      <c r="G54" s="12" t="s">
        <v>80</v>
      </c>
      <c r="H54" s="12" t="s">
        <v>78</v>
      </c>
      <c r="I54" s="12">
        <f>SUMIF(Mercado_Receita!$S$2:$S$1214,"44228B3BrancaNão se aplicaNão se aplicaNão se aplicaNão se aplicaFora ponta",Mercado_Receita!$L$2:$L$1214)</f>
        <v>9.2070000000000007</v>
      </c>
      <c r="J54" s="12">
        <f>SUMIF(Mercado_Receita!$S$2:$S$1214,"44256B3BrancaNão se aplicaNão se aplicaNão se aplicaNão se aplicaFora ponta",Mercado_Receita!$L$2:$L$1214)</f>
        <v>10.5</v>
      </c>
      <c r="K54" s="12">
        <f>SUMIF(Mercado_Receita!$S$2:$S$1214,"44287B3BrancaNão se aplicaNão se aplicaNão se aplicaNão se aplicaFora ponta",Mercado_Receita!$L$2:$L$1214)</f>
        <v>9.5090000000000003</v>
      </c>
      <c r="L54" s="12">
        <f>SUMIF(Mercado_Receita!$S$2:$S$1214,"44317B3BrancaNão se aplicaNão se aplicaNão se aplicaNão se aplicaFora ponta",Mercado_Receita!$L$2:$L$1214)</f>
        <v>9.2929999999999993</v>
      </c>
      <c r="M54" s="12">
        <f>SUMIF(Mercado_Receita!$S$2:$S$1214,"44348B3BrancaNão se aplicaNão se aplicaNão se aplicaNão se aplicaFora ponta",Mercado_Receita!$L$2:$L$1214)</f>
        <v>8.7089999999999996</v>
      </c>
      <c r="N54" s="12">
        <f>SUMIF(Mercado_Receita!$S$2:$S$1214,"44378B3BrancaNão se aplicaNão se aplicaNão se aplicaNão se aplicaFora ponta",Mercado_Receita!$L$2:$L$1214)</f>
        <v>9.4540000000000006</v>
      </c>
      <c r="O54" s="12">
        <f>SUMIF(Mercado_Receita!$S$2:$S$1214,"44409B3BrancaNão se aplicaNão se aplicaNão se aplicaNão se aplicaFora ponta",Mercado_Receita!$L$2:$L$1214)</f>
        <v>9.2829999999999995</v>
      </c>
      <c r="P54" s="12">
        <f>SUMIF(Mercado_Receita!$S$2:$S$1214,"44440B3BrancaNão se aplicaNão se aplicaNão se aplicaNão se aplicaFora ponta",Mercado_Receita!$L$2:$L$1214)</f>
        <v>10.529</v>
      </c>
      <c r="Q54" s="12">
        <f>SUMIF(Mercado_Receita!$S$2:$S$1214,"44470B3BrancaNão se aplicaNão se aplicaNão se aplicaNão se aplicaFora ponta",Mercado_Receita!$L$2:$L$1214)</f>
        <v>12.992000000000001</v>
      </c>
      <c r="R54" s="12">
        <f>SUMIF(Mercado_Receita!$S$2:$S$1214,"44501B3BrancaNão se aplicaNão se aplicaNão se aplicaNão se aplicaFora ponta",Mercado_Receita!$L$2:$L$1214)</f>
        <v>14.208</v>
      </c>
      <c r="S54" s="12">
        <f>SUMIF(Mercado_Receita!$S$2:$S$1214,"44531B3BrancaNão se aplicaNão se aplicaNão se aplicaNão se aplicaFora ponta",Mercado_Receita!$L$2:$L$1214)</f>
        <v>15.026</v>
      </c>
      <c r="T54" s="12">
        <f>SUMIF(Mercado_Receita!$S$2:$S$1214,"44562B3BrancaNão se aplicaNão se aplicaNão se aplicaNão se aplicaFora ponta",Mercado_Receita!$L$2:$L$1214)</f>
        <v>15.026</v>
      </c>
      <c r="U54" s="12">
        <f t="shared" si="1"/>
        <v>133.73599999999999</v>
      </c>
      <c r="V54" s="12"/>
      <c r="W54" s="12"/>
    </row>
    <row r="55" spans="1:23" ht="11.25" customHeight="1" x14ac:dyDescent="0.25">
      <c r="A55" s="92"/>
      <c r="B55" s="13" t="s">
        <v>23</v>
      </c>
      <c r="C55" s="13" t="s">
        <v>25</v>
      </c>
      <c r="D55" s="13" t="s">
        <v>25</v>
      </c>
      <c r="E55" s="13" t="s">
        <v>25</v>
      </c>
      <c r="F55" s="13" t="s">
        <v>25</v>
      </c>
      <c r="G55" s="12" t="s">
        <v>84</v>
      </c>
      <c r="H55" s="12" t="s">
        <v>78</v>
      </c>
      <c r="I55" s="12">
        <f>SUMIF(Mercado_Receita!$S$2:$S$1214,"44228B3ConvencionalNão se aplicaNão se aplicaNão se aplicaNão se aplicaPonta",Mercado_Receita!$L$2:$L$1214)+SUMIF(Mercado_Receita!$S$2:$S$1214,"44228B3ConvencionalNão se aplicaNão se aplicaNão se aplicaNão se aplicaFora ponta",Mercado_Receita!$L$2:$L$1214)+SUMIF(Mercado_Receita!$S$2:$S$1214,"44228B3ConvencionalNão se aplicaNão se aplicaNão se aplicaNão se aplicaIntermediário",Mercado_Receita!$L$2:$L$1214)+SUMIF(Mercado_Receita!$S$2:$S$1214,"44228B3ConvencionalNão se aplicaNão se aplicaNão se aplicaNão se aplicaNão se aplica",Mercado_Receita!$L$2:$L$1214)</f>
        <v>7809.7519999999986</v>
      </c>
      <c r="J55" s="12">
        <f>SUMIF(Mercado_Receita!$S$2:$S$1214,"44256B3ConvencionalNão se aplicaNão se aplicaNão se aplicaNão se aplicaPonta",Mercado_Receita!$L$2:$L$1214)+SUMIF(Mercado_Receita!$S$2:$S$1214,"44256B3ConvencionalNão se aplicaNão se aplicaNão se aplicaNão se aplicaFora ponta",Mercado_Receita!$L$2:$L$1214)+SUMIF(Mercado_Receita!$S$2:$S$1214,"44256B3ConvencionalNão se aplicaNão se aplicaNão se aplicaNão se aplicaIntermediário",Mercado_Receita!$L$2:$L$1214)+SUMIF(Mercado_Receita!$S$2:$S$1214,"44256B3ConvencionalNão se aplicaNão se aplicaNão se aplicaNão se aplicaNão se aplica",Mercado_Receita!$L$2:$L$1214)</f>
        <v>8328.726999999999</v>
      </c>
      <c r="K55" s="12">
        <f>SUMIF(Mercado_Receita!$S$2:$S$1214,"44287B3ConvencionalNão se aplicaNão se aplicaNão se aplicaNão se aplicaPonta",Mercado_Receita!$L$2:$L$1214)+SUMIF(Mercado_Receita!$S$2:$S$1214,"44287B3ConvencionalNão se aplicaNão se aplicaNão se aplicaNão se aplicaFora ponta",Mercado_Receita!$L$2:$L$1214)+SUMIF(Mercado_Receita!$S$2:$S$1214,"44287B3ConvencionalNão se aplicaNão se aplicaNão se aplicaNão se aplicaIntermediário",Mercado_Receita!$L$2:$L$1214)+SUMIF(Mercado_Receita!$S$2:$S$1214,"44287B3ConvencionalNão se aplicaNão se aplicaNão se aplicaNão se aplicaNão se aplica",Mercado_Receita!$L$2:$L$1214)</f>
        <v>7815.0179999999982</v>
      </c>
      <c r="L55" s="12">
        <f>SUMIF(Mercado_Receita!$S$2:$S$1214,"44317B3ConvencionalNão se aplicaNão se aplicaNão se aplicaNão se aplicaPonta",Mercado_Receita!$L$2:$L$1214)+SUMIF(Mercado_Receita!$S$2:$S$1214,"44317B3ConvencionalNão se aplicaNão se aplicaNão se aplicaNão se aplicaFora ponta",Mercado_Receita!$L$2:$L$1214)+SUMIF(Mercado_Receita!$S$2:$S$1214,"44317B3ConvencionalNão se aplicaNão se aplicaNão se aplicaNão se aplicaIntermediário",Mercado_Receita!$L$2:$L$1214)+SUMIF(Mercado_Receita!$S$2:$S$1214,"44317B3ConvencionalNão se aplicaNão se aplicaNão se aplicaNão se aplicaNão se aplica",Mercado_Receita!$L$2:$L$1214)</f>
        <v>7890.3579999999993</v>
      </c>
      <c r="M55" s="12">
        <f>SUMIF(Mercado_Receita!$S$2:$S$1214,"44348B3ConvencionalNão se aplicaNão se aplicaNão se aplicaNão se aplicaPonta",Mercado_Receita!$L$2:$L$1214)+SUMIF(Mercado_Receita!$S$2:$S$1214,"44348B3ConvencionalNão se aplicaNão se aplicaNão se aplicaNão se aplicaFora ponta",Mercado_Receita!$L$2:$L$1214)+SUMIF(Mercado_Receita!$S$2:$S$1214,"44348B3ConvencionalNão se aplicaNão se aplicaNão se aplicaNão se aplicaIntermediário",Mercado_Receita!$L$2:$L$1214)+SUMIF(Mercado_Receita!$S$2:$S$1214,"44348B3ConvencionalNão se aplicaNão se aplicaNão se aplicaNão se aplicaNão se aplica",Mercado_Receita!$L$2:$L$1214)</f>
        <v>7170.4949999999999</v>
      </c>
      <c r="N55" s="12">
        <f>SUMIF(Mercado_Receita!$S$2:$S$1214,"44378B3ConvencionalNão se aplicaNão se aplicaNão se aplicaNão se aplicaPonta",Mercado_Receita!$L$2:$L$1214)+SUMIF(Mercado_Receita!$S$2:$S$1214,"44378B3ConvencionalNão se aplicaNão se aplicaNão se aplicaNão se aplicaFora ponta",Mercado_Receita!$L$2:$L$1214)+SUMIF(Mercado_Receita!$S$2:$S$1214,"44378B3ConvencionalNão se aplicaNão se aplicaNão se aplicaNão se aplicaIntermediário",Mercado_Receita!$L$2:$L$1214)+SUMIF(Mercado_Receita!$S$2:$S$1214,"44378B3ConvencionalNão se aplicaNão se aplicaNão se aplicaNão se aplicaNão se aplica",Mercado_Receita!$L$2:$L$1214)</f>
        <v>7702.6110000000008</v>
      </c>
      <c r="O55" s="12">
        <f>SUMIF(Mercado_Receita!$S$2:$S$1214,"44409B3ConvencionalNão se aplicaNão se aplicaNão se aplicaNão se aplicaPonta",Mercado_Receita!$L$2:$L$1214)+SUMIF(Mercado_Receita!$S$2:$S$1214,"44409B3ConvencionalNão se aplicaNão se aplicaNão se aplicaNão se aplicaFora ponta",Mercado_Receita!$L$2:$L$1214)+SUMIF(Mercado_Receita!$S$2:$S$1214,"44409B3ConvencionalNão se aplicaNão se aplicaNão se aplicaNão se aplicaIntermediário",Mercado_Receita!$L$2:$L$1214)+SUMIF(Mercado_Receita!$S$2:$S$1214,"44409B3ConvencionalNão se aplicaNão se aplicaNão se aplicaNão se aplicaNão se aplica",Mercado_Receita!$L$2:$L$1214)</f>
        <v>7230.6090000000013</v>
      </c>
      <c r="P55" s="12">
        <f>SUMIF(Mercado_Receita!$S$2:$S$1214,"44440B3ConvencionalNão se aplicaNão se aplicaNão se aplicaNão se aplicaPonta",Mercado_Receita!$L$2:$L$1214)+SUMIF(Mercado_Receita!$S$2:$S$1214,"44440B3ConvencionalNão se aplicaNão se aplicaNão se aplicaNão se aplicaFora ponta",Mercado_Receita!$L$2:$L$1214)+SUMIF(Mercado_Receita!$S$2:$S$1214,"44440B3ConvencionalNão se aplicaNão se aplicaNão se aplicaNão se aplicaIntermediário",Mercado_Receita!$L$2:$L$1214)+SUMIF(Mercado_Receita!$S$2:$S$1214,"44440B3ConvencionalNão se aplicaNão se aplicaNão se aplicaNão se aplicaNão se aplica",Mercado_Receita!$L$2:$L$1214)</f>
        <v>7213.9460000000008</v>
      </c>
      <c r="Q55" s="12">
        <f>SUMIF(Mercado_Receita!$S$2:$S$1214,"44470B3ConvencionalNão se aplicaNão se aplicaNão se aplicaNão se aplicaPonta",Mercado_Receita!$L$2:$L$1214)+SUMIF(Mercado_Receita!$S$2:$S$1214,"44470B3ConvencionalNão se aplicaNão se aplicaNão se aplicaNão se aplicaFora ponta",Mercado_Receita!$L$2:$L$1214)+SUMIF(Mercado_Receita!$S$2:$S$1214,"44470B3ConvencionalNão se aplicaNão se aplicaNão se aplicaNão se aplicaIntermediário",Mercado_Receita!$L$2:$L$1214)+SUMIF(Mercado_Receita!$S$2:$S$1214,"44470B3ConvencionalNão se aplicaNão se aplicaNão se aplicaNão se aplicaNão se aplica",Mercado_Receita!$L$2:$L$1214)</f>
        <v>7891.619999999999</v>
      </c>
      <c r="R55" s="12">
        <f>SUMIF(Mercado_Receita!$S$2:$S$1214,"44501B3ConvencionalNão se aplicaNão se aplicaNão se aplicaNão se aplicaPonta",Mercado_Receita!$L$2:$L$1214)+SUMIF(Mercado_Receita!$S$2:$S$1214,"44501B3ConvencionalNão se aplicaNão se aplicaNão se aplicaNão se aplicaFora ponta",Mercado_Receita!$L$2:$L$1214)+SUMIF(Mercado_Receita!$S$2:$S$1214,"44501B3ConvencionalNão se aplicaNão se aplicaNão se aplicaNão se aplicaIntermediário",Mercado_Receita!$L$2:$L$1214)+SUMIF(Mercado_Receita!$S$2:$S$1214,"44501B3ConvencionalNão se aplicaNão se aplicaNão se aplicaNão se aplicaNão se aplica",Mercado_Receita!$L$2:$L$1214)</f>
        <v>8016.0130000000008</v>
      </c>
      <c r="S55" s="12">
        <f>SUMIF(Mercado_Receita!$S$2:$S$1214,"44531B3ConvencionalNão se aplicaNão se aplicaNão se aplicaNão se aplicaPonta",Mercado_Receita!$L$2:$L$1214)+SUMIF(Mercado_Receita!$S$2:$S$1214,"44531B3ConvencionalNão se aplicaNão se aplicaNão se aplicaNão se aplicaFora ponta",Mercado_Receita!$L$2:$L$1214)+SUMIF(Mercado_Receita!$S$2:$S$1214,"44531B3ConvencionalNão se aplicaNão se aplicaNão se aplicaNão se aplicaIntermediário",Mercado_Receita!$L$2:$L$1214)+SUMIF(Mercado_Receita!$S$2:$S$1214,"44531B3ConvencionalNão se aplicaNão se aplicaNão se aplicaNão se aplicaNão se aplica",Mercado_Receita!$L$2:$L$1214)</f>
        <v>8485.3510000000006</v>
      </c>
      <c r="T55" s="12">
        <f>SUMIF(Mercado_Receita!$S$2:$S$1214,"44562B3ConvencionalNão se aplicaNão se aplicaNão se aplicaNão se aplicaPonta",Mercado_Receita!$L$2:$L$1214)+SUMIF(Mercado_Receita!$S$2:$S$1214,"44562B3ConvencionalNão se aplicaNão se aplicaNão se aplicaNão se aplicaFora ponta",Mercado_Receita!$L$2:$L$1214)+SUMIF(Mercado_Receita!$S$2:$S$1214,"44562B3ConvencionalNão se aplicaNão se aplicaNão se aplicaNão se aplicaIntermediário",Mercado_Receita!$L$2:$L$1214)+SUMIF(Mercado_Receita!$S$2:$S$1214,"44562B3ConvencionalNão se aplicaNão se aplicaNão se aplicaNão se aplicaNão se aplica",Mercado_Receita!$L$2:$L$1214)</f>
        <v>8485.3510000000006</v>
      </c>
      <c r="U55" s="12">
        <f t="shared" si="1"/>
        <v>94039.850999999995</v>
      </c>
      <c r="V55" s="12"/>
      <c r="W55" s="12"/>
    </row>
    <row r="56" spans="1:23" ht="11.25" customHeight="1" x14ac:dyDescent="0.25">
      <c r="A56" s="92"/>
      <c r="B56" s="13" t="s">
        <v>93</v>
      </c>
      <c r="C56" s="13" t="s">
        <v>25</v>
      </c>
      <c r="D56" s="13" t="s">
        <v>25</v>
      </c>
      <c r="E56" s="13" t="s">
        <v>25</v>
      </c>
      <c r="F56" s="13" t="s">
        <v>25</v>
      </c>
      <c r="G56" s="12" t="s">
        <v>84</v>
      </c>
      <c r="H56" s="12" t="s">
        <v>78</v>
      </c>
      <c r="I56" s="12">
        <f>SUMIF(Mercado_Receita!$S$2:$S$1214,"44228B3Convencional pré-pagamentoNão se aplicaNão se aplicaNão se aplicaNão se aplicaPonta",Mercado_Receita!$L$2:$L$1214)+SUMIF(Mercado_Receita!$S$2:$S$1214,"44228B3Convencional pré-pagamentoNão se aplicaNão se aplicaNão se aplicaNão se aplicaFora ponta",Mercado_Receita!$L$2:$L$1214)+SUMIF(Mercado_Receita!$S$2:$S$1214,"44228B3Convencional pré-pagamentoNão se aplicaNão se aplicaNão se aplicaNão se aplicaIntermediário",Mercado_Receita!$L$2:$L$1214)+SUMIF(Mercado_Receita!$S$2:$S$1214,"44228B3Convencional pré-pagamentoNão se aplicaNão se aplicaNão se aplicaNão se aplicaNão se aplica",Mercado_Receita!$L$2:$L$1214)</f>
        <v>0</v>
      </c>
      <c r="J56" s="12">
        <f>SUMIF(Mercado_Receita!$S$2:$S$1214,"44256B3Convencional pré-pagamentoNão se aplicaNão se aplicaNão se aplicaNão se aplicaPonta",Mercado_Receita!$L$2:$L$1214)+SUMIF(Mercado_Receita!$S$2:$S$1214,"44256B3Convencional pré-pagamentoNão se aplicaNão se aplicaNão se aplicaNão se aplicaFora ponta",Mercado_Receita!$L$2:$L$1214)+SUMIF(Mercado_Receita!$S$2:$S$1214,"44256B3Convencional pré-pagamentoNão se aplicaNão se aplicaNão se aplicaNão se aplicaIntermediário",Mercado_Receita!$L$2:$L$1214)+SUMIF(Mercado_Receita!$S$2:$S$1214,"44256B3Convencional pré-pagamentoNão se aplicaNão se aplicaNão se aplicaNão se aplicaNão se aplica",Mercado_Receita!$L$2:$L$1214)</f>
        <v>0</v>
      </c>
      <c r="K56" s="12">
        <f>SUMIF(Mercado_Receita!$S$2:$S$1214,"44287B3Convencional pré-pagamentoNão se aplicaNão se aplicaNão se aplicaNão se aplicaPonta",Mercado_Receita!$L$2:$L$1214)+SUMIF(Mercado_Receita!$S$2:$S$1214,"44287B3Convencional pré-pagamentoNão se aplicaNão se aplicaNão se aplicaNão se aplicaFora ponta",Mercado_Receita!$L$2:$L$1214)+SUMIF(Mercado_Receita!$S$2:$S$1214,"44287B3Convencional pré-pagamentoNão se aplicaNão se aplicaNão se aplicaNão se aplicaIntermediário",Mercado_Receita!$L$2:$L$1214)+SUMIF(Mercado_Receita!$S$2:$S$1214,"44287B3Convencional pré-pagamentoNão se aplicaNão se aplicaNão se aplicaNão se aplicaNão se aplica",Mercado_Receita!$L$2:$L$1214)</f>
        <v>0</v>
      </c>
      <c r="L56" s="12">
        <f>SUMIF(Mercado_Receita!$S$2:$S$1214,"44317B3Convencional pré-pagamentoNão se aplicaNão se aplicaNão se aplicaNão se aplicaPonta",Mercado_Receita!$L$2:$L$1214)+SUMIF(Mercado_Receita!$S$2:$S$1214,"44317B3Convencional pré-pagamentoNão se aplicaNão se aplicaNão se aplicaNão se aplicaFora ponta",Mercado_Receita!$L$2:$L$1214)+SUMIF(Mercado_Receita!$S$2:$S$1214,"44317B3Convencional pré-pagamentoNão se aplicaNão se aplicaNão se aplicaNão se aplicaIntermediário",Mercado_Receita!$L$2:$L$1214)+SUMIF(Mercado_Receita!$S$2:$S$1214,"44317B3Convencional pré-pagamentoNão se aplicaNão se aplicaNão se aplicaNão se aplicaNão se aplica",Mercado_Receita!$L$2:$L$1214)</f>
        <v>0</v>
      </c>
      <c r="M56" s="12">
        <f>SUMIF(Mercado_Receita!$S$2:$S$1214,"44348B3Convencional pré-pagamentoNão se aplicaNão se aplicaNão se aplicaNão se aplicaPonta",Mercado_Receita!$L$2:$L$1214)+SUMIF(Mercado_Receita!$S$2:$S$1214,"44348B3Convencional pré-pagamentoNão se aplicaNão se aplicaNão se aplicaNão se aplicaFora ponta",Mercado_Receita!$L$2:$L$1214)+SUMIF(Mercado_Receita!$S$2:$S$1214,"44348B3Convencional pré-pagamentoNão se aplicaNão se aplicaNão se aplicaNão se aplicaIntermediário",Mercado_Receita!$L$2:$L$1214)+SUMIF(Mercado_Receita!$S$2:$S$1214,"44348B3Convencional pré-pagamentoNão se aplicaNão se aplicaNão se aplicaNão se aplicaNão se aplica",Mercado_Receita!$L$2:$L$1214)</f>
        <v>0</v>
      </c>
      <c r="N56" s="12">
        <f>SUMIF(Mercado_Receita!$S$2:$S$1214,"44378B3Convencional pré-pagamentoNão se aplicaNão se aplicaNão se aplicaNão se aplicaPonta",Mercado_Receita!$L$2:$L$1214)+SUMIF(Mercado_Receita!$S$2:$S$1214,"44378B3Convencional pré-pagamentoNão se aplicaNão se aplicaNão se aplicaNão se aplicaFora ponta",Mercado_Receita!$L$2:$L$1214)+SUMIF(Mercado_Receita!$S$2:$S$1214,"44378B3Convencional pré-pagamentoNão se aplicaNão se aplicaNão se aplicaNão se aplicaIntermediário",Mercado_Receita!$L$2:$L$1214)+SUMIF(Mercado_Receita!$S$2:$S$1214,"44378B3Convencional pré-pagamentoNão se aplicaNão se aplicaNão se aplicaNão se aplicaNão se aplica",Mercado_Receita!$L$2:$L$1214)</f>
        <v>0</v>
      </c>
      <c r="O56" s="12">
        <f>SUMIF(Mercado_Receita!$S$2:$S$1214,"44409B3Convencional pré-pagamentoNão se aplicaNão se aplicaNão se aplicaNão se aplicaPonta",Mercado_Receita!$L$2:$L$1214)+SUMIF(Mercado_Receita!$S$2:$S$1214,"44409B3Convencional pré-pagamentoNão se aplicaNão se aplicaNão se aplicaNão se aplicaFora ponta",Mercado_Receita!$L$2:$L$1214)+SUMIF(Mercado_Receita!$S$2:$S$1214,"44409B3Convencional pré-pagamentoNão se aplicaNão se aplicaNão se aplicaNão se aplicaIntermediário",Mercado_Receita!$L$2:$L$1214)+SUMIF(Mercado_Receita!$S$2:$S$1214,"44409B3Convencional pré-pagamentoNão se aplicaNão se aplicaNão se aplicaNão se aplicaNão se aplica",Mercado_Receita!$L$2:$L$1214)</f>
        <v>0</v>
      </c>
      <c r="P56" s="12">
        <f>SUMIF(Mercado_Receita!$S$2:$S$1214,"44440B3Convencional pré-pagamentoNão se aplicaNão se aplicaNão se aplicaNão se aplicaPonta",Mercado_Receita!$L$2:$L$1214)+SUMIF(Mercado_Receita!$S$2:$S$1214,"44440B3Convencional pré-pagamentoNão se aplicaNão se aplicaNão se aplicaNão se aplicaFora ponta",Mercado_Receita!$L$2:$L$1214)+SUMIF(Mercado_Receita!$S$2:$S$1214,"44440B3Convencional pré-pagamentoNão se aplicaNão se aplicaNão se aplicaNão se aplicaIntermediário",Mercado_Receita!$L$2:$L$1214)+SUMIF(Mercado_Receita!$S$2:$S$1214,"44440B3Convencional pré-pagamentoNão se aplicaNão se aplicaNão se aplicaNão se aplicaNão se aplica",Mercado_Receita!$L$2:$L$1214)</f>
        <v>0</v>
      </c>
      <c r="Q56" s="12">
        <f>SUMIF(Mercado_Receita!$S$2:$S$1214,"44470B3Convencional pré-pagamentoNão se aplicaNão se aplicaNão se aplicaNão se aplicaPonta",Mercado_Receita!$L$2:$L$1214)+SUMIF(Mercado_Receita!$S$2:$S$1214,"44470B3Convencional pré-pagamentoNão se aplicaNão se aplicaNão se aplicaNão se aplicaFora ponta",Mercado_Receita!$L$2:$L$1214)+SUMIF(Mercado_Receita!$S$2:$S$1214,"44470B3Convencional pré-pagamentoNão se aplicaNão se aplicaNão se aplicaNão se aplicaIntermediário",Mercado_Receita!$L$2:$L$1214)+SUMIF(Mercado_Receita!$S$2:$S$1214,"44470B3Convencional pré-pagamentoNão se aplicaNão se aplicaNão se aplicaNão se aplicaNão se aplica",Mercado_Receita!$L$2:$L$1214)</f>
        <v>0</v>
      </c>
      <c r="R56" s="12">
        <f>SUMIF(Mercado_Receita!$S$2:$S$1214,"44501B3Convencional pré-pagamentoNão se aplicaNão se aplicaNão se aplicaNão se aplicaPonta",Mercado_Receita!$L$2:$L$1214)+SUMIF(Mercado_Receita!$S$2:$S$1214,"44501B3Convencional pré-pagamentoNão se aplicaNão se aplicaNão se aplicaNão se aplicaFora ponta",Mercado_Receita!$L$2:$L$1214)+SUMIF(Mercado_Receita!$S$2:$S$1214,"44501B3Convencional pré-pagamentoNão se aplicaNão se aplicaNão se aplicaNão se aplicaIntermediário",Mercado_Receita!$L$2:$L$1214)+SUMIF(Mercado_Receita!$S$2:$S$1214,"44501B3Convencional pré-pagamentoNão se aplicaNão se aplicaNão se aplicaNão se aplicaNão se aplica",Mercado_Receita!$L$2:$L$1214)</f>
        <v>0</v>
      </c>
      <c r="S56" s="12">
        <f>SUMIF(Mercado_Receita!$S$2:$S$1214,"44531B3Convencional pré-pagamentoNão se aplicaNão se aplicaNão se aplicaNão se aplicaPonta",Mercado_Receita!$L$2:$L$1214)+SUMIF(Mercado_Receita!$S$2:$S$1214,"44531B3Convencional pré-pagamentoNão se aplicaNão se aplicaNão se aplicaNão se aplicaFora ponta",Mercado_Receita!$L$2:$L$1214)+SUMIF(Mercado_Receita!$S$2:$S$1214,"44531B3Convencional pré-pagamentoNão se aplicaNão se aplicaNão se aplicaNão se aplicaIntermediário",Mercado_Receita!$L$2:$L$1214)+SUMIF(Mercado_Receita!$S$2:$S$1214,"44531B3Convencional pré-pagamentoNão se aplicaNão se aplicaNão se aplicaNão se aplicaNão se aplica",Mercado_Receita!$L$2:$L$1214)</f>
        <v>0</v>
      </c>
      <c r="T56" s="12">
        <f>SUMIF(Mercado_Receita!$S$2:$S$1214,"44562B3Convencional pré-pagamentoNão se aplicaNão se aplicaNão se aplicaNão se aplicaPonta",Mercado_Receita!$L$2:$L$1214)+SUMIF(Mercado_Receita!$S$2:$S$1214,"44562B3Convencional pré-pagamentoNão se aplicaNão se aplicaNão se aplicaNão se aplicaFora ponta",Mercado_Receita!$L$2:$L$1214)+SUMIF(Mercado_Receita!$S$2:$S$1214,"44562B3Convencional pré-pagamentoNão se aplicaNão se aplicaNão se aplicaNão se aplicaIntermediário",Mercado_Receita!$L$2:$L$1214)+SUMIF(Mercado_Receita!$S$2:$S$1214,"44562B3Convencional pré-pagamentoNão se aplicaNão se aplicaNão se aplicaNão se aplicaNão se aplica",Mercado_Receita!$L$2:$L$1214)</f>
        <v>0</v>
      </c>
      <c r="U56" s="12">
        <f t="shared" si="1"/>
        <v>0</v>
      </c>
      <c r="V56" s="12"/>
      <c r="W56" s="12"/>
    </row>
    <row r="57" spans="1:23" ht="11.25" customHeight="1" x14ac:dyDescent="0.25">
      <c r="A57" s="91" t="s">
        <v>46</v>
      </c>
      <c r="B57" s="91" t="s">
        <v>23</v>
      </c>
      <c r="C57" s="91" t="s">
        <v>47</v>
      </c>
      <c r="D57" s="13" t="s">
        <v>48</v>
      </c>
      <c r="E57" s="13" t="s">
        <v>25</v>
      </c>
      <c r="F57" s="13" t="s">
        <v>25</v>
      </c>
      <c r="G57" s="12" t="s">
        <v>84</v>
      </c>
      <c r="H57" s="12" t="s">
        <v>78</v>
      </c>
      <c r="I57" s="12">
        <f>SUMIF(Mercado_Receita!$S$2:$S$1214,"44228B4ConvencionalIluminação públicaIluminação pública – B4aNão se aplicaNão se aplicaPonta",Mercado_Receita!$L$2:$L$1214)+SUMIF(Mercado_Receita!$S$2:$S$1214,"44228B4ConvencionalIluminação públicaIluminação pública – B4aNão se aplicaNão se aplicaFora ponta",Mercado_Receita!$L$2:$L$1214)+SUMIF(Mercado_Receita!$S$2:$S$1214,"44228B4ConvencionalIluminação públicaIluminação pública – B4aNão se aplicaNão se aplicaIntermediário",Mercado_Receita!$L$2:$L$1214)+SUMIF(Mercado_Receita!$S$2:$S$1214,"44228B4ConvencionalIluminação públicaIluminação pública – B4aNão se aplicaNão se aplicaNão se aplica",Mercado_Receita!$L$2:$L$1214)</f>
        <v>3064.1419999999998</v>
      </c>
      <c r="J57" s="12">
        <f>SUMIF(Mercado_Receita!$S$2:$S$1214,"44256B4ConvencionalIluminação públicaIluminação pública – B4aNão se aplicaNão se aplicaPonta",Mercado_Receita!$L$2:$L$1214)+SUMIF(Mercado_Receita!$S$2:$S$1214,"44256B4ConvencionalIluminação públicaIluminação pública – B4aNão se aplicaNão se aplicaFora ponta",Mercado_Receita!$L$2:$L$1214)+SUMIF(Mercado_Receita!$S$2:$S$1214,"44256B4ConvencionalIluminação públicaIluminação pública – B4aNão se aplicaNão se aplicaIntermediário",Mercado_Receita!$L$2:$L$1214)+SUMIF(Mercado_Receita!$S$2:$S$1214,"44256B4ConvencionalIluminação públicaIluminação pública – B4aNão se aplicaNão se aplicaNão se aplica",Mercado_Receita!$L$2:$L$1214)</f>
        <v>3061.0070000000001</v>
      </c>
      <c r="K57" s="12">
        <f>SUMIF(Mercado_Receita!$S$2:$S$1214,"44287B4ConvencionalIluminação públicaIluminação pública – B4aNão se aplicaNão se aplicaPonta",Mercado_Receita!$L$2:$L$1214)+SUMIF(Mercado_Receita!$S$2:$S$1214,"44287B4ConvencionalIluminação públicaIluminação pública – B4aNão se aplicaNão se aplicaFora ponta",Mercado_Receita!$L$2:$L$1214)+SUMIF(Mercado_Receita!$S$2:$S$1214,"44287B4ConvencionalIluminação públicaIluminação pública – B4aNão se aplicaNão se aplicaIntermediário",Mercado_Receita!$L$2:$L$1214)+SUMIF(Mercado_Receita!$S$2:$S$1214,"44287B4ConvencionalIluminação públicaIluminação pública – B4aNão se aplicaNão se aplicaNão se aplica",Mercado_Receita!$L$2:$L$1214)</f>
        <v>3070.6329999999998</v>
      </c>
      <c r="L57" s="12">
        <f>SUMIF(Mercado_Receita!$S$2:$S$1214,"44317B4ConvencionalIluminação públicaIluminação pública – B4aNão se aplicaNão se aplicaPonta",Mercado_Receita!$L$2:$L$1214)+SUMIF(Mercado_Receita!$S$2:$S$1214,"44317B4ConvencionalIluminação públicaIluminação pública – B4aNão se aplicaNão se aplicaFora ponta",Mercado_Receita!$L$2:$L$1214)+SUMIF(Mercado_Receita!$S$2:$S$1214,"44317B4ConvencionalIluminação públicaIluminação pública – B4aNão se aplicaNão se aplicaIntermediário",Mercado_Receita!$L$2:$L$1214)+SUMIF(Mercado_Receita!$S$2:$S$1214,"44317B4ConvencionalIluminação públicaIluminação pública – B4aNão se aplicaNão se aplicaNão se aplica",Mercado_Receita!$L$2:$L$1214)</f>
        <v>3101.3229999999999</v>
      </c>
      <c r="M57" s="12">
        <f>SUMIF(Mercado_Receita!$S$2:$S$1214,"44348B4ConvencionalIluminação públicaIluminação pública – B4aNão se aplicaNão se aplicaPonta",Mercado_Receita!$L$2:$L$1214)+SUMIF(Mercado_Receita!$S$2:$S$1214,"44348B4ConvencionalIluminação públicaIluminação pública – B4aNão se aplicaNão se aplicaFora ponta",Mercado_Receita!$L$2:$L$1214)+SUMIF(Mercado_Receita!$S$2:$S$1214,"44348B4ConvencionalIluminação públicaIluminação pública – B4aNão se aplicaNão se aplicaIntermediário",Mercado_Receita!$L$2:$L$1214)+SUMIF(Mercado_Receita!$S$2:$S$1214,"44348B4ConvencionalIluminação públicaIluminação pública – B4aNão se aplicaNão se aplicaNão se aplica",Mercado_Receita!$L$2:$L$1214)</f>
        <v>3350.3620000000001</v>
      </c>
      <c r="N57" s="12">
        <f>SUMIF(Mercado_Receita!$S$2:$S$1214,"44378B4ConvencionalIluminação públicaIluminação pública – B4aNão se aplicaNão se aplicaPonta",Mercado_Receita!$L$2:$L$1214)+SUMIF(Mercado_Receita!$S$2:$S$1214,"44378B4ConvencionalIluminação públicaIluminação pública – B4aNão se aplicaNão se aplicaFora ponta",Mercado_Receita!$L$2:$L$1214)+SUMIF(Mercado_Receita!$S$2:$S$1214,"44378B4ConvencionalIluminação públicaIluminação pública – B4aNão se aplicaNão se aplicaIntermediário",Mercado_Receita!$L$2:$L$1214)+SUMIF(Mercado_Receita!$S$2:$S$1214,"44378B4ConvencionalIluminação públicaIluminação pública – B4aNão se aplicaNão se aplicaNão se aplica",Mercado_Receita!$L$2:$L$1214)</f>
        <v>3083.627</v>
      </c>
      <c r="O57" s="12">
        <f>SUMIF(Mercado_Receita!$S$2:$S$1214,"44409B4ConvencionalIluminação públicaIluminação pública – B4aNão se aplicaNão se aplicaPonta",Mercado_Receita!$L$2:$L$1214)+SUMIF(Mercado_Receita!$S$2:$S$1214,"44409B4ConvencionalIluminação públicaIluminação pública – B4aNão se aplicaNão se aplicaFora ponta",Mercado_Receita!$L$2:$L$1214)+SUMIF(Mercado_Receita!$S$2:$S$1214,"44409B4ConvencionalIluminação públicaIluminação pública – B4aNão se aplicaNão se aplicaIntermediário",Mercado_Receita!$L$2:$L$1214)+SUMIF(Mercado_Receita!$S$2:$S$1214,"44409B4ConvencionalIluminação públicaIluminação pública – B4aNão se aplicaNão se aplicaNão se aplica",Mercado_Receita!$L$2:$L$1214)</f>
        <v>2883.42</v>
      </c>
      <c r="P57" s="12">
        <f>SUMIF(Mercado_Receita!$S$2:$S$1214,"44440B4ConvencionalIluminação públicaIluminação pública – B4aNão se aplicaNão se aplicaPonta",Mercado_Receita!$L$2:$L$1214)+SUMIF(Mercado_Receita!$S$2:$S$1214,"44440B4ConvencionalIluminação públicaIluminação pública – B4aNão se aplicaNão se aplicaFora ponta",Mercado_Receita!$L$2:$L$1214)+SUMIF(Mercado_Receita!$S$2:$S$1214,"44440B4ConvencionalIluminação públicaIluminação pública – B4aNão se aplicaNão se aplicaIntermediário",Mercado_Receita!$L$2:$L$1214)+SUMIF(Mercado_Receita!$S$2:$S$1214,"44440B4ConvencionalIluminação públicaIluminação pública – B4aNão se aplicaNão se aplicaNão se aplica",Mercado_Receita!$L$2:$L$1214)</f>
        <v>2778.9769999999999</v>
      </c>
      <c r="Q57" s="12">
        <f>SUMIF(Mercado_Receita!$S$2:$S$1214,"44470B4ConvencionalIluminação públicaIluminação pública – B4aNão se aplicaNão se aplicaPonta",Mercado_Receita!$L$2:$L$1214)+SUMIF(Mercado_Receita!$S$2:$S$1214,"44470B4ConvencionalIluminação públicaIluminação pública – B4aNão se aplicaNão se aplicaFora ponta",Mercado_Receita!$L$2:$L$1214)+SUMIF(Mercado_Receita!$S$2:$S$1214,"44470B4ConvencionalIluminação públicaIluminação pública – B4aNão se aplicaNão se aplicaIntermediário",Mercado_Receita!$L$2:$L$1214)+SUMIF(Mercado_Receita!$S$2:$S$1214,"44470B4ConvencionalIluminação públicaIluminação pública – B4aNão se aplicaNão se aplicaNão se aplica",Mercado_Receita!$L$2:$L$1214)</f>
        <v>2857.6770000000001</v>
      </c>
      <c r="R57" s="12">
        <f>SUMIF(Mercado_Receita!$S$2:$S$1214,"44501B4ConvencionalIluminação públicaIluminação pública – B4aNão se aplicaNão se aplicaPonta",Mercado_Receita!$L$2:$L$1214)+SUMIF(Mercado_Receita!$S$2:$S$1214,"44501B4ConvencionalIluminação públicaIluminação pública – B4aNão se aplicaNão se aplicaFora ponta",Mercado_Receita!$L$2:$L$1214)+SUMIF(Mercado_Receita!$S$2:$S$1214,"44501B4ConvencionalIluminação públicaIluminação pública – B4aNão se aplicaNão se aplicaIntermediário",Mercado_Receita!$L$2:$L$1214)+SUMIF(Mercado_Receita!$S$2:$S$1214,"44501B4ConvencionalIluminação públicaIluminação pública – B4aNão se aplicaNão se aplicaNão se aplica",Mercado_Receita!$L$2:$L$1214)</f>
        <v>2714.1350000000002</v>
      </c>
      <c r="S57" s="12">
        <f>SUMIF(Mercado_Receita!$S$2:$S$1214,"44531B4ConvencionalIluminação públicaIluminação pública – B4aNão se aplicaNão se aplicaPonta",Mercado_Receita!$L$2:$L$1214)+SUMIF(Mercado_Receita!$S$2:$S$1214,"44531B4ConvencionalIluminação públicaIluminação pública – B4aNão se aplicaNão se aplicaFora ponta",Mercado_Receita!$L$2:$L$1214)+SUMIF(Mercado_Receita!$S$2:$S$1214,"44531B4ConvencionalIluminação públicaIluminação pública – B4aNão se aplicaNão se aplicaIntermediário",Mercado_Receita!$L$2:$L$1214)+SUMIF(Mercado_Receita!$S$2:$S$1214,"44531B4ConvencionalIluminação públicaIluminação pública – B4aNão se aplicaNão se aplicaNão se aplica",Mercado_Receita!$L$2:$L$1214)</f>
        <v>2795.0160000000001</v>
      </c>
      <c r="T57" s="12">
        <f>SUMIF(Mercado_Receita!$S$2:$S$1214,"44562B4ConvencionalIluminação públicaIluminação pública – B4aNão se aplicaNão se aplicaPonta",Mercado_Receita!$L$2:$L$1214)+SUMIF(Mercado_Receita!$S$2:$S$1214,"44562B4ConvencionalIluminação públicaIluminação pública – B4aNão se aplicaNão se aplicaFora ponta",Mercado_Receita!$L$2:$L$1214)+SUMIF(Mercado_Receita!$S$2:$S$1214,"44562B4ConvencionalIluminação públicaIluminação pública – B4aNão se aplicaNão se aplicaIntermediário",Mercado_Receita!$L$2:$L$1214)+SUMIF(Mercado_Receita!$S$2:$S$1214,"44562B4ConvencionalIluminação públicaIluminação pública – B4aNão se aplicaNão se aplicaNão se aplica",Mercado_Receita!$L$2:$L$1214)</f>
        <v>2795.0160000000001</v>
      </c>
      <c r="U57" s="12">
        <f t="shared" si="1"/>
        <v>35555.334999999999</v>
      </c>
      <c r="V57" s="12"/>
      <c r="W57" s="12"/>
    </row>
    <row r="58" spans="1:23" ht="11.25" customHeight="1" x14ac:dyDescent="0.25">
      <c r="A58" s="92"/>
      <c r="B58" s="92"/>
      <c r="C58" s="92"/>
      <c r="D58" s="12" t="s">
        <v>96</v>
      </c>
      <c r="E58" s="12" t="s">
        <v>25</v>
      </c>
      <c r="F58" s="12" t="s">
        <v>25</v>
      </c>
      <c r="G58" s="12" t="s">
        <v>84</v>
      </c>
      <c r="H58" s="12" t="s">
        <v>78</v>
      </c>
      <c r="I58" s="12">
        <f>SUMIF(Mercado_Receita!$S$2:$S$1214,"44228B4ConvencionalIluminação públicaIluminação pública – B4bNão se aplicaNão se aplicaPonta",Mercado_Receita!$L$2:$L$1214)+SUMIF(Mercado_Receita!$S$2:$S$1214,"44228B4ConvencionalIluminação públicaIluminação pública – B4bNão se aplicaNão se aplicaFora ponta",Mercado_Receita!$L$2:$L$1214)+SUMIF(Mercado_Receita!$S$2:$S$1214,"44228B4ConvencionalIluminação públicaIluminação pública – B4bNão se aplicaNão se aplicaIntermediário",Mercado_Receita!$L$2:$L$1214)+SUMIF(Mercado_Receita!$S$2:$S$1214,"44228B4ConvencionalIluminação públicaIluminação pública – B4bNão se aplicaNão se aplicaNão se aplica",Mercado_Receita!$L$2:$L$1214)</f>
        <v>0</v>
      </c>
      <c r="J58" s="12">
        <f>SUMIF(Mercado_Receita!$S$2:$S$1214,"44256B4ConvencionalIluminação públicaIluminação pública – B4bNão se aplicaNão se aplicaPonta",Mercado_Receita!$L$2:$L$1214)+SUMIF(Mercado_Receita!$S$2:$S$1214,"44256B4ConvencionalIluminação públicaIluminação pública – B4bNão se aplicaNão se aplicaFora ponta",Mercado_Receita!$L$2:$L$1214)+SUMIF(Mercado_Receita!$S$2:$S$1214,"44256B4ConvencionalIluminação públicaIluminação pública – B4bNão se aplicaNão se aplicaIntermediário",Mercado_Receita!$L$2:$L$1214)+SUMIF(Mercado_Receita!$S$2:$S$1214,"44256B4ConvencionalIluminação públicaIluminação pública – B4bNão se aplicaNão se aplicaNão se aplica",Mercado_Receita!$L$2:$L$1214)</f>
        <v>0</v>
      </c>
      <c r="K58" s="12">
        <f>SUMIF(Mercado_Receita!$S$2:$S$1214,"44287B4ConvencionalIluminação públicaIluminação pública – B4bNão se aplicaNão se aplicaPonta",Mercado_Receita!$L$2:$L$1214)+SUMIF(Mercado_Receita!$S$2:$S$1214,"44287B4ConvencionalIluminação públicaIluminação pública – B4bNão se aplicaNão se aplicaFora ponta",Mercado_Receita!$L$2:$L$1214)+SUMIF(Mercado_Receita!$S$2:$S$1214,"44287B4ConvencionalIluminação públicaIluminação pública – B4bNão se aplicaNão se aplicaIntermediário",Mercado_Receita!$L$2:$L$1214)+SUMIF(Mercado_Receita!$S$2:$S$1214,"44287B4ConvencionalIluminação públicaIluminação pública – B4bNão se aplicaNão se aplicaNão se aplica",Mercado_Receita!$L$2:$L$1214)</f>
        <v>0</v>
      </c>
      <c r="L58" s="12">
        <f>SUMIF(Mercado_Receita!$S$2:$S$1214,"44317B4ConvencionalIluminação públicaIluminação pública – B4bNão se aplicaNão se aplicaPonta",Mercado_Receita!$L$2:$L$1214)+SUMIF(Mercado_Receita!$S$2:$S$1214,"44317B4ConvencionalIluminação públicaIluminação pública – B4bNão se aplicaNão se aplicaFora ponta",Mercado_Receita!$L$2:$L$1214)+SUMIF(Mercado_Receita!$S$2:$S$1214,"44317B4ConvencionalIluminação públicaIluminação pública – B4bNão se aplicaNão se aplicaIntermediário",Mercado_Receita!$L$2:$L$1214)+SUMIF(Mercado_Receita!$S$2:$S$1214,"44317B4ConvencionalIluminação públicaIluminação pública – B4bNão se aplicaNão se aplicaNão se aplica",Mercado_Receita!$L$2:$L$1214)</f>
        <v>0</v>
      </c>
      <c r="M58" s="12">
        <f>SUMIF(Mercado_Receita!$S$2:$S$1214,"44348B4ConvencionalIluminação públicaIluminação pública – B4bNão se aplicaNão se aplicaPonta",Mercado_Receita!$L$2:$L$1214)+SUMIF(Mercado_Receita!$S$2:$S$1214,"44348B4ConvencionalIluminação públicaIluminação pública – B4bNão se aplicaNão se aplicaFora ponta",Mercado_Receita!$L$2:$L$1214)+SUMIF(Mercado_Receita!$S$2:$S$1214,"44348B4ConvencionalIluminação públicaIluminação pública – B4bNão se aplicaNão se aplicaIntermediário",Mercado_Receita!$L$2:$L$1214)+SUMIF(Mercado_Receita!$S$2:$S$1214,"44348B4ConvencionalIluminação públicaIluminação pública – B4bNão se aplicaNão se aplicaNão se aplica",Mercado_Receita!$L$2:$L$1214)</f>
        <v>0</v>
      </c>
      <c r="N58" s="12">
        <f>SUMIF(Mercado_Receita!$S$2:$S$1214,"44378B4ConvencionalIluminação públicaIluminação pública – B4bNão se aplicaNão se aplicaPonta",Mercado_Receita!$L$2:$L$1214)+SUMIF(Mercado_Receita!$S$2:$S$1214,"44378B4ConvencionalIluminação públicaIluminação pública – B4bNão se aplicaNão se aplicaFora ponta",Mercado_Receita!$L$2:$L$1214)+SUMIF(Mercado_Receita!$S$2:$S$1214,"44378B4ConvencionalIluminação públicaIluminação pública – B4bNão se aplicaNão se aplicaIntermediário",Mercado_Receita!$L$2:$L$1214)+SUMIF(Mercado_Receita!$S$2:$S$1214,"44378B4ConvencionalIluminação públicaIluminação pública – B4bNão se aplicaNão se aplicaNão se aplica",Mercado_Receita!$L$2:$L$1214)</f>
        <v>0</v>
      </c>
      <c r="O58" s="12">
        <f>SUMIF(Mercado_Receita!$S$2:$S$1214,"44409B4ConvencionalIluminação públicaIluminação pública – B4bNão se aplicaNão se aplicaPonta",Mercado_Receita!$L$2:$L$1214)+SUMIF(Mercado_Receita!$S$2:$S$1214,"44409B4ConvencionalIluminação públicaIluminação pública – B4bNão se aplicaNão se aplicaFora ponta",Mercado_Receita!$L$2:$L$1214)+SUMIF(Mercado_Receita!$S$2:$S$1214,"44409B4ConvencionalIluminação públicaIluminação pública – B4bNão se aplicaNão se aplicaIntermediário",Mercado_Receita!$L$2:$L$1214)+SUMIF(Mercado_Receita!$S$2:$S$1214,"44409B4ConvencionalIluminação públicaIluminação pública – B4bNão se aplicaNão se aplicaNão se aplica",Mercado_Receita!$L$2:$L$1214)</f>
        <v>0</v>
      </c>
      <c r="P58" s="12">
        <f>SUMIF(Mercado_Receita!$S$2:$S$1214,"44440B4ConvencionalIluminação públicaIluminação pública – B4bNão se aplicaNão se aplicaPonta",Mercado_Receita!$L$2:$L$1214)+SUMIF(Mercado_Receita!$S$2:$S$1214,"44440B4ConvencionalIluminação públicaIluminação pública – B4bNão se aplicaNão se aplicaFora ponta",Mercado_Receita!$L$2:$L$1214)+SUMIF(Mercado_Receita!$S$2:$S$1214,"44440B4ConvencionalIluminação públicaIluminação pública – B4bNão se aplicaNão se aplicaIntermediário",Mercado_Receita!$L$2:$L$1214)+SUMIF(Mercado_Receita!$S$2:$S$1214,"44440B4ConvencionalIluminação públicaIluminação pública – B4bNão se aplicaNão se aplicaNão se aplica",Mercado_Receita!$L$2:$L$1214)</f>
        <v>0</v>
      </c>
      <c r="Q58" s="12">
        <f>SUMIF(Mercado_Receita!$S$2:$S$1214,"44470B4ConvencionalIluminação públicaIluminação pública – B4bNão se aplicaNão se aplicaPonta",Mercado_Receita!$L$2:$L$1214)+SUMIF(Mercado_Receita!$S$2:$S$1214,"44470B4ConvencionalIluminação públicaIluminação pública – B4bNão se aplicaNão se aplicaFora ponta",Mercado_Receita!$L$2:$L$1214)+SUMIF(Mercado_Receita!$S$2:$S$1214,"44470B4ConvencionalIluminação públicaIluminação pública – B4bNão se aplicaNão se aplicaIntermediário",Mercado_Receita!$L$2:$L$1214)+SUMIF(Mercado_Receita!$S$2:$S$1214,"44470B4ConvencionalIluminação públicaIluminação pública – B4bNão se aplicaNão se aplicaNão se aplica",Mercado_Receita!$L$2:$L$1214)</f>
        <v>0</v>
      </c>
      <c r="R58" s="12">
        <f>SUMIF(Mercado_Receita!$S$2:$S$1214,"44501B4ConvencionalIluminação públicaIluminação pública – B4bNão se aplicaNão se aplicaPonta",Mercado_Receita!$L$2:$L$1214)+SUMIF(Mercado_Receita!$S$2:$S$1214,"44501B4ConvencionalIluminação públicaIluminação pública – B4bNão se aplicaNão se aplicaFora ponta",Mercado_Receita!$L$2:$L$1214)+SUMIF(Mercado_Receita!$S$2:$S$1214,"44501B4ConvencionalIluminação públicaIluminação pública – B4bNão se aplicaNão se aplicaIntermediário",Mercado_Receita!$L$2:$L$1214)+SUMIF(Mercado_Receita!$S$2:$S$1214,"44501B4ConvencionalIluminação públicaIluminação pública – B4bNão se aplicaNão se aplicaNão se aplica",Mercado_Receita!$L$2:$L$1214)</f>
        <v>0</v>
      </c>
      <c r="S58" s="12">
        <f>SUMIF(Mercado_Receita!$S$2:$S$1214,"44531B4ConvencionalIluminação públicaIluminação pública – B4bNão se aplicaNão se aplicaPonta",Mercado_Receita!$L$2:$L$1214)+SUMIF(Mercado_Receita!$S$2:$S$1214,"44531B4ConvencionalIluminação públicaIluminação pública – B4bNão se aplicaNão se aplicaFora ponta",Mercado_Receita!$L$2:$L$1214)+SUMIF(Mercado_Receita!$S$2:$S$1214,"44531B4ConvencionalIluminação públicaIluminação pública – B4bNão se aplicaNão se aplicaIntermediário",Mercado_Receita!$L$2:$L$1214)+SUMIF(Mercado_Receita!$S$2:$S$1214,"44531B4ConvencionalIluminação públicaIluminação pública – B4bNão se aplicaNão se aplicaNão se aplica",Mercado_Receita!$L$2:$L$1214)</f>
        <v>0</v>
      </c>
      <c r="T58" s="12">
        <f>SUMIF(Mercado_Receita!$S$2:$S$1214,"44562B4ConvencionalIluminação públicaIluminação pública – B4bNão se aplicaNão se aplicaPonta",Mercado_Receita!$L$2:$L$1214)+SUMIF(Mercado_Receita!$S$2:$S$1214,"44562B4ConvencionalIluminação públicaIluminação pública – B4bNão se aplicaNão se aplicaFora ponta",Mercado_Receita!$L$2:$L$1214)+SUMIF(Mercado_Receita!$S$2:$S$1214,"44562B4ConvencionalIluminação públicaIluminação pública – B4bNão se aplicaNão se aplicaIntermediário",Mercado_Receita!$L$2:$L$1214)+SUMIF(Mercado_Receita!$S$2:$S$1214,"44562B4ConvencionalIluminação públicaIluminação pública – B4bNão se aplicaNão se aplicaNão se aplica",Mercado_Receita!$L$2:$L$1214)</f>
        <v>0</v>
      </c>
      <c r="U58" s="12">
        <f t="shared" si="1"/>
        <v>0</v>
      </c>
      <c r="V58" s="12"/>
      <c r="W58" s="12"/>
    </row>
    <row r="59" spans="1:23" ht="11.25" customHeight="1" x14ac:dyDescent="0.25">
      <c r="A59" s="93" t="s">
        <v>715</v>
      </c>
      <c r="B59" s="94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12"/>
      <c r="W59" s="12"/>
    </row>
  </sheetData>
  <mergeCells count="71">
    <mergeCell ref="A57:A58"/>
    <mergeCell ref="B57:B58"/>
    <mergeCell ref="C57:C58"/>
    <mergeCell ref="A59:U59"/>
    <mergeCell ref="C49:C51"/>
    <mergeCell ref="B49:B51"/>
    <mergeCell ref="A37:A51"/>
    <mergeCell ref="F52:F54"/>
    <mergeCell ref="E52:E54"/>
    <mergeCell ref="D52:D54"/>
    <mergeCell ref="C52:C54"/>
    <mergeCell ref="B52:B54"/>
    <mergeCell ref="A52:A56"/>
    <mergeCell ref="F41:F43"/>
    <mergeCell ref="E41:E43"/>
    <mergeCell ref="D41:D43"/>
    <mergeCell ref="C41:C43"/>
    <mergeCell ref="B41:B43"/>
    <mergeCell ref="F45:F47"/>
    <mergeCell ref="E45:E47"/>
    <mergeCell ref="D45:D47"/>
    <mergeCell ref="C45:C47"/>
    <mergeCell ref="B45:B47"/>
    <mergeCell ref="C27:C31"/>
    <mergeCell ref="B27:B31"/>
    <mergeCell ref="C32:C36"/>
    <mergeCell ref="B32:B36"/>
    <mergeCell ref="A24:A36"/>
    <mergeCell ref="F37:F39"/>
    <mergeCell ref="E37:E39"/>
    <mergeCell ref="D37:D39"/>
    <mergeCell ref="C37:C39"/>
    <mergeCell ref="B37:B39"/>
    <mergeCell ref="D22:D23"/>
    <mergeCell ref="C22:C23"/>
    <mergeCell ref="B22:B23"/>
    <mergeCell ref="A22:A23"/>
    <mergeCell ref="F24:F26"/>
    <mergeCell ref="E24:E26"/>
    <mergeCell ref="D24:D26"/>
    <mergeCell ref="C24:C26"/>
    <mergeCell ref="B24:B26"/>
    <mergeCell ref="A9:A21"/>
    <mergeCell ref="F13:F15"/>
    <mergeCell ref="E13:E15"/>
    <mergeCell ref="D13:D15"/>
    <mergeCell ref="C13:C15"/>
    <mergeCell ref="B13:B15"/>
    <mergeCell ref="F17:F19"/>
    <mergeCell ref="E17:E19"/>
    <mergeCell ref="F20:F21"/>
    <mergeCell ref="E20:E21"/>
    <mergeCell ref="D17:D21"/>
    <mergeCell ref="C17:C21"/>
    <mergeCell ref="B17:B21"/>
    <mergeCell ref="A2:A8"/>
    <mergeCell ref="F9:F11"/>
    <mergeCell ref="E9:E11"/>
    <mergeCell ref="D9:D12"/>
    <mergeCell ref="C9:C12"/>
    <mergeCell ref="B9:B12"/>
    <mergeCell ref="F2:F4"/>
    <mergeCell ref="E2:E4"/>
    <mergeCell ref="D2:D5"/>
    <mergeCell ref="C2:C5"/>
    <mergeCell ref="B2:B5"/>
    <mergeCell ref="F6:F8"/>
    <mergeCell ref="E6:E8"/>
    <mergeCell ref="D6:D8"/>
    <mergeCell ref="C6:C8"/>
    <mergeCell ref="B6:B8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8B2E0-3C1F-4966-8F08-3C67A446D0B6}">
  <dimension ref="A1:AD42"/>
  <sheetViews>
    <sheetView showGridLines="0" workbookViewId="0"/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68</v>
      </c>
      <c r="B1" s="10" t="s">
        <v>69</v>
      </c>
      <c r="C1" s="10" t="s">
        <v>70</v>
      </c>
      <c r="D1" s="10" t="s">
        <v>71</v>
      </c>
      <c r="E1" s="10" t="s">
        <v>72</v>
      </c>
      <c r="F1" s="10" t="s">
        <v>73</v>
      </c>
      <c r="G1" s="10" t="s">
        <v>74</v>
      </c>
      <c r="H1" s="10" t="s">
        <v>75</v>
      </c>
      <c r="I1" s="11">
        <v>44228</v>
      </c>
      <c r="J1" s="11">
        <v>44256</v>
      </c>
      <c r="K1" s="11">
        <v>44287</v>
      </c>
      <c r="L1" s="11">
        <v>44317</v>
      </c>
      <c r="M1" s="11">
        <v>44348</v>
      </c>
      <c r="N1" s="11">
        <v>44378</v>
      </c>
      <c r="O1" s="11">
        <v>44409</v>
      </c>
      <c r="P1" s="11">
        <v>44440</v>
      </c>
      <c r="Q1" s="11">
        <v>44470</v>
      </c>
      <c r="R1" s="11">
        <v>44501</v>
      </c>
      <c r="S1" s="11">
        <v>44531</v>
      </c>
      <c r="T1" s="11">
        <v>44562</v>
      </c>
      <c r="U1" s="10" t="s">
        <v>76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91" t="s">
        <v>56</v>
      </c>
      <c r="B2" s="91" t="s">
        <v>77</v>
      </c>
      <c r="C2" s="91" t="s">
        <v>25</v>
      </c>
      <c r="D2" s="91" t="s">
        <v>25</v>
      </c>
      <c r="E2" s="91" t="s">
        <v>25</v>
      </c>
      <c r="F2" s="91" t="s">
        <v>25</v>
      </c>
      <c r="G2" s="12" t="s">
        <v>79</v>
      </c>
      <c r="H2" s="12" t="s">
        <v>78</v>
      </c>
      <c r="I2" s="12">
        <f>SUMIF(Mercado_Receita!$T$2:$T$1214,"44228A3Energia horáriaNão se aplicaNão se aplicaNão se aplicaNão se aplicaPonta",Mercado_Receita!$N$2:$N$1214)</f>
        <v>0</v>
      </c>
      <c r="J2" s="12">
        <f>SUMIF(Mercado_Receita!$T$2:$T$1214,"44256A3Energia horáriaNão se aplicaNão se aplicaNão se aplicaNão se aplicaPonta",Mercado_Receita!$N$2:$N$1214)</f>
        <v>0</v>
      </c>
      <c r="K2" s="12">
        <f>SUMIF(Mercado_Receita!$T$2:$T$1214,"44287A3Energia horáriaNão se aplicaNão se aplicaNão se aplicaNão se aplicaPonta",Mercado_Receita!$N$2:$N$1214)</f>
        <v>0</v>
      </c>
      <c r="L2" s="12">
        <f>SUMIF(Mercado_Receita!$T$2:$T$1214,"44317A3Energia horáriaNão se aplicaNão se aplicaNão se aplicaNão se aplicaPonta",Mercado_Receita!$N$2:$N$1214)</f>
        <v>0</v>
      </c>
      <c r="M2" s="12">
        <f>SUMIF(Mercado_Receita!$T$2:$T$1214,"44348A3Energia horáriaNão se aplicaNão se aplicaNão se aplicaNão se aplicaPonta",Mercado_Receita!$N$2:$N$1214)</f>
        <v>0</v>
      </c>
      <c r="N2" s="12">
        <f>SUMIF(Mercado_Receita!$T$2:$T$1214,"44378A3Energia horáriaNão se aplicaNão se aplicaNão se aplicaNão se aplicaPonta",Mercado_Receita!$N$2:$N$1214)</f>
        <v>0</v>
      </c>
      <c r="O2" s="12">
        <f>SUMIF(Mercado_Receita!$T$2:$T$1214,"44409A3Energia horáriaNão se aplicaNão se aplicaNão se aplicaNão se aplicaPonta",Mercado_Receita!$N$2:$N$1214)</f>
        <v>0</v>
      </c>
      <c r="P2" s="12">
        <f>SUMIF(Mercado_Receita!$T$2:$T$1214,"44440A3Energia horáriaNão se aplicaNão se aplicaNão se aplicaNão se aplicaPonta",Mercado_Receita!$N$2:$N$1214)</f>
        <v>0</v>
      </c>
      <c r="Q2" s="12">
        <f>SUMIF(Mercado_Receita!$T$2:$T$1214,"44470A3Energia horáriaNão se aplicaNão se aplicaNão se aplicaNão se aplicaPonta",Mercado_Receita!$N$2:$N$1214)</f>
        <v>0</v>
      </c>
      <c r="R2" s="12">
        <f>SUMIF(Mercado_Receita!$T$2:$T$1214,"44501A3Energia horáriaNão se aplicaNão se aplicaNão se aplicaNão se aplicaPonta",Mercado_Receita!$N$2:$N$1214)</f>
        <v>0</v>
      </c>
      <c r="S2" s="12">
        <f>SUMIF(Mercado_Receita!$T$2:$T$1214,"44531A3Energia horáriaNão se aplicaNão se aplicaNão se aplicaNão se aplicaPonta",Mercado_Receita!$N$2:$N$1214)</f>
        <v>0</v>
      </c>
      <c r="T2" s="12">
        <f>SUMIF(Mercado_Receita!$T$2:$T$1214,"44562A3Energia horáriaNão se aplicaNão se aplicaNão se aplicaNão se aplicaPonta",Mercado_Receita!$N$2:$N$1214)</f>
        <v>0</v>
      </c>
      <c r="U2" s="12">
        <f t="shared" ref="U2:U41" si="0">SUM(I2:T2)</f>
        <v>0</v>
      </c>
      <c r="V2" s="12"/>
      <c r="W2" s="12"/>
    </row>
    <row r="3" spans="1:30" ht="11.25" customHeight="1" x14ac:dyDescent="0.25">
      <c r="A3" s="92"/>
      <c r="B3" s="92"/>
      <c r="C3" s="92"/>
      <c r="D3" s="92"/>
      <c r="E3" s="92"/>
      <c r="F3" s="92"/>
      <c r="G3" s="12" t="s">
        <v>80</v>
      </c>
      <c r="H3" s="12" t="s">
        <v>78</v>
      </c>
      <c r="I3" s="12">
        <f>SUMIF(Mercado_Receita!$T$2:$T$1214,"44228A3Energia horáriaNão se aplicaNão se aplicaNão se aplicaNão se aplicaFora ponta",Mercado_Receita!$N$2:$N$1214)</f>
        <v>0</v>
      </c>
      <c r="J3" s="12">
        <f>SUMIF(Mercado_Receita!$T$2:$T$1214,"44256A3Energia horáriaNão se aplicaNão se aplicaNão se aplicaNão se aplicaFora ponta",Mercado_Receita!$N$2:$N$1214)</f>
        <v>0</v>
      </c>
      <c r="K3" s="12">
        <f>SUMIF(Mercado_Receita!$T$2:$T$1214,"44287A3Energia horáriaNão se aplicaNão se aplicaNão se aplicaNão se aplicaFora ponta",Mercado_Receita!$N$2:$N$1214)</f>
        <v>0</v>
      </c>
      <c r="L3" s="12">
        <f>SUMIF(Mercado_Receita!$T$2:$T$1214,"44317A3Energia horáriaNão se aplicaNão se aplicaNão se aplicaNão se aplicaFora ponta",Mercado_Receita!$N$2:$N$1214)</f>
        <v>0</v>
      </c>
      <c r="M3" s="12">
        <f>SUMIF(Mercado_Receita!$T$2:$T$1214,"44348A3Energia horáriaNão se aplicaNão se aplicaNão se aplicaNão se aplicaFora ponta",Mercado_Receita!$N$2:$N$1214)</f>
        <v>0</v>
      </c>
      <c r="N3" s="12">
        <f>SUMIF(Mercado_Receita!$T$2:$T$1214,"44378A3Energia horáriaNão se aplicaNão se aplicaNão se aplicaNão se aplicaFora ponta",Mercado_Receita!$N$2:$N$1214)</f>
        <v>0</v>
      </c>
      <c r="O3" s="12">
        <f>SUMIF(Mercado_Receita!$T$2:$T$1214,"44409A3Energia horáriaNão se aplicaNão se aplicaNão se aplicaNão se aplicaFora ponta",Mercado_Receita!$N$2:$N$1214)</f>
        <v>0</v>
      </c>
      <c r="P3" s="12">
        <f>SUMIF(Mercado_Receita!$T$2:$T$1214,"44440A3Energia horáriaNão se aplicaNão se aplicaNão se aplicaNão se aplicaFora ponta",Mercado_Receita!$N$2:$N$1214)</f>
        <v>0</v>
      </c>
      <c r="Q3" s="12">
        <f>SUMIF(Mercado_Receita!$T$2:$T$1214,"44470A3Energia horáriaNão se aplicaNão se aplicaNão se aplicaNão se aplicaFora ponta",Mercado_Receita!$N$2:$N$1214)</f>
        <v>0</v>
      </c>
      <c r="R3" s="12">
        <f>SUMIF(Mercado_Receita!$T$2:$T$1214,"44501A3Energia horáriaNão se aplicaNão se aplicaNão se aplicaNão se aplicaFora ponta",Mercado_Receita!$N$2:$N$1214)</f>
        <v>0</v>
      </c>
      <c r="S3" s="12">
        <f>SUMIF(Mercado_Receita!$T$2:$T$1214,"44531A3Energia horáriaNão se aplicaNão se aplicaNão se aplicaNão se aplicaFora ponta",Mercado_Receita!$N$2:$N$1214)</f>
        <v>0</v>
      </c>
      <c r="T3" s="12">
        <f>SUMIF(Mercado_Receita!$T$2:$T$1214,"44562A3Energia horáriaNão se aplicaNão se aplicaNão se aplicaNão se aplicaFora ponta",Mercado_Receita!$N$2:$N$1214)</f>
        <v>0</v>
      </c>
      <c r="U3" s="12">
        <f t="shared" si="0"/>
        <v>0</v>
      </c>
      <c r="V3" s="12"/>
      <c r="W3" s="12"/>
    </row>
    <row r="4" spans="1:30" ht="11.25" customHeight="1" x14ac:dyDescent="0.25">
      <c r="A4" s="91" t="s">
        <v>39</v>
      </c>
      <c r="B4" s="91" t="s">
        <v>77</v>
      </c>
      <c r="C4" s="91" t="s">
        <v>25</v>
      </c>
      <c r="D4" s="91" t="s">
        <v>25</v>
      </c>
      <c r="E4" s="91" t="s">
        <v>25</v>
      </c>
      <c r="F4" s="91" t="s">
        <v>25</v>
      </c>
      <c r="G4" s="12" t="s">
        <v>79</v>
      </c>
      <c r="H4" s="12" t="s">
        <v>78</v>
      </c>
      <c r="I4" s="12">
        <f>SUMIF(Mercado_Receita!$T$2:$T$1214,"44228A4Energia horáriaNão se aplicaNão se aplicaNão se aplicaNão se aplicaPonta",Mercado_Receita!$N$2:$N$1214)</f>
        <v>654.71999999999991</v>
      </c>
      <c r="J4" s="12">
        <f>SUMIF(Mercado_Receita!$T$2:$T$1214,"44256A4Energia horáriaNão se aplicaNão se aplicaNão se aplicaNão se aplicaPonta",Mercado_Receita!$N$2:$N$1214)</f>
        <v>700.1389999999999</v>
      </c>
      <c r="K4" s="12">
        <f>SUMIF(Mercado_Receita!$T$2:$T$1214,"44287A4Energia horáriaNão se aplicaNão se aplicaNão se aplicaNão se aplicaPonta",Mercado_Receita!$N$2:$N$1214)</f>
        <v>667.24099999999999</v>
      </c>
      <c r="L4" s="12">
        <f>SUMIF(Mercado_Receita!$T$2:$T$1214,"44317A4Energia horáriaNão se aplicaNão se aplicaNão se aplicaNão se aplicaPonta",Mercado_Receita!$N$2:$N$1214)</f>
        <v>634.45099999999991</v>
      </c>
      <c r="M4" s="12">
        <f>SUMIF(Mercado_Receita!$T$2:$T$1214,"44348A4Energia horáriaNão se aplicaNão se aplicaNão se aplicaNão se aplicaPonta",Mercado_Receita!$N$2:$N$1214)</f>
        <v>653.88800000000003</v>
      </c>
      <c r="N4" s="12">
        <f>SUMIF(Mercado_Receita!$T$2:$T$1214,"44378A4Energia horáriaNão se aplicaNão se aplicaNão se aplicaNão se aplicaPonta",Mercado_Receita!$N$2:$N$1214)</f>
        <v>680.01700000000005</v>
      </c>
      <c r="O4" s="12">
        <f>SUMIF(Mercado_Receita!$T$2:$T$1214,"44409A4Energia horáriaNão se aplicaNão se aplicaNão se aplicaNão se aplicaPonta",Mercado_Receita!$N$2:$N$1214)</f>
        <v>685.22000000000014</v>
      </c>
      <c r="P4" s="12">
        <f>SUMIF(Mercado_Receita!$T$2:$T$1214,"44440A4Energia horáriaNão se aplicaNão se aplicaNão se aplicaNão se aplicaPonta",Mercado_Receita!$N$2:$N$1214)</f>
        <v>662.59299999999996</v>
      </c>
      <c r="Q4" s="12">
        <f>SUMIF(Mercado_Receita!$T$2:$T$1214,"44470A4Energia horáriaNão se aplicaNão se aplicaNão se aplicaNão se aplicaPonta",Mercado_Receita!$N$2:$N$1214)</f>
        <v>647.89600000000007</v>
      </c>
      <c r="R4" s="12">
        <f>SUMIF(Mercado_Receita!$T$2:$T$1214,"44501A4Energia horáriaNão se aplicaNão se aplicaNão se aplicaNão se aplicaPonta",Mercado_Receita!$N$2:$N$1214)</f>
        <v>671.76499999999999</v>
      </c>
      <c r="S4" s="12">
        <f>SUMIF(Mercado_Receita!$T$2:$T$1214,"44531A4Energia horáriaNão se aplicaNão se aplicaNão se aplicaNão se aplicaPonta",Mercado_Receita!$N$2:$N$1214)</f>
        <v>728.60199999999986</v>
      </c>
      <c r="T4" s="12">
        <f>SUMIF(Mercado_Receita!$T$2:$T$1214,"44562A4Energia horáriaNão se aplicaNão se aplicaNão se aplicaNão se aplicaPonta",Mercado_Receita!$N$2:$N$1214)</f>
        <v>728.60199999999986</v>
      </c>
      <c r="U4" s="12">
        <f t="shared" si="0"/>
        <v>8115.134</v>
      </c>
      <c r="V4" s="12"/>
      <c r="W4" s="12"/>
    </row>
    <row r="5" spans="1:30" ht="11.25" customHeight="1" x14ac:dyDescent="0.25">
      <c r="A5" s="92"/>
      <c r="B5" s="92"/>
      <c r="C5" s="92"/>
      <c r="D5" s="92"/>
      <c r="E5" s="92"/>
      <c r="F5" s="92"/>
      <c r="G5" s="12" t="s">
        <v>80</v>
      </c>
      <c r="H5" s="12" t="s">
        <v>78</v>
      </c>
      <c r="I5" s="12">
        <f>SUMIF(Mercado_Receita!$T$2:$T$1214,"44228A4Energia horáriaNão se aplicaNão se aplicaNão se aplicaNão se aplicaFora ponta",Mercado_Receita!$N$2:$N$1214)</f>
        <v>8968.9310000000005</v>
      </c>
      <c r="J5" s="12">
        <f>SUMIF(Mercado_Receita!$T$2:$T$1214,"44256A4Energia horáriaNão se aplicaNão se aplicaNão se aplicaNão se aplicaFora ponta",Mercado_Receita!$N$2:$N$1214)</f>
        <v>9163.9409999999989</v>
      </c>
      <c r="K5" s="12">
        <f>SUMIF(Mercado_Receita!$T$2:$T$1214,"44287A4Energia horáriaNão se aplicaNão se aplicaNão se aplicaNão se aplicaFora ponta",Mercado_Receita!$N$2:$N$1214)</f>
        <v>9115.33</v>
      </c>
      <c r="L5" s="12">
        <f>SUMIF(Mercado_Receita!$T$2:$T$1214,"44317A4Energia horáriaNão se aplicaNão se aplicaNão se aplicaNão se aplicaFora ponta",Mercado_Receita!$N$2:$N$1214)</f>
        <v>9157.0040000000008</v>
      </c>
      <c r="M5" s="12">
        <f>SUMIF(Mercado_Receita!$T$2:$T$1214,"44348A4Energia horáriaNão se aplicaNão se aplicaNão se aplicaNão se aplicaFora ponta",Mercado_Receita!$N$2:$N$1214)</f>
        <v>8621.5969999999979</v>
      </c>
      <c r="N5" s="12">
        <f>SUMIF(Mercado_Receita!$T$2:$T$1214,"44378A4Energia horáriaNão se aplicaNão se aplicaNão se aplicaNão se aplicaFora ponta",Mercado_Receita!$N$2:$N$1214)</f>
        <v>8956.4990000000016</v>
      </c>
      <c r="O5" s="12">
        <f>SUMIF(Mercado_Receita!$T$2:$T$1214,"44409A4Energia horáriaNão se aplicaNão se aplicaNão se aplicaNão se aplicaFora ponta",Mercado_Receita!$N$2:$N$1214)</f>
        <v>8808.9670000000006</v>
      </c>
      <c r="P5" s="12">
        <f>SUMIF(Mercado_Receita!$T$2:$T$1214,"44440A4Energia horáriaNão se aplicaNão se aplicaNão se aplicaNão se aplicaFora ponta",Mercado_Receita!$N$2:$N$1214)</f>
        <v>8850.2899999999991</v>
      </c>
      <c r="Q5" s="12">
        <f>SUMIF(Mercado_Receita!$T$2:$T$1214,"44470A4Energia horáriaNão se aplicaNão se aplicaNão se aplicaNão se aplicaFora ponta",Mercado_Receita!$N$2:$N$1214)</f>
        <v>9369.010000000002</v>
      </c>
      <c r="R5" s="12">
        <f>SUMIF(Mercado_Receita!$T$2:$T$1214,"44501A4Energia horáriaNão se aplicaNão se aplicaNão se aplicaNão se aplicaFora ponta",Mercado_Receita!$N$2:$N$1214)</f>
        <v>9354.1609999999982</v>
      </c>
      <c r="S5" s="12">
        <f>SUMIF(Mercado_Receita!$T$2:$T$1214,"44531A4Energia horáriaNão se aplicaNão se aplicaNão se aplicaNão se aplicaFora ponta",Mercado_Receita!$N$2:$N$1214)</f>
        <v>9158.3260000000009</v>
      </c>
      <c r="T5" s="12">
        <f>SUMIF(Mercado_Receita!$T$2:$T$1214,"44562A4Energia horáriaNão se aplicaNão se aplicaNão se aplicaNão se aplicaFora ponta",Mercado_Receita!$N$2:$N$1214)</f>
        <v>9158.3260000000009</v>
      </c>
      <c r="U5" s="12">
        <f t="shared" si="0"/>
        <v>108682.38199999998</v>
      </c>
      <c r="V5" s="12"/>
      <c r="W5" s="12"/>
    </row>
    <row r="6" spans="1:30" ht="11.25" customHeight="1" x14ac:dyDescent="0.25">
      <c r="A6" s="92"/>
      <c r="B6" s="13" t="s">
        <v>86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84</v>
      </c>
      <c r="H6" s="12" t="s">
        <v>78</v>
      </c>
      <c r="I6" s="12">
        <f>SUMIF(Mercado_Receita!$T$2:$T$1214,"44228A4Energia convencionalNão se aplicaNão se aplicaNão se aplicaNão se aplicaNão se aplica",Mercado_Receita!$N$2:$N$1214)</f>
        <v>0</v>
      </c>
      <c r="J6" s="12">
        <f>SUMIF(Mercado_Receita!$T$2:$T$1214,"44256A4Energia convencionalNão se aplicaNão se aplicaNão se aplicaNão se aplicaNão se aplica",Mercado_Receita!$N$2:$N$1214)</f>
        <v>0</v>
      </c>
      <c r="K6" s="12">
        <f>SUMIF(Mercado_Receita!$T$2:$T$1214,"44287A4Energia convencionalNão se aplicaNão se aplicaNão se aplicaNão se aplicaNão se aplica",Mercado_Receita!$N$2:$N$1214)</f>
        <v>0</v>
      </c>
      <c r="L6" s="12">
        <f>SUMIF(Mercado_Receita!$T$2:$T$1214,"44317A4Energia convencionalNão se aplicaNão se aplicaNão se aplicaNão se aplicaNão se aplica",Mercado_Receita!$N$2:$N$1214)</f>
        <v>0</v>
      </c>
      <c r="M6" s="12">
        <f>SUMIF(Mercado_Receita!$T$2:$T$1214,"44348A4Energia convencionalNão se aplicaNão se aplicaNão se aplicaNão se aplicaNão se aplica",Mercado_Receita!$N$2:$N$1214)</f>
        <v>0</v>
      </c>
      <c r="N6" s="12">
        <f>SUMIF(Mercado_Receita!$T$2:$T$1214,"44378A4Energia convencionalNão se aplicaNão se aplicaNão se aplicaNão se aplicaNão se aplica",Mercado_Receita!$N$2:$N$1214)</f>
        <v>0</v>
      </c>
      <c r="O6" s="12">
        <f>SUMIF(Mercado_Receita!$T$2:$T$1214,"44409A4Energia convencionalNão se aplicaNão se aplicaNão se aplicaNão se aplicaNão se aplica",Mercado_Receita!$N$2:$N$1214)</f>
        <v>0</v>
      </c>
      <c r="P6" s="12">
        <f>SUMIF(Mercado_Receita!$T$2:$T$1214,"44440A4Energia convencionalNão se aplicaNão se aplicaNão se aplicaNão se aplicaNão se aplica",Mercado_Receita!$N$2:$N$1214)</f>
        <v>0</v>
      </c>
      <c r="Q6" s="12">
        <f>SUMIF(Mercado_Receita!$T$2:$T$1214,"44470A4Energia convencionalNão se aplicaNão se aplicaNão se aplicaNão se aplicaNão se aplica",Mercado_Receita!$N$2:$N$1214)</f>
        <v>0</v>
      </c>
      <c r="R6" s="12">
        <f>SUMIF(Mercado_Receita!$T$2:$T$1214,"44501A4Energia convencionalNão se aplicaNão se aplicaNão se aplicaNão se aplicaNão se aplica",Mercado_Receita!$N$2:$N$1214)</f>
        <v>0</v>
      </c>
      <c r="S6" s="12">
        <f>SUMIF(Mercado_Receita!$T$2:$T$1214,"44531A4Energia convencionalNão se aplicaNão se aplicaNão se aplicaNão se aplicaNão se aplica",Mercado_Receita!$N$2:$N$1214)</f>
        <v>0</v>
      </c>
      <c r="T6" s="12">
        <f>SUMIF(Mercado_Receita!$T$2:$T$1214,"44562A4Energia convencionalNão se aplicaNão se aplicaNão se aplicaNão se aplicaNão se aplica",Mercado_Receita!$N$2:$N$1214)</f>
        <v>0</v>
      </c>
      <c r="U6" s="12">
        <f t="shared" si="0"/>
        <v>0</v>
      </c>
      <c r="V6" s="12"/>
      <c r="W6" s="12"/>
    </row>
    <row r="7" spans="1:30" ht="11.25" customHeight="1" x14ac:dyDescent="0.25">
      <c r="A7" s="91" t="s">
        <v>22</v>
      </c>
      <c r="B7" s="91" t="s">
        <v>77</v>
      </c>
      <c r="C7" s="91" t="s">
        <v>24</v>
      </c>
      <c r="D7" s="91" t="s">
        <v>24</v>
      </c>
      <c r="E7" s="91" t="s">
        <v>25</v>
      </c>
      <c r="F7" s="91" t="s">
        <v>25</v>
      </c>
      <c r="G7" s="12" t="s">
        <v>79</v>
      </c>
      <c r="H7" s="12" t="s">
        <v>78</v>
      </c>
      <c r="I7" s="12">
        <f>SUMIF(Mercado_Receita!$T$2:$T$1214,"44228B1Energia horáriaResidencialResidencialNão se aplicaNão se aplicaPonta",Mercado_Receita!$N$2:$N$1214)</f>
        <v>0.63500000000000001</v>
      </c>
      <c r="J7" s="12">
        <f>SUMIF(Mercado_Receita!$T$2:$T$1214,"44256B1Energia horáriaResidencialResidencialNão se aplicaNão se aplicaPonta",Mercado_Receita!$N$2:$N$1214)</f>
        <v>0.71899999999999997</v>
      </c>
      <c r="K7" s="12">
        <f>SUMIF(Mercado_Receita!$T$2:$T$1214,"44287B1Energia horáriaResidencialResidencialNão se aplicaNão se aplicaPonta",Mercado_Receita!$N$2:$N$1214)</f>
        <v>0.34799999999999998</v>
      </c>
      <c r="L7" s="12">
        <f>SUMIF(Mercado_Receita!$T$2:$T$1214,"44317B1Energia horáriaResidencialResidencialNão se aplicaNão se aplicaPonta",Mercado_Receita!$N$2:$N$1214)</f>
        <v>0.69099999999999995</v>
      </c>
      <c r="M7" s="12">
        <f>SUMIF(Mercado_Receita!$T$2:$T$1214,"44348B1Energia horáriaResidencialResidencialNão se aplicaNão se aplicaPonta",Mercado_Receita!$N$2:$N$1214)</f>
        <v>0.65400000000000003</v>
      </c>
      <c r="N7" s="12">
        <f>SUMIF(Mercado_Receita!$T$2:$T$1214,"44378B1Energia horáriaResidencialResidencialNão se aplicaNão se aplicaPonta",Mercado_Receita!$N$2:$N$1214)</f>
        <v>0.65400000000000003</v>
      </c>
      <c r="O7" s="12">
        <f>SUMIF(Mercado_Receita!$T$2:$T$1214,"44409B1Energia horáriaResidencialResidencialNão se aplicaNão se aplicaPonta",Mercado_Receita!$N$2:$N$1214)</f>
        <v>0.55800000000000005</v>
      </c>
      <c r="P7" s="12">
        <f>SUMIF(Mercado_Receita!$T$2:$T$1214,"44440B1Energia horáriaResidencialResidencialNão se aplicaNão se aplicaPonta",Mercado_Receita!$N$2:$N$1214)</f>
        <v>0.48199999999999998</v>
      </c>
      <c r="Q7" s="12">
        <f>SUMIF(Mercado_Receita!$T$2:$T$1214,"44470B1Energia horáriaResidencialResidencialNão se aplicaNão se aplicaPonta",Mercado_Receita!$N$2:$N$1214)</f>
        <v>0.53300000000000003</v>
      </c>
      <c r="R7" s="12">
        <f>SUMIF(Mercado_Receita!$T$2:$T$1214,"44501B1Energia horáriaResidencialResidencialNão se aplicaNão se aplicaPonta",Mercado_Receita!$N$2:$N$1214)</f>
        <v>0.51600000000000001</v>
      </c>
      <c r="S7" s="12">
        <f>SUMIF(Mercado_Receita!$T$2:$T$1214,"44531B1Energia horáriaResidencialResidencialNão se aplicaNão se aplicaPonta",Mercado_Receita!$N$2:$N$1214)</f>
        <v>0.56799999999999995</v>
      </c>
      <c r="T7" s="12">
        <f>SUMIF(Mercado_Receita!$T$2:$T$1214,"44562B1Energia horáriaResidencialResidencialNão se aplicaNão se aplicaPonta",Mercado_Receita!$N$2:$N$1214)</f>
        <v>0.56799999999999995</v>
      </c>
      <c r="U7" s="12">
        <f t="shared" si="0"/>
        <v>6.9259999999999993</v>
      </c>
      <c r="V7" s="12"/>
      <c r="W7" s="12"/>
    </row>
    <row r="8" spans="1:30" ht="11.25" customHeight="1" x14ac:dyDescent="0.25">
      <c r="A8" s="92"/>
      <c r="B8" s="92"/>
      <c r="C8" s="92"/>
      <c r="D8" s="92"/>
      <c r="E8" s="92"/>
      <c r="F8" s="92"/>
      <c r="G8" s="12" t="s">
        <v>91</v>
      </c>
      <c r="H8" s="12" t="s">
        <v>78</v>
      </c>
      <c r="I8" s="12">
        <f>SUMIF(Mercado_Receita!$T$2:$T$1214,"44228B1Energia horáriaResidencialResidencialNão se aplicaNão se aplicaIntermediário",Mercado_Receita!$N$2:$N$1214)</f>
        <v>0.41499999999999998</v>
      </c>
      <c r="J8" s="12">
        <f>SUMIF(Mercado_Receita!$T$2:$T$1214,"44256B1Energia horáriaResidencialResidencialNão se aplicaNão se aplicaIntermediário",Mercado_Receita!$N$2:$N$1214)</f>
        <v>0.47099999999999997</v>
      </c>
      <c r="K8" s="12">
        <f>SUMIF(Mercado_Receita!$T$2:$T$1214,"44287B1Energia horáriaResidencialResidencialNão se aplicaNão se aplicaIntermediário",Mercado_Receita!$N$2:$N$1214)</f>
        <v>0.24600000000000002</v>
      </c>
      <c r="L8" s="12">
        <f>SUMIF(Mercado_Receita!$T$2:$T$1214,"44317B1Energia horáriaResidencialResidencialNão se aplicaNão se aplicaIntermediário",Mercado_Receita!$N$2:$N$1214)</f>
        <v>0.42599999999999999</v>
      </c>
      <c r="M8" s="12">
        <f>SUMIF(Mercado_Receita!$T$2:$T$1214,"44348B1Energia horáriaResidencialResidencialNão se aplicaNão se aplicaIntermediário",Mercado_Receita!$N$2:$N$1214)</f>
        <v>0.40200000000000002</v>
      </c>
      <c r="N8" s="12">
        <f>SUMIF(Mercado_Receita!$T$2:$T$1214,"44378B1Energia horáriaResidencialResidencialNão se aplicaNão se aplicaIntermediário",Mercado_Receita!$N$2:$N$1214)</f>
        <v>0.40400000000000003</v>
      </c>
      <c r="O8" s="12">
        <f>SUMIF(Mercado_Receita!$T$2:$T$1214,"44409B1Energia horáriaResidencialResidencialNão se aplicaNão se aplicaIntermediário",Mercado_Receita!$N$2:$N$1214)</f>
        <v>0.34399999999999997</v>
      </c>
      <c r="P8" s="12">
        <f>SUMIF(Mercado_Receita!$T$2:$T$1214,"44440B1Energia horáriaResidencialResidencialNão se aplicaNão se aplicaIntermediário",Mercado_Receita!$N$2:$N$1214)</f>
        <v>0.308</v>
      </c>
      <c r="Q8" s="12">
        <f>SUMIF(Mercado_Receita!$T$2:$T$1214,"44470B1Energia horáriaResidencialResidencialNão se aplicaNão se aplicaIntermediário",Mercado_Receita!$N$2:$N$1214)</f>
        <v>0.38400000000000001</v>
      </c>
      <c r="R8" s="12">
        <f>SUMIF(Mercado_Receita!$T$2:$T$1214,"44501B1Energia horáriaResidencialResidencialNão se aplicaNão se aplicaIntermediário",Mercado_Receita!$N$2:$N$1214)</f>
        <v>0.38</v>
      </c>
      <c r="S8" s="12">
        <f>SUMIF(Mercado_Receita!$T$2:$T$1214,"44531B1Energia horáriaResidencialResidencialNão se aplicaNão se aplicaIntermediário",Mercado_Receita!$N$2:$N$1214)</f>
        <v>0.41499999999999998</v>
      </c>
      <c r="T8" s="12">
        <f>SUMIF(Mercado_Receita!$T$2:$T$1214,"44562B1Energia horáriaResidencialResidencialNão se aplicaNão se aplicaIntermediário",Mercado_Receita!$N$2:$N$1214)</f>
        <v>0.41499999999999998</v>
      </c>
      <c r="U8" s="12">
        <f t="shared" si="0"/>
        <v>4.6099999999999994</v>
      </c>
      <c r="V8" s="12"/>
      <c r="W8" s="12"/>
    </row>
    <row r="9" spans="1:30" ht="11.25" customHeight="1" x14ac:dyDescent="0.25">
      <c r="A9" s="92"/>
      <c r="B9" s="92"/>
      <c r="C9" s="92"/>
      <c r="D9" s="92"/>
      <c r="E9" s="92"/>
      <c r="F9" s="92"/>
      <c r="G9" s="12" t="s">
        <v>80</v>
      </c>
      <c r="H9" s="12" t="s">
        <v>78</v>
      </c>
      <c r="I9" s="12">
        <f>SUMIF(Mercado_Receita!$T$2:$T$1214,"44228B1Energia horáriaResidencialResidencialNão se aplicaNão se aplicaFora ponta",Mercado_Receita!$N$2:$N$1214)</f>
        <v>6.6319999999999997</v>
      </c>
      <c r="J9" s="12">
        <f>SUMIF(Mercado_Receita!$T$2:$T$1214,"44256B1Energia horáriaResidencialResidencialNão se aplicaNão se aplicaFora ponta",Mercado_Receita!$N$2:$N$1214)</f>
        <v>7.2290000000000001</v>
      </c>
      <c r="K9" s="12">
        <f>SUMIF(Mercado_Receita!$T$2:$T$1214,"44287B1Energia horáriaResidencialResidencialNão se aplicaNão se aplicaFora ponta",Mercado_Receita!$N$2:$N$1214)</f>
        <v>4.2880000000000003</v>
      </c>
      <c r="L9" s="12">
        <f>SUMIF(Mercado_Receita!$T$2:$T$1214,"44317B1Energia horáriaResidencialResidencialNão se aplicaNão se aplicaFora ponta",Mercado_Receita!$N$2:$N$1214)</f>
        <v>7.01</v>
      </c>
      <c r="M9" s="12">
        <f>SUMIF(Mercado_Receita!$T$2:$T$1214,"44348B1Energia horáriaResidencialResidencialNão se aplicaNão se aplicaFora ponta",Mercado_Receita!$N$2:$N$1214)</f>
        <v>6.101</v>
      </c>
      <c r="N9" s="12">
        <f>SUMIF(Mercado_Receita!$T$2:$T$1214,"44378B1Energia horáriaResidencialResidencialNão se aplicaNão se aplicaFora ponta",Mercado_Receita!$N$2:$N$1214)</f>
        <v>6.0250000000000004</v>
      </c>
      <c r="O9" s="12">
        <f>SUMIF(Mercado_Receita!$T$2:$T$1214,"44409B1Energia horáriaResidencialResidencialNão se aplicaNão se aplicaFora ponta",Mercado_Receita!$N$2:$N$1214)</f>
        <v>5.3410000000000002</v>
      </c>
      <c r="P9" s="12">
        <f>SUMIF(Mercado_Receita!$T$2:$T$1214,"44440B1Energia horáriaResidencialResidencialNão se aplicaNão se aplicaFora ponta",Mercado_Receita!$N$2:$N$1214)</f>
        <v>4.9790000000000001</v>
      </c>
      <c r="Q9" s="12">
        <f>SUMIF(Mercado_Receita!$T$2:$T$1214,"44470B1Energia horáriaResidencialResidencialNão se aplicaNão se aplicaFora ponta",Mercado_Receita!$N$2:$N$1214)</f>
        <v>6.0339999999999998</v>
      </c>
      <c r="R9" s="12">
        <f>SUMIF(Mercado_Receita!$T$2:$T$1214,"44501B1Energia horáriaResidencialResidencialNão se aplicaNão se aplicaFora ponta",Mercado_Receita!$N$2:$N$1214)</f>
        <v>6.1790000000000003</v>
      </c>
      <c r="S9" s="12">
        <f>SUMIF(Mercado_Receita!$T$2:$T$1214,"44531B1Energia horáriaResidencialResidencialNão se aplicaNão se aplicaFora ponta",Mercado_Receita!$N$2:$N$1214)</f>
        <v>6.6619999999999999</v>
      </c>
      <c r="T9" s="12">
        <f>SUMIF(Mercado_Receita!$T$2:$T$1214,"44562B1Energia horáriaResidencialResidencialNão se aplicaNão se aplicaFora ponta",Mercado_Receita!$N$2:$N$1214)</f>
        <v>6.6619999999999999</v>
      </c>
      <c r="U9" s="12">
        <f t="shared" si="0"/>
        <v>73.14200000000001</v>
      </c>
      <c r="V9" s="12"/>
      <c r="W9" s="12"/>
    </row>
    <row r="10" spans="1:30" ht="11.25" customHeight="1" x14ac:dyDescent="0.25">
      <c r="A10" s="92"/>
      <c r="B10" s="91" t="s">
        <v>86</v>
      </c>
      <c r="C10" s="91" t="s">
        <v>24</v>
      </c>
      <c r="D10" s="13" t="s">
        <v>24</v>
      </c>
      <c r="E10" s="13" t="s">
        <v>25</v>
      </c>
      <c r="F10" s="13" t="s">
        <v>25</v>
      </c>
      <c r="G10" s="12" t="s">
        <v>84</v>
      </c>
      <c r="H10" s="12" t="s">
        <v>78</v>
      </c>
      <c r="I10" s="12">
        <f>SUMIF(Mercado_Receita!$T$2:$T$1214,"44228B1Energia convencionalResidencialResidencialNão se aplicaNão se aplicaNão se aplica",Mercado_Receita!$N$2:$N$1214)</f>
        <v>17833.944</v>
      </c>
      <c r="J10" s="12">
        <f>SUMIF(Mercado_Receita!$T$2:$T$1214,"44256B1Energia convencionalResidencialResidencialNão se aplicaNão se aplicaNão se aplica",Mercado_Receita!$N$2:$N$1214)</f>
        <v>19398.955999999998</v>
      </c>
      <c r="K10" s="12">
        <f>SUMIF(Mercado_Receita!$T$2:$T$1214,"44287B1Energia convencionalResidencialResidencialNão se aplicaNão se aplicaNão se aplica",Mercado_Receita!$N$2:$N$1214)</f>
        <v>19707.157999999999</v>
      </c>
      <c r="L10" s="12">
        <f>SUMIF(Mercado_Receita!$T$2:$T$1214,"44317B1Energia convencionalResidencialResidencialNão se aplicaNão se aplicaNão se aplica",Mercado_Receita!$N$2:$N$1214)</f>
        <v>18246.837</v>
      </c>
      <c r="M10" s="12">
        <f>SUMIF(Mercado_Receita!$T$2:$T$1214,"44348B1Energia convencionalResidencialResidencialNão se aplicaNão se aplicaNão se aplica",Mercado_Receita!$N$2:$N$1214)</f>
        <v>17180.697</v>
      </c>
      <c r="N10" s="12">
        <f>SUMIF(Mercado_Receita!$T$2:$T$1214,"44378B1Energia convencionalResidencialResidencialNão se aplicaNão se aplicaNão se aplica",Mercado_Receita!$N$2:$N$1214)</f>
        <v>17810.837</v>
      </c>
      <c r="O10" s="12">
        <f>SUMIF(Mercado_Receita!$T$2:$T$1214,"44409B1Energia convencionalResidencialResidencialNão se aplicaNão se aplicaNão se aplica",Mercado_Receita!$N$2:$N$1214)</f>
        <v>16541.394</v>
      </c>
      <c r="P10" s="12">
        <f>SUMIF(Mercado_Receita!$T$2:$T$1214,"44440B1Energia convencionalResidencialResidencialNão se aplicaNão se aplicaNão se aplica",Mercado_Receita!$N$2:$N$1214)</f>
        <v>16821.807000000001</v>
      </c>
      <c r="Q10" s="12">
        <f>SUMIF(Mercado_Receita!$T$2:$T$1214,"44470B1Energia convencionalResidencialResidencialNão se aplicaNão se aplicaNão se aplica",Mercado_Receita!$N$2:$N$1214)</f>
        <v>17641.412</v>
      </c>
      <c r="R10" s="12">
        <f>SUMIF(Mercado_Receita!$T$2:$T$1214,"44501B1Energia convencionalResidencialResidencialNão se aplicaNão se aplicaNão se aplica",Mercado_Receita!$N$2:$N$1214)</f>
        <v>17841.342000000001</v>
      </c>
      <c r="S10" s="12">
        <f>SUMIF(Mercado_Receita!$T$2:$T$1214,"44531B1Energia convencionalResidencialResidencialNão se aplicaNão se aplicaNão se aplica",Mercado_Receita!$N$2:$N$1214)</f>
        <v>18752.63</v>
      </c>
      <c r="T10" s="12">
        <f>SUMIF(Mercado_Receita!$T$2:$T$1214,"44562B1Energia convencionalResidencialResidencialNão se aplicaNão se aplicaNão se aplica",Mercado_Receita!$N$2:$N$1214)</f>
        <v>18752.63</v>
      </c>
      <c r="U10" s="12">
        <f t="shared" si="0"/>
        <v>216529.64400000003</v>
      </c>
      <c r="V10" s="12"/>
      <c r="W10" s="12"/>
    </row>
    <row r="11" spans="1:30" ht="11.25" customHeight="1" x14ac:dyDescent="0.25">
      <c r="A11" s="92"/>
      <c r="B11" s="92"/>
      <c r="C11" s="92"/>
      <c r="D11" s="13" t="s">
        <v>29</v>
      </c>
      <c r="E11" s="13" t="s">
        <v>25</v>
      </c>
      <c r="F11" s="13" t="s">
        <v>25</v>
      </c>
      <c r="G11" s="12" t="s">
        <v>84</v>
      </c>
      <c r="H11" s="12" t="s">
        <v>78</v>
      </c>
      <c r="I11" s="12">
        <f>SUMIF(Mercado_Receita!$T$2:$T$1214,"44228B1Energia convencionalResidencialResidencial baixa renda – faixa 01Não se aplicaNão se aplicaNão se aplica",Mercado_Receita!$N$2:$N$1214)</f>
        <v>1664.5920000000001</v>
      </c>
      <c r="J11" s="12">
        <f>SUMIF(Mercado_Receita!$T$2:$T$1214,"44256B1Energia convencionalResidencialResidencial baixa renda – faixa 01Não se aplicaNão se aplicaNão se aplica",Mercado_Receita!$N$2:$N$1214)</f>
        <v>1673.722</v>
      </c>
      <c r="K11" s="12">
        <f>SUMIF(Mercado_Receita!$T$2:$T$1214,"44287B1Energia convencionalResidencialResidencial baixa renda – faixa 01Não se aplicaNão se aplicaNão se aplica",Mercado_Receita!$N$2:$N$1214)</f>
        <v>1672.78</v>
      </c>
      <c r="L11" s="12">
        <f>SUMIF(Mercado_Receita!$T$2:$T$1214,"44317B1Energia convencionalResidencialResidencial baixa renda – faixa 01Não se aplicaNão se aplicaNão se aplica",Mercado_Receita!$N$2:$N$1214)</f>
        <v>1677.2629999999999</v>
      </c>
      <c r="M11" s="12">
        <f>SUMIF(Mercado_Receita!$T$2:$T$1214,"44348B1Energia convencionalResidencialResidencial baixa renda – faixa 01Não se aplicaNão se aplicaNão se aplica",Mercado_Receita!$N$2:$N$1214)</f>
        <v>1686.5169999999998</v>
      </c>
      <c r="N11" s="12">
        <f>SUMIF(Mercado_Receita!$T$2:$T$1214,"44378B1Energia convencionalResidencialResidencial baixa renda – faixa 01Não se aplicaNão se aplicaNão se aplica",Mercado_Receita!$N$2:$N$1214)</f>
        <v>1705.9379999999999</v>
      </c>
      <c r="O11" s="12">
        <f>SUMIF(Mercado_Receita!$T$2:$T$1214,"44409B1Energia convencionalResidencialResidencial baixa renda – faixa 01Não se aplicaNão se aplicaNão se aplica",Mercado_Receita!$N$2:$N$1214)</f>
        <v>1722.0549999999998</v>
      </c>
      <c r="P11" s="12">
        <f>SUMIF(Mercado_Receita!$T$2:$T$1214,"44440B1Energia convencionalResidencialResidencial baixa renda – faixa 01Não se aplicaNão se aplicaNão se aplica",Mercado_Receita!$N$2:$N$1214)</f>
        <v>1697.5120000000002</v>
      </c>
      <c r="Q11" s="12">
        <f>SUMIF(Mercado_Receita!$T$2:$T$1214,"44470B1Energia convencionalResidencialResidencial baixa renda – faixa 01Não se aplicaNão se aplicaNão se aplica",Mercado_Receita!$N$2:$N$1214)</f>
        <v>1722.444</v>
      </c>
      <c r="R11" s="12">
        <f>SUMIF(Mercado_Receita!$T$2:$T$1214,"44501B1Energia convencionalResidencialResidencial baixa renda – faixa 01Não se aplicaNão se aplicaNão se aplica",Mercado_Receita!$N$2:$N$1214)</f>
        <v>1728.3979999999999</v>
      </c>
      <c r="S11" s="12">
        <f>SUMIF(Mercado_Receita!$T$2:$T$1214,"44531B1Energia convencionalResidencialResidencial baixa renda – faixa 01Não se aplicaNão se aplicaNão se aplica",Mercado_Receita!$N$2:$N$1214)</f>
        <v>1725.38</v>
      </c>
      <c r="T11" s="12">
        <f>SUMIF(Mercado_Receita!$T$2:$T$1214,"44562B1Energia convencionalResidencialResidencial baixa renda – faixa 01Não se aplicaNão se aplicaNão se aplica",Mercado_Receita!$N$2:$N$1214)</f>
        <v>1725.38</v>
      </c>
      <c r="U11" s="12">
        <f t="shared" si="0"/>
        <v>20401.981000000003</v>
      </c>
      <c r="V11" s="12"/>
      <c r="W11" s="12"/>
    </row>
    <row r="12" spans="1:30" ht="11.25" customHeight="1" x14ac:dyDescent="0.25">
      <c r="A12" s="92"/>
      <c r="B12" s="92"/>
      <c r="C12" s="92"/>
      <c r="D12" s="13" t="s">
        <v>30</v>
      </c>
      <c r="E12" s="13" t="s">
        <v>25</v>
      </c>
      <c r="F12" s="13" t="s">
        <v>25</v>
      </c>
      <c r="G12" s="12" t="s">
        <v>84</v>
      </c>
      <c r="H12" s="12" t="s">
        <v>78</v>
      </c>
      <c r="I12" s="12">
        <f>SUMIF(Mercado_Receita!$T$2:$T$1214,"44228B1Energia convencionalResidencialResidencial baixa renda – faixa 02Não se aplicaNão se aplicaNão se aplica",Mercado_Receita!$N$2:$N$1214)</f>
        <v>2680.3710000000001</v>
      </c>
      <c r="J12" s="12">
        <f>SUMIF(Mercado_Receita!$T$2:$T$1214,"44256B1Energia convencionalResidencialResidencial baixa renda – faixa 02Não se aplicaNão se aplicaNão se aplica",Mercado_Receita!$N$2:$N$1214)</f>
        <v>2801.4799999999996</v>
      </c>
      <c r="K12" s="12">
        <f>SUMIF(Mercado_Receita!$T$2:$T$1214,"44287B1Energia convencionalResidencialResidencial baixa renda – faixa 02Não se aplicaNão se aplicaNão se aplica",Mercado_Receita!$N$2:$N$1214)</f>
        <v>2820.0829999999996</v>
      </c>
      <c r="L12" s="12">
        <f>SUMIF(Mercado_Receita!$T$2:$T$1214,"44317B1Energia convencionalResidencialResidencial baixa renda – faixa 02Não se aplicaNão se aplicaNão se aplica",Mercado_Receita!$N$2:$N$1214)</f>
        <v>2697.1689999999999</v>
      </c>
      <c r="M12" s="12">
        <f>SUMIF(Mercado_Receita!$T$2:$T$1214,"44348B1Energia convencionalResidencialResidencial baixa renda – faixa 02Não se aplicaNão se aplicaNão se aplica",Mercado_Receita!$N$2:$N$1214)</f>
        <v>2604.328</v>
      </c>
      <c r="N12" s="12">
        <f>SUMIF(Mercado_Receita!$T$2:$T$1214,"44378B1Energia convencionalResidencialResidencial baixa renda – faixa 02Não se aplicaNão se aplicaNão se aplica",Mercado_Receita!$N$2:$N$1214)</f>
        <v>2703.7170000000001</v>
      </c>
      <c r="O12" s="12">
        <f>SUMIF(Mercado_Receita!$T$2:$T$1214,"44409B1Energia convencionalResidencialResidencial baixa renda – faixa 02Não se aplicaNão se aplicaNão se aplica",Mercado_Receita!$N$2:$N$1214)</f>
        <v>2601.4279999999999</v>
      </c>
      <c r="P12" s="12">
        <f>SUMIF(Mercado_Receita!$T$2:$T$1214,"44440B1Energia convencionalResidencialResidencial baixa renda – faixa 02Não se aplicaNão se aplicaNão se aplica",Mercado_Receita!$N$2:$N$1214)</f>
        <v>2603.5320000000002</v>
      </c>
      <c r="Q12" s="12">
        <f>SUMIF(Mercado_Receita!$T$2:$T$1214,"44470B1Energia convencionalResidencialResidencial baixa renda – faixa 02Não se aplicaNão se aplicaNão se aplica",Mercado_Receita!$N$2:$N$1214)</f>
        <v>2750.402</v>
      </c>
      <c r="R12" s="12">
        <f>SUMIF(Mercado_Receita!$T$2:$T$1214,"44501B1Energia convencionalResidencialResidencial baixa renda – faixa 02Não se aplicaNão se aplicaNão se aplica",Mercado_Receita!$N$2:$N$1214)</f>
        <v>2770.732</v>
      </c>
      <c r="S12" s="12">
        <f>SUMIF(Mercado_Receita!$T$2:$T$1214,"44531B1Energia convencionalResidencialResidencial baixa renda – faixa 02Não se aplicaNão se aplicaNão se aplica",Mercado_Receita!$N$2:$N$1214)</f>
        <v>2836.7559999999999</v>
      </c>
      <c r="T12" s="12">
        <f>SUMIF(Mercado_Receita!$T$2:$T$1214,"44562B1Energia convencionalResidencialResidencial baixa renda – faixa 02Não se aplicaNão se aplicaNão se aplica",Mercado_Receita!$N$2:$N$1214)</f>
        <v>2836.7559999999999</v>
      </c>
      <c r="U12" s="12">
        <f t="shared" si="0"/>
        <v>32706.754000000004</v>
      </c>
      <c r="V12" s="12"/>
      <c r="W12" s="12"/>
    </row>
    <row r="13" spans="1:30" ht="11.25" customHeight="1" x14ac:dyDescent="0.25">
      <c r="A13" s="92"/>
      <c r="B13" s="92"/>
      <c r="C13" s="92"/>
      <c r="D13" s="13" t="s">
        <v>31</v>
      </c>
      <c r="E13" s="13" t="s">
        <v>25</v>
      </c>
      <c r="F13" s="13" t="s">
        <v>25</v>
      </c>
      <c r="G13" s="12" t="s">
        <v>84</v>
      </c>
      <c r="H13" s="12" t="s">
        <v>78</v>
      </c>
      <c r="I13" s="12">
        <f>SUMIF(Mercado_Receita!$T$2:$T$1214,"44228B1Energia convencionalResidencialResidencial baixa renda – faixa 03Não se aplicaNão se aplicaNão se aplica",Mercado_Receita!$N$2:$N$1214)</f>
        <v>1090.828</v>
      </c>
      <c r="J13" s="12">
        <f>SUMIF(Mercado_Receita!$T$2:$T$1214,"44256B1Energia convencionalResidencialResidencial baixa renda – faixa 03Não se aplicaNão se aplicaNão se aplica",Mercado_Receita!$N$2:$N$1214)</f>
        <v>1264.028</v>
      </c>
      <c r="K13" s="12">
        <f>SUMIF(Mercado_Receita!$T$2:$T$1214,"44287B1Energia convencionalResidencialResidencial baixa renda – faixa 03Não se aplicaNão se aplicaNão se aplica",Mercado_Receita!$N$2:$N$1214)</f>
        <v>1304.338</v>
      </c>
      <c r="L13" s="12">
        <f>SUMIF(Mercado_Receita!$T$2:$T$1214,"44317B1Energia convencionalResidencialResidencial baixa renda – faixa 03Não se aplicaNão se aplicaNão se aplica",Mercado_Receita!$N$2:$N$1214)</f>
        <v>1105.4889999999998</v>
      </c>
      <c r="M13" s="12">
        <f>SUMIF(Mercado_Receita!$T$2:$T$1214,"44348B1Energia convencionalResidencialResidencial baixa renda – faixa 03Não se aplicaNão se aplicaNão se aplica",Mercado_Receita!$N$2:$N$1214)</f>
        <v>966.399</v>
      </c>
      <c r="N13" s="12">
        <f>SUMIF(Mercado_Receita!$T$2:$T$1214,"44378B1Energia convencionalResidencialResidencial baixa renda – faixa 03Não se aplicaNão se aplicaNão se aplica",Mercado_Receita!$N$2:$N$1214)</f>
        <v>1071.521</v>
      </c>
      <c r="O13" s="12">
        <f>SUMIF(Mercado_Receita!$T$2:$T$1214,"44409B1Energia convencionalResidencialResidencial baixa renda – faixa 03Não se aplicaNão se aplicaNão se aplica",Mercado_Receita!$N$2:$N$1214)</f>
        <v>913.26600000000008</v>
      </c>
      <c r="P13" s="12">
        <f>SUMIF(Mercado_Receita!$T$2:$T$1214,"44440B1Energia convencionalResidencialResidencial baixa renda – faixa 03Não se aplicaNão se aplicaNão se aplica",Mercado_Receita!$N$2:$N$1214)</f>
        <v>929.92200000000003</v>
      </c>
      <c r="Q13" s="12">
        <f>SUMIF(Mercado_Receita!$T$2:$T$1214,"44470B1Energia convencionalResidencialResidencial baixa renda – faixa 03Não se aplicaNão se aplicaNão se aplica",Mercado_Receita!$N$2:$N$1214)</f>
        <v>1070.0919999999999</v>
      </c>
      <c r="R13" s="12">
        <f>SUMIF(Mercado_Receita!$T$2:$T$1214,"44501B1Energia convencionalResidencialResidencial baixa renda – faixa 03Não se aplicaNão se aplicaNão se aplica",Mercado_Receita!$N$2:$N$1214)</f>
        <v>1096.3130000000001</v>
      </c>
      <c r="S13" s="12">
        <f>SUMIF(Mercado_Receita!$T$2:$T$1214,"44531B1Energia convencionalResidencialResidencial baixa renda – faixa 03Não se aplicaNão se aplicaNão se aplica",Mercado_Receita!$N$2:$N$1214)</f>
        <v>1200.4829999999999</v>
      </c>
      <c r="T13" s="12">
        <f>SUMIF(Mercado_Receita!$T$2:$T$1214,"44562B1Energia convencionalResidencialResidencial baixa renda – faixa 03Não se aplicaNão se aplicaNão se aplica",Mercado_Receita!$N$2:$N$1214)</f>
        <v>1200.4829999999999</v>
      </c>
      <c r="U13" s="12">
        <f t="shared" si="0"/>
        <v>13213.162</v>
      </c>
      <c r="V13" s="12"/>
      <c r="W13" s="12"/>
    </row>
    <row r="14" spans="1:30" ht="11.25" customHeight="1" x14ac:dyDescent="0.25">
      <c r="A14" s="92"/>
      <c r="B14" s="92"/>
      <c r="C14" s="92"/>
      <c r="D14" s="13" t="s">
        <v>32</v>
      </c>
      <c r="E14" s="13" t="s">
        <v>25</v>
      </c>
      <c r="F14" s="13" t="s">
        <v>25</v>
      </c>
      <c r="G14" s="12" t="s">
        <v>84</v>
      </c>
      <c r="H14" s="12" t="s">
        <v>78</v>
      </c>
      <c r="I14" s="12">
        <f>SUMIF(Mercado_Receita!$T$2:$T$1214,"44228B1Energia convencionalResidencialResidencial baixa renda – faixa 04Não se aplicaNão se aplicaNão se aplica",Mercado_Receita!$N$2:$N$1214)</f>
        <v>230.501</v>
      </c>
      <c r="J14" s="12">
        <f>SUMIF(Mercado_Receita!$T$2:$T$1214,"44256B1Energia convencionalResidencialResidencial baixa renda – faixa 04Não se aplicaNão se aplicaNão se aplica",Mercado_Receita!$N$2:$N$1214)</f>
        <v>289.33199999999999</v>
      </c>
      <c r="K14" s="12">
        <f>SUMIF(Mercado_Receita!$T$2:$T$1214,"44287B1Energia convencionalResidencialResidencial baixa renda – faixa 04Não se aplicaNão se aplicaNão se aplica",Mercado_Receita!$N$2:$N$1214)</f>
        <v>292.02600000000001</v>
      </c>
      <c r="L14" s="12">
        <f>SUMIF(Mercado_Receita!$T$2:$T$1214,"44317B1Energia convencionalResidencialResidencial baixa renda – faixa 04Não se aplicaNão se aplicaNão se aplica",Mercado_Receita!$N$2:$N$1214)</f>
        <v>241.40600000000001</v>
      </c>
      <c r="M14" s="12">
        <f>SUMIF(Mercado_Receita!$T$2:$T$1214,"44348B1Energia convencionalResidencialResidencial baixa renda – faixa 04Não se aplicaNão se aplicaNão se aplica",Mercado_Receita!$N$2:$N$1214)</f>
        <v>201.471</v>
      </c>
      <c r="N14" s="12">
        <f>SUMIF(Mercado_Receita!$T$2:$T$1214,"44378B1Energia convencionalResidencialResidencial baixa renda – faixa 04Não se aplicaNão se aplicaNão se aplica",Mercado_Receita!$N$2:$N$1214)</f>
        <v>214.886</v>
      </c>
      <c r="O14" s="12">
        <f>SUMIF(Mercado_Receita!$T$2:$T$1214,"44409B1Energia convencionalResidencialResidencial baixa renda – faixa 04Não se aplicaNão se aplicaNão se aplica",Mercado_Receita!$N$2:$N$1214)</f>
        <v>187.55500000000001</v>
      </c>
      <c r="P14" s="12">
        <f>SUMIF(Mercado_Receita!$T$2:$T$1214,"44440B1Energia convencionalResidencialResidencial baixa renda – faixa 04Não se aplicaNão se aplicaNão se aplica",Mercado_Receita!$N$2:$N$1214)</f>
        <v>201.71899999999999</v>
      </c>
      <c r="Q14" s="12">
        <f>SUMIF(Mercado_Receita!$T$2:$T$1214,"44470B1Energia convencionalResidencialResidencial baixa renda – faixa 04Não se aplicaNão se aplicaNão se aplica",Mercado_Receita!$N$2:$N$1214)</f>
        <v>234.17000000000002</v>
      </c>
      <c r="R14" s="12">
        <f>SUMIF(Mercado_Receita!$T$2:$T$1214,"44501B1Energia convencionalResidencialResidencial baixa renda – faixa 04Não se aplicaNão se aplicaNão se aplica",Mercado_Receita!$N$2:$N$1214)</f>
        <v>247.56700000000001</v>
      </c>
      <c r="S14" s="12">
        <f>SUMIF(Mercado_Receita!$T$2:$T$1214,"44531B1Energia convencionalResidencialResidencial baixa renda – faixa 04Não se aplicaNão se aplicaNão se aplica",Mercado_Receita!$N$2:$N$1214)</f>
        <v>295.21499999999997</v>
      </c>
      <c r="T14" s="12">
        <f>SUMIF(Mercado_Receita!$T$2:$T$1214,"44562B1Energia convencionalResidencialResidencial baixa renda – faixa 04Não se aplicaNão se aplicaNão se aplica",Mercado_Receita!$N$2:$N$1214)</f>
        <v>295.21499999999997</v>
      </c>
      <c r="U14" s="12">
        <f t="shared" si="0"/>
        <v>2931.0630000000001</v>
      </c>
      <c r="V14" s="12"/>
      <c r="W14" s="12"/>
    </row>
    <row r="15" spans="1:30" ht="11.25" customHeight="1" x14ac:dyDescent="0.25">
      <c r="A15" s="92"/>
      <c r="B15" s="91" t="s">
        <v>92</v>
      </c>
      <c r="C15" s="91" t="s">
        <v>24</v>
      </c>
      <c r="D15" s="13" t="s">
        <v>24</v>
      </c>
      <c r="E15" s="13" t="s">
        <v>25</v>
      </c>
      <c r="F15" s="13" t="s">
        <v>25</v>
      </c>
      <c r="G15" s="12" t="s">
        <v>84</v>
      </c>
      <c r="H15" s="12" t="s">
        <v>78</v>
      </c>
      <c r="I15" s="12">
        <f>SUMIF(Mercado_Receita!$T$2:$T$1214,"44228B1Energia convencional pré-pagamentoResidencialResidencialNão se aplicaNão se aplicaNão se aplica",Mercado_Receita!$N$2:$N$1214)</f>
        <v>0</v>
      </c>
      <c r="J15" s="12">
        <f>SUMIF(Mercado_Receita!$T$2:$T$1214,"44256B1Energia convencional pré-pagamentoResidencialResidencialNão se aplicaNão se aplicaNão se aplica",Mercado_Receita!$N$2:$N$1214)</f>
        <v>0</v>
      </c>
      <c r="K15" s="12">
        <f>SUMIF(Mercado_Receita!$T$2:$T$1214,"44287B1Energia convencional pré-pagamentoResidencialResidencialNão se aplicaNão se aplicaNão se aplica",Mercado_Receita!$N$2:$N$1214)</f>
        <v>0</v>
      </c>
      <c r="L15" s="12">
        <f>SUMIF(Mercado_Receita!$T$2:$T$1214,"44317B1Energia convencional pré-pagamentoResidencialResidencialNão se aplicaNão se aplicaNão se aplica",Mercado_Receita!$N$2:$N$1214)</f>
        <v>0</v>
      </c>
      <c r="M15" s="12">
        <f>SUMIF(Mercado_Receita!$T$2:$T$1214,"44348B1Energia convencional pré-pagamentoResidencialResidencialNão se aplicaNão se aplicaNão se aplica",Mercado_Receita!$N$2:$N$1214)</f>
        <v>0</v>
      </c>
      <c r="N15" s="12">
        <f>SUMIF(Mercado_Receita!$T$2:$T$1214,"44378B1Energia convencional pré-pagamentoResidencialResidencialNão se aplicaNão se aplicaNão se aplica",Mercado_Receita!$N$2:$N$1214)</f>
        <v>0</v>
      </c>
      <c r="O15" s="12">
        <f>SUMIF(Mercado_Receita!$T$2:$T$1214,"44409B1Energia convencional pré-pagamentoResidencialResidencialNão se aplicaNão se aplicaNão se aplica",Mercado_Receita!$N$2:$N$1214)</f>
        <v>0</v>
      </c>
      <c r="P15" s="12">
        <f>SUMIF(Mercado_Receita!$T$2:$T$1214,"44440B1Energia convencional pré-pagamentoResidencialResidencialNão se aplicaNão se aplicaNão se aplica",Mercado_Receita!$N$2:$N$1214)</f>
        <v>0</v>
      </c>
      <c r="Q15" s="12">
        <f>SUMIF(Mercado_Receita!$T$2:$T$1214,"44470B1Energia convencional pré-pagamentoResidencialResidencialNão se aplicaNão se aplicaNão se aplica",Mercado_Receita!$N$2:$N$1214)</f>
        <v>0</v>
      </c>
      <c r="R15" s="12">
        <f>SUMIF(Mercado_Receita!$T$2:$T$1214,"44501B1Energia convencional pré-pagamentoResidencialResidencialNão se aplicaNão se aplicaNão se aplica",Mercado_Receita!$N$2:$N$1214)</f>
        <v>0</v>
      </c>
      <c r="S15" s="12">
        <f>SUMIF(Mercado_Receita!$T$2:$T$1214,"44531B1Energia convencional pré-pagamentoResidencialResidencialNão se aplicaNão se aplicaNão se aplica",Mercado_Receita!$N$2:$N$1214)</f>
        <v>0</v>
      </c>
      <c r="T15" s="12">
        <f>SUMIF(Mercado_Receita!$T$2:$T$1214,"44562B1Energia convencional pré-pagamentoResidencialResidencialNão se aplicaNão se aplicaNão se aplica",Mercado_Receita!$N$2:$N$1214)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92"/>
      <c r="B16" s="92"/>
      <c r="C16" s="92"/>
      <c r="D16" s="13" t="s">
        <v>29</v>
      </c>
      <c r="E16" s="13" t="s">
        <v>25</v>
      </c>
      <c r="F16" s="13" t="s">
        <v>25</v>
      </c>
      <c r="G16" s="12" t="s">
        <v>84</v>
      </c>
      <c r="H16" s="12" t="s">
        <v>78</v>
      </c>
      <c r="I16" s="12">
        <f>SUMIF(Mercado_Receita!$T$2:$T$1214,"44228B1Energia convencional pré-pagamentoResidencialResidencial baixa renda – faixa 01Não se aplicaNão se aplicaNão se aplica",Mercado_Receita!$N$2:$N$1214)</f>
        <v>0</v>
      </c>
      <c r="J16" s="12">
        <f>SUMIF(Mercado_Receita!$T$2:$T$1214,"44256B1Energia convencional pré-pagamentoResidencialResidencial baixa renda – faixa 01Não se aplicaNão se aplicaNão se aplica",Mercado_Receita!$N$2:$N$1214)</f>
        <v>0</v>
      </c>
      <c r="K16" s="12">
        <f>SUMIF(Mercado_Receita!$T$2:$T$1214,"44287B1Energia convencional pré-pagamentoResidencialResidencial baixa renda – faixa 01Não se aplicaNão se aplicaNão se aplica",Mercado_Receita!$N$2:$N$1214)</f>
        <v>0</v>
      </c>
      <c r="L16" s="12">
        <f>SUMIF(Mercado_Receita!$T$2:$T$1214,"44317B1Energia convencional pré-pagamentoResidencialResidencial baixa renda – faixa 01Não se aplicaNão se aplicaNão se aplica",Mercado_Receita!$N$2:$N$1214)</f>
        <v>0</v>
      </c>
      <c r="M16" s="12">
        <f>SUMIF(Mercado_Receita!$T$2:$T$1214,"44348B1Energia convencional pré-pagamentoResidencialResidencial baixa renda – faixa 01Não se aplicaNão se aplicaNão se aplica",Mercado_Receita!$N$2:$N$1214)</f>
        <v>0</v>
      </c>
      <c r="N16" s="12">
        <f>SUMIF(Mercado_Receita!$T$2:$T$1214,"44378B1Energia convencional pré-pagamentoResidencialResidencial baixa renda – faixa 01Não se aplicaNão se aplicaNão se aplica",Mercado_Receita!$N$2:$N$1214)</f>
        <v>0</v>
      </c>
      <c r="O16" s="12">
        <f>SUMIF(Mercado_Receita!$T$2:$T$1214,"44409B1Energia convencional pré-pagamentoResidencialResidencial baixa renda – faixa 01Não se aplicaNão se aplicaNão se aplica",Mercado_Receita!$N$2:$N$1214)</f>
        <v>0</v>
      </c>
      <c r="P16" s="12">
        <f>SUMIF(Mercado_Receita!$T$2:$T$1214,"44440B1Energia convencional pré-pagamentoResidencialResidencial baixa renda – faixa 01Não se aplicaNão se aplicaNão se aplica",Mercado_Receita!$N$2:$N$1214)</f>
        <v>0</v>
      </c>
      <c r="Q16" s="12">
        <f>SUMIF(Mercado_Receita!$T$2:$T$1214,"44470B1Energia convencional pré-pagamentoResidencialResidencial baixa renda – faixa 01Não se aplicaNão se aplicaNão se aplica",Mercado_Receita!$N$2:$N$1214)</f>
        <v>0</v>
      </c>
      <c r="R16" s="12">
        <f>SUMIF(Mercado_Receita!$T$2:$T$1214,"44501B1Energia convencional pré-pagamentoResidencialResidencial baixa renda – faixa 01Não se aplicaNão se aplicaNão se aplica",Mercado_Receita!$N$2:$N$1214)</f>
        <v>0</v>
      </c>
      <c r="S16" s="12">
        <f>SUMIF(Mercado_Receita!$T$2:$T$1214,"44531B1Energia convencional pré-pagamentoResidencialResidencial baixa renda – faixa 01Não se aplicaNão se aplicaNão se aplica",Mercado_Receita!$N$2:$N$1214)</f>
        <v>0</v>
      </c>
      <c r="T16" s="12">
        <f>SUMIF(Mercado_Receita!$T$2:$T$1214,"44562B1Energia convencional pré-pagamentoResidencialResidencial baixa renda – faixa 01Não se aplicaNão se aplicaNão se aplica",Mercado_Receita!$N$2:$N$1214)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92"/>
      <c r="B17" s="92"/>
      <c r="C17" s="92"/>
      <c r="D17" s="13" t="s">
        <v>30</v>
      </c>
      <c r="E17" s="13" t="s">
        <v>25</v>
      </c>
      <c r="F17" s="13" t="s">
        <v>25</v>
      </c>
      <c r="G17" s="12" t="s">
        <v>84</v>
      </c>
      <c r="H17" s="12" t="s">
        <v>78</v>
      </c>
      <c r="I17" s="12">
        <f>SUMIF(Mercado_Receita!$T$2:$T$1214,"44228B1Energia convencional pré-pagamentoResidencialResidencial baixa renda – faixa 02Não se aplicaNão se aplicaNão se aplica",Mercado_Receita!$N$2:$N$1214)</f>
        <v>0</v>
      </c>
      <c r="J17" s="12">
        <f>SUMIF(Mercado_Receita!$T$2:$T$1214,"44256B1Energia convencional pré-pagamentoResidencialResidencial baixa renda – faixa 02Não se aplicaNão se aplicaNão se aplica",Mercado_Receita!$N$2:$N$1214)</f>
        <v>0</v>
      </c>
      <c r="K17" s="12">
        <f>SUMIF(Mercado_Receita!$T$2:$T$1214,"44287B1Energia convencional pré-pagamentoResidencialResidencial baixa renda – faixa 02Não se aplicaNão se aplicaNão se aplica",Mercado_Receita!$N$2:$N$1214)</f>
        <v>0</v>
      </c>
      <c r="L17" s="12">
        <f>SUMIF(Mercado_Receita!$T$2:$T$1214,"44317B1Energia convencional pré-pagamentoResidencialResidencial baixa renda – faixa 02Não se aplicaNão se aplicaNão se aplica",Mercado_Receita!$N$2:$N$1214)</f>
        <v>0</v>
      </c>
      <c r="M17" s="12">
        <f>SUMIF(Mercado_Receita!$T$2:$T$1214,"44348B1Energia convencional pré-pagamentoResidencialResidencial baixa renda – faixa 02Não se aplicaNão se aplicaNão se aplica",Mercado_Receita!$N$2:$N$1214)</f>
        <v>0</v>
      </c>
      <c r="N17" s="12">
        <f>SUMIF(Mercado_Receita!$T$2:$T$1214,"44378B1Energia convencional pré-pagamentoResidencialResidencial baixa renda – faixa 02Não se aplicaNão se aplicaNão se aplica",Mercado_Receita!$N$2:$N$1214)</f>
        <v>0</v>
      </c>
      <c r="O17" s="12">
        <f>SUMIF(Mercado_Receita!$T$2:$T$1214,"44409B1Energia convencional pré-pagamentoResidencialResidencial baixa renda – faixa 02Não se aplicaNão se aplicaNão se aplica",Mercado_Receita!$N$2:$N$1214)</f>
        <v>0</v>
      </c>
      <c r="P17" s="12">
        <f>SUMIF(Mercado_Receita!$T$2:$T$1214,"44440B1Energia convencional pré-pagamentoResidencialResidencial baixa renda – faixa 02Não se aplicaNão se aplicaNão se aplica",Mercado_Receita!$N$2:$N$1214)</f>
        <v>0</v>
      </c>
      <c r="Q17" s="12">
        <f>SUMIF(Mercado_Receita!$T$2:$T$1214,"44470B1Energia convencional pré-pagamentoResidencialResidencial baixa renda – faixa 02Não se aplicaNão se aplicaNão se aplica",Mercado_Receita!$N$2:$N$1214)</f>
        <v>0</v>
      </c>
      <c r="R17" s="12">
        <f>SUMIF(Mercado_Receita!$T$2:$T$1214,"44501B1Energia convencional pré-pagamentoResidencialResidencial baixa renda – faixa 02Não se aplicaNão se aplicaNão se aplica",Mercado_Receita!$N$2:$N$1214)</f>
        <v>0</v>
      </c>
      <c r="S17" s="12">
        <f>SUMIF(Mercado_Receita!$T$2:$T$1214,"44531B1Energia convencional pré-pagamentoResidencialResidencial baixa renda – faixa 02Não se aplicaNão se aplicaNão se aplica",Mercado_Receita!$N$2:$N$1214)</f>
        <v>0</v>
      </c>
      <c r="T17" s="12">
        <f>SUMIF(Mercado_Receita!$T$2:$T$1214,"44562B1Energia convencional pré-pagamentoResidencialResidencial baixa renda – faixa 02Não se aplicaNão se aplicaNão se aplica",Mercado_Receita!$N$2:$N$1214)</f>
        <v>0</v>
      </c>
      <c r="U17" s="12">
        <f t="shared" si="0"/>
        <v>0</v>
      </c>
      <c r="V17" s="12"/>
      <c r="W17" s="12"/>
    </row>
    <row r="18" spans="1:23" ht="11.25" customHeight="1" x14ac:dyDescent="0.25">
      <c r="A18" s="92"/>
      <c r="B18" s="92"/>
      <c r="C18" s="92"/>
      <c r="D18" s="13" t="s">
        <v>31</v>
      </c>
      <c r="E18" s="13" t="s">
        <v>25</v>
      </c>
      <c r="F18" s="13" t="s">
        <v>25</v>
      </c>
      <c r="G18" s="12" t="s">
        <v>84</v>
      </c>
      <c r="H18" s="12" t="s">
        <v>78</v>
      </c>
      <c r="I18" s="12">
        <f>SUMIF(Mercado_Receita!$T$2:$T$1214,"44228B1Energia convencional pré-pagamentoResidencialResidencial baixa renda – faixa 03Não se aplicaNão se aplicaNão se aplica",Mercado_Receita!$N$2:$N$1214)</f>
        <v>0</v>
      </c>
      <c r="J18" s="12">
        <f>SUMIF(Mercado_Receita!$T$2:$T$1214,"44256B1Energia convencional pré-pagamentoResidencialResidencial baixa renda – faixa 03Não se aplicaNão se aplicaNão se aplica",Mercado_Receita!$N$2:$N$1214)</f>
        <v>0</v>
      </c>
      <c r="K18" s="12">
        <f>SUMIF(Mercado_Receita!$T$2:$T$1214,"44287B1Energia convencional pré-pagamentoResidencialResidencial baixa renda – faixa 03Não se aplicaNão se aplicaNão se aplica",Mercado_Receita!$N$2:$N$1214)</f>
        <v>0</v>
      </c>
      <c r="L18" s="12">
        <f>SUMIF(Mercado_Receita!$T$2:$T$1214,"44317B1Energia convencional pré-pagamentoResidencialResidencial baixa renda – faixa 03Não se aplicaNão se aplicaNão se aplica",Mercado_Receita!$N$2:$N$1214)</f>
        <v>0</v>
      </c>
      <c r="M18" s="12">
        <f>SUMIF(Mercado_Receita!$T$2:$T$1214,"44348B1Energia convencional pré-pagamentoResidencialResidencial baixa renda – faixa 03Não se aplicaNão se aplicaNão se aplica",Mercado_Receita!$N$2:$N$1214)</f>
        <v>0</v>
      </c>
      <c r="N18" s="12">
        <f>SUMIF(Mercado_Receita!$T$2:$T$1214,"44378B1Energia convencional pré-pagamentoResidencialResidencial baixa renda – faixa 03Não se aplicaNão se aplicaNão se aplica",Mercado_Receita!$N$2:$N$1214)</f>
        <v>0</v>
      </c>
      <c r="O18" s="12">
        <f>SUMIF(Mercado_Receita!$T$2:$T$1214,"44409B1Energia convencional pré-pagamentoResidencialResidencial baixa renda – faixa 03Não se aplicaNão se aplicaNão se aplica",Mercado_Receita!$N$2:$N$1214)</f>
        <v>0</v>
      </c>
      <c r="P18" s="12">
        <f>SUMIF(Mercado_Receita!$T$2:$T$1214,"44440B1Energia convencional pré-pagamentoResidencialResidencial baixa renda – faixa 03Não se aplicaNão se aplicaNão se aplica",Mercado_Receita!$N$2:$N$1214)</f>
        <v>0</v>
      </c>
      <c r="Q18" s="12">
        <f>SUMIF(Mercado_Receita!$T$2:$T$1214,"44470B1Energia convencional pré-pagamentoResidencialResidencial baixa renda – faixa 03Não se aplicaNão se aplicaNão se aplica",Mercado_Receita!$N$2:$N$1214)</f>
        <v>0</v>
      </c>
      <c r="R18" s="12">
        <f>SUMIF(Mercado_Receita!$T$2:$T$1214,"44501B1Energia convencional pré-pagamentoResidencialResidencial baixa renda – faixa 03Não se aplicaNão se aplicaNão se aplica",Mercado_Receita!$N$2:$N$1214)</f>
        <v>0</v>
      </c>
      <c r="S18" s="12">
        <f>SUMIF(Mercado_Receita!$T$2:$T$1214,"44531B1Energia convencional pré-pagamentoResidencialResidencial baixa renda – faixa 03Não se aplicaNão se aplicaNão se aplica",Mercado_Receita!$N$2:$N$1214)</f>
        <v>0</v>
      </c>
      <c r="T18" s="12">
        <f>SUMIF(Mercado_Receita!$T$2:$T$1214,"44562B1Energia convencional pré-pagamentoResidencialResidencial baixa renda – faixa 03Não se aplicaNão se aplicaNão se aplica",Mercado_Receita!$N$2:$N$1214)</f>
        <v>0</v>
      </c>
      <c r="U18" s="12">
        <f t="shared" si="0"/>
        <v>0</v>
      </c>
      <c r="V18" s="12"/>
      <c r="W18" s="12"/>
    </row>
    <row r="19" spans="1:23" ht="11.25" customHeight="1" x14ac:dyDescent="0.25">
      <c r="A19" s="92"/>
      <c r="B19" s="92"/>
      <c r="C19" s="92"/>
      <c r="D19" s="13" t="s">
        <v>32</v>
      </c>
      <c r="E19" s="13" t="s">
        <v>25</v>
      </c>
      <c r="F19" s="13" t="s">
        <v>25</v>
      </c>
      <c r="G19" s="12" t="s">
        <v>84</v>
      </c>
      <c r="H19" s="12" t="s">
        <v>78</v>
      </c>
      <c r="I19" s="12">
        <f>SUMIF(Mercado_Receita!$T$2:$T$1214,"44228B1Energia convencional pré-pagamentoResidencialResidencial baixa renda – faixa 04Não se aplicaNão se aplicaNão se aplica",Mercado_Receita!$N$2:$N$1214)</f>
        <v>0</v>
      </c>
      <c r="J19" s="12">
        <f>SUMIF(Mercado_Receita!$T$2:$T$1214,"44256B1Energia convencional pré-pagamentoResidencialResidencial baixa renda – faixa 04Não se aplicaNão se aplicaNão se aplica",Mercado_Receita!$N$2:$N$1214)</f>
        <v>0</v>
      </c>
      <c r="K19" s="12">
        <f>SUMIF(Mercado_Receita!$T$2:$T$1214,"44287B1Energia convencional pré-pagamentoResidencialResidencial baixa renda – faixa 04Não se aplicaNão se aplicaNão se aplica",Mercado_Receita!$N$2:$N$1214)</f>
        <v>0</v>
      </c>
      <c r="L19" s="12">
        <f>SUMIF(Mercado_Receita!$T$2:$T$1214,"44317B1Energia convencional pré-pagamentoResidencialResidencial baixa renda – faixa 04Não se aplicaNão se aplicaNão se aplica",Mercado_Receita!$N$2:$N$1214)</f>
        <v>0</v>
      </c>
      <c r="M19" s="12">
        <f>SUMIF(Mercado_Receita!$T$2:$T$1214,"44348B1Energia convencional pré-pagamentoResidencialResidencial baixa renda – faixa 04Não se aplicaNão se aplicaNão se aplica",Mercado_Receita!$N$2:$N$1214)</f>
        <v>0</v>
      </c>
      <c r="N19" s="12">
        <f>SUMIF(Mercado_Receita!$T$2:$T$1214,"44378B1Energia convencional pré-pagamentoResidencialResidencial baixa renda – faixa 04Não se aplicaNão se aplicaNão se aplica",Mercado_Receita!$N$2:$N$1214)</f>
        <v>0</v>
      </c>
      <c r="O19" s="12">
        <f>SUMIF(Mercado_Receita!$T$2:$T$1214,"44409B1Energia convencional pré-pagamentoResidencialResidencial baixa renda – faixa 04Não se aplicaNão se aplicaNão se aplica",Mercado_Receita!$N$2:$N$1214)</f>
        <v>0</v>
      </c>
      <c r="P19" s="12">
        <f>SUMIF(Mercado_Receita!$T$2:$T$1214,"44440B1Energia convencional pré-pagamentoResidencialResidencial baixa renda – faixa 04Não se aplicaNão se aplicaNão se aplica",Mercado_Receita!$N$2:$N$1214)</f>
        <v>0</v>
      </c>
      <c r="Q19" s="12">
        <f>SUMIF(Mercado_Receita!$T$2:$T$1214,"44470B1Energia convencional pré-pagamentoResidencialResidencial baixa renda – faixa 04Não se aplicaNão se aplicaNão se aplica",Mercado_Receita!$N$2:$N$1214)</f>
        <v>0</v>
      </c>
      <c r="R19" s="12">
        <f>SUMIF(Mercado_Receita!$T$2:$T$1214,"44501B1Energia convencional pré-pagamentoResidencialResidencial baixa renda – faixa 04Não se aplicaNão se aplicaNão se aplica",Mercado_Receita!$N$2:$N$1214)</f>
        <v>0</v>
      </c>
      <c r="S19" s="12">
        <f>SUMIF(Mercado_Receita!$T$2:$T$1214,"44531B1Energia convencional pré-pagamentoResidencialResidencial baixa renda – faixa 04Não se aplicaNão se aplicaNão se aplica",Mercado_Receita!$N$2:$N$1214)</f>
        <v>0</v>
      </c>
      <c r="T19" s="12">
        <f>SUMIF(Mercado_Receita!$T$2:$T$1214,"44562B1Energia convencional pré-pagamentoResidencialResidencial baixa renda – faixa 04Não se aplicaNão se aplicaNão se aplica",Mercado_Receita!$N$2:$N$1214)</f>
        <v>0</v>
      </c>
      <c r="U19" s="12">
        <f t="shared" si="0"/>
        <v>0</v>
      </c>
      <c r="V19" s="12"/>
      <c r="W19" s="12"/>
    </row>
    <row r="20" spans="1:23" ht="11.25" customHeight="1" x14ac:dyDescent="0.25">
      <c r="A20" s="91" t="s">
        <v>43</v>
      </c>
      <c r="B20" s="91" t="s">
        <v>77</v>
      </c>
      <c r="C20" s="91" t="s">
        <v>44</v>
      </c>
      <c r="D20" s="91" t="s">
        <v>25</v>
      </c>
      <c r="E20" s="91" t="s">
        <v>25</v>
      </c>
      <c r="F20" s="91" t="s">
        <v>25</v>
      </c>
      <c r="G20" s="12" t="s">
        <v>79</v>
      </c>
      <c r="H20" s="12" t="s">
        <v>78</v>
      </c>
      <c r="I20" s="12">
        <f>SUMIF(Mercado_Receita!$T$2:$T$1214,"44228B2Energia horáriaRuralNão se aplicaNão se aplicaNão se aplicaPonta",Mercado_Receita!$N$2:$N$1214)</f>
        <v>1.0999999999999999E-2</v>
      </c>
      <c r="J20" s="12">
        <f>SUMIF(Mercado_Receita!$T$2:$T$1214,"44256B2Energia horáriaRuralNão se aplicaNão se aplicaNão se aplicaPonta",Mercado_Receita!$N$2:$N$1214)</f>
        <v>1.4E-2</v>
      </c>
      <c r="K20" s="12">
        <f>SUMIF(Mercado_Receita!$T$2:$T$1214,"44287B2Energia horáriaRuralNão se aplicaNão se aplicaNão se aplicaPonta",Mercado_Receita!$N$2:$N$1214)</f>
        <v>1.2999999999999999E-2</v>
      </c>
      <c r="L20" s="12">
        <f>SUMIF(Mercado_Receita!$T$2:$T$1214,"44317B2Energia horáriaRuralNão se aplicaNão se aplicaNão se aplicaPonta",Mercado_Receita!$N$2:$N$1214)</f>
        <v>1.4999999999999999E-2</v>
      </c>
      <c r="M20" s="12">
        <f>SUMIF(Mercado_Receita!$T$2:$T$1214,"44348B2Energia horáriaRuralNão se aplicaNão se aplicaNão se aplicaPonta",Mercado_Receita!$N$2:$N$1214)</f>
        <v>1.2999999999999999E-2</v>
      </c>
      <c r="N20" s="12">
        <f>SUMIF(Mercado_Receita!$T$2:$T$1214,"44378B2Energia horáriaRuralNão se aplicaNão se aplicaNão se aplicaPonta",Mercado_Receita!$N$2:$N$1214)</f>
        <v>1.2999999999999999E-2</v>
      </c>
      <c r="O20" s="12">
        <f>SUMIF(Mercado_Receita!$T$2:$T$1214,"44409B2Energia horáriaRuralNão se aplicaNão se aplicaNão se aplicaPonta",Mercado_Receita!$N$2:$N$1214)</f>
        <v>1.2E-2</v>
      </c>
      <c r="P20" s="12">
        <f>SUMIF(Mercado_Receita!$T$2:$T$1214,"44440B2Energia horáriaRuralNão se aplicaNão se aplicaNão se aplicaPonta",Mercado_Receita!$N$2:$N$1214)</f>
        <v>1.2999999999999999E-2</v>
      </c>
      <c r="Q20" s="12">
        <f>SUMIF(Mercado_Receita!$T$2:$T$1214,"44470B2Energia horáriaRuralNão se aplicaNão se aplicaNão se aplicaPonta",Mercado_Receita!$N$2:$N$1214)</f>
        <v>1.4999999999999999E-2</v>
      </c>
      <c r="R20" s="12">
        <f>SUMIF(Mercado_Receita!$T$2:$T$1214,"44501B2Energia horáriaRuralNão se aplicaNão se aplicaNão se aplicaPonta",Mercado_Receita!$N$2:$N$1214)</f>
        <v>1.4999999999999999E-2</v>
      </c>
      <c r="S20" s="12">
        <f>SUMIF(Mercado_Receita!$T$2:$T$1214,"44531B2Energia horáriaRuralNão se aplicaNão se aplicaNão se aplicaPonta",Mercado_Receita!$N$2:$N$1214)</f>
        <v>1.6E-2</v>
      </c>
      <c r="T20" s="12">
        <f>SUMIF(Mercado_Receita!$T$2:$T$1214,"44562B2Energia horáriaRuralNão se aplicaNão se aplicaNão se aplicaPonta",Mercado_Receita!$N$2:$N$1214)</f>
        <v>1.6E-2</v>
      </c>
      <c r="U20" s="12">
        <f t="shared" si="0"/>
        <v>0.16600000000000004</v>
      </c>
      <c r="V20" s="12"/>
      <c r="W20" s="12"/>
    </row>
    <row r="21" spans="1:23" ht="11.25" customHeight="1" x14ac:dyDescent="0.25">
      <c r="A21" s="92"/>
      <c r="B21" s="92"/>
      <c r="C21" s="92"/>
      <c r="D21" s="92"/>
      <c r="E21" s="92"/>
      <c r="F21" s="92"/>
      <c r="G21" s="12" t="s">
        <v>91</v>
      </c>
      <c r="H21" s="12" t="s">
        <v>78</v>
      </c>
      <c r="I21" s="12">
        <f>SUMIF(Mercado_Receita!$T$2:$T$1214,"44228B2Energia horáriaRuralNão se aplicaNão se aplicaNão se aplicaIntermediário",Mercado_Receita!$N$2:$N$1214)</f>
        <v>1.6E-2</v>
      </c>
      <c r="J21" s="12">
        <f>SUMIF(Mercado_Receita!$T$2:$T$1214,"44256B2Energia horáriaRuralNão se aplicaNão se aplicaNão se aplicaIntermediário",Mercado_Receita!$N$2:$N$1214)</f>
        <v>0.02</v>
      </c>
      <c r="K21" s="12">
        <f>SUMIF(Mercado_Receita!$T$2:$T$1214,"44287B2Energia horáriaRuralNão se aplicaNão se aplicaNão se aplicaIntermediário",Mercado_Receita!$N$2:$N$1214)</f>
        <v>0.01</v>
      </c>
      <c r="L21" s="12">
        <f>SUMIF(Mercado_Receita!$T$2:$T$1214,"44317B2Energia horáriaRuralNão se aplicaNão se aplicaNão se aplicaIntermediário",Mercado_Receita!$N$2:$N$1214)</f>
        <v>1.2999999999999999E-2</v>
      </c>
      <c r="M21" s="12">
        <f>SUMIF(Mercado_Receita!$T$2:$T$1214,"44348B2Energia horáriaRuralNão se aplicaNão se aplicaNão se aplicaIntermediário",Mercado_Receita!$N$2:$N$1214)</f>
        <v>1.0999999999999999E-2</v>
      </c>
      <c r="N21" s="12">
        <f>SUMIF(Mercado_Receita!$T$2:$T$1214,"44378B2Energia horáriaRuralNão se aplicaNão se aplicaNão se aplicaIntermediário",Mercado_Receita!$N$2:$N$1214)</f>
        <v>0.01</v>
      </c>
      <c r="O21" s="12">
        <f>SUMIF(Mercado_Receita!$T$2:$T$1214,"44409B2Energia horáriaRuralNão se aplicaNão se aplicaNão se aplicaIntermediário",Mercado_Receita!$N$2:$N$1214)</f>
        <v>8.0000000000000002E-3</v>
      </c>
      <c r="P21" s="12">
        <f>SUMIF(Mercado_Receita!$T$2:$T$1214,"44440B2Energia horáriaRuralNão se aplicaNão se aplicaNão se aplicaIntermediário",Mercado_Receita!$N$2:$N$1214)</f>
        <v>1.0999999999999999E-2</v>
      </c>
      <c r="Q21" s="12">
        <f>SUMIF(Mercado_Receita!$T$2:$T$1214,"44470B2Energia horáriaRuralNão se aplicaNão se aplicaNão se aplicaIntermediário",Mercado_Receita!$N$2:$N$1214)</f>
        <v>1.2E-2</v>
      </c>
      <c r="R21" s="12">
        <f>SUMIF(Mercado_Receita!$T$2:$T$1214,"44501B2Energia horáriaRuralNão se aplicaNão se aplicaNão se aplicaIntermediário",Mercado_Receita!$N$2:$N$1214)</f>
        <v>0.01</v>
      </c>
      <c r="S21" s="12">
        <f>SUMIF(Mercado_Receita!$T$2:$T$1214,"44531B2Energia horáriaRuralNão se aplicaNão se aplicaNão se aplicaIntermediário",Mercado_Receita!$N$2:$N$1214)</f>
        <v>1.2E-2</v>
      </c>
      <c r="T21" s="12">
        <f>SUMIF(Mercado_Receita!$T$2:$T$1214,"44562B2Energia horáriaRuralNão se aplicaNão se aplicaNão se aplicaIntermediário",Mercado_Receita!$N$2:$N$1214)</f>
        <v>1.2E-2</v>
      </c>
      <c r="U21" s="12">
        <f t="shared" si="0"/>
        <v>0.14499999999999999</v>
      </c>
      <c r="V21" s="12"/>
      <c r="W21" s="12"/>
    </row>
    <row r="22" spans="1:23" ht="11.25" customHeight="1" x14ac:dyDescent="0.25">
      <c r="A22" s="92"/>
      <c r="B22" s="92"/>
      <c r="C22" s="92"/>
      <c r="D22" s="92"/>
      <c r="E22" s="92"/>
      <c r="F22" s="92"/>
      <c r="G22" s="12" t="s">
        <v>80</v>
      </c>
      <c r="H22" s="12" t="s">
        <v>78</v>
      </c>
      <c r="I22" s="12">
        <f>SUMIF(Mercado_Receita!$T$2:$T$1214,"44228B2Energia horáriaRuralNão se aplicaNão se aplicaNão se aplicaFora ponta",Mercado_Receita!$N$2:$N$1214)</f>
        <v>0.28799999999999998</v>
      </c>
      <c r="J22" s="12">
        <f>SUMIF(Mercado_Receita!$T$2:$T$1214,"44256B2Energia horáriaRuralNão se aplicaNão se aplicaNão se aplicaFora ponta",Mercado_Receita!$N$2:$N$1214)</f>
        <v>0.34799999999999998</v>
      </c>
      <c r="K22" s="12">
        <f>SUMIF(Mercado_Receita!$T$2:$T$1214,"44287B2Energia horáriaRuralNão se aplicaNão se aplicaNão se aplicaFora ponta",Mercado_Receita!$N$2:$N$1214)</f>
        <v>0.434</v>
      </c>
      <c r="L22" s="12">
        <f>SUMIF(Mercado_Receita!$T$2:$T$1214,"44317B2Energia horáriaRuralNão se aplicaNão se aplicaNão se aplicaFora ponta",Mercado_Receita!$N$2:$N$1214)</f>
        <v>0.27800000000000002</v>
      </c>
      <c r="M22" s="12">
        <f>SUMIF(Mercado_Receita!$T$2:$T$1214,"44348B2Energia horáriaRuralNão se aplicaNão se aplicaNão se aplicaFora ponta",Mercado_Receita!$N$2:$N$1214)</f>
        <v>0.17799999999999999</v>
      </c>
      <c r="N22" s="12">
        <f>SUMIF(Mercado_Receita!$T$2:$T$1214,"44378B2Energia horáriaRuralNão se aplicaNão se aplicaNão se aplicaFora ponta",Mercado_Receita!$N$2:$N$1214)</f>
        <v>0.24199999999999999</v>
      </c>
      <c r="O22" s="12">
        <f>SUMIF(Mercado_Receita!$T$2:$T$1214,"44409B2Energia horáriaRuralNão se aplicaNão se aplicaNão se aplicaFora ponta",Mercado_Receita!$N$2:$N$1214)</f>
        <v>0.16900000000000001</v>
      </c>
      <c r="P22" s="12">
        <f>SUMIF(Mercado_Receita!$T$2:$T$1214,"44440B2Energia horáriaRuralNão se aplicaNão se aplicaNão se aplicaFora ponta",Mercado_Receita!$N$2:$N$1214)</f>
        <v>0.191</v>
      </c>
      <c r="Q22" s="12">
        <f>SUMIF(Mercado_Receita!$T$2:$T$1214,"44470B2Energia horáriaRuralNão se aplicaNão se aplicaNão se aplicaFora ponta",Mercado_Receita!$N$2:$N$1214)</f>
        <v>0.254</v>
      </c>
      <c r="R22" s="12">
        <f>SUMIF(Mercado_Receita!$T$2:$T$1214,"44501B2Energia horáriaRuralNão se aplicaNão se aplicaNão se aplicaFora ponta",Mercado_Receita!$N$2:$N$1214)</f>
        <v>0.32200000000000001</v>
      </c>
      <c r="S22" s="12">
        <f>SUMIF(Mercado_Receita!$T$2:$T$1214,"44531B2Energia horáriaRuralNão se aplicaNão se aplicaNão se aplicaFora ponta",Mercado_Receita!$N$2:$N$1214)</f>
        <v>0.33300000000000002</v>
      </c>
      <c r="T22" s="12">
        <f>SUMIF(Mercado_Receita!$T$2:$T$1214,"44562B2Energia horáriaRuralNão se aplicaNão se aplicaNão se aplicaFora ponta",Mercado_Receita!$N$2:$N$1214)</f>
        <v>0.33300000000000002</v>
      </c>
      <c r="U22" s="12">
        <f t="shared" si="0"/>
        <v>3.37</v>
      </c>
      <c r="V22" s="12"/>
      <c r="W22" s="12"/>
    </row>
    <row r="23" spans="1:23" ht="11.25" customHeight="1" x14ac:dyDescent="0.25">
      <c r="A23" s="92"/>
      <c r="B23" s="13" t="s">
        <v>86</v>
      </c>
      <c r="C23" s="13" t="s">
        <v>44</v>
      </c>
      <c r="D23" s="13" t="s">
        <v>25</v>
      </c>
      <c r="E23" s="13" t="s">
        <v>25</v>
      </c>
      <c r="F23" s="13" t="s">
        <v>25</v>
      </c>
      <c r="G23" s="12" t="s">
        <v>84</v>
      </c>
      <c r="H23" s="12" t="s">
        <v>78</v>
      </c>
      <c r="I23" s="12">
        <f>SUMIF(Mercado_Receita!$T$2:$T$1214,"44228B2Energia convencionalRuralNão se aplicaNão se aplicaNão se aplicaNão se aplica",Mercado_Receita!$N$2:$N$1214)</f>
        <v>2031.5230000000001</v>
      </c>
      <c r="J23" s="12">
        <f>SUMIF(Mercado_Receita!$T$2:$T$1214,"44256B2Energia convencionalRuralNão se aplicaNão se aplicaNão se aplicaNão se aplica",Mercado_Receita!$N$2:$N$1214)</f>
        <v>2138.846</v>
      </c>
      <c r="K23" s="12">
        <f>SUMIF(Mercado_Receita!$T$2:$T$1214,"44287B2Energia convencionalRuralNão se aplicaNão se aplicaNão se aplicaNão se aplica",Mercado_Receita!$N$2:$N$1214)</f>
        <v>2029.4369999999999</v>
      </c>
      <c r="L23" s="12">
        <f>SUMIF(Mercado_Receita!$T$2:$T$1214,"44317B2Energia convencionalRuralNão se aplicaNão se aplicaNão se aplicaNão se aplica",Mercado_Receita!$N$2:$N$1214)</f>
        <v>1831.7780000000002</v>
      </c>
      <c r="M23" s="12">
        <f>SUMIF(Mercado_Receita!$T$2:$T$1214,"44348B2Energia convencionalRuralNão se aplicaNão se aplicaNão se aplicaNão se aplica",Mercado_Receita!$N$2:$N$1214)</f>
        <v>1804.154</v>
      </c>
      <c r="N23" s="12">
        <f>SUMIF(Mercado_Receita!$T$2:$T$1214,"44378B2Energia convencionalRuralNão se aplicaNão se aplicaNão se aplicaNão se aplica",Mercado_Receita!$N$2:$N$1214)</f>
        <v>1936.431</v>
      </c>
      <c r="O23" s="12">
        <f>SUMIF(Mercado_Receita!$T$2:$T$1214,"44409B2Energia convencionalRuralNão se aplicaNão se aplicaNão se aplicaNão se aplica",Mercado_Receita!$N$2:$N$1214)</f>
        <v>1806.4019999999998</v>
      </c>
      <c r="P23" s="12">
        <f>SUMIF(Mercado_Receita!$T$2:$T$1214,"44440B2Energia convencionalRuralNão se aplicaNão se aplicaNão se aplicaNão se aplica",Mercado_Receita!$N$2:$N$1214)</f>
        <v>1974.855</v>
      </c>
      <c r="Q23" s="12">
        <f>SUMIF(Mercado_Receita!$T$2:$T$1214,"44470B2Energia convencionalRuralNão se aplicaNão se aplicaNão se aplicaNão se aplica",Mercado_Receita!$N$2:$N$1214)</f>
        <v>2029.633</v>
      </c>
      <c r="R23" s="12">
        <f>SUMIF(Mercado_Receita!$T$2:$T$1214,"44501B2Energia convencionalRuralNão se aplicaNão se aplicaNão se aplicaNão se aplica",Mercado_Receita!$N$2:$N$1214)</f>
        <v>1994.0809999999999</v>
      </c>
      <c r="S23" s="12">
        <f>SUMIF(Mercado_Receita!$T$2:$T$1214,"44531B2Energia convencionalRuralNão se aplicaNão se aplicaNão se aplicaNão se aplica",Mercado_Receita!$N$2:$N$1214)</f>
        <v>2082.2220000000002</v>
      </c>
      <c r="T23" s="12">
        <f>SUMIF(Mercado_Receita!$T$2:$T$1214,"44562B2Energia convencionalRuralNão se aplicaNão se aplicaNão se aplicaNão se aplica",Mercado_Receita!$N$2:$N$1214)</f>
        <v>2082.2220000000002</v>
      </c>
      <c r="U23" s="12">
        <f t="shared" si="0"/>
        <v>23741.584000000003</v>
      </c>
      <c r="V23" s="12"/>
      <c r="W23" s="12"/>
    </row>
    <row r="24" spans="1:23" ht="11.25" customHeight="1" x14ac:dyDescent="0.25">
      <c r="A24" s="92"/>
      <c r="B24" s="91" t="s">
        <v>77</v>
      </c>
      <c r="C24" s="91" t="s">
        <v>44</v>
      </c>
      <c r="D24" s="91" t="s">
        <v>94</v>
      </c>
      <c r="E24" s="91" t="s">
        <v>25</v>
      </c>
      <c r="F24" s="91" t="s">
        <v>25</v>
      </c>
      <c r="G24" s="12" t="s">
        <v>79</v>
      </c>
      <c r="H24" s="12" t="s">
        <v>78</v>
      </c>
      <c r="I24" s="12">
        <f>SUMIF(Mercado_Receita!$T$2:$T$1214,"44228B2Energia horáriaRuralCooperativa de eletrificação ruralNão se aplicaNão se aplicaPonta",Mercado_Receita!$N$2:$N$1214)</f>
        <v>0</v>
      </c>
      <c r="J24" s="12">
        <f>SUMIF(Mercado_Receita!$T$2:$T$1214,"44256B2Energia horáriaRuralCooperativa de eletrificação ruralNão se aplicaNão se aplicaPonta",Mercado_Receita!$N$2:$N$1214)</f>
        <v>0</v>
      </c>
      <c r="K24" s="12">
        <f>SUMIF(Mercado_Receita!$T$2:$T$1214,"44287B2Energia horáriaRuralCooperativa de eletrificação ruralNão se aplicaNão se aplicaPonta",Mercado_Receita!$N$2:$N$1214)</f>
        <v>0</v>
      </c>
      <c r="L24" s="12">
        <f>SUMIF(Mercado_Receita!$T$2:$T$1214,"44317B2Energia horáriaRuralCooperativa de eletrificação ruralNão se aplicaNão se aplicaPonta",Mercado_Receita!$N$2:$N$1214)</f>
        <v>0</v>
      </c>
      <c r="M24" s="12">
        <f>SUMIF(Mercado_Receita!$T$2:$T$1214,"44348B2Energia horáriaRuralCooperativa de eletrificação ruralNão se aplicaNão se aplicaPonta",Mercado_Receita!$N$2:$N$1214)</f>
        <v>0</v>
      </c>
      <c r="N24" s="12">
        <f>SUMIF(Mercado_Receita!$T$2:$T$1214,"44378B2Energia horáriaRuralCooperativa de eletrificação ruralNão se aplicaNão se aplicaPonta",Mercado_Receita!$N$2:$N$1214)</f>
        <v>0</v>
      </c>
      <c r="O24" s="12">
        <f>SUMIF(Mercado_Receita!$T$2:$T$1214,"44409B2Energia horáriaRuralCooperativa de eletrificação ruralNão se aplicaNão se aplicaPonta",Mercado_Receita!$N$2:$N$1214)</f>
        <v>0</v>
      </c>
      <c r="P24" s="12">
        <f>SUMIF(Mercado_Receita!$T$2:$T$1214,"44440B2Energia horáriaRuralCooperativa de eletrificação ruralNão se aplicaNão se aplicaPonta",Mercado_Receita!$N$2:$N$1214)</f>
        <v>0</v>
      </c>
      <c r="Q24" s="12">
        <f>SUMIF(Mercado_Receita!$T$2:$T$1214,"44470B2Energia horáriaRuralCooperativa de eletrificação ruralNão se aplicaNão se aplicaPonta",Mercado_Receita!$N$2:$N$1214)</f>
        <v>0</v>
      </c>
      <c r="R24" s="12">
        <f>SUMIF(Mercado_Receita!$T$2:$T$1214,"44501B2Energia horáriaRuralCooperativa de eletrificação ruralNão se aplicaNão se aplicaPonta",Mercado_Receita!$N$2:$N$1214)</f>
        <v>0</v>
      </c>
      <c r="S24" s="12">
        <f>SUMIF(Mercado_Receita!$T$2:$T$1214,"44531B2Energia horáriaRuralCooperativa de eletrificação ruralNão se aplicaNão se aplicaPonta",Mercado_Receita!$N$2:$N$1214)</f>
        <v>0</v>
      </c>
      <c r="T24" s="12">
        <f>SUMIF(Mercado_Receita!$T$2:$T$1214,"44562B2Energia horáriaRuralCooperativa de eletrificação ruralNão se aplicaNão se aplicaPonta",Mercado_Receita!$N$2:$N$1214)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92"/>
      <c r="B25" s="92"/>
      <c r="C25" s="92"/>
      <c r="D25" s="92"/>
      <c r="E25" s="92"/>
      <c r="F25" s="92"/>
      <c r="G25" s="12" t="s">
        <v>91</v>
      </c>
      <c r="H25" s="12" t="s">
        <v>78</v>
      </c>
      <c r="I25" s="12">
        <f>SUMIF(Mercado_Receita!$T$2:$T$1214,"44228B2Energia horáriaRuralCooperativa de eletrificação ruralNão se aplicaNão se aplicaIntermediário",Mercado_Receita!$N$2:$N$1214)</f>
        <v>0</v>
      </c>
      <c r="J25" s="12">
        <f>SUMIF(Mercado_Receita!$T$2:$T$1214,"44256B2Energia horáriaRuralCooperativa de eletrificação ruralNão se aplicaNão se aplicaIntermediário",Mercado_Receita!$N$2:$N$1214)</f>
        <v>0</v>
      </c>
      <c r="K25" s="12">
        <f>SUMIF(Mercado_Receita!$T$2:$T$1214,"44287B2Energia horáriaRuralCooperativa de eletrificação ruralNão se aplicaNão se aplicaIntermediário",Mercado_Receita!$N$2:$N$1214)</f>
        <v>0</v>
      </c>
      <c r="L25" s="12">
        <f>SUMIF(Mercado_Receita!$T$2:$T$1214,"44317B2Energia horáriaRuralCooperativa de eletrificação ruralNão se aplicaNão se aplicaIntermediário",Mercado_Receita!$N$2:$N$1214)</f>
        <v>0</v>
      </c>
      <c r="M25" s="12">
        <f>SUMIF(Mercado_Receita!$T$2:$T$1214,"44348B2Energia horáriaRuralCooperativa de eletrificação ruralNão se aplicaNão se aplicaIntermediário",Mercado_Receita!$N$2:$N$1214)</f>
        <v>0</v>
      </c>
      <c r="N25" s="12">
        <f>SUMIF(Mercado_Receita!$T$2:$T$1214,"44378B2Energia horáriaRuralCooperativa de eletrificação ruralNão se aplicaNão se aplicaIntermediário",Mercado_Receita!$N$2:$N$1214)</f>
        <v>0</v>
      </c>
      <c r="O25" s="12">
        <f>SUMIF(Mercado_Receita!$T$2:$T$1214,"44409B2Energia horáriaRuralCooperativa de eletrificação ruralNão se aplicaNão se aplicaIntermediário",Mercado_Receita!$N$2:$N$1214)</f>
        <v>0</v>
      </c>
      <c r="P25" s="12">
        <f>SUMIF(Mercado_Receita!$T$2:$T$1214,"44440B2Energia horáriaRuralCooperativa de eletrificação ruralNão se aplicaNão se aplicaIntermediário",Mercado_Receita!$N$2:$N$1214)</f>
        <v>0</v>
      </c>
      <c r="Q25" s="12">
        <f>SUMIF(Mercado_Receita!$T$2:$T$1214,"44470B2Energia horáriaRuralCooperativa de eletrificação ruralNão se aplicaNão se aplicaIntermediário",Mercado_Receita!$N$2:$N$1214)</f>
        <v>0</v>
      </c>
      <c r="R25" s="12">
        <f>SUMIF(Mercado_Receita!$T$2:$T$1214,"44501B2Energia horáriaRuralCooperativa de eletrificação ruralNão se aplicaNão se aplicaIntermediário",Mercado_Receita!$N$2:$N$1214)</f>
        <v>0</v>
      </c>
      <c r="S25" s="12">
        <f>SUMIF(Mercado_Receita!$T$2:$T$1214,"44531B2Energia horáriaRuralCooperativa de eletrificação ruralNão se aplicaNão se aplicaIntermediário",Mercado_Receita!$N$2:$N$1214)</f>
        <v>0</v>
      </c>
      <c r="T25" s="12">
        <f>SUMIF(Mercado_Receita!$T$2:$T$1214,"44562B2Energia horáriaRuralCooperativa de eletrificação ruralNão se aplicaNão se aplicaIntermediário",Mercado_Receita!$N$2:$N$1214)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92"/>
      <c r="B26" s="92"/>
      <c r="C26" s="92"/>
      <c r="D26" s="92"/>
      <c r="E26" s="92"/>
      <c r="F26" s="92"/>
      <c r="G26" s="12" t="s">
        <v>80</v>
      </c>
      <c r="H26" s="12" t="s">
        <v>78</v>
      </c>
      <c r="I26" s="12">
        <f>SUMIF(Mercado_Receita!$T$2:$T$1214,"44228B2Energia horáriaRuralCooperativa de eletrificação ruralNão se aplicaNão se aplicaFora ponta",Mercado_Receita!$N$2:$N$1214)</f>
        <v>0</v>
      </c>
      <c r="J26" s="12">
        <f>SUMIF(Mercado_Receita!$T$2:$T$1214,"44256B2Energia horáriaRuralCooperativa de eletrificação ruralNão se aplicaNão se aplicaFora ponta",Mercado_Receita!$N$2:$N$1214)</f>
        <v>0</v>
      </c>
      <c r="K26" s="12">
        <f>SUMIF(Mercado_Receita!$T$2:$T$1214,"44287B2Energia horáriaRuralCooperativa de eletrificação ruralNão se aplicaNão se aplicaFora ponta",Mercado_Receita!$N$2:$N$1214)</f>
        <v>0</v>
      </c>
      <c r="L26" s="12">
        <f>SUMIF(Mercado_Receita!$T$2:$T$1214,"44317B2Energia horáriaRuralCooperativa de eletrificação ruralNão se aplicaNão se aplicaFora ponta",Mercado_Receita!$N$2:$N$1214)</f>
        <v>0</v>
      </c>
      <c r="M26" s="12">
        <f>SUMIF(Mercado_Receita!$T$2:$T$1214,"44348B2Energia horáriaRuralCooperativa de eletrificação ruralNão se aplicaNão se aplicaFora ponta",Mercado_Receita!$N$2:$N$1214)</f>
        <v>0</v>
      </c>
      <c r="N26" s="12">
        <f>SUMIF(Mercado_Receita!$T$2:$T$1214,"44378B2Energia horáriaRuralCooperativa de eletrificação ruralNão se aplicaNão se aplicaFora ponta",Mercado_Receita!$N$2:$N$1214)</f>
        <v>0</v>
      </c>
      <c r="O26" s="12">
        <f>SUMIF(Mercado_Receita!$T$2:$T$1214,"44409B2Energia horáriaRuralCooperativa de eletrificação ruralNão se aplicaNão se aplicaFora ponta",Mercado_Receita!$N$2:$N$1214)</f>
        <v>0</v>
      </c>
      <c r="P26" s="12">
        <f>SUMIF(Mercado_Receita!$T$2:$T$1214,"44440B2Energia horáriaRuralCooperativa de eletrificação ruralNão se aplicaNão se aplicaFora ponta",Mercado_Receita!$N$2:$N$1214)</f>
        <v>0</v>
      </c>
      <c r="Q26" s="12">
        <f>SUMIF(Mercado_Receita!$T$2:$T$1214,"44470B2Energia horáriaRuralCooperativa de eletrificação ruralNão se aplicaNão se aplicaFora ponta",Mercado_Receita!$N$2:$N$1214)</f>
        <v>0</v>
      </c>
      <c r="R26" s="12">
        <f>SUMIF(Mercado_Receita!$T$2:$T$1214,"44501B2Energia horáriaRuralCooperativa de eletrificação ruralNão se aplicaNão se aplicaFora ponta",Mercado_Receita!$N$2:$N$1214)</f>
        <v>0</v>
      </c>
      <c r="S26" s="12">
        <f>SUMIF(Mercado_Receita!$T$2:$T$1214,"44531B2Energia horáriaRuralCooperativa de eletrificação ruralNão se aplicaNão se aplicaFora ponta",Mercado_Receita!$N$2:$N$1214)</f>
        <v>0</v>
      </c>
      <c r="T26" s="12">
        <f>SUMIF(Mercado_Receita!$T$2:$T$1214,"44562B2Energia horáriaRuralCooperativa de eletrificação ruralNão se aplicaNão se aplicaFora ponta",Mercado_Receita!$N$2:$N$1214)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92"/>
      <c r="B27" s="13" t="s">
        <v>86</v>
      </c>
      <c r="C27" s="13" t="s">
        <v>44</v>
      </c>
      <c r="D27" s="13" t="s">
        <v>94</v>
      </c>
      <c r="E27" s="13" t="s">
        <v>25</v>
      </c>
      <c r="F27" s="13" t="s">
        <v>25</v>
      </c>
      <c r="G27" s="12" t="s">
        <v>84</v>
      </c>
      <c r="H27" s="12" t="s">
        <v>78</v>
      </c>
      <c r="I27" s="12">
        <f>SUMIF(Mercado_Receita!$T$2:$T$1214,"44228B2Energia convencionalRuralCooperativa de eletrificação ruralNão se aplicaNão se aplicaNão se aplica",Mercado_Receita!$N$2:$N$1214)</f>
        <v>0</v>
      </c>
      <c r="J27" s="12">
        <f>SUMIF(Mercado_Receita!$T$2:$T$1214,"44256B2Energia convencionalRuralCooperativa de eletrificação ruralNão se aplicaNão se aplicaNão se aplica",Mercado_Receita!$N$2:$N$1214)</f>
        <v>0</v>
      </c>
      <c r="K27" s="12">
        <f>SUMIF(Mercado_Receita!$T$2:$T$1214,"44287B2Energia convencionalRuralCooperativa de eletrificação ruralNão se aplicaNão se aplicaNão se aplica",Mercado_Receita!$N$2:$N$1214)</f>
        <v>0</v>
      </c>
      <c r="L27" s="12">
        <f>SUMIF(Mercado_Receita!$T$2:$T$1214,"44317B2Energia convencionalRuralCooperativa de eletrificação ruralNão se aplicaNão se aplicaNão se aplica",Mercado_Receita!$N$2:$N$1214)</f>
        <v>0</v>
      </c>
      <c r="M27" s="12">
        <f>SUMIF(Mercado_Receita!$T$2:$T$1214,"44348B2Energia convencionalRuralCooperativa de eletrificação ruralNão se aplicaNão se aplicaNão se aplica",Mercado_Receita!$N$2:$N$1214)</f>
        <v>0</v>
      </c>
      <c r="N27" s="12">
        <f>SUMIF(Mercado_Receita!$T$2:$T$1214,"44378B2Energia convencionalRuralCooperativa de eletrificação ruralNão se aplicaNão se aplicaNão se aplica",Mercado_Receita!$N$2:$N$1214)</f>
        <v>0</v>
      </c>
      <c r="O27" s="12">
        <f>SUMIF(Mercado_Receita!$T$2:$T$1214,"44409B2Energia convencionalRuralCooperativa de eletrificação ruralNão se aplicaNão se aplicaNão se aplica",Mercado_Receita!$N$2:$N$1214)</f>
        <v>0</v>
      </c>
      <c r="P27" s="12">
        <f>SUMIF(Mercado_Receita!$T$2:$T$1214,"44440B2Energia convencionalRuralCooperativa de eletrificação ruralNão se aplicaNão se aplicaNão se aplica",Mercado_Receita!$N$2:$N$1214)</f>
        <v>0</v>
      </c>
      <c r="Q27" s="12">
        <f>SUMIF(Mercado_Receita!$T$2:$T$1214,"44470B2Energia convencionalRuralCooperativa de eletrificação ruralNão se aplicaNão se aplicaNão se aplica",Mercado_Receita!$N$2:$N$1214)</f>
        <v>0</v>
      </c>
      <c r="R27" s="12">
        <f>SUMIF(Mercado_Receita!$T$2:$T$1214,"44501B2Energia convencionalRuralCooperativa de eletrificação ruralNão se aplicaNão se aplicaNão se aplica",Mercado_Receita!$N$2:$N$1214)</f>
        <v>0</v>
      </c>
      <c r="S27" s="12">
        <f>SUMIF(Mercado_Receita!$T$2:$T$1214,"44531B2Energia convencionalRuralCooperativa de eletrificação ruralNão se aplicaNão se aplicaNão se aplica",Mercado_Receita!$N$2:$N$1214)</f>
        <v>0</v>
      </c>
      <c r="T27" s="12">
        <f>SUMIF(Mercado_Receita!$T$2:$T$1214,"44562B2Energia convencionalRuralCooperativa de eletrificação ruralNão se aplicaNão se aplicaNão se aplica",Mercado_Receita!$N$2:$N$1214)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92"/>
      <c r="B28" s="91" t="s">
        <v>77</v>
      </c>
      <c r="C28" s="91" t="s">
        <v>44</v>
      </c>
      <c r="D28" s="91" t="s">
        <v>95</v>
      </c>
      <c r="E28" s="91" t="s">
        <v>25</v>
      </c>
      <c r="F28" s="91" t="s">
        <v>25</v>
      </c>
      <c r="G28" s="12" t="s">
        <v>79</v>
      </c>
      <c r="H28" s="12" t="s">
        <v>78</v>
      </c>
      <c r="I28" s="12">
        <f>SUMIF(Mercado_Receita!$T$2:$T$1214,"44228B2Energia horáriaRuralServiço público de irrigação ruralNão se aplicaNão se aplicaPonta",Mercado_Receita!$N$2:$N$1214)</f>
        <v>0</v>
      </c>
      <c r="J28" s="12">
        <f>SUMIF(Mercado_Receita!$T$2:$T$1214,"44256B2Energia horáriaRuralServiço público de irrigação ruralNão se aplicaNão se aplicaPonta",Mercado_Receita!$N$2:$N$1214)</f>
        <v>0</v>
      </c>
      <c r="K28" s="12">
        <f>SUMIF(Mercado_Receita!$T$2:$T$1214,"44287B2Energia horáriaRuralServiço público de irrigação ruralNão se aplicaNão se aplicaPonta",Mercado_Receita!$N$2:$N$1214)</f>
        <v>0</v>
      </c>
      <c r="L28" s="12">
        <f>SUMIF(Mercado_Receita!$T$2:$T$1214,"44317B2Energia horáriaRuralServiço público de irrigação ruralNão se aplicaNão se aplicaPonta",Mercado_Receita!$N$2:$N$1214)</f>
        <v>0</v>
      </c>
      <c r="M28" s="12">
        <f>SUMIF(Mercado_Receita!$T$2:$T$1214,"44348B2Energia horáriaRuralServiço público de irrigação ruralNão se aplicaNão se aplicaPonta",Mercado_Receita!$N$2:$N$1214)</f>
        <v>0</v>
      </c>
      <c r="N28" s="12">
        <f>SUMIF(Mercado_Receita!$T$2:$T$1214,"44378B2Energia horáriaRuralServiço público de irrigação ruralNão se aplicaNão se aplicaPonta",Mercado_Receita!$N$2:$N$1214)</f>
        <v>0</v>
      </c>
      <c r="O28" s="12">
        <f>SUMIF(Mercado_Receita!$T$2:$T$1214,"44409B2Energia horáriaRuralServiço público de irrigação ruralNão se aplicaNão se aplicaPonta",Mercado_Receita!$N$2:$N$1214)</f>
        <v>0</v>
      </c>
      <c r="P28" s="12">
        <f>SUMIF(Mercado_Receita!$T$2:$T$1214,"44440B2Energia horáriaRuralServiço público de irrigação ruralNão se aplicaNão se aplicaPonta",Mercado_Receita!$N$2:$N$1214)</f>
        <v>0</v>
      </c>
      <c r="Q28" s="12">
        <f>SUMIF(Mercado_Receita!$T$2:$T$1214,"44470B2Energia horáriaRuralServiço público de irrigação ruralNão se aplicaNão se aplicaPonta",Mercado_Receita!$N$2:$N$1214)</f>
        <v>0</v>
      </c>
      <c r="R28" s="12">
        <f>SUMIF(Mercado_Receita!$T$2:$T$1214,"44501B2Energia horáriaRuralServiço público de irrigação ruralNão se aplicaNão se aplicaPonta",Mercado_Receita!$N$2:$N$1214)</f>
        <v>0</v>
      </c>
      <c r="S28" s="12">
        <f>SUMIF(Mercado_Receita!$T$2:$T$1214,"44531B2Energia horáriaRuralServiço público de irrigação ruralNão se aplicaNão se aplicaPonta",Mercado_Receita!$N$2:$N$1214)</f>
        <v>0</v>
      </c>
      <c r="T28" s="12">
        <f>SUMIF(Mercado_Receita!$T$2:$T$1214,"44562B2Energia horáriaRuralServiço público de irrigação ruralNão se aplicaNão se aplicaPonta",Mercado_Receita!$N$2:$N$1214)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92"/>
      <c r="B29" s="92"/>
      <c r="C29" s="92"/>
      <c r="D29" s="92"/>
      <c r="E29" s="92"/>
      <c r="F29" s="92"/>
      <c r="G29" s="12" t="s">
        <v>91</v>
      </c>
      <c r="H29" s="12" t="s">
        <v>78</v>
      </c>
      <c r="I29" s="12">
        <f>SUMIF(Mercado_Receita!$T$2:$T$1214,"44228B2Energia horáriaRuralServiço público de irrigação ruralNão se aplicaNão se aplicaIntermediário",Mercado_Receita!$N$2:$N$1214)</f>
        <v>0</v>
      </c>
      <c r="J29" s="12">
        <f>SUMIF(Mercado_Receita!$T$2:$T$1214,"44256B2Energia horáriaRuralServiço público de irrigação ruralNão se aplicaNão se aplicaIntermediário",Mercado_Receita!$N$2:$N$1214)</f>
        <v>0</v>
      </c>
      <c r="K29" s="12">
        <f>SUMIF(Mercado_Receita!$T$2:$T$1214,"44287B2Energia horáriaRuralServiço público de irrigação ruralNão se aplicaNão se aplicaIntermediário",Mercado_Receita!$N$2:$N$1214)</f>
        <v>0</v>
      </c>
      <c r="L29" s="12">
        <f>SUMIF(Mercado_Receita!$T$2:$T$1214,"44317B2Energia horáriaRuralServiço público de irrigação ruralNão se aplicaNão se aplicaIntermediário",Mercado_Receita!$N$2:$N$1214)</f>
        <v>0</v>
      </c>
      <c r="M29" s="12">
        <f>SUMIF(Mercado_Receita!$T$2:$T$1214,"44348B2Energia horáriaRuralServiço público de irrigação ruralNão se aplicaNão se aplicaIntermediário",Mercado_Receita!$N$2:$N$1214)</f>
        <v>0</v>
      </c>
      <c r="N29" s="12">
        <f>SUMIF(Mercado_Receita!$T$2:$T$1214,"44378B2Energia horáriaRuralServiço público de irrigação ruralNão se aplicaNão se aplicaIntermediário",Mercado_Receita!$N$2:$N$1214)</f>
        <v>0</v>
      </c>
      <c r="O29" s="12">
        <f>SUMIF(Mercado_Receita!$T$2:$T$1214,"44409B2Energia horáriaRuralServiço público de irrigação ruralNão se aplicaNão se aplicaIntermediário",Mercado_Receita!$N$2:$N$1214)</f>
        <v>0</v>
      </c>
      <c r="P29" s="12">
        <f>SUMIF(Mercado_Receita!$T$2:$T$1214,"44440B2Energia horáriaRuralServiço público de irrigação ruralNão se aplicaNão se aplicaIntermediário",Mercado_Receita!$N$2:$N$1214)</f>
        <v>0</v>
      </c>
      <c r="Q29" s="12">
        <f>SUMIF(Mercado_Receita!$T$2:$T$1214,"44470B2Energia horáriaRuralServiço público de irrigação ruralNão se aplicaNão se aplicaIntermediário",Mercado_Receita!$N$2:$N$1214)</f>
        <v>0</v>
      </c>
      <c r="R29" s="12">
        <f>SUMIF(Mercado_Receita!$T$2:$T$1214,"44501B2Energia horáriaRuralServiço público de irrigação ruralNão se aplicaNão se aplicaIntermediário",Mercado_Receita!$N$2:$N$1214)</f>
        <v>0</v>
      </c>
      <c r="S29" s="12">
        <f>SUMIF(Mercado_Receita!$T$2:$T$1214,"44531B2Energia horáriaRuralServiço público de irrigação ruralNão se aplicaNão se aplicaIntermediário",Mercado_Receita!$N$2:$N$1214)</f>
        <v>0</v>
      </c>
      <c r="T29" s="12">
        <f>SUMIF(Mercado_Receita!$T$2:$T$1214,"44562B2Energia horáriaRuralServiço público de irrigação ruralNão se aplicaNão se aplicaIntermediário",Mercado_Receita!$N$2:$N$1214)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92"/>
      <c r="B30" s="92"/>
      <c r="C30" s="92"/>
      <c r="D30" s="92"/>
      <c r="E30" s="92"/>
      <c r="F30" s="92"/>
      <c r="G30" s="12" t="s">
        <v>80</v>
      </c>
      <c r="H30" s="12" t="s">
        <v>78</v>
      </c>
      <c r="I30" s="12">
        <f>SUMIF(Mercado_Receita!$T$2:$T$1214,"44228B2Energia horáriaRuralServiço público de irrigação ruralNão se aplicaNão se aplicaFora ponta",Mercado_Receita!$N$2:$N$1214)</f>
        <v>0</v>
      </c>
      <c r="J30" s="12">
        <f>SUMIF(Mercado_Receita!$T$2:$T$1214,"44256B2Energia horáriaRuralServiço público de irrigação ruralNão se aplicaNão se aplicaFora ponta",Mercado_Receita!$N$2:$N$1214)</f>
        <v>0</v>
      </c>
      <c r="K30" s="12">
        <f>SUMIF(Mercado_Receita!$T$2:$T$1214,"44287B2Energia horáriaRuralServiço público de irrigação ruralNão se aplicaNão se aplicaFora ponta",Mercado_Receita!$N$2:$N$1214)</f>
        <v>0</v>
      </c>
      <c r="L30" s="12">
        <f>SUMIF(Mercado_Receita!$T$2:$T$1214,"44317B2Energia horáriaRuralServiço público de irrigação ruralNão se aplicaNão se aplicaFora ponta",Mercado_Receita!$N$2:$N$1214)</f>
        <v>0</v>
      </c>
      <c r="M30" s="12">
        <f>SUMIF(Mercado_Receita!$T$2:$T$1214,"44348B2Energia horáriaRuralServiço público de irrigação ruralNão se aplicaNão se aplicaFora ponta",Mercado_Receita!$N$2:$N$1214)</f>
        <v>0</v>
      </c>
      <c r="N30" s="12">
        <f>SUMIF(Mercado_Receita!$T$2:$T$1214,"44378B2Energia horáriaRuralServiço público de irrigação ruralNão se aplicaNão se aplicaFora ponta",Mercado_Receita!$N$2:$N$1214)</f>
        <v>0</v>
      </c>
      <c r="O30" s="12">
        <f>SUMIF(Mercado_Receita!$T$2:$T$1214,"44409B2Energia horáriaRuralServiço público de irrigação ruralNão se aplicaNão se aplicaFora ponta",Mercado_Receita!$N$2:$N$1214)</f>
        <v>0</v>
      </c>
      <c r="P30" s="12">
        <f>SUMIF(Mercado_Receita!$T$2:$T$1214,"44440B2Energia horáriaRuralServiço público de irrigação ruralNão se aplicaNão se aplicaFora ponta",Mercado_Receita!$N$2:$N$1214)</f>
        <v>0</v>
      </c>
      <c r="Q30" s="12">
        <f>SUMIF(Mercado_Receita!$T$2:$T$1214,"44470B2Energia horáriaRuralServiço público de irrigação ruralNão se aplicaNão se aplicaFora ponta",Mercado_Receita!$N$2:$N$1214)</f>
        <v>0</v>
      </c>
      <c r="R30" s="12">
        <f>SUMIF(Mercado_Receita!$T$2:$T$1214,"44501B2Energia horáriaRuralServiço público de irrigação ruralNão se aplicaNão se aplicaFora ponta",Mercado_Receita!$N$2:$N$1214)</f>
        <v>0</v>
      </c>
      <c r="S30" s="12">
        <f>SUMIF(Mercado_Receita!$T$2:$T$1214,"44531B2Energia horáriaRuralServiço público de irrigação ruralNão se aplicaNão se aplicaFora ponta",Mercado_Receita!$N$2:$N$1214)</f>
        <v>0</v>
      </c>
      <c r="T30" s="12">
        <f>SUMIF(Mercado_Receita!$T$2:$T$1214,"44562B2Energia horáriaRuralServiço público de irrigação ruralNão se aplicaNão se aplicaFora ponta",Mercado_Receita!$N$2:$N$1214)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92"/>
      <c r="B31" s="13" t="s">
        <v>86</v>
      </c>
      <c r="C31" s="13" t="s">
        <v>44</v>
      </c>
      <c r="D31" s="13" t="s">
        <v>95</v>
      </c>
      <c r="E31" s="13" t="s">
        <v>25</v>
      </c>
      <c r="F31" s="13" t="s">
        <v>25</v>
      </c>
      <c r="G31" s="12" t="s">
        <v>84</v>
      </c>
      <c r="H31" s="12" t="s">
        <v>78</v>
      </c>
      <c r="I31" s="12">
        <f>SUMIF(Mercado_Receita!$T$2:$T$1214,"44228B2Energia convencionalRuralServiço público de irrigação ruralNão se aplicaNão se aplicaNão se aplica",Mercado_Receita!$N$2:$N$1214)</f>
        <v>0</v>
      </c>
      <c r="J31" s="12">
        <f>SUMIF(Mercado_Receita!$T$2:$T$1214,"44256B2Energia convencionalRuralServiço público de irrigação ruralNão se aplicaNão se aplicaNão se aplica",Mercado_Receita!$N$2:$N$1214)</f>
        <v>0</v>
      </c>
      <c r="K31" s="12">
        <f>SUMIF(Mercado_Receita!$T$2:$T$1214,"44287B2Energia convencionalRuralServiço público de irrigação ruralNão se aplicaNão se aplicaNão se aplica",Mercado_Receita!$N$2:$N$1214)</f>
        <v>0</v>
      </c>
      <c r="L31" s="12">
        <f>SUMIF(Mercado_Receita!$T$2:$T$1214,"44317B2Energia convencionalRuralServiço público de irrigação ruralNão se aplicaNão se aplicaNão se aplica",Mercado_Receita!$N$2:$N$1214)</f>
        <v>0</v>
      </c>
      <c r="M31" s="12">
        <f>SUMIF(Mercado_Receita!$T$2:$T$1214,"44348B2Energia convencionalRuralServiço público de irrigação ruralNão se aplicaNão se aplicaNão se aplica",Mercado_Receita!$N$2:$N$1214)</f>
        <v>0</v>
      </c>
      <c r="N31" s="12">
        <f>SUMIF(Mercado_Receita!$T$2:$T$1214,"44378B2Energia convencionalRuralServiço público de irrigação ruralNão se aplicaNão se aplicaNão se aplica",Mercado_Receita!$N$2:$N$1214)</f>
        <v>0</v>
      </c>
      <c r="O31" s="12">
        <f>SUMIF(Mercado_Receita!$T$2:$T$1214,"44409B2Energia convencionalRuralServiço público de irrigação ruralNão se aplicaNão se aplicaNão se aplica",Mercado_Receita!$N$2:$N$1214)</f>
        <v>0</v>
      </c>
      <c r="P31" s="12">
        <f>SUMIF(Mercado_Receita!$T$2:$T$1214,"44440B2Energia convencionalRuralServiço público de irrigação ruralNão se aplicaNão se aplicaNão se aplica",Mercado_Receita!$N$2:$N$1214)</f>
        <v>0</v>
      </c>
      <c r="Q31" s="12">
        <f>SUMIF(Mercado_Receita!$T$2:$T$1214,"44470B2Energia convencionalRuralServiço público de irrigação ruralNão se aplicaNão se aplicaNão se aplica",Mercado_Receita!$N$2:$N$1214)</f>
        <v>0</v>
      </c>
      <c r="R31" s="12">
        <f>SUMIF(Mercado_Receita!$T$2:$T$1214,"44501B2Energia convencionalRuralServiço público de irrigação ruralNão se aplicaNão se aplicaNão se aplica",Mercado_Receita!$N$2:$N$1214)</f>
        <v>0</v>
      </c>
      <c r="S31" s="12">
        <f>SUMIF(Mercado_Receita!$T$2:$T$1214,"44531B2Energia convencionalRuralServiço público de irrigação ruralNão se aplicaNão se aplicaNão se aplica",Mercado_Receita!$N$2:$N$1214)</f>
        <v>0</v>
      </c>
      <c r="T31" s="12">
        <f>SUMIF(Mercado_Receita!$T$2:$T$1214,"44562B2Energia convencionalRuralServiço público de irrigação ruralNão se aplicaNão se aplicaNão se aplica",Mercado_Receita!$N$2:$N$1214)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92"/>
      <c r="B32" s="91" t="s">
        <v>92</v>
      </c>
      <c r="C32" s="91" t="s">
        <v>44</v>
      </c>
      <c r="D32" s="13" t="s">
        <v>25</v>
      </c>
      <c r="E32" s="13" t="s">
        <v>25</v>
      </c>
      <c r="F32" s="13" t="s">
        <v>25</v>
      </c>
      <c r="G32" s="12" t="s">
        <v>84</v>
      </c>
      <c r="H32" s="12" t="s">
        <v>78</v>
      </c>
      <c r="I32" s="12">
        <f>SUMIF(Mercado_Receita!$T$2:$T$1214,"44228B2Energia convencional pré-pagamentoRuralNão se aplicaNão se aplicaNão se aplicaNão se aplica",Mercado_Receita!$N$2:$N$1214)</f>
        <v>0</v>
      </c>
      <c r="J32" s="12">
        <f>SUMIF(Mercado_Receita!$T$2:$T$1214,"44256B2Energia convencional pré-pagamentoRuralNão se aplicaNão se aplicaNão se aplicaNão se aplica",Mercado_Receita!$N$2:$N$1214)</f>
        <v>0</v>
      </c>
      <c r="K32" s="12">
        <f>SUMIF(Mercado_Receita!$T$2:$T$1214,"44287B2Energia convencional pré-pagamentoRuralNão se aplicaNão se aplicaNão se aplicaNão se aplica",Mercado_Receita!$N$2:$N$1214)</f>
        <v>0</v>
      </c>
      <c r="L32" s="12">
        <f>SUMIF(Mercado_Receita!$T$2:$T$1214,"44317B2Energia convencional pré-pagamentoRuralNão se aplicaNão se aplicaNão se aplicaNão se aplica",Mercado_Receita!$N$2:$N$1214)</f>
        <v>0</v>
      </c>
      <c r="M32" s="12">
        <f>SUMIF(Mercado_Receita!$T$2:$T$1214,"44348B2Energia convencional pré-pagamentoRuralNão se aplicaNão se aplicaNão se aplicaNão se aplica",Mercado_Receita!$N$2:$N$1214)</f>
        <v>0</v>
      </c>
      <c r="N32" s="12">
        <f>SUMIF(Mercado_Receita!$T$2:$T$1214,"44378B2Energia convencional pré-pagamentoRuralNão se aplicaNão se aplicaNão se aplicaNão se aplica",Mercado_Receita!$N$2:$N$1214)</f>
        <v>0</v>
      </c>
      <c r="O32" s="12">
        <f>SUMIF(Mercado_Receita!$T$2:$T$1214,"44409B2Energia convencional pré-pagamentoRuralNão se aplicaNão se aplicaNão se aplicaNão se aplica",Mercado_Receita!$N$2:$N$1214)</f>
        <v>0</v>
      </c>
      <c r="P32" s="12">
        <f>SUMIF(Mercado_Receita!$T$2:$T$1214,"44440B2Energia convencional pré-pagamentoRuralNão se aplicaNão se aplicaNão se aplicaNão se aplica",Mercado_Receita!$N$2:$N$1214)</f>
        <v>0</v>
      </c>
      <c r="Q32" s="12">
        <f>SUMIF(Mercado_Receita!$T$2:$T$1214,"44470B2Energia convencional pré-pagamentoRuralNão se aplicaNão se aplicaNão se aplicaNão se aplica",Mercado_Receita!$N$2:$N$1214)</f>
        <v>0</v>
      </c>
      <c r="R32" s="12">
        <f>SUMIF(Mercado_Receita!$T$2:$T$1214,"44501B2Energia convencional pré-pagamentoRuralNão se aplicaNão se aplicaNão se aplicaNão se aplica",Mercado_Receita!$N$2:$N$1214)</f>
        <v>0</v>
      </c>
      <c r="S32" s="12">
        <f>SUMIF(Mercado_Receita!$T$2:$T$1214,"44531B2Energia convencional pré-pagamentoRuralNão se aplicaNão se aplicaNão se aplicaNão se aplica",Mercado_Receita!$N$2:$N$1214)</f>
        <v>0</v>
      </c>
      <c r="T32" s="12">
        <f>SUMIF(Mercado_Receita!$T$2:$T$1214,"44562B2Energia convencional pré-pagamentoRuralNão se aplicaNão se aplicaNão se aplicaNão se aplica",Mercado_Receita!$N$2:$N$1214)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92"/>
      <c r="B33" s="92"/>
      <c r="C33" s="92"/>
      <c r="D33" s="13" t="s">
        <v>94</v>
      </c>
      <c r="E33" s="13" t="s">
        <v>25</v>
      </c>
      <c r="F33" s="13" t="s">
        <v>25</v>
      </c>
      <c r="G33" s="12" t="s">
        <v>84</v>
      </c>
      <c r="H33" s="12" t="s">
        <v>78</v>
      </c>
      <c r="I33" s="12">
        <f>SUMIF(Mercado_Receita!$T$2:$T$1214,"44228B2Energia convencional pré-pagamentoRuralCooperativa de eletrificação ruralNão se aplicaNão se aplicaNão se aplica",Mercado_Receita!$N$2:$N$1214)</f>
        <v>0</v>
      </c>
      <c r="J33" s="12">
        <f>SUMIF(Mercado_Receita!$T$2:$T$1214,"44256B2Energia convencional pré-pagamentoRuralCooperativa de eletrificação ruralNão se aplicaNão se aplicaNão se aplica",Mercado_Receita!$N$2:$N$1214)</f>
        <v>0</v>
      </c>
      <c r="K33" s="12">
        <f>SUMIF(Mercado_Receita!$T$2:$T$1214,"44287B2Energia convencional pré-pagamentoRuralCooperativa de eletrificação ruralNão se aplicaNão se aplicaNão se aplica",Mercado_Receita!$N$2:$N$1214)</f>
        <v>0</v>
      </c>
      <c r="L33" s="12">
        <f>SUMIF(Mercado_Receita!$T$2:$T$1214,"44317B2Energia convencional pré-pagamentoRuralCooperativa de eletrificação ruralNão se aplicaNão se aplicaNão se aplica",Mercado_Receita!$N$2:$N$1214)</f>
        <v>0</v>
      </c>
      <c r="M33" s="12">
        <f>SUMIF(Mercado_Receita!$T$2:$T$1214,"44348B2Energia convencional pré-pagamentoRuralCooperativa de eletrificação ruralNão se aplicaNão se aplicaNão se aplica",Mercado_Receita!$N$2:$N$1214)</f>
        <v>0</v>
      </c>
      <c r="N33" s="12">
        <f>SUMIF(Mercado_Receita!$T$2:$T$1214,"44378B2Energia convencional pré-pagamentoRuralCooperativa de eletrificação ruralNão se aplicaNão se aplicaNão se aplica",Mercado_Receita!$N$2:$N$1214)</f>
        <v>0</v>
      </c>
      <c r="O33" s="12">
        <f>SUMIF(Mercado_Receita!$T$2:$T$1214,"44409B2Energia convencional pré-pagamentoRuralCooperativa de eletrificação ruralNão se aplicaNão se aplicaNão se aplica",Mercado_Receita!$N$2:$N$1214)</f>
        <v>0</v>
      </c>
      <c r="P33" s="12">
        <f>SUMIF(Mercado_Receita!$T$2:$T$1214,"44440B2Energia convencional pré-pagamentoRuralCooperativa de eletrificação ruralNão se aplicaNão se aplicaNão se aplica",Mercado_Receita!$N$2:$N$1214)</f>
        <v>0</v>
      </c>
      <c r="Q33" s="12">
        <f>SUMIF(Mercado_Receita!$T$2:$T$1214,"44470B2Energia convencional pré-pagamentoRuralCooperativa de eletrificação ruralNão se aplicaNão se aplicaNão se aplica",Mercado_Receita!$N$2:$N$1214)</f>
        <v>0</v>
      </c>
      <c r="R33" s="12">
        <f>SUMIF(Mercado_Receita!$T$2:$T$1214,"44501B2Energia convencional pré-pagamentoRuralCooperativa de eletrificação ruralNão se aplicaNão se aplicaNão se aplica",Mercado_Receita!$N$2:$N$1214)</f>
        <v>0</v>
      </c>
      <c r="S33" s="12">
        <f>SUMIF(Mercado_Receita!$T$2:$T$1214,"44531B2Energia convencional pré-pagamentoRuralCooperativa de eletrificação ruralNão se aplicaNão se aplicaNão se aplica",Mercado_Receita!$N$2:$N$1214)</f>
        <v>0</v>
      </c>
      <c r="T33" s="12">
        <f>SUMIF(Mercado_Receita!$T$2:$T$1214,"44562B2Energia convencional pré-pagamentoRuralCooperativa de eletrificação ruralNão se aplicaNão se aplicaNão se aplica",Mercado_Receita!$N$2:$N$1214)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92"/>
      <c r="B34" s="92"/>
      <c r="C34" s="92"/>
      <c r="D34" s="13" t="s">
        <v>95</v>
      </c>
      <c r="E34" s="13" t="s">
        <v>25</v>
      </c>
      <c r="F34" s="13" t="s">
        <v>25</v>
      </c>
      <c r="G34" s="12" t="s">
        <v>84</v>
      </c>
      <c r="H34" s="12" t="s">
        <v>78</v>
      </c>
      <c r="I34" s="12">
        <f>SUMIF(Mercado_Receita!$T$2:$T$1214,"44228B2Energia convencional pré-pagamentoRuralServiço público de irrigação ruralNão se aplicaNão se aplicaNão se aplica",Mercado_Receita!$N$2:$N$1214)</f>
        <v>0</v>
      </c>
      <c r="J34" s="12">
        <f>SUMIF(Mercado_Receita!$T$2:$T$1214,"44256B2Energia convencional pré-pagamentoRuralServiço público de irrigação ruralNão se aplicaNão se aplicaNão se aplica",Mercado_Receita!$N$2:$N$1214)</f>
        <v>0</v>
      </c>
      <c r="K34" s="12">
        <f>SUMIF(Mercado_Receita!$T$2:$T$1214,"44287B2Energia convencional pré-pagamentoRuralServiço público de irrigação ruralNão se aplicaNão se aplicaNão se aplica",Mercado_Receita!$N$2:$N$1214)</f>
        <v>0</v>
      </c>
      <c r="L34" s="12">
        <f>SUMIF(Mercado_Receita!$T$2:$T$1214,"44317B2Energia convencional pré-pagamentoRuralServiço público de irrigação ruralNão se aplicaNão se aplicaNão se aplica",Mercado_Receita!$N$2:$N$1214)</f>
        <v>0</v>
      </c>
      <c r="M34" s="12">
        <f>SUMIF(Mercado_Receita!$T$2:$T$1214,"44348B2Energia convencional pré-pagamentoRuralServiço público de irrigação ruralNão se aplicaNão se aplicaNão se aplica",Mercado_Receita!$N$2:$N$1214)</f>
        <v>0</v>
      </c>
      <c r="N34" s="12">
        <f>SUMIF(Mercado_Receita!$T$2:$T$1214,"44378B2Energia convencional pré-pagamentoRuralServiço público de irrigação ruralNão se aplicaNão se aplicaNão se aplica",Mercado_Receita!$N$2:$N$1214)</f>
        <v>0</v>
      </c>
      <c r="O34" s="12">
        <f>SUMIF(Mercado_Receita!$T$2:$T$1214,"44409B2Energia convencional pré-pagamentoRuralServiço público de irrigação ruralNão se aplicaNão se aplicaNão se aplica",Mercado_Receita!$N$2:$N$1214)</f>
        <v>0</v>
      </c>
      <c r="P34" s="12">
        <f>SUMIF(Mercado_Receita!$T$2:$T$1214,"44440B2Energia convencional pré-pagamentoRuralServiço público de irrigação ruralNão se aplicaNão se aplicaNão se aplica",Mercado_Receita!$N$2:$N$1214)</f>
        <v>0</v>
      </c>
      <c r="Q34" s="12">
        <f>SUMIF(Mercado_Receita!$T$2:$T$1214,"44470B2Energia convencional pré-pagamentoRuralServiço público de irrigação ruralNão se aplicaNão se aplicaNão se aplica",Mercado_Receita!$N$2:$N$1214)</f>
        <v>0</v>
      </c>
      <c r="R34" s="12">
        <f>SUMIF(Mercado_Receita!$T$2:$T$1214,"44501B2Energia convencional pré-pagamentoRuralServiço público de irrigação ruralNão se aplicaNão se aplicaNão se aplica",Mercado_Receita!$N$2:$N$1214)</f>
        <v>0</v>
      </c>
      <c r="S34" s="12">
        <f>SUMIF(Mercado_Receita!$T$2:$T$1214,"44531B2Energia convencional pré-pagamentoRuralServiço público de irrigação ruralNão se aplicaNão se aplicaNão se aplica",Mercado_Receita!$N$2:$N$1214)</f>
        <v>0</v>
      </c>
      <c r="T34" s="12">
        <f>SUMIF(Mercado_Receita!$T$2:$T$1214,"44562B2Energia convencional pré-pagamentoRuralServiço público de irrigação ruralNão se aplicaNão se aplicaNão se aplica",Mercado_Receita!$N$2:$N$1214)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91" t="s">
        <v>37</v>
      </c>
      <c r="B35" s="91" t="s">
        <v>77</v>
      </c>
      <c r="C35" s="91" t="s">
        <v>25</v>
      </c>
      <c r="D35" s="91" t="s">
        <v>25</v>
      </c>
      <c r="E35" s="91" t="s">
        <v>25</v>
      </c>
      <c r="F35" s="91" t="s">
        <v>25</v>
      </c>
      <c r="G35" s="12" t="s">
        <v>79</v>
      </c>
      <c r="H35" s="12" t="s">
        <v>78</v>
      </c>
      <c r="I35" s="12">
        <f>SUMIF(Mercado_Receita!$T$2:$T$1214,"44228B3Energia horáriaNão se aplicaNão se aplicaNão se aplicaNão se aplicaPonta",Mercado_Receita!$N$2:$N$1214)</f>
        <v>0.55600000000000005</v>
      </c>
      <c r="J35" s="12">
        <f>SUMIF(Mercado_Receita!$T$2:$T$1214,"44256B3Energia horáriaNão se aplicaNão se aplicaNão se aplicaNão se aplicaPonta",Mercado_Receita!$N$2:$N$1214)</f>
        <v>0.66</v>
      </c>
      <c r="K35" s="12">
        <f>SUMIF(Mercado_Receita!$T$2:$T$1214,"44287B3Energia horáriaNão se aplicaNão se aplicaNão se aplicaNão se aplicaPonta",Mercado_Receita!$N$2:$N$1214)</f>
        <v>0.56399999999999995</v>
      </c>
      <c r="L35" s="12">
        <f>SUMIF(Mercado_Receita!$T$2:$T$1214,"44317B3Energia horáriaNão se aplicaNão se aplicaNão se aplicaNão se aplicaPonta",Mercado_Receita!$N$2:$N$1214)</f>
        <v>0.51600000000000001</v>
      </c>
      <c r="M35" s="12">
        <f>SUMIF(Mercado_Receita!$T$2:$T$1214,"44348B3Energia horáriaNão se aplicaNão se aplicaNão se aplicaNão se aplicaPonta",Mercado_Receita!$N$2:$N$1214)</f>
        <v>0.50700000000000001</v>
      </c>
      <c r="N35" s="12">
        <f>SUMIF(Mercado_Receita!$T$2:$T$1214,"44378B3Energia horáriaNão se aplicaNão se aplicaNão se aplicaNão se aplicaPonta",Mercado_Receita!$N$2:$N$1214)</f>
        <v>0.60799999999999998</v>
      </c>
      <c r="O35" s="12">
        <f>SUMIF(Mercado_Receita!$T$2:$T$1214,"44409B3Energia horáriaNão se aplicaNão se aplicaNão se aplicaNão se aplicaPonta",Mercado_Receita!$N$2:$N$1214)</f>
        <v>0.60899999999999999</v>
      </c>
      <c r="P35" s="12">
        <f>SUMIF(Mercado_Receita!$T$2:$T$1214,"44440B3Energia horáriaNão se aplicaNão se aplicaNão se aplicaNão se aplicaPonta",Mercado_Receita!$N$2:$N$1214)</f>
        <v>0.623</v>
      </c>
      <c r="Q35" s="12">
        <f>SUMIF(Mercado_Receita!$T$2:$T$1214,"44470B3Energia horáriaNão se aplicaNão se aplicaNão se aplicaNão se aplicaPonta",Mercado_Receita!$N$2:$N$1214)</f>
        <v>0.80600000000000005</v>
      </c>
      <c r="R35" s="12">
        <f>SUMIF(Mercado_Receita!$T$2:$T$1214,"44501B3Energia horáriaNão se aplicaNão se aplicaNão se aplicaNão se aplicaPonta",Mercado_Receita!$N$2:$N$1214)</f>
        <v>0.81299999999999994</v>
      </c>
      <c r="S35" s="12">
        <f>SUMIF(Mercado_Receita!$T$2:$T$1214,"44531B3Energia horáriaNão se aplicaNão se aplicaNão se aplicaNão se aplicaPonta",Mercado_Receita!$N$2:$N$1214)</f>
        <v>0.91200000000000003</v>
      </c>
      <c r="T35" s="12">
        <f>SUMIF(Mercado_Receita!$T$2:$T$1214,"44562B3Energia horáriaNão se aplicaNão se aplicaNão se aplicaNão se aplicaPonta",Mercado_Receita!$N$2:$N$1214)</f>
        <v>0.91200000000000003</v>
      </c>
      <c r="U35" s="12">
        <f t="shared" si="0"/>
        <v>8.0860000000000003</v>
      </c>
      <c r="V35" s="12"/>
      <c r="W35" s="12"/>
    </row>
    <row r="36" spans="1:23" ht="11.25" customHeight="1" x14ac:dyDescent="0.25">
      <c r="A36" s="92"/>
      <c r="B36" s="92"/>
      <c r="C36" s="92"/>
      <c r="D36" s="92"/>
      <c r="E36" s="92"/>
      <c r="F36" s="92"/>
      <c r="G36" s="12" t="s">
        <v>91</v>
      </c>
      <c r="H36" s="12" t="s">
        <v>78</v>
      </c>
      <c r="I36" s="12">
        <f>SUMIF(Mercado_Receita!$T$2:$T$1214,"44228B3Energia horáriaNão se aplicaNão se aplicaNão se aplicaNão se aplicaIntermediário",Mercado_Receita!$N$2:$N$1214)</f>
        <v>0.60499999999999998</v>
      </c>
      <c r="J36" s="12">
        <f>SUMIF(Mercado_Receita!$T$2:$T$1214,"44256B3Energia horáriaNão se aplicaNão se aplicaNão se aplicaNão se aplicaIntermediário",Mercado_Receita!$N$2:$N$1214)</f>
        <v>0.69</v>
      </c>
      <c r="K36" s="12">
        <f>SUMIF(Mercado_Receita!$T$2:$T$1214,"44287B3Energia horáriaNão se aplicaNão se aplicaNão se aplicaNão se aplicaIntermediário",Mercado_Receita!$N$2:$N$1214)</f>
        <v>0.53100000000000003</v>
      </c>
      <c r="L36" s="12">
        <f>SUMIF(Mercado_Receita!$T$2:$T$1214,"44317B3Energia horáriaNão se aplicaNão se aplicaNão se aplicaNão se aplicaIntermediário",Mercado_Receita!$N$2:$N$1214)</f>
        <v>0.56999999999999995</v>
      </c>
      <c r="M36" s="12">
        <f>SUMIF(Mercado_Receita!$T$2:$T$1214,"44348B3Energia horáriaNão se aplicaNão se aplicaNão se aplicaNão se aplicaIntermediário",Mercado_Receita!$N$2:$N$1214)</f>
        <v>0.52600000000000002</v>
      </c>
      <c r="N36" s="12">
        <f>SUMIF(Mercado_Receita!$T$2:$T$1214,"44378B3Energia horáriaNão se aplicaNão se aplicaNão se aplicaNão se aplicaIntermediário",Mercado_Receita!$N$2:$N$1214)</f>
        <v>0.60599999999999998</v>
      </c>
      <c r="O36" s="12">
        <f>SUMIF(Mercado_Receita!$T$2:$T$1214,"44409B3Energia horáriaNão se aplicaNão se aplicaNão se aplicaNão se aplicaIntermediário",Mercado_Receita!$N$2:$N$1214)</f>
        <v>0.59599999999999997</v>
      </c>
      <c r="P36" s="12">
        <f>SUMIF(Mercado_Receita!$T$2:$T$1214,"44440B3Energia horáriaNão se aplicaNão se aplicaNão se aplicaNão se aplicaIntermediário",Mercado_Receita!$N$2:$N$1214)</f>
        <v>0.60299999999999998</v>
      </c>
      <c r="Q36" s="12">
        <f>SUMIF(Mercado_Receita!$T$2:$T$1214,"44470B3Energia horáriaNão se aplicaNão se aplicaNão se aplicaNão se aplicaIntermediário",Mercado_Receita!$N$2:$N$1214)</f>
        <v>0.74299999999999999</v>
      </c>
      <c r="R36" s="12">
        <f>SUMIF(Mercado_Receita!$T$2:$T$1214,"44501B3Energia horáriaNão se aplicaNão se aplicaNão se aplicaNão se aplicaIntermediário",Mercado_Receita!$N$2:$N$1214)</f>
        <v>0.79500000000000004</v>
      </c>
      <c r="S36" s="12">
        <f>SUMIF(Mercado_Receita!$T$2:$T$1214,"44531B3Energia horáriaNão se aplicaNão se aplicaNão se aplicaNão se aplicaIntermediário",Mercado_Receita!$N$2:$N$1214)</f>
        <v>0.88500000000000001</v>
      </c>
      <c r="T36" s="12">
        <f>SUMIF(Mercado_Receita!$T$2:$T$1214,"44562B3Energia horáriaNão se aplicaNão se aplicaNão se aplicaNão se aplicaIntermediário",Mercado_Receita!$N$2:$N$1214)</f>
        <v>0.88500000000000001</v>
      </c>
      <c r="U36" s="12">
        <f t="shared" si="0"/>
        <v>8.0350000000000001</v>
      </c>
      <c r="V36" s="12"/>
      <c r="W36" s="12"/>
    </row>
    <row r="37" spans="1:23" ht="11.25" customHeight="1" x14ac:dyDescent="0.25">
      <c r="A37" s="92"/>
      <c r="B37" s="92"/>
      <c r="C37" s="92"/>
      <c r="D37" s="92"/>
      <c r="E37" s="92"/>
      <c r="F37" s="92"/>
      <c r="G37" s="12" t="s">
        <v>80</v>
      </c>
      <c r="H37" s="12" t="s">
        <v>78</v>
      </c>
      <c r="I37" s="12">
        <f>SUMIF(Mercado_Receita!$T$2:$T$1214,"44228B3Energia horáriaNão se aplicaNão se aplicaNão se aplicaNão se aplicaFora ponta",Mercado_Receita!$N$2:$N$1214)</f>
        <v>9.2070000000000007</v>
      </c>
      <c r="J37" s="12">
        <f>SUMIF(Mercado_Receita!$T$2:$T$1214,"44256B3Energia horáriaNão se aplicaNão se aplicaNão se aplicaNão se aplicaFora ponta",Mercado_Receita!$N$2:$N$1214)</f>
        <v>10.5</v>
      </c>
      <c r="K37" s="12">
        <f>SUMIF(Mercado_Receita!$T$2:$T$1214,"44287B3Energia horáriaNão se aplicaNão se aplicaNão se aplicaNão se aplicaFora ponta",Mercado_Receita!$N$2:$N$1214)</f>
        <v>9.5090000000000003</v>
      </c>
      <c r="L37" s="12">
        <f>SUMIF(Mercado_Receita!$T$2:$T$1214,"44317B3Energia horáriaNão se aplicaNão se aplicaNão se aplicaNão se aplicaFora ponta",Mercado_Receita!$N$2:$N$1214)</f>
        <v>9.2929999999999993</v>
      </c>
      <c r="M37" s="12">
        <f>SUMIF(Mercado_Receita!$T$2:$T$1214,"44348B3Energia horáriaNão se aplicaNão se aplicaNão se aplicaNão se aplicaFora ponta",Mercado_Receita!$N$2:$N$1214)</f>
        <v>8.7089999999999996</v>
      </c>
      <c r="N37" s="12">
        <f>SUMIF(Mercado_Receita!$T$2:$T$1214,"44378B3Energia horáriaNão se aplicaNão se aplicaNão se aplicaNão se aplicaFora ponta",Mercado_Receita!$N$2:$N$1214)</f>
        <v>9.4540000000000006</v>
      </c>
      <c r="O37" s="12">
        <f>SUMIF(Mercado_Receita!$T$2:$T$1214,"44409B3Energia horáriaNão se aplicaNão se aplicaNão se aplicaNão se aplicaFora ponta",Mercado_Receita!$N$2:$N$1214)</f>
        <v>9.2829999999999995</v>
      </c>
      <c r="P37" s="12">
        <f>SUMIF(Mercado_Receita!$T$2:$T$1214,"44440B3Energia horáriaNão se aplicaNão se aplicaNão se aplicaNão se aplicaFora ponta",Mercado_Receita!$N$2:$N$1214)</f>
        <v>10.529</v>
      </c>
      <c r="Q37" s="12">
        <f>SUMIF(Mercado_Receita!$T$2:$T$1214,"44470B3Energia horáriaNão se aplicaNão se aplicaNão se aplicaNão se aplicaFora ponta",Mercado_Receita!$N$2:$N$1214)</f>
        <v>12.992000000000001</v>
      </c>
      <c r="R37" s="12">
        <f>SUMIF(Mercado_Receita!$T$2:$T$1214,"44501B3Energia horáriaNão se aplicaNão se aplicaNão se aplicaNão se aplicaFora ponta",Mercado_Receita!$N$2:$N$1214)</f>
        <v>14.208</v>
      </c>
      <c r="S37" s="12">
        <f>SUMIF(Mercado_Receita!$T$2:$T$1214,"44531B3Energia horáriaNão se aplicaNão se aplicaNão se aplicaNão se aplicaFora ponta",Mercado_Receita!$N$2:$N$1214)</f>
        <v>15.026</v>
      </c>
      <c r="T37" s="12">
        <f>SUMIF(Mercado_Receita!$T$2:$T$1214,"44562B3Energia horáriaNão se aplicaNão se aplicaNão se aplicaNão se aplicaFora ponta",Mercado_Receita!$N$2:$N$1214)</f>
        <v>15.026</v>
      </c>
      <c r="U37" s="12">
        <f t="shared" si="0"/>
        <v>133.73599999999999</v>
      </c>
      <c r="V37" s="12"/>
      <c r="W37" s="12"/>
    </row>
    <row r="38" spans="1:23" ht="11.25" customHeight="1" x14ac:dyDescent="0.25">
      <c r="A38" s="92"/>
      <c r="B38" s="13" t="s">
        <v>86</v>
      </c>
      <c r="C38" s="13" t="s">
        <v>25</v>
      </c>
      <c r="D38" s="13" t="s">
        <v>25</v>
      </c>
      <c r="E38" s="13" t="s">
        <v>25</v>
      </c>
      <c r="F38" s="13" t="s">
        <v>25</v>
      </c>
      <c r="G38" s="12" t="s">
        <v>84</v>
      </c>
      <c r="H38" s="12" t="s">
        <v>78</v>
      </c>
      <c r="I38" s="12">
        <f>SUMIF(Mercado_Receita!$T$2:$T$1214,"44228B3Energia convencionalNão se aplicaNão se aplicaNão se aplicaNão se aplicaNão se aplica",Mercado_Receita!$N$2:$N$1214)</f>
        <v>7809.7519999999986</v>
      </c>
      <c r="J38" s="12">
        <f>SUMIF(Mercado_Receita!$T$2:$T$1214,"44256B3Energia convencionalNão se aplicaNão se aplicaNão se aplicaNão se aplicaNão se aplica",Mercado_Receita!$N$2:$N$1214)</f>
        <v>8328.726999999999</v>
      </c>
      <c r="K38" s="12">
        <f>SUMIF(Mercado_Receita!$T$2:$T$1214,"44287B3Energia convencionalNão se aplicaNão se aplicaNão se aplicaNão se aplicaNão se aplica",Mercado_Receita!$N$2:$N$1214)</f>
        <v>7815.0179999999982</v>
      </c>
      <c r="L38" s="12">
        <f>SUMIF(Mercado_Receita!$T$2:$T$1214,"44317B3Energia convencionalNão se aplicaNão se aplicaNão se aplicaNão se aplicaNão se aplica",Mercado_Receita!$N$2:$N$1214)</f>
        <v>7890.3579999999993</v>
      </c>
      <c r="M38" s="12">
        <f>SUMIF(Mercado_Receita!$T$2:$T$1214,"44348B3Energia convencionalNão se aplicaNão se aplicaNão se aplicaNão se aplicaNão se aplica",Mercado_Receita!$N$2:$N$1214)</f>
        <v>7170.4949999999999</v>
      </c>
      <c r="N38" s="12">
        <f>SUMIF(Mercado_Receita!$T$2:$T$1214,"44378B3Energia convencionalNão se aplicaNão se aplicaNão se aplicaNão se aplicaNão se aplica",Mercado_Receita!$N$2:$N$1214)</f>
        <v>7702.6110000000008</v>
      </c>
      <c r="O38" s="12">
        <f>SUMIF(Mercado_Receita!$T$2:$T$1214,"44409B3Energia convencionalNão se aplicaNão se aplicaNão se aplicaNão se aplicaNão se aplica",Mercado_Receita!$N$2:$N$1214)</f>
        <v>7230.6090000000013</v>
      </c>
      <c r="P38" s="12">
        <f>SUMIF(Mercado_Receita!$T$2:$T$1214,"44440B3Energia convencionalNão se aplicaNão se aplicaNão se aplicaNão se aplicaNão se aplica",Mercado_Receita!$N$2:$N$1214)</f>
        <v>7213.9460000000008</v>
      </c>
      <c r="Q38" s="12">
        <f>SUMIF(Mercado_Receita!$T$2:$T$1214,"44470B3Energia convencionalNão se aplicaNão se aplicaNão se aplicaNão se aplicaNão se aplica",Mercado_Receita!$N$2:$N$1214)</f>
        <v>7891.619999999999</v>
      </c>
      <c r="R38" s="12">
        <f>SUMIF(Mercado_Receita!$T$2:$T$1214,"44501B3Energia convencionalNão se aplicaNão se aplicaNão se aplicaNão se aplicaNão se aplica",Mercado_Receita!$N$2:$N$1214)</f>
        <v>8016.0130000000008</v>
      </c>
      <c r="S38" s="12">
        <f>SUMIF(Mercado_Receita!$T$2:$T$1214,"44531B3Energia convencionalNão se aplicaNão se aplicaNão se aplicaNão se aplicaNão se aplica",Mercado_Receita!$N$2:$N$1214)</f>
        <v>8485.3510000000006</v>
      </c>
      <c r="T38" s="12">
        <f>SUMIF(Mercado_Receita!$T$2:$T$1214,"44562B3Energia convencionalNão se aplicaNão se aplicaNão se aplicaNão se aplicaNão se aplica",Mercado_Receita!$N$2:$N$1214)</f>
        <v>8485.3510000000006</v>
      </c>
      <c r="U38" s="12">
        <f t="shared" si="0"/>
        <v>94039.850999999995</v>
      </c>
      <c r="V38" s="12"/>
      <c r="W38" s="12"/>
    </row>
    <row r="39" spans="1:23" ht="11.25" customHeight="1" x14ac:dyDescent="0.25">
      <c r="A39" s="92"/>
      <c r="B39" s="13" t="s">
        <v>92</v>
      </c>
      <c r="C39" s="13" t="s">
        <v>25</v>
      </c>
      <c r="D39" s="13" t="s">
        <v>25</v>
      </c>
      <c r="E39" s="13" t="s">
        <v>25</v>
      </c>
      <c r="F39" s="13" t="s">
        <v>25</v>
      </c>
      <c r="G39" s="12" t="s">
        <v>84</v>
      </c>
      <c r="H39" s="12" t="s">
        <v>78</v>
      </c>
      <c r="I39" s="12">
        <f>SUMIF(Mercado_Receita!$T$2:$T$1214,"44228B3Energia convencional pré-pagamentoNão se aplicaNão se aplicaNão se aplicaNão se aplicaNão se aplica",Mercado_Receita!$N$2:$N$1214)</f>
        <v>0</v>
      </c>
      <c r="J39" s="12">
        <f>SUMIF(Mercado_Receita!$T$2:$T$1214,"44256B3Energia convencional pré-pagamentoNão se aplicaNão se aplicaNão se aplicaNão se aplicaNão se aplica",Mercado_Receita!$N$2:$N$1214)</f>
        <v>0</v>
      </c>
      <c r="K39" s="12">
        <f>SUMIF(Mercado_Receita!$T$2:$T$1214,"44287B3Energia convencional pré-pagamentoNão se aplicaNão se aplicaNão se aplicaNão se aplicaNão se aplica",Mercado_Receita!$N$2:$N$1214)</f>
        <v>0</v>
      </c>
      <c r="L39" s="12">
        <f>SUMIF(Mercado_Receita!$T$2:$T$1214,"44317B3Energia convencional pré-pagamentoNão se aplicaNão se aplicaNão se aplicaNão se aplicaNão se aplica",Mercado_Receita!$N$2:$N$1214)</f>
        <v>0</v>
      </c>
      <c r="M39" s="12">
        <f>SUMIF(Mercado_Receita!$T$2:$T$1214,"44348B3Energia convencional pré-pagamentoNão se aplicaNão se aplicaNão se aplicaNão se aplicaNão se aplica",Mercado_Receita!$N$2:$N$1214)</f>
        <v>0</v>
      </c>
      <c r="N39" s="12">
        <f>SUMIF(Mercado_Receita!$T$2:$T$1214,"44378B3Energia convencional pré-pagamentoNão se aplicaNão se aplicaNão se aplicaNão se aplicaNão se aplica",Mercado_Receita!$N$2:$N$1214)</f>
        <v>0</v>
      </c>
      <c r="O39" s="12">
        <f>SUMIF(Mercado_Receita!$T$2:$T$1214,"44409B3Energia convencional pré-pagamentoNão se aplicaNão se aplicaNão se aplicaNão se aplicaNão se aplica",Mercado_Receita!$N$2:$N$1214)</f>
        <v>0</v>
      </c>
      <c r="P39" s="12">
        <f>SUMIF(Mercado_Receita!$T$2:$T$1214,"44440B3Energia convencional pré-pagamentoNão se aplicaNão se aplicaNão se aplicaNão se aplicaNão se aplica",Mercado_Receita!$N$2:$N$1214)</f>
        <v>0</v>
      </c>
      <c r="Q39" s="12">
        <f>SUMIF(Mercado_Receita!$T$2:$T$1214,"44470B3Energia convencional pré-pagamentoNão se aplicaNão se aplicaNão se aplicaNão se aplicaNão se aplica",Mercado_Receita!$N$2:$N$1214)</f>
        <v>0</v>
      </c>
      <c r="R39" s="12">
        <f>SUMIF(Mercado_Receita!$T$2:$T$1214,"44501B3Energia convencional pré-pagamentoNão se aplicaNão se aplicaNão se aplicaNão se aplicaNão se aplica",Mercado_Receita!$N$2:$N$1214)</f>
        <v>0</v>
      </c>
      <c r="S39" s="12">
        <f>SUMIF(Mercado_Receita!$T$2:$T$1214,"44531B3Energia convencional pré-pagamentoNão se aplicaNão se aplicaNão se aplicaNão se aplicaNão se aplica",Mercado_Receita!$N$2:$N$1214)</f>
        <v>0</v>
      </c>
      <c r="T39" s="12">
        <f>SUMIF(Mercado_Receita!$T$2:$T$1214,"44562B3Energia convencional pré-pagamentoNão se aplicaNão se aplicaNão se aplicaNão se aplicaNão se aplica",Mercado_Receita!$N$2:$N$1214)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91" t="s">
        <v>46</v>
      </c>
      <c r="B40" s="91" t="s">
        <v>86</v>
      </c>
      <c r="C40" s="91" t="s">
        <v>47</v>
      </c>
      <c r="D40" s="13" t="s">
        <v>48</v>
      </c>
      <c r="E40" s="13" t="s">
        <v>25</v>
      </c>
      <c r="F40" s="13" t="s">
        <v>25</v>
      </c>
      <c r="G40" s="12" t="s">
        <v>84</v>
      </c>
      <c r="H40" s="12" t="s">
        <v>78</v>
      </c>
      <c r="I40" s="12">
        <f>SUMIF(Mercado_Receita!$T$2:$T$1214,"44228B4Energia convencionalIluminação públicaIluminação pública – B4aNão se aplicaNão se aplicaNão se aplica",Mercado_Receita!$N$2:$N$1214)</f>
        <v>3064.1419999999998</v>
      </c>
      <c r="J40" s="12">
        <f>SUMIF(Mercado_Receita!$T$2:$T$1214,"44256B4Energia convencionalIluminação públicaIluminação pública – B4aNão se aplicaNão se aplicaNão se aplica",Mercado_Receita!$N$2:$N$1214)</f>
        <v>3061.0070000000001</v>
      </c>
      <c r="K40" s="12">
        <f>SUMIF(Mercado_Receita!$T$2:$T$1214,"44287B4Energia convencionalIluminação públicaIluminação pública – B4aNão se aplicaNão se aplicaNão se aplica",Mercado_Receita!$N$2:$N$1214)</f>
        <v>3070.6329999999998</v>
      </c>
      <c r="L40" s="12">
        <f>SUMIF(Mercado_Receita!$T$2:$T$1214,"44317B4Energia convencionalIluminação públicaIluminação pública – B4aNão se aplicaNão se aplicaNão se aplica",Mercado_Receita!$N$2:$N$1214)</f>
        <v>3101.3229999999999</v>
      </c>
      <c r="M40" s="12">
        <f>SUMIF(Mercado_Receita!$T$2:$T$1214,"44348B4Energia convencionalIluminação públicaIluminação pública – B4aNão se aplicaNão se aplicaNão se aplica",Mercado_Receita!$N$2:$N$1214)</f>
        <v>3350.3620000000001</v>
      </c>
      <c r="N40" s="12">
        <f>SUMIF(Mercado_Receita!$T$2:$T$1214,"44378B4Energia convencionalIluminação públicaIluminação pública – B4aNão se aplicaNão se aplicaNão se aplica",Mercado_Receita!$N$2:$N$1214)</f>
        <v>3083.627</v>
      </c>
      <c r="O40" s="12">
        <f>SUMIF(Mercado_Receita!$T$2:$T$1214,"44409B4Energia convencionalIluminação públicaIluminação pública – B4aNão se aplicaNão se aplicaNão se aplica",Mercado_Receita!$N$2:$N$1214)</f>
        <v>2883.42</v>
      </c>
      <c r="P40" s="12">
        <f>SUMIF(Mercado_Receita!$T$2:$T$1214,"44440B4Energia convencionalIluminação públicaIluminação pública – B4aNão se aplicaNão se aplicaNão se aplica",Mercado_Receita!$N$2:$N$1214)</f>
        <v>2778.9769999999999</v>
      </c>
      <c r="Q40" s="12">
        <f>SUMIF(Mercado_Receita!$T$2:$T$1214,"44470B4Energia convencionalIluminação públicaIluminação pública – B4aNão se aplicaNão se aplicaNão se aplica",Mercado_Receita!$N$2:$N$1214)</f>
        <v>2857.6770000000001</v>
      </c>
      <c r="R40" s="12">
        <f>SUMIF(Mercado_Receita!$T$2:$T$1214,"44501B4Energia convencionalIluminação públicaIluminação pública – B4aNão se aplicaNão se aplicaNão se aplica",Mercado_Receita!$N$2:$N$1214)</f>
        <v>2714.1350000000002</v>
      </c>
      <c r="S40" s="12">
        <f>SUMIF(Mercado_Receita!$T$2:$T$1214,"44531B4Energia convencionalIluminação públicaIluminação pública – B4aNão se aplicaNão se aplicaNão se aplica",Mercado_Receita!$N$2:$N$1214)</f>
        <v>2795.0160000000001</v>
      </c>
      <c r="T40" s="12">
        <f>SUMIF(Mercado_Receita!$T$2:$T$1214,"44562B4Energia convencionalIluminação públicaIluminação pública – B4aNão se aplicaNão se aplicaNão se aplica",Mercado_Receita!$N$2:$N$1214)</f>
        <v>2795.0160000000001</v>
      </c>
      <c r="U40" s="12">
        <f t="shared" si="0"/>
        <v>35555.334999999999</v>
      </c>
      <c r="V40" s="12"/>
      <c r="W40" s="12"/>
    </row>
    <row r="41" spans="1:23" ht="11.25" customHeight="1" x14ac:dyDescent="0.25">
      <c r="A41" s="92"/>
      <c r="B41" s="92"/>
      <c r="C41" s="92"/>
      <c r="D41" s="12" t="s">
        <v>96</v>
      </c>
      <c r="E41" s="12" t="s">
        <v>25</v>
      </c>
      <c r="F41" s="12" t="s">
        <v>25</v>
      </c>
      <c r="G41" s="12" t="s">
        <v>84</v>
      </c>
      <c r="H41" s="12" t="s">
        <v>78</v>
      </c>
      <c r="I41" s="12">
        <f>SUMIF(Mercado_Receita!$T$2:$T$1214,"44228B4Energia convencionalIluminação públicaIluminação pública – B4bNão se aplicaNão se aplicaNão se aplica",Mercado_Receita!$N$2:$N$1214)</f>
        <v>0</v>
      </c>
      <c r="J41" s="12">
        <f>SUMIF(Mercado_Receita!$T$2:$T$1214,"44256B4Energia convencionalIluminação públicaIluminação pública – B4bNão se aplicaNão se aplicaNão se aplica",Mercado_Receita!$N$2:$N$1214)</f>
        <v>0</v>
      </c>
      <c r="K41" s="12">
        <f>SUMIF(Mercado_Receita!$T$2:$T$1214,"44287B4Energia convencionalIluminação públicaIluminação pública – B4bNão se aplicaNão se aplicaNão se aplica",Mercado_Receita!$N$2:$N$1214)</f>
        <v>0</v>
      </c>
      <c r="L41" s="12">
        <f>SUMIF(Mercado_Receita!$T$2:$T$1214,"44317B4Energia convencionalIluminação públicaIluminação pública – B4bNão se aplicaNão se aplicaNão se aplica",Mercado_Receita!$N$2:$N$1214)</f>
        <v>0</v>
      </c>
      <c r="M41" s="12">
        <f>SUMIF(Mercado_Receita!$T$2:$T$1214,"44348B4Energia convencionalIluminação públicaIluminação pública – B4bNão se aplicaNão se aplicaNão se aplica",Mercado_Receita!$N$2:$N$1214)</f>
        <v>0</v>
      </c>
      <c r="N41" s="12">
        <f>SUMIF(Mercado_Receita!$T$2:$T$1214,"44378B4Energia convencionalIluminação públicaIluminação pública – B4bNão se aplicaNão se aplicaNão se aplica",Mercado_Receita!$N$2:$N$1214)</f>
        <v>0</v>
      </c>
      <c r="O41" s="12">
        <f>SUMIF(Mercado_Receita!$T$2:$T$1214,"44409B4Energia convencionalIluminação públicaIluminação pública – B4bNão se aplicaNão se aplicaNão se aplica",Mercado_Receita!$N$2:$N$1214)</f>
        <v>0</v>
      </c>
      <c r="P41" s="12">
        <f>SUMIF(Mercado_Receita!$T$2:$T$1214,"44440B4Energia convencionalIluminação públicaIluminação pública – B4bNão se aplicaNão se aplicaNão se aplica",Mercado_Receita!$N$2:$N$1214)</f>
        <v>0</v>
      </c>
      <c r="Q41" s="12">
        <f>SUMIF(Mercado_Receita!$T$2:$T$1214,"44470B4Energia convencionalIluminação públicaIluminação pública – B4bNão se aplicaNão se aplicaNão se aplica",Mercado_Receita!$N$2:$N$1214)</f>
        <v>0</v>
      </c>
      <c r="R41" s="12">
        <f>SUMIF(Mercado_Receita!$T$2:$T$1214,"44501B4Energia convencionalIluminação públicaIluminação pública – B4bNão se aplicaNão se aplicaNão se aplica",Mercado_Receita!$N$2:$N$1214)</f>
        <v>0</v>
      </c>
      <c r="S41" s="12">
        <f>SUMIF(Mercado_Receita!$T$2:$T$1214,"44531B4Energia convencionalIluminação públicaIluminação pública – B4bNão se aplicaNão se aplicaNão se aplica",Mercado_Receita!$N$2:$N$1214)</f>
        <v>0</v>
      </c>
      <c r="T41" s="12">
        <f>SUMIF(Mercado_Receita!$T$2:$T$1214,"44562B4Energia convencionalIluminação públicaIluminação pública – B4bNão se aplicaNão se aplicaNão se aplica",Mercado_Receita!$N$2:$N$1214)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93" t="s">
        <v>715</v>
      </c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  <c r="P42" s="94"/>
      <c r="Q42" s="94"/>
      <c r="R42" s="94"/>
      <c r="S42" s="94"/>
      <c r="T42" s="94"/>
      <c r="U42" s="94"/>
      <c r="V42" s="12"/>
      <c r="W42" s="12"/>
    </row>
  </sheetData>
  <mergeCells count="50">
    <mergeCell ref="A4:A6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  <mergeCell ref="C15:C19"/>
    <mergeCell ref="B15:B19"/>
    <mergeCell ref="A7:A19"/>
    <mergeCell ref="F20:F22"/>
    <mergeCell ref="E20:E22"/>
    <mergeCell ref="D20:D22"/>
    <mergeCell ref="C20:C22"/>
    <mergeCell ref="B20:B22"/>
    <mergeCell ref="F7:F9"/>
    <mergeCell ref="E7:E9"/>
    <mergeCell ref="D7:D9"/>
    <mergeCell ref="C7:C9"/>
    <mergeCell ref="B7:B9"/>
    <mergeCell ref="C10:C14"/>
    <mergeCell ref="B10:B14"/>
    <mergeCell ref="C24:C26"/>
    <mergeCell ref="B24:B26"/>
    <mergeCell ref="F28:F30"/>
    <mergeCell ref="E28:E30"/>
    <mergeCell ref="D28:D30"/>
    <mergeCell ref="C28:C30"/>
    <mergeCell ref="B28:B30"/>
    <mergeCell ref="A40:A41"/>
    <mergeCell ref="B40:B41"/>
    <mergeCell ref="C40:C41"/>
    <mergeCell ref="A42:U42"/>
    <mergeCell ref="C32:C34"/>
    <mergeCell ref="B32:B34"/>
    <mergeCell ref="A20:A34"/>
    <mergeCell ref="F35:F37"/>
    <mergeCell ref="E35:E37"/>
    <mergeCell ref="D35:D37"/>
    <mergeCell ref="C35:C37"/>
    <mergeCell ref="B35:B37"/>
    <mergeCell ref="A35:A39"/>
    <mergeCell ref="F24:F26"/>
    <mergeCell ref="E24:E26"/>
    <mergeCell ref="D24:D26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B60AC-8F6D-4F72-A11C-65A6E6B9AED4}">
  <dimension ref="A1:AD200"/>
  <sheetViews>
    <sheetView showGridLines="0" topLeftCell="A34" workbookViewId="0">
      <selection activeCell="F51" sqref="F51"/>
    </sheetView>
  </sheetViews>
  <sheetFormatPr defaultRowHeight="12" customHeight="1" x14ac:dyDescent="0.2"/>
  <cols>
    <col min="1" max="1" width="10.5703125" style="14" bestFit="1" customWidth="1"/>
    <col min="2" max="2" width="14.42578125" style="14" bestFit="1" customWidth="1"/>
    <col min="3" max="3" width="18.42578125" style="14" bestFit="1" customWidth="1"/>
    <col min="4" max="4" width="15" style="14" bestFit="1" customWidth="1"/>
    <col min="5" max="5" width="14.5703125" style="14" bestFit="1" customWidth="1"/>
    <col min="6" max="6" width="10.85546875" style="14" bestFit="1" customWidth="1"/>
    <col min="7" max="7" width="10.5703125" style="14" bestFit="1" customWidth="1"/>
    <col min="8" max="8" width="12.140625" style="14" bestFit="1" customWidth="1"/>
    <col min="9" max="9" width="9.140625" style="14"/>
    <col min="10" max="10" width="12.140625" style="14" bestFit="1" customWidth="1"/>
    <col min="11" max="11" width="9.140625" style="14"/>
    <col min="12" max="12" width="34.140625" style="14" bestFit="1" customWidth="1"/>
    <col min="13" max="13" width="11.7109375" style="14" bestFit="1" customWidth="1"/>
    <col min="14" max="14" width="36.140625" style="14" bestFit="1" customWidth="1"/>
    <col min="15" max="15" width="30.7109375" style="14" customWidth="1"/>
    <col min="16" max="16" width="13.140625" style="14" bestFit="1" customWidth="1"/>
    <col min="17" max="17" width="10" style="14" bestFit="1" customWidth="1"/>
    <col min="18" max="18" width="14.5703125" style="14" bestFit="1" customWidth="1"/>
    <col min="19" max="19" width="31.140625" style="14" bestFit="1" customWidth="1"/>
    <col min="20" max="20" width="15.42578125" style="14" bestFit="1" customWidth="1"/>
    <col min="21" max="21" width="10.85546875" style="14" bestFit="1" customWidth="1"/>
    <col min="22" max="22" width="13.28515625" style="14" bestFit="1" customWidth="1"/>
    <col min="23" max="23" width="5" style="14" bestFit="1" customWidth="1"/>
    <col min="24" max="24" width="52.42578125" style="14" bestFit="1" customWidth="1"/>
    <col min="25" max="26" width="5" style="14" bestFit="1" customWidth="1"/>
    <col min="27" max="27" width="2" style="14" bestFit="1" customWidth="1"/>
    <col min="28" max="16384" width="9.140625" style="14"/>
  </cols>
  <sheetData>
    <row r="1" spans="1:30" ht="12" customHeight="1" x14ac:dyDescent="0.2">
      <c r="A1" s="10" t="s">
        <v>754</v>
      </c>
      <c r="B1" s="10" t="s">
        <v>755</v>
      </c>
      <c r="C1" s="10" t="s">
        <v>756</v>
      </c>
      <c r="D1" s="10" t="s">
        <v>757</v>
      </c>
      <c r="E1" s="10" t="s">
        <v>758</v>
      </c>
      <c r="F1" s="10" t="s">
        <v>759</v>
      </c>
      <c r="G1" s="7"/>
      <c r="H1" s="7"/>
      <c r="I1" s="7"/>
      <c r="J1" s="7"/>
      <c r="K1" s="7"/>
      <c r="L1" s="102" t="s">
        <v>760</v>
      </c>
      <c r="M1" s="102"/>
      <c r="N1" s="7"/>
      <c r="O1" s="95" t="s">
        <v>847</v>
      </c>
      <c r="P1" s="96"/>
      <c r="Q1" s="96"/>
      <c r="R1" s="96"/>
      <c r="S1" s="96"/>
      <c r="T1" s="96"/>
      <c r="U1" s="96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03" t="s">
        <v>716</v>
      </c>
      <c r="B2" s="103" t="s">
        <v>717</v>
      </c>
      <c r="C2" s="16" t="s">
        <v>801</v>
      </c>
      <c r="D2" s="12">
        <v>1032973.8005780317</v>
      </c>
      <c r="E2" s="12">
        <v>-45608.360377848061</v>
      </c>
      <c r="F2" s="12">
        <v>118299.57656469238</v>
      </c>
      <c r="G2" s="15"/>
      <c r="H2" s="15"/>
      <c r="I2" s="15"/>
      <c r="J2" s="15"/>
      <c r="K2" s="15"/>
      <c r="L2" s="22" t="s">
        <v>761</v>
      </c>
      <c r="M2" s="56">
        <v>6.5562585342036517E-2</v>
      </c>
      <c r="N2" s="15"/>
      <c r="O2" s="28" t="s">
        <v>848</v>
      </c>
      <c r="P2" s="28" t="s">
        <v>56</v>
      </c>
      <c r="Q2" s="28" t="s">
        <v>849</v>
      </c>
      <c r="R2" s="28" t="s">
        <v>39</v>
      </c>
      <c r="S2" s="28" t="s">
        <v>850</v>
      </c>
      <c r="T2" s="28" t="s">
        <v>88</v>
      </c>
      <c r="U2" s="28"/>
      <c r="V2" s="15"/>
      <c r="W2" s="15"/>
      <c r="X2" s="22" t="s">
        <v>814</v>
      </c>
      <c r="Y2" s="15"/>
      <c r="Z2" s="15"/>
      <c r="AA2" s="15" t="s">
        <v>858</v>
      </c>
      <c r="AB2" s="15"/>
      <c r="AC2" s="15"/>
      <c r="AD2" s="15"/>
    </row>
    <row r="3" spans="1:30" ht="12" customHeight="1" x14ac:dyDescent="0.2">
      <c r="A3" s="104"/>
      <c r="B3" s="104"/>
      <c r="C3" s="16" t="s">
        <v>718</v>
      </c>
      <c r="D3" s="12">
        <v>430118.8978672598</v>
      </c>
      <c r="E3" s="12">
        <v>-14166.531065114292</v>
      </c>
      <c r="F3" s="12">
        <v>0</v>
      </c>
      <c r="G3" s="15"/>
      <c r="H3" s="15"/>
      <c r="I3" s="15"/>
      <c r="J3" s="15"/>
      <c r="K3" s="15"/>
      <c r="L3" s="22" t="s">
        <v>762</v>
      </c>
      <c r="M3" s="56"/>
      <c r="N3" s="15"/>
      <c r="O3" s="29">
        <v>1</v>
      </c>
      <c r="P3" s="59">
        <v>0.8</v>
      </c>
      <c r="Q3" s="29">
        <v>1</v>
      </c>
      <c r="R3" s="59">
        <v>0.9</v>
      </c>
      <c r="S3" s="29">
        <v>1</v>
      </c>
      <c r="T3" s="29">
        <v>1</v>
      </c>
      <c r="U3" s="29" t="s">
        <v>851</v>
      </c>
      <c r="V3" s="15"/>
      <c r="W3" s="15"/>
      <c r="X3" s="22" t="s">
        <v>815</v>
      </c>
      <c r="Y3" s="15"/>
      <c r="Z3" s="15"/>
      <c r="AA3" s="15">
        <v>5</v>
      </c>
      <c r="AB3" s="15"/>
      <c r="AC3" s="15"/>
      <c r="AD3" s="15"/>
    </row>
    <row r="4" spans="1:30" ht="12" customHeight="1" x14ac:dyDescent="0.2">
      <c r="A4" s="104"/>
      <c r="B4" s="104"/>
      <c r="C4" s="16" t="s">
        <v>719</v>
      </c>
      <c r="D4" s="12">
        <f>$M$22-D$30</f>
        <v>1351473.5832748055</v>
      </c>
      <c r="E4" s="12">
        <f>IF((D4+D$30)&lt;&gt;0,$M$20*D4/(D4+D$30),0)</f>
        <v>0</v>
      </c>
      <c r="F4" s="12">
        <f>IF((D4+D$30)&lt;&gt;0,$M$21*D4/(D4+D$30),0)</f>
        <v>0</v>
      </c>
      <c r="G4" s="15"/>
      <c r="H4" s="15"/>
      <c r="I4" s="15"/>
      <c r="J4" s="15"/>
      <c r="K4" s="15"/>
      <c r="L4" s="22" t="s">
        <v>763</v>
      </c>
      <c r="M4" s="56">
        <v>0.15631389743899948</v>
      </c>
      <c r="N4" s="15"/>
      <c r="O4" s="29">
        <v>1</v>
      </c>
      <c r="P4" s="29">
        <v>1</v>
      </c>
      <c r="Q4" s="29">
        <v>1</v>
      </c>
      <c r="R4" s="29">
        <v>1</v>
      </c>
      <c r="S4" s="29">
        <v>1</v>
      </c>
      <c r="T4" s="29">
        <v>1</v>
      </c>
      <c r="U4" s="29" t="s">
        <v>87</v>
      </c>
      <c r="V4" s="15"/>
      <c r="W4" s="15"/>
      <c r="X4" s="15"/>
      <c r="Y4" s="15"/>
      <c r="Z4" s="15"/>
      <c r="AA4" s="15"/>
      <c r="AB4" s="15"/>
      <c r="AC4" s="15"/>
      <c r="AD4" s="15"/>
    </row>
    <row r="5" spans="1:30" ht="12" customHeight="1" x14ac:dyDescent="0.2">
      <c r="A5" s="104"/>
      <c r="B5" s="104"/>
      <c r="C5" s="16" t="s">
        <v>720</v>
      </c>
      <c r="D5" s="12">
        <v>27638.035714285714</v>
      </c>
      <c r="E5" s="12">
        <v>-1575.5005387090303</v>
      </c>
      <c r="F5" s="12">
        <v>0</v>
      </c>
      <c r="G5" s="15"/>
      <c r="H5" s="15"/>
      <c r="I5" s="15"/>
      <c r="J5" s="15"/>
      <c r="K5" s="15"/>
      <c r="L5" s="22" t="s">
        <v>764</v>
      </c>
      <c r="M5" s="56">
        <v>0.01</v>
      </c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</row>
    <row r="6" spans="1:30" ht="12" customHeight="1" x14ac:dyDescent="0.2">
      <c r="A6" s="104"/>
      <c r="B6" s="104"/>
      <c r="C6" s="16" t="s">
        <v>721</v>
      </c>
      <c r="D6" s="12">
        <v>0</v>
      </c>
      <c r="E6" s="12">
        <v>0</v>
      </c>
      <c r="F6" s="12">
        <v>0</v>
      </c>
      <c r="G6" s="15"/>
      <c r="H6" s="15"/>
      <c r="I6" s="15"/>
      <c r="J6" s="15"/>
      <c r="K6" s="15"/>
      <c r="L6" s="22" t="s">
        <v>765</v>
      </c>
      <c r="M6" s="56">
        <v>5.284991316520915E-2</v>
      </c>
      <c r="N6" s="15"/>
      <c r="O6" s="15"/>
      <c r="P6" s="29">
        <v>0.75</v>
      </c>
      <c r="Q6" s="29">
        <v>1</v>
      </c>
      <c r="R6" s="29">
        <v>0.85</v>
      </c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</row>
    <row r="7" spans="1:30" ht="12" customHeight="1" x14ac:dyDescent="0.2">
      <c r="A7" s="104"/>
      <c r="B7" s="104"/>
      <c r="C7" s="16" t="s">
        <v>722</v>
      </c>
      <c r="D7" s="12">
        <v>20358520.190000001</v>
      </c>
      <c r="E7" s="12">
        <v>-586670.68666997878</v>
      </c>
      <c r="F7" s="12">
        <v>-9249.6930267323551</v>
      </c>
      <c r="G7" s="15"/>
      <c r="H7" s="15"/>
      <c r="I7" s="15"/>
      <c r="J7" s="15"/>
      <c r="K7" s="15"/>
      <c r="L7" s="22" t="s">
        <v>766</v>
      </c>
      <c r="M7" s="22">
        <f>M8+M9+M10+M11</f>
        <v>61018.592863533777</v>
      </c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</row>
    <row r="8" spans="1:30" ht="12" customHeight="1" x14ac:dyDescent="0.2">
      <c r="A8" s="104"/>
      <c r="B8" s="104"/>
      <c r="C8" s="16" t="s">
        <v>723</v>
      </c>
      <c r="D8" s="12">
        <v>8961536.0506794378</v>
      </c>
      <c r="E8" s="12">
        <v>-255138.45347551774</v>
      </c>
      <c r="F8" s="12">
        <v>290912.54638488876</v>
      </c>
      <c r="G8" s="15"/>
      <c r="H8" s="15"/>
      <c r="I8" s="15"/>
      <c r="J8" s="15"/>
      <c r="K8" s="15"/>
      <c r="L8" s="57" t="s">
        <v>767</v>
      </c>
      <c r="M8" s="22">
        <v>41477.35569660677</v>
      </c>
      <c r="N8" s="15"/>
      <c r="O8" s="22" t="s">
        <v>800</v>
      </c>
      <c r="P8" s="29">
        <v>0</v>
      </c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</row>
    <row r="9" spans="1:30" ht="12" customHeight="1" x14ac:dyDescent="0.2">
      <c r="A9" s="104"/>
      <c r="B9" s="104"/>
      <c r="C9" s="16" t="s">
        <v>724</v>
      </c>
      <c r="D9" s="12"/>
      <c r="E9" s="12"/>
      <c r="F9" s="12"/>
      <c r="G9" s="15"/>
      <c r="H9" s="15"/>
      <c r="I9" s="15"/>
      <c r="J9" s="15"/>
      <c r="K9" s="15"/>
      <c r="L9" s="58" t="s">
        <v>768</v>
      </c>
      <c r="M9" s="22">
        <v>7446.5171669270057</v>
      </c>
      <c r="N9" s="15"/>
      <c r="O9" s="22" t="s">
        <v>805</v>
      </c>
      <c r="P9" s="29">
        <f>SUM(Mercado_Receita!$J$2:$J$1214)</f>
        <v>1634039</v>
      </c>
      <c r="Q9" s="29">
        <v>1634039</v>
      </c>
      <c r="R9" s="29" t="str">
        <f>IF(ABS(P9-Q9)&gt;1,"ERRO BADNET","OK BADNET")</f>
        <v>OK BADNET</v>
      </c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</row>
    <row r="10" spans="1:30" ht="12" customHeight="1" x14ac:dyDescent="0.2">
      <c r="A10" s="104"/>
      <c r="B10" s="105"/>
      <c r="C10" s="16" t="s">
        <v>725</v>
      </c>
      <c r="D10" s="12">
        <f>SUM(D$2:D9)</f>
        <v>32162260.558113821</v>
      </c>
      <c r="E10" s="12">
        <f>SUM(E$2:E9)</f>
        <v>-903159.5321271678</v>
      </c>
      <c r="F10" s="12">
        <f>SUM(F$2:F9)</f>
        <v>399962.42992284882</v>
      </c>
      <c r="G10" s="15"/>
      <c r="H10" s="15"/>
      <c r="I10" s="15"/>
      <c r="J10" s="15"/>
      <c r="K10" s="15"/>
      <c r="L10" s="57" t="s">
        <v>769</v>
      </c>
      <c r="M10" s="22">
        <v>977.92282374677006</v>
      </c>
      <c r="N10" s="15"/>
      <c r="O10" s="22" t="s">
        <v>806</v>
      </c>
      <c r="P10" s="29">
        <f>SUM(Mercado_Receita!$L$2:$L$1214)</f>
        <v>751576.72100000037</v>
      </c>
      <c r="Q10" s="29">
        <v>751576.72100000002</v>
      </c>
      <c r="R10" s="29" t="str">
        <f>IF(ABS(P10-Q10)&gt;1,"ERRO BADNET","OK BADNET")</f>
        <v>OK BADNET</v>
      </c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</row>
    <row r="11" spans="1:30" ht="12" customHeight="1" x14ac:dyDescent="0.2">
      <c r="A11" s="104"/>
      <c r="B11" s="103" t="s">
        <v>726</v>
      </c>
      <c r="C11" s="16" t="s">
        <v>727</v>
      </c>
      <c r="D11" s="12">
        <v>14520413.184000002</v>
      </c>
      <c r="E11" s="12">
        <v>34307.246296391517</v>
      </c>
      <c r="F11" s="12">
        <f>IF((+$D$11+$D$12+$D$16+$D$17+$D$38)&lt;&gt;0,$M$19*$D$11/(+$D$11+$D$12+$D$16+$D$17+$D$38),0)</f>
        <v>797866.15633681579</v>
      </c>
      <c r="G11" s="15"/>
      <c r="H11" s="15"/>
      <c r="I11" s="15"/>
      <c r="J11" s="15"/>
      <c r="K11" s="15"/>
      <c r="L11" s="57" t="s">
        <v>770</v>
      </c>
      <c r="M11" s="22">
        <v>11116.797176253231</v>
      </c>
      <c r="N11" s="15"/>
      <c r="O11" s="22" t="s">
        <v>807</v>
      </c>
      <c r="P11" s="29">
        <f>SUM(Mercado_Receita!$N$2:$N$1214)</f>
        <v>556155.10600000038</v>
      </c>
      <c r="Q11" s="29">
        <v>556155.10600000003</v>
      </c>
      <c r="R11" s="29" t="str">
        <f>IF(ABS(P11-Q11)&gt;1,"ERRO BADNET","OK BADNET")</f>
        <v>OK BADNET</v>
      </c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</row>
    <row r="12" spans="1:30" ht="12" customHeight="1" x14ac:dyDescent="0.2">
      <c r="A12" s="104"/>
      <c r="B12" s="104"/>
      <c r="C12" s="16" t="s">
        <v>728</v>
      </c>
      <c r="D12" s="12">
        <v>3971557.3920000005</v>
      </c>
      <c r="E12" s="12">
        <v>0</v>
      </c>
      <c r="F12" s="12">
        <f>IF((+$D$11+$D$12+$D$16+$D$17+$D$38)&lt;&gt;0,$M$19*$D$12/(+$D$11+$D$12+$D$16+$D$17+$D$38),0)</f>
        <v>218228.72330642547</v>
      </c>
      <c r="G12" s="15"/>
      <c r="H12" s="15"/>
      <c r="I12" s="15"/>
      <c r="J12" s="15"/>
      <c r="K12" s="15"/>
      <c r="L12" s="22" t="s">
        <v>771</v>
      </c>
      <c r="M12" s="22">
        <v>617173.69886353391</v>
      </c>
      <c r="N12" s="15"/>
      <c r="O12" s="22" t="s">
        <v>808</v>
      </c>
      <c r="P12" s="29">
        <f>SUMIF('MERCADO TUSD'!$H$2:$H$58,"kW",'MERCADO TUSD'!$U$2:$U$58)</f>
        <v>1634039</v>
      </c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</row>
    <row r="13" spans="1:30" ht="12" customHeight="1" x14ac:dyDescent="0.2">
      <c r="A13" s="104"/>
      <c r="B13" s="104"/>
      <c r="C13" s="16" t="s">
        <v>729</v>
      </c>
      <c r="D13" s="12">
        <f>-$M$51+352974.387435015</f>
        <v>352974.387435015</v>
      </c>
      <c r="E13" s="12">
        <v>0</v>
      </c>
      <c r="F13" s="12">
        <v>0</v>
      </c>
      <c r="G13" s="15"/>
      <c r="H13" s="15"/>
      <c r="I13" s="15"/>
      <c r="J13" s="15"/>
      <c r="K13" s="15"/>
      <c r="L13" s="22" t="s">
        <v>772</v>
      </c>
      <c r="M13" s="22">
        <v>13104.632752293144</v>
      </c>
      <c r="N13" s="15"/>
      <c r="O13" s="22" t="s">
        <v>809</v>
      </c>
      <c r="P13" s="29">
        <f>SUMIF('MERCADO TUSD'!$H$2:$H$58,"MWh",'MERCADO TUSD'!$U$2:$U$58)</f>
        <v>751576.72100000002</v>
      </c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</row>
    <row r="14" spans="1:30" ht="12" customHeight="1" x14ac:dyDescent="0.2">
      <c r="A14" s="104"/>
      <c r="B14" s="104"/>
      <c r="C14" s="16" t="s">
        <v>730</v>
      </c>
      <c r="D14" s="12">
        <v>0</v>
      </c>
      <c r="E14" s="12">
        <v>0</v>
      </c>
      <c r="F14" s="12">
        <v>0</v>
      </c>
      <c r="G14" s="15"/>
      <c r="H14" s="15"/>
      <c r="I14" s="15"/>
      <c r="J14" s="15"/>
      <c r="K14" s="15"/>
      <c r="L14" s="22" t="s">
        <v>773</v>
      </c>
      <c r="M14" s="22">
        <v>204.25523112086159</v>
      </c>
      <c r="N14" s="15"/>
      <c r="O14" s="22" t="s">
        <v>810</v>
      </c>
      <c r="P14" s="29">
        <f>SUMIF('MERCADO TE'!$H$2:$H$41,"MWh",'MERCADO TE'!$U$2:$U$41)</f>
        <v>556155.10600000015</v>
      </c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</row>
    <row r="15" spans="1:30" ht="12" customHeight="1" x14ac:dyDescent="0.2">
      <c r="A15" s="104"/>
      <c r="B15" s="104"/>
      <c r="C15" s="16" t="s">
        <v>731</v>
      </c>
      <c r="D15" s="12">
        <v>13975762.558050001</v>
      </c>
      <c r="E15" s="12">
        <v>-292431.97467562632</v>
      </c>
      <c r="F15" s="12">
        <v>0</v>
      </c>
      <c r="G15" s="15"/>
      <c r="H15" s="15"/>
      <c r="I15" s="15"/>
      <c r="J15" s="15"/>
      <c r="K15" s="15"/>
      <c r="L15" s="22" t="s">
        <v>774</v>
      </c>
      <c r="M15" s="22">
        <f>M14*M12</f>
        <v>126060956.50308815</v>
      </c>
      <c r="N15" s="15"/>
      <c r="O15" s="22" t="s">
        <v>811</v>
      </c>
      <c r="P15" s="29" t="str">
        <f>IF(ABS(P9-P12)&gt;1,"ERRO","OK")</f>
        <v>OK</v>
      </c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</row>
    <row r="16" spans="1:30" ht="12" customHeight="1" x14ac:dyDescent="0.2">
      <c r="A16" s="104"/>
      <c r="B16" s="104"/>
      <c r="C16" s="16" t="s">
        <v>732</v>
      </c>
      <c r="D16" s="12">
        <v>0</v>
      </c>
      <c r="E16" s="12">
        <v>0</v>
      </c>
      <c r="F16" s="12">
        <f>IF((+$D$11+$D$12+$D$16+$D$17+$D$38)&lt;&gt;0,$M$19*$D$16/(+$D$11+$D$12+$D$16+$D$17+$D$38),0)</f>
        <v>0</v>
      </c>
      <c r="G16" s="15"/>
      <c r="H16" s="15"/>
      <c r="I16" s="15"/>
      <c r="J16" s="15"/>
      <c r="K16" s="15"/>
      <c r="L16" s="22" t="s">
        <v>775</v>
      </c>
      <c r="M16" s="22">
        <v>-7199998.1608758764</v>
      </c>
      <c r="N16" s="15"/>
      <c r="O16" s="22" t="s">
        <v>812</v>
      </c>
      <c r="P16" s="29" t="str">
        <f>IF(ABS(P10-P13)&gt;1,"ERRO","OK")</f>
        <v>OK</v>
      </c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</row>
    <row r="17" spans="1:30" ht="12" customHeight="1" x14ac:dyDescent="0.2">
      <c r="A17" s="104"/>
      <c r="B17" s="104"/>
      <c r="C17" s="16" t="s">
        <v>733</v>
      </c>
      <c r="D17" s="12">
        <v>0</v>
      </c>
      <c r="E17" s="12">
        <v>0</v>
      </c>
      <c r="F17" s="12">
        <f>IF((+$D$11+$D$12+$D$16+$D$17+$D$38)&lt;&gt;0,$M$19*$D$17/(+$D$11+$D$12+$D$16+$D$17+$D$38),0)</f>
        <v>0</v>
      </c>
      <c r="G17" s="15"/>
      <c r="H17" s="15"/>
      <c r="I17" s="15"/>
      <c r="J17" s="15"/>
      <c r="K17" s="15"/>
      <c r="L17" s="22" t="s">
        <v>776</v>
      </c>
      <c r="M17" s="22">
        <v>20955532.179578528</v>
      </c>
      <c r="N17" s="15"/>
      <c r="O17" s="22" t="s">
        <v>813</v>
      </c>
      <c r="P17" s="29" t="str">
        <f>IF(ABS(P11-P14)&gt;1,"ERRO","OK")</f>
        <v>OK</v>
      </c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</row>
    <row r="18" spans="1:30" ht="12" customHeight="1" x14ac:dyDescent="0.2">
      <c r="A18" s="104"/>
      <c r="B18" s="105"/>
      <c r="C18" s="16" t="s">
        <v>725</v>
      </c>
      <c r="D18" s="12">
        <f>SUM(D$11:D17)</f>
        <v>32820707.521485016</v>
      </c>
      <c r="E18" s="12">
        <f>SUM(E$11:E17)</f>
        <v>-258124.72837923479</v>
      </c>
      <c r="F18" s="12">
        <f>SUM(F$11:F17)</f>
        <v>1016094.8796432413</v>
      </c>
      <c r="G18" s="15"/>
      <c r="H18" s="15"/>
      <c r="I18" s="15"/>
      <c r="J18" s="15"/>
      <c r="K18" s="15"/>
      <c r="L18" s="22" t="s">
        <v>777</v>
      </c>
      <c r="M18" s="22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</row>
    <row r="19" spans="1:30" ht="12" customHeight="1" x14ac:dyDescent="0.2">
      <c r="A19" s="104"/>
      <c r="B19" s="103" t="s">
        <v>734</v>
      </c>
      <c r="C19" s="16" t="s">
        <v>735</v>
      </c>
      <c r="D19" s="12">
        <v>103471211.26502535</v>
      </c>
      <c r="E19" s="12">
        <v>-645021.98149003857</v>
      </c>
      <c r="F19" s="12">
        <v>0</v>
      </c>
      <c r="G19" s="15"/>
      <c r="H19" s="15"/>
      <c r="I19" s="15"/>
      <c r="J19" s="15"/>
      <c r="K19" s="15"/>
      <c r="L19" s="22" t="s">
        <v>778</v>
      </c>
      <c r="M19" s="22">
        <v>1016094.8796432412</v>
      </c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</row>
    <row r="20" spans="1:30" ht="12" customHeight="1" x14ac:dyDescent="0.2">
      <c r="A20" s="104"/>
      <c r="B20" s="105"/>
      <c r="C20" s="16" t="s">
        <v>725</v>
      </c>
      <c r="D20" s="12">
        <f>SUM(D$19:D19)</f>
        <v>103471211.26502535</v>
      </c>
      <c r="E20" s="12">
        <f>SUM(E$19:E19)</f>
        <v>-645021.98149003857</v>
      </c>
      <c r="F20" s="12">
        <f>SUM(F$19:F19)</f>
        <v>0</v>
      </c>
      <c r="G20" s="15"/>
      <c r="H20" s="15"/>
      <c r="I20" s="15"/>
      <c r="J20" s="15"/>
      <c r="K20" s="15"/>
      <c r="L20" s="22" t="s">
        <v>779</v>
      </c>
      <c r="M20" s="22">
        <v>0</v>
      </c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</row>
    <row r="21" spans="1:30" ht="12" customHeight="1" x14ac:dyDescent="0.2">
      <c r="A21" s="104"/>
      <c r="B21" s="103" t="s">
        <v>736</v>
      </c>
      <c r="C21" s="16" t="s">
        <v>737</v>
      </c>
      <c r="D21" s="12"/>
      <c r="E21" s="12">
        <f>IF($D$46&lt;&gt;0,(1-$D$45/$D$46)*-25456571.8465213,0)+0</f>
        <v>-14783834.877586793</v>
      </c>
      <c r="F21" s="12"/>
      <c r="G21" s="15"/>
      <c r="H21" s="15"/>
      <c r="I21" s="15"/>
      <c r="J21" s="15"/>
      <c r="K21" s="15"/>
      <c r="L21" s="22" t="s">
        <v>780</v>
      </c>
      <c r="M21" s="22">
        <v>0</v>
      </c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</row>
    <row r="22" spans="1:30" ht="12" customHeight="1" x14ac:dyDescent="0.2">
      <c r="A22" s="104"/>
      <c r="B22" s="104"/>
      <c r="C22" s="16" t="s">
        <v>738</v>
      </c>
      <c r="D22" s="12"/>
      <c r="E22" s="12"/>
      <c r="F22" s="12"/>
      <c r="G22" s="15"/>
      <c r="H22" s="15"/>
      <c r="I22" s="15"/>
      <c r="J22" s="15"/>
      <c r="K22" s="15"/>
      <c r="L22" s="22" t="s">
        <v>802</v>
      </c>
      <c r="M22" s="22">
        <v>2713380.8564834348</v>
      </c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</row>
    <row r="23" spans="1:30" ht="12" customHeight="1" x14ac:dyDescent="0.2">
      <c r="A23" s="104"/>
      <c r="B23" s="105"/>
      <c r="C23" s="16" t="s">
        <v>725</v>
      </c>
      <c r="D23" s="12">
        <f>SUM(D$21:D22)</f>
        <v>0</v>
      </c>
      <c r="E23" s="12">
        <f>SUM(E$21:E22)</f>
        <v>-14783834.877586793</v>
      </c>
      <c r="F23" s="12">
        <f>SUM(F$21:F22)</f>
        <v>0</v>
      </c>
      <c r="G23" s="15"/>
      <c r="H23" s="15"/>
      <c r="I23" s="15"/>
      <c r="J23" s="15"/>
      <c r="K23" s="15"/>
      <c r="L23" s="22" t="s">
        <v>781</v>
      </c>
      <c r="M23" s="22">
        <v>30</v>
      </c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</row>
    <row r="24" spans="1:30" ht="12" customHeight="1" x14ac:dyDescent="0.2">
      <c r="A24" s="104"/>
      <c r="B24" s="103" t="s">
        <v>739</v>
      </c>
      <c r="C24" s="16" t="s">
        <v>740</v>
      </c>
      <c r="D24" s="12">
        <f>$M$14*$M$8</f>
        <v>8471966.8740926012</v>
      </c>
      <c r="E24" s="12">
        <f>$M$16*$M$8/$M$12</f>
        <v>-483878.17770503578</v>
      </c>
      <c r="F24" s="12">
        <f>$M$17*$M$8/$M$12</f>
        <v>1408323.2380520743</v>
      </c>
      <c r="G24" s="15"/>
      <c r="H24" s="15"/>
      <c r="I24" s="15"/>
      <c r="J24" s="15"/>
      <c r="K24" s="15"/>
      <c r="L24" s="22" t="s">
        <v>782</v>
      </c>
      <c r="M24" s="22">
        <v>0</v>
      </c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</row>
    <row r="25" spans="1:30" ht="12" customHeight="1" x14ac:dyDescent="0.2">
      <c r="A25" s="104"/>
      <c r="B25" s="104"/>
      <c r="C25" s="16" t="s">
        <v>741</v>
      </c>
      <c r="D25" s="12">
        <f>$M$14*$M$10</f>
        <v>199745.85238276212</v>
      </c>
      <c r="E25" s="12">
        <f>$M$16*$M$10/$M$12</f>
        <v>-11408.52655487538</v>
      </c>
      <c r="F25" s="12">
        <f>$M$17*$M$10/$M$12</f>
        <v>33204.417556848966</v>
      </c>
      <c r="G25" s="15"/>
      <c r="H25" s="15"/>
      <c r="I25" s="15"/>
      <c r="J25" s="15"/>
      <c r="K25" s="15"/>
      <c r="L25" s="22" t="s">
        <v>783</v>
      </c>
      <c r="M25" s="22">
        <v>0</v>
      </c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</row>
    <row r="26" spans="1:30" ht="12" customHeight="1" x14ac:dyDescent="0.2">
      <c r="A26" s="104"/>
      <c r="B26" s="104"/>
      <c r="C26" s="16" t="s">
        <v>742</v>
      </c>
      <c r="D26" s="12">
        <f>$M$14*$M$9</f>
        <v>1520990.084976139</v>
      </c>
      <c r="E26" s="12">
        <f>$M$16*$M$9/$M$12</f>
        <v>-86871.670010455389</v>
      </c>
      <c r="F26" s="12">
        <f>$M$17*$M$9/$M$12</f>
        <v>252839.24186119085</v>
      </c>
      <c r="G26" s="15"/>
      <c r="H26" s="15"/>
      <c r="I26" s="15"/>
      <c r="J26" s="15"/>
      <c r="K26" s="15"/>
      <c r="L26" s="22" t="s">
        <v>784</v>
      </c>
      <c r="M26" s="22">
        <v>0</v>
      </c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</row>
    <row r="27" spans="1:30" ht="12" customHeight="1" x14ac:dyDescent="0.2">
      <c r="A27" s="104"/>
      <c r="B27" s="104"/>
      <c r="C27" s="16" t="s">
        <v>743</v>
      </c>
      <c r="D27" s="12"/>
      <c r="E27" s="12"/>
      <c r="F27" s="12"/>
      <c r="G27" s="15"/>
      <c r="H27" s="15"/>
      <c r="I27" s="15"/>
      <c r="J27" s="15"/>
      <c r="K27" s="15"/>
      <c r="L27" s="22" t="s">
        <v>785</v>
      </c>
      <c r="M27" s="22">
        <v>0</v>
      </c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</row>
    <row r="28" spans="1:30" ht="12" customHeight="1" x14ac:dyDescent="0.2">
      <c r="A28" s="104"/>
      <c r="B28" s="105"/>
      <c r="C28" s="16" t="s">
        <v>725</v>
      </c>
      <c r="D28" s="12">
        <f>SUM(D$24:D27)</f>
        <v>10192702.811451502</v>
      </c>
      <c r="E28" s="12">
        <f>SUM(E$24:E27)</f>
        <v>-582158.3742703665</v>
      </c>
      <c r="F28" s="12">
        <f>SUM(F$24:F27)</f>
        <v>1694366.8974701143</v>
      </c>
      <c r="G28" s="15"/>
      <c r="H28" s="15"/>
      <c r="I28" s="15"/>
      <c r="J28" s="15"/>
      <c r="K28" s="15"/>
      <c r="L28" s="22" t="s">
        <v>786</v>
      </c>
      <c r="M28" s="22">
        <v>0</v>
      </c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</row>
    <row r="29" spans="1:30" ht="12" customHeight="1" x14ac:dyDescent="0.2">
      <c r="A29" s="105"/>
      <c r="B29" s="99" t="s">
        <v>725</v>
      </c>
      <c r="C29" s="101"/>
      <c r="D29" s="12">
        <f>SUMIF(C$2:C28,"SUBTOTAL",D$2:D28)</f>
        <v>178646882.15607569</v>
      </c>
      <c r="E29" s="12">
        <f>SUMIF(C$2:C28,"SUBTOTAL",E$2:E28)</f>
        <v>-17172299.493853599</v>
      </c>
      <c r="F29" s="12">
        <f>SUMIF(C$2:C28,"SUBTOTAL",F$2:F28)</f>
        <v>3110424.2070362046</v>
      </c>
      <c r="G29" s="15"/>
      <c r="H29" s="15"/>
      <c r="I29" s="15"/>
      <c r="J29" s="15"/>
      <c r="K29" s="15"/>
      <c r="L29" s="22" t="s">
        <v>787</v>
      </c>
      <c r="M29" s="22">
        <v>0</v>
      </c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</row>
    <row r="30" spans="1:30" ht="12" customHeight="1" x14ac:dyDescent="0.2">
      <c r="A30" s="103" t="s">
        <v>744</v>
      </c>
      <c r="B30" s="103" t="s">
        <v>717</v>
      </c>
      <c r="C30" s="16" t="s">
        <v>719</v>
      </c>
      <c r="D30" s="12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1361907.2732086293</v>
      </c>
      <c r="E30" s="12">
        <f>IF((D30+D$4)&lt;&gt;0,$M$20*D30/(D30+D$4),0)</f>
        <v>0</v>
      </c>
      <c r="F30" s="12">
        <f>IF((D30+D$4)&lt;&gt;0,$M$21*D30/(D30+D$4),0)</f>
        <v>0</v>
      </c>
      <c r="G30" s="15"/>
      <c r="H30" s="15"/>
      <c r="I30" s="15"/>
      <c r="J30" s="15"/>
      <c r="K30" s="15"/>
      <c r="L30" s="22" t="s">
        <v>788</v>
      </c>
      <c r="M30" s="22">
        <v>0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</row>
    <row r="31" spans="1:30" ht="12" customHeight="1" x14ac:dyDescent="0.2">
      <c r="A31" s="104"/>
      <c r="B31" s="104"/>
      <c r="C31" s="16" t="s">
        <v>745</v>
      </c>
      <c r="D31" s="12">
        <v>7600610.5099999998</v>
      </c>
      <c r="E31" s="12">
        <v>-10311704.379364343</v>
      </c>
      <c r="F31" s="12">
        <v>14248386.378264379</v>
      </c>
      <c r="G31" s="15"/>
      <c r="H31" s="15"/>
      <c r="I31" s="15"/>
      <c r="J31" s="15"/>
      <c r="K31" s="15"/>
      <c r="L31" s="22" t="s">
        <v>789</v>
      </c>
      <c r="M31" s="22">
        <v>0</v>
      </c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</row>
    <row r="32" spans="1:30" ht="12" customHeight="1" x14ac:dyDescent="0.2">
      <c r="A32" s="104"/>
      <c r="B32" s="104"/>
      <c r="C32" s="16" t="s">
        <v>746</v>
      </c>
      <c r="D32" s="12">
        <v>0</v>
      </c>
      <c r="E32" s="12">
        <v>0</v>
      </c>
      <c r="F32" s="12">
        <v>0</v>
      </c>
      <c r="G32" s="15"/>
      <c r="H32" s="15"/>
      <c r="I32" s="15"/>
      <c r="J32" s="15"/>
      <c r="K32" s="15"/>
      <c r="L32" s="22" t="s">
        <v>790</v>
      </c>
      <c r="M32" s="22">
        <v>0.45</v>
      </c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</row>
    <row r="33" spans="1:30" ht="12" customHeight="1" x14ac:dyDescent="0.2">
      <c r="A33" s="104"/>
      <c r="B33" s="104"/>
      <c r="C33" s="16" t="s">
        <v>804</v>
      </c>
      <c r="D33" s="12">
        <v>4137875.6562601286</v>
      </c>
      <c r="E33" s="12">
        <v>-128313.97875302432</v>
      </c>
      <c r="F33" s="12">
        <v>481513.27886582719</v>
      </c>
      <c r="G33" s="15"/>
      <c r="H33" s="15"/>
      <c r="I33" s="15"/>
      <c r="J33" s="15"/>
      <c r="K33" s="15"/>
      <c r="L33" s="22" t="s">
        <v>791</v>
      </c>
      <c r="M33" s="22">
        <v>0.4</v>
      </c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</row>
    <row r="34" spans="1:30" ht="12" customHeight="1" x14ac:dyDescent="0.2">
      <c r="A34" s="104"/>
      <c r="B34" s="105"/>
      <c r="C34" s="16" t="s">
        <v>725</v>
      </c>
      <c r="D34" s="12">
        <f>SUM(D$30:D33)</f>
        <v>13100393.439468758</v>
      </c>
      <c r="E34" s="12">
        <f>SUM(E$30:E33)</f>
        <v>-10440018.358117368</v>
      </c>
      <c r="F34" s="12">
        <f>SUM(F$30:F33)</f>
        <v>14729899.657130206</v>
      </c>
      <c r="G34" s="15"/>
      <c r="H34" s="15"/>
      <c r="I34" s="15"/>
      <c r="J34" s="15"/>
      <c r="K34" s="15"/>
      <c r="L34" s="22" t="s">
        <v>792</v>
      </c>
      <c r="M34" s="22">
        <v>0.65</v>
      </c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</row>
    <row r="35" spans="1:30" ht="12" customHeight="1" x14ac:dyDescent="0.2">
      <c r="A35" s="104"/>
      <c r="B35" s="103" t="s">
        <v>747</v>
      </c>
      <c r="C35" s="16" t="s">
        <v>748</v>
      </c>
      <c r="D35" s="12">
        <f>$M$14*($M$12-$M$7)</f>
        <v>113597589.71507731</v>
      </c>
      <c r="E35" s="12">
        <f>$M$16*($M$12-$M$7)/$M$12</f>
        <v>-6488150.3339097109</v>
      </c>
      <c r="F35" s="12">
        <f>$M$17*($M$12-$M$7)/$M$12</f>
        <v>18883705.255231388</v>
      </c>
      <c r="G35" s="15"/>
      <c r="H35" s="15"/>
      <c r="I35" s="15"/>
      <c r="J35" s="15"/>
      <c r="K35" s="15"/>
      <c r="L35" s="22" t="s">
        <v>793</v>
      </c>
      <c r="M35" s="22">
        <v>0.4</v>
      </c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</row>
    <row r="36" spans="1:30" ht="12" customHeight="1" x14ac:dyDescent="0.2">
      <c r="A36" s="104"/>
      <c r="B36" s="105"/>
      <c r="C36" s="16" t="s">
        <v>725</v>
      </c>
      <c r="D36" s="12">
        <f>SUM(D$35:D35)</f>
        <v>113597589.71507731</v>
      </c>
      <c r="E36" s="12">
        <f>SUM(E$35:E35)</f>
        <v>-6488150.3339097109</v>
      </c>
      <c r="F36" s="12">
        <f>SUM(F$35:F35)</f>
        <v>18883705.255231388</v>
      </c>
      <c r="G36" s="15"/>
      <c r="H36" s="15"/>
      <c r="I36" s="15"/>
      <c r="J36" s="15"/>
      <c r="K36" s="15"/>
      <c r="L36" s="22" t="s">
        <v>794</v>
      </c>
      <c r="M36" s="22">
        <v>0.1</v>
      </c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</row>
    <row r="37" spans="1:30" ht="12" customHeight="1" x14ac:dyDescent="0.2">
      <c r="A37" s="104"/>
      <c r="B37" s="103" t="s">
        <v>726</v>
      </c>
      <c r="C37" s="16" t="s">
        <v>749</v>
      </c>
      <c r="D37" s="12">
        <v>0</v>
      </c>
      <c r="E37" s="12">
        <v>0</v>
      </c>
      <c r="F37" s="12">
        <v>0</v>
      </c>
      <c r="G37" s="15"/>
      <c r="H37" s="15"/>
      <c r="I37" s="15"/>
      <c r="J37" s="15"/>
      <c r="K37" s="15"/>
      <c r="L37" s="22" t="s">
        <v>795</v>
      </c>
      <c r="M37" s="22">
        <v>0</v>
      </c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</row>
    <row r="38" spans="1:30" ht="12" customHeight="1" x14ac:dyDescent="0.2">
      <c r="A38" s="104"/>
      <c r="B38" s="104"/>
      <c r="C38" s="16" t="s">
        <v>750</v>
      </c>
      <c r="D38" s="12">
        <v>0</v>
      </c>
      <c r="E38" s="12">
        <v>0</v>
      </c>
      <c r="F38" s="12">
        <f>IF((+$D$11+$D$12+$D$16+$D$17+$D$38)&lt;&gt;0,$M$19*$D$38/(+$D$11+$D$12+$D$16+$D$17+$D$38),0)</f>
        <v>0</v>
      </c>
      <c r="G38" s="15"/>
      <c r="H38" s="15"/>
      <c r="I38" s="15"/>
      <c r="J38" s="15"/>
      <c r="K38" s="15"/>
      <c r="L38" s="22" t="s">
        <v>796</v>
      </c>
      <c r="M38" s="22">
        <f>IFERROR(VLOOKUP("Convencional1RuralNão se aplicaRURALB2",Descontos!B1:U88,VLOOKUP("Convencional1RuralNão se aplicaRURALB2",Descontos!B1:U88,20,FALSE)+12,FALSE),100)</f>
        <v>0.06</v>
      </c>
      <c r="N38" s="15" t="s">
        <v>852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</row>
    <row r="39" spans="1:30" ht="12" customHeight="1" x14ac:dyDescent="0.2">
      <c r="A39" s="104"/>
      <c r="B39" s="104"/>
      <c r="C39" s="16" t="s">
        <v>751</v>
      </c>
      <c r="D39" s="12">
        <v>9.9999999999999995E-7</v>
      </c>
      <c r="E39" s="12">
        <v>0</v>
      </c>
      <c r="F39" s="12">
        <v>0</v>
      </c>
      <c r="G39" s="15"/>
      <c r="H39" s="15"/>
      <c r="I39" s="15"/>
      <c r="J39" s="15"/>
      <c r="K39" s="15"/>
      <c r="L39" s="22" t="s">
        <v>797</v>
      </c>
      <c r="M39" s="2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5">
        <v>0.3</v>
      </c>
      <c r="O39" s="15" t="s">
        <v>869</v>
      </c>
      <c r="P39" s="15" t="s">
        <v>870</v>
      </c>
      <c r="Q39" s="15" t="s">
        <v>871</v>
      </c>
      <c r="R39" s="15" t="s">
        <v>872</v>
      </c>
      <c r="S39" s="15" t="s">
        <v>1</v>
      </c>
      <c r="T39" s="15" t="s">
        <v>873</v>
      </c>
      <c r="U39" s="15"/>
      <c r="V39" s="15"/>
      <c r="W39" s="15"/>
      <c r="X39" s="15"/>
      <c r="Y39" s="15"/>
      <c r="Z39" s="15"/>
      <c r="AA39" s="15"/>
      <c r="AB39" s="15"/>
      <c r="AC39" s="15"/>
      <c r="AD39" s="15"/>
    </row>
    <row r="40" spans="1:30" ht="12" customHeight="1" x14ac:dyDescent="0.25">
      <c r="A40" s="104"/>
      <c r="B40" s="105"/>
      <c r="C40" s="16" t="s">
        <v>725</v>
      </c>
      <c r="D40" s="12">
        <f>SUM(D$37:D39)</f>
        <v>9.9999999999999995E-7</v>
      </c>
      <c r="E40" s="12">
        <f>SUM(E$37:E39)</f>
        <v>0</v>
      </c>
      <c r="F40" s="12">
        <f>SUM(F$37:F39)</f>
        <v>0</v>
      </c>
      <c r="G40" s="15"/>
      <c r="H40" s="15"/>
      <c r="I40" s="15"/>
      <c r="J40" s="15"/>
      <c r="K40" s="15"/>
      <c r="L40" s="22" t="s">
        <v>798</v>
      </c>
      <c r="M40" s="2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5">
        <v>0.4</v>
      </c>
      <c r="O40" s="33"/>
      <c r="P40" s="33"/>
      <c r="Q40" s="33"/>
      <c r="R40" s="33"/>
      <c r="S40" s="33"/>
      <c r="T40" s="33"/>
      <c r="U40" s="15"/>
      <c r="V40" s="15"/>
      <c r="W40" s="15"/>
      <c r="X40" s="15"/>
      <c r="Y40" s="15"/>
      <c r="Z40" s="15"/>
      <c r="AA40" s="15"/>
      <c r="AB40" s="15"/>
      <c r="AC40" s="15"/>
      <c r="AD40" s="15"/>
    </row>
    <row r="41" spans="1:30" ht="12" customHeight="1" x14ac:dyDescent="0.25">
      <c r="A41" s="104"/>
      <c r="B41" s="103" t="s">
        <v>736</v>
      </c>
      <c r="C41" s="16" t="s">
        <v>737</v>
      </c>
      <c r="D41" s="12"/>
      <c r="E41" s="12">
        <f>IF($D$46&lt;&gt;0,($D$45/$D$46)* -25456571.8465213,0)+0</f>
        <v>-10672736.968934506</v>
      </c>
      <c r="F41" s="12"/>
      <c r="G41" s="15"/>
      <c r="H41" s="15"/>
      <c r="I41" s="15"/>
      <c r="J41" s="15"/>
      <c r="K41" s="15"/>
      <c r="L41" s="15"/>
      <c r="M41" s="15"/>
      <c r="N41" s="15"/>
      <c r="O41" s="33"/>
      <c r="P41" s="33"/>
      <c r="Q41" s="33"/>
      <c r="R41" s="33"/>
      <c r="S41" s="33"/>
      <c r="T41" s="33"/>
      <c r="U41" s="15"/>
      <c r="V41" s="15"/>
      <c r="W41" s="15"/>
      <c r="X41" s="15"/>
      <c r="Y41" s="15"/>
      <c r="Z41" s="15"/>
      <c r="AA41" s="15"/>
      <c r="AB41" s="15"/>
      <c r="AC41" s="15"/>
      <c r="AD41" s="15"/>
    </row>
    <row r="42" spans="1:30" ht="12" customHeight="1" x14ac:dyDescent="0.25">
      <c r="A42" s="104"/>
      <c r="B42" s="105"/>
      <c r="C42" s="16" t="s">
        <v>725</v>
      </c>
      <c r="D42" s="12">
        <f>SUM(D$41:D41)</f>
        <v>0</v>
      </c>
      <c r="E42" s="12">
        <f>SUM(E$41:E41)</f>
        <v>-10672736.968934506</v>
      </c>
      <c r="F42" s="12">
        <f>SUM(F$41:F41)</f>
        <v>0</v>
      </c>
      <c r="G42" s="15"/>
      <c r="H42" s="15"/>
      <c r="I42" s="15"/>
      <c r="J42" s="15"/>
      <c r="K42" s="15"/>
      <c r="L42" s="15"/>
      <c r="M42" s="15"/>
      <c r="N42" s="15"/>
      <c r="O42" s="33"/>
      <c r="P42" s="33"/>
      <c r="Q42" s="33"/>
      <c r="R42" s="33"/>
      <c r="S42" s="33"/>
      <c r="T42" s="33"/>
      <c r="U42" s="15"/>
      <c r="V42" s="15"/>
      <c r="W42" s="15"/>
      <c r="X42" s="15"/>
      <c r="Y42" s="15"/>
      <c r="Z42" s="15"/>
      <c r="AA42" s="15"/>
      <c r="AB42" s="15"/>
      <c r="AC42" s="15"/>
      <c r="AD42" s="15"/>
    </row>
    <row r="43" spans="1:30" ht="12" customHeight="1" x14ac:dyDescent="0.25">
      <c r="A43" s="104"/>
      <c r="B43" s="103" t="s">
        <v>739</v>
      </c>
      <c r="C43" s="16" t="s">
        <v>752</v>
      </c>
      <c r="D43" s="12">
        <f>$M$14*$M$11</f>
        <v>2270663.9765593451</v>
      </c>
      <c r="E43" s="12">
        <f>$M$16*$M$11/$M$12</f>
        <v>-129689.4526957987</v>
      </c>
      <c r="F43" s="12">
        <f>$M$17*$M$11/$M$12</f>
        <v>377460.02687702473</v>
      </c>
      <c r="G43" s="15"/>
      <c r="H43" s="15"/>
      <c r="I43" s="15"/>
      <c r="J43" s="15"/>
      <c r="K43" s="15"/>
      <c r="L43" s="15"/>
      <c r="M43" s="15"/>
      <c r="N43" s="15"/>
      <c r="O43" s="33"/>
      <c r="P43" s="33"/>
      <c r="Q43" s="33"/>
      <c r="R43" s="33"/>
      <c r="S43" s="33"/>
      <c r="T43" s="33"/>
      <c r="U43" s="15"/>
      <c r="V43" s="15"/>
      <c r="W43" s="15"/>
      <c r="X43" s="15"/>
      <c r="Y43" s="15"/>
      <c r="Z43" s="15"/>
      <c r="AA43" s="15"/>
      <c r="AB43" s="15"/>
      <c r="AC43" s="15"/>
      <c r="AD43" s="15"/>
    </row>
    <row r="44" spans="1:30" ht="12" customHeight="1" x14ac:dyDescent="0.25">
      <c r="A44" s="104"/>
      <c r="B44" s="105"/>
      <c r="C44" s="16" t="s">
        <v>725</v>
      </c>
      <c r="D44" s="12">
        <f>SUM(D$43:D43)</f>
        <v>2270663.9765593451</v>
      </c>
      <c r="E44" s="12">
        <f>SUM(E$43:E43)</f>
        <v>-129689.4526957987</v>
      </c>
      <c r="F44" s="12">
        <f>SUM(F$43:F43)</f>
        <v>377460.02687702473</v>
      </c>
      <c r="G44" s="15"/>
      <c r="H44" s="15"/>
      <c r="I44" s="15"/>
      <c r="J44" s="15"/>
      <c r="K44" s="15"/>
      <c r="L44" s="15"/>
      <c r="M44" s="15"/>
      <c r="N44" s="15"/>
      <c r="O44" s="33"/>
      <c r="P44" s="33"/>
      <c r="Q44" s="33"/>
      <c r="R44" s="33"/>
      <c r="S44" s="33"/>
      <c r="T44" s="33"/>
      <c r="U44" s="15"/>
      <c r="V44" s="15"/>
      <c r="W44" s="15"/>
      <c r="X44" s="15"/>
      <c r="Y44" s="15"/>
      <c r="Z44" s="15"/>
      <c r="AA44" s="15"/>
      <c r="AB44" s="15"/>
      <c r="AC44" s="15"/>
      <c r="AD44" s="15"/>
    </row>
    <row r="45" spans="1:30" ht="12" customHeight="1" x14ac:dyDescent="0.25">
      <c r="A45" s="105"/>
      <c r="B45" s="99" t="s">
        <v>725</v>
      </c>
      <c r="C45" s="101"/>
      <c r="D45" s="12">
        <f>SUMIF(C$30:C44,"SUBTOTAL",D$30:D44)</f>
        <v>128968647.13110641</v>
      </c>
      <c r="E45" s="12">
        <f>SUMIF(C$30:C44,"SUBTOTAL",E$30:E44)</f>
        <v>-27730595.113657381</v>
      </c>
      <c r="F45" s="12">
        <f>SUMIF(C$30:C44,"SUBTOTAL",F$30:F44)</f>
        <v>33991064.939238615</v>
      </c>
      <c r="G45" s="15"/>
      <c r="H45" s="15"/>
      <c r="I45" s="15"/>
      <c r="J45" s="15"/>
      <c r="K45" s="15"/>
      <c r="L45" s="15"/>
      <c r="M45" s="15"/>
      <c r="N45" s="15"/>
      <c r="O45" s="33"/>
      <c r="P45" s="33"/>
      <c r="Q45" s="33"/>
      <c r="R45" s="33"/>
      <c r="S45" s="33"/>
      <c r="T45" s="33"/>
      <c r="U45" s="15"/>
      <c r="V45" s="15"/>
      <c r="W45" s="15"/>
      <c r="X45" s="15"/>
      <c r="Y45" s="15"/>
      <c r="Z45" s="15"/>
      <c r="AA45" s="15"/>
      <c r="AB45" s="15"/>
      <c r="AC45" s="15"/>
      <c r="AD45" s="15"/>
    </row>
    <row r="46" spans="1:30" ht="12" customHeight="1" x14ac:dyDescent="0.25">
      <c r="A46" s="99" t="s">
        <v>753</v>
      </c>
      <c r="B46" s="100"/>
      <c r="C46" s="101"/>
      <c r="D46" s="12">
        <f>SUMIF(C$2:C45,"SUBTOTAL",D$2:D45)</f>
        <v>307615529.28718209</v>
      </c>
      <c r="E46" s="12">
        <f>SUMIF(C$2:C45,"SUBTOTAL",E$2:E45)</f>
        <v>-44902894.607510984</v>
      </c>
      <c r="F46" s="12">
        <f>SUMIF(C$2:C45,"SUBTOTAL",F$2:F45)</f>
        <v>37101489.14627482</v>
      </c>
      <c r="G46" s="15"/>
      <c r="H46" s="15">
        <f>E46+F46</f>
        <v>-7801405.461236164</v>
      </c>
      <c r="I46" s="15"/>
      <c r="J46" s="15"/>
      <c r="K46" s="15"/>
      <c r="L46" s="15"/>
      <c r="M46" s="15"/>
      <c r="N46" s="15"/>
      <c r="O46" s="33"/>
      <c r="P46" s="33"/>
      <c r="Q46" s="33"/>
      <c r="R46" s="33"/>
      <c r="S46" s="33"/>
      <c r="T46" s="33"/>
      <c r="U46" s="15"/>
      <c r="V46" s="15"/>
      <c r="W46" s="15"/>
      <c r="X46" s="15"/>
      <c r="Y46" s="15"/>
      <c r="Z46" s="15"/>
      <c r="AA46" s="15"/>
      <c r="AB46" s="15"/>
      <c r="AC46" s="15"/>
      <c r="AD46" s="15"/>
    </row>
    <row r="47" spans="1:30" ht="12" customHeight="1" x14ac:dyDescent="0.25">
      <c r="A47" s="97" t="s">
        <v>845</v>
      </c>
      <c r="B47" s="98"/>
      <c r="C47" s="98"/>
      <c r="D47" s="26">
        <f ca="1">'TUSD BE'!$AM$63+'TUSD BE'!$AM$67+'TE BE'!$AA$46</f>
        <v>307615529.28718215</v>
      </c>
      <c r="E47" s="26">
        <f ca="1">'TUSD BF'!$AM$63+'TE BF'!$AA$46</f>
        <v>-44902894.607510984</v>
      </c>
      <c r="F47" s="26">
        <f ca="1">'TUSD CVA'!$AM$63+'TE CVA'!$AA$46</f>
        <v>37101489.14627482</v>
      </c>
      <c r="H47" s="49">
        <f ca="1">D47+E47+F47</f>
        <v>299814123.82594597</v>
      </c>
      <c r="L47" s="9"/>
      <c r="M47" s="15"/>
      <c r="O47" s="33"/>
      <c r="P47" s="33"/>
      <c r="Q47" s="33"/>
      <c r="R47" s="33"/>
      <c r="S47" s="33"/>
      <c r="T47" s="33"/>
    </row>
    <row r="48" spans="1:30" ht="12" customHeight="1" x14ac:dyDescent="0.25">
      <c r="A48" s="97" t="s">
        <v>846</v>
      </c>
      <c r="B48" s="98"/>
      <c r="C48" s="98"/>
      <c r="D48" s="27" t="str">
        <f ca="1">IF(ABS(D47-D46)&gt;1,"ERRO","OK")</f>
        <v>OK</v>
      </c>
      <c r="E48" s="27" t="str">
        <f ca="1">IF(ABS(E47-E46)&gt;1,"ERRO","OK")</f>
        <v>OK</v>
      </c>
      <c r="F48" s="27" t="str">
        <f ca="1">IF(ABS(F47-F46)&gt;1,"ERRO","OK")</f>
        <v>OK</v>
      </c>
      <c r="L48" s="75"/>
      <c r="M48" s="22"/>
      <c r="O48" s="33"/>
      <c r="P48" s="33"/>
      <c r="Q48" s="33"/>
      <c r="R48" s="33"/>
      <c r="S48" s="33"/>
      <c r="T48" s="33"/>
    </row>
    <row r="49" spans="4:20" ht="12" customHeight="1" x14ac:dyDescent="0.25">
      <c r="D49"/>
      <c r="E49"/>
      <c r="F49"/>
      <c r="L49" s="75"/>
      <c r="M49" s="22"/>
      <c r="O49" s="33"/>
      <c r="P49" s="33"/>
      <c r="Q49" s="33"/>
      <c r="R49" s="33"/>
      <c r="S49" s="33"/>
      <c r="T49" s="33"/>
    </row>
    <row r="50" spans="4:20" ht="12" customHeight="1" x14ac:dyDescent="0.25">
      <c r="D50" s="12">
        <v>307615529.28718108</v>
      </c>
      <c r="E50" s="12">
        <f>+E46+F46</f>
        <v>-7801405.461236164</v>
      </c>
      <c r="F50" s="12">
        <f>+-8213709.0624291/(1+M6)</f>
        <v>-7801405.4612361798</v>
      </c>
      <c r="G50" s="14" t="s">
        <v>1373</v>
      </c>
      <c r="H50" s="51">
        <v>5.284991316520915E-2</v>
      </c>
      <c r="J50" s="50" t="s">
        <v>1376</v>
      </c>
      <c r="L50" s="75"/>
      <c r="M50" s="22"/>
      <c r="O50" s="33"/>
      <c r="P50" s="33"/>
      <c r="Q50" s="33"/>
      <c r="R50" s="33"/>
      <c r="S50" s="33"/>
      <c r="T50" s="33"/>
    </row>
    <row r="51" spans="4:20" ht="12" customHeight="1" x14ac:dyDescent="0.25">
      <c r="G51" s="14" t="s">
        <v>1374</v>
      </c>
      <c r="H51" s="52">
        <v>9161587.2456647996</v>
      </c>
      <c r="J51" s="53">
        <f>H51/(1+H50)</f>
        <v>8701702.9978395402</v>
      </c>
      <c r="L51" s="40" t="s">
        <v>799</v>
      </c>
      <c r="M51" s="46">
        <v>0</v>
      </c>
      <c r="O51" s="33"/>
      <c r="P51" s="33"/>
      <c r="Q51" s="33"/>
      <c r="R51" s="33"/>
      <c r="S51" s="33"/>
      <c r="T51" s="33"/>
    </row>
    <row r="52" spans="4:20" ht="12" customHeight="1" x14ac:dyDescent="0.25">
      <c r="J52" s="54">
        <f>H46-J51</f>
        <v>-16503108.459075704</v>
      </c>
      <c r="O52" s="33"/>
      <c r="P52" s="33"/>
      <c r="Q52" s="33"/>
      <c r="R52" s="33"/>
      <c r="S52" s="33"/>
      <c r="T52" s="33"/>
    </row>
    <row r="53" spans="4:20" ht="12" customHeight="1" x14ac:dyDescent="0.25">
      <c r="O53" s="33"/>
      <c r="P53" s="33"/>
      <c r="Q53" s="33"/>
      <c r="R53" s="33"/>
      <c r="S53" s="33"/>
      <c r="T53" s="33"/>
    </row>
    <row r="54" spans="4:20" ht="12" customHeight="1" x14ac:dyDescent="0.25">
      <c r="G54" s="14" t="s">
        <v>1375</v>
      </c>
      <c r="H54" s="54">
        <f>H51-H46</f>
        <v>16962992.706900962</v>
      </c>
      <c r="O54" s="33"/>
      <c r="P54" s="33"/>
      <c r="Q54" s="33"/>
      <c r="R54" s="33"/>
      <c r="S54" s="33"/>
      <c r="T54" s="33"/>
    </row>
    <row r="55" spans="4:20" ht="12" customHeight="1" x14ac:dyDescent="0.25">
      <c r="O55" s="33"/>
      <c r="P55" s="33"/>
      <c r="Q55" s="33"/>
      <c r="R55" s="33"/>
      <c r="S55" s="33"/>
      <c r="T55" s="33"/>
    </row>
    <row r="56" spans="4:20" ht="12" customHeight="1" x14ac:dyDescent="0.25">
      <c r="O56" s="33"/>
      <c r="P56" s="33"/>
      <c r="Q56" s="33"/>
      <c r="R56" s="33"/>
      <c r="S56" s="33"/>
      <c r="T56" s="33"/>
    </row>
    <row r="57" spans="4:20" ht="12" customHeight="1" x14ac:dyDescent="0.25">
      <c r="O57" s="33"/>
      <c r="P57" s="33"/>
      <c r="Q57" s="33"/>
      <c r="R57" s="33"/>
      <c r="S57" s="33"/>
      <c r="T57" s="33"/>
    </row>
    <row r="58" spans="4:20" ht="12" customHeight="1" x14ac:dyDescent="0.25">
      <c r="O58" s="33"/>
      <c r="P58" s="33"/>
      <c r="Q58" s="33"/>
      <c r="R58" s="33"/>
      <c r="S58" s="33"/>
      <c r="T58" s="33"/>
    </row>
    <row r="59" spans="4:20" ht="12" customHeight="1" x14ac:dyDescent="0.25">
      <c r="O59" s="33"/>
      <c r="P59" s="33"/>
      <c r="Q59" s="33"/>
      <c r="R59" s="33"/>
      <c r="S59" s="33"/>
      <c r="T59" s="33"/>
    </row>
    <row r="60" spans="4:20" ht="12" customHeight="1" x14ac:dyDescent="0.25">
      <c r="O60" s="33"/>
      <c r="P60" s="33"/>
      <c r="Q60" s="33"/>
      <c r="R60" s="33"/>
      <c r="S60" s="33"/>
      <c r="T60" s="33"/>
    </row>
    <row r="61" spans="4:20" ht="12" customHeight="1" x14ac:dyDescent="0.25">
      <c r="O61" s="33"/>
      <c r="P61" s="33"/>
      <c r="Q61" s="33"/>
      <c r="R61" s="33"/>
      <c r="S61" s="33"/>
      <c r="T61" s="33"/>
    </row>
    <row r="62" spans="4:20" ht="12" customHeight="1" x14ac:dyDescent="0.25">
      <c r="O62" s="33"/>
      <c r="P62" s="33"/>
      <c r="Q62" s="33"/>
      <c r="R62" s="33"/>
      <c r="S62" s="33"/>
      <c r="T62" s="33"/>
    </row>
    <row r="63" spans="4:20" ht="12" customHeight="1" x14ac:dyDescent="0.25">
      <c r="O63" s="33"/>
      <c r="P63" s="33"/>
      <c r="Q63" s="33"/>
      <c r="R63" s="33"/>
      <c r="S63" s="33"/>
      <c r="T63" s="33"/>
    </row>
    <row r="64" spans="4:20" ht="12" customHeight="1" x14ac:dyDescent="0.25">
      <c r="O64" s="33"/>
      <c r="P64" s="33"/>
      <c r="Q64" s="33"/>
      <c r="R64" s="33"/>
      <c r="S64" s="33"/>
      <c r="T64" s="33"/>
    </row>
    <row r="65" spans="15:20" ht="12" customHeight="1" x14ac:dyDescent="0.25">
      <c r="O65" s="33"/>
      <c r="P65" s="33"/>
      <c r="Q65" s="33"/>
      <c r="R65" s="33"/>
      <c r="S65" s="33"/>
      <c r="T65" s="33"/>
    </row>
    <row r="66" spans="15:20" ht="12" customHeight="1" x14ac:dyDescent="0.25">
      <c r="O66" s="33"/>
      <c r="P66" s="33"/>
      <c r="Q66" s="33"/>
      <c r="R66" s="33"/>
      <c r="S66" s="33"/>
      <c r="T66" s="33"/>
    </row>
    <row r="67" spans="15:20" ht="12" customHeight="1" x14ac:dyDescent="0.25">
      <c r="O67" s="33"/>
      <c r="P67" s="33"/>
      <c r="Q67" s="33"/>
      <c r="R67" s="33"/>
      <c r="S67" s="33"/>
      <c r="T67" s="33"/>
    </row>
    <row r="68" spans="15:20" ht="12" customHeight="1" x14ac:dyDescent="0.25">
      <c r="O68" s="33"/>
      <c r="P68" s="33"/>
      <c r="Q68" s="33"/>
      <c r="R68" s="33"/>
      <c r="S68" s="33"/>
      <c r="T68" s="33"/>
    </row>
    <row r="69" spans="15:20" ht="12" customHeight="1" x14ac:dyDescent="0.25">
      <c r="O69" s="33"/>
      <c r="P69" s="33"/>
      <c r="Q69" s="33"/>
      <c r="R69" s="33"/>
      <c r="S69" s="33"/>
      <c r="T69" s="33"/>
    </row>
    <row r="70" spans="15:20" ht="12" customHeight="1" x14ac:dyDescent="0.25">
      <c r="O70" s="33"/>
      <c r="P70" s="33"/>
      <c r="Q70" s="33"/>
      <c r="R70" s="33"/>
      <c r="S70" s="33"/>
      <c r="T70" s="33"/>
    </row>
    <row r="71" spans="15:20" ht="12" customHeight="1" x14ac:dyDescent="0.25">
      <c r="O71" s="33"/>
      <c r="P71" s="33"/>
      <c r="Q71" s="33"/>
      <c r="R71" s="33"/>
      <c r="S71" s="33"/>
      <c r="T71" s="33"/>
    </row>
    <row r="72" spans="15:20" ht="12" customHeight="1" x14ac:dyDescent="0.25">
      <c r="O72" s="33"/>
      <c r="P72" s="33"/>
      <c r="Q72" s="33"/>
      <c r="R72" s="33"/>
      <c r="S72" s="33"/>
      <c r="T72" s="33"/>
    </row>
    <row r="73" spans="15:20" ht="12" customHeight="1" x14ac:dyDescent="0.25">
      <c r="O73" s="33"/>
      <c r="P73" s="33"/>
      <c r="Q73" s="33"/>
      <c r="R73" s="33"/>
      <c r="S73" s="33"/>
      <c r="T73" s="33"/>
    </row>
    <row r="74" spans="15:20" ht="12" customHeight="1" x14ac:dyDescent="0.25">
      <c r="O74" s="33"/>
      <c r="P74" s="33"/>
      <c r="Q74" s="33"/>
      <c r="R74" s="33"/>
      <c r="S74" s="33"/>
      <c r="T74" s="33"/>
    </row>
    <row r="75" spans="15:20" ht="12" customHeight="1" x14ac:dyDescent="0.25">
      <c r="O75" s="33"/>
      <c r="P75" s="33"/>
      <c r="Q75" s="33"/>
      <c r="R75" s="33"/>
      <c r="S75" s="33"/>
      <c r="T75" s="33"/>
    </row>
    <row r="76" spans="15:20" ht="12" customHeight="1" x14ac:dyDescent="0.25">
      <c r="O76" s="33"/>
      <c r="P76" s="33"/>
      <c r="Q76" s="33"/>
      <c r="R76" s="33"/>
      <c r="S76" s="33"/>
      <c r="T76" s="33"/>
    </row>
    <row r="77" spans="15:20" ht="12" customHeight="1" x14ac:dyDescent="0.25">
      <c r="O77" s="33"/>
      <c r="P77" s="33"/>
      <c r="Q77" s="33"/>
      <c r="R77" s="33"/>
      <c r="S77" s="33"/>
      <c r="T77" s="33"/>
    </row>
    <row r="78" spans="15:20" ht="12" customHeight="1" x14ac:dyDescent="0.25">
      <c r="O78" s="33"/>
      <c r="P78" s="33"/>
      <c r="Q78" s="33"/>
      <c r="R78" s="33"/>
      <c r="S78" s="33"/>
      <c r="T78" s="33"/>
    </row>
    <row r="79" spans="15:20" ht="12" customHeight="1" x14ac:dyDescent="0.25">
      <c r="O79" s="33"/>
      <c r="P79" s="33"/>
      <c r="Q79" s="33"/>
      <c r="R79" s="33"/>
      <c r="S79" s="33"/>
      <c r="T79" s="33"/>
    </row>
    <row r="80" spans="15:20" ht="12" customHeight="1" x14ac:dyDescent="0.25">
      <c r="O80" s="33"/>
      <c r="P80" s="33"/>
      <c r="Q80" s="33"/>
      <c r="R80" s="33"/>
      <c r="S80" s="33"/>
      <c r="T80" s="33"/>
    </row>
    <row r="81" spans="15:20" ht="12" customHeight="1" x14ac:dyDescent="0.25">
      <c r="O81" s="33"/>
      <c r="P81" s="33"/>
      <c r="Q81" s="33"/>
      <c r="R81" s="33"/>
      <c r="S81" s="33"/>
      <c r="T81" s="33"/>
    </row>
    <row r="82" spans="15:20" ht="12" customHeight="1" x14ac:dyDescent="0.25">
      <c r="O82" s="33"/>
      <c r="P82" s="33"/>
      <c r="Q82" s="33"/>
      <c r="R82" s="33"/>
      <c r="S82" s="33"/>
      <c r="T82" s="33"/>
    </row>
    <row r="83" spans="15:20" ht="12" customHeight="1" x14ac:dyDescent="0.25">
      <c r="O83" s="33"/>
      <c r="P83" s="33"/>
      <c r="Q83" s="33"/>
      <c r="R83" s="33"/>
      <c r="S83" s="33"/>
      <c r="T83" s="33"/>
    </row>
    <row r="84" spans="15:20" ht="12" customHeight="1" x14ac:dyDescent="0.25">
      <c r="O84" s="33"/>
      <c r="P84" s="33"/>
      <c r="Q84" s="33"/>
      <c r="R84" s="33"/>
      <c r="S84" s="33"/>
      <c r="T84" s="33"/>
    </row>
    <row r="85" spans="15:20" ht="12" customHeight="1" x14ac:dyDescent="0.25">
      <c r="O85" s="33"/>
      <c r="P85" s="33"/>
      <c r="Q85" s="33"/>
      <c r="R85" s="33"/>
      <c r="S85" s="33"/>
      <c r="T85" s="33"/>
    </row>
    <row r="86" spans="15:20" ht="12" customHeight="1" x14ac:dyDescent="0.25">
      <c r="O86" s="33"/>
      <c r="P86" s="33"/>
      <c r="Q86" s="33"/>
      <c r="R86" s="33"/>
      <c r="S86" s="33"/>
      <c r="T86" s="33"/>
    </row>
    <row r="87" spans="15:20" ht="12" customHeight="1" x14ac:dyDescent="0.25">
      <c r="O87" s="33"/>
      <c r="P87" s="33"/>
      <c r="Q87" s="33"/>
      <c r="R87" s="33"/>
      <c r="S87" s="33"/>
      <c r="T87" s="33"/>
    </row>
    <row r="88" spans="15:20" ht="12" customHeight="1" x14ac:dyDescent="0.25">
      <c r="O88" s="33"/>
      <c r="P88" s="33"/>
      <c r="Q88" s="33"/>
      <c r="R88" s="33"/>
      <c r="S88" s="33"/>
      <c r="T88" s="33"/>
    </row>
    <row r="89" spans="15:20" ht="12" customHeight="1" x14ac:dyDescent="0.25">
      <c r="O89" s="33"/>
      <c r="P89" s="33"/>
      <c r="Q89" s="33"/>
      <c r="R89" s="33"/>
      <c r="S89" s="33"/>
      <c r="T89" s="33"/>
    </row>
    <row r="90" spans="15:20" ht="12" customHeight="1" x14ac:dyDescent="0.25">
      <c r="O90" s="33"/>
      <c r="P90" s="33"/>
      <c r="Q90" s="33"/>
      <c r="R90" s="33"/>
      <c r="S90" s="33"/>
      <c r="T90" s="33"/>
    </row>
    <row r="91" spans="15:20" ht="12" customHeight="1" x14ac:dyDescent="0.25">
      <c r="O91" s="33"/>
      <c r="P91" s="33"/>
      <c r="Q91" s="33"/>
      <c r="R91" s="33"/>
      <c r="S91" s="33"/>
      <c r="T91" s="33"/>
    </row>
    <row r="92" spans="15:20" ht="12" customHeight="1" x14ac:dyDescent="0.25">
      <c r="O92" s="33"/>
      <c r="P92" s="33"/>
      <c r="Q92" s="33"/>
      <c r="R92" s="33"/>
      <c r="S92" s="33"/>
      <c r="T92" s="33"/>
    </row>
    <row r="93" spans="15:20" ht="12" customHeight="1" x14ac:dyDescent="0.25">
      <c r="O93" s="33"/>
      <c r="P93" s="33"/>
      <c r="Q93" s="33"/>
      <c r="R93" s="33"/>
      <c r="S93" s="33"/>
      <c r="T93" s="33"/>
    </row>
    <row r="94" spans="15:20" ht="12" customHeight="1" x14ac:dyDescent="0.25">
      <c r="O94" s="33"/>
      <c r="P94" s="33"/>
      <c r="Q94" s="33"/>
      <c r="R94" s="33"/>
      <c r="S94" s="33"/>
      <c r="T94" s="33"/>
    </row>
    <row r="95" spans="15:20" ht="12" customHeight="1" x14ac:dyDescent="0.25">
      <c r="O95" s="33"/>
      <c r="P95" s="33"/>
      <c r="Q95" s="33"/>
      <c r="R95" s="33"/>
      <c r="S95" s="33"/>
      <c r="T95" s="33"/>
    </row>
    <row r="96" spans="15:20" ht="12" customHeight="1" x14ac:dyDescent="0.25">
      <c r="O96" s="33"/>
      <c r="P96" s="33"/>
      <c r="Q96" s="33"/>
      <c r="R96" s="33"/>
      <c r="S96" s="33"/>
      <c r="T96" s="33"/>
    </row>
    <row r="97" spans="15:30" ht="12" customHeight="1" x14ac:dyDescent="0.25">
      <c r="O97" s="33"/>
      <c r="P97" s="33"/>
      <c r="Q97" s="33"/>
      <c r="R97" s="33"/>
      <c r="S97" s="33"/>
      <c r="T97" s="33"/>
    </row>
    <row r="98" spans="15:30" ht="12" customHeight="1" x14ac:dyDescent="0.25">
      <c r="O98" s="33"/>
      <c r="P98" s="33"/>
      <c r="Q98" s="33"/>
      <c r="R98" s="33"/>
      <c r="S98" s="33"/>
      <c r="T98" s="33"/>
    </row>
    <row r="99" spans="15:30" ht="12" customHeight="1" x14ac:dyDescent="0.25">
      <c r="O99" s="32"/>
      <c r="P99" s="32"/>
      <c r="Q99" s="32"/>
      <c r="R99" s="32"/>
      <c r="S99" s="32"/>
      <c r="T99" s="32"/>
    </row>
    <row r="100" spans="15:30" ht="12" customHeight="1" x14ac:dyDescent="0.25"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</row>
    <row r="101" spans="15:30" ht="12" customHeight="1" x14ac:dyDescent="0.25">
      <c r="O101" s="33" t="s">
        <v>869</v>
      </c>
      <c r="P101" s="33" t="s">
        <v>874</v>
      </c>
      <c r="Q101" s="33" t="s">
        <v>875</v>
      </c>
      <c r="R101" s="33" t="s">
        <v>876</v>
      </c>
      <c r="S101" s="33" t="s">
        <v>877</v>
      </c>
      <c r="T101" s="33" t="s">
        <v>878</v>
      </c>
      <c r="U101" s="33" t="s">
        <v>879</v>
      </c>
      <c r="V101" s="33" t="s">
        <v>880</v>
      </c>
      <c r="W101" s="33"/>
      <c r="X101" s="33"/>
      <c r="Y101" s="33"/>
      <c r="Z101" s="33"/>
      <c r="AA101" s="33"/>
      <c r="AB101" s="33"/>
      <c r="AC101" s="33"/>
      <c r="AD101" s="33"/>
    </row>
    <row r="102" spans="15:30" ht="12" customHeight="1" x14ac:dyDescent="0.25">
      <c r="O102" s="33" t="s">
        <v>38</v>
      </c>
      <c r="P102" s="33" t="s">
        <v>40</v>
      </c>
      <c r="Q102" s="33" t="s">
        <v>39</v>
      </c>
      <c r="R102" s="33" t="s">
        <v>44</v>
      </c>
      <c r="S102" s="33" t="s">
        <v>94</v>
      </c>
      <c r="T102" s="33" t="s">
        <v>881</v>
      </c>
      <c r="U102" s="33">
        <v>4</v>
      </c>
      <c r="V102" s="33">
        <v>0.3</v>
      </c>
      <c r="W102" s="33">
        <v>0.24</v>
      </c>
      <c r="X102" s="33">
        <v>0.18</v>
      </c>
      <c r="Y102" s="33">
        <v>0.12</v>
      </c>
      <c r="Z102" s="33">
        <v>0.06</v>
      </c>
      <c r="AA102" s="33">
        <v>0</v>
      </c>
      <c r="AB102" s="33"/>
      <c r="AC102" s="33"/>
      <c r="AD102" s="33"/>
    </row>
    <row r="103" spans="15:30" ht="12" customHeight="1" x14ac:dyDescent="0.25">
      <c r="O103" s="33" t="s">
        <v>38</v>
      </c>
      <c r="P103" s="33" t="s">
        <v>40</v>
      </c>
      <c r="Q103" s="33" t="s">
        <v>39</v>
      </c>
      <c r="R103" s="33" t="s">
        <v>44</v>
      </c>
      <c r="S103" s="33" t="s">
        <v>25</v>
      </c>
      <c r="T103" s="33" t="s">
        <v>881</v>
      </c>
      <c r="U103" s="33">
        <v>4</v>
      </c>
      <c r="V103" s="33">
        <v>0.1</v>
      </c>
      <c r="W103" s="33">
        <v>0.08</v>
      </c>
      <c r="X103" s="33">
        <v>0.06</v>
      </c>
      <c r="Y103" s="33">
        <v>0.04</v>
      </c>
      <c r="Z103" s="33">
        <v>0.02</v>
      </c>
      <c r="AA103" s="33">
        <v>0</v>
      </c>
      <c r="AB103" s="33"/>
      <c r="AC103" s="33"/>
      <c r="AD103" s="33"/>
    </row>
    <row r="104" spans="15:30" ht="12" customHeight="1" x14ac:dyDescent="0.25">
      <c r="O104" s="33" t="s">
        <v>38</v>
      </c>
      <c r="P104" s="33" t="s">
        <v>40</v>
      </c>
      <c r="Q104" s="33" t="s">
        <v>39</v>
      </c>
      <c r="R104" s="33" t="s">
        <v>49</v>
      </c>
      <c r="S104" s="33" t="s">
        <v>50</v>
      </c>
      <c r="T104" s="33" t="s">
        <v>881</v>
      </c>
      <c r="U104" s="33">
        <v>4</v>
      </c>
      <c r="V104" s="33">
        <v>0.15</v>
      </c>
      <c r="W104" s="33">
        <v>0.12</v>
      </c>
      <c r="X104" s="33">
        <v>0.09</v>
      </c>
      <c r="Y104" s="33">
        <v>0.06</v>
      </c>
      <c r="Z104" s="33">
        <v>0.03</v>
      </c>
      <c r="AA104" s="33">
        <v>0</v>
      </c>
      <c r="AB104" s="33"/>
      <c r="AC104" s="33"/>
      <c r="AD104" s="33"/>
    </row>
    <row r="105" spans="15:30" ht="12" customHeight="1" x14ac:dyDescent="0.25">
      <c r="O105" s="33" t="s">
        <v>38</v>
      </c>
      <c r="P105" s="33" t="s">
        <v>33</v>
      </c>
      <c r="Q105" s="33" t="s">
        <v>43</v>
      </c>
      <c r="R105" s="33" t="s">
        <v>44</v>
      </c>
      <c r="S105" s="33" t="s">
        <v>94</v>
      </c>
      <c r="T105" s="33" t="s">
        <v>881</v>
      </c>
      <c r="U105" s="33">
        <v>4</v>
      </c>
      <c r="V105" s="33">
        <v>0.3</v>
      </c>
      <c r="W105" s="33">
        <v>0.24</v>
      </c>
      <c r="X105" s="33">
        <v>0.18</v>
      </c>
      <c r="Y105" s="33">
        <v>0.12</v>
      </c>
      <c r="Z105" s="33">
        <v>0.06</v>
      </c>
      <c r="AA105" s="33">
        <v>0</v>
      </c>
      <c r="AB105" s="33"/>
      <c r="AC105" s="33"/>
      <c r="AD105" s="33"/>
    </row>
    <row r="106" spans="15:30" ht="12" customHeight="1" x14ac:dyDescent="0.25">
      <c r="O106" s="33" t="s">
        <v>38</v>
      </c>
      <c r="P106" s="33" t="s">
        <v>33</v>
      </c>
      <c r="Q106" s="33" t="s">
        <v>43</v>
      </c>
      <c r="R106" s="33" t="s">
        <v>44</v>
      </c>
      <c r="S106" s="33" t="s">
        <v>25</v>
      </c>
      <c r="T106" s="33" t="s">
        <v>44</v>
      </c>
      <c r="U106" s="33">
        <v>4</v>
      </c>
      <c r="V106" s="33">
        <v>0.3</v>
      </c>
      <c r="W106" s="33">
        <v>0.24</v>
      </c>
      <c r="X106" s="33">
        <v>0.18</v>
      </c>
      <c r="Y106" s="33">
        <v>0.12</v>
      </c>
      <c r="Z106" s="33">
        <v>0.06</v>
      </c>
      <c r="AA106" s="33">
        <v>0</v>
      </c>
      <c r="AB106" s="33"/>
      <c r="AC106" s="33"/>
      <c r="AD106" s="33"/>
    </row>
    <row r="107" spans="15:30" ht="12" customHeight="1" x14ac:dyDescent="0.25">
      <c r="O107" s="33" t="s">
        <v>38</v>
      </c>
      <c r="P107" s="33" t="s">
        <v>33</v>
      </c>
      <c r="Q107" s="33" t="s">
        <v>43</v>
      </c>
      <c r="R107" s="33" t="s">
        <v>44</v>
      </c>
      <c r="S107" s="33" t="s">
        <v>95</v>
      </c>
      <c r="T107" s="33" t="s">
        <v>881</v>
      </c>
      <c r="U107" s="33">
        <v>4</v>
      </c>
      <c r="V107" s="33">
        <v>0.4</v>
      </c>
      <c r="W107" s="33">
        <v>0.32</v>
      </c>
      <c r="X107" s="33">
        <v>0.24</v>
      </c>
      <c r="Y107" s="33">
        <v>0.16</v>
      </c>
      <c r="Z107" s="33">
        <v>0.08</v>
      </c>
      <c r="AA107" s="33">
        <v>0</v>
      </c>
      <c r="AB107" s="33"/>
      <c r="AC107" s="33"/>
      <c r="AD107" s="33"/>
    </row>
    <row r="108" spans="15:30" ht="12" customHeight="1" x14ac:dyDescent="0.25">
      <c r="O108" s="33" t="s">
        <v>38</v>
      </c>
      <c r="P108" s="33" t="s">
        <v>33</v>
      </c>
      <c r="Q108" s="33" t="s">
        <v>37</v>
      </c>
      <c r="R108" s="33" t="s">
        <v>49</v>
      </c>
      <c r="S108" s="33" t="s">
        <v>50</v>
      </c>
      <c r="T108" s="33" t="s">
        <v>881</v>
      </c>
      <c r="U108" s="33">
        <v>4</v>
      </c>
      <c r="V108" s="33">
        <v>0.15</v>
      </c>
      <c r="W108" s="33">
        <v>0.12</v>
      </c>
      <c r="X108" s="33">
        <v>0.09</v>
      </c>
      <c r="Y108" s="33">
        <v>0.06</v>
      </c>
      <c r="Z108" s="33">
        <v>0.03</v>
      </c>
      <c r="AA108" s="33">
        <v>0</v>
      </c>
      <c r="AB108" s="33"/>
      <c r="AC108" s="33"/>
      <c r="AD108" s="33"/>
    </row>
    <row r="109" spans="15:30" ht="12" customHeight="1" x14ac:dyDescent="0.25">
      <c r="O109" s="33" t="s">
        <v>38</v>
      </c>
      <c r="P109" s="33" t="s">
        <v>23</v>
      </c>
      <c r="Q109" s="33" t="s">
        <v>43</v>
      </c>
      <c r="R109" s="33" t="s">
        <v>44</v>
      </c>
      <c r="S109" s="33" t="s">
        <v>94</v>
      </c>
      <c r="T109" s="33" t="s">
        <v>881</v>
      </c>
      <c r="U109" s="33">
        <v>4</v>
      </c>
      <c r="V109" s="33">
        <v>0.3</v>
      </c>
      <c r="W109" s="33">
        <v>0.24</v>
      </c>
      <c r="X109" s="33">
        <v>0.18</v>
      </c>
      <c r="Y109" s="33">
        <v>0.12</v>
      </c>
      <c r="Z109" s="33">
        <v>0.06</v>
      </c>
      <c r="AA109" s="33">
        <v>0</v>
      </c>
      <c r="AB109" s="33"/>
      <c r="AC109" s="33"/>
      <c r="AD109" s="33"/>
    </row>
    <row r="110" spans="15:30" ht="12" customHeight="1" x14ac:dyDescent="0.25">
      <c r="O110" s="33" t="s">
        <v>38</v>
      </c>
      <c r="P110" s="33" t="s">
        <v>23</v>
      </c>
      <c r="Q110" s="33" t="s">
        <v>43</v>
      </c>
      <c r="R110" s="33" t="s">
        <v>44</v>
      </c>
      <c r="S110" s="33" t="s">
        <v>25</v>
      </c>
      <c r="T110" s="33" t="s">
        <v>44</v>
      </c>
      <c r="U110" s="33">
        <v>4</v>
      </c>
      <c r="V110" s="33">
        <v>0.3</v>
      </c>
      <c r="W110" s="33">
        <v>0.24</v>
      </c>
      <c r="X110" s="33">
        <v>0.18</v>
      </c>
      <c r="Y110" s="33">
        <v>0.12</v>
      </c>
      <c r="Z110" s="33">
        <v>0.06</v>
      </c>
      <c r="AA110" s="33">
        <v>0</v>
      </c>
      <c r="AB110" s="33"/>
      <c r="AC110" s="33"/>
      <c r="AD110" s="33"/>
    </row>
    <row r="111" spans="15:30" ht="12" customHeight="1" x14ac:dyDescent="0.25">
      <c r="O111" s="33" t="s">
        <v>38</v>
      </c>
      <c r="P111" s="33" t="s">
        <v>23</v>
      </c>
      <c r="Q111" s="33" t="s">
        <v>43</v>
      </c>
      <c r="R111" s="33" t="s">
        <v>44</v>
      </c>
      <c r="S111" s="33" t="s">
        <v>95</v>
      </c>
      <c r="T111" s="33" t="s">
        <v>881</v>
      </c>
      <c r="U111" s="33">
        <v>4</v>
      </c>
      <c r="V111" s="33">
        <v>0.4</v>
      </c>
      <c r="W111" s="33">
        <v>0.32</v>
      </c>
      <c r="X111" s="33">
        <v>0.24</v>
      </c>
      <c r="Y111" s="33">
        <v>0.16</v>
      </c>
      <c r="Z111" s="33">
        <v>0.08</v>
      </c>
      <c r="AA111" s="33">
        <v>0</v>
      </c>
      <c r="AB111" s="33"/>
      <c r="AC111" s="33"/>
      <c r="AD111" s="33"/>
    </row>
    <row r="112" spans="15:30" ht="12" customHeight="1" x14ac:dyDescent="0.25">
      <c r="O112" s="33" t="s">
        <v>38</v>
      </c>
      <c r="P112" s="33" t="s">
        <v>23</v>
      </c>
      <c r="Q112" s="33" t="s">
        <v>37</v>
      </c>
      <c r="R112" s="33" t="s">
        <v>49</v>
      </c>
      <c r="S112" s="33" t="s">
        <v>50</v>
      </c>
      <c r="T112" s="33" t="s">
        <v>881</v>
      </c>
      <c r="U112" s="33">
        <v>4</v>
      </c>
      <c r="V112" s="33">
        <v>0.15</v>
      </c>
      <c r="W112" s="33">
        <v>0.12</v>
      </c>
      <c r="X112" s="33">
        <v>0.09</v>
      </c>
      <c r="Y112" s="33">
        <v>0.06</v>
      </c>
      <c r="Z112" s="33">
        <v>0.03</v>
      </c>
      <c r="AA112" s="33">
        <v>0</v>
      </c>
      <c r="AB112" s="33"/>
      <c r="AC112" s="33"/>
      <c r="AD112" s="33"/>
    </row>
    <row r="113" spans="15:30" ht="12" customHeight="1" x14ac:dyDescent="0.25">
      <c r="O113" s="33" t="s">
        <v>38</v>
      </c>
      <c r="P113" s="33" t="s">
        <v>41</v>
      </c>
      <c r="Q113" s="33" t="s">
        <v>39</v>
      </c>
      <c r="R113" s="33" t="s">
        <v>44</v>
      </c>
      <c r="S113" s="33" t="s">
        <v>94</v>
      </c>
      <c r="T113" s="33" t="s">
        <v>881</v>
      </c>
      <c r="U113" s="33">
        <v>4</v>
      </c>
      <c r="V113" s="33">
        <v>0.3</v>
      </c>
      <c r="W113" s="33">
        <v>0.24</v>
      </c>
      <c r="X113" s="33">
        <v>0.18</v>
      </c>
      <c r="Y113" s="33">
        <v>0.12</v>
      </c>
      <c r="Z113" s="33">
        <v>0.06</v>
      </c>
      <c r="AA113" s="33">
        <v>0</v>
      </c>
      <c r="AB113" s="33"/>
      <c r="AC113" s="33"/>
      <c r="AD113" s="33"/>
    </row>
    <row r="114" spans="15:30" ht="12" customHeight="1" x14ac:dyDescent="0.25">
      <c r="O114" s="33" t="s">
        <v>38</v>
      </c>
      <c r="P114" s="33" t="s">
        <v>41</v>
      </c>
      <c r="Q114" s="33" t="s">
        <v>39</v>
      </c>
      <c r="R114" s="33" t="s">
        <v>44</v>
      </c>
      <c r="S114" s="33" t="s">
        <v>25</v>
      </c>
      <c r="T114" s="33" t="s">
        <v>881</v>
      </c>
      <c r="U114" s="33">
        <v>4</v>
      </c>
      <c r="V114" s="33">
        <v>0.1</v>
      </c>
      <c r="W114" s="33">
        <v>0.08</v>
      </c>
      <c r="X114" s="33">
        <v>0.06</v>
      </c>
      <c r="Y114" s="33">
        <v>0.04</v>
      </c>
      <c r="Z114" s="33">
        <v>0.02</v>
      </c>
      <c r="AA114" s="33">
        <v>0</v>
      </c>
      <c r="AB114" s="33"/>
      <c r="AC114" s="33"/>
      <c r="AD114" s="33"/>
    </row>
    <row r="115" spans="15:30" ht="12" customHeight="1" x14ac:dyDescent="0.25">
      <c r="O115" s="33" t="s">
        <v>38</v>
      </c>
      <c r="P115" s="33" t="s">
        <v>41</v>
      </c>
      <c r="Q115" s="33" t="s">
        <v>39</v>
      </c>
      <c r="R115" s="33" t="s">
        <v>49</v>
      </c>
      <c r="S115" s="33" t="s">
        <v>50</v>
      </c>
      <c r="T115" s="33" t="s">
        <v>881</v>
      </c>
      <c r="U115" s="33">
        <v>4</v>
      </c>
      <c r="V115" s="33">
        <v>0.15</v>
      </c>
      <c r="W115" s="33">
        <v>0.12</v>
      </c>
      <c r="X115" s="33">
        <v>0.09</v>
      </c>
      <c r="Y115" s="33">
        <v>0.06</v>
      </c>
      <c r="Z115" s="33">
        <v>0.03</v>
      </c>
      <c r="AA115" s="33">
        <v>0</v>
      </c>
      <c r="AB115" s="33"/>
      <c r="AC115" s="33"/>
      <c r="AD115" s="33"/>
    </row>
    <row r="116" spans="15:30" ht="12" customHeight="1" x14ac:dyDescent="0.25"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</row>
    <row r="117" spans="15:30" ht="12" customHeight="1" x14ac:dyDescent="0.25"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</row>
    <row r="118" spans="15:30" ht="12" customHeight="1" x14ac:dyDescent="0.25"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</row>
    <row r="119" spans="15:30" ht="12" customHeight="1" x14ac:dyDescent="0.25"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</row>
    <row r="120" spans="15:30" ht="12" customHeight="1" x14ac:dyDescent="0.25"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</row>
    <row r="121" spans="15:30" ht="12" customHeight="1" x14ac:dyDescent="0.25"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</row>
    <row r="122" spans="15:30" ht="12" customHeight="1" x14ac:dyDescent="0.25"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</row>
    <row r="123" spans="15:30" ht="12" customHeight="1" x14ac:dyDescent="0.25"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</row>
    <row r="124" spans="15:30" ht="12" customHeight="1" x14ac:dyDescent="0.25"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</row>
    <row r="125" spans="15:30" ht="12" customHeight="1" x14ac:dyDescent="0.25"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</row>
    <row r="126" spans="15:30" ht="12" customHeight="1" x14ac:dyDescent="0.25"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</row>
    <row r="127" spans="15:30" ht="12" customHeight="1" x14ac:dyDescent="0.25"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</row>
    <row r="128" spans="15:30" ht="12" customHeight="1" x14ac:dyDescent="0.25"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</row>
    <row r="129" spans="15:30" ht="12" customHeight="1" x14ac:dyDescent="0.25"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</row>
    <row r="130" spans="15:30" ht="12" customHeight="1" x14ac:dyDescent="0.25"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</row>
    <row r="131" spans="15:30" ht="12" customHeight="1" x14ac:dyDescent="0.25"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</row>
    <row r="132" spans="15:30" ht="12" customHeight="1" x14ac:dyDescent="0.25"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</row>
    <row r="133" spans="15:30" ht="12" customHeight="1" x14ac:dyDescent="0.25"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</row>
    <row r="134" spans="15:30" ht="12" customHeight="1" x14ac:dyDescent="0.25"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</row>
    <row r="135" spans="15:30" ht="12" customHeight="1" x14ac:dyDescent="0.25"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</row>
    <row r="136" spans="15:30" ht="12" customHeight="1" x14ac:dyDescent="0.25"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</row>
    <row r="137" spans="15:30" ht="12" customHeight="1" x14ac:dyDescent="0.25"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</row>
    <row r="138" spans="15:30" ht="12" customHeight="1" x14ac:dyDescent="0.25"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</row>
    <row r="139" spans="15:30" ht="12" customHeight="1" x14ac:dyDescent="0.25"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</row>
    <row r="140" spans="15:30" ht="12" customHeight="1" x14ac:dyDescent="0.25"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</row>
    <row r="141" spans="15:30" ht="12" customHeight="1" x14ac:dyDescent="0.25"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</row>
    <row r="142" spans="15:30" ht="12" customHeight="1" x14ac:dyDescent="0.25"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</row>
    <row r="143" spans="15:30" ht="12" customHeight="1" x14ac:dyDescent="0.25"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</row>
    <row r="144" spans="15:30" ht="12" customHeight="1" x14ac:dyDescent="0.25"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</row>
    <row r="145" spans="15:30" ht="12" customHeight="1" x14ac:dyDescent="0.25"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</row>
    <row r="146" spans="15:30" ht="12" customHeight="1" x14ac:dyDescent="0.25"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</row>
    <row r="147" spans="15:30" ht="12" customHeight="1" x14ac:dyDescent="0.25"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</row>
    <row r="148" spans="15:30" ht="12" customHeight="1" x14ac:dyDescent="0.25"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</row>
    <row r="149" spans="15:30" ht="12" customHeight="1" x14ac:dyDescent="0.25"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</row>
    <row r="150" spans="15:30" ht="12" customHeight="1" x14ac:dyDescent="0.25"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</row>
    <row r="151" spans="15:30" ht="12" customHeight="1" x14ac:dyDescent="0.25"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</row>
    <row r="152" spans="15:30" ht="12" customHeight="1" x14ac:dyDescent="0.25"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</row>
    <row r="153" spans="15:30" ht="12" customHeight="1" x14ac:dyDescent="0.25"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</row>
    <row r="154" spans="15:30" ht="12" customHeight="1" x14ac:dyDescent="0.25"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</row>
    <row r="155" spans="15:30" ht="12" customHeight="1" x14ac:dyDescent="0.25"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</row>
    <row r="156" spans="15:30" ht="12" customHeight="1" x14ac:dyDescent="0.25"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</row>
    <row r="157" spans="15:30" ht="12" customHeight="1" x14ac:dyDescent="0.25"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</row>
    <row r="158" spans="15:30" ht="12" customHeight="1" x14ac:dyDescent="0.25"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</row>
    <row r="159" spans="15:30" ht="12" customHeight="1" x14ac:dyDescent="0.25"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</row>
    <row r="160" spans="15:30" ht="12" customHeight="1" x14ac:dyDescent="0.25"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</row>
    <row r="161" spans="15:30" ht="12" customHeight="1" x14ac:dyDescent="0.25"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</row>
    <row r="162" spans="15:30" ht="12" customHeight="1" x14ac:dyDescent="0.25"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</row>
    <row r="163" spans="15:30" ht="12" customHeight="1" x14ac:dyDescent="0.25"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</row>
    <row r="164" spans="15:30" ht="12" customHeight="1" x14ac:dyDescent="0.25"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</row>
    <row r="165" spans="15:30" ht="12" customHeight="1" x14ac:dyDescent="0.25"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</row>
    <row r="166" spans="15:30" ht="12" customHeight="1" x14ac:dyDescent="0.25"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</row>
    <row r="167" spans="15:30" ht="12" customHeight="1" x14ac:dyDescent="0.25"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</row>
    <row r="168" spans="15:30" ht="12" customHeight="1" x14ac:dyDescent="0.25"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</row>
    <row r="169" spans="15:30" ht="12" customHeight="1" x14ac:dyDescent="0.25"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</row>
    <row r="170" spans="15:30" ht="12" customHeight="1" x14ac:dyDescent="0.25"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</row>
    <row r="171" spans="15:30" ht="12" customHeight="1" x14ac:dyDescent="0.25"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</row>
    <row r="172" spans="15:30" ht="12" customHeight="1" x14ac:dyDescent="0.25"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</row>
    <row r="173" spans="15:30" ht="12" customHeight="1" x14ac:dyDescent="0.25"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</row>
    <row r="174" spans="15:30" ht="12" customHeight="1" x14ac:dyDescent="0.25"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</row>
    <row r="175" spans="15:30" ht="12" customHeight="1" x14ac:dyDescent="0.25"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</row>
    <row r="176" spans="15:30" ht="12" customHeight="1" x14ac:dyDescent="0.25"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</row>
    <row r="177" spans="15:30" ht="12" customHeight="1" x14ac:dyDescent="0.25"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</row>
    <row r="178" spans="15:30" ht="12" customHeight="1" x14ac:dyDescent="0.25"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</row>
    <row r="179" spans="15:30" ht="12" customHeight="1" x14ac:dyDescent="0.25"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</row>
    <row r="180" spans="15:30" ht="12" customHeight="1" x14ac:dyDescent="0.25"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</row>
    <row r="181" spans="15:30" ht="12" customHeight="1" x14ac:dyDescent="0.25"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</row>
    <row r="182" spans="15:30" ht="12" customHeight="1" x14ac:dyDescent="0.25"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</row>
    <row r="183" spans="15:30" ht="12" customHeight="1" x14ac:dyDescent="0.25"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</row>
    <row r="184" spans="15:30" ht="12" customHeight="1" x14ac:dyDescent="0.25"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</row>
    <row r="185" spans="15:30" ht="12" customHeight="1" x14ac:dyDescent="0.25"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</row>
    <row r="186" spans="15:30" ht="12" customHeight="1" x14ac:dyDescent="0.25"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</row>
    <row r="187" spans="15:30" ht="12" customHeight="1" x14ac:dyDescent="0.25"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</row>
    <row r="188" spans="15:30" ht="12" customHeight="1" x14ac:dyDescent="0.25"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</row>
    <row r="189" spans="15:30" ht="12" customHeight="1" x14ac:dyDescent="0.25"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</row>
    <row r="190" spans="15:30" ht="12" customHeight="1" x14ac:dyDescent="0.25"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</row>
    <row r="191" spans="15:30" ht="12" customHeight="1" x14ac:dyDescent="0.25"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</row>
    <row r="192" spans="15:30" ht="12" customHeight="1" x14ac:dyDescent="0.25"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</row>
    <row r="193" spans="15:30" ht="12" customHeight="1" x14ac:dyDescent="0.25"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</row>
    <row r="194" spans="15:30" ht="12" customHeight="1" x14ac:dyDescent="0.25"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</row>
    <row r="195" spans="15:30" ht="12" customHeight="1" x14ac:dyDescent="0.25"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</row>
    <row r="196" spans="15:30" ht="12" customHeight="1" x14ac:dyDescent="0.25"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</row>
    <row r="197" spans="15:30" ht="12" customHeight="1" x14ac:dyDescent="0.25"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</row>
    <row r="198" spans="15:30" ht="12" customHeight="1" x14ac:dyDescent="0.25"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</row>
    <row r="199" spans="15:30" ht="12" customHeight="1" x14ac:dyDescent="0.25"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</row>
    <row r="200" spans="15:30" ht="12" customHeight="1" x14ac:dyDescent="0.25"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</row>
  </sheetData>
  <mergeCells count="19">
    <mergeCell ref="B41:B42"/>
    <mergeCell ref="B43:B44"/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</mergeCells>
  <pageMargins left="0.511811024" right="0.511811024" top="0.78740157499999996" bottom="0.78740157499999996" header="0.31496062000000002" footer="0.31496062000000002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8DD1-0F13-4A56-9902-EE32B2758805}">
  <dimension ref="A1:AP61"/>
  <sheetViews>
    <sheetView showGridLines="0" topLeftCell="A45" workbookViewId="0">
      <selection activeCell="K72" sqref="K72:P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7" t="s">
        <v>68</v>
      </c>
      <c r="B1" s="107" t="s">
        <v>69</v>
      </c>
      <c r="C1" s="107" t="s">
        <v>70</v>
      </c>
      <c r="D1" s="107" t="s">
        <v>71</v>
      </c>
      <c r="E1" s="107" t="s">
        <v>72</v>
      </c>
      <c r="F1" s="107" t="s">
        <v>15</v>
      </c>
      <c r="G1" s="107" t="s">
        <v>74</v>
      </c>
      <c r="H1" s="107" t="s">
        <v>75</v>
      </c>
      <c r="I1" s="107" t="s">
        <v>816</v>
      </c>
      <c r="J1" s="95"/>
      <c r="L1" s="108" t="s">
        <v>817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P1" s="108" t="s">
        <v>818</v>
      </c>
    </row>
    <row r="2" spans="1:42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8" t="s">
        <v>716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P2" s="109"/>
    </row>
    <row r="3" spans="1:42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8" t="s">
        <v>717</v>
      </c>
      <c r="M3" s="108"/>
      <c r="N3" s="108"/>
      <c r="O3" s="108"/>
      <c r="P3" s="108"/>
      <c r="Q3" s="108"/>
      <c r="R3" s="108"/>
      <c r="S3" s="108"/>
      <c r="T3" s="108"/>
      <c r="U3" s="108" t="s">
        <v>726</v>
      </c>
      <c r="V3" s="108"/>
      <c r="W3" s="108"/>
      <c r="X3" s="108"/>
      <c r="Y3" s="108"/>
      <c r="Z3" s="108"/>
      <c r="AA3" s="108"/>
      <c r="AB3" s="108"/>
      <c r="AC3" s="108" t="s">
        <v>734</v>
      </c>
      <c r="AD3" s="108"/>
      <c r="AE3" s="108" t="s">
        <v>736</v>
      </c>
      <c r="AF3" s="108"/>
      <c r="AG3" s="108"/>
      <c r="AH3" s="108" t="s">
        <v>739</v>
      </c>
      <c r="AI3" s="108"/>
      <c r="AJ3" s="108"/>
      <c r="AK3" s="108"/>
      <c r="AL3" s="108"/>
      <c r="AM3" s="108" t="s">
        <v>725</v>
      </c>
      <c r="AP3" s="109"/>
    </row>
    <row r="4" spans="1:42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10" t="s">
        <v>801</v>
      </c>
      <c r="M4" s="10" t="s">
        <v>718</v>
      </c>
      <c r="N4" s="10" t="s">
        <v>719</v>
      </c>
      <c r="O4" s="10" t="s">
        <v>720</v>
      </c>
      <c r="P4" s="10" t="s">
        <v>721</v>
      </c>
      <c r="Q4" s="10" t="s">
        <v>722</v>
      </c>
      <c r="R4" s="10" t="s">
        <v>723</v>
      </c>
      <c r="S4" s="10" t="s">
        <v>724</v>
      </c>
      <c r="T4" s="10" t="s">
        <v>725</v>
      </c>
      <c r="U4" s="10" t="s">
        <v>727</v>
      </c>
      <c r="V4" s="10" t="s">
        <v>728</v>
      </c>
      <c r="W4" s="10" t="s">
        <v>729</v>
      </c>
      <c r="X4" s="10" t="s">
        <v>730</v>
      </c>
      <c r="Y4" s="10" t="s">
        <v>731</v>
      </c>
      <c r="Z4" s="10" t="s">
        <v>732</v>
      </c>
      <c r="AA4" s="10" t="s">
        <v>733</v>
      </c>
      <c r="AB4" s="10" t="s">
        <v>725</v>
      </c>
      <c r="AC4" s="10" t="s">
        <v>735</v>
      </c>
      <c r="AD4" s="10" t="s">
        <v>725</v>
      </c>
      <c r="AE4" s="10" t="s">
        <v>737</v>
      </c>
      <c r="AF4" s="10" t="s">
        <v>738</v>
      </c>
      <c r="AG4" s="10" t="s">
        <v>725</v>
      </c>
      <c r="AH4" s="10" t="s">
        <v>740</v>
      </c>
      <c r="AI4" s="10" t="s">
        <v>741</v>
      </c>
      <c r="AJ4" s="10" t="s">
        <v>742</v>
      </c>
      <c r="AK4" s="10" t="s">
        <v>743</v>
      </c>
      <c r="AL4" s="10" t="s">
        <v>725</v>
      </c>
      <c r="AM4" s="110"/>
      <c r="AP4" s="109"/>
    </row>
    <row r="5" spans="1:42" ht="11.25" customHeight="1" x14ac:dyDescent="0.25">
      <c r="A5" s="106" t="s">
        <v>56</v>
      </c>
      <c r="B5" s="106" t="s">
        <v>40</v>
      </c>
      <c r="C5" s="106" t="s">
        <v>25</v>
      </c>
      <c r="D5" s="106" t="s">
        <v>25</v>
      </c>
      <c r="E5" s="106" t="s">
        <v>25</v>
      </c>
      <c r="F5" s="106" t="s">
        <v>25</v>
      </c>
      <c r="G5" s="17" t="s">
        <v>82</v>
      </c>
      <c r="H5" s="17" t="s">
        <v>81</v>
      </c>
      <c r="I5" s="17">
        <f>'MERCADO TUSD'!$U$2</f>
        <v>115925</v>
      </c>
      <c r="J5" s="15"/>
      <c r="L5" s="12"/>
      <c r="M5" s="12"/>
      <c r="N5" s="12"/>
      <c r="O5" s="12"/>
      <c r="P5" s="12"/>
      <c r="Q5" s="12"/>
      <c r="R5" s="12"/>
      <c r="S5" s="12"/>
      <c r="T5" s="12"/>
      <c r="U5" s="12">
        <v>5.0888999999999998</v>
      </c>
      <c r="V5" s="12">
        <v>1.7547999999999999</v>
      </c>
      <c r="W5" s="12">
        <v>0.15459999999999999</v>
      </c>
      <c r="X5" s="12">
        <v>0</v>
      </c>
      <c r="Y5" s="12">
        <v>5.4625000000000004</v>
      </c>
      <c r="Z5" s="12">
        <v>0</v>
      </c>
      <c r="AA5" s="12">
        <v>0</v>
      </c>
      <c r="AB5" s="12"/>
      <c r="AC5" s="12">
        <v>2.6604000000000001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  <c r="AP5" s="12">
        <v>1</v>
      </c>
    </row>
    <row r="6" spans="1:42" ht="11.25" customHeight="1" x14ac:dyDescent="0.25">
      <c r="A6" s="106"/>
      <c r="B6" s="106"/>
      <c r="C6" s="106"/>
      <c r="D6" s="106"/>
      <c r="E6" s="106"/>
      <c r="F6" s="106"/>
      <c r="G6" s="17" t="s">
        <v>83</v>
      </c>
      <c r="H6" s="17" t="s">
        <v>81</v>
      </c>
      <c r="I6" s="17">
        <f>'MERCADO TUSD'!$U$3</f>
        <v>117848</v>
      </c>
      <c r="J6" s="15"/>
      <c r="L6" s="12"/>
      <c r="M6" s="12"/>
      <c r="N6" s="12"/>
      <c r="O6" s="12"/>
      <c r="P6" s="12"/>
      <c r="Q6" s="12"/>
      <c r="R6" s="12"/>
      <c r="S6" s="12"/>
      <c r="T6" s="12"/>
      <c r="U6" s="12">
        <v>3.8986000000000001</v>
      </c>
      <c r="V6" s="12">
        <v>1.3592</v>
      </c>
      <c r="W6" s="12">
        <v>0.1153</v>
      </c>
      <c r="X6" s="12">
        <v>0</v>
      </c>
      <c r="Y6" s="12">
        <v>1.8504</v>
      </c>
      <c r="Z6" s="12">
        <v>0</v>
      </c>
      <c r="AA6" s="12">
        <v>0</v>
      </c>
      <c r="AB6" s="12"/>
      <c r="AC6" s="12">
        <v>0.33700000000000002</v>
      </c>
      <c r="AD6" s="12"/>
      <c r="AE6" s="12"/>
      <c r="AF6" s="12"/>
      <c r="AG6" s="12"/>
      <c r="AH6" s="12"/>
      <c r="AI6" s="12"/>
      <c r="AJ6" s="12"/>
      <c r="AK6" s="12"/>
      <c r="AL6" s="12"/>
      <c r="AM6" s="12"/>
      <c r="AP6" s="12">
        <v>1</v>
      </c>
    </row>
    <row r="7" spans="1:42" ht="11.25" customHeight="1" x14ac:dyDescent="0.25">
      <c r="A7" s="106"/>
      <c r="B7" s="106"/>
      <c r="C7" s="106"/>
      <c r="D7" s="106"/>
      <c r="E7" s="106"/>
      <c r="F7" s="106"/>
      <c r="G7" s="17" t="s">
        <v>84</v>
      </c>
      <c r="H7" s="17" t="s">
        <v>78</v>
      </c>
      <c r="I7" s="17">
        <f>'MERCADO TUSD'!$U$4</f>
        <v>69324.911000000007</v>
      </c>
      <c r="J7" s="15"/>
      <c r="L7" s="12"/>
      <c r="M7" s="12"/>
      <c r="N7" s="12"/>
      <c r="O7" s="12"/>
      <c r="P7" s="12"/>
      <c r="Q7" s="12"/>
      <c r="R7" s="12"/>
      <c r="S7" s="12"/>
      <c r="T7" s="12"/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/>
      <c r="AC7" s="12">
        <v>0</v>
      </c>
      <c r="AD7" s="12"/>
      <c r="AE7" s="12"/>
      <c r="AF7" s="12"/>
      <c r="AG7" s="12"/>
      <c r="AH7" s="12"/>
      <c r="AI7" s="12"/>
      <c r="AJ7" s="12"/>
      <c r="AK7" s="12"/>
      <c r="AL7" s="12"/>
      <c r="AM7" s="12"/>
      <c r="AP7" s="12">
        <v>1</v>
      </c>
    </row>
    <row r="8" spans="1:42" ht="11.25" customHeight="1" x14ac:dyDescent="0.25">
      <c r="A8" s="106"/>
      <c r="B8" s="106"/>
      <c r="C8" s="106"/>
      <c r="D8" s="106"/>
      <c r="E8" s="18" t="s">
        <v>85</v>
      </c>
      <c r="F8" s="18" t="s">
        <v>25</v>
      </c>
      <c r="G8" s="17" t="s">
        <v>84</v>
      </c>
      <c r="H8" s="17" t="s">
        <v>78</v>
      </c>
      <c r="I8" s="17">
        <f>'MERCADO TUSD'!$U$5</f>
        <v>0</v>
      </c>
      <c r="J8" s="15"/>
      <c r="L8" s="12"/>
      <c r="M8" s="12"/>
      <c r="N8" s="12"/>
      <c r="O8" s="12"/>
      <c r="P8" s="12"/>
      <c r="Q8" s="12"/>
      <c r="R8" s="12"/>
      <c r="S8" s="12"/>
      <c r="T8" s="12"/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/>
      <c r="AC8" s="12">
        <v>0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  <c r="AP8" s="12">
        <v>1</v>
      </c>
    </row>
    <row r="9" spans="1:42" ht="11.25" customHeight="1" x14ac:dyDescent="0.25">
      <c r="A9" s="106"/>
      <c r="B9" s="106" t="s">
        <v>59</v>
      </c>
      <c r="C9" s="106" t="s">
        <v>25</v>
      </c>
      <c r="D9" s="106" t="s">
        <v>25</v>
      </c>
      <c r="E9" s="106" t="s">
        <v>25</v>
      </c>
      <c r="F9" s="106" t="s">
        <v>60</v>
      </c>
      <c r="G9" s="17" t="s">
        <v>82</v>
      </c>
      <c r="H9" s="17" t="s">
        <v>81</v>
      </c>
      <c r="I9" s="17">
        <f>'MERCADO TUSD'!$U$6</f>
        <v>216624</v>
      </c>
      <c r="J9" s="15"/>
      <c r="L9" s="12"/>
      <c r="M9" s="12"/>
      <c r="N9" s="12"/>
      <c r="O9" s="12"/>
      <c r="P9" s="12"/>
      <c r="Q9" s="12"/>
      <c r="R9" s="12"/>
      <c r="S9" s="12"/>
      <c r="T9" s="12"/>
      <c r="U9" s="12">
        <v>5.0888999999999998</v>
      </c>
      <c r="V9" s="12">
        <v>1.7547999999999999</v>
      </c>
      <c r="W9" s="12">
        <v>0.15459999999999999</v>
      </c>
      <c r="X9" s="12">
        <v>0</v>
      </c>
      <c r="Y9" s="12">
        <v>5.4625000000000004</v>
      </c>
      <c r="Z9" s="12">
        <v>0</v>
      </c>
      <c r="AA9" s="12">
        <v>0</v>
      </c>
      <c r="AB9" s="12"/>
      <c r="AC9" s="12">
        <v>2.6604000000000001</v>
      </c>
      <c r="AD9" s="12"/>
      <c r="AE9" s="12"/>
      <c r="AF9" s="12"/>
      <c r="AG9" s="12"/>
      <c r="AH9" s="12"/>
      <c r="AI9" s="12"/>
      <c r="AJ9" s="12"/>
      <c r="AK9" s="12"/>
      <c r="AL9" s="12"/>
      <c r="AM9" s="12"/>
      <c r="AP9" s="12">
        <v>1</v>
      </c>
    </row>
    <row r="10" spans="1:42" ht="11.25" customHeight="1" x14ac:dyDescent="0.25">
      <c r="A10" s="106"/>
      <c r="B10" s="106"/>
      <c r="C10" s="106"/>
      <c r="D10" s="106"/>
      <c r="E10" s="106"/>
      <c r="F10" s="106"/>
      <c r="G10" s="17" t="s">
        <v>83</v>
      </c>
      <c r="H10" s="17" t="s">
        <v>81</v>
      </c>
      <c r="I10" s="17">
        <f>'MERCADO TUSD'!$U$7</f>
        <v>219920</v>
      </c>
      <c r="J10" s="15"/>
      <c r="L10" s="12"/>
      <c r="M10" s="12"/>
      <c r="N10" s="12"/>
      <c r="O10" s="12"/>
      <c r="P10" s="12"/>
      <c r="Q10" s="12"/>
      <c r="R10" s="12"/>
      <c r="S10" s="12"/>
      <c r="T10" s="12"/>
      <c r="U10" s="12">
        <v>3.8986000000000001</v>
      </c>
      <c r="V10" s="12">
        <v>1.3592</v>
      </c>
      <c r="W10" s="12">
        <v>0.1153</v>
      </c>
      <c r="X10" s="12">
        <v>0</v>
      </c>
      <c r="Y10" s="12">
        <v>1.8504</v>
      </c>
      <c r="Z10" s="12">
        <v>0</v>
      </c>
      <c r="AA10" s="12">
        <v>0</v>
      </c>
      <c r="AB10" s="12"/>
      <c r="AC10" s="12">
        <v>0.33700000000000002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P10" s="12">
        <v>1</v>
      </c>
    </row>
    <row r="11" spans="1:42" ht="11.25" customHeight="1" x14ac:dyDescent="0.25">
      <c r="A11" s="106"/>
      <c r="B11" s="106"/>
      <c r="C11" s="106"/>
      <c r="D11" s="106"/>
      <c r="E11" s="106"/>
      <c r="F11" s="106"/>
      <c r="G11" s="17" t="s">
        <v>84</v>
      </c>
      <c r="H11" s="17" t="s">
        <v>78</v>
      </c>
      <c r="I11" s="17">
        <f>'MERCADO TUSD'!$U$8</f>
        <v>41971.481000000007</v>
      </c>
      <c r="J11" s="15"/>
      <c r="L11" s="12"/>
      <c r="M11" s="12"/>
      <c r="N11" s="12"/>
      <c r="O11" s="12"/>
      <c r="P11" s="12"/>
      <c r="Q11" s="12"/>
      <c r="R11" s="12"/>
      <c r="S11" s="12"/>
      <c r="T11" s="12"/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/>
      <c r="AC11" s="12">
        <v>0</v>
      </c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P11" s="12">
        <v>1</v>
      </c>
    </row>
    <row r="12" spans="1:42" ht="11.25" customHeight="1" x14ac:dyDescent="0.25">
      <c r="A12" s="106" t="s">
        <v>39</v>
      </c>
      <c r="B12" s="106" t="s">
        <v>40</v>
      </c>
      <c r="C12" s="106" t="s">
        <v>25</v>
      </c>
      <c r="D12" s="106" t="s">
        <v>25</v>
      </c>
      <c r="E12" s="106" t="s">
        <v>25</v>
      </c>
      <c r="F12" s="106" t="s">
        <v>25</v>
      </c>
      <c r="G12" s="17" t="s">
        <v>82</v>
      </c>
      <c r="H12" s="17" t="s">
        <v>81</v>
      </c>
      <c r="I12" s="17">
        <f>'MERCADO TUSD'!$U$9</f>
        <v>96314</v>
      </c>
      <c r="J12" s="15"/>
      <c r="L12" s="12"/>
      <c r="M12" s="12"/>
      <c r="N12" s="12"/>
      <c r="O12" s="12"/>
      <c r="P12" s="12"/>
      <c r="Q12" s="12"/>
      <c r="R12" s="12"/>
      <c r="S12" s="12"/>
      <c r="T12" s="12"/>
      <c r="U12" s="12">
        <v>5.5152999999999999</v>
      </c>
      <c r="V12" s="12">
        <v>1.9017999999999999</v>
      </c>
      <c r="W12" s="12">
        <v>0.1678</v>
      </c>
      <c r="X12" s="12">
        <v>0</v>
      </c>
      <c r="Y12" s="12">
        <v>6.4287000000000001</v>
      </c>
      <c r="Z12" s="12">
        <v>0</v>
      </c>
      <c r="AA12" s="12">
        <v>0</v>
      </c>
      <c r="AB12" s="12"/>
      <c r="AC12" s="12">
        <v>24.8537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P12" s="12">
        <v>1</v>
      </c>
    </row>
    <row r="13" spans="1:42" ht="11.25" customHeight="1" x14ac:dyDescent="0.25">
      <c r="A13" s="106"/>
      <c r="B13" s="106"/>
      <c r="C13" s="106"/>
      <c r="D13" s="106"/>
      <c r="E13" s="106"/>
      <c r="F13" s="106"/>
      <c r="G13" s="17" t="s">
        <v>83</v>
      </c>
      <c r="H13" s="17" t="s">
        <v>81</v>
      </c>
      <c r="I13" s="17">
        <f>'MERCADO TUSD'!$U$10</f>
        <v>112951</v>
      </c>
      <c r="J13" s="15"/>
      <c r="L13" s="12"/>
      <c r="M13" s="12"/>
      <c r="N13" s="12"/>
      <c r="O13" s="12"/>
      <c r="P13" s="12"/>
      <c r="Q13" s="12"/>
      <c r="R13" s="12"/>
      <c r="S13" s="12"/>
      <c r="T13" s="12"/>
      <c r="U13" s="12">
        <v>4.1292999999999997</v>
      </c>
      <c r="V13" s="12">
        <v>1.4397</v>
      </c>
      <c r="W13" s="12">
        <v>0.12230000000000001</v>
      </c>
      <c r="X13" s="12">
        <v>0</v>
      </c>
      <c r="Y13" s="12">
        <v>2.4167999999999998</v>
      </c>
      <c r="Z13" s="12">
        <v>0</v>
      </c>
      <c r="AA13" s="12">
        <v>0</v>
      </c>
      <c r="AB13" s="12"/>
      <c r="AC13" s="12">
        <v>11.3255</v>
      </c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P13" s="12">
        <v>1</v>
      </c>
    </row>
    <row r="14" spans="1:42" ht="11.25" customHeight="1" x14ac:dyDescent="0.25">
      <c r="A14" s="106"/>
      <c r="B14" s="106"/>
      <c r="C14" s="106"/>
      <c r="D14" s="106"/>
      <c r="E14" s="106"/>
      <c r="F14" s="106"/>
      <c r="G14" s="17" t="s">
        <v>84</v>
      </c>
      <c r="H14" s="17" t="s">
        <v>78</v>
      </c>
      <c r="I14" s="17">
        <f>'MERCADO TUSD'!$U$11</f>
        <v>43743.163999999997</v>
      </c>
      <c r="J14" s="15"/>
      <c r="L14" s="12"/>
      <c r="M14" s="12"/>
      <c r="N14" s="12"/>
      <c r="O14" s="12"/>
      <c r="P14" s="12"/>
      <c r="Q14" s="12"/>
      <c r="R14" s="12"/>
      <c r="S14" s="12"/>
      <c r="T14" s="12"/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/>
      <c r="AC14" s="12">
        <v>0</v>
      </c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P14" s="12">
        <v>1</v>
      </c>
    </row>
    <row r="15" spans="1:42" ht="11.25" customHeight="1" x14ac:dyDescent="0.25">
      <c r="A15" s="106"/>
      <c r="B15" s="106"/>
      <c r="C15" s="106"/>
      <c r="D15" s="106"/>
      <c r="E15" s="18" t="s">
        <v>85</v>
      </c>
      <c r="F15" s="18" t="s">
        <v>25</v>
      </c>
      <c r="G15" s="17" t="s">
        <v>84</v>
      </c>
      <c r="H15" s="17" t="s">
        <v>78</v>
      </c>
      <c r="I15" s="17">
        <f>'MERCADO TUSD'!$U$12</f>
        <v>0</v>
      </c>
      <c r="J15" s="15"/>
      <c r="L15" s="12"/>
      <c r="M15" s="12"/>
      <c r="N15" s="12"/>
      <c r="O15" s="12"/>
      <c r="P15" s="12"/>
      <c r="Q15" s="12"/>
      <c r="R15" s="12"/>
      <c r="S15" s="12"/>
      <c r="T15" s="12"/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/>
      <c r="AC15" s="12">
        <v>0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P15" s="12">
        <v>1</v>
      </c>
    </row>
    <row r="16" spans="1:42" ht="11.25" customHeight="1" x14ac:dyDescent="0.25">
      <c r="A16" s="106"/>
      <c r="B16" s="106" t="s">
        <v>59</v>
      </c>
      <c r="C16" s="106" t="s">
        <v>25</v>
      </c>
      <c r="D16" s="106" t="s">
        <v>25</v>
      </c>
      <c r="E16" s="106" t="s">
        <v>25</v>
      </c>
      <c r="F16" s="106" t="s">
        <v>60</v>
      </c>
      <c r="G16" s="17" t="s">
        <v>82</v>
      </c>
      <c r="H16" s="17" t="s">
        <v>81</v>
      </c>
      <c r="I16" s="17">
        <f>'MERCADO TUSD'!$U$13</f>
        <v>1804</v>
      </c>
      <c r="J16" s="15"/>
      <c r="L16" s="12"/>
      <c r="M16" s="12"/>
      <c r="N16" s="12"/>
      <c r="O16" s="12"/>
      <c r="P16" s="12"/>
      <c r="Q16" s="12"/>
      <c r="R16" s="12"/>
      <c r="S16" s="12"/>
      <c r="T16" s="12"/>
      <c r="U16" s="12">
        <v>5.5152999999999999</v>
      </c>
      <c r="V16" s="12">
        <v>1.9017999999999999</v>
      </c>
      <c r="W16" s="12">
        <v>0.1678</v>
      </c>
      <c r="X16" s="12">
        <v>0</v>
      </c>
      <c r="Y16" s="12">
        <v>6.4287000000000001</v>
      </c>
      <c r="Z16" s="12">
        <v>0</v>
      </c>
      <c r="AA16" s="12">
        <v>0</v>
      </c>
      <c r="AB16" s="12"/>
      <c r="AC16" s="12">
        <v>8.6674000000000007</v>
      </c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P16" s="12">
        <v>1</v>
      </c>
    </row>
    <row r="17" spans="1:42" ht="11.25" customHeight="1" x14ac:dyDescent="0.25">
      <c r="A17" s="106"/>
      <c r="B17" s="106"/>
      <c r="C17" s="106"/>
      <c r="D17" s="106"/>
      <c r="E17" s="106"/>
      <c r="F17" s="106"/>
      <c r="G17" s="17" t="s">
        <v>83</v>
      </c>
      <c r="H17" s="17" t="s">
        <v>81</v>
      </c>
      <c r="I17" s="17">
        <f>'MERCADO TUSD'!$U$14</f>
        <v>1804</v>
      </c>
      <c r="J17" s="15"/>
      <c r="L17" s="12"/>
      <c r="M17" s="12"/>
      <c r="N17" s="12"/>
      <c r="O17" s="12"/>
      <c r="P17" s="12"/>
      <c r="Q17" s="12"/>
      <c r="R17" s="12"/>
      <c r="S17" s="12"/>
      <c r="T17" s="12"/>
      <c r="U17" s="12">
        <v>4.1292999999999997</v>
      </c>
      <c r="V17" s="12">
        <v>1.4397</v>
      </c>
      <c r="W17" s="12">
        <v>0.12230000000000001</v>
      </c>
      <c r="X17" s="12">
        <v>0</v>
      </c>
      <c r="Y17" s="12">
        <v>2.4167999999999998</v>
      </c>
      <c r="Z17" s="12">
        <v>0</v>
      </c>
      <c r="AA17" s="12">
        <v>0</v>
      </c>
      <c r="AB17" s="12"/>
      <c r="AC17" s="12">
        <v>3.9496000000000002</v>
      </c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P17" s="12">
        <v>1</v>
      </c>
    </row>
    <row r="18" spans="1:42" ht="11.25" customHeight="1" x14ac:dyDescent="0.25">
      <c r="A18" s="106"/>
      <c r="B18" s="106"/>
      <c r="C18" s="106"/>
      <c r="D18" s="106"/>
      <c r="E18" s="106"/>
      <c r="F18" s="106"/>
      <c r="G18" s="17" t="s">
        <v>84</v>
      </c>
      <c r="H18" s="17" t="s">
        <v>78</v>
      </c>
      <c r="I18" s="17">
        <f>'MERCADO TUSD'!$U$15</f>
        <v>731.00300000000004</v>
      </c>
      <c r="J18" s="15"/>
      <c r="L18" s="12"/>
      <c r="M18" s="12"/>
      <c r="N18" s="12"/>
      <c r="O18" s="12"/>
      <c r="P18" s="12"/>
      <c r="Q18" s="12"/>
      <c r="R18" s="12"/>
      <c r="S18" s="12"/>
      <c r="T18" s="12"/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/>
      <c r="AC18" s="12">
        <v>0</v>
      </c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P18" s="12">
        <v>1</v>
      </c>
    </row>
    <row r="19" spans="1:42" ht="11.25" customHeight="1" x14ac:dyDescent="0.25">
      <c r="A19" s="106"/>
      <c r="B19" s="18" t="s">
        <v>87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81</v>
      </c>
      <c r="I19" s="17">
        <f>'MERCADO TUSD'!$U$16</f>
        <v>0</v>
      </c>
      <c r="J19" s="15"/>
      <c r="L19" s="12"/>
      <c r="M19" s="12"/>
      <c r="N19" s="12"/>
      <c r="O19" s="12"/>
      <c r="P19" s="12"/>
      <c r="Q19" s="12"/>
      <c r="R19" s="12"/>
      <c r="S19" s="12"/>
      <c r="T19" s="12"/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/>
      <c r="AC19" s="12">
        <v>8.2568000000000001</v>
      </c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P19" s="12"/>
    </row>
    <row r="20" spans="1:42" ht="11.25" customHeight="1" x14ac:dyDescent="0.25">
      <c r="A20" s="106"/>
      <c r="B20" s="106" t="s">
        <v>41</v>
      </c>
      <c r="C20" s="106" t="s">
        <v>25</v>
      </c>
      <c r="D20" s="106" t="s">
        <v>25</v>
      </c>
      <c r="E20" s="106" t="s">
        <v>25</v>
      </c>
      <c r="F20" s="106" t="s">
        <v>25</v>
      </c>
      <c r="G20" s="17" t="s">
        <v>9</v>
      </c>
      <c r="H20" s="17" t="s">
        <v>81</v>
      </c>
      <c r="I20" s="17">
        <f>'MERCADO TUSD'!$U$17</f>
        <v>750849</v>
      </c>
      <c r="J20" s="15"/>
      <c r="L20" s="12"/>
      <c r="M20" s="12"/>
      <c r="N20" s="12"/>
      <c r="O20" s="12"/>
      <c r="P20" s="12"/>
      <c r="Q20" s="12"/>
      <c r="R20" s="12"/>
      <c r="S20" s="12"/>
      <c r="T20" s="12"/>
      <c r="U20" s="12">
        <v>4.1292999999999997</v>
      </c>
      <c r="V20" s="12">
        <v>1.4397</v>
      </c>
      <c r="W20" s="12">
        <v>0.12230000000000001</v>
      </c>
      <c r="X20" s="12">
        <v>0</v>
      </c>
      <c r="Y20" s="12">
        <v>2.4167999999999998</v>
      </c>
      <c r="Z20" s="12">
        <v>0</v>
      </c>
      <c r="AA20" s="12">
        <v>0</v>
      </c>
      <c r="AB20" s="12"/>
      <c r="AC20" s="12">
        <v>11.3255</v>
      </c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P20" s="12">
        <v>1</v>
      </c>
    </row>
    <row r="21" spans="1:42" ht="11.25" customHeight="1" x14ac:dyDescent="0.25">
      <c r="A21" s="106"/>
      <c r="B21" s="106"/>
      <c r="C21" s="106"/>
      <c r="D21" s="106"/>
      <c r="E21" s="106"/>
      <c r="F21" s="106"/>
      <c r="G21" s="17" t="s">
        <v>79</v>
      </c>
      <c r="H21" s="17" t="s">
        <v>78</v>
      </c>
      <c r="I21" s="17">
        <f>'MERCADO TUSD'!$U$18</f>
        <v>10300.001999999999</v>
      </c>
      <c r="J21" s="15"/>
      <c r="L21" s="12"/>
      <c r="M21" s="12"/>
      <c r="N21" s="12"/>
      <c r="O21" s="12"/>
      <c r="P21" s="12"/>
      <c r="Q21" s="12"/>
      <c r="R21" s="12"/>
      <c r="S21" s="12"/>
      <c r="T21" s="12"/>
      <c r="U21" s="12">
        <v>132.64279999999999</v>
      </c>
      <c r="V21" s="12">
        <v>45.738900000000001</v>
      </c>
      <c r="W21" s="12">
        <v>4.0347</v>
      </c>
      <c r="X21" s="12">
        <v>0</v>
      </c>
      <c r="Y21" s="12">
        <v>154.6114</v>
      </c>
      <c r="Z21" s="12">
        <v>0</v>
      </c>
      <c r="AA21" s="12">
        <v>0</v>
      </c>
      <c r="AB21" s="12"/>
      <c r="AC21" s="12">
        <v>597.73299999999995</v>
      </c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P21" s="12">
        <v>1</v>
      </c>
    </row>
    <row r="22" spans="1:42" ht="11.25" customHeight="1" x14ac:dyDescent="0.25">
      <c r="A22" s="106"/>
      <c r="B22" s="106"/>
      <c r="C22" s="106"/>
      <c r="D22" s="106"/>
      <c r="E22" s="106"/>
      <c r="F22" s="106"/>
      <c r="G22" s="17" t="s">
        <v>80</v>
      </c>
      <c r="H22" s="17" t="s">
        <v>78</v>
      </c>
      <c r="I22" s="17">
        <f>'MERCADO TUSD'!$U$19</f>
        <v>146148.57</v>
      </c>
      <c r="J22" s="15"/>
      <c r="L22" s="12"/>
      <c r="M22" s="12"/>
      <c r="N22" s="12"/>
      <c r="O22" s="12"/>
      <c r="P22" s="12"/>
      <c r="Q22" s="12"/>
      <c r="R22" s="12"/>
      <c r="S22" s="12"/>
      <c r="T22" s="12"/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/>
      <c r="AC22" s="12">
        <v>0</v>
      </c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P22" s="12">
        <v>1</v>
      </c>
    </row>
    <row r="23" spans="1:42" ht="11.25" customHeight="1" x14ac:dyDescent="0.25">
      <c r="A23" s="106"/>
      <c r="B23" s="106"/>
      <c r="C23" s="106"/>
      <c r="D23" s="106"/>
      <c r="E23" s="106" t="s">
        <v>85</v>
      </c>
      <c r="F23" s="106" t="s">
        <v>25</v>
      </c>
      <c r="G23" s="17" t="s">
        <v>79</v>
      </c>
      <c r="H23" s="17" t="s">
        <v>78</v>
      </c>
      <c r="I23" s="17">
        <f>'MERCADO TUSD'!$U$20</f>
        <v>0</v>
      </c>
      <c r="J23" s="15"/>
      <c r="L23" s="12"/>
      <c r="M23" s="12"/>
      <c r="N23" s="12"/>
      <c r="O23" s="12"/>
      <c r="P23" s="12"/>
      <c r="Q23" s="12"/>
      <c r="R23" s="12"/>
      <c r="S23" s="12"/>
      <c r="T23" s="12"/>
      <c r="U23" s="12">
        <v>132.64279999999999</v>
      </c>
      <c r="V23" s="12">
        <v>45.738900000000001</v>
      </c>
      <c r="W23" s="12">
        <v>4.0347</v>
      </c>
      <c r="X23" s="12">
        <v>0</v>
      </c>
      <c r="Y23" s="12">
        <v>154.6114</v>
      </c>
      <c r="Z23" s="12">
        <v>0</v>
      </c>
      <c r="AA23" s="12">
        <v>0</v>
      </c>
      <c r="AB23" s="12"/>
      <c r="AC23" s="12">
        <v>597.73299999999995</v>
      </c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P23" s="12">
        <v>1</v>
      </c>
    </row>
    <row r="24" spans="1:42" ht="11.25" customHeight="1" x14ac:dyDescent="0.25">
      <c r="A24" s="106"/>
      <c r="B24" s="106"/>
      <c r="C24" s="106"/>
      <c r="D24" s="106"/>
      <c r="E24" s="106"/>
      <c r="F24" s="106"/>
      <c r="G24" s="17" t="s">
        <v>80</v>
      </c>
      <c r="H24" s="17" t="s">
        <v>78</v>
      </c>
      <c r="I24" s="17">
        <f>'MERCADO TUSD'!$U$21</f>
        <v>0</v>
      </c>
      <c r="J24" s="15"/>
      <c r="L24" s="12"/>
      <c r="M24" s="12"/>
      <c r="N24" s="12"/>
      <c r="O24" s="12"/>
      <c r="P24" s="12"/>
      <c r="Q24" s="12"/>
      <c r="R24" s="12"/>
      <c r="S24" s="12"/>
      <c r="T24" s="12"/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/>
      <c r="AC24" s="12">
        <v>0</v>
      </c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P24" s="12">
        <v>1</v>
      </c>
    </row>
    <row r="25" spans="1:42" ht="11.25" customHeight="1" x14ac:dyDescent="0.25">
      <c r="A25" s="106" t="s">
        <v>88</v>
      </c>
      <c r="B25" s="106" t="s">
        <v>87</v>
      </c>
      <c r="C25" s="106" t="s">
        <v>25</v>
      </c>
      <c r="D25" s="106" t="s">
        <v>25</v>
      </c>
      <c r="E25" s="18" t="s">
        <v>89</v>
      </c>
      <c r="F25" s="18" t="s">
        <v>25</v>
      </c>
      <c r="G25" s="17" t="s">
        <v>9</v>
      </c>
      <c r="H25" s="17" t="s">
        <v>81</v>
      </c>
      <c r="I25" s="17">
        <f>'MERCADO TUSD'!$U$22+0.00000001</f>
        <v>1E-8</v>
      </c>
      <c r="J25" s="15"/>
      <c r="L25" s="12"/>
      <c r="M25" s="12"/>
      <c r="N25" s="12"/>
      <c r="O25" s="12"/>
      <c r="P25" s="12"/>
      <c r="Q25" s="12"/>
      <c r="R25" s="12"/>
      <c r="S25" s="12"/>
      <c r="T25" s="12"/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/>
      <c r="AC25" s="12">
        <v>8.7825000000000006</v>
      </c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P25" s="12"/>
    </row>
    <row r="26" spans="1:42" ht="11.25" customHeight="1" x14ac:dyDescent="0.25">
      <c r="A26" s="106"/>
      <c r="B26" s="106"/>
      <c r="C26" s="106"/>
      <c r="D26" s="106"/>
      <c r="E26" s="18" t="s">
        <v>90</v>
      </c>
      <c r="F26" s="18" t="s">
        <v>25</v>
      </c>
      <c r="G26" s="17" t="s">
        <v>9</v>
      </c>
      <c r="H26" s="17" t="s">
        <v>81</v>
      </c>
      <c r="I26" s="17">
        <f>'MERCADO TUSD'!$U$23+0.00000001</f>
        <v>1E-8</v>
      </c>
      <c r="J26" s="15"/>
      <c r="L26" s="12"/>
      <c r="M26" s="12"/>
      <c r="N26" s="12"/>
      <c r="O26" s="12"/>
      <c r="P26" s="12"/>
      <c r="Q26" s="12"/>
      <c r="R26" s="12"/>
      <c r="S26" s="12"/>
      <c r="T26" s="12"/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/>
      <c r="AC26" s="12">
        <v>15.2187</v>
      </c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P26" s="12"/>
    </row>
    <row r="27" spans="1:42" ht="11.25" customHeight="1" x14ac:dyDescent="0.25">
      <c r="A27" s="106" t="s">
        <v>22</v>
      </c>
      <c r="B27" s="106" t="s">
        <v>33</v>
      </c>
      <c r="C27" s="106" t="s">
        <v>24</v>
      </c>
      <c r="D27" s="106" t="s">
        <v>24</v>
      </c>
      <c r="E27" s="106" t="s">
        <v>25</v>
      </c>
      <c r="F27" s="106" t="s">
        <v>25</v>
      </c>
      <c r="G27" s="17" t="s">
        <v>79</v>
      </c>
      <c r="H27" s="17" t="s">
        <v>78</v>
      </c>
      <c r="I27" s="17">
        <f>'MERCADO TUSD'!$U$24</f>
        <v>6.9259999999999993</v>
      </c>
      <c r="J27" s="15"/>
      <c r="L27" s="12"/>
      <c r="M27" s="12"/>
      <c r="N27" s="12"/>
      <c r="O27" s="12"/>
      <c r="P27" s="12"/>
      <c r="Q27" s="12"/>
      <c r="R27" s="12"/>
      <c r="S27" s="12"/>
      <c r="T27" s="12"/>
      <c r="U27" s="12">
        <v>54.924999999999997</v>
      </c>
      <c r="V27" s="12">
        <v>19.030799999999999</v>
      </c>
      <c r="W27" s="12">
        <v>1.6524000000000001</v>
      </c>
      <c r="X27" s="12">
        <v>0</v>
      </c>
      <c r="Y27" s="12">
        <v>51.151200000000003</v>
      </c>
      <c r="Z27" s="12">
        <v>0</v>
      </c>
      <c r="AA27" s="12">
        <v>0</v>
      </c>
      <c r="AB27" s="12"/>
      <c r="AC27" s="12">
        <v>525.5009</v>
      </c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P27" s="12">
        <v>1</v>
      </c>
    </row>
    <row r="28" spans="1:42" ht="11.25" customHeight="1" x14ac:dyDescent="0.25">
      <c r="A28" s="106"/>
      <c r="B28" s="106"/>
      <c r="C28" s="106"/>
      <c r="D28" s="106"/>
      <c r="E28" s="106"/>
      <c r="F28" s="106"/>
      <c r="G28" s="17" t="s">
        <v>91</v>
      </c>
      <c r="H28" s="17" t="s">
        <v>78</v>
      </c>
      <c r="I28" s="17">
        <f>'MERCADO TUSD'!$U$25</f>
        <v>4.6099999999999994</v>
      </c>
      <c r="J28" s="15"/>
      <c r="L28" s="12"/>
      <c r="M28" s="12"/>
      <c r="N28" s="12"/>
      <c r="O28" s="12"/>
      <c r="P28" s="12"/>
      <c r="Q28" s="12"/>
      <c r="R28" s="12"/>
      <c r="S28" s="12"/>
      <c r="T28" s="12"/>
      <c r="U28" s="12">
        <v>32.954999999999998</v>
      </c>
      <c r="V28" s="12">
        <v>11.4185</v>
      </c>
      <c r="W28" s="12">
        <v>0.99139999999999995</v>
      </c>
      <c r="X28" s="12">
        <v>0</v>
      </c>
      <c r="Y28" s="12">
        <v>30.6907</v>
      </c>
      <c r="Z28" s="12">
        <v>0</v>
      </c>
      <c r="AA28" s="12">
        <v>0</v>
      </c>
      <c r="AB28" s="12"/>
      <c r="AC28" s="12">
        <v>315.3005</v>
      </c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P28" s="12">
        <v>1</v>
      </c>
    </row>
    <row r="29" spans="1:42" ht="11.25" customHeight="1" x14ac:dyDescent="0.25">
      <c r="A29" s="106"/>
      <c r="B29" s="106"/>
      <c r="C29" s="106"/>
      <c r="D29" s="106"/>
      <c r="E29" s="106"/>
      <c r="F29" s="106"/>
      <c r="G29" s="17" t="s">
        <v>80</v>
      </c>
      <c r="H29" s="17" t="s">
        <v>78</v>
      </c>
      <c r="I29" s="17">
        <f>'MERCADO TUSD'!$U$26</f>
        <v>73.14200000000001</v>
      </c>
      <c r="J29" s="15"/>
      <c r="L29" s="12"/>
      <c r="M29" s="12"/>
      <c r="N29" s="12"/>
      <c r="O29" s="12"/>
      <c r="P29" s="12"/>
      <c r="Q29" s="12"/>
      <c r="R29" s="12"/>
      <c r="S29" s="12"/>
      <c r="T29" s="12"/>
      <c r="U29" s="12">
        <v>10.984999999999999</v>
      </c>
      <c r="V29" s="12">
        <v>3.8062</v>
      </c>
      <c r="W29" s="12">
        <v>0.33050000000000002</v>
      </c>
      <c r="X29" s="12">
        <v>0</v>
      </c>
      <c r="Y29" s="12">
        <v>10.2302</v>
      </c>
      <c r="Z29" s="12">
        <v>0</v>
      </c>
      <c r="AA29" s="12">
        <v>0</v>
      </c>
      <c r="AB29" s="12"/>
      <c r="AC29" s="12">
        <v>105.1002</v>
      </c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P29" s="12">
        <v>1</v>
      </c>
    </row>
    <row r="30" spans="1:42" ht="11.25" customHeight="1" x14ac:dyDescent="0.25">
      <c r="A30" s="106"/>
      <c r="B30" s="106" t="s">
        <v>23</v>
      </c>
      <c r="C30" s="106" t="s">
        <v>24</v>
      </c>
      <c r="D30" s="18" t="s">
        <v>24</v>
      </c>
      <c r="E30" s="18" t="s">
        <v>25</v>
      </c>
      <c r="F30" s="18" t="s">
        <v>25</v>
      </c>
      <c r="G30" s="17" t="s">
        <v>84</v>
      </c>
      <c r="H30" s="17" t="s">
        <v>78</v>
      </c>
      <c r="I30" s="17">
        <f>'MERCADO TUSD'!$U$27</f>
        <v>216529.64400000003</v>
      </c>
      <c r="J30" s="15"/>
      <c r="L30" s="12"/>
      <c r="M30" s="12"/>
      <c r="N30" s="12"/>
      <c r="O30" s="12"/>
      <c r="P30" s="12"/>
      <c r="Q30" s="12"/>
      <c r="R30" s="12"/>
      <c r="S30" s="12"/>
      <c r="T30" s="12"/>
      <c r="U30" s="12">
        <v>17.164000000000001</v>
      </c>
      <c r="V30" s="12">
        <v>5.9470999999999998</v>
      </c>
      <c r="W30" s="12">
        <v>0.51639999999999997</v>
      </c>
      <c r="X30" s="12">
        <v>0</v>
      </c>
      <c r="Y30" s="12">
        <v>15.9847</v>
      </c>
      <c r="Z30" s="12">
        <v>0</v>
      </c>
      <c r="AA30" s="12">
        <v>0</v>
      </c>
      <c r="AB30" s="12"/>
      <c r="AC30" s="12">
        <v>164.21899999999999</v>
      </c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P30" s="12">
        <v>1</v>
      </c>
    </row>
    <row r="31" spans="1:42" ht="11.25" customHeight="1" x14ac:dyDescent="0.25">
      <c r="A31" s="106"/>
      <c r="B31" s="106"/>
      <c r="C31" s="106"/>
      <c r="D31" s="18" t="s">
        <v>29</v>
      </c>
      <c r="E31" s="18" t="s">
        <v>25</v>
      </c>
      <c r="F31" s="18" t="s">
        <v>25</v>
      </c>
      <c r="G31" s="17" t="s">
        <v>84</v>
      </c>
      <c r="H31" s="17" t="s">
        <v>78</v>
      </c>
      <c r="I31" s="17">
        <f>'MERCADO TUSD'!$U$28</f>
        <v>20401.981000000003</v>
      </c>
      <c r="J31" s="15"/>
      <c r="L31" s="12"/>
      <c r="M31" s="12"/>
      <c r="N31" s="12"/>
      <c r="O31" s="12"/>
      <c r="P31" s="12"/>
      <c r="Q31" s="12"/>
      <c r="R31" s="12"/>
      <c r="S31" s="12"/>
      <c r="T31" s="12"/>
      <c r="U31" s="12">
        <f>(1 - CUSTOS!$M$24)*17.164</f>
        <v>17.164000000000001</v>
      </c>
      <c r="V31" s="12">
        <f>(1 - CUSTOS!$M$24)*5.9471</f>
        <v>5.9470999999999998</v>
      </c>
      <c r="W31" s="12">
        <f>(1 - CUSTOS!$M$24)*0.5164</f>
        <v>0.51639999999999997</v>
      </c>
      <c r="X31" s="12">
        <v>0</v>
      </c>
      <c r="Y31" s="12">
        <f>(1 - CUSTOS!$M$24)*15.9847</f>
        <v>15.9847</v>
      </c>
      <c r="Z31" s="12">
        <v>0</v>
      </c>
      <c r="AA31" s="12">
        <v>0</v>
      </c>
      <c r="AB31" s="12"/>
      <c r="AC31" s="12">
        <f>(1 - CUSTOS!$M$24)*164.219</f>
        <v>164.21899999999999</v>
      </c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P31" s="12">
        <f>IF((1 - CUSTOS!$M$24)&lt;&gt;0,1/(1 - CUSTOS!$M$24),1)</f>
        <v>1</v>
      </c>
    </row>
    <row r="32" spans="1:42" ht="11.25" customHeight="1" x14ac:dyDescent="0.25">
      <c r="A32" s="106"/>
      <c r="B32" s="106"/>
      <c r="C32" s="106"/>
      <c r="D32" s="18" t="s">
        <v>30</v>
      </c>
      <c r="E32" s="18" t="s">
        <v>25</v>
      </c>
      <c r="F32" s="18" t="s">
        <v>25</v>
      </c>
      <c r="G32" s="17" t="s">
        <v>84</v>
      </c>
      <c r="H32" s="17" t="s">
        <v>78</v>
      </c>
      <c r="I32" s="17">
        <f>'MERCADO TUSD'!$U$29</f>
        <v>32706.754000000004</v>
      </c>
      <c r="J32" s="15"/>
      <c r="L32" s="12"/>
      <c r="M32" s="12"/>
      <c r="N32" s="12"/>
      <c r="O32" s="12"/>
      <c r="P32" s="12"/>
      <c r="Q32" s="12"/>
      <c r="R32" s="12"/>
      <c r="S32" s="12"/>
      <c r="T32" s="12"/>
      <c r="U32" s="12">
        <f>(1 - CUSTOS!$M$25)*17.164</f>
        <v>17.164000000000001</v>
      </c>
      <c r="V32" s="12">
        <f>(1 - CUSTOS!$M$25)*5.9471</f>
        <v>5.9470999999999998</v>
      </c>
      <c r="W32" s="12">
        <f>(1 - CUSTOS!$M$25)*0.5164</f>
        <v>0.51639999999999997</v>
      </c>
      <c r="X32" s="12">
        <v>0</v>
      </c>
      <c r="Y32" s="12">
        <f>(1 - CUSTOS!$M$25)*15.9847</f>
        <v>15.9847</v>
      </c>
      <c r="Z32" s="12">
        <v>0</v>
      </c>
      <c r="AA32" s="12">
        <v>0</v>
      </c>
      <c r="AB32" s="12"/>
      <c r="AC32" s="12">
        <f>(1 - CUSTOS!$M$25)*164.219</f>
        <v>164.21899999999999</v>
      </c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P32" s="12">
        <f>IF((1 - CUSTOS!$M$25)&lt;&gt;0,1/(1 - CUSTOS!$M$25),1)</f>
        <v>1</v>
      </c>
    </row>
    <row r="33" spans="1:42" ht="11.25" customHeight="1" x14ac:dyDescent="0.25">
      <c r="A33" s="106"/>
      <c r="B33" s="106"/>
      <c r="C33" s="106"/>
      <c r="D33" s="18" t="s">
        <v>31</v>
      </c>
      <c r="E33" s="18" t="s">
        <v>25</v>
      </c>
      <c r="F33" s="18" t="s">
        <v>25</v>
      </c>
      <c r="G33" s="17" t="s">
        <v>84</v>
      </c>
      <c r="H33" s="17" t="s">
        <v>78</v>
      </c>
      <c r="I33" s="17">
        <f>'MERCADO TUSD'!$U$30</f>
        <v>13213.162</v>
      </c>
      <c r="J33" s="15"/>
      <c r="L33" s="12"/>
      <c r="M33" s="12"/>
      <c r="N33" s="12"/>
      <c r="O33" s="12"/>
      <c r="P33" s="12"/>
      <c r="Q33" s="12"/>
      <c r="R33" s="12"/>
      <c r="S33" s="12"/>
      <c r="T33" s="12"/>
      <c r="U33" s="12">
        <f>(1 - CUSTOS!$M$26)*17.164</f>
        <v>17.164000000000001</v>
      </c>
      <c r="V33" s="12">
        <f>(1 - CUSTOS!$M$26)*5.9471</f>
        <v>5.9470999999999998</v>
      </c>
      <c r="W33" s="12">
        <f>(1 - CUSTOS!$M$26)*0.5164</f>
        <v>0.51639999999999997</v>
      </c>
      <c r="X33" s="12">
        <v>0</v>
      </c>
      <c r="Y33" s="12">
        <f>(1 - CUSTOS!$M$26)*15.9847</f>
        <v>15.9847</v>
      </c>
      <c r="Z33" s="12">
        <v>0</v>
      </c>
      <c r="AA33" s="12">
        <v>0</v>
      </c>
      <c r="AB33" s="12"/>
      <c r="AC33" s="12">
        <f>(1 - CUSTOS!$M$26)*164.219</f>
        <v>164.21899999999999</v>
      </c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P33" s="12">
        <f>IF((1 - CUSTOS!$M$26)&lt;&gt;0,1/(1 - CUSTOS!$M$26),1)</f>
        <v>1</v>
      </c>
    </row>
    <row r="34" spans="1:42" ht="11.25" customHeight="1" x14ac:dyDescent="0.25">
      <c r="A34" s="106"/>
      <c r="B34" s="106"/>
      <c r="C34" s="106"/>
      <c r="D34" s="18" t="s">
        <v>32</v>
      </c>
      <c r="E34" s="18" t="s">
        <v>25</v>
      </c>
      <c r="F34" s="18" t="s">
        <v>25</v>
      </c>
      <c r="G34" s="17" t="s">
        <v>84</v>
      </c>
      <c r="H34" s="17" t="s">
        <v>78</v>
      </c>
      <c r="I34" s="17">
        <f>'MERCADO TUSD'!$U$31</f>
        <v>2931.0630000000001</v>
      </c>
      <c r="J34" s="15"/>
      <c r="L34" s="12"/>
      <c r="M34" s="12"/>
      <c r="N34" s="12"/>
      <c r="O34" s="12"/>
      <c r="P34" s="12"/>
      <c r="Q34" s="12"/>
      <c r="R34" s="12"/>
      <c r="S34" s="12"/>
      <c r="T34" s="12"/>
      <c r="U34" s="12">
        <f>(1 - CUSTOS!$M$27)*17.164</f>
        <v>17.164000000000001</v>
      </c>
      <c r="V34" s="12">
        <f>(1 - CUSTOS!$M$27)*5.9471</f>
        <v>5.9470999999999998</v>
      </c>
      <c r="W34" s="12">
        <f>(1 - CUSTOS!$M$27)*0.5164</f>
        <v>0.51639999999999997</v>
      </c>
      <c r="X34" s="12">
        <v>0</v>
      </c>
      <c r="Y34" s="12">
        <f>(1 - CUSTOS!$M$27)*15.9847</f>
        <v>15.9847</v>
      </c>
      <c r="Z34" s="12">
        <v>0</v>
      </c>
      <c r="AA34" s="12">
        <v>0</v>
      </c>
      <c r="AB34" s="12"/>
      <c r="AC34" s="12">
        <f>(1 - CUSTOS!$M$27)*164.219</f>
        <v>164.21899999999999</v>
      </c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P34" s="12">
        <f>IF((1 - CUSTOS!$M$27)&lt;&gt;0,1/(1 - CUSTOS!$M$27),1)</f>
        <v>1</v>
      </c>
    </row>
    <row r="35" spans="1:42" ht="11.25" customHeight="1" x14ac:dyDescent="0.25">
      <c r="A35" s="106"/>
      <c r="B35" s="106" t="s">
        <v>93</v>
      </c>
      <c r="C35" s="106" t="s">
        <v>24</v>
      </c>
      <c r="D35" s="18" t="s">
        <v>24</v>
      </c>
      <c r="E35" s="18" t="s">
        <v>25</v>
      </c>
      <c r="F35" s="18" t="s">
        <v>25</v>
      </c>
      <c r="G35" s="17" t="s">
        <v>84</v>
      </c>
      <c r="H35" s="17" t="s">
        <v>78</v>
      </c>
      <c r="I35" s="17">
        <f>'MERCADO TUSD'!$U$32</f>
        <v>0</v>
      </c>
      <c r="J35" s="15"/>
      <c r="L35" s="12"/>
      <c r="M35" s="12"/>
      <c r="N35" s="12"/>
      <c r="O35" s="12"/>
      <c r="P35" s="12"/>
      <c r="Q35" s="12"/>
      <c r="R35" s="12"/>
      <c r="S35" s="12"/>
      <c r="T35" s="12"/>
      <c r="U35" s="12">
        <v>17.164000000000001</v>
      </c>
      <c r="V35" s="12">
        <v>5.9470999999999998</v>
      </c>
      <c r="W35" s="12">
        <v>0.51639999999999997</v>
      </c>
      <c r="X35" s="12">
        <v>0</v>
      </c>
      <c r="Y35" s="12">
        <v>15.9847</v>
      </c>
      <c r="Z35" s="12">
        <v>0</v>
      </c>
      <c r="AA35" s="12">
        <v>0</v>
      </c>
      <c r="AB35" s="12"/>
      <c r="AC35" s="12">
        <v>164.21899999999999</v>
      </c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P35" s="12">
        <v>1</v>
      </c>
    </row>
    <row r="36" spans="1:42" ht="11.25" customHeight="1" x14ac:dyDescent="0.25">
      <c r="A36" s="106"/>
      <c r="B36" s="106"/>
      <c r="C36" s="106"/>
      <c r="D36" s="18" t="s">
        <v>29</v>
      </c>
      <c r="E36" s="18" t="s">
        <v>25</v>
      </c>
      <c r="F36" s="18" t="s">
        <v>25</v>
      </c>
      <c r="G36" s="17" t="s">
        <v>84</v>
      </c>
      <c r="H36" s="17" t="s">
        <v>78</v>
      </c>
      <c r="I36" s="17">
        <f>'MERCADO TUSD'!$U$33</f>
        <v>0</v>
      </c>
      <c r="J36" s="15"/>
      <c r="L36" s="12"/>
      <c r="M36" s="12"/>
      <c r="N36" s="12"/>
      <c r="O36" s="12"/>
      <c r="P36" s="12"/>
      <c r="Q36" s="12"/>
      <c r="R36" s="12"/>
      <c r="S36" s="12"/>
      <c r="T36" s="12"/>
      <c r="U36" s="12">
        <f>(1 - CUSTOS!$M$24)*17.164</f>
        <v>17.164000000000001</v>
      </c>
      <c r="V36" s="12">
        <f>(1 - CUSTOS!$M$24)*5.9471</f>
        <v>5.9470999999999998</v>
      </c>
      <c r="W36" s="12">
        <f>(1 - CUSTOS!$M$24)*0.5164</f>
        <v>0.51639999999999997</v>
      </c>
      <c r="X36" s="12">
        <v>0</v>
      </c>
      <c r="Y36" s="12">
        <f>(1 - CUSTOS!$M$24)*15.9847</f>
        <v>15.9847</v>
      </c>
      <c r="Z36" s="12">
        <v>0</v>
      </c>
      <c r="AA36" s="12">
        <v>0</v>
      </c>
      <c r="AB36" s="12"/>
      <c r="AC36" s="12">
        <f>(1 - CUSTOS!$M$24)*164.219</f>
        <v>164.21899999999999</v>
      </c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P36" s="12">
        <f>IF((1 - CUSTOS!$M$24)&lt;&gt;0,1/(1 - CUSTOS!$M$24),1)</f>
        <v>1</v>
      </c>
    </row>
    <row r="37" spans="1:42" ht="11.25" customHeight="1" x14ac:dyDescent="0.25">
      <c r="A37" s="106"/>
      <c r="B37" s="106"/>
      <c r="C37" s="106"/>
      <c r="D37" s="18" t="s">
        <v>30</v>
      </c>
      <c r="E37" s="18" t="s">
        <v>25</v>
      </c>
      <c r="F37" s="18" t="s">
        <v>25</v>
      </c>
      <c r="G37" s="17" t="s">
        <v>84</v>
      </c>
      <c r="H37" s="17" t="s">
        <v>78</v>
      </c>
      <c r="I37" s="17">
        <f>'MERCADO TUSD'!$U$34</f>
        <v>0</v>
      </c>
      <c r="J37" s="15"/>
      <c r="L37" s="12"/>
      <c r="M37" s="12"/>
      <c r="N37" s="12"/>
      <c r="O37" s="12"/>
      <c r="P37" s="12"/>
      <c r="Q37" s="12"/>
      <c r="R37" s="12"/>
      <c r="S37" s="12"/>
      <c r="T37" s="12"/>
      <c r="U37" s="12">
        <f>(1 - CUSTOS!$M$25)*17.164</f>
        <v>17.164000000000001</v>
      </c>
      <c r="V37" s="12">
        <f>(1 - CUSTOS!$M$25)*5.9471</f>
        <v>5.9470999999999998</v>
      </c>
      <c r="W37" s="12">
        <f>(1 - CUSTOS!$M$25)*0.5164</f>
        <v>0.51639999999999997</v>
      </c>
      <c r="X37" s="12">
        <v>0</v>
      </c>
      <c r="Y37" s="12">
        <f>(1 - CUSTOS!$M$25)*15.9847</f>
        <v>15.9847</v>
      </c>
      <c r="Z37" s="12">
        <v>0</v>
      </c>
      <c r="AA37" s="12">
        <v>0</v>
      </c>
      <c r="AB37" s="12"/>
      <c r="AC37" s="12">
        <f>(1 - CUSTOS!$M$25)*164.219</f>
        <v>164.21899999999999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P37" s="12">
        <f>IF((1 - CUSTOS!$M$25)&lt;&gt;0,1/(1 - CUSTOS!$M$25),1)</f>
        <v>1</v>
      </c>
    </row>
    <row r="38" spans="1:42" ht="11.25" customHeight="1" x14ac:dyDescent="0.25">
      <c r="A38" s="106"/>
      <c r="B38" s="106"/>
      <c r="C38" s="106"/>
      <c r="D38" s="18" t="s">
        <v>31</v>
      </c>
      <c r="E38" s="18" t="s">
        <v>25</v>
      </c>
      <c r="F38" s="18" t="s">
        <v>25</v>
      </c>
      <c r="G38" s="17" t="s">
        <v>84</v>
      </c>
      <c r="H38" s="17" t="s">
        <v>78</v>
      </c>
      <c r="I38" s="17">
        <f>'MERCADO TUSD'!$U$35</f>
        <v>0</v>
      </c>
      <c r="J38" s="15"/>
      <c r="L38" s="12"/>
      <c r="M38" s="12"/>
      <c r="N38" s="12"/>
      <c r="O38" s="12"/>
      <c r="P38" s="12"/>
      <c r="Q38" s="12"/>
      <c r="R38" s="12"/>
      <c r="S38" s="12"/>
      <c r="T38" s="12"/>
      <c r="U38" s="12">
        <f>(1 - CUSTOS!$M$26)*17.164</f>
        <v>17.164000000000001</v>
      </c>
      <c r="V38" s="12">
        <f>(1 - CUSTOS!$M$26)*5.9471</f>
        <v>5.9470999999999998</v>
      </c>
      <c r="W38" s="12">
        <f>(1 - CUSTOS!$M$26)*0.5164</f>
        <v>0.51639999999999997</v>
      </c>
      <c r="X38" s="12">
        <v>0</v>
      </c>
      <c r="Y38" s="12">
        <f>(1 - CUSTOS!$M$26)*15.9847</f>
        <v>15.9847</v>
      </c>
      <c r="Z38" s="12">
        <v>0</v>
      </c>
      <c r="AA38" s="12">
        <v>0</v>
      </c>
      <c r="AB38" s="12"/>
      <c r="AC38" s="12">
        <f>(1 - CUSTOS!$M$26)*164.219</f>
        <v>164.21899999999999</v>
      </c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P38" s="12">
        <f>IF((1 - CUSTOS!$M$26)&lt;&gt;0,1/(1 - CUSTOS!$M$26),1)</f>
        <v>1</v>
      </c>
    </row>
    <row r="39" spans="1:42" ht="11.25" customHeight="1" x14ac:dyDescent="0.25">
      <c r="A39" s="106"/>
      <c r="B39" s="106"/>
      <c r="C39" s="106"/>
      <c r="D39" s="18" t="s">
        <v>32</v>
      </c>
      <c r="E39" s="18" t="s">
        <v>25</v>
      </c>
      <c r="F39" s="18" t="s">
        <v>25</v>
      </c>
      <c r="G39" s="17" t="s">
        <v>84</v>
      </c>
      <c r="H39" s="17" t="s">
        <v>78</v>
      </c>
      <c r="I39" s="17">
        <f>'MERCADO TUSD'!$U$36</f>
        <v>0</v>
      </c>
      <c r="J39" s="15"/>
      <c r="L39" s="12"/>
      <c r="M39" s="12"/>
      <c r="N39" s="12"/>
      <c r="O39" s="12"/>
      <c r="P39" s="12"/>
      <c r="Q39" s="12"/>
      <c r="R39" s="12"/>
      <c r="S39" s="12"/>
      <c r="T39" s="12"/>
      <c r="U39" s="12">
        <f>(1 - CUSTOS!$M$27)*17.164</f>
        <v>17.164000000000001</v>
      </c>
      <c r="V39" s="12">
        <f>(1 - CUSTOS!$M$27)*5.9471</f>
        <v>5.9470999999999998</v>
      </c>
      <c r="W39" s="12">
        <f>(1 - CUSTOS!$M$27)*0.5164</f>
        <v>0.51639999999999997</v>
      </c>
      <c r="X39" s="12">
        <v>0</v>
      </c>
      <c r="Y39" s="12">
        <f>(1 - CUSTOS!$M$27)*15.9847</f>
        <v>15.9847</v>
      </c>
      <c r="Z39" s="12">
        <v>0</v>
      </c>
      <c r="AA39" s="12">
        <v>0</v>
      </c>
      <c r="AB39" s="12"/>
      <c r="AC39" s="12">
        <f>(1 - CUSTOS!$M$27)*164.219</f>
        <v>164.21899999999999</v>
      </c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P39" s="12">
        <f>IF((1 - CUSTOS!$M$27)&lt;&gt;0,1/(1 - CUSTOS!$M$27),1)</f>
        <v>1</v>
      </c>
    </row>
    <row r="40" spans="1:42" ht="11.25" customHeight="1" x14ac:dyDescent="0.25">
      <c r="A40" s="106" t="s">
        <v>43</v>
      </c>
      <c r="B40" s="106" t="s">
        <v>33</v>
      </c>
      <c r="C40" s="106" t="s">
        <v>44</v>
      </c>
      <c r="D40" s="106" t="s">
        <v>25</v>
      </c>
      <c r="E40" s="106" t="s">
        <v>25</v>
      </c>
      <c r="F40" s="106" t="s">
        <v>25</v>
      </c>
      <c r="G40" s="17" t="s">
        <v>79</v>
      </c>
      <c r="H40" s="17" t="s">
        <v>78</v>
      </c>
      <c r="I40" s="17">
        <f>'MERCADO TUSD'!$U$37</f>
        <v>0.16600000000000004</v>
      </c>
      <c r="J40" s="15"/>
      <c r="L40" s="12"/>
      <c r="M40" s="12"/>
      <c r="N40" s="12"/>
      <c r="O40" s="12"/>
      <c r="P40" s="12"/>
      <c r="Q40" s="12"/>
      <c r="R40" s="12"/>
      <c r="S40" s="12"/>
      <c r="T40" s="12"/>
      <c r="U40" s="12">
        <f>(1 - CUSTOS!$M$28)*54.925</f>
        <v>54.924999999999997</v>
      </c>
      <c r="V40" s="12">
        <f>(1 - CUSTOS!$M$28)*19.0308</f>
        <v>19.030799999999999</v>
      </c>
      <c r="W40" s="12">
        <f>(1 - CUSTOS!$M$28)*1.6524</f>
        <v>1.6524000000000001</v>
      </c>
      <c r="X40" s="12">
        <v>0</v>
      </c>
      <c r="Y40" s="12">
        <f>(1 - CUSTOS!$M$28)*51.1512</f>
        <v>51.151200000000003</v>
      </c>
      <c r="Z40" s="12">
        <v>0</v>
      </c>
      <c r="AA40" s="12">
        <v>0</v>
      </c>
      <c r="AB40" s="12"/>
      <c r="AC40" s="12">
        <f>(1 - CUSTOS!$M$28)*525.5009</f>
        <v>525.5009</v>
      </c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P40" s="12">
        <f>IF((1 - CUSTOS!$M$28)&lt;&gt;0,1/(1 - CUSTOS!$M$28),1)</f>
        <v>1</v>
      </c>
    </row>
    <row r="41" spans="1:42" ht="11.25" customHeight="1" x14ac:dyDescent="0.25">
      <c r="A41" s="106"/>
      <c r="B41" s="106"/>
      <c r="C41" s="106"/>
      <c r="D41" s="106"/>
      <c r="E41" s="106"/>
      <c r="F41" s="106"/>
      <c r="G41" s="17" t="s">
        <v>91</v>
      </c>
      <c r="H41" s="17" t="s">
        <v>78</v>
      </c>
      <c r="I41" s="17">
        <f>'MERCADO TUSD'!$U$38</f>
        <v>0.14499999999999999</v>
      </c>
      <c r="J41" s="15"/>
      <c r="L41" s="12"/>
      <c r="M41" s="12"/>
      <c r="N41" s="12"/>
      <c r="O41" s="12"/>
      <c r="P41" s="12"/>
      <c r="Q41" s="12"/>
      <c r="R41" s="12"/>
      <c r="S41" s="12"/>
      <c r="T41" s="12"/>
      <c r="U41" s="12">
        <f>(1 - CUSTOS!$M$28)*32.955</f>
        <v>32.954999999999998</v>
      </c>
      <c r="V41" s="12">
        <f>(1 - CUSTOS!$M$28)*11.4185</f>
        <v>11.4185</v>
      </c>
      <c r="W41" s="12">
        <f>(1 - CUSTOS!$M$28)*0.9914</f>
        <v>0.99139999999999995</v>
      </c>
      <c r="X41" s="12">
        <v>0</v>
      </c>
      <c r="Y41" s="12">
        <f>(1 - CUSTOS!$M$28)*30.6907</f>
        <v>30.6907</v>
      </c>
      <c r="Z41" s="12">
        <v>0</v>
      </c>
      <c r="AA41" s="12">
        <v>0</v>
      </c>
      <c r="AB41" s="12"/>
      <c r="AC41" s="12">
        <f>(1 - CUSTOS!$M$28)*315.3005</f>
        <v>315.3005</v>
      </c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P41" s="12">
        <f>IF((1 - CUSTOS!$M$28)&lt;&gt;0,1/(1 - CUSTOS!$M$28),1)</f>
        <v>1</v>
      </c>
    </row>
    <row r="42" spans="1:42" ht="11.25" customHeight="1" x14ac:dyDescent="0.25">
      <c r="A42" s="106"/>
      <c r="B42" s="106"/>
      <c r="C42" s="106"/>
      <c r="D42" s="106"/>
      <c r="E42" s="106"/>
      <c r="F42" s="106"/>
      <c r="G42" s="17" t="s">
        <v>80</v>
      </c>
      <c r="H42" s="17" t="s">
        <v>78</v>
      </c>
      <c r="I42" s="17">
        <f>'MERCADO TUSD'!$U$39</f>
        <v>3.37</v>
      </c>
      <c r="J42" s="15"/>
      <c r="L42" s="12"/>
      <c r="M42" s="12"/>
      <c r="N42" s="12"/>
      <c r="O42" s="12"/>
      <c r="P42" s="12"/>
      <c r="Q42" s="12"/>
      <c r="R42" s="12"/>
      <c r="S42" s="12"/>
      <c r="T42" s="12"/>
      <c r="U42" s="12">
        <f>(1 - CUSTOS!$M$28)*10.985</f>
        <v>10.984999999999999</v>
      </c>
      <c r="V42" s="12">
        <f>(1 - CUSTOS!$M$28)*3.8062</f>
        <v>3.8062</v>
      </c>
      <c r="W42" s="12">
        <f>(1 - CUSTOS!$M$28)*0.3305</f>
        <v>0.33050000000000002</v>
      </c>
      <c r="X42" s="12">
        <v>0</v>
      </c>
      <c r="Y42" s="12">
        <f>(1 - CUSTOS!$M$28)*10.2302</f>
        <v>10.2302</v>
      </c>
      <c r="Z42" s="12">
        <v>0</v>
      </c>
      <c r="AA42" s="12">
        <v>0</v>
      </c>
      <c r="AB42" s="12"/>
      <c r="AC42" s="12">
        <f>(1 - CUSTOS!$M$28)*105.1002</f>
        <v>105.1002</v>
      </c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P42" s="12">
        <f>IF((1 - CUSTOS!$M$28)&lt;&gt;0,1/(1 - CUSTOS!$M$28),1)</f>
        <v>1</v>
      </c>
    </row>
    <row r="43" spans="1:42" ht="11.25" customHeight="1" x14ac:dyDescent="0.25">
      <c r="A43" s="106"/>
      <c r="B43" s="18" t="s">
        <v>23</v>
      </c>
      <c r="C43" s="18" t="s">
        <v>44</v>
      </c>
      <c r="D43" s="18" t="s">
        <v>25</v>
      </c>
      <c r="E43" s="18" t="s">
        <v>25</v>
      </c>
      <c r="F43" s="18" t="s">
        <v>25</v>
      </c>
      <c r="G43" s="17" t="s">
        <v>84</v>
      </c>
      <c r="H43" s="17" t="s">
        <v>78</v>
      </c>
      <c r="I43" s="17">
        <f>'MERCADO TUSD'!$U$40</f>
        <v>23741.584000000003</v>
      </c>
      <c r="J43" s="15"/>
      <c r="L43" s="12"/>
      <c r="M43" s="12"/>
      <c r="N43" s="12"/>
      <c r="O43" s="12"/>
      <c r="P43" s="12"/>
      <c r="Q43" s="12"/>
      <c r="R43" s="12"/>
      <c r="S43" s="12"/>
      <c r="T43" s="12"/>
      <c r="U43" s="12">
        <f>(1 - CUSTOS!$M$28)*17.164</f>
        <v>17.164000000000001</v>
      </c>
      <c r="V43" s="12">
        <f>(1 - CUSTOS!$M$28)*5.9471</f>
        <v>5.9470999999999998</v>
      </c>
      <c r="W43" s="12">
        <f>(1 - CUSTOS!$M$28)*0.5164</f>
        <v>0.51639999999999997</v>
      </c>
      <c r="X43" s="12">
        <v>0</v>
      </c>
      <c r="Y43" s="12">
        <f>(1 - CUSTOS!$M$28)*15.9847</f>
        <v>15.9847</v>
      </c>
      <c r="Z43" s="12">
        <v>0</v>
      </c>
      <c r="AA43" s="12">
        <v>0</v>
      </c>
      <c r="AB43" s="12"/>
      <c r="AC43" s="12">
        <f>(1 - CUSTOS!$M$28)*164.219</f>
        <v>164.21899999999999</v>
      </c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P43" s="12">
        <f>IF((1 - CUSTOS!$M$28)&lt;&gt;0,1/(1 - CUSTOS!$M$28),1)</f>
        <v>1</v>
      </c>
    </row>
    <row r="44" spans="1:42" ht="11.25" customHeight="1" x14ac:dyDescent="0.25">
      <c r="A44" s="106"/>
      <c r="B44" s="106" t="s">
        <v>33</v>
      </c>
      <c r="C44" s="106" t="s">
        <v>44</v>
      </c>
      <c r="D44" s="106" t="s">
        <v>94</v>
      </c>
      <c r="E44" s="106" t="s">
        <v>25</v>
      </c>
      <c r="F44" s="106" t="s">
        <v>25</v>
      </c>
      <c r="G44" s="17" t="s">
        <v>79</v>
      </c>
      <c r="H44" s="17" t="s">
        <v>78</v>
      </c>
      <c r="I44" s="17">
        <f>'MERCADO TUSD'!$U$41</f>
        <v>0</v>
      </c>
      <c r="J44" s="15"/>
      <c r="L44" s="12"/>
      <c r="M44" s="12"/>
      <c r="N44" s="12"/>
      <c r="O44" s="12"/>
      <c r="P44" s="12"/>
      <c r="Q44" s="12"/>
      <c r="R44" s="12"/>
      <c r="S44" s="12"/>
      <c r="T44" s="12"/>
      <c r="U44" s="12">
        <f>(1 - CUSTOS!$M$29)*54.925</f>
        <v>54.924999999999997</v>
      </c>
      <c r="V44" s="12">
        <f>(1 - CUSTOS!$M$29)*19.0308</f>
        <v>19.030799999999999</v>
      </c>
      <c r="W44" s="12">
        <f>(1 - CUSTOS!$M$29)*1.6524</f>
        <v>1.6524000000000001</v>
      </c>
      <c r="X44" s="12">
        <v>0</v>
      </c>
      <c r="Y44" s="12">
        <f>(1 - CUSTOS!$M$29)*51.1512</f>
        <v>51.151200000000003</v>
      </c>
      <c r="Z44" s="12">
        <v>0</v>
      </c>
      <c r="AA44" s="12">
        <v>0</v>
      </c>
      <c r="AB44" s="12"/>
      <c r="AC44" s="12">
        <f>(1 - CUSTOS!$M$29)*525.5009</f>
        <v>525.5009</v>
      </c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P44" s="12">
        <f>IF((1 - CUSTOS!$M$29)&lt;&gt;0,1/(1 - CUSTOS!$M$29),1)</f>
        <v>1</v>
      </c>
    </row>
    <row r="45" spans="1:42" ht="11.25" customHeight="1" x14ac:dyDescent="0.25">
      <c r="A45" s="106"/>
      <c r="B45" s="106"/>
      <c r="C45" s="106"/>
      <c r="D45" s="106"/>
      <c r="E45" s="106"/>
      <c r="F45" s="106"/>
      <c r="G45" s="17" t="s">
        <v>91</v>
      </c>
      <c r="H45" s="17" t="s">
        <v>78</v>
      </c>
      <c r="I45" s="17">
        <f>'MERCADO TUSD'!$U$42</f>
        <v>0</v>
      </c>
      <c r="J45" s="15"/>
      <c r="L45" s="12"/>
      <c r="M45" s="12"/>
      <c r="N45" s="12"/>
      <c r="O45" s="12"/>
      <c r="P45" s="12"/>
      <c r="Q45" s="12"/>
      <c r="R45" s="12"/>
      <c r="S45" s="12"/>
      <c r="T45" s="12"/>
      <c r="U45" s="12">
        <f>(1 - CUSTOS!$M$29)*32.955</f>
        <v>32.954999999999998</v>
      </c>
      <c r="V45" s="12">
        <f>(1 - CUSTOS!$M$29)*11.4185</f>
        <v>11.4185</v>
      </c>
      <c r="W45" s="12">
        <f>(1 - CUSTOS!$M$29)*0.9914</f>
        <v>0.99139999999999995</v>
      </c>
      <c r="X45" s="12">
        <v>0</v>
      </c>
      <c r="Y45" s="12">
        <f>(1 - CUSTOS!$M$29)*30.6907</f>
        <v>30.6907</v>
      </c>
      <c r="Z45" s="12">
        <v>0</v>
      </c>
      <c r="AA45" s="12">
        <v>0</v>
      </c>
      <c r="AB45" s="12"/>
      <c r="AC45" s="12">
        <f>(1 - CUSTOS!$M$29)*315.3005</f>
        <v>315.3005</v>
      </c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P45" s="12">
        <f>IF((1 - CUSTOS!$M$29)&lt;&gt;0,1/(1 - CUSTOS!$M$29),1)</f>
        <v>1</v>
      </c>
    </row>
    <row r="46" spans="1:42" ht="11.25" customHeight="1" x14ac:dyDescent="0.25">
      <c r="A46" s="106"/>
      <c r="B46" s="106"/>
      <c r="C46" s="106"/>
      <c r="D46" s="106"/>
      <c r="E46" s="106"/>
      <c r="F46" s="106"/>
      <c r="G46" s="17" t="s">
        <v>80</v>
      </c>
      <c r="H46" s="17" t="s">
        <v>78</v>
      </c>
      <c r="I46" s="17">
        <f>'MERCADO TUSD'!$U$43</f>
        <v>0</v>
      </c>
      <c r="J46" s="15"/>
      <c r="L46" s="12"/>
      <c r="M46" s="12"/>
      <c r="N46" s="12"/>
      <c r="O46" s="12"/>
      <c r="P46" s="12"/>
      <c r="Q46" s="12"/>
      <c r="R46" s="12"/>
      <c r="S46" s="12"/>
      <c r="T46" s="12"/>
      <c r="U46" s="12">
        <f>(1 - CUSTOS!$M$29)*10.985</f>
        <v>10.984999999999999</v>
      </c>
      <c r="V46" s="12">
        <f>(1 - CUSTOS!$M$29)*3.8062</f>
        <v>3.8062</v>
      </c>
      <c r="W46" s="12">
        <f>(1 - CUSTOS!$M$29)*0.3305</f>
        <v>0.33050000000000002</v>
      </c>
      <c r="X46" s="12">
        <v>0</v>
      </c>
      <c r="Y46" s="12">
        <f>(1 - CUSTOS!$M$29)*10.2302</f>
        <v>10.2302</v>
      </c>
      <c r="Z46" s="12">
        <v>0</v>
      </c>
      <c r="AA46" s="12">
        <v>0</v>
      </c>
      <c r="AB46" s="12"/>
      <c r="AC46" s="12">
        <f>(1 - CUSTOS!$M$29)*105.1002</f>
        <v>105.1002</v>
      </c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P46" s="12">
        <f>IF((1 - CUSTOS!$M$29)&lt;&gt;0,1/(1 - CUSTOS!$M$29),1)</f>
        <v>1</v>
      </c>
    </row>
    <row r="47" spans="1:42" ht="11.25" customHeight="1" x14ac:dyDescent="0.25">
      <c r="A47" s="106"/>
      <c r="B47" s="18" t="s">
        <v>23</v>
      </c>
      <c r="C47" s="18" t="s">
        <v>44</v>
      </c>
      <c r="D47" s="18" t="s">
        <v>94</v>
      </c>
      <c r="E47" s="18" t="s">
        <v>25</v>
      </c>
      <c r="F47" s="18" t="s">
        <v>25</v>
      </c>
      <c r="G47" s="17" t="s">
        <v>84</v>
      </c>
      <c r="H47" s="17" t="s">
        <v>78</v>
      </c>
      <c r="I47" s="17">
        <f>'MERCADO TUSD'!$U$44</f>
        <v>0</v>
      </c>
      <c r="J47" s="15"/>
      <c r="L47" s="12"/>
      <c r="M47" s="12"/>
      <c r="N47" s="12"/>
      <c r="O47" s="12"/>
      <c r="P47" s="12"/>
      <c r="Q47" s="12"/>
      <c r="R47" s="12"/>
      <c r="S47" s="12"/>
      <c r="T47" s="12"/>
      <c r="U47" s="12">
        <f>(1 - CUSTOS!$M$29)*17.164</f>
        <v>17.164000000000001</v>
      </c>
      <c r="V47" s="12">
        <f>(1 - CUSTOS!$M$29)*5.9471</f>
        <v>5.9470999999999998</v>
      </c>
      <c r="W47" s="12">
        <f>(1 - CUSTOS!$M$29)*0.5164</f>
        <v>0.51639999999999997</v>
      </c>
      <c r="X47" s="12">
        <v>0</v>
      </c>
      <c r="Y47" s="12">
        <f>(1 - CUSTOS!$M$29)*15.9847</f>
        <v>15.9847</v>
      </c>
      <c r="Z47" s="12">
        <v>0</v>
      </c>
      <c r="AA47" s="12">
        <v>0</v>
      </c>
      <c r="AB47" s="12"/>
      <c r="AC47" s="12">
        <f>(1 - CUSTOS!$M$29)*164.219</f>
        <v>164.21899999999999</v>
      </c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P47" s="12">
        <f>IF((1 - CUSTOS!$M$29)&lt;&gt;0,1/(1 - CUSTOS!$M$29),1)</f>
        <v>1</v>
      </c>
    </row>
    <row r="48" spans="1:42" ht="11.25" customHeight="1" x14ac:dyDescent="0.25">
      <c r="A48" s="106"/>
      <c r="B48" s="106" t="s">
        <v>33</v>
      </c>
      <c r="C48" s="106" t="s">
        <v>44</v>
      </c>
      <c r="D48" s="106" t="s">
        <v>95</v>
      </c>
      <c r="E48" s="106" t="s">
        <v>25</v>
      </c>
      <c r="F48" s="106" t="s">
        <v>25</v>
      </c>
      <c r="G48" s="17" t="s">
        <v>79</v>
      </c>
      <c r="H48" s="17" t="s">
        <v>78</v>
      </c>
      <c r="I48" s="17">
        <f>'MERCADO TUSD'!$U$45</f>
        <v>0</v>
      </c>
      <c r="J48" s="15"/>
      <c r="L48" s="12"/>
      <c r="M48" s="12"/>
      <c r="N48" s="12"/>
      <c r="O48" s="12"/>
      <c r="P48" s="12"/>
      <c r="Q48" s="12"/>
      <c r="R48" s="12"/>
      <c r="S48" s="12"/>
      <c r="T48" s="12"/>
      <c r="U48" s="12">
        <f>(1 - CUSTOS!$M$30)*54.925</f>
        <v>54.924999999999997</v>
      </c>
      <c r="V48" s="12">
        <f>(1 - CUSTOS!$M$30)*19.0308</f>
        <v>19.030799999999999</v>
      </c>
      <c r="W48" s="12">
        <f>(1 - CUSTOS!$M$30)*1.6524</f>
        <v>1.6524000000000001</v>
      </c>
      <c r="X48" s="12">
        <v>0</v>
      </c>
      <c r="Y48" s="12">
        <f>(1 - CUSTOS!$M$30)*51.1512</f>
        <v>51.151200000000003</v>
      </c>
      <c r="Z48" s="12">
        <v>0</v>
      </c>
      <c r="AA48" s="12">
        <v>0</v>
      </c>
      <c r="AB48" s="12"/>
      <c r="AC48" s="12">
        <f>(1 - CUSTOS!$M$30)*525.5009</f>
        <v>525.5009</v>
      </c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P48" s="12">
        <f>IF((1 - CUSTOS!$M$30)&lt;&gt;0,1/(1 - CUSTOS!$M$30),1)</f>
        <v>1</v>
      </c>
    </row>
    <row r="49" spans="1:42" ht="11.25" customHeight="1" x14ac:dyDescent="0.25">
      <c r="A49" s="106"/>
      <c r="B49" s="106"/>
      <c r="C49" s="106"/>
      <c r="D49" s="106"/>
      <c r="E49" s="106"/>
      <c r="F49" s="106"/>
      <c r="G49" s="17" t="s">
        <v>91</v>
      </c>
      <c r="H49" s="17" t="s">
        <v>78</v>
      </c>
      <c r="I49" s="17">
        <f>'MERCADO TUSD'!$U$46</f>
        <v>0</v>
      </c>
      <c r="J49" s="15"/>
      <c r="L49" s="12"/>
      <c r="M49" s="12"/>
      <c r="N49" s="12"/>
      <c r="O49" s="12"/>
      <c r="P49" s="12"/>
      <c r="Q49" s="12"/>
      <c r="R49" s="12"/>
      <c r="S49" s="12"/>
      <c r="T49" s="12"/>
      <c r="U49" s="12">
        <f>(1 - CUSTOS!$M$30)*32.955</f>
        <v>32.954999999999998</v>
      </c>
      <c r="V49" s="12">
        <f>(1 - CUSTOS!$M$30)*11.4185</f>
        <v>11.4185</v>
      </c>
      <c r="W49" s="12">
        <f>(1 - CUSTOS!$M$30)*0.9914</f>
        <v>0.99139999999999995</v>
      </c>
      <c r="X49" s="12">
        <v>0</v>
      </c>
      <c r="Y49" s="12">
        <f>(1 - CUSTOS!$M$30)*30.6907</f>
        <v>30.6907</v>
      </c>
      <c r="Z49" s="12">
        <v>0</v>
      </c>
      <c r="AA49" s="12">
        <v>0</v>
      </c>
      <c r="AB49" s="12"/>
      <c r="AC49" s="12">
        <f>(1 - CUSTOS!$M$30)*315.3005</f>
        <v>315.3005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P49" s="12">
        <f>IF((1 - CUSTOS!$M$30)&lt;&gt;0,1/(1 - CUSTOS!$M$30),1)</f>
        <v>1</v>
      </c>
    </row>
    <row r="50" spans="1:42" ht="11.25" customHeight="1" x14ac:dyDescent="0.25">
      <c r="A50" s="106"/>
      <c r="B50" s="106"/>
      <c r="C50" s="106"/>
      <c r="D50" s="106"/>
      <c r="E50" s="106"/>
      <c r="F50" s="106"/>
      <c r="G50" s="17" t="s">
        <v>80</v>
      </c>
      <c r="H50" s="17" t="s">
        <v>78</v>
      </c>
      <c r="I50" s="17">
        <f>'MERCADO TUSD'!$U$47</f>
        <v>0</v>
      </c>
      <c r="J50" s="15"/>
      <c r="L50" s="12"/>
      <c r="M50" s="12"/>
      <c r="N50" s="12"/>
      <c r="O50" s="12"/>
      <c r="P50" s="12"/>
      <c r="Q50" s="12"/>
      <c r="R50" s="12"/>
      <c r="S50" s="12"/>
      <c r="T50" s="12"/>
      <c r="U50" s="12">
        <f>(1 - CUSTOS!$M$30)*10.985</f>
        <v>10.984999999999999</v>
      </c>
      <c r="V50" s="12">
        <f>(1 - CUSTOS!$M$30)*3.8062</f>
        <v>3.8062</v>
      </c>
      <c r="W50" s="12">
        <f>(1 - CUSTOS!$M$30)*0.3305</f>
        <v>0.33050000000000002</v>
      </c>
      <c r="X50" s="12">
        <v>0</v>
      </c>
      <c r="Y50" s="12">
        <f>(1 - CUSTOS!$M$30)*10.2302</f>
        <v>10.2302</v>
      </c>
      <c r="Z50" s="12">
        <v>0</v>
      </c>
      <c r="AA50" s="12">
        <v>0</v>
      </c>
      <c r="AB50" s="12"/>
      <c r="AC50" s="12">
        <f>(1 - CUSTOS!$M$30)*105.1002</f>
        <v>105.1002</v>
      </c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P50" s="12">
        <f>IF((1 - CUSTOS!$M$30)&lt;&gt;0,1/(1 - CUSTOS!$M$30),1)</f>
        <v>1</v>
      </c>
    </row>
    <row r="51" spans="1:42" ht="11.25" customHeight="1" x14ac:dyDescent="0.25">
      <c r="A51" s="106"/>
      <c r="B51" s="18" t="s">
        <v>23</v>
      </c>
      <c r="C51" s="18" t="s">
        <v>44</v>
      </c>
      <c r="D51" s="18" t="s">
        <v>95</v>
      </c>
      <c r="E51" s="18" t="s">
        <v>25</v>
      </c>
      <c r="F51" s="18" t="s">
        <v>25</v>
      </c>
      <c r="G51" s="17" t="s">
        <v>84</v>
      </c>
      <c r="H51" s="17" t="s">
        <v>78</v>
      </c>
      <c r="I51" s="17">
        <f>'MERCADO TUSD'!$U$48</f>
        <v>0</v>
      </c>
      <c r="J51" s="15"/>
      <c r="L51" s="12"/>
      <c r="M51" s="12"/>
      <c r="N51" s="12"/>
      <c r="O51" s="12"/>
      <c r="P51" s="12"/>
      <c r="Q51" s="12"/>
      <c r="R51" s="12"/>
      <c r="S51" s="12"/>
      <c r="T51" s="12"/>
      <c r="U51" s="12">
        <f>(1 - CUSTOS!$M$30)*17.164</f>
        <v>17.164000000000001</v>
      </c>
      <c r="V51" s="12">
        <f>(1 - CUSTOS!$M$30)*5.9471</f>
        <v>5.9470999999999998</v>
      </c>
      <c r="W51" s="12">
        <f>(1 - CUSTOS!$M$30)*0.5164</f>
        <v>0.51639999999999997</v>
      </c>
      <c r="X51" s="12">
        <v>0</v>
      </c>
      <c r="Y51" s="12">
        <f>(1 - CUSTOS!$M$30)*15.9847</f>
        <v>15.9847</v>
      </c>
      <c r="Z51" s="12">
        <v>0</v>
      </c>
      <c r="AA51" s="12">
        <v>0</v>
      </c>
      <c r="AB51" s="12"/>
      <c r="AC51" s="12">
        <f>(1 - CUSTOS!$M$30)*164.219</f>
        <v>164.21899999999999</v>
      </c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P51" s="12">
        <f>IF((1 - CUSTOS!$M$30)&lt;&gt;0,1/(1 - CUSTOS!$M$30),1)</f>
        <v>1</v>
      </c>
    </row>
    <row r="52" spans="1:42" ht="11.25" customHeight="1" x14ac:dyDescent="0.25">
      <c r="A52" s="106"/>
      <c r="B52" s="106" t="s">
        <v>93</v>
      </c>
      <c r="C52" s="106" t="s">
        <v>44</v>
      </c>
      <c r="D52" s="18" t="s">
        <v>25</v>
      </c>
      <c r="E52" s="18" t="s">
        <v>25</v>
      </c>
      <c r="F52" s="18" t="s">
        <v>25</v>
      </c>
      <c r="G52" s="17" t="s">
        <v>84</v>
      </c>
      <c r="H52" s="17" t="s">
        <v>78</v>
      </c>
      <c r="I52" s="17">
        <f>'MERCADO TUSD'!$U$49</f>
        <v>0</v>
      </c>
      <c r="J52" s="15"/>
      <c r="L52" s="12"/>
      <c r="M52" s="12"/>
      <c r="N52" s="12"/>
      <c r="O52" s="12"/>
      <c r="P52" s="12"/>
      <c r="Q52" s="12"/>
      <c r="R52" s="12"/>
      <c r="S52" s="12"/>
      <c r="T52" s="12"/>
      <c r="U52" s="12">
        <f>(1 - CUSTOS!$M$28)*17.164</f>
        <v>17.164000000000001</v>
      </c>
      <c r="V52" s="12">
        <f>(1 - CUSTOS!$M$28)*5.9471</f>
        <v>5.9470999999999998</v>
      </c>
      <c r="W52" s="12">
        <f>(1 - CUSTOS!$M$28)*0.5164</f>
        <v>0.51639999999999997</v>
      </c>
      <c r="X52" s="12">
        <v>0</v>
      </c>
      <c r="Y52" s="12">
        <f>(1 - CUSTOS!$M$28)*15.9847</f>
        <v>15.9847</v>
      </c>
      <c r="Z52" s="12">
        <v>0</v>
      </c>
      <c r="AA52" s="12">
        <v>0</v>
      </c>
      <c r="AB52" s="12"/>
      <c r="AC52" s="12">
        <f>(1 - CUSTOS!$M$28)*164.219</f>
        <v>164.21899999999999</v>
      </c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P52" s="12">
        <f>IF((1 - CUSTOS!$M$28)&lt;&gt;0,1/(1 - CUSTOS!$M$28),1)</f>
        <v>1</v>
      </c>
    </row>
    <row r="53" spans="1:42" ht="11.25" customHeight="1" x14ac:dyDescent="0.25">
      <c r="A53" s="106"/>
      <c r="B53" s="106"/>
      <c r="C53" s="106"/>
      <c r="D53" s="18" t="s">
        <v>94</v>
      </c>
      <c r="E53" s="18" t="s">
        <v>25</v>
      </c>
      <c r="F53" s="18" t="s">
        <v>25</v>
      </c>
      <c r="G53" s="17" t="s">
        <v>84</v>
      </c>
      <c r="H53" s="17" t="s">
        <v>78</v>
      </c>
      <c r="I53" s="17">
        <f>'MERCADO TUSD'!$U$50</f>
        <v>0</v>
      </c>
      <c r="J53" s="15"/>
      <c r="L53" s="12"/>
      <c r="M53" s="12"/>
      <c r="N53" s="12"/>
      <c r="O53" s="12"/>
      <c r="P53" s="12"/>
      <c r="Q53" s="12"/>
      <c r="R53" s="12"/>
      <c r="S53" s="12"/>
      <c r="T53" s="12"/>
      <c r="U53" s="12">
        <f>(1 - CUSTOS!$M$29)*17.164</f>
        <v>17.164000000000001</v>
      </c>
      <c r="V53" s="12">
        <f>(1 - CUSTOS!$M$29)*5.9471</f>
        <v>5.9470999999999998</v>
      </c>
      <c r="W53" s="12">
        <f>(1 - CUSTOS!$M$29)*0.5164</f>
        <v>0.51639999999999997</v>
      </c>
      <c r="X53" s="12">
        <v>0</v>
      </c>
      <c r="Y53" s="12">
        <f>(1 - CUSTOS!$M$29)*15.9847</f>
        <v>15.9847</v>
      </c>
      <c r="Z53" s="12">
        <v>0</v>
      </c>
      <c r="AA53" s="12">
        <v>0</v>
      </c>
      <c r="AB53" s="12"/>
      <c r="AC53" s="12">
        <f>(1 - CUSTOS!$M$29)*164.219</f>
        <v>164.21899999999999</v>
      </c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P53" s="12">
        <f>IF((1 - CUSTOS!$M$29)&lt;&gt;0,1/(1 - CUSTOS!$M$29),1)</f>
        <v>1</v>
      </c>
    </row>
    <row r="54" spans="1:42" ht="11.25" customHeight="1" x14ac:dyDescent="0.25">
      <c r="A54" s="106"/>
      <c r="B54" s="106"/>
      <c r="C54" s="106"/>
      <c r="D54" s="18" t="s">
        <v>95</v>
      </c>
      <c r="E54" s="18" t="s">
        <v>25</v>
      </c>
      <c r="F54" s="18" t="s">
        <v>25</v>
      </c>
      <c r="G54" s="17" t="s">
        <v>84</v>
      </c>
      <c r="H54" s="17" t="s">
        <v>78</v>
      </c>
      <c r="I54" s="17">
        <f>'MERCADO TUSD'!$U$51</f>
        <v>0</v>
      </c>
      <c r="J54" s="15"/>
      <c r="L54" s="12"/>
      <c r="M54" s="12"/>
      <c r="N54" s="12"/>
      <c r="O54" s="12"/>
      <c r="P54" s="12"/>
      <c r="Q54" s="12"/>
      <c r="R54" s="12"/>
      <c r="S54" s="12"/>
      <c r="T54" s="12"/>
      <c r="U54" s="12">
        <f>(1 - CUSTOS!$M$30)*17.164</f>
        <v>17.164000000000001</v>
      </c>
      <c r="V54" s="12">
        <f>(1 - CUSTOS!$M$30)*5.9471</f>
        <v>5.9470999999999998</v>
      </c>
      <c r="W54" s="12">
        <f>(1 - CUSTOS!$M$30)*0.5164</f>
        <v>0.51639999999999997</v>
      </c>
      <c r="X54" s="12">
        <v>0</v>
      </c>
      <c r="Y54" s="12">
        <f>(1 - CUSTOS!$M$30)*15.9847</f>
        <v>15.9847</v>
      </c>
      <c r="Z54" s="12">
        <v>0</v>
      </c>
      <c r="AA54" s="12">
        <v>0</v>
      </c>
      <c r="AB54" s="12"/>
      <c r="AC54" s="12">
        <f>(1 - CUSTOS!$M$30)*164.219</f>
        <v>164.21899999999999</v>
      </c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P54" s="12">
        <f>IF((1 - CUSTOS!$M$30)&lt;&gt;0,1/(1 - CUSTOS!$M$30),1)</f>
        <v>1</v>
      </c>
    </row>
    <row r="55" spans="1:42" ht="11.25" customHeight="1" x14ac:dyDescent="0.25">
      <c r="A55" s="106" t="s">
        <v>37</v>
      </c>
      <c r="B55" s="106" t="s">
        <v>33</v>
      </c>
      <c r="C55" s="106" t="s">
        <v>25</v>
      </c>
      <c r="D55" s="106" t="s">
        <v>25</v>
      </c>
      <c r="E55" s="106" t="s">
        <v>25</v>
      </c>
      <c r="F55" s="106" t="s">
        <v>25</v>
      </c>
      <c r="G55" s="17" t="s">
        <v>79</v>
      </c>
      <c r="H55" s="17" t="s">
        <v>78</v>
      </c>
      <c r="I55" s="17">
        <f>'MERCADO TUSD'!$U$52</f>
        <v>8.0860000000000003</v>
      </c>
      <c r="J55" s="15"/>
      <c r="L55" s="12"/>
      <c r="M55" s="12"/>
      <c r="N55" s="12"/>
      <c r="O55" s="12"/>
      <c r="P55" s="12"/>
      <c r="Q55" s="12"/>
      <c r="R55" s="12"/>
      <c r="S55" s="12"/>
      <c r="T55" s="12"/>
      <c r="U55" s="12">
        <f>(1 - CUSTOS!$M$31)*55.7832</f>
        <v>55.783200000000001</v>
      </c>
      <c r="V55" s="12">
        <f>(1 - CUSTOS!$M$31)*19.3282</f>
        <v>19.328199999999999</v>
      </c>
      <c r="W55" s="12">
        <f>(1 - CUSTOS!$M$31)*1.6782</f>
        <v>1.6781999999999999</v>
      </c>
      <c r="X55" s="12">
        <v>0</v>
      </c>
      <c r="Y55" s="12">
        <f>(1 - CUSTOS!$M$31)*51.9504</f>
        <v>51.950400000000002</v>
      </c>
      <c r="Z55" s="12">
        <v>0</v>
      </c>
      <c r="AA55" s="12">
        <v>0</v>
      </c>
      <c r="AB55" s="12"/>
      <c r="AC55" s="12">
        <f>(1 - CUSTOS!$M$31)*533.7118</f>
        <v>533.71180000000004</v>
      </c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P55" s="12">
        <f>IF((1 - CUSTOS!$M$31)&lt;&gt;0,1/(1 - CUSTOS!$M$31),1)</f>
        <v>1</v>
      </c>
    </row>
    <row r="56" spans="1:42" ht="11.25" customHeight="1" x14ac:dyDescent="0.25">
      <c r="A56" s="106"/>
      <c r="B56" s="106"/>
      <c r="C56" s="106"/>
      <c r="D56" s="106"/>
      <c r="E56" s="106"/>
      <c r="F56" s="106"/>
      <c r="G56" s="17" t="s">
        <v>91</v>
      </c>
      <c r="H56" s="17" t="s">
        <v>78</v>
      </c>
      <c r="I56" s="17">
        <f>'MERCADO TUSD'!$U$53</f>
        <v>8.0350000000000001</v>
      </c>
      <c r="J56" s="15"/>
      <c r="L56" s="12"/>
      <c r="M56" s="12"/>
      <c r="N56" s="12"/>
      <c r="O56" s="12"/>
      <c r="P56" s="12"/>
      <c r="Q56" s="12"/>
      <c r="R56" s="12"/>
      <c r="S56" s="12"/>
      <c r="T56" s="12"/>
      <c r="U56" s="12">
        <f>(1 - CUSTOS!$M$31)*33.4699</f>
        <v>33.469900000000003</v>
      </c>
      <c r="V56" s="12">
        <f>(1 - CUSTOS!$M$31)*11.5969</f>
        <v>11.5969</v>
      </c>
      <c r="W56" s="12">
        <f>(1 - CUSTOS!$M$31)*1.0069</f>
        <v>1.0068999999999999</v>
      </c>
      <c r="X56" s="12">
        <v>0</v>
      </c>
      <c r="Y56" s="12">
        <f>(1 - CUSTOS!$M$31)*31.1703</f>
        <v>31.170300000000001</v>
      </c>
      <c r="Z56" s="12">
        <v>0</v>
      </c>
      <c r="AA56" s="12">
        <v>0</v>
      </c>
      <c r="AB56" s="12"/>
      <c r="AC56" s="12">
        <f>(1 - CUSTOS!$M$31)*320.2271</f>
        <v>320.22710000000001</v>
      </c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P56" s="12">
        <f>IF((1 - CUSTOS!$M$31)&lt;&gt;0,1/(1 - CUSTOS!$M$31),1)</f>
        <v>1</v>
      </c>
    </row>
    <row r="57" spans="1:42" ht="11.25" customHeight="1" x14ac:dyDescent="0.25">
      <c r="A57" s="106"/>
      <c r="B57" s="106"/>
      <c r="C57" s="106"/>
      <c r="D57" s="106"/>
      <c r="E57" s="106"/>
      <c r="F57" s="106"/>
      <c r="G57" s="17" t="s">
        <v>80</v>
      </c>
      <c r="H57" s="17" t="s">
        <v>78</v>
      </c>
      <c r="I57" s="17">
        <f>'MERCADO TUSD'!$U$54</f>
        <v>133.73599999999999</v>
      </c>
      <c r="J57" s="15"/>
      <c r="L57" s="12"/>
      <c r="M57" s="12"/>
      <c r="N57" s="12"/>
      <c r="O57" s="12"/>
      <c r="P57" s="12"/>
      <c r="Q57" s="12"/>
      <c r="R57" s="12"/>
      <c r="S57" s="12"/>
      <c r="T57" s="12"/>
      <c r="U57" s="12">
        <f>(1 - CUSTOS!$M$31)*11.1566</f>
        <v>11.156599999999999</v>
      </c>
      <c r="V57" s="12">
        <f>(1 - CUSTOS!$M$31)*3.8656</f>
        <v>3.8656000000000001</v>
      </c>
      <c r="W57" s="12">
        <f>(1 - CUSTOS!$M$31)*0.3356</f>
        <v>0.33560000000000001</v>
      </c>
      <c r="X57" s="12">
        <v>0</v>
      </c>
      <c r="Y57" s="12">
        <f>(1 - CUSTOS!$M$31)*10.3901</f>
        <v>10.3901</v>
      </c>
      <c r="Z57" s="12">
        <v>0</v>
      </c>
      <c r="AA57" s="12">
        <v>0</v>
      </c>
      <c r="AB57" s="12"/>
      <c r="AC57" s="12">
        <f>(1 - CUSTOS!$M$31)*106.7424</f>
        <v>106.7424</v>
      </c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P57" s="12">
        <f>IF((1 - CUSTOS!$M$31)&lt;&gt;0,1/(1 - CUSTOS!$M$31),1)</f>
        <v>1</v>
      </c>
    </row>
    <row r="58" spans="1:42" ht="11.25" customHeight="1" x14ac:dyDescent="0.25">
      <c r="A58" s="106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84</v>
      </c>
      <c r="H58" s="17" t="s">
        <v>78</v>
      </c>
      <c r="I58" s="17">
        <f>'MERCADO TUSD'!$U$55</f>
        <v>94039.850999999995</v>
      </c>
      <c r="J58" s="15"/>
      <c r="L58" s="12"/>
      <c r="M58" s="12"/>
      <c r="N58" s="12"/>
      <c r="O58" s="12"/>
      <c r="P58" s="12"/>
      <c r="Q58" s="12"/>
      <c r="R58" s="12"/>
      <c r="S58" s="12"/>
      <c r="T58" s="12"/>
      <c r="U58" s="12">
        <f>(1 - CUSTOS!$M$31)*17.164</f>
        <v>17.164000000000001</v>
      </c>
      <c r="V58" s="12">
        <f>(1 - CUSTOS!$M$31)*5.9471</f>
        <v>5.9470999999999998</v>
      </c>
      <c r="W58" s="12">
        <f>(1 - CUSTOS!$M$31)*0.5164</f>
        <v>0.51639999999999997</v>
      </c>
      <c r="X58" s="12">
        <v>0</v>
      </c>
      <c r="Y58" s="12">
        <f>(1 - CUSTOS!$M$31)*15.9847</f>
        <v>15.9847</v>
      </c>
      <c r="Z58" s="12">
        <v>0</v>
      </c>
      <c r="AA58" s="12">
        <v>0</v>
      </c>
      <c r="AB58" s="12"/>
      <c r="AC58" s="12">
        <f>(1 - CUSTOS!$M$31)*164.219</f>
        <v>164.21899999999999</v>
      </c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P58" s="12">
        <f>IF((1 - CUSTOS!$M$31)&lt;&gt;0,1/(1 - CUSTOS!$M$31),1)</f>
        <v>1</v>
      </c>
    </row>
    <row r="59" spans="1:42" ht="11.25" customHeight="1" x14ac:dyDescent="0.25">
      <c r="A59" s="106"/>
      <c r="B59" s="18" t="s">
        <v>93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84</v>
      </c>
      <c r="H59" s="17" t="s">
        <v>78</v>
      </c>
      <c r="I59" s="17">
        <f>'MERCADO TUSD'!$U$56</f>
        <v>0</v>
      </c>
      <c r="J59" s="15"/>
      <c r="L59" s="12"/>
      <c r="M59" s="12"/>
      <c r="N59" s="12"/>
      <c r="O59" s="12"/>
      <c r="P59" s="12"/>
      <c r="Q59" s="12"/>
      <c r="R59" s="12"/>
      <c r="S59" s="12"/>
      <c r="T59" s="12"/>
      <c r="U59" s="12">
        <f>(1 - CUSTOS!$M$31)*17.164</f>
        <v>17.164000000000001</v>
      </c>
      <c r="V59" s="12">
        <f>(1 - CUSTOS!$M$31)*5.9471</f>
        <v>5.9470999999999998</v>
      </c>
      <c r="W59" s="12">
        <f>(1 - CUSTOS!$M$31)*0.5164</f>
        <v>0.51639999999999997</v>
      </c>
      <c r="X59" s="12">
        <v>0</v>
      </c>
      <c r="Y59" s="12">
        <f>(1 - CUSTOS!$M$31)*15.9847</f>
        <v>15.9847</v>
      </c>
      <c r="Z59" s="12">
        <v>0</v>
      </c>
      <c r="AA59" s="12">
        <v>0</v>
      </c>
      <c r="AB59" s="12"/>
      <c r="AC59" s="12">
        <f>(1 - CUSTOS!$M$31)*164.219</f>
        <v>164.21899999999999</v>
      </c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P59" s="12">
        <f>IF((1 - CUSTOS!$M$31)&lt;&gt;0,1/(1 - CUSTOS!$M$31),1)</f>
        <v>1</v>
      </c>
    </row>
    <row r="60" spans="1:42" ht="11.25" customHeight="1" x14ac:dyDescent="0.25">
      <c r="A60" s="106" t="s">
        <v>46</v>
      </c>
      <c r="B60" s="106" t="s">
        <v>23</v>
      </c>
      <c r="C60" s="106" t="s">
        <v>47</v>
      </c>
      <c r="D60" s="18" t="s">
        <v>48</v>
      </c>
      <c r="E60" s="18" t="s">
        <v>25</v>
      </c>
      <c r="F60" s="18" t="s">
        <v>25</v>
      </c>
      <c r="G60" s="17" t="s">
        <v>84</v>
      </c>
      <c r="H60" s="17" t="s">
        <v>78</v>
      </c>
      <c r="I60" s="17">
        <f>'MERCADO TUSD'!$U$57</f>
        <v>35555.334999999999</v>
      </c>
      <c r="J60" s="15"/>
      <c r="L60" s="12"/>
      <c r="M60" s="12"/>
      <c r="N60" s="12"/>
      <c r="O60" s="12"/>
      <c r="P60" s="12"/>
      <c r="Q60" s="12"/>
      <c r="R60" s="12"/>
      <c r="S60" s="12"/>
      <c r="T60" s="12"/>
      <c r="U60" s="12">
        <f>(1 - CUSTOS!$M$32)*17.164</f>
        <v>9.4402000000000008</v>
      </c>
      <c r="V60" s="12">
        <f>(1 - CUSTOS!$M$32)*5.9471</f>
        <v>3.270905</v>
      </c>
      <c r="W60" s="12">
        <f>(1 - CUSTOS!$M$32)*0.5164</f>
        <v>0.28401999999999999</v>
      </c>
      <c r="X60" s="12">
        <v>0</v>
      </c>
      <c r="Y60" s="12">
        <f>(1 - CUSTOS!$M$32)*15.9847</f>
        <v>8.7915850000000013</v>
      </c>
      <c r="Z60" s="12">
        <v>0</v>
      </c>
      <c r="AA60" s="12">
        <v>0</v>
      </c>
      <c r="AB60" s="12"/>
      <c r="AC60" s="12">
        <f>(1 - CUSTOS!$M$32)*164.219</f>
        <v>90.320450000000008</v>
      </c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P60" s="12">
        <f>IF((1 - CUSTOS!$M$32)&lt;&gt;0,1/(1 - CUSTOS!$M$32),1)</f>
        <v>1.8181818181818181</v>
      </c>
    </row>
    <row r="61" spans="1:42" ht="11.25" customHeight="1" x14ac:dyDescent="0.25">
      <c r="A61" s="106"/>
      <c r="B61" s="106"/>
      <c r="C61" s="106"/>
      <c r="D61" s="17" t="s">
        <v>96</v>
      </c>
      <c r="E61" s="17" t="s">
        <v>25</v>
      </c>
      <c r="F61" s="17" t="s">
        <v>25</v>
      </c>
      <c r="G61" s="17" t="s">
        <v>84</v>
      </c>
      <c r="H61" s="17" t="s">
        <v>78</v>
      </c>
      <c r="I61" s="17">
        <f>'MERCADO TUSD'!$U$58</f>
        <v>0</v>
      </c>
      <c r="J61" s="15"/>
      <c r="L61" s="12"/>
      <c r="M61" s="12"/>
      <c r="N61" s="12"/>
      <c r="O61" s="12"/>
      <c r="P61" s="12"/>
      <c r="Q61" s="12"/>
      <c r="R61" s="12"/>
      <c r="S61" s="12"/>
      <c r="T61" s="12"/>
      <c r="U61" s="12">
        <f>(1 - CUSTOS!$M$33)*17.164</f>
        <v>10.298400000000001</v>
      </c>
      <c r="V61" s="12">
        <f>(1 - CUSTOS!$M$33)*5.9471</f>
        <v>3.56826</v>
      </c>
      <c r="W61" s="12">
        <f>(1 - CUSTOS!$M$33)*0.5164</f>
        <v>0.30983999999999995</v>
      </c>
      <c r="X61" s="12">
        <v>0</v>
      </c>
      <c r="Y61" s="12">
        <f>(1 - CUSTOS!$M$33)*15.9847</f>
        <v>9.590819999999999</v>
      </c>
      <c r="Z61" s="12">
        <v>0</v>
      </c>
      <c r="AA61" s="12">
        <v>0</v>
      </c>
      <c r="AB61" s="12"/>
      <c r="AC61" s="12">
        <f>(1 - CUSTOS!$M$33)*164.219</f>
        <v>98.531399999999991</v>
      </c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P61" s="12">
        <f>IF((1 - CUSTOS!$M$33)&lt;&gt;0,1/(1 - CUSTOS!$M$33),1)</f>
        <v>1.6666666666666667</v>
      </c>
    </row>
  </sheetData>
  <mergeCells count="89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9:C11"/>
    <mergeCell ref="D9:D11"/>
    <mergeCell ref="E9:E11"/>
    <mergeCell ref="F9:F11"/>
    <mergeCell ref="F5:F7"/>
    <mergeCell ref="B9:B11"/>
    <mergeCell ref="A5:A11"/>
    <mergeCell ref="B5:B8"/>
    <mergeCell ref="C5:C8"/>
    <mergeCell ref="D5:D8"/>
    <mergeCell ref="E5:E7"/>
    <mergeCell ref="B1:B4"/>
    <mergeCell ref="C1:C4"/>
    <mergeCell ref="D1:D4"/>
    <mergeCell ref="E1:E4"/>
    <mergeCell ref="E16:E18"/>
    <mergeCell ref="F16:F18"/>
    <mergeCell ref="B12:B15"/>
    <mergeCell ref="C12:C15"/>
    <mergeCell ref="D12:D15"/>
    <mergeCell ref="E12:E14"/>
    <mergeCell ref="F23:F24"/>
    <mergeCell ref="A25:A26"/>
    <mergeCell ref="B25:B26"/>
    <mergeCell ref="C25:C26"/>
    <mergeCell ref="D25:D26"/>
    <mergeCell ref="B20:B24"/>
    <mergeCell ref="C20:C24"/>
    <mergeCell ref="D20:D24"/>
    <mergeCell ref="E20:E22"/>
    <mergeCell ref="F20:F22"/>
    <mergeCell ref="A12:A24"/>
    <mergeCell ref="E23:E24"/>
    <mergeCell ref="F12:F14"/>
    <mergeCell ref="B16:B18"/>
    <mergeCell ref="C16:C18"/>
    <mergeCell ref="D16:D18"/>
    <mergeCell ref="F27:F29"/>
    <mergeCell ref="B30:B34"/>
    <mergeCell ref="C30:C34"/>
    <mergeCell ref="B35:B39"/>
    <mergeCell ref="C35:C39"/>
    <mergeCell ref="A27:A39"/>
    <mergeCell ref="B27:B29"/>
    <mergeCell ref="C27:C29"/>
    <mergeCell ref="D27:D29"/>
    <mergeCell ref="E27:E29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E55:E57"/>
    <mergeCell ref="F55:F57"/>
    <mergeCell ref="A60:A61"/>
    <mergeCell ref="B60:B61"/>
    <mergeCell ref="C60:C61"/>
    <mergeCell ref="D55:D5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7F03B-0630-42AB-B124-64713EFE9FCC}">
  <dimension ref="A1:AP81"/>
  <sheetViews>
    <sheetView showGridLines="0" topLeftCell="A45" workbookViewId="0">
      <selection activeCell="K72" sqref="K72:P7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9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7" t="s">
        <v>68</v>
      </c>
      <c r="B1" s="107" t="s">
        <v>69</v>
      </c>
      <c r="C1" s="107" t="s">
        <v>70</v>
      </c>
      <c r="D1" s="107" t="s">
        <v>71</v>
      </c>
      <c r="E1" s="107" t="s">
        <v>72</v>
      </c>
      <c r="F1" s="107" t="s">
        <v>15</v>
      </c>
      <c r="G1" s="107" t="s">
        <v>74</v>
      </c>
      <c r="H1" s="107" t="s">
        <v>75</v>
      </c>
      <c r="I1" s="107" t="s">
        <v>816</v>
      </c>
      <c r="J1" s="95"/>
      <c r="L1" s="108" t="s">
        <v>817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P1" s="108" t="s">
        <v>818</v>
      </c>
    </row>
    <row r="2" spans="1:42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8" t="s">
        <v>716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P2" s="109"/>
    </row>
    <row r="3" spans="1:42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8" t="s">
        <v>717</v>
      </c>
      <c r="M3" s="108"/>
      <c r="N3" s="108"/>
      <c r="O3" s="108"/>
      <c r="P3" s="108"/>
      <c r="Q3" s="108"/>
      <c r="R3" s="108"/>
      <c r="S3" s="108"/>
      <c r="T3" s="108"/>
      <c r="U3" s="108" t="s">
        <v>726</v>
      </c>
      <c r="V3" s="108"/>
      <c r="W3" s="108"/>
      <c r="X3" s="108"/>
      <c r="Y3" s="108"/>
      <c r="Z3" s="108"/>
      <c r="AA3" s="108"/>
      <c r="AB3" s="108"/>
      <c r="AC3" s="108" t="s">
        <v>734</v>
      </c>
      <c r="AD3" s="108"/>
      <c r="AE3" s="108" t="s">
        <v>736</v>
      </c>
      <c r="AF3" s="108"/>
      <c r="AG3" s="108"/>
      <c r="AH3" s="108" t="s">
        <v>739</v>
      </c>
      <c r="AI3" s="108"/>
      <c r="AJ3" s="108"/>
      <c r="AK3" s="108"/>
      <c r="AL3" s="108"/>
      <c r="AM3" s="108" t="s">
        <v>725</v>
      </c>
      <c r="AP3" s="109"/>
    </row>
    <row r="4" spans="1:42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10" t="s">
        <v>801</v>
      </c>
      <c r="M4" s="10" t="s">
        <v>718</v>
      </c>
      <c r="N4" s="10" t="s">
        <v>719</v>
      </c>
      <c r="O4" s="10" t="s">
        <v>720</v>
      </c>
      <c r="P4" s="10" t="s">
        <v>721</v>
      </c>
      <c r="Q4" s="10" t="s">
        <v>722</v>
      </c>
      <c r="R4" s="10" t="s">
        <v>723</v>
      </c>
      <c r="S4" s="10" t="s">
        <v>724</v>
      </c>
      <c r="T4" s="10" t="s">
        <v>725</v>
      </c>
      <c r="U4" s="10" t="s">
        <v>727</v>
      </c>
      <c r="V4" s="10" t="s">
        <v>728</v>
      </c>
      <c r="W4" s="10" t="s">
        <v>729</v>
      </c>
      <c r="X4" s="10" t="s">
        <v>730</v>
      </c>
      <c r="Y4" s="10" t="s">
        <v>731</v>
      </c>
      <c r="Z4" s="10" t="s">
        <v>732</v>
      </c>
      <c r="AA4" s="10" t="s">
        <v>733</v>
      </c>
      <c r="AB4" s="10" t="s">
        <v>725</v>
      </c>
      <c r="AC4" s="10" t="s">
        <v>735</v>
      </c>
      <c r="AD4" s="10" t="s">
        <v>725</v>
      </c>
      <c r="AE4" s="10" t="s">
        <v>737</v>
      </c>
      <c r="AF4" s="10" t="s">
        <v>738</v>
      </c>
      <c r="AG4" s="10" t="s">
        <v>725</v>
      </c>
      <c r="AH4" s="10" t="s">
        <v>740</v>
      </c>
      <c r="AI4" s="10" t="s">
        <v>741</v>
      </c>
      <c r="AJ4" s="10" t="s">
        <v>742</v>
      </c>
      <c r="AK4" s="10" t="s">
        <v>743</v>
      </c>
      <c r="AL4" s="10" t="s">
        <v>725</v>
      </c>
      <c r="AM4" s="110"/>
      <c r="AP4" s="109"/>
    </row>
    <row r="5" spans="1:42" ht="11.25" customHeight="1" x14ac:dyDescent="0.25">
      <c r="A5" s="106" t="s">
        <v>56</v>
      </c>
      <c r="B5" s="106" t="s">
        <v>40</v>
      </c>
      <c r="C5" s="106" t="s">
        <v>25</v>
      </c>
      <c r="D5" s="106" t="s">
        <v>25</v>
      </c>
      <c r="E5" s="106" t="s">
        <v>25</v>
      </c>
      <c r="F5" s="106" t="s">
        <v>25</v>
      </c>
      <c r="G5" s="17" t="s">
        <v>82</v>
      </c>
      <c r="H5" s="17" t="s">
        <v>81</v>
      </c>
      <c r="I5" s="17">
        <f>'MERCADO TUSD'!$U$2</f>
        <v>115925</v>
      </c>
      <c r="J5" s="15"/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/>
      <c r="U5" s="12">
        <f>TRANSICAO!$U$5*CUSTOS!$P$3</f>
        <v>4.0711199999999996</v>
      </c>
      <c r="V5" s="12">
        <f>TRANSICAO!$V$5*CUSTOS!$P$3</f>
        <v>1.40384</v>
      </c>
      <c r="W5" s="12">
        <f>TRANSICAO!$W$5*CUSTOS!$P$3</f>
        <v>0.12368</v>
      </c>
      <c r="X5" s="12">
        <f>TRANSICAO!$X$5*CUSTOS!$P$3</f>
        <v>0</v>
      </c>
      <c r="Y5" s="12">
        <f>TRANSICAO!$Y$5*CUSTOS!$P$3</f>
        <v>4.37</v>
      </c>
      <c r="Z5" s="12">
        <f>TRANSICAO!$Z$5*CUSTOS!$P$3</f>
        <v>0</v>
      </c>
      <c r="AA5" s="12">
        <f>TRANSICAO!$AA$5*CUSTOS!$P$3</f>
        <v>0</v>
      </c>
      <c r="AB5" s="12">
        <f>TRANSICAO!$AB$5*CUSTOS!$P$3</f>
        <v>0</v>
      </c>
      <c r="AC5" s="12">
        <f>TRANSICAO!$AC$5*CUSTOS!$P$3</f>
        <v>2.12832</v>
      </c>
      <c r="AD5" s="12">
        <f>TRANSICAO!$AD$5*CUSTOS!$P$3</f>
        <v>0</v>
      </c>
      <c r="AE5" s="12">
        <v>0</v>
      </c>
      <c r="AF5" s="12">
        <v>0</v>
      </c>
      <c r="AG5" s="12"/>
      <c r="AH5" s="12">
        <v>0</v>
      </c>
      <c r="AI5" s="12">
        <v>0</v>
      </c>
      <c r="AJ5" s="12">
        <v>0</v>
      </c>
      <c r="AK5" s="12">
        <f t="shared" ref="AK5:AK36" si="0">AJ5</f>
        <v>0</v>
      </c>
      <c r="AL5" s="12"/>
      <c r="AM5" s="12"/>
      <c r="AP5" s="12">
        <v>1</v>
      </c>
    </row>
    <row r="6" spans="1:42" ht="11.25" customHeight="1" x14ac:dyDescent="0.25">
      <c r="A6" s="106"/>
      <c r="B6" s="106"/>
      <c r="C6" s="106"/>
      <c r="D6" s="106"/>
      <c r="E6" s="106"/>
      <c r="F6" s="106"/>
      <c r="G6" s="17" t="s">
        <v>83</v>
      </c>
      <c r="H6" s="17" t="s">
        <v>81</v>
      </c>
      <c r="I6" s="17">
        <f>'MERCADO TUSD'!$U$3</f>
        <v>117848</v>
      </c>
      <c r="J6" s="15"/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/>
      <c r="U6" s="12">
        <f>TRANSICAO!$U$6*CUSTOS!$P$3</f>
        <v>3.1188800000000003</v>
      </c>
      <c r="V6" s="12">
        <f>TRANSICAO!$V$6*CUSTOS!$P$3</f>
        <v>1.0873600000000001</v>
      </c>
      <c r="W6" s="12">
        <f>TRANSICAO!$W$6*CUSTOS!$P$3</f>
        <v>9.2240000000000003E-2</v>
      </c>
      <c r="X6" s="12">
        <f>TRANSICAO!$X$6*CUSTOS!$P$3</f>
        <v>0</v>
      </c>
      <c r="Y6" s="12">
        <f>TRANSICAO!$Y$6*CUSTOS!$P$3</f>
        <v>1.4803200000000001</v>
      </c>
      <c r="Z6" s="12">
        <f>TRANSICAO!$Z$6*CUSTOS!$P$3</f>
        <v>0</v>
      </c>
      <c r="AA6" s="12">
        <f>TRANSICAO!$AA$6*CUSTOS!$P$3</f>
        <v>0</v>
      </c>
      <c r="AB6" s="12">
        <f>TRANSICAO!$AB$6*CUSTOS!$P$3</f>
        <v>0</v>
      </c>
      <c r="AC6" s="12">
        <f>TRANSICAO!$AC$6*CUSTOS!$P$3</f>
        <v>0.26960000000000001</v>
      </c>
      <c r="AD6" s="12">
        <f>TRANSICAO!$AD$6*CUSTOS!$P$3</f>
        <v>0</v>
      </c>
      <c r="AE6" s="12">
        <v>0</v>
      </c>
      <c r="AF6" s="12">
        <v>0</v>
      </c>
      <c r="AG6" s="12"/>
      <c r="AH6" s="12">
        <v>0</v>
      </c>
      <c r="AI6" s="12">
        <v>0</v>
      </c>
      <c r="AJ6" s="12">
        <v>0</v>
      </c>
      <c r="AK6" s="12">
        <f t="shared" si="0"/>
        <v>0</v>
      </c>
      <c r="AL6" s="12"/>
      <c r="AM6" s="12"/>
      <c r="AP6" s="12">
        <v>1</v>
      </c>
    </row>
    <row r="7" spans="1:42" ht="11.25" customHeight="1" x14ac:dyDescent="0.25">
      <c r="A7" s="106"/>
      <c r="B7" s="106"/>
      <c r="C7" s="106"/>
      <c r="D7" s="106"/>
      <c r="E7" s="106"/>
      <c r="F7" s="106"/>
      <c r="G7" s="17" t="s">
        <v>84</v>
      </c>
      <c r="H7" s="17" t="s">
        <v>78</v>
      </c>
      <c r="I7" s="17">
        <f>'MERCADO TUSD'!$U$4</f>
        <v>69324.911000000007</v>
      </c>
      <c r="J7" s="15"/>
      <c r="L7" s="12">
        <f>0.62</f>
        <v>0.62</v>
      </c>
      <c r="M7" s="12">
        <f>IF(AND((+$I$7+$I$8)&lt;&gt;0,SUMPRODUCT($I$5:$I$61,$AC$5:$AC$61,$AP$5:$AP$61)&lt;&gt;0),$M$66*SUMPRODUCT($I$5:$I$11,$AC$5:$AC$11,$AP$5:$AP$11)/SUMPRODUCT($I$5:$I$61,$AC$5:$AC$61,$AP$5:$AP$61)/(+$I$7+$I$8),0)</f>
        <v>5.5398679545373704E-2</v>
      </c>
      <c r="N7" s="12">
        <f ca="1">(+M7+O7+R7+U7+V7+W7+X7+Y7+Z7+AA7+AC7+AH7+AI7+AJ7+AK7)*CUSTOS!$M$5</f>
        <v>8.507584950256579E-2</v>
      </c>
      <c r="O7" s="12">
        <v>1</v>
      </c>
      <c r="P7" s="12">
        <v>1</v>
      </c>
      <c r="Q7" s="12">
        <f>0.62</f>
        <v>0.62</v>
      </c>
      <c r="R7" s="12">
        <v>1</v>
      </c>
      <c r="S7" s="12">
        <v>1</v>
      </c>
      <c r="T7" s="12"/>
      <c r="U7" s="12">
        <f>TRANSICAO!$U$7*CUSTOS!$P$3</f>
        <v>0</v>
      </c>
      <c r="V7" s="12">
        <f>TRANSICAO!$V$7*CUSTOS!$P$3</f>
        <v>0</v>
      </c>
      <c r="W7" s="12">
        <f>TRANSICAO!$W$7*CUSTOS!$P$3</f>
        <v>0</v>
      </c>
      <c r="X7" s="12">
        <f>TRANSICAO!$X$7*CUSTOS!$P$3</f>
        <v>0</v>
      </c>
      <c r="Y7" s="12">
        <f>TRANSICAO!$Y$7*CUSTOS!$P$3</f>
        <v>0</v>
      </c>
      <c r="Z7" s="12">
        <f>TRANSICAO!$Z$7*CUSTOS!$P$3</f>
        <v>0</v>
      </c>
      <c r="AA7" s="12">
        <f>TRANSICAO!$AA$7*CUSTOS!$P$3</f>
        <v>0</v>
      </c>
      <c r="AB7" s="12">
        <f>TRANSICAO!$AB$7*CUSTOS!$P$3</f>
        <v>0</v>
      </c>
      <c r="AC7" s="12">
        <f>TRANSICAO!$AC$7*CUSTOS!$P$3</f>
        <v>0</v>
      </c>
      <c r="AD7" s="12">
        <f>TRANSICAO!$AD$7*CUSTOS!$P$3</f>
        <v>0</v>
      </c>
      <c r="AE7" s="12">
        <v>0</v>
      </c>
      <c r="AF7" s="12">
        <v>0</v>
      </c>
      <c r="AG7" s="12"/>
      <c r="AH7" s="12">
        <v>2.5914000000000001</v>
      </c>
      <c r="AI7" s="12">
        <v>2.5914000000000001</v>
      </c>
      <c r="AJ7" s="12">
        <f ca="1">$N$73</f>
        <v>0.63469313535560201</v>
      </c>
      <c r="AK7" s="12">
        <f t="shared" ca="1" si="0"/>
        <v>0.63469313535560201</v>
      </c>
      <c r="AL7" s="12"/>
      <c r="AM7" s="12"/>
      <c r="AP7" s="12">
        <v>1</v>
      </c>
    </row>
    <row r="8" spans="1:42" ht="11.25" customHeight="1" x14ac:dyDescent="0.25">
      <c r="A8" s="106"/>
      <c r="B8" s="106"/>
      <c r="C8" s="106"/>
      <c r="D8" s="106"/>
      <c r="E8" s="18" t="s">
        <v>85</v>
      </c>
      <c r="F8" s="18" t="s">
        <v>25</v>
      </c>
      <c r="G8" s="17" t="s">
        <v>84</v>
      </c>
      <c r="H8" s="17" t="s">
        <v>78</v>
      </c>
      <c r="I8" s="17">
        <f>'MERCADO TUSD'!$U$5</f>
        <v>0</v>
      </c>
      <c r="J8" s="15"/>
      <c r="L8" s="12">
        <v>0</v>
      </c>
      <c r="M8" s="12">
        <f>IF(AND((+$I$7+$I$8)&lt;&gt;0,SUMPRODUCT($I$5:$I$61,$AC$5:$AC$61,$AP$5:$AP$61)&lt;&gt;0),$M$66*SUMPRODUCT($I$5:$I$11,$AC$5:$AC$11,$AP$5:$AP$11)/SUMPRODUCT($I$5:$I$61,$AC$5:$AC$61,$AP$5:$AP$61)/(+$I$7+$I$8),0)</f>
        <v>5.5398679545373704E-2</v>
      </c>
      <c r="N8" s="12">
        <f ca="1">(+M8+O8+R8+U8+V8+W8+X8+Y8+Z8+AA8+AC8+AH8+AI8+AJ8+AK8)*CUSTOS!$M$5</f>
        <v>7.5075849502565781E-2</v>
      </c>
      <c r="O8" s="12">
        <v>1</v>
      </c>
      <c r="P8" s="12">
        <v>0</v>
      </c>
      <c r="Q8" s="12">
        <v>0</v>
      </c>
      <c r="R8" s="12">
        <v>0</v>
      </c>
      <c r="S8" s="12">
        <v>0</v>
      </c>
      <c r="T8" s="12"/>
      <c r="U8" s="12">
        <f>TRANSICAO!$U$8*CUSTOS!$P$3</f>
        <v>0</v>
      </c>
      <c r="V8" s="12">
        <f>TRANSICAO!$V$8*CUSTOS!$P$3</f>
        <v>0</v>
      </c>
      <c r="W8" s="12">
        <f>TRANSICAO!$W$8*CUSTOS!$P$3</f>
        <v>0</v>
      </c>
      <c r="X8" s="12">
        <f>TRANSICAO!$X$8*CUSTOS!$P$3</f>
        <v>0</v>
      </c>
      <c r="Y8" s="12">
        <f>TRANSICAO!$Y$8*CUSTOS!$P$3</f>
        <v>0</v>
      </c>
      <c r="Z8" s="12">
        <f>TRANSICAO!$Z$8*CUSTOS!$P$3</f>
        <v>0</v>
      </c>
      <c r="AA8" s="12">
        <f>TRANSICAO!$AA$8*CUSTOS!$P$3</f>
        <v>0</v>
      </c>
      <c r="AB8" s="12">
        <f>TRANSICAO!$AB$8*CUSTOS!$P$3</f>
        <v>0</v>
      </c>
      <c r="AC8" s="12">
        <f>TRANSICAO!$AC$8*CUSTOS!$P$3</f>
        <v>0</v>
      </c>
      <c r="AD8" s="12">
        <f>TRANSICAO!$AD$8*CUSTOS!$P$3</f>
        <v>0</v>
      </c>
      <c r="AE8" s="12">
        <v>0</v>
      </c>
      <c r="AF8" s="12">
        <v>0</v>
      </c>
      <c r="AG8" s="12"/>
      <c r="AH8" s="12">
        <v>2.5914000000000001</v>
      </c>
      <c r="AI8" s="12">
        <v>2.5914000000000001</v>
      </c>
      <c r="AJ8" s="12">
        <f ca="1">$N$73</f>
        <v>0.63469313535560201</v>
      </c>
      <c r="AK8" s="12">
        <f t="shared" ca="1" si="0"/>
        <v>0.63469313535560201</v>
      </c>
      <c r="AL8" s="12"/>
      <c r="AM8" s="12"/>
      <c r="AP8" s="12">
        <v>1</v>
      </c>
    </row>
    <row r="9" spans="1:42" ht="11.25" customHeight="1" x14ac:dyDescent="0.25">
      <c r="A9" s="106"/>
      <c r="B9" s="106" t="s">
        <v>59</v>
      </c>
      <c r="C9" s="106" t="s">
        <v>25</v>
      </c>
      <c r="D9" s="106" t="s">
        <v>25</v>
      </c>
      <c r="E9" s="106" t="s">
        <v>25</v>
      </c>
      <c r="F9" s="106" t="s">
        <v>60</v>
      </c>
      <c r="G9" s="17" t="s">
        <v>82</v>
      </c>
      <c r="H9" s="17" t="s">
        <v>81</v>
      </c>
      <c r="I9" s="17">
        <f>'MERCADO TUSD'!$U$6</f>
        <v>216624</v>
      </c>
      <c r="J9" s="15"/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/>
      <c r="U9" s="12">
        <f>TRANSICAO!$U$9*CUSTOS!$P$3</f>
        <v>4.0711199999999996</v>
      </c>
      <c r="V9" s="12">
        <f>TRANSICAO!$V$9*CUSTOS!$P$3</f>
        <v>1.40384</v>
      </c>
      <c r="W9" s="12">
        <f>TRANSICAO!$W$9*CUSTOS!$P$3</f>
        <v>0.12368</v>
      </c>
      <c r="X9" s="12">
        <f>TRANSICAO!$X$9*CUSTOS!$P$3</f>
        <v>0</v>
      </c>
      <c r="Y9" s="12">
        <f>TRANSICAO!$Y$9*CUSTOS!$P$3</f>
        <v>4.37</v>
      </c>
      <c r="Z9" s="12">
        <f>TRANSICAO!$Z$9*CUSTOS!$P$3</f>
        <v>0</v>
      </c>
      <c r="AA9" s="12">
        <f>TRANSICAO!$AA$9*CUSTOS!$P$3</f>
        <v>0</v>
      </c>
      <c r="AB9" s="12">
        <f>TRANSICAO!$AB$9*CUSTOS!$P$3</f>
        <v>0</v>
      </c>
      <c r="AC9" s="12">
        <f>TRANSICAO!$AC$9*CUSTOS!$P$3</f>
        <v>2.12832</v>
      </c>
      <c r="AD9" s="12">
        <f>TRANSICAO!$AD$9*CUSTOS!$P$3</f>
        <v>0</v>
      </c>
      <c r="AE9" s="12">
        <v>0</v>
      </c>
      <c r="AF9" s="12">
        <v>0</v>
      </c>
      <c r="AG9" s="12"/>
      <c r="AH9" s="12">
        <v>0</v>
      </c>
      <c r="AI9" s="12">
        <v>0</v>
      </c>
      <c r="AJ9" s="12">
        <v>0</v>
      </c>
      <c r="AK9" s="12">
        <f t="shared" si="0"/>
        <v>0</v>
      </c>
      <c r="AL9" s="12"/>
      <c r="AM9" s="12"/>
      <c r="AP9" s="12">
        <v>1</v>
      </c>
    </row>
    <row r="10" spans="1:42" ht="11.25" customHeight="1" x14ac:dyDescent="0.25">
      <c r="A10" s="106"/>
      <c r="B10" s="106"/>
      <c r="C10" s="106"/>
      <c r="D10" s="106"/>
      <c r="E10" s="106"/>
      <c r="F10" s="106"/>
      <c r="G10" s="17" t="s">
        <v>83</v>
      </c>
      <c r="H10" s="17" t="s">
        <v>81</v>
      </c>
      <c r="I10" s="17">
        <f>'MERCADO TUSD'!$U$7</f>
        <v>219920</v>
      </c>
      <c r="J10" s="15"/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/>
      <c r="U10" s="12">
        <f>TRANSICAO!$U$10*CUSTOS!$P$3</f>
        <v>3.1188800000000003</v>
      </c>
      <c r="V10" s="12">
        <f>TRANSICAO!$V$10*CUSTOS!$P$3</f>
        <v>1.0873600000000001</v>
      </c>
      <c r="W10" s="12">
        <f>TRANSICAO!$W$10*CUSTOS!$P$3</f>
        <v>9.2240000000000003E-2</v>
      </c>
      <c r="X10" s="12">
        <f>TRANSICAO!$X$10*CUSTOS!$P$3</f>
        <v>0</v>
      </c>
      <c r="Y10" s="12">
        <f>TRANSICAO!$Y$10*CUSTOS!$P$3</f>
        <v>1.4803200000000001</v>
      </c>
      <c r="Z10" s="12">
        <f>TRANSICAO!$Z$10*CUSTOS!$P$3</f>
        <v>0</v>
      </c>
      <c r="AA10" s="12">
        <f>TRANSICAO!$AA$10*CUSTOS!$P$3</f>
        <v>0</v>
      </c>
      <c r="AB10" s="12">
        <f>TRANSICAO!$AB$10*CUSTOS!$P$3</f>
        <v>0</v>
      </c>
      <c r="AC10" s="12">
        <f>TRANSICAO!$AC$10*CUSTOS!$P$3</f>
        <v>0.26960000000000001</v>
      </c>
      <c r="AD10" s="12">
        <f>TRANSICAO!$AD$10*CUSTOS!$P$3</f>
        <v>0</v>
      </c>
      <c r="AE10" s="12">
        <v>0</v>
      </c>
      <c r="AF10" s="12">
        <v>0</v>
      </c>
      <c r="AG10" s="12"/>
      <c r="AH10" s="12">
        <v>0</v>
      </c>
      <c r="AI10" s="12">
        <v>0</v>
      </c>
      <c r="AJ10" s="12">
        <v>0</v>
      </c>
      <c r="AK10" s="12">
        <f t="shared" si="0"/>
        <v>0</v>
      </c>
      <c r="AL10" s="12"/>
      <c r="AM10" s="12"/>
      <c r="AP10" s="12">
        <v>1</v>
      </c>
    </row>
    <row r="11" spans="1:42" ht="11.25" customHeight="1" x14ac:dyDescent="0.25">
      <c r="A11" s="106"/>
      <c r="B11" s="106"/>
      <c r="C11" s="106"/>
      <c r="D11" s="106"/>
      <c r="E11" s="106"/>
      <c r="F11" s="106"/>
      <c r="G11" s="17" t="s">
        <v>84</v>
      </c>
      <c r="H11" s="17" t="s">
        <v>78</v>
      </c>
      <c r="I11" s="17">
        <f>'MERCADO TUSD'!$U$8</f>
        <v>41971.481000000007</v>
      </c>
      <c r="J11" s="15"/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/>
      <c r="U11" s="12">
        <f>TRANSICAO!$U$11*CUSTOS!$P$3</f>
        <v>0</v>
      </c>
      <c r="V11" s="12">
        <f>TRANSICAO!$V$11*CUSTOS!$P$3</f>
        <v>0</v>
      </c>
      <c r="W11" s="12">
        <f>TRANSICAO!$W$11*CUSTOS!$P$3</f>
        <v>0</v>
      </c>
      <c r="X11" s="12">
        <f>TRANSICAO!$X$11*CUSTOS!$P$3</f>
        <v>0</v>
      </c>
      <c r="Y11" s="12">
        <f>TRANSICAO!$Y$11*CUSTOS!$P$3</f>
        <v>0</v>
      </c>
      <c r="Z11" s="12">
        <f>TRANSICAO!$Z$11*CUSTOS!$P$3</f>
        <v>0</v>
      </c>
      <c r="AA11" s="12">
        <f>TRANSICAO!$AA$11*CUSTOS!$P$3</f>
        <v>0</v>
      </c>
      <c r="AB11" s="12">
        <f>TRANSICAO!$AB$11*CUSTOS!$P$3</f>
        <v>0</v>
      </c>
      <c r="AC11" s="12">
        <f>TRANSICAO!$AC$11*CUSTOS!$P$3</f>
        <v>0</v>
      </c>
      <c r="AD11" s="12">
        <f>TRANSICAO!$AD$11*CUSTOS!$P$3</f>
        <v>0</v>
      </c>
      <c r="AE11" s="12">
        <v>0</v>
      </c>
      <c r="AF11" s="12">
        <v>0</v>
      </c>
      <c r="AG11" s="12"/>
      <c r="AH11" s="12">
        <v>2.5914000000000001</v>
      </c>
      <c r="AI11" s="12">
        <v>2.5914000000000001</v>
      </c>
      <c r="AJ11" s="12">
        <v>0</v>
      </c>
      <c r="AK11" s="12">
        <f t="shared" si="0"/>
        <v>0</v>
      </c>
      <c r="AL11" s="12"/>
      <c r="AM11" s="12"/>
      <c r="AP11" s="12">
        <v>1</v>
      </c>
    </row>
    <row r="12" spans="1:42" ht="11.25" customHeight="1" x14ac:dyDescent="0.25">
      <c r="A12" s="106" t="s">
        <v>39</v>
      </c>
      <c r="B12" s="106" t="s">
        <v>40</v>
      </c>
      <c r="C12" s="106" t="s">
        <v>25</v>
      </c>
      <c r="D12" s="106" t="s">
        <v>25</v>
      </c>
      <c r="E12" s="106" t="s">
        <v>25</v>
      </c>
      <c r="F12" s="106" t="s">
        <v>25</v>
      </c>
      <c r="G12" s="17" t="s">
        <v>82</v>
      </c>
      <c r="H12" s="17" t="s">
        <v>81</v>
      </c>
      <c r="I12" s="17">
        <f>'MERCADO TUSD'!$U$9</f>
        <v>96314</v>
      </c>
      <c r="J12" s="15"/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/>
      <c r="U12" s="12">
        <f>TRANSICAO!$U$12*CUSTOS!$R$3</f>
        <v>4.9637700000000002</v>
      </c>
      <c r="V12" s="12">
        <f>TRANSICAO!$V$12*CUSTOS!$R$3</f>
        <v>1.7116199999999999</v>
      </c>
      <c r="W12" s="12">
        <f>TRANSICAO!$W$12*CUSTOS!$R$3</f>
        <v>0.15102000000000002</v>
      </c>
      <c r="X12" s="12">
        <f>TRANSICAO!$X$12*CUSTOS!$R$3</f>
        <v>0</v>
      </c>
      <c r="Y12" s="12">
        <f>TRANSICAO!$Y$12*CUSTOS!$R$3</f>
        <v>5.7858299999999998</v>
      </c>
      <c r="Z12" s="12">
        <f>TRANSICAO!$Z$12*CUSTOS!$R$3</f>
        <v>0</v>
      </c>
      <c r="AA12" s="12">
        <f>TRANSICAO!$AA$12*CUSTOS!$R$3</f>
        <v>0</v>
      </c>
      <c r="AB12" s="12">
        <f>TRANSICAO!$AB$12*CUSTOS!$R$3</f>
        <v>0</v>
      </c>
      <c r="AC12" s="12">
        <f>TRANSICAO!$AC$12*CUSTOS!$R$3</f>
        <v>22.36833</v>
      </c>
      <c r="AD12" s="12">
        <f>TRANSICAO!$AD$12*CUSTOS!$R$3</f>
        <v>0</v>
      </c>
      <c r="AE12" s="12">
        <v>0</v>
      </c>
      <c r="AF12" s="12">
        <v>0</v>
      </c>
      <c r="AG12" s="12"/>
      <c r="AH12" s="12">
        <v>0</v>
      </c>
      <c r="AI12" s="12">
        <v>0</v>
      </c>
      <c r="AJ12" s="12">
        <v>0</v>
      </c>
      <c r="AK12" s="12">
        <f t="shared" si="0"/>
        <v>0</v>
      </c>
      <c r="AL12" s="12"/>
      <c r="AM12" s="12"/>
      <c r="AP12" s="12">
        <v>1</v>
      </c>
    </row>
    <row r="13" spans="1:42" ht="11.25" customHeight="1" x14ac:dyDescent="0.25">
      <c r="A13" s="106"/>
      <c r="B13" s="106"/>
      <c r="C13" s="106"/>
      <c r="D13" s="106"/>
      <c r="E13" s="106"/>
      <c r="F13" s="106"/>
      <c r="G13" s="17" t="s">
        <v>83</v>
      </c>
      <c r="H13" s="17" t="s">
        <v>81</v>
      </c>
      <c r="I13" s="17">
        <f>'MERCADO TUSD'!$U$10</f>
        <v>112951</v>
      </c>
      <c r="J13" s="15"/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/>
      <c r="U13" s="12">
        <f>TRANSICAO!$U$13*CUSTOS!$R$3</f>
        <v>3.71637</v>
      </c>
      <c r="V13" s="12">
        <f>TRANSICAO!$V$13*CUSTOS!$R$3</f>
        <v>1.29573</v>
      </c>
      <c r="W13" s="12">
        <f>TRANSICAO!$W$13*CUSTOS!$R$3</f>
        <v>0.11007</v>
      </c>
      <c r="X13" s="12">
        <f>TRANSICAO!$X$13*CUSTOS!$R$3</f>
        <v>0</v>
      </c>
      <c r="Y13" s="12">
        <f>TRANSICAO!$Y$13*CUSTOS!$R$3</f>
        <v>2.1751199999999997</v>
      </c>
      <c r="Z13" s="12">
        <f>TRANSICAO!$Z$13*CUSTOS!$R$3</f>
        <v>0</v>
      </c>
      <c r="AA13" s="12">
        <f>TRANSICAO!$AA$13*CUSTOS!$R$3</f>
        <v>0</v>
      </c>
      <c r="AB13" s="12">
        <f>TRANSICAO!$AB$13*CUSTOS!$R$3</f>
        <v>0</v>
      </c>
      <c r="AC13" s="12">
        <f>TRANSICAO!$AC$13*CUSTOS!$R$3</f>
        <v>10.19295</v>
      </c>
      <c r="AD13" s="12">
        <f>TRANSICAO!$AD$13*CUSTOS!$R$3</f>
        <v>0</v>
      </c>
      <c r="AE13" s="12">
        <v>0</v>
      </c>
      <c r="AF13" s="12">
        <v>0</v>
      </c>
      <c r="AG13" s="12"/>
      <c r="AH13" s="12">
        <v>0</v>
      </c>
      <c r="AI13" s="12">
        <v>0</v>
      </c>
      <c r="AJ13" s="12">
        <v>0</v>
      </c>
      <c r="AK13" s="12">
        <f t="shared" si="0"/>
        <v>0</v>
      </c>
      <c r="AL13" s="12"/>
      <c r="AM13" s="12"/>
      <c r="AP13" s="12">
        <v>1</v>
      </c>
    </row>
    <row r="14" spans="1:42" ht="11.25" customHeight="1" x14ac:dyDescent="0.25">
      <c r="A14" s="106"/>
      <c r="B14" s="106"/>
      <c r="C14" s="106"/>
      <c r="D14" s="106"/>
      <c r="E14" s="106"/>
      <c r="F14" s="106"/>
      <c r="G14" s="17" t="s">
        <v>84</v>
      </c>
      <c r="H14" s="17" t="s">
        <v>78</v>
      </c>
      <c r="I14" s="17">
        <f>'MERCADO TUSD'!$U$11</f>
        <v>43743.163999999997</v>
      </c>
      <c r="J14" s="15"/>
      <c r="L14" s="12">
        <f>0.84</f>
        <v>0.84</v>
      </c>
      <c r="M14" s="12">
        <f>IF(AND((+$I$14+$I$15+$I$21+$I$22+$I$23+$I$24)&lt;&gt;0,SUMPRODUCT($I$5:$I$61,$AC$5:$AC$61,$AP$5:$AP$61)&lt;&gt;0),$M$66*SUMPRODUCT($I$12:$I$24,$AC$12:$AC$24,$AP$12:$AP$24)/SUMPRODUCT($I$5:$I$61,$AC$5:$AC$61,$AP$5:$AP$61)/(+$I$14+$I$15+$I$21+$I$22+$I$23+$I$24),0)</f>
        <v>0.39674407930630562</v>
      </c>
      <c r="N14" s="12">
        <f ca="1">(+M14+O14+R14+U14+V14+W14+X14+Y14+Z14+AA14+AC14+AH14+AI14+AJ14+AK14)*CUSTOS!$M$5</f>
        <v>0.16415751322889638</v>
      </c>
      <c r="O14" s="12">
        <v>1</v>
      </c>
      <c r="P14" s="12">
        <v>1</v>
      </c>
      <c r="Q14" s="12">
        <f>0.84</f>
        <v>0.84</v>
      </c>
      <c r="R14" s="12">
        <v>1</v>
      </c>
      <c r="S14" s="12">
        <v>1</v>
      </c>
      <c r="T14" s="12"/>
      <c r="U14" s="12">
        <f>TRANSICAO!$U$14*CUSTOS!$R$3</f>
        <v>0</v>
      </c>
      <c r="V14" s="12">
        <f>TRANSICAO!$V$14*CUSTOS!$R$3</f>
        <v>0</v>
      </c>
      <c r="W14" s="12">
        <f>TRANSICAO!$W$14*CUSTOS!$R$3</f>
        <v>0</v>
      </c>
      <c r="X14" s="12">
        <f>TRANSICAO!$X$14*CUSTOS!$R$3</f>
        <v>0</v>
      </c>
      <c r="Y14" s="12">
        <f>TRANSICAO!$Y$14*CUSTOS!$R$3</f>
        <v>0</v>
      </c>
      <c r="Z14" s="12">
        <f>TRANSICAO!$Z$14*CUSTOS!$R$3</f>
        <v>0</v>
      </c>
      <c r="AA14" s="12">
        <f>TRANSICAO!$AA$14*CUSTOS!$R$3</f>
        <v>0</v>
      </c>
      <c r="AB14" s="12">
        <f>TRANSICAO!$AB$14*CUSTOS!$R$3</f>
        <v>0</v>
      </c>
      <c r="AC14" s="12">
        <f>TRANSICAO!$AC$14*CUSTOS!$R$3</f>
        <v>0</v>
      </c>
      <c r="AD14" s="12">
        <f>TRANSICAO!$AD$14*CUSTOS!$R$3</f>
        <v>0</v>
      </c>
      <c r="AE14" s="12">
        <v>0</v>
      </c>
      <c r="AF14" s="12">
        <v>0</v>
      </c>
      <c r="AG14" s="12"/>
      <c r="AH14" s="12">
        <v>5.2121000000000004</v>
      </c>
      <c r="AI14" s="12">
        <v>5.2121000000000004</v>
      </c>
      <c r="AJ14" s="12">
        <f ca="1">$N$74</f>
        <v>1.7974036217916654</v>
      </c>
      <c r="AK14" s="12">
        <f t="shared" ca="1" si="0"/>
        <v>1.7974036217916654</v>
      </c>
      <c r="AL14" s="12"/>
      <c r="AM14" s="12"/>
      <c r="AP14" s="12">
        <v>1</v>
      </c>
    </row>
    <row r="15" spans="1:42" ht="11.25" customHeight="1" x14ac:dyDescent="0.25">
      <c r="A15" s="106"/>
      <c r="B15" s="106"/>
      <c r="C15" s="106"/>
      <c r="D15" s="106"/>
      <c r="E15" s="18" t="s">
        <v>85</v>
      </c>
      <c r="F15" s="18" t="s">
        <v>25</v>
      </c>
      <c r="G15" s="17" t="s">
        <v>84</v>
      </c>
      <c r="H15" s="17" t="s">
        <v>78</v>
      </c>
      <c r="I15" s="17">
        <f>'MERCADO TUSD'!$U$12</f>
        <v>0</v>
      </c>
      <c r="J15" s="15"/>
      <c r="L15" s="12">
        <v>0</v>
      </c>
      <c r="M15" s="12">
        <f>IF(AND((+$I$14+$I$15+$I$21+$I$22+$I$23+$I$24)&lt;&gt;0,SUMPRODUCT($I$5:$I$61,$AC$5:$AC$61,$AP$5:$AP$61)&lt;&gt;0),$M$66*SUMPRODUCT($I$12:$I$24,$AC$12:$AC$24,$AP$12:$AP$24)/SUMPRODUCT($I$5:$I$61,$AC$5:$AC$61,$AP$5:$AP$61)/(+$I$14+$I$15+$I$21+$I$22+$I$23+$I$24),0)</f>
        <v>0.39674407930630562</v>
      </c>
      <c r="N15" s="12">
        <f ca="1">(+M15+O15+R15+U15+V15+W15+X15+Y15+Z15+AA15+AC15+AH15+AI15+AJ15+AK15)*CUSTOS!$M$5</f>
        <v>0.15415751322889637</v>
      </c>
      <c r="O15" s="12">
        <v>1</v>
      </c>
      <c r="P15" s="12">
        <v>0</v>
      </c>
      <c r="Q15" s="12">
        <v>0</v>
      </c>
      <c r="R15" s="12">
        <v>0</v>
      </c>
      <c r="S15" s="12">
        <v>0</v>
      </c>
      <c r="T15" s="12"/>
      <c r="U15" s="12">
        <f>TRANSICAO!$U$15*CUSTOS!$R$3</f>
        <v>0</v>
      </c>
      <c r="V15" s="12">
        <f>TRANSICAO!$V$15*CUSTOS!$R$3</f>
        <v>0</v>
      </c>
      <c r="W15" s="12">
        <f>TRANSICAO!$W$15*CUSTOS!$R$3</f>
        <v>0</v>
      </c>
      <c r="X15" s="12">
        <f>TRANSICAO!$X$15*CUSTOS!$R$3</f>
        <v>0</v>
      </c>
      <c r="Y15" s="12">
        <f>TRANSICAO!$Y$15*CUSTOS!$R$3</f>
        <v>0</v>
      </c>
      <c r="Z15" s="12">
        <f>TRANSICAO!$Z$15*CUSTOS!$R$3</f>
        <v>0</v>
      </c>
      <c r="AA15" s="12">
        <f>TRANSICAO!$AA$15*CUSTOS!$R$3</f>
        <v>0</v>
      </c>
      <c r="AB15" s="12">
        <f>TRANSICAO!$AB$15*CUSTOS!$R$3</f>
        <v>0</v>
      </c>
      <c r="AC15" s="12">
        <f>TRANSICAO!$AC$15*CUSTOS!$R$3</f>
        <v>0</v>
      </c>
      <c r="AD15" s="12">
        <f>TRANSICAO!$AD$15*CUSTOS!$R$3</f>
        <v>0</v>
      </c>
      <c r="AE15" s="12">
        <v>0</v>
      </c>
      <c r="AF15" s="12">
        <v>0</v>
      </c>
      <c r="AG15" s="12"/>
      <c r="AH15" s="12">
        <v>5.2121000000000004</v>
      </c>
      <c r="AI15" s="12">
        <v>5.2121000000000004</v>
      </c>
      <c r="AJ15" s="12">
        <f ca="1">$N$74</f>
        <v>1.7974036217916654</v>
      </c>
      <c r="AK15" s="12">
        <f t="shared" ca="1" si="0"/>
        <v>1.7974036217916654</v>
      </c>
      <c r="AL15" s="12"/>
      <c r="AM15" s="12"/>
      <c r="AP15" s="12">
        <v>1</v>
      </c>
    </row>
    <row r="16" spans="1:42" ht="11.25" customHeight="1" x14ac:dyDescent="0.25">
      <c r="A16" s="106"/>
      <c r="B16" s="106" t="s">
        <v>59</v>
      </c>
      <c r="C16" s="106" t="s">
        <v>25</v>
      </c>
      <c r="D16" s="106" t="s">
        <v>25</v>
      </c>
      <c r="E16" s="106" t="s">
        <v>25</v>
      </c>
      <c r="F16" s="106" t="s">
        <v>60</v>
      </c>
      <c r="G16" s="17" t="s">
        <v>82</v>
      </c>
      <c r="H16" s="17" t="s">
        <v>81</v>
      </c>
      <c r="I16" s="17">
        <f>'MERCADO TUSD'!$U$13</f>
        <v>1804</v>
      </c>
      <c r="J16" s="15"/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/>
      <c r="U16" s="12">
        <f>TRANSICAO!$U$16*CUSTOS!$R$3</f>
        <v>4.9637700000000002</v>
      </c>
      <c r="V16" s="12">
        <f>TRANSICAO!$V$16*CUSTOS!$R$3</f>
        <v>1.7116199999999999</v>
      </c>
      <c r="W16" s="12">
        <f>TRANSICAO!$W$16*CUSTOS!$R$3</f>
        <v>0.15102000000000002</v>
      </c>
      <c r="X16" s="12">
        <f>TRANSICAO!$X$16*CUSTOS!$R$3</f>
        <v>0</v>
      </c>
      <c r="Y16" s="12">
        <f>TRANSICAO!$Y$16*CUSTOS!$R$3</f>
        <v>5.7858299999999998</v>
      </c>
      <c r="Z16" s="12">
        <f>TRANSICAO!$Z$16*CUSTOS!$R$3</f>
        <v>0</v>
      </c>
      <c r="AA16" s="12">
        <f>TRANSICAO!$AA$16*CUSTOS!$R$3</f>
        <v>0</v>
      </c>
      <c r="AB16" s="12">
        <f>TRANSICAO!$AB$16*CUSTOS!$R$3</f>
        <v>0</v>
      </c>
      <c r="AC16" s="12">
        <f>TRANSICAO!$AC$16*CUSTOS!$R$3</f>
        <v>7.8006600000000006</v>
      </c>
      <c r="AD16" s="12">
        <f>TRANSICAO!$AD$16*CUSTOS!$R$3</f>
        <v>0</v>
      </c>
      <c r="AE16" s="12">
        <v>0</v>
      </c>
      <c r="AF16" s="12">
        <v>0</v>
      </c>
      <c r="AG16" s="12"/>
      <c r="AH16" s="12">
        <v>0</v>
      </c>
      <c r="AI16" s="12">
        <v>0</v>
      </c>
      <c r="AJ16" s="12">
        <v>0</v>
      </c>
      <c r="AK16" s="12">
        <f t="shared" si="0"/>
        <v>0</v>
      </c>
      <c r="AL16" s="12"/>
      <c r="AM16" s="12"/>
      <c r="AP16" s="12">
        <v>1</v>
      </c>
    </row>
    <row r="17" spans="1:42" ht="11.25" customHeight="1" x14ac:dyDescent="0.25">
      <c r="A17" s="106"/>
      <c r="B17" s="106"/>
      <c r="C17" s="106"/>
      <c r="D17" s="106"/>
      <c r="E17" s="106"/>
      <c r="F17" s="106"/>
      <c r="G17" s="17" t="s">
        <v>83</v>
      </c>
      <c r="H17" s="17" t="s">
        <v>81</v>
      </c>
      <c r="I17" s="17">
        <f>'MERCADO TUSD'!$U$14</f>
        <v>1804</v>
      </c>
      <c r="J17" s="15"/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/>
      <c r="U17" s="12">
        <f>TRANSICAO!$U$17*CUSTOS!$R$3</f>
        <v>3.71637</v>
      </c>
      <c r="V17" s="12">
        <f>TRANSICAO!$V$17*CUSTOS!$R$3</f>
        <v>1.29573</v>
      </c>
      <c r="W17" s="12">
        <f>TRANSICAO!$W$17*CUSTOS!$R$3</f>
        <v>0.11007</v>
      </c>
      <c r="X17" s="12">
        <f>TRANSICAO!$X$17*CUSTOS!$R$3</f>
        <v>0</v>
      </c>
      <c r="Y17" s="12">
        <f>TRANSICAO!$Y$17*CUSTOS!$R$3</f>
        <v>2.1751199999999997</v>
      </c>
      <c r="Z17" s="12">
        <f>TRANSICAO!$Z$17*CUSTOS!$R$3</f>
        <v>0</v>
      </c>
      <c r="AA17" s="12">
        <f>TRANSICAO!$AA$17*CUSTOS!$R$3</f>
        <v>0</v>
      </c>
      <c r="AB17" s="12">
        <f>TRANSICAO!$AB$17*CUSTOS!$R$3</f>
        <v>0</v>
      </c>
      <c r="AC17" s="12">
        <f>TRANSICAO!$AC$17*CUSTOS!$R$3</f>
        <v>3.5546400000000005</v>
      </c>
      <c r="AD17" s="12">
        <f>TRANSICAO!$AD$17*CUSTOS!$R$3</f>
        <v>0</v>
      </c>
      <c r="AE17" s="12">
        <v>0</v>
      </c>
      <c r="AF17" s="12">
        <v>0</v>
      </c>
      <c r="AG17" s="12"/>
      <c r="AH17" s="12">
        <v>0</v>
      </c>
      <c r="AI17" s="12">
        <v>0</v>
      </c>
      <c r="AJ17" s="12">
        <v>0</v>
      </c>
      <c r="AK17" s="12">
        <f t="shared" si="0"/>
        <v>0</v>
      </c>
      <c r="AL17" s="12"/>
      <c r="AM17" s="12"/>
      <c r="AP17" s="12">
        <v>1</v>
      </c>
    </row>
    <row r="18" spans="1:42" ht="11.25" customHeight="1" x14ac:dyDescent="0.25">
      <c r="A18" s="106"/>
      <c r="B18" s="106"/>
      <c r="C18" s="106"/>
      <c r="D18" s="106"/>
      <c r="E18" s="106"/>
      <c r="F18" s="106"/>
      <c r="G18" s="17" t="s">
        <v>84</v>
      </c>
      <c r="H18" s="17" t="s">
        <v>78</v>
      </c>
      <c r="I18" s="17">
        <f>'MERCADO TUSD'!$U$15</f>
        <v>731.00300000000004</v>
      </c>
      <c r="J18" s="15"/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/>
      <c r="U18" s="12">
        <f>TRANSICAO!$U$18*CUSTOS!$R$3</f>
        <v>0</v>
      </c>
      <c r="V18" s="12">
        <f>TRANSICAO!$V$18*CUSTOS!$R$3</f>
        <v>0</v>
      </c>
      <c r="W18" s="12">
        <f>TRANSICAO!$W$18*CUSTOS!$R$3</f>
        <v>0</v>
      </c>
      <c r="X18" s="12">
        <f>TRANSICAO!$X$18*CUSTOS!$R$3</f>
        <v>0</v>
      </c>
      <c r="Y18" s="12">
        <f>TRANSICAO!$Y$18*CUSTOS!$R$3</f>
        <v>0</v>
      </c>
      <c r="Z18" s="12">
        <f>TRANSICAO!$Z$18*CUSTOS!$R$3</f>
        <v>0</v>
      </c>
      <c r="AA18" s="12">
        <f>TRANSICAO!$AA$18*CUSTOS!$R$3</f>
        <v>0</v>
      </c>
      <c r="AB18" s="12">
        <f>TRANSICAO!$AB$18*CUSTOS!$R$3</f>
        <v>0</v>
      </c>
      <c r="AC18" s="12">
        <f>TRANSICAO!$AC$18*CUSTOS!$R$3</f>
        <v>0</v>
      </c>
      <c r="AD18" s="12">
        <f>TRANSICAO!$AD$18*CUSTOS!$R$3</f>
        <v>0</v>
      </c>
      <c r="AE18" s="12">
        <v>0</v>
      </c>
      <c r="AF18" s="12">
        <v>0</v>
      </c>
      <c r="AG18" s="12"/>
      <c r="AH18" s="12">
        <v>5.2121000000000004</v>
      </c>
      <c r="AI18" s="12">
        <v>5.2121000000000004</v>
      </c>
      <c r="AJ18" s="12">
        <v>0</v>
      </c>
      <c r="AK18" s="12">
        <f t="shared" si="0"/>
        <v>0</v>
      </c>
      <c r="AL18" s="12"/>
      <c r="AM18" s="12"/>
      <c r="AP18" s="12">
        <v>1</v>
      </c>
    </row>
    <row r="19" spans="1:42" ht="11.25" customHeight="1" x14ac:dyDescent="0.25">
      <c r="A19" s="106"/>
      <c r="B19" s="18" t="s">
        <v>87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81</v>
      </c>
      <c r="I19" s="17">
        <f>'MERCADO TUSD'!$U$16</f>
        <v>0</v>
      </c>
      <c r="J19" s="15"/>
      <c r="L19" s="12">
        <v>0</v>
      </c>
      <c r="M19" s="12">
        <v>3.3000000000000002E-2</v>
      </c>
      <c r="N19" s="12">
        <f>0.0829</f>
        <v>8.2900000000000001E-2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/>
      <c r="U19" s="12">
        <f>TRANSICAO!$U$19*CUSTOS!$R$4</f>
        <v>0</v>
      </c>
      <c r="V19" s="12">
        <f>TRANSICAO!$V$19*CUSTOS!$R$4</f>
        <v>0</v>
      </c>
      <c r="W19" s="12">
        <f>TRANSICAO!$W$19*CUSTOS!$R$4</f>
        <v>0</v>
      </c>
      <c r="X19" s="12">
        <f>TRANSICAO!$X$19*CUSTOS!$R$4</f>
        <v>0</v>
      </c>
      <c r="Y19" s="12">
        <f>TRANSICAO!$Y$19*CUSTOS!$R$4</f>
        <v>0</v>
      </c>
      <c r="Z19" s="12">
        <f>TRANSICAO!$Z$19*CUSTOS!$R$4</f>
        <v>0</v>
      </c>
      <c r="AA19" s="12">
        <f>TRANSICAO!$AA$19*CUSTOS!$R$4</f>
        <v>0</v>
      </c>
      <c r="AB19" s="12">
        <f>TRANSICAO!$AB$19*CUSTOS!$R$4</f>
        <v>0</v>
      </c>
      <c r="AC19" s="12">
        <f>TRANSICAO!$AC$19*CUSTOS!$R$4</f>
        <v>8.2568000000000001</v>
      </c>
      <c r="AD19" s="12">
        <f>TRANSICAO!$AD$19*CUSTOS!$R$4</f>
        <v>0</v>
      </c>
      <c r="AE19" s="12">
        <v>0</v>
      </c>
      <c r="AF19" s="12">
        <v>0</v>
      </c>
      <c r="AG19" s="12"/>
      <c r="AH19" s="12">
        <v>0</v>
      </c>
      <c r="AI19" s="12">
        <v>0</v>
      </c>
      <c r="AJ19" s="12">
        <v>0</v>
      </c>
      <c r="AK19" s="12">
        <f t="shared" si="0"/>
        <v>0</v>
      </c>
      <c r="AL19" s="12"/>
      <c r="AM19" s="12"/>
      <c r="AP19" s="12"/>
    </row>
    <row r="20" spans="1:42" ht="11.25" customHeight="1" x14ac:dyDescent="0.25">
      <c r="A20" s="106"/>
      <c r="B20" s="106" t="s">
        <v>41</v>
      </c>
      <c r="C20" s="106" t="s">
        <v>25</v>
      </c>
      <c r="D20" s="106" t="s">
        <v>25</v>
      </c>
      <c r="E20" s="106" t="s">
        <v>25</v>
      </c>
      <c r="F20" s="106" t="s">
        <v>25</v>
      </c>
      <c r="G20" s="17" t="s">
        <v>9</v>
      </c>
      <c r="H20" s="17" t="s">
        <v>81</v>
      </c>
      <c r="I20" s="17">
        <f>'MERCADO TUSD'!$U$17</f>
        <v>750849</v>
      </c>
      <c r="J20" s="15"/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/>
      <c r="U20" s="12">
        <f>TRANSICAO!$U$20*CUSTOS!$R$3</f>
        <v>3.71637</v>
      </c>
      <c r="V20" s="12">
        <f>TRANSICAO!$V$20*CUSTOS!$R$3</f>
        <v>1.29573</v>
      </c>
      <c r="W20" s="12">
        <f>TRANSICAO!$W$20*CUSTOS!$R$3</f>
        <v>0.11007</v>
      </c>
      <c r="X20" s="12">
        <f>TRANSICAO!$X$20*CUSTOS!$R$3</f>
        <v>0</v>
      </c>
      <c r="Y20" s="12">
        <f>TRANSICAO!$Y$20*CUSTOS!$R$3</f>
        <v>2.1751199999999997</v>
      </c>
      <c r="Z20" s="12">
        <f>TRANSICAO!$Z$20*CUSTOS!$R$3</f>
        <v>0</v>
      </c>
      <c r="AA20" s="12">
        <f>TRANSICAO!$AA$20*CUSTOS!$R$3</f>
        <v>0</v>
      </c>
      <c r="AB20" s="12">
        <f>TRANSICAO!$AB$20*CUSTOS!$R$3</f>
        <v>0</v>
      </c>
      <c r="AC20" s="12">
        <f>TRANSICAO!$AC$20*CUSTOS!$R$3</f>
        <v>10.19295</v>
      </c>
      <c r="AD20" s="12">
        <f>TRANSICAO!$AD$20*CUSTOS!$R$3</f>
        <v>0</v>
      </c>
      <c r="AE20" s="12">
        <v>0</v>
      </c>
      <c r="AF20" s="12">
        <v>0</v>
      </c>
      <c r="AG20" s="12"/>
      <c r="AH20" s="12">
        <v>0</v>
      </c>
      <c r="AI20" s="12">
        <v>0</v>
      </c>
      <c r="AJ20" s="12">
        <v>0</v>
      </c>
      <c r="AK20" s="12">
        <f t="shared" si="0"/>
        <v>0</v>
      </c>
      <c r="AL20" s="12"/>
      <c r="AM20" s="12"/>
      <c r="AP20" s="12">
        <v>1</v>
      </c>
    </row>
    <row r="21" spans="1:42" ht="11.25" customHeight="1" x14ac:dyDescent="0.25">
      <c r="A21" s="106"/>
      <c r="B21" s="106"/>
      <c r="C21" s="106"/>
      <c r="D21" s="106"/>
      <c r="E21" s="106"/>
      <c r="F21" s="106"/>
      <c r="G21" s="17" t="s">
        <v>79</v>
      </c>
      <c r="H21" s="17" t="s">
        <v>78</v>
      </c>
      <c r="I21" s="17">
        <f>'MERCADO TUSD'!$U$18</f>
        <v>10300.001999999999</v>
      </c>
      <c r="J21" s="15"/>
      <c r="L21" s="12">
        <f>0.84</f>
        <v>0.84</v>
      </c>
      <c r="M21" s="12">
        <f>IF(AND((+$I$14+$I$15+$I$21+$I$22+$I$23+$I$24)&lt;&gt;0,SUMPRODUCT($I$5:$I$61,$AC$5:$AC$61,$AP$5:$AP$61)&lt;&gt;0),$M$66*SUMPRODUCT($I$12:$I$24,$AC$12:$AC$24,$AP$12:$AP$24)/SUMPRODUCT($I$5:$I$61,$AC$5:$AC$61,$AP$5:$AP$61)/(+$I$14+$I$15+$I$21+$I$22+$I$23+$I$24),0)</f>
        <v>0.39674407930630562</v>
      </c>
      <c r="N21" s="12">
        <f ca="1">(+M21+O21+R21+U21+V21+W21+X21+Y21+Z21+AA21+AC21+AH21+AI21+AJ21+AK21)*CUSTOS!$M$5</f>
        <v>8.5770047132288969</v>
      </c>
      <c r="O21" s="12">
        <v>1</v>
      </c>
      <c r="P21" s="12">
        <v>1</v>
      </c>
      <c r="Q21" s="12">
        <f>0.84</f>
        <v>0.84</v>
      </c>
      <c r="R21" s="12">
        <v>1</v>
      </c>
      <c r="S21" s="12">
        <v>1</v>
      </c>
      <c r="T21" s="12"/>
      <c r="U21" s="12">
        <f>TRANSICAO!$U$21*CUSTOS!$R$3</f>
        <v>119.37851999999999</v>
      </c>
      <c r="V21" s="12">
        <f>TRANSICAO!$V$21*CUSTOS!$R$3</f>
        <v>41.165010000000002</v>
      </c>
      <c r="W21" s="12">
        <f>TRANSICAO!$W$21*CUSTOS!$R$3</f>
        <v>3.63123</v>
      </c>
      <c r="X21" s="12">
        <f>TRANSICAO!$X$21*CUSTOS!$R$3</f>
        <v>0</v>
      </c>
      <c r="Y21" s="12">
        <f>TRANSICAO!$Y$21*CUSTOS!$R$3</f>
        <v>139.15026</v>
      </c>
      <c r="Z21" s="12">
        <f>TRANSICAO!$Z$21*CUSTOS!$R$3</f>
        <v>0</v>
      </c>
      <c r="AA21" s="12">
        <f>TRANSICAO!$AA$21*CUSTOS!$R$3</f>
        <v>0</v>
      </c>
      <c r="AB21" s="12">
        <f>TRANSICAO!$AB$21*CUSTOS!$R$3</f>
        <v>0</v>
      </c>
      <c r="AC21" s="12">
        <f>TRANSICAO!$AC$21*CUSTOS!$R$3</f>
        <v>537.9597</v>
      </c>
      <c r="AD21" s="12">
        <f>TRANSICAO!$AD$21*CUSTOS!$R$3</f>
        <v>0</v>
      </c>
      <c r="AE21" s="12">
        <v>0</v>
      </c>
      <c r="AF21" s="12">
        <v>0</v>
      </c>
      <c r="AG21" s="12"/>
      <c r="AH21" s="12">
        <v>5.2121000000000004</v>
      </c>
      <c r="AI21" s="12">
        <v>5.2121000000000004</v>
      </c>
      <c r="AJ21" s="12">
        <f ca="1">$N$74</f>
        <v>1.7974036217916654</v>
      </c>
      <c r="AK21" s="12">
        <f t="shared" ca="1" si="0"/>
        <v>1.7974036217916654</v>
      </c>
      <c r="AL21" s="12"/>
      <c r="AM21" s="12"/>
      <c r="AP21" s="12">
        <v>1</v>
      </c>
    </row>
    <row r="22" spans="1:42" ht="11.25" customHeight="1" x14ac:dyDescent="0.25">
      <c r="A22" s="106"/>
      <c r="B22" s="106"/>
      <c r="C22" s="106"/>
      <c r="D22" s="106"/>
      <c r="E22" s="106"/>
      <c r="F22" s="106"/>
      <c r="G22" s="17" t="s">
        <v>80</v>
      </c>
      <c r="H22" s="17" t="s">
        <v>78</v>
      </c>
      <c r="I22" s="17">
        <f>'MERCADO TUSD'!$U$19</f>
        <v>146148.57</v>
      </c>
      <c r="J22" s="15"/>
      <c r="L22" s="12">
        <f>0.84</f>
        <v>0.84</v>
      </c>
      <c r="M22" s="12">
        <f>IF(AND((+$I$14+$I$15+$I$21+$I$22+$I$23+$I$24)&lt;&gt;0,SUMPRODUCT($I$5:$I$61,$AC$5:$AC$61,$AP$5:$AP$61)&lt;&gt;0),$M$66*SUMPRODUCT($I$12:$I$24,$AC$12:$AC$24,$AP$12:$AP$24)/SUMPRODUCT($I$5:$I$61,$AC$5:$AC$61,$AP$5:$AP$61)/(+$I$14+$I$15+$I$21+$I$22+$I$23+$I$24),0)</f>
        <v>0.39674407930630562</v>
      </c>
      <c r="N22" s="12">
        <f ca="1">(+M22+O22+R22+U22+V22+W22+X22+Y22+Z22+AA22+AC22+AH22+AI22+AJ22+AK22)*CUSTOS!$M$5</f>
        <v>0.16415751322889638</v>
      </c>
      <c r="O22" s="12">
        <v>1</v>
      </c>
      <c r="P22" s="12">
        <v>1</v>
      </c>
      <c r="Q22" s="12">
        <f>0.84</f>
        <v>0.84</v>
      </c>
      <c r="R22" s="12">
        <v>1</v>
      </c>
      <c r="S22" s="12">
        <v>1</v>
      </c>
      <c r="T22" s="12"/>
      <c r="U22" s="12">
        <f>TRANSICAO!$U$22*CUSTOS!$R$3</f>
        <v>0</v>
      </c>
      <c r="V22" s="12">
        <f>TRANSICAO!$V$22*CUSTOS!$R$3</f>
        <v>0</v>
      </c>
      <c r="W22" s="12">
        <f>TRANSICAO!$W$22*CUSTOS!$R$3</f>
        <v>0</v>
      </c>
      <c r="X22" s="12">
        <f>TRANSICAO!$X$22*CUSTOS!$R$3</f>
        <v>0</v>
      </c>
      <c r="Y22" s="12">
        <f>TRANSICAO!$Y$22*CUSTOS!$R$3</f>
        <v>0</v>
      </c>
      <c r="Z22" s="12">
        <f>TRANSICAO!$Z$22*CUSTOS!$R$3</f>
        <v>0</v>
      </c>
      <c r="AA22" s="12">
        <f>TRANSICAO!$AA$22*CUSTOS!$R$3</f>
        <v>0</v>
      </c>
      <c r="AB22" s="12">
        <f>TRANSICAO!$AB$22*CUSTOS!$R$3</f>
        <v>0</v>
      </c>
      <c r="AC22" s="12">
        <f>TRANSICAO!$AC$22*CUSTOS!$R$3</f>
        <v>0</v>
      </c>
      <c r="AD22" s="12">
        <f>TRANSICAO!$AD$22*CUSTOS!$R$3</f>
        <v>0</v>
      </c>
      <c r="AE22" s="12">
        <v>0</v>
      </c>
      <c r="AF22" s="12">
        <v>0</v>
      </c>
      <c r="AG22" s="12"/>
      <c r="AH22" s="12">
        <v>5.2121000000000004</v>
      </c>
      <c r="AI22" s="12">
        <v>5.2121000000000004</v>
      </c>
      <c r="AJ22" s="12">
        <f ca="1">$N$74</f>
        <v>1.7974036217916654</v>
      </c>
      <c r="AK22" s="12">
        <f t="shared" ca="1" si="0"/>
        <v>1.7974036217916654</v>
      </c>
      <c r="AL22" s="12"/>
      <c r="AM22" s="12"/>
      <c r="AP22" s="12">
        <v>1</v>
      </c>
    </row>
    <row r="23" spans="1:42" ht="11.25" customHeight="1" x14ac:dyDescent="0.25">
      <c r="A23" s="106"/>
      <c r="B23" s="106"/>
      <c r="C23" s="106"/>
      <c r="D23" s="106"/>
      <c r="E23" s="106" t="s">
        <v>85</v>
      </c>
      <c r="F23" s="106" t="s">
        <v>25</v>
      </c>
      <c r="G23" s="17" t="s">
        <v>79</v>
      </c>
      <c r="H23" s="17" t="s">
        <v>78</v>
      </c>
      <c r="I23" s="17">
        <f>'MERCADO TUSD'!$U$20</f>
        <v>0</v>
      </c>
      <c r="J23" s="15"/>
      <c r="L23" s="12">
        <v>0</v>
      </c>
      <c r="M23" s="12">
        <f>IF(AND((+$I$14+$I$15+$I$21+$I$22+$I$23+$I$24)&lt;&gt;0,SUMPRODUCT($I$5:$I$61,$AC$5:$AC$61,$AP$5:$AP$61)&lt;&gt;0),$M$66*SUMPRODUCT($I$12:$I$24,$AC$12:$AC$24,$AP$12:$AP$24)/SUMPRODUCT($I$5:$I$61,$AC$5:$AC$61,$AP$5:$AP$61)/(+$I$14+$I$15+$I$21+$I$22+$I$23+$I$24),0)</f>
        <v>0.39674407930630562</v>
      </c>
      <c r="N23" s="12">
        <f ca="1">(+M23+O23+R23+U23+V23+W23+X23+Y23+Z23+AA23+AC23+AH23+AI23+AJ23+AK23)*CUSTOS!$M$5</f>
        <v>8.5670047132288953</v>
      </c>
      <c r="O23" s="12">
        <v>1</v>
      </c>
      <c r="P23" s="12">
        <v>0</v>
      </c>
      <c r="Q23" s="12">
        <v>0</v>
      </c>
      <c r="R23" s="12">
        <v>0</v>
      </c>
      <c r="S23" s="12">
        <v>0</v>
      </c>
      <c r="T23" s="12"/>
      <c r="U23" s="12">
        <f>TRANSICAO!$U$23*CUSTOS!$R$3</f>
        <v>119.37851999999999</v>
      </c>
      <c r="V23" s="12">
        <f>TRANSICAO!$V$23*CUSTOS!$R$3</f>
        <v>41.165010000000002</v>
      </c>
      <c r="W23" s="12">
        <f>TRANSICAO!$W$23*CUSTOS!$R$3</f>
        <v>3.63123</v>
      </c>
      <c r="X23" s="12">
        <f>TRANSICAO!$X$23*CUSTOS!$R$3</f>
        <v>0</v>
      </c>
      <c r="Y23" s="12">
        <f>TRANSICAO!$Y$23*CUSTOS!$R$3</f>
        <v>139.15026</v>
      </c>
      <c r="Z23" s="12">
        <f>TRANSICAO!$Z$23*CUSTOS!$R$3</f>
        <v>0</v>
      </c>
      <c r="AA23" s="12">
        <f>TRANSICAO!$AA$23*CUSTOS!$R$3</f>
        <v>0</v>
      </c>
      <c r="AB23" s="12">
        <f>TRANSICAO!$AB$23*CUSTOS!$R$3</f>
        <v>0</v>
      </c>
      <c r="AC23" s="12">
        <f>TRANSICAO!$AC$23*CUSTOS!$R$3</f>
        <v>537.9597</v>
      </c>
      <c r="AD23" s="12">
        <f>TRANSICAO!$AD$23*CUSTOS!$R$3</f>
        <v>0</v>
      </c>
      <c r="AE23" s="12">
        <v>0</v>
      </c>
      <c r="AF23" s="12">
        <v>0</v>
      </c>
      <c r="AG23" s="12"/>
      <c r="AH23" s="12">
        <v>5.2121000000000004</v>
      </c>
      <c r="AI23" s="12">
        <v>5.2121000000000004</v>
      </c>
      <c r="AJ23" s="12">
        <f ca="1">$N$74</f>
        <v>1.7974036217916654</v>
      </c>
      <c r="AK23" s="12">
        <f t="shared" ca="1" si="0"/>
        <v>1.7974036217916654</v>
      </c>
      <c r="AL23" s="12"/>
      <c r="AM23" s="12"/>
      <c r="AP23" s="12">
        <v>1</v>
      </c>
    </row>
    <row r="24" spans="1:42" ht="11.25" customHeight="1" x14ac:dyDescent="0.25">
      <c r="A24" s="106"/>
      <c r="B24" s="106"/>
      <c r="C24" s="106"/>
      <c r="D24" s="106"/>
      <c r="E24" s="106"/>
      <c r="F24" s="106"/>
      <c r="G24" s="17" t="s">
        <v>80</v>
      </c>
      <c r="H24" s="17" t="s">
        <v>78</v>
      </c>
      <c r="I24" s="17">
        <f>'MERCADO TUSD'!$U$21</f>
        <v>0</v>
      </c>
      <c r="J24" s="15"/>
      <c r="L24" s="12">
        <v>0</v>
      </c>
      <c r="M24" s="12">
        <f>IF(AND((+$I$14+$I$15+$I$21+$I$22+$I$23+$I$24)&lt;&gt;0,SUMPRODUCT($I$5:$I$61,$AC$5:$AC$61,$AP$5:$AP$61)&lt;&gt;0),$M$66*SUMPRODUCT($I$12:$I$24,$AC$12:$AC$24,$AP$12:$AP$24)/SUMPRODUCT($I$5:$I$61,$AC$5:$AC$61,$AP$5:$AP$61)/(+$I$14+$I$15+$I$21+$I$22+$I$23+$I$24),0)</f>
        <v>0.39674407930630562</v>
      </c>
      <c r="N24" s="12">
        <f ca="1">(+M24+O24+R24+U24+V24+W24+X24+Y24+Z24+AA24+AC24+AH24+AI24+AJ24+AK24)*CUSTOS!$M$5</f>
        <v>0.15415751322889637</v>
      </c>
      <c r="O24" s="12">
        <v>1</v>
      </c>
      <c r="P24" s="12">
        <v>0</v>
      </c>
      <c r="Q24" s="12">
        <v>0</v>
      </c>
      <c r="R24" s="12">
        <v>0</v>
      </c>
      <c r="S24" s="12">
        <v>0</v>
      </c>
      <c r="T24" s="12"/>
      <c r="U24" s="12">
        <f>TRANSICAO!$U$24*CUSTOS!$R$3</f>
        <v>0</v>
      </c>
      <c r="V24" s="12">
        <f>TRANSICAO!$V$24*CUSTOS!$R$3</f>
        <v>0</v>
      </c>
      <c r="W24" s="12">
        <f>TRANSICAO!$W$24*CUSTOS!$R$3</f>
        <v>0</v>
      </c>
      <c r="X24" s="12">
        <f>TRANSICAO!$X$24*CUSTOS!$R$3</f>
        <v>0</v>
      </c>
      <c r="Y24" s="12">
        <f>TRANSICAO!$Y$24*CUSTOS!$R$3</f>
        <v>0</v>
      </c>
      <c r="Z24" s="12">
        <f>TRANSICAO!$Z$24*CUSTOS!$R$3</f>
        <v>0</v>
      </c>
      <c r="AA24" s="12">
        <f>TRANSICAO!$AA$24*CUSTOS!$R$3</f>
        <v>0</v>
      </c>
      <c r="AB24" s="12">
        <f>TRANSICAO!$AB$24*CUSTOS!$R$3</f>
        <v>0</v>
      </c>
      <c r="AC24" s="12">
        <f>TRANSICAO!$AC$24*CUSTOS!$R$3</f>
        <v>0</v>
      </c>
      <c r="AD24" s="12">
        <f>TRANSICAO!$AD$24*CUSTOS!$R$3</f>
        <v>0</v>
      </c>
      <c r="AE24" s="12">
        <v>0</v>
      </c>
      <c r="AF24" s="12">
        <v>0</v>
      </c>
      <c r="AG24" s="12"/>
      <c r="AH24" s="12">
        <v>5.2121000000000004</v>
      </c>
      <c r="AI24" s="12">
        <v>5.2121000000000004</v>
      </c>
      <c r="AJ24" s="12">
        <f ca="1">$N$74</f>
        <v>1.7974036217916654</v>
      </c>
      <c r="AK24" s="12">
        <f t="shared" ca="1" si="0"/>
        <v>1.7974036217916654</v>
      </c>
      <c r="AL24" s="12"/>
      <c r="AM24" s="12"/>
      <c r="AP24" s="12">
        <v>1</v>
      </c>
    </row>
    <row r="25" spans="1:42" ht="11.25" customHeight="1" x14ac:dyDescent="0.25">
      <c r="A25" s="106" t="s">
        <v>88</v>
      </c>
      <c r="B25" s="106" t="s">
        <v>87</v>
      </c>
      <c r="C25" s="106" t="s">
        <v>25</v>
      </c>
      <c r="D25" s="106" t="s">
        <v>25</v>
      </c>
      <c r="E25" s="18" t="s">
        <v>89</v>
      </c>
      <c r="F25" s="18" t="s">
        <v>25</v>
      </c>
      <c r="G25" s="17" t="s">
        <v>9</v>
      </c>
      <c r="H25" s="17" t="s">
        <v>81</v>
      </c>
      <c r="I25" s="17">
        <f>'MERCADO TUSD'!$U$22+0.00000001</f>
        <v>1E-8</v>
      </c>
      <c r="J25" s="15"/>
      <c r="L25" s="12">
        <v>0</v>
      </c>
      <c r="M25" s="12">
        <v>3.5099999999999999E-2</v>
      </c>
      <c r="N25" s="12">
        <f>0.0882</f>
        <v>8.8200000000000001E-2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/>
      <c r="U25" s="12">
        <f>TRANSICAO!$U$25*CUSTOS!$T$4</f>
        <v>0</v>
      </c>
      <c r="V25" s="12">
        <f>TRANSICAO!$V$25*CUSTOS!$T$4</f>
        <v>0</v>
      </c>
      <c r="W25" s="12">
        <f>TRANSICAO!$W$25*CUSTOS!$T$4</f>
        <v>0</v>
      </c>
      <c r="X25" s="12">
        <f>TRANSICAO!$X$25*CUSTOS!$T$4</f>
        <v>0</v>
      </c>
      <c r="Y25" s="12">
        <f>TRANSICAO!$Y$25*CUSTOS!$T$4</f>
        <v>0</v>
      </c>
      <c r="Z25" s="12">
        <f>TRANSICAO!$Z$25*CUSTOS!$T$4</f>
        <v>0</v>
      </c>
      <c r="AA25" s="12">
        <f>TRANSICAO!$AA$25*CUSTOS!$T$4</f>
        <v>0</v>
      </c>
      <c r="AB25" s="12">
        <f>TRANSICAO!$AB$25*CUSTOS!$T$4</f>
        <v>0</v>
      </c>
      <c r="AC25" s="12">
        <f>TRANSICAO!$AC$25*CUSTOS!$T$4</f>
        <v>8.7825000000000006</v>
      </c>
      <c r="AD25" s="12">
        <f>TRANSICAO!$AD$25*CUSTOS!$T$4</f>
        <v>0</v>
      </c>
      <c r="AE25" s="12">
        <v>0</v>
      </c>
      <c r="AF25" s="12">
        <v>0</v>
      </c>
      <c r="AG25" s="12"/>
      <c r="AH25" s="12">
        <v>0</v>
      </c>
      <c r="AI25" s="12">
        <v>0</v>
      </c>
      <c r="AJ25" s="12">
        <v>0</v>
      </c>
      <c r="AK25" s="12">
        <f t="shared" si="0"/>
        <v>0</v>
      </c>
      <c r="AL25" s="12"/>
      <c r="AM25" s="12"/>
      <c r="AP25" s="12"/>
    </row>
    <row r="26" spans="1:42" ht="11.25" customHeight="1" x14ac:dyDescent="0.25">
      <c r="A26" s="106"/>
      <c r="B26" s="106"/>
      <c r="C26" s="106"/>
      <c r="D26" s="106"/>
      <c r="E26" s="18" t="s">
        <v>90</v>
      </c>
      <c r="F26" s="18" t="s">
        <v>25</v>
      </c>
      <c r="G26" s="17" t="s">
        <v>9</v>
      </c>
      <c r="H26" s="17" t="s">
        <v>81</v>
      </c>
      <c r="I26" s="17">
        <f>'MERCADO TUSD'!$U$23+0.00000001</f>
        <v>1E-8</v>
      </c>
      <c r="J26" s="15"/>
      <c r="L26" s="12">
        <v>0</v>
      </c>
      <c r="M26" s="12">
        <v>3.5099999999999999E-2</v>
      </c>
      <c r="N26" s="12">
        <f>0.0882</f>
        <v>8.8200000000000001E-2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/>
      <c r="U26" s="12">
        <f>TRANSICAO!$U$26*CUSTOS!$T$4</f>
        <v>0</v>
      </c>
      <c r="V26" s="12">
        <f>TRANSICAO!$V$26*CUSTOS!$T$4</f>
        <v>0</v>
      </c>
      <c r="W26" s="12">
        <f>TRANSICAO!$W$26*CUSTOS!$T$4</f>
        <v>0</v>
      </c>
      <c r="X26" s="12">
        <f>TRANSICAO!$X$26*CUSTOS!$T$4</f>
        <v>0</v>
      </c>
      <c r="Y26" s="12">
        <f>TRANSICAO!$Y$26*CUSTOS!$T$4</f>
        <v>0</v>
      </c>
      <c r="Z26" s="12">
        <f>TRANSICAO!$Z$26*CUSTOS!$T$4</f>
        <v>0</v>
      </c>
      <c r="AA26" s="12">
        <f>TRANSICAO!$AA$26*CUSTOS!$T$4</f>
        <v>0</v>
      </c>
      <c r="AB26" s="12">
        <f>TRANSICAO!$AB$26*CUSTOS!$T$4</f>
        <v>0</v>
      </c>
      <c r="AC26" s="12">
        <f>TRANSICAO!$AC$26*CUSTOS!$T$4</f>
        <v>15.2187</v>
      </c>
      <c r="AD26" s="12">
        <f>TRANSICAO!$AD$26*CUSTOS!$T$4</f>
        <v>0</v>
      </c>
      <c r="AE26" s="12">
        <v>0</v>
      </c>
      <c r="AF26" s="12">
        <v>0</v>
      </c>
      <c r="AG26" s="12"/>
      <c r="AH26" s="12">
        <v>0</v>
      </c>
      <c r="AI26" s="12">
        <v>0</v>
      </c>
      <c r="AJ26" s="12">
        <v>0</v>
      </c>
      <c r="AK26" s="12">
        <f t="shared" si="0"/>
        <v>0</v>
      </c>
      <c r="AL26" s="12"/>
      <c r="AM26" s="12"/>
      <c r="AP26" s="12"/>
    </row>
    <row r="27" spans="1:42" ht="11.25" customHeight="1" x14ac:dyDescent="0.25">
      <c r="A27" s="106" t="s">
        <v>22</v>
      </c>
      <c r="B27" s="106" t="s">
        <v>33</v>
      </c>
      <c r="C27" s="106" t="s">
        <v>24</v>
      </c>
      <c r="D27" s="106" t="s">
        <v>24</v>
      </c>
      <c r="E27" s="106" t="s">
        <v>25</v>
      </c>
      <c r="F27" s="106" t="s">
        <v>25</v>
      </c>
      <c r="G27" s="17" t="s">
        <v>79</v>
      </c>
      <c r="H27" s="17" t="s">
        <v>78</v>
      </c>
      <c r="I27" s="17">
        <f>'MERCADO TUSD'!$U$24</f>
        <v>6.9259999999999993</v>
      </c>
      <c r="J27" s="15"/>
      <c r="L27" s="12">
        <f>1</f>
        <v>1</v>
      </c>
      <c r="M2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0.78945604047538609</v>
      </c>
      <c r="N27" s="12">
        <f ca="1">(+M27+O27+R27+U27+V27+W27+X27+Y27+Z27+AA27+AC27+AH27+AI27+AJ27+AK27)*CUSTOS!$M$5</f>
        <v>6.9155040221891113</v>
      </c>
      <c r="O27" s="12">
        <v>1</v>
      </c>
      <c r="P27" s="12">
        <v>1</v>
      </c>
      <c r="Q27" s="12">
        <f>1</f>
        <v>1</v>
      </c>
      <c r="R27" s="12">
        <v>1</v>
      </c>
      <c r="S27" s="12">
        <v>1</v>
      </c>
      <c r="T27" s="12"/>
      <c r="U27" s="12">
        <f>TRANSICAO!$U$27*CUSTOS!$T$3</f>
        <v>54.924999999999997</v>
      </c>
      <c r="V27" s="12">
        <f>TRANSICAO!$V$27*CUSTOS!$T$3</f>
        <v>19.030799999999999</v>
      </c>
      <c r="W27" s="12">
        <f>TRANSICAO!$W$27*CUSTOS!$T$3</f>
        <v>1.6524000000000001</v>
      </c>
      <c r="X27" s="12">
        <f>TRANSICAO!$X$27*CUSTOS!$T$3</f>
        <v>0</v>
      </c>
      <c r="Y27" s="12">
        <f>TRANSICAO!$Y$27*CUSTOS!$T$3</f>
        <v>51.151200000000003</v>
      </c>
      <c r="Z27" s="12">
        <f>TRANSICAO!$Z$27*CUSTOS!$T$3</f>
        <v>0</v>
      </c>
      <c r="AA27" s="12">
        <f>TRANSICAO!$AA$27*CUSTOS!$T$3</f>
        <v>0</v>
      </c>
      <c r="AB27" s="12">
        <f>TRANSICAO!$AB$27*CUSTOS!$T$3</f>
        <v>0</v>
      </c>
      <c r="AC27" s="12">
        <f>TRANSICAO!$AC$27*CUSTOS!$T$3</f>
        <v>525.5009</v>
      </c>
      <c r="AD27" s="12">
        <f>TRANSICAO!$AD$27*CUSTOS!$T$3</f>
        <v>0</v>
      </c>
      <c r="AE27" s="12">
        <v>0</v>
      </c>
      <c r="AF27" s="12">
        <v>0</v>
      </c>
      <c r="AG27" s="12"/>
      <c r="AH27" s="12">
        <v>15.707599999999999</v>
      </c>
      <c r="AI27" s="12">
        <v>15.707599999999999</v>
      </c>
      <c r="AJ27" s="12">
        <f ca="1">$N$75</f>
        <v>2.5427230892179189</v>
      </c>
      <c r="AK27" s="12">
        <f t="shared" ca="1" si="0"/>
        <v>2.5427230892179189</v>
      </c>
      <c r="AL27" s="12"/>
      <c r="AM27" s="12"/>
      <c r="AP27" s="12">
        <v>1</v>
      </c>
    </row>
    <row r="28" spans="1:42" ht="11.25" customHeight="1" x14ac:dyDescent="0.25">
      <c r="A28" s="106"/>
      <c r="B28" s="106"/>
      <c r="C28" s="106"/>
      <c r="D28" s="106"/>
      <c r="E28" s="106"/>
      <c r="F28" s="106"/>
      <c r="G28" s="17" t="s">
        <v>91</v>
      </c>
      <c r="H28" s="17" t="s">
        <v>78</v>
      </c>
      <c r="I28" s="17">
        <f>'MERCADO TUSD'!$U$25</f>
        <v>4.6099999999999994</v>
      </c>
      <c r="J28" s="15"/>
      <c r="L28" s="12">
        <f>1</f>
        <v>1</v>
      </c>
      <c r="M2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0.78945604047538609</v>
      </c>
      <c r="N28" s="12">
        <f ca="1">(+M28+O28+R28+U28+V28+W28+X28+Y28+Z28+AA28+AC28+AH28+AI28+AJ28+AK28)*CUSTOS!$M$5</f>
        <v>4.3064620221891134</v>
      </c>
      <c r="O28" s="12">
        <v>1</v>
      </c>
      <c r="P28" s="12">
        <v>1</v>
      </c>
      <c r="Q28" s="12">
        <f>1</f>
        <v>1</v>
      </c>
      <c r="R28" s="12">
        <v>1</v>
      </c>
      <c r="S28" s="12">
        <v>1</v>
      </c>
      <c r="T28" s="12"/>
      <c r="U28" s="12">
        <f>TRANSICAO!$U$28*CUSTOS!$T$3</f>
        <v>32.954999999999998</v>
      </c>
      <c r="V28" s="12">
        <f>TRANSICAO!$V$28*CUSTOS!$T$3</f>
        <v>11.4185</v>
      </c>
      <c r="W28" s="12">
        <f>TRANSICAO!$W$28*CUSTOS!$T$3</f>
        <v>0.99139999999999995</v>
      </c>
      <c r="X28" s="12">
        <f>TRANSICAO!$X$28*CUSTOS!$T$3</f>
        <v>0</v>
      </c>
      <c r="Y28" s="12">
        <f>TRANSICAO!$Y$28*CUSTOS!$T$3</f>
        <v>30.6907</v>
      </c>
      <c r="Z28" s="12">
        <f>TRANSICAO!$Z$28*CUSTOS!$T$3</f>
        <v>0</v>
      </c>
      <c r="AA28" s="12">
        <f>TRANSICAO!$AA$28*CUSTOS!$T$3</f>
        <v>0</v>
      </c>
      <c r="AB28" s="12">
        <f>TRANSICAO!$AB$28*CUSTOS!$T$3</f>
        <v>0</v>
      </c>
      <c r="AC28" s="12">
        <f>TRANSICAO!$AC$28*CUSTOS!$T$3</f>
        <v>315.3005</v>
      </c>
      <c r="AD28" s="12">
        <f>TRANSICAO!$AD$28*CUSTOS!$T$3</f>
        <v>0</v>
      </c>
      <c r="AE28" s="12">
        <v>0</v>
      </c>
      <c r="AF28" s="12">
        <v>0</v>
      </c>
      <c r="AG28" s="12"/>
      <c r="AH28" s="12">
        <v>15.707599999999999</v>
      </c>
      <c r="AI28" s="12">
        <v>15.707599999999999</v>
      </c>
      <c r="AJ28" s="12">
        <f ca="1">$N$75</f>
        <v>2.5427230892179189</v>
      </c>
      <c r="AK28" s="12">
        <f t="shared" ca="1" si="0"/>
        <v>2.5427230892179189</v>
      </c>
      <c r="AL28" s="12"/>
      <c r="AM28" s="12"/>
      <c r="AP28" s="12">
        <v>1</v>
      </c>
    </row>
    <row r="29" spans="1:42" ht="11.25" customHeight="1" x14ac:dyDescent="0.25">
      <c r="A29" s="106"/>
      <c r="B29" s="106"/>
      <c r="C29" s="106"/>
      <c r="D29" s="106"/>
      <c r="E29" s="106"/>
      <c r="F29" s="106"/>
      <c r="G29" s="17" t="s">
        <v>80</v>
      </c>
      <c r="H29" s="17" t="s">
        <v>78</v>
      </c>
      <c r="I29" s="17">
        <f>'MERCADO TUSD'!$U$26</f>
        <v>73.14200000000001</v>
      </c>
      <c r="J29" s="15"/>
      <c r="L29" s="12">
        <f>1</f>
        <v>1</v>
      </c>
      <c r="M2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0.78945604047538609</v>
      </c>
      <c r="N29" s="12">
        <f ca="1">(+M29+O29+R29+U29+V29+W29+X29+Y29+Z29+AA29+AC29+AH29+AI29+AJ29+AK29)*CUSTOS!$M$5</f>
        <v>1.6974220221891125</v>
      </c>
      <c r="O29" s="12">
        <v>1</v>
      </c>
      <c r="P29" s="12">
        <v>1</v>
      </c>
      <c r="Q29" s="12">
        <f>1</f>
        <v>1</v>
      </c>
      <c r="R29" s="12">
        <v>1</v>
      </c>
      <c r="S29" s="12">
        <v>1</v>
      </c>
      <c r="T29" s="12"/>
      <c r="U29" s="12">
        <f>TRANSICAO!$U$29*CUSTOS!$T$3</f>
        <v>10.984999999999999</v>
      </c>
      <c r="V29" s="12">
        <f>TRANSICAO!$V$29*CUSTOS!$T$3</f>
        <v>3.8062</v>
      </c>
      <c r="W29" s="12">
        <f>TRANSICAO!$W$29*CUSTOS!$T$3</f>
        <v>0.33050000000000002</v>
      </c>
      <c r="X29" s="12">
        <f>TRANSICAO!$X$29*CUSTOS!$T$3</f>
        <v>0</v>
      </c>
      <c r="Y29" s="12">
        <f>TRANSICAO!$Y$29*CUSTOS!$T$3</f>
        <v>10.2302</v>
      </c>
      <c r="Z29" s="12">
        <f>TRANSICAO!$Z$29*CUSTOS!$T$3</f>
        <v>0</v>
      </c>
      <c r="AA29" s="12">
        <f>TRANSICAO!$AA$29*CUSTOS!$T$3</f>
        <v>0</v>
      </c>
      <c r="AB29" s="12">
        <f>TRANSICAO!$AB$29*CUSTOS!$T$3</f>
        <v>0</v>
      </c>
      <c r="AC29" s="12">
        <f>TRANSICAO!$AC$29*CUSTOS!$T$3</f>
        <v>105.1002</v>
      </c>
      <c r="AD29" s="12">
        <f>TRANSICAO!$AD$29*CUSTOS!$T$3</f>
        <v>0</v>
      </c>
      <c r="AE29" s="12">
        <v>0</v>
      </c>
      <c r="AF29" s="12">
        <v>0</v>
      </c>
      <c r="AG29" s="12"/>
      <c r="AH29" s="12">
        <v>15.707599999999999</v>
      </c>
      <c r="AI29" s="12">
        <v>15.707599999999999</v>
      </c>
      <c r="AJ29" s="12">
        <f ca="1">$N$75</f>
        <v>2.5427230892179189</v>
      </c>
      <c r="AK29" s="12">
        <f t="shared" ca="1" si="0"/>
        <v>2.5427230892179189</v>
      </c>
      <c r="AL29" s="12"/>
      <c r="AM29" s="12"/>
      <c r="AP29" s="12">
        <v>1</v>
      </c>
    </row>
    <row r="30" spans="1:42" ht="11.25" customHeight="1" x14ac:dyDescent="0.25">
      <c r="A30" s="106"/>
      <c r="B30" s="106" t="s">
        <v>23</v>
      </c>
      <c r="C30" s="106" t="s">
        <v>24</v>
      </c>
      <c r="D30" s="18" t="s">
        <v>24</v>
      </c>
      <c r="E30" s="18" t="s">
        <v>25</v>
      </c>
      <c r="F30" s="18" t="s">
        <v>25</v>
      </c>
      <c r="G30" s="17" t="s">
        <v>84</v>
      </c>
      <c r="H30" s="17" t="s">
        <v>78</v>
      </c>
      <c r="I30" s="17">
        <f>'MERCADO TUSD'!$U$27</f>
        <v>216529.64400000003</v>
      </c>
      <c r="J30" s="15"/>
      <c r="L30" s="12">
        <f>1</f>
        <v>1</v>
      </c>
      <c r="M3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0.78945604047538609</v>
      </c>
      <c r="N30" s="12">
        <f ca="1">(+M30+O30+R30+U30+V30+W30+X30+Y30+Z30+AA30+AC30+AH30+AI30+AJ30+AK30)*CUSTOS!$M$5</f>
        <v>2.4312130221891124</v>
      </c>
      <c r="O30" s="12">
        <v>1</v>
      </c>
      <c r="P30" s="12">
        <v>1</v>
      </c>
      <c r="Q30" s="12">
        <f>1</f>
        <v>1</v>
      </c>
      <c r="R30" s="12">
        <v>1</v>
      </c>
      <c r="S30" s="12">
        <v>1</v>
      </c>
      <c r="T30" s="12"/>
      <c r="U30" s="12">
        <f>TRANSICAO!$U$30*CUSTOS!$T$3</f>
        <v>17.164000000000001</v>
      </c>
      <c r="V30" s="12">
        <f>TRANSICAO!$V$30*CUSTOS!$T$3</f>
        <v>5.9470999999999998</v>
      </c>
      <c r="W30" s="12">
        <f>TRANSICAO!$W$30*CUSTOS!$T$3</f>
        <v>0.51639999999999997</v>
      </c>
      <c r="X30" s="12">
        <f>TRANSICAO!$X$30*CUSTOS!$T$3</f>
        <v>0</v>
      </c>
      <c r="Y30" s="12">
        <f>TRANSICAO!$Y$30*CUSTOS!$T$3</f>
        <v>15.9847</v>
      </c>
      <c r="Z30" s="12">
        <f>TRANSICAO!$Z$30*CUSTOS!$T$3</f>
        <v>0</v>
      </c>
      <c r="AA30" s="12">
        <f>TRANSICAO!$AA$30*CUSTOS!$T$3</f>
        <v>0</v>
      </c>
      <c r="AB30" s="12">
        <f>TRANSICAO!$AB$30*CUSTOS!$T$3</f>
        <v>0</v>
      </c>
      <c r="AC30" s="12">
        <f>TRANSICAO!$AC$30*CUSTOS!$T$3</f>
        <v>164.21899999999999</v>
      </c>
      <c r="AD30" s="12">
        <f>TRANSICAO!$AD$30*CUSTOS!$T$3</f>
        <v>0</v>
      </c>
      <c r="AE30" s="12">
        <v>0</v>
      </c>
      <c r="AF30" s="12">
        <v>0</v>
      </c>
      <c r="AG30" s="12"/>
      <c r="AH30" s="12">
        <v>15.707599999999999</v>
      </c>
      <c r="AI30" s="12">
        <v>15.707599999999999</v>
      </c>
      <c r="AJ30" s="12">
        <f ca="1">$N$75</f>
        <v>2.5427230892179189</v>
      </c>
      <c r="AK30" s="12">
        <f t="shared" ca="1" si="0"/>
        <v>2.5427230892179189</v>
      </c>
      <c r="AL30" s="12"/>
      <c r="AM30" s="12"/>
      <c r="AP30" s="12">
        <v>1</v>
      </c>
    </row>
    <row r="31" spans="1:42" ht="11.25" customHeight="1" x14ac:dyDescent="0.25">
      <c r="A31" s="106"/>
      <c r="B31" s="106"/>
      <c r="C31" s="106"/>
      <c r="D31" s="18" t="s">
        <v>29</v>
      </c>
      <c r="E31" s="18" t="s">
        <v>25</v>
      </c>
      <c r="F31" s="18" t="s">
        <v>25</v>
      </c>
      <c r="G31" s="17" t="s">
        <v>84</v>
      </c>
      <c r="H31" s="17" t="s">
        <v>78</v>
      </c>
      <c r="I31" s="17">
        <f>'MERCADO TUSD'!$U$28</f>
        <v>20401.981000000003</v>
      </c>
      <c r="J31" s="15"/>
      <c r="L31" s="12">
        <v>0</v>
      </c>
      <c r="M3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CUSTOS!$M$24)</f>
        <v>0.78945604047538609</v>
      </c>
      <c r="N31" s="12">
        <f ca="1">(+M31+O31+R31+U31+V31+W31+X31+Y31+Z31+AA31+AC31+AH31+AI31+AJ31+AK31)*CUSTOS!$M$5</f>
        <v>2.4212130221891126</v>
      </c>
      <c r="O31" s="12">
        <f>1 - CUSTOS!$M$24</f>
        <v>1</v>
      </c>
      <c r="P31" s="12">
        <v>0</v>
      </c>
      <c r="Q31" s="12">
        <v>0</v>
      </c>
      <c r="R31" s="12">
        <v>0</v>
      </c>
      <c r="S31" s="12">
        <f>1 - CUSTOS!$M$24</f>
        <v>1</v>
      </c>
      <c r="T31" s="12"/>
      <c r="U31" s="12">
        <f>TRANSICAO!$U$31*CUSTOS!$T$3</f>
        <v>17.164000000000001</v>
      </c>
      <c r="V31" s="12">
        <f>TRANSICAO!$V$31*CUSTOS!$T$3</f>
        <v>5.9470999999999998</v>
      </c>
      <c r="W31" s="12">
        <f>TRANSICAO!$W$31*CUSTOS!$T$3</f>
        <v>0.51639999999999997</v>
      </c>
      <c r="X31" s="12">
        <f>TRANSICAO!$X$31*CUSTOS!$T$3</f>
        <v>0</v>
      </c>
      <c r="Y31" s="12">
        <f>TRANSICAO!$Y$31*CUSTOS!$T$3</f>
        <v>15.9847</v>
      </c>
      <c r="Z31" s="12">
        <f>TRANSICAO!$Z$31*CUSTOS!$T$3</f>
        <v>0</v>
      </c>
      <c r="AA31" s="12">
        <f>TRANSICAO!$AA$31*CUSTOS!$T$3</f>
        <v>0</v>
      </c>
      <c r="AB31" s="12">
        <f>TRANSICAO!$AB$31*CUSTOS!$T$3</f>
        <v>0</v>
      </c>
      <c r="AC31" s="12">
        <f>TRANSICAO!$AC$31*CUSTOS!$T$3</f>
        <v>164.21899999999999</v>
      </c>
      <c r="AD31" s="12">
        <f>TRANSICAO!$AD$31*CUSTOS!$T$3</f>
        <v>0</v>
      </c>
      <c r="AE31" s="12">
        <v>0</v>
      </c>
      <c r="AF31" s="12">
        <v>0</v>
      </c>
      <c r="AG31" s="12"/>
      <c r="AH31" s="12">
        <f>(1 - CUSTOS!$M$24)*15.7076</f>
        <v>15.707599999999999</v>
      </c>
      <c r="AI31" s="12">
        <f>(1 - CUSTOS!$M$24)*15.7076</f>
        <v>15.707599999999999</v>
      </c>
      <c r="AJ31" s="12">
        <f ca="1">$N$75*(1-CUSTOS!$M$24)</f>
        <v>2.5427230892179189</v>
      </c>
      <c r="AK31" s="12">
        <f t="shared" ca="1" si="0"/>
        <v>2.5427230892179189</v>
      </c>
      <c r="AL31" s="12"/>
      <c r="AM31" s="12"/>
      <c r="AP31" s="12">
        <f>IF((1 - CUSTOS!$M$24)&lt;&gt;0,1/(1 - CUSTOS!$M$24),1)</f>
        <v>1</v>
      </c>
    </row>
    <row r="32" spans="1:42" ht="11.25" customHeight="1" x14ac:dyDescent="0.25">
      <c r="A32" s="106"/>
      <c r="B32" s="106"/>
      <c r="C32" s="106"/>
      <c r="D32" s="18" t="s">
        <v>30</v>
      </c>
      <c r="E32" s="18" t="s">
        <v>25</v>
      </c>
      <c r="F32" s="18" t="s">
        <v>25</v>
      </c>
      <c r="G32" s="17" t="s">
        <v>84</v>
      </c>
      <c r="H32" s="17" t="s">
        <v>78</v>
      </c>
      <c r="I32" s="17">
        <f>'MERCADO TUSD'!$U$29</f>
        <v>32706.754000000004</v>
      </c>
      <c r="J32" s="15"/>
      <c r="L32" s="12">
        <v>0</v>
      </c>
      <c r="M32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CUSTOS!$M$25)</f>
        <v>0.78945604047538609</v>
      </c>
      <c r="N32" s="12">
        <f ca="1">(+M32+O32+R32+U32+V32+W32+X32+Y32+Z32+AA32+AC32+AH32+AI32+AJ32+AK32)*CUSTOS!$M$5</f>
        <v>2.4212130221891126</v>
      </c>
      <c r="O32" s="12">
        <f>1 - CUSTOS!$M$25</f>
        <v>1</v>
      </c>
      <c r="P32" s="12">
        <v>0</v>
      </c>
      <c r="Q32" s="12">
        <v>0</v>
      </c>
      <c r="R32" s="12">
        <v>0</v>
      </c>
      <c r="S32" s="12">
        <f>1 - CUSTOS!$M$25</f>
        <v>1</v>
      </c>
      <c r="T32" s="12"/>
      <c r="U32" s="12">
        <f>TRANSICAO!$U$32*CUSTOS!$T$3</f>
        <v>17.164000000000001</v>
      </c>
      <c r="V32" s="12">
        <f>TRANSICAO!$V$32*CUSTOS!$T$3</f>
        <v>5.9470999999999998</v>
      </c>
      <c r="W32" s="12">
        <f>TRANSICAO!$W$32*CUSTOS!$T$3</f>
        <v>0.51639999999999997</v>
      </c>
      <c r="X32" s="12">
        <f>TRANSICAO!$X$32*CUSTOS!$T$3</f>
        <v>0</v>
      </c>
      <c r="Y32" s="12">
        <f>TRANSICAO!$Y$32*CUSTOS!$T$3</f>
        <v>15.9847</v>
      </c>
      <c r="Z32" s="12">
        <f>TRANSICAO!$Z$32*CUSTOS!$T$3</f>
        <v>0</v>
      </c>
      <c r="AA32" s="12">
        <f>TRANSICAO!$AA$32*CUSTOS!$T$3</f>
        <v>0</v>
      </c>
      <c r="AB32" s="12">
        <f>TRANSICAO!$AB$32*CUSTOS!$T$3</f>
        <v>0</v>
      </c>
      <c r="AC32" s="12">
        <f>TRANSICAO!$AC$32*CUSTOS!$T$3</f>
        <v>164.21899999999999</v>
      </c>
      <c r="AD32" s="12">
        <f>TRANSICAO!$AD$32*CUSTOS!$T$3</f>
        <v>0</v>
      </c>
      <c r="AE32" s="12">
        <v>0</v>
      </c>
      <c r="AF32" s="12">
        <v>0</v>
      </c>
      <c r="AG32" s="12"/>
      <c r="AH32" s="12">
        <f>(1 - CUSTOS!$M$25)*15.7076</f>
        <v>15.707599999999999</v>
      </c>
      <c r="AI32" s="12">
        <f>(1 - CUSTOS!$M$25)*15.7076</f>
        <v>15.707599999999999</v>
      </c>
      <c r="AJ32" s="12">
        <f ca="1">$N$75*(1-CUSTOS!$M$25)</f>
        <v>2.5427230892179189</v>
      </c>
      <c r="AK32" s="12">
        <f t="shared" ca="1" si="0"/>
        <v>2.5427230892179189</v>
      </c>
      <c r="AL32" s="12"/>
      <c r="AM32" s="12"/>
      <c r="AP32" s="12">
        <f>IF((1 - CUSTOS!$M$25)&lt;&gt;0,1/(1 - CUSTOS!$M$25),1)</f>
        <v>1</v>
      </c>
    </row>
    <row r="33" spans="1:42" ht="11.25" customHeight="1" x14ac:dyDescent="0.25">
      <c r="A33" s="106"/>
      <c r="B33" s="106"/>
      <c r="C33" s="106"/>
      <c r="D33" s="18" t="s">
        <v>31</v>
      </c>
      <c r="E33" s="18" t="s">
        <v>25</v>
      </c>
      <c r="F33" s="18" t="s">
        <v>25</v>
      </c>
      <c r="G33" s="17" t="s">
        <v>84</v>
      </c>
      <c r="H33" s="17" t="s">
        <v>78</v>
      </c>
      <c r="I33" s="17">
        <f>'MERCADO TUSD'!$U$30</f>
        <v>13213.162</v>
      </c>
      <c r="J33" s="15"/>
      <c r="L33" s="12">
        <v>0</v>
      </c>
      <c r="M33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CUSTOS!$M$26)</f>
        <v>0.78945604047538609</v>
      </c>
      <c r="N33" s="12">
        <f ca="1">(+M33+O33+R33+U33+V33+W33+X33+Y33+Z33+AA33+AC33+AH33+AI33+AJ33+AK33)*CUSTOS!$M$5</f>
        <v>2.4212130221891126</v>
      </c>
      <c r="O33" s="12">
        <f>1 - CUSTOS!$M$26</f>
        <v>1</v>
      </c>
      <c r="P33" s="12">
        <v>0</v>
      </c>
      <c r="Q33" s="12">
        <v>0</v>
      </c>
      <c r="R33" s="12">
        <v>0</v>
      </c>
      <c r="S33" s="12">
        <f>1 - CUSTOS!$M$26</f>
        <v>1</v>
      </c>
      <c r="T33" s="12"/>
      <c r="U33" s="12">
        <f>TRANSICAO!$U$33*CUSTOS!$T$3</f>
        <v>17.164000000000001</v>
      </c>
      <c r="V33" s="12">
        <f>TRANSICAO!$V$33*CUSTOS!$T$3</f>
        <v>5.9470999999999998</v>
      </c>
      <c r="W33" s="12">
        <f>TRANSICAO!$W$33*CUSTOS!$T$3</f>
        <v>0.51639999999999997</v>
      </c>
      <c r="X33" s="12">
        <f>TRANSICAO!$X$33*CUSTOS!$T$3</f>
        <v>0</v>
      </c>
      <c r="Y33" s="12">
        <f>TRANSICAO!$Y$33*CUSTOS!$T$3</f>
        <v>15.9847</v>
      </c>
      <c r="Z33" s="12">
        <f>TRANSICAO!$Z$33*CUSTOS!$T$3</f>
        <v>0</v>
      </c>
      <c r="AA33" s="12">
        <f>TRANSICAO!$AA$33*CUSTOS!$T$3</f>
        <v>0</v>
      </c>
      <c r="AB33" s="12">
        <f>TRANSICAO!$AB$33*CUSTOS!$T$3</f>
        <v>0</v>
      </c>
      <c r="AC33" s="12">
        <f>TRANSICAO!$AC$33*CUSTOS!$T$3</f>
        <v>164.21899999999999</v>
      </c>
      <c r="AD33" s="12">
        <f>TRANSICAO!$AD$33*CUSTOS!$T$3</f>
        <v>0</v>
      </c>
      <c r="AE33" s="12">
        <v>0</v>
      </c>
      <c r="AF33" s="12">
        <v>0</v>
      </c>
      <c r="AG33" s="12"/>
      <c r="AH33" s="12">
        <f>(1 - CUSTOS!$M$26)*15.7076</f>
        <v>15.707599999999999</v>
      </c>
      <c r="AI33" s="12">
        <f>(1 - CUSTOS!$M$26)*15.7076</f>
        <v>15.707599999999999</v>
      </c>
      <c r="AJ33" s="12">
        <f ca="1">$N$75*(1-CUSTOS!$M$26)</f>
        <v>2.5427230892179189</v>
      </c>
      <c r="AK33" s="12">
        <f t="shared" ca="1" si="0"/>
        <v>2.5427230892179189</v>
      </c>
      <c r="AL33" s="12"/>
      <c r="AM33" s="12"/>
      <c r="AP33" s="12">
        <f>IF((1 - CUSTOS!$M$26)&lt;&gt;0,1/(1 - CUSTOS!$M$26),1)</f>
        <v>1</v>
      </c>
    </row>
    <row r="34" spans="1:42" ht="11.25" customHeight="1" x14ac:dyDescent="0.25">
      <c r="A34" s="106"/>
      <c r="B34" s="106"/>
      <c r="C34" s="106"/>
      <c r="D34" s="18" t="s">
        <v>32</v>
      </c>
      <c r="E34" s="18" t="s">
        <v>25</v>
      </c>
      <c r="F34" s="18" t="s">
        <v>25</v>
      </c>
      <c r="G34" s="17" t="s">
        <v>84</v>
      </c>
      <c r="H34" s="17" t="s">
        <v>78</v>
      </c>
      <c r="I34" s="17">
        <f>'MERCADO TUSD'!$U$31</f>
        <v>2931.0630000000001</v>
      </c>
      <c r="J34" s="15"/>
      <c r="L34" s="12">
        <v>0</v>
      </c>
      <c r="M34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CUSTOS!$M$27)</f>
        <v>0.78945604047538609</v>
      </c>
      <c r="N34" s="12">
        <f ca="1">(+M34+O34+R34+U34+V34+W34+X34+Y34+Z34+AA34+AC34+AH34+AI34+AJ34+AK34)*CUSTOS!$M$5</f>
        <v>2.4212130221891126</v>
      </c>
      <c r="O34" s="12">
        <f>1 - CUSTOS!$M$27</f>
        <v>1</v>
      </c>
      <c r="P34" s="12">
        <v>0</v>
      </c>
      <c r="Q34" s="12">
        <v>0</v>
      </c>
      <c r="R34" s="12">
        <v>0</v>
      </c>
      <c r="S34" s="12">
        <f>1 - CUSTOS!$M$27</f>
        <v>1</v>
      </c>
      <c r="T34" s="12"/>
      <c r="U34" s="12">
        <f>TRANSICAO!$U$34*CUSTOS!$T$3</f>
        <v>17.164000000000001</v>
      </c>
      <c r="V34" s="12">
        <f>TRANSICAO!$V$34*CUSTOS!$T$3</f>
        <v>5.9470999999999998</v>
      </c>
      <c r="W34" s="12">
        <f>TRANSICAO!$W$34*CUSTOS!$T$3</f>
        <v>0.51639999999999997</v>
      </c>
      <c r="X34" s="12">
        <f>TRANSICAO!$X$34*CUSTOS!$T$3</f>
        <v>0</v>
      </c>
      <c r="Y34" s="12">
        <f>TRANSICAO!$Y$34*CUSTOS!$T$3</f>
        <v>15.9847</v>
      </c>
      <c r="Z34" s="12">
        <f>TRANSICAO!$Z$34*CUSTOS!$T$3</f>
        <v>0</v>
      </c>
      <c r="AA34" s="12">
        <f>TRANSICAO!$AA$34*CUSTOS!$T$3</f>
        <v>0</v>
      </c>
      <c r="AB34" s="12">
        <f>TRANSICAO!$AB$34*CUSTOS!$T$3</f>
        <v>0</v>
      </c>
      <c r="AC34" s="12">
        <f>TRANSICAO!$AC$34*CUSTOS!$T$3</f>
        <v>164.21899999999999</v>
      </c>
      <c r="AD34" s="12">
        <f>TRANSICAO!$AD$34*CUSTOS!$T$3</f>
        <v>0</v>
      </c>
      <c r="AE34" s="12">
        <v>0</v>
      </c>
      <c r="AF34" s="12">
        <v>0</v>
      </c>
      <c r="AG34" s="12"/>
      <c r="AH34" s="12">
        <f>(1 - CUSTOS!$M$27)*15.7076</f>
        <v>15.707599999999999</v>
      </c>
      <c r="AI34" s="12">
        <f>(1 - CUSTOS!$M$27)*15.7076</f>
        <v>15.707599999999999</v>
      </c>
      <c r="AJ34" s="12">
        <f ca="1">$N$75*(1-CUSTOS!$M$27)</f>
        <v>2.5427230892179189</v>
      </c>
      <c r="AK34" s="12">
        <f t="shared" ca="1" si="0"/>
        <v>2.5427230892179189</v>
      </c>
      <c r="AL34" s="12"/>
      <c r="AM34" s="12"/>
      <c r="AP34" s="12">
        <f>IF((1 - CUSTOS!$M$27)&lt;&gt;0,1/(1 - CUSTOS!$M$27),1)</f>
        <v>1</v>
      </c>
    </row>
    <row r="35" spans="1:42" ht="11.25" customHeight="1" x14ac:dyDescent="0.25">
      <c r="A35" s="106"/>
      <c r="B35" s="106" t="s">
        <v>93</v>
      </c>
      <c r="C35" s="106" t="s">
        <v>24</v>
      </c>
      <c r="D35" s="18" t="s">
        <v>24</v>
      </c>
      <c r="E35" s="18" t="s">
        <v>25</v>
      </c>
      <c r="F35" s="18" t="s">
        <v>25</v>
      </c>
      <c r="G35" s="17" t="s">
        <v>84</v>
      </c>
      <c r="H35" s="17" t="s">
        <v>78</v>
      </c>
      <c r="I35" s="17">
        <f>'MERCADO TUSD'!$U$32</f>
        <v>0</v>
      </c>
      <c r="J35" s="15"/>
      <c r="L35" s="12">
        <f>1</f>
        <v>1</v>
      </c>
      <c r="M35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</f>
        <v>0.78945604047538609</v>
      </c>
      <c r="N35" s="12">
        <f ca="1">(+M35+O35+R35+U35+V35+W35+X35+Y35+Z35+AA35+AC35+AH35+AI35+AJ35+AK35)*CUSTOS!$M$5</f>
        <v>2.4312130221891124</v>
      </c>
      <c r="O35" s="12">
        <v>1</v>
      </c>
      <c r="P35" s="12">
        <v>1</v>
      </c>
      <c r="Q35" s="12">
        <f>1</f>
        <v>1</v>
      </c>
      <c r="R35" s="12">
        <v>1</v>
      </c>
      <c r="S35" s="12">
        <v>1</v>
      </c>
      <c r="T35" s="12"/>
      <c r="U35" s="12">
        <f>TRANSICAO!$U$35*CUSTOS!$T$3</f>
        <v>17.164000000000001</v>
      </c>
      <c r="V35" s="12">
        <f>TRANSICAO!$V$35*CUSTOS!$T$3</f>
        <v>5.9470999999999998</v>
      </c>
      <c r="W35" s="12">
        <f>TRANSICAO!$W$35*CUSTOS!$T$3</f>
        <v>0.51639999999999997</v>
      </c>
      <c r="X35" s="12">
        <f>TRANSICAO!$X$35*CUSTOS!$T$3</f>
        <v>0</v>
      </c>
      <c r="Y35" s="12">
        <f>TRANSICAO!$Y$35*CUSTOS!$T$3</f>
        <v>15.9847</v>
      </c>
      <c r="Z35" s="12">
        <f>TRANSICAO!$Z$35*CUSTOS!$T$3</f>
        <v>0</v>
      </c>
      <c r="AA35" s="12">
        <f>TRANSICAO!$AA$35*CUSTOS!$T$3</f>
        <v>0</v>
      </c>
      <c r="AB35" s="12">
        <f>TRANSICAO!$AB$35*CUSTOS!$T$3</f>
        <v>0</v>
      </c>
      <c r="AC35" s="12">
        <f>TRANSICAO!$AC$35*CUSTOS!$T$3</f>
        <v>164.21899999999999</v>
      </c>
      <c r="AD35" s="12">
        <f>TRANSICAO!$AD$35*CUSTOS!$T$3</f>
        <v>0</v>
      </c>
      <c r="AE35" s="12">
        <v>0</v>
      </c>
      <c r="AF35" s="12">
        <v>0</v>
      </c>
      <c r="AG35" s="12"/>
      <c r="AH35" s="12">
        <v>15.707599999999999</v>
      </c>
      <c r="AI35" s="12">
        <v>15.707599999999999</v>
      </c>
      <c r="AJ35" s="12">
        <f ca="1">$N$75</f>
        <v>2.5427230892179189</v>
      </c>
      <c r="AK35" s="12">
        <f t="shared" ca="1" si="0"/>
        <v>2.5427230892179189</v>
      </c>
      <c r="AL35" s="12"/>
      <c r="AM35" s="12"/>
      <c r="AP35" s="12">
        <v>1</v>
      </c>
    </row>
    <row r="36" spans="1:42" ht="11.25" customHeight="1" x14ac:dyDescent="0.25">
      <c r="A36" s="106"/>
      <c r="B36" s="106"/>
      <c r="C36" s="106"/>
      <c r="D36" s="18" t="s">
        <v>29</v>
      </c>
      <c r="E36" s="18" t="s">
        <v>25</v>
      </c>
      <c r="F36" s="18" t="s">
        <v>25</v>
      </c>
      <c r="G36" s="17" t="s">
        <v>84</v>
      </c>
      <c r="H36" s="17" t="s">
        <v>78</v>
      </c>
      <c r="I36" s="17">
        <f>'MERCADO TUSD'!$U$33</f>
        <v>0</v>
      </c>
      <c r="J36" s="15"/>
      <c r="L36" s="12">
        <v>0</v>
      </c>
      <c r="M36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CUSTOS!$M$24)</f>
        <v>0.78945604047538609</v>
      </c>
      <c r="N36" s="12">
        <f ca="1">(+M36+O36+R36+U36+V36+W36+X36+Y36+Z36+AA36+AC36+AH36+AI36+AJ36+AK36)*CUSTOS!$M$5</f>
        <v>2.4212130221891126</v>
      </c>
      <c r="O36" s="12">
        <f>1 - CUSTOS!$M$24</f>
        <v>1</v>
      </c>
      <c r="P36" s="12">
        <v>0</v>
      </c>
      <c r="Q36" s="12">
        <v>0</v>
      </c>
      <c r="R36" s="12">
        <v>0</v>
      </c>
      <c r="S36" s="12">
        <f>1 - CUSTOS!$M$24</f>
        <v>1</v>
      </c>
      <c r="T36" s="12"/>
      <c r="U36" s="12">
        <f>TRANSICAO!$U$36*CUSTOS!$T$3</f>
        <v>17.164000000000001</v>
      </c>
      <c r="V36" s="12">
        <f>TRANSICAO!$V$36*CUSTOS!$T$3</f>
        <v>5.9470999999999998</v>
      </c>
      <c r="W36" s="12">
        <f>TRANSICAO!$W$36*CUSTOS!$T$3</f>
        <v>0.51639999999999997</v>
      </c>
      <c r="X36" s="12">
        <f>TRANSICAO!$X$36*CUSTOS!$T$3</f>
        <v>0</v>
      </c>
      <c r="Y36" s="12">
        <f>TRANSICAO!$Y$36*CUSTOS!$T$3</f>
        <v>15.9847</v>
      </c>
      <c r="Z36" s="12">
        <f>TRANSICAO!$Z$36*CUSTOS!$T$3</f>
        <v>0</v>
      </c>
      <c r="AA36" s="12">
        <f>TRANSICAO!$AA$36*CUSTOS!$T$3</f>
        <v>0</v>
      </c>
      <c r="AB36" s="12">
        <f>TRANSICAO!$AB$36*CUSTOS!$T$3</f>
        <v>0</v>
      </c>
      <c r="AC36" s="12">
        <f>TRANSICAO!$AC$36*CUSTOS!$T$3</f>
        <v>164.21899999999999</v>
      </c>
      <c r="AD36" s="12">
        <f>TRANSICAO!$AD$36*CUSTOS!$T$3</f>
        <v>0</v>
      </c>
      <c r="AE36" s="12">
        <v>0</v>
      </c>
      <c r="AF36" s="12">
        <v>0</v>
      </c>
      <c r="AG36" s="12"/>
      <c r="AH36" s="12">
        <f>(1 - CUSTOS!$M$24)*15.7076</f>
        <v>15.707599999999999</v>
      </c>
      <c r="AI36" s="12">
        <f>(1 - CUSTOS!$M$24)*15.7076</f>
        <v>15.707599999999999</v>
      </c>
      <c r="AJ36" s="12">
        <f ca="1">$N$75*(1-CUSTOS!$M$24)</f>
        <v>2.5427230892179189</v>
      </c>
      <c r="AK36" s="12">
        <f t="shared" ca="1" si="0"/>
        <v>2.5427230892179189</v>
      </c>
      <c r="AL36" s="12"/>
      <c r="AM36" s="12"/>
      <c r="AP36" s="12">
        <f>IF((1 - CUSTOS!$M$24)&lt;&gt;0,1/(1 - CUSTOS!$M$24),1)</f>
        <v>1</v>
      </c>
    </row>
    <row r="37" spans="1:42" ht="11.25" customHeight="1" x14ac:dyDescent="0.25">
      <c r="A37" s="106"/>
      <c r="B37" s="106"/>
      <c r="C37" s="106"/>
      <c r="D37" s="18" t="s">
        <v>30</v>
      </c>
      <c r="E37" s="18" t="s">
        <v>25</v>
      </c>
      <c r="F37" s="18" t="s">
        <v>25</v>
      </c>
      <c r="G37" s="17" t="s">
        <v>84</v>
      </c>
      <c r="H37" s="17" t="s">
        <v>78</v>
      </c>
      <c r="I37" s="17">
        <f>'MERCADO TUSD'!$U$34</f>
        <v>0</v>
      </c>
      <c r="J37" s="15"/>
      <c r="L37" s="12">
        <v>0</v>
      </c>
      <c r="M3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CUSTOS!$M$25)</f>
        <v>0.78945604047538609</v>
      </c>
      <c r="N37" s="12">
        <f ca="1">(+M37+O37+R37+U37+V37+W37+X37+Y37+Z37+AA37+AC37+AH37+AI37+AJ37+AK37)*CUSTOS!$M$5</f>
        <v>2.4212130221891126</v>
      </c>
      <c r="O37" s="12">
        <f>1 - CUSTOS!$M$25</f>
        <v>1</v>
      </c>
      <c r="P37" s="12">
        <v>0</v>
      </c>
      <c r="Q37" s="12">
        <v>0</v>
      </c>
      <c r="R37" s="12">
        <v>0</v>
      </c>
      <c r="S37" s="12">
        <f>1 - CUSTOS!$M$25</f>
        <v>1</v>
      </c>
      <c r="T37" s="12"/>
      <c r="U37" s="12">
        <f>TRANSICAO!$U$37*CUSTOS!$T$3</f>
        <v>17.164000000000001</v>
      </c>
      <c r="V37" s="12">
        <f>TRANSICAO!$V$37*CUSTOS!$T$3</f>
        <v>5.9470999999999998</v>
      </c>
      <c r="W37" s="12">
        <f>TRANSICAO!$W$37*CUSTOS!$T$3</f>
        <v>0.51639999999999997</v>
      </c>
      <c r="X37" s="12">
        <f>TRANSICAO!$X$37*CUSTOS!$T$3</f>
        <v>0</v>
      </c>
      <c r="Y37" s="12">
        <f>TRANSICAO!$Y$37*CUSTOS!$T$3</f>
        <v>15.9847</v>
      </c>
      <c r="Z37" s="12">
        <f>TRANSICAO!$Z$37*CUSTOS!$T$3</f>
        <v>0</v>
      </c>
      <c r="AA37" s="12">
        <f>TRANSICAO!$AA$37*CUSTOS!$T$3</f>
        <v>0</v>
      </c>
      <c r="AB37" s="12">
        <f>TRANSICAO!$AB$37*CUSTOS!$T$3</f>
        <v>0</v>
      </c>
      <c r="AC37" s="12">
        <f>TRANSICAO!$AC$37*CUSTOS!$T$3</f>
        <v>164.21899999999999</v>
      </c>
      <c r="AD37" s="12">
        <f>TRANSICAO!$AD$37*CUSTOS!$T$3</f>
        <v>0</v>
      </c>
      <c r="AE37" s="12">
        <v>0</v>
      </c>
      <c r="AF37" s="12">
        <v>0</v>
      </c>
      <c r="AG37" s="12"/>
      <c r="AH37" s="12">
        <f>(1 - CUSTOS!$M$25)*15.7076</f>
        <v>15.707599999999999</v>
      </c>
      <c r="AI37" s="12">
        <f>(1 - CUSTOS!$M$25)*15.7076</f>
        <v>15.707599999999999</v>
      </c>
      <c r="AJ37" s="12">
        <f ca="1">$N$75*(1-CUSTOS!$M$25)</f>
        <v>2.5427230892179189</v>
      </c>
      <c r="AK37" s="12">
        <f t="shared" ref="AK37:AK61" ca="1" si="1">AJ37</f>
        <v>2.5427230892179189</v>
      </c>
      <c r="AL37" s="12"/>
      <c r="AM37" s="12"/>
      <c r="AP37" s="12">
        <f>IF((1 - CUSTOS!$M$25)&lt;&gt;0,1/(1 - CUSTOS!$M$25),1)</f>
        <v>1</v>
      </c>
    </row>
    <row r="38" spans="1:42" ht="11.25" customHeight="1" x14ac:dyDescent="0.25">
      <c r="A38" s="106"/>
      <c r="B38" s="106"/>
      <c r="C38" s="106"/>
      <c r="D38" s="18" t="s">
        <v>31</v>
      </c>
      <c r="E38" s="18" t="s">
        <v>25</v>
      </c>
      <c r="F38" s="18" t="s">
        <v>25</v>
      </c>
      <c r="G38" s="17" t="s">
        <v>84</v>
      </c>
      <c r="H38" s="17" t="s">
        <v>78</v>
      </c>
      <c r="I38" s="17">
        <f>'MERCADO TUSD'!$U$35</f>
        <v>0</v>
      </c>
      <c r="J38" s="15"/>
      <c r="L38" s="12">
        <v>0</v>
      </c>
      <c r="M3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CUSTOS!$M$26)</f>
        <v>0.78945604047538609</v>
      </c>
      <c r="N38" s="12">
        <f ca="1">(+M38+O38+R38+U38+V38+W38+X38+Y38+Z38+AA38+AC38+AH38+AI38+AJ38+AK38)*CUSTOS!$M$5</f>
        <v>2.4212130221891126</v>
      </c>
      <c r="O38" s="12">
        <f>1 - CUSTOS!$M$26</f>
        <v>1</v>
      </c>
      <c r="P38" s="12">
        <v>0</v>
      </c>
      <c r="Q38" s="12">
        <v>0</v>
      </c>
      <c r="R38" s="12">
        <v>0</v>
      </c>
      <c r="S38" s="12">
        <f>1 - CUSTOS!$M$26</f>
        <v>1</v>
      </c>
      <c r="T38" s="12"/>
      <c r="U38" s="12">
        <f>TRANSICAO!$U$38*CUSTOS!$T$3</f>
        <v>17.164000000000001</v>
      </c>
      <c r="V38" s="12">
        <f>TRANSICAO!$V$38*CUSTOS!$T$3</f>
        <v>5.9470999999999998</v>
      </c>
      <c r="W38" s="12">
        <f>TRANSICAO!$W$38*CUSTOS!$T$3</f>
        <v>0.51639999999999997</v>
      </c>
      <c r="X38" s="12">
        <f>TRANSICAO!$X$38*CUSTOS!$T$3</f>
        <v>0</v>
      </c>
      <c r="Y38" s="12">
        <f>TRANSICAO!$Y$38*CUSTOS!$T$3</f>
        <v>15.9847</v>
      </c>
      <c r="Z38" s="12">
        <f>TRANSICAO!$Z$38*CUSTOS!$T$3</f>
        <v>0</v>
      </c>
      <c r="AA38" s="12">
        <f>TRANSICAO!$AA$38*CUSTOS!$T$3</f>
        <v>0</v>
      </c>
      <c r="AB38" s="12">
        <f>TRANSICAO!$AB$38*CUSTOS!$T$3</f>
        <v>0</v>
      </c>
      <c r="AC38" s="12">
        <f>TRANSICAO!$AC$38*CUSTOS!$T$3</f>
        <v>164.21899999999999</v>
      </c>
      <c r="AD38" s="12">
        <f>TRANSICAO!$AD$38*CUSTOS!$T$3</f>
        <v>0</v>
      </c>
      <c r="AE38" s="12">
        <v>0</v>
      </c>
      <c r="AF38" s="12">
        <v>0</v>
      </c>
      <c r="AG38" s="12"/>
      <c r="AH38" s="12">
        <f>(1 - CUSTOS!$M$26)*15.7076</f>
        <v>15.707599999999999</v>
      </c>
      <c r="AI38" s="12">
        <f>(1 - CUSTOS!$M$26)*15.7076</f>
        <v>15.707599999999999</v>
      </c>
      <c r="AJ38" s="12">
        <f ca="1">$N$75*(1-CUSTOS!$M$26)</f>
        <v>2.5427230892179189</v>
      </c>
      <c r="AK38" s="12">
        <f t="shared" ca="1" si="1"/>
        <v>2.5427230892179189</v>
      </c>
      <c r="AL38" s="12"/>
      <c r="AM38" s="12"/>
      <c r="AP38" s="12">
        <f>IF((1 - CUSTOS!$M$26)&lt;&gt;0,1/(1 - CUSTOS!$M$26),1)</f>
        <v>1</v>
      </c>
    </row>
    <row r="39" spans="1:42" ht="11.25" customHeight="1" x14ac:dyDescent="0.25">
      <c r="A39" s="106"/>
      <c r="B39" s="106"/>
      <c r="C39" s="106"/>
      <c r="D39" s="18" t="s">
        <v>32</v>
      </c>
      <c r="E39" s="18" t="s">
        <v>25</v>
      </c>
      <c r="F39" s="18" t="s">
        <v>25</v>
      </c>
      <c r="G39" s="17" t="s">
        <v>84</v>
      </c>
      <c r="H39" s="17" t="s">
        <v>78</v>
      </c>
      <c r="I39" s="17">
        <f>'MERCADO TUSD'!$U$36</f>
        <v>0</v>
      </c>
      <c r="J39" s="15"/>
      <c r="L39" s="12">
        <v>0</v>
      </c>
      <c r="M3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CUSTOS!$M$27)</f>
        <v>0.78945604047538609</v>
      </c>
      <c r="N39" s="12">
        <f ca="1">(+M39+O39+R39+U39+V39+W39+X39+Y39+Z39+AA39+AC39+AH39+AI39+AJ39+AK39)*CUSTOS!$M$5</f>
        <v>2.4212130221891126</v>
      </c>
      <c r="O39" s="12">
        <f>1 - CUSTOS!$M$27</f>
        <v>1</v>
      </c>
      <c r="P39" s="12">
        <v>0</v>
      </c>
      <c r="Q39" s="12">
        <v>0</v>
      </c>
      <c r="R39" s="12">
        <v>0</v>
      </c>
      <c r="S39" s="12">
        <f>1 - CUSTOS!$M$27</f>
        <v>1</v>
      </c>
      <c r="T39" s="12"/>
      <c r="U39" s="12">
        <f>TRANSICAO!$U$39*CUSTOS!$T$3</f>
        <v>17.164000000000001</v>
      </c>
      <c r="V39" s="12">
        <f>TRANSICAO!$V$39*CUSTOS!$T$3</f>
        <v>5.9470999999999998</v>
      </c>
      <c r="W39" s="12">
        <f>TRANSICAO!$W$39*CUSTOS!$T$3</f>
        <v>0.51639999999999997</v>
      </c>
      <c r="X39" s="12">
        <f>TRANSICAO!$X$39*CUSTOS!$T$3</f>
        <v>0</v>
      </c>
      <c r="Y39" s="12">
        <f>TRANSICAO!$Y$39*CUSTOS!$T$3</f>
        <v>15.9847</v>
      </c>
      <c r="Z39" s="12">
        <f>TRANSICAO!$Z$39*CUSTOS!$T$3</f>
        <v>0</v>
      </c>
      <c r="AA39" s="12">
        <f>TRANSICAO!$AA$39*CUSTOS!$T$3</f>
        <v>0</v>
      </c>
      <c r="AB39" s="12">
        <f>TRANSICAO!$AB$39*CUSTOS!$T$3</f>
        <v>0</v>
      </c>
      <c r="AC39" s="12">
        <f>TRANSICAO!$AC$39*CUSTOS!$T$3</f>
        <v>164.21899999999999</v>
      </c>
      <c r="AD39" s="12">
        <f>TRANSICAO!$AD$39*CUSTOS!$T$3</f>
        <v>0</v>
      </c>
      <c r="AE39" s="12">
        <v>0</v>
      </c>
      <c r="AF39" s="12">
        <v>0</v>
      </c>
      <c r="AG39" s="12"/>
      <c r="AH39" s="12">
        <f>(1 - CUSTOS!$M$27)*15.7076</f>
        <v>15.707599999999999</v>
      </c>
      <c r="AI39" s="12">
        <f>(1 - CUSTOS!$M$27)*15.7076</f>
        <v>15.707599999999999</v>
      </c>
      <c r="AJ39" s="12">
        <f ca="1">$N$75*(1-CUSTOS!$M$27)</f>
        <v>2.5427230892179189</v>
      </c>
      <c r="AK39" s="12">
        <f t="shared" ca="1" si="1"/>
        <v>2.5427230892179189</v>
      </c>
      <c r="AL39" s="12"/>
      <c r="AM39" s="12"/>
      <c r="AP39" s="12">
        <f>IF((1 - CUSTOS!$M$27)&lt;&gt;0,1/(1 - CUSTOS!$M$27),1)</f>
        <v>1</v>
      </c>
    </row>
    <row r="40" spans="1:42" ht="11.25" customHeight="1" x14ac:dyDescent="0.25">
      <c r="A40" s="106" t="s">
        <v>43</v>
      </c>
      <c r="B40" s="106" t="s">
        <v>33</v>
      </c>
      <c r="C40" s="106" t="s">
        <v>44</v>
      </c>
      <c r="D40" s="106" t="s">
        <v>25</v>
      </c>
      <c r="E40" s="106" t="s">
        <v>25</v>
      </c>
      <c r="F40" s="106" t="s">
        <v>25</v>
      </c>
      <c r="G40" s="17" t="s">
        <v>79</v>
      </c>
      <c r="H40" s="17" t="s">
        <v>78</v>
      </c>
      <c r="I40" s="17">
        <f>'MERCADO TUSD'!$U$37</f>
        <v>0.16600000000000004</v>
      </c>
      <c r="J40" s="15"/>
      <c r="L40" s="12">
        <f>1*(1 - CUSTOS!$M$28)</f>
        <v>1</v>
      </c>
      <c r="M4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0.78945604047538609</v>
      </c>
      <c r="N40" s="12">
        <f ca="1">(+M40+O40+R40+U40+V40+W40+X40+Y40+Z40+AA40+AC40+AH40+AI40+AJ40+AK40)*CUSTOS!$M$5</f>
        <v>6.9155040221891113</v>
      </c>
      <c r="O40" s="12">
        <f>1 - CUSTOS!$M$28</f>
        <v>1</v>
      </c>
      <c r="P40" s="12">
        <f>1 - CUSTOS!$M$28</f>
        <v>1</v>
      </c>
      <c r="Q40" s="12">
        <f>1*(1 - CUSTOS!$M$28)</f>
        <v>1</v>
      </c>
      <c r="R40" s="12">
        <f>1 - CUSTOS!$M$28</f>
        <v>1</v>
      </c>
      <c r="S40" s="12">
        <f>1 - CUSTOS!$M$28</f>
        <v>1</v>
      </c>
      <c r="T40" s="12"/>
      <c r="U40" s="12">
        <f>TRANSICAO!$U$40*CUSTOS!$T$3</f>
        <v>54.924999999999997</v>
      </c>
      <c r="V40" s="12">
        <f>TRANSICAO!$V$40*CUSTOS!$T$3</f>
        <v>19.030799999999999</v>
      </c>
      <c r="W40" s="12">
        <f>TRANSICAO!$W$40*CUSTOS!$T$3</f>
        <v>1.6524000000000001</v>
      </c>
      <c r="X40" s="12">
        <f>TRANSICAO!$X$40*CUSTOS!$T$3</f>
        <v>0</v>
      </c>
      <c r="Y40" s="12">
        <f>TRANSICAO!$Y$40*CUSTOS!$T$3</f>
        <v>51.151200000000003</v>
      </c>
      <c r="Z40" s="12">
        <f>TRANSICAO!$Z$40*CUSTOS!$T$3</f>
        <v>0</v>
      </c>
      <c r="AA40" s="12">
        <f>TRANSICAO!$AA$40*CUSTOS!$T$3</f>
        <v>0</v>
      </c>
      <c r="AB40" s="12">
        <f>TRANSICAO!$AB$40*CUSTOS!$T$3</f>
        <v>0</v>
      </c>
      <c r="AC40" s="12">
        <f>TRANSICAO!$AC$40*CUSTOS!$T$3</f>
        <v>525.5009</v>
      </c>
      <c r="AD40" s="12">
        <f>TRANSICAO!$AD$40*CUSTOS!$T$3</f>
        <v>0</v>
      </c>
      <c r="AE40" s="12">
        <v>0</v>
      </c>
      <c r="AF40" s="12">
        <v>0</v>
      </c>
      <c r="AG40" s="12"/>
      <c r="AH40" s="12">
        <f>(1 - CUSTOS!$M$28)*15.7076</f>
        <v>15.707599999999999</v>
      </c>
      <c r="AI40" s="12">
        <f>(1 - CUSTOS!$M$28)*15.7076</f>
        <v>15.707599999999999</v>
      </c>
      <c r="AJ40" s="12">
        <f ca="1">$N$75*(1-CUSTOS!$M$28)</f>
        <v>2.5427230892179189</v>
      </c>
      <c r="AK40" s="12">
        <f t="shared" ca="1" si="1"/>
        <v>2.5427230892179189</v>
      </c>
      <c r="AL40" s="12"/>
      <c r="AM40" s="12"/>
      <c r="AP40" s="12">
        <f>IF((1 - CUSTOS!$M$28)&lt;&gt;0,1/(1 - CUSTOS!$M$28),1)</f>
        <v>1</v>
      </c>
    </row>
    <row r="41" spans="1:42" ht="11.25" customHeight="1" x14ac:dyDescent="0.25">
      <c r="A41" s="106"/>
      <c r="B41" s="106"/>
      <c r="C41" s="106"/>
      <c r="D41" s="106"/>
      <c r="E41" s="106"/>
      <c r="F41" s="106"/>
      <c r="G41" s="17" t="s">
        <v>91</v>
      </c>
      <c r="H41" s="17" t="s">
        <v>78</v>
      </c>
      <c r="I41" s="17">
        <f>'MERCADO TUSD'!$U$38</f>
        <v>0.14499999999999999</v>
      </c>
      <c r="J41" s="15"/>
      <c r="L41" s="12">
        <f>1*(1 - CUSTOS!$M$28)</f>
        <v>1</v>
      </c>
      <c r="M4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0.78945604047538609</v>
      </c>
      <c r="N41" s="12">
        <f ca="1">(+M41+O41+R41+U41+V41+W41+X41+Y41+Z41+AA41+AC41+AH41+AI41+AJ41+AK41)*CUSTOS!$M$5</f>
        <v>4.3064620221891134</v>
      </c>
      <c r="O41" s="12">
        <f>1 - CUSTOS!$M$28</f>
        <v>1</v>
      </c>
      <c r="P41" s="12">
        <f>1 - CUSTOS!$M$28</f>
        <v>1</v>
      </c>
      <c r="Q41" s="12">
        <f>1*(1 - CUSTOS!$M$28)</f>
        <v>1</v>
      </c>
      <c r="R41" s="12">
        <f>1 - CUSTOS!$M$28</f>
        <v>1</v>
      </c>
      <c r="S41" s="12">
        <f>1 - CUSTOS!$M$28</f>
        <v>1</v>
      </c>
      <c r="T41" s="12"/>
      <c r="U41" s="12">
        <f>TRANSICAO!$U$41*CUSTOS!$T$3</f>
        <v>32.954999999999998</v>
      </c>
      <c r="V41" s="12">
        <f>TRANSICAO!$V$41*CUSTOS!$T$3</f>
        <v>11.4185</v>
      </c>
      <c r="W41" s="12">
        <f>TRANSICAO!$W$41*CUSTOS!$T$3</f>
        <v>0.99139999999999995</v>
      </c>
      <c r="X41" s="12">
        <f>TRANSICAO!$X$41*CUSTOS!$T$3</f>
        <v>0</v>
      </c>
      <c r="Y41" s="12">
        <f>TRANSICAO!$Y$41*CUSTOS!$T$3</f>
        <v>30.6907</v>
      </c>
      <c r="Z41" s="12">
        <f>TRANSICAO!$Z$41*CUSTOS!$T$3</f>
        <v>0</v>
      </c>
      <c r="AA41" s="12">
        <f>TRANSICAO!$AA$41*CUSTOS!$T$3</f>
        <v>0</v>
      </c>
      <c r="AB41" s="12">
        <f>TRANSICAO!$AB$41*CUSTOS!$T$3</f>
        <v>0</v>
      </c>
      <c r="AC41" s="12">
        <f>TRANSICAO!$AC$41*CUSTOS!$T$3</f>
        <v>315.3005</v>
      </c>
      <c r="AD41" s="12">
        <f>TRANSICAO!$AD$41*CUSTOS!$T$3</f>
        <v>0</v>
      </c>
      <c r="AE41" s="12">
        <v>0</v>
      </c>
      <c r="AF41" s="12">
        <v>0</v>
      </c>
      <c r="AG41" s="12"/>
      <c r="AH41" s="12">
        <f>(1 - CUSTOS!$M$28)*15.7076</f>
        <v>15.707599999999999</v>
      </c>
      <c r="AI41" s="12">
        <f>(1 - CUSTOS!$M$28)*15.7076</f>
        <v>15.707599999999999</v>
      </c>
      <c r="AJ41" s="12">
        <f ca="1">$N$75*(1-CUSTOS!$M$28)</f>
        <v>2.5427230892179189</v>
      </c>
      <c r="AK41" s="12">
        <f t="shared" ca="1" si="1"/>
        <v>2.5427230892179189</v>
      </c>
      <c r="AL41" s="12"/>
      <c r="AM41" s="12"/>
      <c r="AP41" s="12">
        <f>IF((1 - CUSTOS!$M$28)&lt;&gt;0,1/(1 - CUSTOS!$M$28),1)</f>
        <v>1</v>
      </c>
    </row>
    <row r="42" spans="1:42" ht="11.25" customHeight="1" x14ac:dyDescent="0.25">
      <c r="A42" s="106"/>
      <c r="B42" s="106"/>
      <c r="C42" s="106"/>
      <c r="D42" s="106"/>
      <c r="E42" s="106"/>
      <c r="F42" s="106"/>
      <c r="G42" s="17" t="s">
        <v>80</v>
      </c>
      <c r="H42" s="17" t="s">
        <v>78</v>
      </c>
      <c r="I42" s="17">
        <f>'MERCADO TUSD'!$U$39</f>
        <v>3.37</v>
      </c>
      <c r="J42" s="15"/>
      <c r="L42" s="12">
        <f>1*(1 - CUSTOS!$M$28)</f>
        <v>1</v>
      </c>
      <c r="M42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0.78945604047538609</v>
      </c>
      <c r="N42" s="12">
        <f ca="1">(+M42+O42+R42+U42+V42+W42+X42+Y42+Z42+AA42+AC42+AH42+AI42+AJ42+AK42)*CUSTOS!$M$5</f>
        <v>1.6974220221891125</v>
      </c>
      <c r="O42" s="12">
        <f>1 - CUSTOS!$M$28</f>
        <v>1</v>
      </c>
      <c r="P42" s="12">
        <f>1 - CUSTOS!$M$28</f>
        <v>1</v>
      </c>
      <c r="Q42" s="12">
        <f>1*(1 - CUSTOS!$M$28)</f>
        <v>1</v>
      </c>
      <c r="R42" s="12">
        <f>1 - CUSTOS!$M$28</f>
        <v>1</v>
      </c>
      <c r="S42" s="12">
        <f>1 - CUSTOS!$M$28</f>
        <v>1</v>
      </c>
      <c r="T42" s="12"/>
      <c r="U42" s="12">
        <f>TRANSICAO!$U$42*CUSTOS!$T$3</f>
        <v>10.984999999999999</v>
      </c>
      <c r="V42" s="12">
        <f>TRANSICAO!$V$42*CUSTOS!$T$3</f>
        <v>3.8062</v>
      </c>
      <c r="W42" s="12">
        <f>TRANSICAO!$W$42*CUSTOS!$T$3</f>
        <v>0.33050000000000002</v>
      </c>
      <c r="X42" s="12">
        <f>TRANSICAO!$X$42*CUSTOS!$T$3</f>
        <v>0</v>
      </c>
      <c r="Y42" s="12">
        <f>TRANSICAO!$Y$42*CUSTOS!$T$3</f>
        <v>10.2302</v>
      </c>
      <c r="Z42" s="12">
        <f>TRANSICAO!$Z$42*CUSTOS!$T$3</f>
        <v>0</v>
      </c>
      <c r="AA42" s="12">
        <f>TRANSICAO!$AA$42*CUSTOS!$T$3</f>
        <v>0</v>
      </c>
      <c r="AB42" s="12">
        <f>TRANSICAO!$AB$42*CUSTOS!$T$3</f>
        <v>0</v>
      </c>
      <c r="AC42" s="12">
        <f>TRANSICAO!$AC$42*CUSTOS!$T$3</f>
        <v>105.1002</v>
      </c>
      <c r="AD42" s="12">
        <f>TRANSICAO!$AD$42*CUSTOS!$T$3</f>
        <v>0</v>
      </c>
      <c r="AE42" s="12">
        <v>0</v>
      </c>
      <c r="AF42" s="12">
        <v>0</v>
      </c>
      <c r="AG42" s="12"/>
      <c r="AH42" s="12">
        <f>(1 - CUSTOS!$M$28)*15.7076</f>
        <v>15.707599999999999</v>
      </c>
      <c r="AI42" s="12">
        <f>(1 - CUSTOS!$M$28)*15.7076</f>
        <v>15.707599999999999</v>
      </c>
      <c r="AJ42" s="12">
        <f ca="1">$N$75*(1-CUSTOS!$M$28)</f>
        <v>2.5427230892179189</v>
      </c>
      <c r="AK42" s="12">
        <f t="shared" ca="1" si="1"/>
        <v>2.5427230892179189</v>
      </c>
      <c r="AL42" s="12"/>
      <c r="AM42" s="12"/>
      <c r="AP42" s="12">
        <f>IF((1 - CUSTOS!$M$28)&lt;&gt;0,1/(1 - CUSTOS!$M$28),1)</f>
        <v>1</v>
      </c>
    </row>
    <row r="43" spans="1:42" ht="11.25" customHeight="1" x14ac:dyDescent="0.25">
      <c r="A43" s="106"/>
      <c r="B43" s="18" t="s">
        <v>23</v>
      </c>
      <c r="C43" s="18" t="s">
        <v>44</v>
      </c>
      <c r="D43" s="18" t="s">
        <v>25</v>
      </c>
      <c r="E43" s="18" t="s">
        <v>25</v>
      </c>
      <c r="F43" s="18" t="s">
        <v>25</v>
      </c>
      <c r="G43" s="17" t="s">
        <v>84</v>
      </c>
      <c r="H43" s="17" t="s">
        <v>78</v>
      </c>
      <c r="I43" s="17">
        <f>'MERCADO TUSD'!$U$40</f>
        <v>23741.584000000003</v>
      </c>
      <c r="J43" s="15"/>
      <c r="L43" s="12">
        <f>1*(1 - CUSTOS!$M$28)</f>
        <v>1</v>
      </c>
      <c r="M43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0.78945604047538609</v>
      </c>
      <c r="N43" s="12">
        <f ca="1">(+M43+O43+R43+U43+V43+W43+X43+Y43+Z43+AA43+AC43+AH43+AI43+AJ43+AK43)*CUSTOS!$M$5</f>
        <v>2.4312130221891124</v>
      </c>
      <c r="O43" s="12">
        <f>1 - CUSTOS!$M$28</f>
        <v>1</v>
      </c>
      <c r="P43" s="12">
        <f>1 - CUSTOS!$M$28</f>
        <v>1</v>
      </c>
      <c r="Q43" s="12">
        <f>1*(1 - CUSTOS!$M$28)</f>
        <v>1</v>
      </c>
      <c r="R43" s="12">
        <f>1 - CUSTOS!$M$28</f>
        <v>1</v>
      </c>
      <c r="S43" s="12">
        <f>1 - CUSTOS!$M$28</f>
        <v>1</v>
      </c>
      <c r="T43" s="12"/>
      <c r="U43" s="12">
        <f>TRANSICAO!$U$43*CUSTOS!$T$3</f>
        <v>17.164000000000001</v>
      </c>
      <c r="V43" s="12">
        <f>TRANSICAO!$V$43*CUSTOS!$T$3</f>
        <v>5.9470999999999998</v>
      </c>
      <c r="W43" s="12">
        <f>TRANSICAO!$W$43*CUSTOS!$T$3</f>
        <v>0.51639999999999997</v>
      </c>
      <c r="X43" s="12">
        <f>TRANSICAO!$X$43*CUSTOS!$T$3</f>
        <v>0</v>
      </c>
      <c r="Y43" s="12">
        <f>TRANSICAO!$Y$43*CUSTOS!$T$3</f>
        <v>15.9847</v>
      </c>
      <c r="Z43" s="12">
        <f>TRANSICAO!$Z$43*CUSTOS!$T$3</f>
        <v>0</v>
      </c>
      <c r="AA43" s="12">
        <f>TRANSICAO!$AA$43*CUSTOS!$T$3</f>
        <v>0</v>
      </c>
      <c r="AB43" s="12">
        <f>TRANSICAO!$AB$43*CUSTOS!$T$3</f>
        <v>0</v>
      </c>
      <c r="AC43" s="12">
        <f>TRANSICAO!$AC$43*CUSTOS!$T$3</f>
        <v>164.21899999999999</v>
      </c>
      <c r="AD43" s="12">
        <f>TRANSICAO!$AD$43*CUSTOS!$T$3</f>
        <v>0</v>
      </c>
      <c r="AE43" s="12">
        <v>0</v>
      </c>
      <c r="AF43" s="12">
        <v>0</v>
      </c>
      <c r="AG43" s="12"/>
      <c r="AH43" s="12">
        <f>(1 - CUSTOS!$M$28)*15.7076</f>
        <v>15.707599999999999</v>
      </c>
      <c r="AI43" s="12">
        <f>(1 - CUSTOS!$M$28)*15.7076</f>
        <v>15.707599999999999</v>
      </c>
      <c r="AJ43" s="12">
        <f ca="1">$N$75*(1-CUSTOS!$M$28)</f>
        <v>2.5427230892179189</v>
      </c>
      <c r="AK43" s="12">
        <f t="shared" ca="1" si="1"/>
        <v>2.5427230892179189</v>
      </c>
      <c r="AL43" s="12"/>
      <c r="AM43" s="12"/>
      <c r="AP43" s="12">
        <f>IF((1 - CUSTOS!$M$28)&lt;&gt;0,1/(1 - CUSTOS!$M$28),1)</f>
        <v>1</v>
      </c>
    </row>
    <row r="44" spans="1:42" ht="11.25" customHeight="1" x14ac:dyDescent="0.25">
      <c r="A44" s="106"/>
      <c r="B44" s="106" t="s">
        <v>33</v>
      </c>
      <c r="C44" s="106" t="s">
        <v>44</v>
      </c>
      <c r="D44" s="106" t="s">
        <v>94</v>
      </c>
      <c r="E44" s="106" t="s">
        <v>25</v>
      </c>
      <c r="F44" s="106" t="s">
        <v>25</v>
      </c>
      <c r="G44" s="17" t="s">
        <v>79</v>
      </c>
      <c r="H44" s="17" t="s">
        <v>78</v>
      </c>
      <c r="I44" s="17">
        <f>'MERCADO TUSD'!$U$41</f>
        <v>0</v>
      </c>
      <c r="J44" s="15"/>
      <c r="L44" s="12">
        <f>1*(1 - CUSTOS!$M$29)</f>
        <v>1</v>
      </c>
      <c r="M44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0.78945604047538609</v>
      </c>
      <c r="N44" s="12">
        <f ca="1">(+M44+O44+R44+U44+V44+W44+X44+Y44+Z44+AA44+AC44+AH44+AI44+AJ44+AK44)*CUSTOS!$M$5</f>
        <v>6.9155040221891113</v>
      </c>
      <c r="O44" s="12">
        <f>1 - CUSTOS!$M$29</f>
        <v>1</v>
      </c>
      <c r="P44" s="12">
        <f>1 - CUSTOS!$M$29</f>
        <v>1</v>
      </c>
      <c r="Q44" s="12">
        <f>1*(1 - CUSTOS!$M$29)</f>
        <v>1</v>
      </c>
      <c r="R44" s="12">
        <f>1 - CUSTOS!$M$29</f>
        <v>1</v>
      </c>
      <c r="S44" s="12">
        <f>1 - CUSTOS!$M$29</f>
        <v>1</v>
      </c>
      <c r="T44" s="12"/>
      <c r="U44" s="12">
        <f>TRANSICAO!$U$44*CUSTOS!$T$3</f>
        <v>54.924999999999997</v>
      </c>
      <c r="V44" s="12">
        <f>TRANSICAO!$V$44*CUSTOS!$T$3</f>
        <v>19.030799999999999</v>
      </c>
      <c r="W44" s="12">
        <f>TRANSICAO!$W$44*CUSTOS!$T$3</f>
        <v>1.6524000000000001</v>
      </c>
      <c r="X44" s="12">
        <f>TRANSICAO!$X$44*CUSTOS!$T$3</f>
        <v>0</v>
      </c>
      <c r="Y44" s="12">
        <f>TRANSICAO!$Y$44*CUSTOS!$T$3</f>
        <v>51.151200000000003</v>
      </c>
      <c r="Z44" s="12">
        <f>TRANSICAO!$Z$44*CUSTOS!$T$3</f>
        <v>0</v>
      </c>
      <c r="AA44" s="12">
        <f>TRANSICAO!$AA$44*CUSTOS!$T$3</f>
        <v>0</v>
      </c>
      <c r="AB44" s="12">
        <f>TRANSICAO!$AB$44*CUSTOS!$T$3</f>
        <v>0</v>
      </c>
      <c r="AC44" s="12">
        <f>TRANSICAO!$AC$44*CUSTOS!$T$3</f>
        <v>525.5009</v>
      </c>
      <c r="AD44" s="12">
        <f>TRANSICAO!$AD$44*CUSTOS!$T$3</f>
        <v>0</v>
      </c>
      <c r="AE44" s="12">
        <v>0</v>
      </c>
      <c r="AF44" s="12">
        <v>0</v>
      </c>
      <c r="AG44" s="12"/>
      <c r="AH44" s="12">
        <f>(1 - CUSTOS!$M$29)*15.7076</f>
        <v>15.707599999999999</v>
      </c>
      <c r="AI44" s="12">
        <f>(1 - CUSTOS!$M$29)*15.7076</f>
        <v>15.707599999999999</v>
      </c>
      <c r="AJ44" s="12">
        <f ca="1">$N$75*(1-CUSTOS!$M$29)</f>
        <v>2.5427230892179189</v>
      </c>
      <c r="AK44" s="12">
        <f t="shared" ca="1" si="1"/>
        <v>2.5427230892179189</v>
      </c>
      <c r="AL44" s="12"/>
      <c r="AM44" s="12"/>
      <c r="AP44" s="12">
        <f>IF((1 - CUSTOS!$M$29)&lt;&gt;0,1/(1 - CUSTOS!$M$29),1)</f>
        <v>1</v>
      </c>
    </row>
    <row r="45" spans="1:42" ht="11.25" customHeight="1" x14ac:dyDescent="0.25">
      <c r="A45" s="106"/>
      <c r="B45" s="106"/>
      <c r="C45" s="106"/>
      <c r="D45" s="106"/>
      <c r="E45" s="106"/>
      <c r="F45" s="106"/>
      <c r="G45" s="17" t="s">
        <v>91</v>
      </c>
      <c r="H45" s="17" t="s">
        <v>78</v>
      </c>
      <c r="I45" s="17">
        <f>'MERCADO TUSD'!$U$42</f>
        <v>0</v>
      </c>
      <c r="J45" s="15"/>
      <c r="L45" s="12">
        <f>1*(1 - CUSTOS!$M$29)</f>
        <v>1</v>
      </c>
      <c r="M45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0.78945604047538609</v>
      </c>
      <c r="N45" s="12">
        <f ca="1">(+M45+O45+R45+U45+V45+W45+X45+Y45+Z45+AA45+AC45+AH45+AI45+AJ45+AK45)*CUSTOS!$M$5</f>
        <v>4.3064620221891134</v>
      </c>
      <c r="O45" s="12">
        <f>1 - CUSTOS!$M$29</f>
        <v>1</v>
      </c>
      <c r="P45" s="12">
        <f>1 - CUSTOS!$M$29</f>
        <v>1</v>
      </c>
      <c r="Q45" s="12">
        <f>1*(1 - CUSTOS!$M$29)</f>
        <v>1</v>
      </c>
      <c r="R45" s="12">
        <f>1 - CUSTOS!$M$29</f>
        <v>1</v>
      </c>
      <c r="S45" s="12">
        <f>1 - CUSTOS!$M$29</f>
        <v>1</v>
      </c>
      <c r="T45" s="12"/>
      <c r="U45" s="12">
        <f>TRANSICAO!$U$45*CUSTOS!$T$3</f>
        <v>32.954999999999998</v>
      </c>
      <c r="V45" s="12">
        <f>TRANSICAO!$V$45*CUSTOS!$T$3</f>
        <v>11.4185</v>
      </c>
      <c r="W45" s="12">
        <f>TRANSICAO!$W$45*CUSTOS!$T$3</f>
        <v>0.99139999999999995</v>
      </c>
      <c r="X45" s="12">
        <f>TRANSICAO!$X$45*CUSTOS!$T$3</f>
        <v>0</v>
      </c>
      <c r="Y45" s="12">
        <f>TRANSICAO!$Y$45*CUSTOS!$T$3</f>
        <v>30.6907</v>
      </c>
      <c r="Z45" s="12">
        <f>TRANSICAO!$Z$45*CUSTOS!$T$3</f>
        <v>0</v>
      </c>
      <c r="AA45" s="12">
        <f>TRANSICAO!$AA$45*CUSTOS!$T$3</f>
        <v>0</v>
      </c>
      <c r="AB45" s="12">
        <f>TRANSICAO!$AB$45*CUSTOS!$T$3</f>
        <v>0</v>
      </c>
      <c r="AC45" s="12">
        <f>TRANSICAO!$AC$45*CUSTOS!$T$3</f>
        <v>315.3005</v>
      </c>
      <c r="AD45" s="12">
        <f>TRANSICAO!$AD$45*CUSTOS!$T$3</f>
        <v>0</v>
      </c>
      <c r="AE45" s="12">
        <v>0</v>
      </c>
      <c r="AF45" s="12">
        <v>0</v>
      </c>
      <c r="AG45" s="12"/>
      <c r="AH45" s="12">
        <f>(1 - CUSTOS!$M$29)*15.7076</f>
        <v>15.707599999999999</v>
      </c>
      <c r="AI45" s="12">
        <f>(1 - CUSTOS!$M$29)*15.7076</f>
        <v>15.707599999999999</v>
      </c>
      <c r="AJ45" s="12">
        <f ca="1">$N$75*(1-CUSTOS!$M$29)</f>
        <v>2.5427230892179189</v>
      </c>
      <c r="AK45" s="12">
        <f t="shared" ca="1" si="1"/>
        <v>2.5427230892179189</v>
      </c>
      <c r="AL45" s="12"/>
      <c r="AM45" s="12"/>
      <c r="AP45" s="12">
        <f>IF((1 - CUSTOS!$M$29)&lt;&gt;0,1/(1 - CUSTOS!$M$29),1)</f>
        <v>1</v>
      </c>
    </row>
    <row r="46" spans="1:42" ht="11.25" customHeight="1" x14ac:dyDescent="0.25">
      <c r="A46" s="106"/>
      <c r="B46" s="106"/>
      <c r="C46" s="106"/>
      <c r="D46" s="106"/>
      <c r="E46" s="106"/>
      <c r="F46" s="106"/>
      <c r="G46" s="17" t="s">
        <v>80</v>
      </c>
      <c r="H46" s="17" t="s">
        <v>78</v>
      </c>
      <c r="I46" s="17">
        <f>'MERCADO TUSD'!$U$43</f>
        <v>0</v>
      </c>
      <c r="J46" s="15"/>
      <c r="L46" s="12">
        <f>1*(1 - CUSTOS!$M$29)</f>
        <v>1</v>
      </c>
      <c r="M46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0.78945604047538609</v>
      </c>
      <c r="N46" s="12">
        <f ca="1">(+M46+O46+R46+U46+V46+W46+X46+Y46+Z46+AA46+AC46+AH46+AI46+AJ46+AK46)*CUSTOS!$M$5</f>
        <v>1.6974220221891125</v>
      </c>
      <c r="O46" s="12">
        <f>1 - CUSTOS!$M$29</f>
        <v>1</v>
      </c>
      <c r="P46" s="12">
        <f>1 - CUSTOS!$M$29</f>
        <v>1</v>
      </c>
      <c r="Q46" s="12">
        <f>1*(1 - CUSTOS!$M$29)</f>
        <v>1</v>
      </c>
      <c r="R46" s="12">
        <f>1 - CUSTOS!$M$29</f>
        <v>1</v>
      </c>
      <c r="S46" s="12">
        <f>1 - CUSTOS!$M$29</f>
        <v>1</v>
      </c>
      <c r="T46" s="12"/>
      <c r="U46" s="12">
        <f>TRANSICAO!$U$46*CUSTOS!$T$3</f>
        <v>10.984999999999999</v>
      </c>
      <c r="V46" s="12">
        <f>TRANSICAO!$V$46*CUSTOS!$T$3</f>
        <v>3.8062</v>
      </c>
      <c r="W46" s="12">
        <f>TRANSICAO!$W$46*CUSTOS!$T$3</f>
        <v>0.33050000000000002</v>
      </c>
      <c r="X46" s="12">
        <f>TRANSICAO!$X$46*CUSTOS!$T$3</f>
        <v>0</v>
      </c>
      <c r="Y46" s="12">
        <f>TRANSICAO!$Y$46*CUSTOS!$T$3</f>
        <v>10.2302</v>
      </c>
      <c r="Z46" s="12">
        <f>TRANSICAO!$Z$46*CUSTOS!$T$3</f>
        <v>0</v>
      </c>
      <c r="AA46" s="12">
        <f>TRANSICAO!$AA$46*CUSTOS!$T$3</f>
        <v>0</v>
      </c>
      <c r="AB46" s="12">
        <f>TRANSICAO!$AB$46*CUSTOS!$T$3</f>
        <v>0</v>
      </c>
      <c r="AC46" s="12">
        <f>TRANSICAO!$AC$46*CUSTOS!$T$3</f>
        <v>105.1002</v>
      </c>
      <c r="AD46" s="12">
        <f>TRANSICAO!$AD$46*CUSTOS!$T$3</f>
        <v>0</v>
      </c>
      <c r="AE46" s="12">
        <v>0</v>
      </c>
      <c r="AF46" s="12">
        <v>0</v>
      </c>
      <c r="AG46" s="12"/>
      <c r="AH46" s="12">
        <f>(1 - CUSTOS!$M$29)*15.7076</f>
        <v>15.707599999999999</v>
      </c>
      <c r="AI46" s="12">
        <f>(1 - CUSTOS!$M$29)*15.7076</f>
        <v>15.707599999999999</v>
      </c>
      <c r="AJ46" s="12">
        <f ca="1">$N$75*(1-CUSTOS!$M$29)</f>
        <v>2.5427230892179189</v>
      </c>
      <c r="AK46" s="12">
        <f t="shared" ca="1" si="1"/>
        <v>2.5427230892179189</v>
      </c>
      <c r="AL46" s="12"/>
      <c r="AM46" s="12"/>
      <c r="AP46" s="12">
        <f>IF((1 - CUSTOS!$M$29)&lt;&gt;0,1/(1 - CUSTOS!$M$29),1)</f>
        <v>1</v>
      </c>
    </row>
    <row r="47" spans="1:42" ht="11.25" customHeight="1" x14ac:dyDescent="0.25">
      <c r="A47" s="106"/>
      <c r="B47" s="18" t="s">
        <v>23</v>
      </c>
      <c r="C47" s="18" t="s">
        <v>44</v>
      </c>
      <c r="D47" s="18" t="s">
        <v>94</v>
      </c>
      <c r="E47" s="18" t="s">
        <v>25</v>
      </c>
      <c r="F47" s="18" t="s">
        <v>25</v>
      </c>
      <c r="G47" s="17" t="s">
        <v>84</v>
      </c>
      <c r="H47" s="17" t="s">
        <v>78</v>
      </c>
      <c r="I47" s="17">
        <f>'MERCADO TUSD'!$U$44</f>
        <v>0</v>
      </c>
      <c r="J47" s="15"/>
      <c r="L47" s="12">
        <f>1*(1 - CUSTOS!$M$29)</f>
        <v>1</v>
      </c>
      <c r="M4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0.78945604047538609</v>
      </c>
      <c r="N47" s="12">
        <f ca="1">(+M47+O47+R47+U47+V47+W47+X47+Y47+Z47+AA47+AC47+AH47+AI47+AJ47+AK47)*CUSTOS!$M$5</f>
        <v>2.4312130221891124</v>
      </c>
      <c r="O47" s="12">
        <f>1 - CUSTOS!$M$29</f>
        <v>1</v>
      </c>
      <c r="P47" s="12">
        <f>1 - CUSTOS!$M$29</f>
        <v>1</v>
      </c>
      <c r="Q47" s="12">
        <f>1*(1 - CUSTOS!$M$29)</f>
        <v>1</v>
      </c>
      <c r="R47" s="12">
        <f>1 - CUSTOS!$M$29</f>
        <v>1</v>
      </c>
      <c r="S47" s="12">
        <f>1 - CUSTOS!$M$29</f>
        <v>1</v>
      </c>
      <c r="T47" s="12"/>
      <c r="U47" s="12">
        <f>TRANSICAO!$U$47*CUSTOS!$T$3</f>
        <v>17.164000000000001</v>
      </c>
      <c r="V47" s="12">
        <f>TRANSICAO!$V$47*CUSTOS!$T$3</f>
        <v>5.9470999999999998</v>
      </c>
      <c r="W47" s="12">
        <f>TRANSICAO!$W$47*CUSTOS!$T$3</f>
        <v>0.51639999999999997</v>
      </c>
      <c r="X47" s="12">
        <f>TRANSICAO!$X$47*CUSTOS!$T$3</f>
        <v>0</v>
      </c>
      <c r="Y47" s="12">
        <f>TRANSICAO!$Y$47*CUSTOS!$T$3</f>
        <v>15.9847</v>
      </c>
      <c r="Z47" s="12">
        <f>TRANSICAO!$Z$47*CUSTOS!$T$3</f>
        <v>0</v>
      </c>
      <c r="AA47" s="12">
        <f>TRANSICAO!$AA$47*CUSTOS!$T$3</f>
        <v>0</v>
      </c>
      <c r="AB47" s="12">
        <f>TRANSICAO!$AB$47*CUSTOS!$T$3</f>
        <v>0</v>
      </c>
      <c r="AC47" s="12">
        <f>TRANSICAO!$AC$47*CUSTOS!$T$3</f>
        <v>164.21899999999999</v>
      </c>
      <c r="AD47" s="12">
        <f>TRANSICAO!$AD$47*CUSTOS!$T$3</f>
        <v>0</v>
      </c>
      <c r="AE47" s="12">
        <v>0</v>
      </c>
      <c r="AF47" s="12">
        <v>0</v>
      </c>
      <c r="AG47" s="12"/>
      <c r="AH47" s="12">
        <f>(1 - CUSTOS!$M$29)*15.7076</f>
        <v>15.707599999999999</v>
      </c>
      <c r="AI47" s="12">
        <f>(1 - CUSTOS!$M$29)*15.7076</f>
        <v>15.707599999999999</v>
      </c>
      <c r="AJ47" s="12">
        <f ca="1">$N$75*(1-CUSTOS!$M$29)</f>
        <v>2.5427230892179189</v>
      </c>
      <c r="AK47" s="12">
        <f t="shared" ca="1" si="1"/>
        <v>2.5427230892179189</v>
      </c>
      <c r="AL47" s="12"/>
      <c r="AM47" s="12"/>
      <c r="AP47" s="12">
        <f>IF((1 - CUSTOS!$M$29)&lt;&gt;0,1/(1 - CUSTOS!$M$29),1)</f>
        <v>1</v>
      </c>
    </row>
    <row r="48" spans="1:42" ht="11.25" customHeight="1" x14ac:dyDescent="0.25">
      <c r="A48" s="106"/>
      <c r="B48" s="106" t="s">
        <v>33</v>
      </c>
      <c r="C48" s="106" t="s">
        <v>44</v>
      </c>
      <c r="D48" s="106" t="s">
        <v>95</v>
      </c>
      <c r="E48" s="106" t="s">
        <v>25</v>
      </c>
      <c r="F48" s="106" t="s">
        <v>25</v>
      </c>
      <c r="G48" s="17" t="s">
        <v>79</v>
      </c>
      <c r="H48" s="17" t="s">
        <v>78</v>
      </c>
      <c r="I48" s="17">
        <f>'MERCADO TUSD'!$U$45</f>
        <v>0</v>
      </c>
      <c r="J48" s="15"/>
      <c r="L48" s="12">
        <f>1*(1 - CUSTOS!$M$30)</f>
        <v>1</v>
      </c>
      <c r="M4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0.78945604047538609</v>
      </c>
      <c r="N48" s="12">
        <f ca="1">(+M48+O48+R48+U48+V48+W48+X48+Y48+Z48+AA48+AC48+AH48+AI48+AJ48+AK48)*CUSTOS!$M$5</f>
        <v>6.9155040221891113</v>
      </c>
      <c r="O48" s="12">
        <f>1 - CUSTOS!$M$30</f>
        <v>1</v>
      </c>
      <c r="P48" s="12">
        <f>1 - CUSTOS!$M$30</f>
        <v>1</v>
      </c>
      <c r="Q48" s="12">
        <f>1*(1 - CUSTOS!$M$30)</f>
        <v>1</v>
      </c>
      <c r="R48" s="12">
        <f>1 - CUSTOS!$M$30</f>
        <v>1</v>
      </c>
      <c r="S48" s="12">
        <f>1 - CUSTOS!$M$30</f>
        <v>1</v>
      </c>
      <c r="T48" s="12"/>
      <c r="U48" s="12">
        <f>TRANSICAO!$U$48*CUSTOS!$T$3</f>
        <v>54.924999999999997</v>
      </c>
      <c r="V48" s="12">
        <f>TRANSICAO!$V$48*CUSTOS!$T$3</f>
        <v>19.030799999999999</v>
      </c>
      <c r="W48" s="12">
        <f>TRANSICAO!$W$48*CUSTOS!$T$3</f>
        <v>1.6524000000000001</v>
      </c>
      <c r="X48" s="12">
        <f>TRANSICAO!$X$48*CUSTOS!$T$3</f>
        <v>0</v>
      </c>
      <c r="Y48" s="12">
        <f>TRANSICAO!$Y$48*CUSTOS!$T$3</f>
        <v>51.151200000000003</v>
      </c>
      <c r="Z48" s="12">
        <f>TRANSICAO!$Z$48*CUSTOS!$T$3</f>
        <v>0</v>
      </c>
      <c r="AA48" s="12">
        <f>TRANSICAO!$AA$48*CUSTOS!$T$3</f>
        <v>0</v>
      </c>
      <c r="AB48" s="12">
        <f>TRANSICAO!$AB$48*CUSTOS!$T$3</f>
        <v>0</v>
      </c>
      <c r="AC48" s="12">
        <f>TRANSICAO!$AC$48*CUSTOS!$T$3</f>
        <v>525.5009</v>
      </c>
      <c r="AD48" s="12">
        <f>TRANSICAO!$AD$48*CUSTOS!$T$3</f>
        <v>0</v>
      </c>
      <c r="AE48" s="12">
        <v>0</v>
      </c>
      <c r="AF48" s="12">
        <v>0</v>
      </c>
      <c r="AG48" s="12"/>
      <c r="AH48" s="12">
        <f>(1 - CUSTOS!$M$30)*15.7076</f>
        <v>15.707599999999999</v>
      </c>
      <c r="AI48" s="12">
        <f>(1 - CUSTOS!$M$30)*15.7076</f>
        <v>15.707599999999999</v>
      </c>
      <c r="AJ48" s="12">
        <f ca="1">$N$75*(1-CUSTOS!$M$30)</f>
        <v>2.5427230892179189</v>
      </c>
      <c r="AK48" s="12">
        <f t="shared" ca="1" si="1"/>
        <v>2.5427230892179189</v>
      </c>
      <c r="AL48" s="12"/>
      <c r="AM48" s="12"/>
      <c r="AP48" s="12">
        <f>IF((1 - CUSTOS!$M$30)&lt;&gt;0,1/(1 - CUSTOS!$M$30),1)</f>
        <v>1</v>
      </c>
    </row>
    <row r="49" spans="1:42" ht="11.25" customHeight="1" x14ac:dyDescent="0.25">
      <c r="A49" s="106"/>
      <c r="B49" s="106"/>
      <c r="C49" s="106"/>
      <c r="D49" s="106"/>
      <c r="E49" s="106"/>
      <c r="F49" s="106"/>
      <c r="G49" s="17" t="s">
        <v>91</v>
      </c>
      <c r="H49" s="17" t="s">
        <v>78</v>
      </c>
      <c r="I49" s="17">
        <f>'MERCADO TUSD'!$U$46</f>
        <v>0</v>
      </c>
      <c r="J49" s="15"/>
      <c r="L49" s="12">
        <f>1*(1 - CUSTOS!$M$30)</f>
        <v>1</v>
      </c>
      <c r="M4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0.78945604047538609</v>
      </c>
      <c r="N49" s="12">
        <f ca="1">(+M49+O49+R49+U49+V49+W49+X49+Y49+Z49+AA49+AC49+AH49+AI49+AJ49+AK49)*CUSTOS!$M$5</f>
        <v>4.3064620221891134</v>
      </c>
      <c r="O49" s="12">
        <f>1 - CUSTOS!$M$30</f>
        <v>1</v>
      </c>
      <c r="P49" s="12">
        <f>1 - CUSTOS!$M$30</f>
        <v>1</v>
      </c>
      <c r="Q49" s="12">
        <f>1*(1 - CUSTOS!$M$30)</f>
        <v>1</v>
      </c>
      <c r="R49" s="12">
        <f>1 - CUSTOS!$M$30</f>
        <v>1</v>
      </c>
      <c r="S49" s="12">
        <f>1 - CUSTOS!$M$30</f>
        <v>1</v>
      </c>
      <c r="T49" s="12"/>
      <c r="U49" s="12">
        <f>TRANSICAO!$U$49*CUSTOS!$T$3</f>
        <v>32.954999999999998</v>
      </c>
      <c r="V49" s="12">
        <f>TRANSICAO!$V$49*CUSTOS!$T$3</f>
        <v>11.4185</v>
      </c>
      <c r="W49" s="12">
        <f>TRANSICAO!$W$49*CUSTOS!$T$3</f>
        <v>0.99139999999999995</v>
      </c>
      <c r="X49" s="12">
        <f>TRANSICAO!$X$49*CUSTOS!$T$3</f>
        <v>0</v>
      </c>
      <c r="Y49" s="12">
        <f>TRANSICAO!$Y$49*CUSTOS!$T$3</f>
        <v>30.6907</v>
      </c>
      <c r="Z49" s="12">
        <f>TRANSICAO!$Z$49*CUSTOS!$T$3</f>
        <v>0</v>
      </c>
      <c r="AA49" s="12">
        <f>TRANSICAO!$AA$49*CUSTOS!$T$3</f>
        <v>0</v>
      </c>
      <c r="AB49" s="12">
        <f>TRANSICAO!$AB$49*CUSTOS!$T$3</f>
        <v>0</v>
      </c>
      <c r="AC49" s="12">
        <f>TRANSICAO!$AC$49*CUSTOS!$T$3</f>
        <v>315.3005</v>
      </c>
      <c r="AD49" s="12">
        <f>TRANSICAO!$AD$49*CUSTOS!$T$3</f>
        <v>0</v>
      </c>
      <c r="AE49" s="12">
        <v>0</v>
      </c>
      <c r="AF49" s="12">
        <v>0</v>
      </c>
      <c r="AG49" s="12"/>
      <c r="AH49" s="12">
        <f>(1 - CUSTOS!$M$30)*15.7076</f>
        <v>15.707599999999999</v>
      </c>
      <c r="AI49" s="12">
        <f>(1 - CUSTOS!$M$30)*15.7076</f>
        <v>15.707599999999999</v>
      </c>
      <c r="AJ49" s="12">
        <f ca="1">$N$75*(1-CUSTOS!$M$30)</f>
        <v>2.5427230892179189</v>
      </c>
      <c r="AK49" s="12">
        <f t="shared" ca="1" si="1"/>
        <v>2.5427230892179189</v>
      </c>
      <c r="AL49" s="12"/>
      <c r="AM49" s="12"/>
      <c r="AP49" s="12">
        <f>IF((1 - CUSTOS!$M$30)&lt;&gt;0,1/(1 - CUSTOS!$M$30),1)</f>
        <v>1</v>
      </c>
    </row>
    <row r="50" spans="1:42" ht="11.25" customHeight="1" x14ac:dyDescent="0.25">
      <c r="A50" s="106"/>
      <c r="B50" s="106"/>
      <c r="C50" s="106"/>
      <c r="D50" s="106"/>
      <c r="E50" s="106"/>
      <c r="F50" s="106"/>
      <c r="G50" s="17" t="s">
        <v>80</v>
      </c>
      <c r="H50" s="17" t="s">
        <v>78</v>
      </c>
      <c r="I50" s="17">
        <f>'MERCADO TUSD'!$U$47</f>
        <v>0</v>
      </c>
      <c r="J50" s="15"/>
      <c r="L50" s="12">
        <f>1*(1 - CUSTOS!$M$30)</f>
        <v>1</v>
      </c>
      <c r="M5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0.78945604047538609</v>
      </c>
      <c r="N50" s="12">
        <f ca="1">(+M50+O50+R50+U50+V50+W50+X50+Y50+Z50+AA50+AC50+AH50+AI50+AJ50+AK50)*CUSTOS!$M$5</f>
        <v>1.6974220221891125</v>
      </c>
      <c r="O50" s="12">
        <f>1 - CUSTOS!$M$30</f>
        <v>1</v>
      </c>
      <c r="P50" s="12">
        <f>1 - CUSTOS!$M$30</f>
        <v>1</v>
      </c>
      <c r="Q50" s="12">
        <f>1*(1 - CUSTOS!$M$30)</f>
        <v>1</v>
      </c>
      <c r="R50" s="12">
        <f>1 - CUSTOS!$M$30</f>
        <v>1</v>
      </c>
      <c r="S50" s="12">
        <f>1 - CUSTOS!$M$30</f>
        <v>1</v>
      </c>
      <c r="T50" s="12"/>
      <c r="U50" s="12">
        <f>TRANSICAO!$U$50*CUSTOS!$T$3</f>
        <v>10.984999999999999</v>
      </c>
      <c r="V50" s="12">
        <f>TRANSICAO!$V$50*CUSTOS!$T$3</f>
        <v>3.8062</v>
      </c>
      <c r="W50" s="12">
        <f>TRANSICAO!$W$50*CUSTOS!$T$3</f>
        <v>0.33050000000000002</v>
      </c>
      <c r="X50" s="12">
        <f>TRANSICAO!$X$50*CUSTOS!$T$3</f>
        <v>0</v>
      </c>
      <c r="Y50" s="12">
        <f>TRANSICAO!$Y$50*CUSTOS!$T$3</f>
        <v>10.2302</v>
      </c>
      <c r="Z50" s="12">
        <f>TRANSICAO!$Z$50*CUSTOS!$T$3</f>
        <v>0</v>
      </c>
      <c r="AA50" s="12">
        <f>TRANSICAO!$AA$50*CUSTOS!$T$3</f>
        <v>0</v>
      </c>
      <c r="AB50" s="12">
        <f>TRANSICAO!$AB$50*CUSTOS!$T$3</f>
        <v>0</v>
      </c>
      <c r="AC50" s="12">
        <f>TRANSICAO!$AC$50*CUSTOS!$T$3</f>
        <v>105.1002</v>
      </c>
      <c r="AD50" s="12">
        <f>TRANSICAO!$AD$50*CUSTOS!$T$3</f>
        <v>0</v>
      </c>
      <c r="AE50" s="12">
        <v>0</v>
      </c>
      <c r="AF50" s="12">
        <v>0</v>
      </c>
      <c r="AG50" s="12"/>
      <c r="AH50" s="12">
        <f>(1 - CUSTOS!$M$30)*15.7076</f>
        <v>15.707599999999999</v>
      </c>
      <c r="AI50" s="12">
        <f>(1 - CUSTOS!$M$30)*15.7076</f>
        <v>15.707599999999999</v>
      </c>
      <c r="AJ50" s="12">
        <f ca="1">$N$75*(1-CUSTOS!$M$30)</f>
        <v>2.5427230892179189</v>
      </c>
      <c r="AK50" s="12">
        <f t="shared" ca="1" si="1"/>
        <v>2.5427230892179189</v>
      </c>
      <c r="AL50" s="12"/>
      <c r="AM50" s="12"/>
      <c r="AP50" s="12">
        <f>IF((1 - CUSTOS!$M$30)&lt;&gt;0,1/(1 - CUSTOS!$M$30),1)</f>
        <v>1</v>
      </c>
    </row>
    <row r="51" spans="1:42" ht="11.25" customHeight="1" x14ac:dyDescent="0.25">
      <c r="A51" s="106"/>
      <c r="B51" s="18" t="s">
        <v>23</v>
      </c>
      <c r="C51" s="18" t="s">
        <v>44</v>
      </c>
      <c r="D51" s="18" t="s">
        <v>95</v>
      </c>
      <c r="E51" s="18" t="s">
        <v>25</v>
      </c>
      <c r="F51" s="18" t="s">
        <v>25</v>
      </c>
      <c r="G51" s="17" t="s">
        <v>84</v>
      </c>
      <c r="H51" s="17" t="s">
        <v>78</v>
      </c>
      <c r="I51" s="17">
        <f>'MERCADO TUSD'!$U$48</f>
        <v>0</v>
      </c>
      <c r="J51" s="15"/>
      <c r="L51" s="12">
        <f>1*(1 - CUSTOS!$M$30)</f>
        <v>1</v>
      </c>
      <c r="M5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0.78945604047538609</v>
      </c>
      <c r="N51" s="12">
        <f ca="1">(+M51+O51+R51+U51+V51+W51+X51+Y51+Z51+AA51+AC51+AH51+AI51+AJ51+AK51)*CUSTOS!$M$5</f>
        <v>2.4312130221891124</v>
      </c>
      <c r="O51" s="12">
        <f>1 - CUSTOS!$M$30</f>
        <v>1</v>
      </c>
      <c r="P51" s="12">
        <f>1 - CUSTOS!$M$30</f>
        <v>1</v>
      </c>
      <c r="Q51" s="12">
        <f>1*(1 - CUSTOS!$M$30)</f>
        <v>1</v>
      </c>
      <c r="R51" s="12">
        <f>1 - CUSTOS!$M$30</f>
        <v>1</v>
      </c>
      <c r="S51" s="12">
        <f>1 - CUSTOS!$M$30</f>
        <v>1</v>
      </c>
      <c r="T51" s="12"/>
      <c r="U51" s="12">
        <f>TRANSICAO!$U$51*CUSTOS!$T$3</f>
        <v>17.164000000000001</v>
      </c>
      <c r="V51" s="12">
        <f>TRANSICAO!$V$51*CUSTOS!$T$3</f>
        <v>5.9470999999999998</v>
      </c>
      <c r="W51" s="12">
        <f>TRANSICAO!$W$51*CUSTOS!$T$3</f>
        <v>0.51639999999999997</v>
      </c>
      <c r="X51" s="12">
        <f>TRANSICAO!$X$51*CUSTOS!$T$3</f>
        <v>0</v>
      </c>
      <c r="Y51" s="12">
        <f>TRANSICAO!$Y$51*CUSTOS!$T$3</f>
        <v>15.9847</v>
      </c>
      <c r="Z51" s="12">
        <f>TRANSICAO!$Z$51*CUSTOS!$T$3</f>
        <v>0</v>
      </c>
      <c r="AA51" s="12">
        <f>TRANSICAO!$AA$51*CUSTOS!$T$3</f>
        <v>0</v>
      </c>
      <c r="AB51" s="12">
        <f>TRANSICAO!$AB$51*CUSTOS!$T$3</f>
        <v>0</v>
      </c>
      <c r="AC51" s="12">
        <f>TRANSICAO!$AC$51*CUSTOS!$T$3</f>
        <v>164.21899999999999</v>
      </c>
      <c r="AD51" s="12">
        <f>TRANSICAO!$AD$51*CUSTOS!$T$3</f>
        <v>0</v>
      </c>
      <c r="AE51" s="12">
        <v>0</v>
      </c>
      <c r="AF51" s="12">
        <v>0</v>
      </c>
      <c r="AG51" s="12"/>
      <c r="AH51" s="12">
        <f>(1 - CUSTOS!$M$30)*15.7076</f>
        <v>15.707599999999999</v>
      </c>
      <c r="AI51" s="12">
        <f>(1 - CUSTOS!$M$30)*15.7076</f>
        <v>15.707599999999999</v>
      </c>
      <c r="AJ51" s="12">
        <f ca="1">$N$75*(1-CUSTOS!$M$30)</f>
        <v>2.5427230892179189</v>
      </c>
      <c r="AK51" s="12">
        <f t="shared" ca="1" si="1"/>
        <v>2.5427230892179189</v>
      </c>
      <c r="AL51" s="12"/>
      <c r="AM51" s="12"/>
      <c r="AP51" s="12">
        <f>IF((1 - CUSTOS!$M$30)&lt;&gt;0,1/(1 - CUSTOS!$M$30),1)</f>
        <v>1</v>
      </c>
    </row>
    <row r="52" spans="1:42" ht="11.25" customHeight="1" x14ac:dyDescent="0.25">
      <c r="A52" s="106"/>
      <c r="B52" s="106" t="s">
        <v>93</v>
      </c>
      <c r="C52" s="106" t="s">
        <v>44</v>
      </c>
      <c r="D52" s="18" t="s">
        <v>25</v>
      </c>
      <c r="E52" s="18" t="s">
        <v>25</v>
      </c>
      <c r="F52" s="18" t="s">
        <v>25</v>
      </c>
      <c r="G52" s="17" t="s">
        <v>84</v>
      </c>
      <c r="H52" s="17" t="s">
        <v>78</v>
      </c>
      <c r="I52" s="17">
        <f>'MERCADO TUSD'!$U$49</f>
        <v>0</v>
      </c>
      <c r="J52" s="15"/>
      <c r="L52" s="12">
        <f>1*(1 - CUSTOS!$M$28)</f>
        <v>1</v>
      </c>
      <c r="M52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CUSTOS!$M$28)</f>
        <v>0.78945604047538609</v>
      </c>
      <c r="N52" s="12">
        <f ca="1">(+M52+O52+R52+U52+V52+W52+X52+Y52+Z52+AA52+AC52+AH52+AI52+AJ52+AK52)*CUSTOS!$M$5</f>
        <v>2.4312130221891124</v>
      </c>
      <c r="O52" s="12">
        <f>1 - CUSTOS!$M$28</f>
        <v>1</v>
      </c>
      <c r="P52" s="12">
        <f>1 - CUSTOS!$M$28</f>
        <v>1</v>
      </c>
      <c r="Q52" s="12">
        <f>1*(1 - CUSTOS!$M$28)</f>
        <v>1</v>
      </c>
      <c r="R52" s="12">
        <f>1 - CUSTOS!$M$28</f>
        <v>1</v>
      </c>
      <c r="S52" s="12">
        <f>1 - CUSTOS!$M$28</f>
        <v>1</v>
      </c>
      <c r="T52" s="12"/>
      <c r="U52" s="12">
        <f>TRANSICAO!$U$52*CUSTOS!$T$3</f>
        <v>17.164000000000001</v>
      </c>
      <c r="V52" s="12">
        <f>TRANSICAO!$V$52*CUSTOS!$T$3</f>
        <v>5.9470999999999998</v>
      </c>
      <c r="W52" s="12">
        <f>TRANSICAO!$W$52*CUSTOS!$T$3</f>
        <v>0.51639999999999997</v>
      </c>
      <c r="X52" s="12">
        <f>TRANSICAO!$X$52*CUSTOS!$T$3</f>
        <v>0</v>
      </c>
      <c r="Y52" s="12">
        <f>TRANSICAO!$Y$52*CUSTOS!$T$3</f>
        <v>15.9847</v>
      </c>
      <c r="Z52" s="12">
        <f>TRANSICAO!$Z$52*CUSTOS!$T$3</f>
        <v>0</v>
      </c>
      <c r="AA52" s="12">
        <f>TRANSICAO!$AA$52*CUSTOS!$T$3</f>
        <v>0</v>
      </c>
      <c r="AB52" s="12">
        <f>TRANSICAO!$AB$52*CUSTOS!$T$3</f>
        <v>0</v>
      </c>
      <c r="AC52" s="12">
        <f>TRANSICAO!$AC$52*CUSTOS!$T$3</f>
        <v>164.21899999999999</v>
      </c>
      <c r="AD52" s="12">
        <f>TRANSICAO!$AD$52*CUSTOS!$T$3</f>
        <v>0</v>
      </c>
      <c r="AE52" s="12">
        <v>0</v>
      </c>
      <c r="AF52" s="12">
        <v>0</v>
      </c>
      <c r="AG52" s="12"/>
      <c r="AH52" s="12">
        <f>(1 - CUSTOS!$M$28)*15.7076</f>
        <v>15.707599999999999</v>
      </c>
      <c r="AI52" s="12">
        <f>(1 - CUSTOS!$M$28)*15.7076</f>
        <v>15.707599999999999</v>
      </c>
      <c r="AJ52" s="12">
        <f ca="1">$N$75*(1-CUSTOS!$M$28)</f>
        <v>2.5427230892179189</v>
      </c>
      <c r="AK52" s="12">
        <f t="shared" ca="1" si="1"/>
        <v>2.5427230892179189</v>
      </c>
      <c r="AL52" s="12"/>
      <c r="AM52" s="12"/>
      <c r="AP52" s="12">
        <f>IF((1 - CUSTOS!$M$28)&lt;&gt;0,1/(1 - CUSTOS!$M$28),1)</f>
        <v>1</v>
      </c>
    </row>
    <row r="53" spans="1:42" ht="11.25" customHeight="1" x14ac:dyDescent="0.25">
      <c r="A53" s="106"/>
      <c r="B53" s="106"/>
      <c r="C53" s="106"/>
      <c r="D53" s="18" t="s">
        <v>94</v>
      </c>
      <c r="E53" s="18" t="s">
        <v>25</v>
      </c>
      <c r="F53" s="18" t="s">
        <v>25</v>
      </c>
      <c r="G53" s="17" t="s">
        <v>84</v>
      </c>
      <c r="H53" s="17" t="s">
        <v>78</v>
      </c>
      <c r="I53" s="17">
        <f>'MERCADO TUSD'!$U$50</f>
        <v>0</v>
      </c>
      <c r="J53" s="15"/>
      <c r="L53" s="12">
        <f>1*(1 - CUSTOS!$M$29)</f>
        <v>1</v>
      </c>
      <c r="M53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CUSTOS!$M$29)</f>
        <v>0.78945604047538609</v>
      </c>
      <c r="N53" s="12">
        <f ca="1">(+M53+O53+R53+U53+V53+W53+X53+Y53+Z53+AA53+AC53+AH53+AI53+AJ53+AK53)*CUSTOS!$M$5</f>
        <v>2.4312130221891124</v>
      </c>
      <c r="O53" s="12">
        <f>1 - CUSTOS!$M$29</f>
        <v>1</v>
      </c>
      <c r="P53" s="12">
        <f>1 - CUSTOS!$M$29</f>
        <v>1</v>
      </c>
      <c r="Q53" s="12">
        <f>1*(1 - CUSTOS!$M$29)</f>
        <v>1</v>
      </c>
      <c r="R53" s="12">
        <f>1 - CUSTOS!$M$29</f>
        <v>1</v>
      </c>
      <c r="S53" s="12">
        <f>1 - CUSTOS!$M$29</f>
        <v>1</v>
      </c>
      <c r="T53" s="12"/>
      <c r="U53" s="12">
        <f>TRANSICAO!$U$53*CUSTOS!$T$3</f>
        <v>17.164000000000001</v>
      </c>
      <c r="V53" s="12">
        <f>TRANSICAO!$V$53*CUSTOS!$T$3</f>
        <v>5.9470999999999998</v>
      </c>
      <c r="W53" s="12">
        <f>TRANSICAO!$W$53*CUSTOS!$T$3</f>
        <v>0.51639999999999997</v>
      </c>
      <c r="X53" s="12">
        <f>TRANSICAO!$X$53*CUSTOS!$T$3</f>
        <v>0</v>
      </c>
      <c r="Y53" s="12">
        <f>TRANSICAO!$Y$53*CUSTOS!$T$3</f>
        <v>15.9847</v>
      </c>
      <c r="Z53" s="12">
        <f>TRANSICAO!$Z$53*CUSTOS!$T$3</f>
        <v>0</v>
      </c>
      <c r="AA53" s="12">
        <f>TRANSICAO!$AA$53*CUSTOS!$T$3</f>
        <v>0</v>
      </c>
      <c r="AB53" s="12">
        <f>TRANSICAO!$AB$53*CUSTOS!$T$3</f>
        <v>0</v>
      </c>
      <c r="AC53" s="12">
        <f>TRANSICAO!$AC$53*CUSTOS!$T$3</f>
        <v>164.21899999999999</v>
      </c>
      <c r="AD53" s="12">
        <f>TRANSICAO!$AD$53*CUSTOS!$T$3</f>
        <v>0</v>
      </c>
      <c r="AE53" s="12">
        <v>0</v>
      </c>
      <c r="AF53" s="12">
        <v>0</v>
      </c>
      <c r="AG53" s="12"/>
      <c r="AH53" s="12">
        <f>(1 - CUSTOS!$M$29)*15.7076</f>
        <v>15.707599999999999</v>
      </c>
      <c r="AI53" s="12">
        <f>(1 - CUSTOS!$M$29)*15.7076</f>
        <v>15.707599999999999</v>
      </c>
      <c r="AJ53" s="12">
        <f ca="1">$N$75*(1-CUSTOS!$M$29)</f>
        <v>2.5427230892179189</v>
      </c>
      <c r="AK53" s="12">
        <f t="shared" ca="1" si="1"/>
        <v>2.5427230892179189</v>
      </c>
      <c r="AL53" s="12"/>
      <c r="AM53" s="12"/>
      <c r="AP53" s="12">
        <f>IF((1 - CUSTOS!$M$29)&lt;&gt;0,1/(1 - CUSTOS!$M$29),1)</f>
        <v>1</v>
      </c>
    </row>
    <row r="54" spans="1:42" ht="11.25" customHeight="1" x14ac:dyDescent="0.25">
      <c r="A54" s="106"/>
      <c r="B54" s="106"/>
      <c r="C54" s="106"/>
      <c r="D54" s="18" t="s">
        <v>95</v>
      </c>
      <c r="E54" s="18" t="s">
        <v>25</v>
      </c>
      <c r="F54" s="18" t="s">
        <v>25</v>
      </c>
      <c r="G54" s="17" t="s">
        <v>84</v>
      </c>
      <c r="H54" s="17" t="s">
        <v>78</v>
      </c>
      <c r="I54" s="17">
        <f>'MERCADO TUSD'!$U$51</f>
        <v>0</v>
      </c>
      <c r="J54" s="15"/>
      <c r="L54" s="12">
        <f>1*(1 - CUSTOS!$M$30)</f>
        <v>1</v>
      </c>
      <c r="M54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CUSTOS!$M$30)</f>
        <v>0.78945604047538609</v>
      </c>
      <c r="N54" s="12">
        <f ca="1">(+M54+O54+R54+U54+V54+W54+X54+Y54+Z54+AA54+AC54+AH54+AI54+AJ54+AK54)*CUSTOS!$M$5</f>
        <v>2.4312130221891124</v>
      </c>
      <c r="O54" s="12">
        <f>1 - CUSTOS!$M$30</f>
        <v>1</v>
      </c>
      <c r="P54" s="12">
        <f>1 - CUSTOS!$M$30</f>
        <v>1</v>
      </c>
      <c r="Q54" s="12">
        <f>1*(1 - CUSTOS!$M$30)</f>
        <v>1</v>
      </c>
      <c r="R54" s="12">
        <f>1 - CUSTOS!$M$30</f>
        <v>1</v>
      </c>
      <c r="S54" s="12">
        <f>1 - CUSTOS!$M$30</f>
        <v>1</v>
      </c>
      <c r="T54" s="12"/>
      <c r="U54" s="12">
        <f>TRANSICAO!$U$54*CUSTOS!$T$3</f>
        <v>17.164000000000001</v>
      </c>
      <c r="V54" s="12">
        <f>TRANSICAO!$V$54*CUSTOS!$T$3</f>
        <v>5.9470999999999998</v>
      </c>
      <c r="W54" s="12">
        <f>TRANSICAO!$W$54*CUSTOS!$T$3</f>
        <v>0.51639999999999997</v>
      </c>
      <c r="X54" s="12">
        <f>TRANSICAO!$X$54*CUSTOS!$T$3</f>
        <v>0</v>
      </c>
      <c r="Y54" s="12">
        <f>TRANSICAO!$Y$54*CUSTOS!$T$3</f>
        <v>15.9847</v>
      </c>
      <c r="Z54" s="12">
        <f>TRANSICAO!$Z$54*CUSTOS!$T$3</f>
        <v>0</v>
      </c>
      <c r="AA54" s="12">
        <f>TRANSICAO!$AA$54*CUSTOS!$T$3</f>
        <v>0</v>
      </c>
      <c r="AB54" s="12">
        <f>TRANSICAO!$AB$54*CUSTOS!$T$3</f>
        <v>0</v>
      </c>
      <c r="AC54" s="12">
        <f>TRANSICAO!$AC$54*CUSTOS!$T$3</f>
        <v>164.21899999999999</v>
      </c>
      <c r="AD54" s="12">
        <f>TRANSICAO!$AD$54*CUSTOS!$T$3</f>
        <v>0</v>
      </c>
      <c r="AE54" s="12">
        <v>0</v>
      </c>
      <c r="AF54" s="12">
        <v>0</v>
      </c>
      <c r="AG54" s="12"/>
      <c r="AH54" s="12">
        <f>(1 - CUSTOS!$M$30)*15.7076</f>
        <v>15.707599999999999</v>
      </c>
      <c r="AI54" s="12">
        <f>(1 - CUSTOS!$M$30)*15.7076</f>
        <v>15.707599999999999</v>
      </c>
      <c r="AJ54" s="12">
        <f ca="1">$N$75*(1-CUSTOS!$M$30)</f>
        <v>2.5427230892179189</v>
      </c>
      <c r="AK54" s="12">
        <f t="shared" ca="1" si="1"/>
        <v>2.5427230892179189</v>
      </c>
      <c r="AL54" s="12"/>
      <c r="AM54" s="12"/>
      <c r="AP54" s="12">
        <f>IF((1 - CUSTOS!$M$30)&lt;&gt;0,1/(1 - CUSTOS!$M$30),1)</f>
        <v>1</v>
      </c>
    </row>
    <row r="55" spans="1:42" ht="11.25" customHeight="1" x14ac:dyDescent="0.25">
      <c r="A55" s="106" t="s">
        <v>37</v>
      </c>
      <c r="B55" s="106" t="s">
        <v>33</v>
      </c>
      <c r="C55" s="106" t="s">
        <v>25</v>
      </c>
      <c r="D55" s="106" t="s">
        <v>25</v>
      </c>
      <c r="E55" s="106" t="s">
        <v>25</v>
      </c>
      <c r="F55" s="106" t="s">
        <v>25</v>
      </c>
      <c r="G55" s="17" t="s">
        <v>79</v>
      </c>
      <c r="H55" s="17" t="s">
        <v>78</v>
      </c>
      <c r="I55" s="17">
        <f>'MERCADO TUSD'!$U$52</f>
        <v>8.0860000000000003</v>
      </c>
      <c r="J55" s="15"/>
      <c r="L55" s="12">
        <f>1*(1 - CUSTOS!$M$31)</f>
        <v>1</v>
      </c>
      <c r="M55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0.78945604047538609</v>
      </c>
      <c r="N55" s="12">
        <f ca="1">(+M55+O55+R55+U55+V55+W55+X55+Y55+Z55+AA55+AC55+AH55+AI55+AJ55+AK55)*CUSTOS!$M$5</f>
        <v>7.0174190221891131</v>
      </c>
      <c r="O55" s="12">
        <f>1 - CUSTOS!$M$31</f>
        <v>1</v>
      </c>
      <c r="P55" s="12">
        <f>1 - CUSTOS!$M$31</f>
        <v>1</v>
      </c>
      <c r="Q55" s="12">
        <f>1*(1 - CUSTOS!$M$31)</f>
        <v>1</v>
      </c>
      <c r="R55" s="12">
        <f>1 - CUSTOS!$M$31</f>
        <v>1</v>
      </c>
      <c r="S55" s="12">
        <f>1 - CUSTOS!$M$31</f>
        <v>1</v>
      </c>
      <c r="T55" s="12"/>
      <c r="U55" s="12">
        <f>TRANSICAO!$U$55*CUSTOS!$T$3</f>
        <v>55.783200000000001</v>
      </c>
      <c r="V55" s="12">
        <f>TRANSICAO!$V$55*CUSTOS!$T$3</f>
        <v>19.328199999999999</v>
      </c>
      <c r="W55" s="12">
        <f>TRANSICAO!$W$55*CUSTOS!$T$3</f>
        <v>1.6781999999999999</v>
      </c>
      <c r="X55" s="12">
        <f>TRANSICAO!$X$55*CUSTOS!$T$3</f>
        <v>0</v>
      </c>
      <c r="Y55" s="12">
        <f>TRANSICAO!$Y$55*CUSTOS!$T$3</f>
        <v>51.950400000000002</v>
      </c>
      <c r="Z55" s="12">
        <f>TRANSICAO!$Z$55*CUSTOS!$T$3</f>
        <v>0</v>
      </c>
      <c r="AA55" s="12">
        <f>TRANSICAO!$AA$55*CUSTOS!$T$3</f>
        <v>0</v>
      </c>
      <c r="AB55" s="12">
        <f>TRANSICAO!$AB$55*CUSTOS!$T$3</f>
        <v>0</v>
      </c>
      <c r="AC55" s="12">
        <f>TRANSICAO!$AC$55*CUSTOS!$T$3</f>
        <v>533.71180000000004</v>
      </c>
      <c r="AD55" s="12">
        <f>TRANSICAO!$AD$55*CUSTOS!$T$3</f>
        <v>0</v>
      </c>
      <c r="AE55" s="12">
        <v>0</v>
      </c>
      <c r="AF55" s="12">
        <v>0</v>
      </c>
      <c r="AG55" s="12"/>
      <c r="AH55" s="12">
        <f>(1 - CUSTOS!$M$31)*15.7076</f>
        <v>15.707599999999999</v>
      </c>
      <c r="AI55" s="12">
        <f>(1 - CUSTOS!$M$31)*15.7076</f>
        <v>15.707599999999999</v>
      </c>
      <c r="AJ55" s="12">
        <f ca="1">$N$75*(1-CUSTOS!$M$31)</f>
        <v>2.5427230892179189</v>
      </c>
      <c r="AK55" s="12">
        <f t="shared" ca="1" si="1"/>
        <v>2.5427230892179189</v>
      </c>
      <c r="AL55" s="12"/>
      <c r="AM55" s="12"/>
      <c r="AP55" s="12">
        <f>IF((1 - CUSTOS!$M$31)&lt;&gt;0,1/(1 - CUSTOS!$M$31),1)</f>
        <v>1</v>
      </c>
    </row>
    <row r="56" spans="1:42" ht="11.25" customHeight="1" x14ac:dyDescent="0.25">
      <c r="A56" s="106"/>
      <c r="B56" s="106"/>
      <c r="C56" s="106"/>
      <c r="D56" s="106"/>
      <c r="E56" s="106"/>
      <c r="F56" s="106"/>
      <c r="G56" s="17" t="s">
        <v>91</v>
      </c>
      <c r="H56" s="17" t="s">
        <v>78</v>
      </c>
      <c r="I56" s="17">
        <f>'MERCADO TUSD'!$U$53</f>
        <v>8.0350000000000001</v>
      </c>
      <c r="J56" s="15"/>
      <c r="L56" s="12">
        <f>1*(1 - CUSTOS!$M$31)</f>
        <v>1</v>
      </c>
      <c r="M56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0.78945604047538609</v>
      </c>
      <c r="N56" s="12">
        <f ca="1">(+M56+O56+R56+U56+V56+W56+X56+Y56+Z56+AA56+AC56+AH56+AI56+AJ56+AK56)*CUSTOS!$M$5</f>
        <v>4.367612022189113</v>
      </c>
      <c r="O56" s="12">
        <f>1 - CUSTOS!$M$31</f>
        <v>1</v>
      </c>
      <c r="P56" s="12">
        <f>1 - CUSTOS!$M$31</f>
        <v>1</v>
      </c>
      <c r="Q56" s="12">
        <f>1*(1 - CUSTOS!$M$31)</f>
        <v>1</v>
      </c>
      <c r="R56" s="12">
        <f>1 - CUSTOS!$M$31</f>
        <v>1</v>
      </c>
      <c r="S56" s="12">
        <f>1 - CUSTOS!$M$31</f>
        <v>1</v>
      </c>
      <c r="T56" s="12"/>
      <c r="U56" s="12">
        <f>TRANSICAO!$U$56*CUSTOS!$T$3</f>
        <v>33.469900000000003</v>
      </c>
      <c r="V56" s="12">
        <f>TRANSICAO!$V$56*CUSTOS!$T$3</f>
        <v>11.5969</v>
      </c>
      <c r="W56" s="12">
        <f>TRANSICAO!$W$56*CUSTOS!$T$3</f>
        <v>1.0068999999999999</v>
      </c>
      <c r="X56" s="12">
        <f>TRANSICAO!$X$56*CUSTOS!$T$3</f>
        <v>0</v>
      </c>
      <c r="Y56" s="12">
        <f>TRANSICAO!$Y$56*CUSTOS!$T$3</f>
        <v>31.170300000000001</v>
      </c>
      <c r="Z56" s="12">
        <f>TRANSICAO!$Z$56*CUSTOS!$T$3</f>
        <v>0</v>
      </c>
      <c r="AA56" s="12">
        <f>TRANSICAO!$AA$56*CUSTOS!$T$3</f>
        <v>0</v>
      </c>
      <c r="AB56" s="12">
        <f>TRANSICAO!$AB$56*CUSTOS!$T$3</f>
        <v>0</v>
      </c>
      <c r="AC56" s="12">
        <f>TRANSICAO!$AC$56*CUSTOS!$T$3</f>
        <v>320.22710000000001</v>
      </c>
      <c r="AD56" s="12">
        <f>TRANSICAO!$AD$56*CUSTOS!$T$3</f>
        <v>0</v>
      </c>
      <c r="AE56" s="12">
        <v>0</v>
      </c>
      <c r="AF56" s="12">
        <v>0</v>
      </c>
      <c r="AG56" s="12"/>
      <c r="AH56" s="12">
        <f>(1 - CUSTOS!$M$31)*15.7076</f>
        <v>15.707599999999999</v>
      </c>
      <c r="AI56" s="12">
        <f>(1 - CUSTOS!$M$31)*15.7076</f>
        <v>15.707599999999999</v>
      </c>
      <c r="AJ56" s="12">
        <f ca="1">$N$75*(1-CUSTOS!$M$31)</f>
        <v>2.5427230892179189</v>
      </c>
      <c r="AK56" s="12">
        <f t="shared" ca="1" si="1"/>
        <v>2.5427230892179189</v>
      </c>
      <c r="AL56" s="12"/>
      <c r="AM56" s="12"/>
      <c r="AP56" s="12">
        <f>IF((1 - CUSTOS!$M$31)&lt;&gt;0,1/(1 - CUSTOS!$M$31),1)</f>
        <v>1</v>
      </c>
    </row>
    <row r="57" spans="1:42" ht="11.25" customHeight="1" x14ac:dyDescent="0.25">
      <c r="A57" s="106"/>
      <c r="B57" s="106"/>
      <c r="C57" s="106"/>
      <c r="D57" s="106"/>
      <c r="E57" s="106"/>
      <c r="F57" s="106"/>
      <c r="G57" s="17" t="s">
        <v>80</v>
      </c>
      <c r="H57" s="17" t="s">
        <v>78</v>
      </c>
      <c r="I57" s="17">
        <f>'MERCADO TUSD'!$U$54</f>
        <v>133.73599999999999</v>
      </c>
      <c r="J57" s="15"/>
      <c r="L57" s="12">
        <f>1*(1 - CUSTOS!$M$31)</f>
        <v>1</v>
      </c>
      <c r="M57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0.78945604047538609</v>
      </c>
      <c r="N57" s="12">
        <f ca="1">(+M57+O57+R57+U57+V57+W57+X57+Y57+Z57+AA57+AC57+AH57+AI57+AJ57+AK57)*CUSTOS!$M$5</f>
        <v>1.7178040221891127</v>
      </c>
      <c r="O57" s="12">
        <f>1 - CUSTOS!$M$31</f>
        <v>1</v>
      </c>
      <c r="P57" s="12">
        <f>1 - CUSTOS!$M$31</f>
        <v>1</v>
      </c>
      <c r="Q57" s="12">
        <f>1*(1 - CUSTOS!$M$31)</f>
        <v>1</v>
      </c>
      <c r="R57" s="12">
        <f>1 - CUSTOS!$M$31</f>
        <v>1</v>
      </c>
      <c r="S57" s="12">
        <f>1 - CUSTOS!$M$31</f>
        <v>1</v>
      </c>
      <c r="T57" s="12"/>
      <c r="U57" s="12">
        <f>TRANSICAO!$U$57*CUSTOS!$T$3</f>
        <v>11.156599999999999</v>
      </c>
      <c r="V57" s="12">
        <f>TRANSICAO!$V$57*CUSTOS!$T$3</f>
        <v>3.8656000000000001</v>
      </c>
      <c r="W57" s="12">
        <f>TRANSICAO!$W$57*CUSTOS!$T$3</f>
        <v>0.33560000000000001</v>
      </c>
      <c r="X57" s="12">
        <f>TRANSICAO!$X$57*CUSTOS!$T$3</f>
        <v>0</v>
      </c>
      <c r="Y57" s="12">
        <f>TRANSICAO!$Y$57*CUSTOS!$T$3</f>
        <v>10.3901</v>
      </c>
      <c r="Z57" s="12">
        <f>TRANSICAO!$Z$57*CUSTOS!$T$3</f>
        <v>0</v>
      </c>
      <c r="AA57" s="12">
        <f>TRANSICAO!$AA$57*CUSTOS!$T$3</f>
        <v>0</v>
      </c>
      <c r="AB57" s="12">
        <f>TRANSICAO!$AB$57*CUSTOS!$T$3</f>
        <v>0</v>
      </c>
      <c r="AC57" s="12">
        <f>TRANSICAO!$AC$57*CUSTOS!$T$3</f>
        <v>106.7424</v>
      </c>
      <c r="AD57" s="12">
        <f>TRANSICAO!$AD$57*CUSTOS!$T$3</f>
        <v>0</v>
      </c>
      <c r="AE57" s="12">
        <v>0</v>
      </c>
      <c r="AF57" s="12">
        <v>0</v>
      </c>
      <c r="AG57" s="12"/>
      <c r="AH57" s="12">
        <f>(1 - CUSTOS!$M$31)*15.7076</f>
        <v>15.707599999999999</v>
      </c>
      <c r="AI57" s="12">
        <f>(1 - CUSTOS!$M$31)*15.7076</f>
        <v>15.707599999999999</v>
      </c>
      <c r="AJ57" s="12">
        <f ca="1">$N$75*(1-CUSTOS!$M$31)</f>
        <v>2.5427230892179189</v>
      </c>
      <c r="AK57" s="12">
        <f t="shared" ca="1" si="1"/>
        <v>2.5427230892179189</v>
      </c>
      <c r="AL57" s="12"/>
      <c r="AM57" s="12"/>
      <c r="AP57" s="12">
        <f>IF((1 - CUSTOS!$M$31)&lt;&gt;0,1/(1 - CUSTOS!$M$31),1)</f>
        <v>1</v>
      </c>
    </row>
    <row r="58" spans="1:42" ht="11.25" customHeight="1" x14ac:dyDescent="0.25">
      <c r="A58" s="106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84</v>
      </c>
      <c r="H58" s="17" t="s">
        <v>78</v>
      </c>
      <c r="I58" s="17">
        <f>'MERCADO TUSD'!$U$55</f>
        <v>94039.850999999995</v>
      </c>
      <c r="J58" s="15"/>
      <c r="L58" s="12">
        <f>1*(1 - CUSTOS!$M$31)</f>
        <v>1</v>
      </c>
      <c r="M58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0.78945604047538609</v>
      </c>
      <c r="N58" s="12">
        <f ca="1">(+M58+O58+R58+U58+V58+W58+X58+Y58+Z58+AA58+AC58+AH58+AI58+AJ58+AK58)*CUSTOS!$M$5</f>
        <v>2.4312130221891124</v>
      </c>
      <c r="O58" s="12">
        <f>1 - CUSTOS!$M$31</f>
        <v>1</v>
      </c>
      <c r="P58" s="12">
        <f>1 - CUSTOS!$M$31</f>
        <v>1</v>
      </c>
      <c r="Q58" s="12">
        <f>1*(1 - CUSTOS!$M$31)</f>
        <v>1</v>
      </c>
      <c r="R58" s="12">
        <f>1 - CUSTOS!$M$31</f>
        <v>1</v>
      </c>
      <c r="S58" s="12">
        <f>1 - CUSTOS!$M$31</f>
        <v>1</v>
      </c>
      <c r="T58" s="12"/>
      <c r="U58" s="12">
        <f>TRANSICAO!$U$58*CUSTOS!$T$3</f>
        <v>17.164000000000001</v>
      </c>
      <c r="V58" s="12">
        <f>TRANSICAO!$V$58*CUSTOS!$T$3</f>
        <v>5.9470999999999998</v>
      </c>
      <c r="W58" s="12">
        <f>TRANSICAO!$W$58*CUSTOS!$T$3</f>
        <v>0.51639999999999997</v>
      </c>
      <c r="X58" s="12">
        <f>TRANSICAO!$X$58*CUSTOS!$T$3</f>
        <v>0</v>
      </c>
      <c r="Y58" s="12">
        <f>TRANSICAO!$Y$58*CUSTOS!$T$3</f>
        <v>15.9847</v>
      </c>
      <c r="Z58" s="12">
        <f>TRANSICAO!$Z$58*CUSTOS!$T$3</f>
        <v>0</v>
      </c>
      <c r="AA58" s="12">
        <f>TRANSICAO!$AA$58*CUSTOS!$T$3</f>
        <v>0</v>
      </c>
      <c r="AB58" s="12">
        <f>TRANSICAO!$AB$58*CUSTOS!$T$3</f>
        <v>0</v>
      </c>
      <c r="AC58" s="12">
        <f>TRANSICAO!$AC$58*CUSTOS!$T$3</f>
        <v>164.21899999999999</v>
      </c>
      <c r="AD58" s="12">
        <f>TRANSICAO!$AD$58*CUSTOS!$T$3</f>
        <v>0</v>
      </c>
      <c r="AE58" s="12">
        <v>0</v>
      </c>
      <c r="AF58" s="12">
        <v>0</v>
      </c>
      <c r="AG58" s="12"/>
      <c r="AH58" s="12">
        <f>(1 - CUSTOS!$M$31)*15.7076</f>
        <v>15.707599999999999</v>
      </c>
      <c r="AI58" s="12">
        <f>(1 - CUSTOS!$M$31)*15.7076</f>
        <v>15.707599999999999</v>
      </c>
      <c r="AJ58" s="12">
        <f ca="1">$N$75*(1-CUSTOS!$M$31)</f>
        <v>2.5427230892179189</v>
      </c>
      <c r="AK58" s="12">
        <f t="shared" ca="1" si="1"/>
        <v>2.5427230892179189</v>
      </c>
      <c r="AL58" s="12"/>
      <c r="AM58" s="12"/>
      <c r="AP58" s="12">
        <f>IF((1 - CUSTOS!$M$31)&lt;&gt;0,1/(1 - CUSTOS!$M$31),1)</f>
        <v>1</v>
      </c>
    </row>
    <row r="59" spans="1:42" ht="11.25" customHeight="1" x14ac:dyDescent="0.25">
      <c r="A59" s="106"/>
      <c r="B59" s="18" t="s">
        <v>93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84</v>
      </c>
      <c r="H59" s="17" t="s">
        <v>78</v>
      </c>
      <c r="I59" s="17">
        <f>'MERCADO TUSD'!$U$56</f>
        <v>0</v>
      </c>
      <c r="J59" s="15"/>
      <c r="L59" s="12">
        <f>1*(1 - CUSTOS!$M$31)</f>
        <v>1</v>
      </c>
      <c r="M59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CUSTOS!$M$31)</f>
        <v>0.78945604047538609</v>
      </c>
      <c r="N59" s="12">
        <f ca="1">(+M59+O59+R59+U59+V59+W59+X59+Y59+Z59+AA59+AC59+AH59+AI59+AJ59+AK59)*CUSTOS!$M$5</f>
        <v>2.4312130221891124</v>
      </c>
      <c r="O59" s="12">
        <f>1 - CUSTOS!$M$31</f>
        <v>1</v>
      </c>
      <c r="P59" s="12">
        <f>1 - CUSTOS!$M$31</f>
        <v>1</v>
      </c>
      <c r="Q59" s="12">
        <f>1*(1 - CUSTOS!$M$31)</f>
        <v>1</v>
      </c>
      <c r="R59" s="12">
        <f>1 - CUSTOS!$M$31</f>
        <v>1</v>
      </c>
      <c r="S59" s="12">
        <f>1 - CUSTOS!$M$31</f>
        <v>1</v>
      </c>
      <c r="T59" s="12"/>
      <c r="U59" s="12">
        <f>TRANSICAO!$U$59*CUSTOS!$T$3</f>
        <v>17.164000000000001</v>
      </c>
      <c r="V59" s="12">
        <f>TRANSICAO!$V$59*CUSTOS!$T$3</f>
        <v>5.9470999999999998</v>
      </c>
      <c r="W59" s="12">
        <f>TRANSICAO!$W$59*CUSTOS!$T$3</f>
        <v>0.51639999999999997</v>
      </c>
      <c r="X59" s="12">
        <f>TRANSICAO!$X$59*CUSTOS!$T$3</f>
        <v>0</v>
      </c>
      <c r="Y59" s="12">
        <f>TRANSICAO!$Y$59*CUSTOS!$T$3</f>
        <v>15.9847</v>
      </c>
      <c r="Z59" s="12">
        <f>TRANSICAO!$Z$59*CUSTOS!$T$3</f>
        <v>0</v>
      </c>
      <c r="AA59" s="12">
        <f>TRANSICAO!$AA$59*CUSTOS!$T$3</f>
        <v>0</v>
      </c>
      <c r="AB59" s="12">
        <f>TRANSICAO!$AB$59*CUSTOS!$T$3</f>
        <v>0</v>
      </c>
      <c r="AC59" s="12">
        <f>TRANSICAO!$AC$59*CUSTOS!$T$3</f>
        <v>164.21899999999999</v>
      </c>
      <c r="AD59" s="12">
        <f>TRANSICAO!$AD$59*CUSTOS!$T$3</f>
        <v>0</v>
      </c>
      <c r="AE59" s="12">
        <v>0</v>
      </c>
      <c r="AF59" s="12">
        <v>0</v>
      </c>
      <c r="AG59" s="12"/>
      <c r="AH59" s="12">
        <f>(1 - CUSTOS!$M$31)*15.7076</f>
        <v>15.707599999999999</v>
      </c>
      <c r="AI59" s="12">
        <f>(1 - CUSTOS!$M$31)*15.7076</f>
        <v>15.707599999999999</v>
      </c>
      <c r="AJ59" s="12">
        <f ca="1">$N$75*(1-CUSTOS!$M$31)</f>
        <v>2.5427230892179189</v>
      </c>
      <c r="AK59" s="12">
        <f t="shared" ca="1" si="1"/>
        <v>2.5427230892179189</v>
      </c>
      <c r="AL59" s="12"/>
      <c r="AM59" s="12"/>
      <c r="AP59" s="12">
        <f>IF((1 - CUSTOS!$M$31)&lt;&gt;0,1/(1 - CUSTOS!$M$31),1)</f>
        <v>1</v>
      </c>
    </row>
    <row r="60" spans="1:42" ht="11.25" customHeight="1" x14ac:dyDescent="0.25">
      <c r="A60" s="106" t="s">
        <v>46</v>
      </c>
      <c r="B60" s="106" t="s">
        <v>23</v>
      </c>
      <c r="C60" s="106" t="s">
        <v>47</v>
      </c>
      <c r="D60" s="18" t="s">
        <v>48</v>
      </c>
      <c r="E60" s="18" t="s">
        <v>25</v>
      </c>
      <c r="F60" s="18" t="s">
        <v>25</v>
      </c>
      <c r="G60" s="17" t="s">
        <v>84</v>
      </c>
      <c r="H60" s="17" t="s">
        <v>78</v>
      </c>
      <c r="I60" s="17">
        <f>'MERCADO TUSD'!$U$57</f>
        <v>35555.334999999999</v>
      </c>
      <c r="J60" s="15"/>
      <c r="L60" s="12">
        <f>1*(1 - CUSTOS!$M$32)</f>
        <v>0.55000000000000004</v>
      </c>
      <c r="M60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CUSTOS!$M$32)</f>
        <v>0.43420082226146239</v>
      </c>
      <c r="N60" s="12">
        <f ca="1">(+M60+O60+R60+U60+V60+W60+X60+Y60+Z60+AA60+AC60+AH60+AI60+AJ60+AK60)*CUSTOS!$M$5</f>
        <v>1.3371671622040118</v>
      </c>
      <c r="O60" s="12">
        <f>1 - CUSTOS!$M$32</f>
        <v>0.55000000000000004</v>
      </c>
      <c r="P60" s="12">
        <f>1 - CUSTOS!$M$32</f>
        <v>0.55000000000000004</v>
      </c>
      <c r="Q60" s="12">
        <f>1*(1 - CUSTOS!$M$32)</f>
        <v>0.55000000000000004</v>
      </c>
      <c r="R60" s="12">
        <f>1 - CUSTOS!$M$32</f>
        <v>0.55000000000000004</v>
      </c>
      <c r="S60" s="12">
        <f>1 - CUSTOS!$M$32</f>
        <v>0.55000000000000004</v>
      </c>
      <c r="T60" s="12"/>
      <c r="U60" s="12">
        <f>TRANSICAO!$U$60*CUSTOS!$T$3</f>
        <v>9.4402000000000008</v>
      </c>
      <c r="V60" s="12">
        <f>TRANSICAO!$V$60*CUSTOS!$T$3</f>
        <v>3.270905</v>
      </c>
      <c r="W60" s="12">
        <f>TRANSICAO!$W$60*CUSTOS!$T$3</f>
        <v>0.28401999999999999</v>
      </c>
      <c r="X60" s="12">
        <f>TRANSICAO!$X$60*CUSTOS!$T$3</f>
        <v>0</v>
      </c>
      <c r="Y60" s="12">
        <f>TRANSICAO!$Y$60*CUSTOS!$T$3</f>
        <v>8.7915850000000013</v>
      </c>
      <c r="Z60" s="12">
        <f>TRANSICAO!$Z$60*CUSTOS!$T$3</f>
        <v>0</v>
      </c>
      <c r="AA60" s="12">
        <f>TRANSICAO!$AA$60*CUSTOS!$T$3</f>
        <v>0</v>
      </c>
      <c r="AB60" s="12">
        <f>TRANSICAO!$AB$60*CUSTOS!$T$3</f>
        <v>0</v>
      </c>
      <c r="AC60" s="12">
        <f>TRANSICAO!$AC$60*CUSTOS!$T$3</f>
        <v>90.320450000000008</v>
      </c>
      <c r="AD60" s="12">
        <f>TRANSICAO!$AD$60*CUSTOS!$T$3</f>
        <v>0</v>
      </c>
      <c r="AE60" s="12">
        <v>0</v>
      </c>
      <c r="AF60" s="12">
        <v>0</v>
      </c>
      <c r="AG60" s="12"/>
      <c r="AH60" s="12">
        <f>(1 - CUSTOS!$M$32)*15.7076</f>
        <v>8.6391799999999996</v>
      </c>
      <c r="AI60" s="12">
        <f>(1 - CUSTOS!$M$32)*15.7076</f>
        <v>8.6391799999999996</v>
      </c>
      <c r="AJ60" s="12">
        <f ca="1">$N$75*(1-CUSTOS!$M$32)</f>
        <v>1.3984976990698554</v>
      </c>
      <c r="AK60" s="12">
        <f t="shared" ca="1" si="1"/>
        <v>1.3984976990698554</v>
      </c>
      <c r="AL60" s="12"/>
      <c r="AM60" s="12"/>
      <c r="AP60" s="12">
        <f>IF((1 - CUSTOS!$M$32)&lt;&gt;0,1/(1 - CUSTOS!$M$32),1)</f>
        <v>1.8181818181818181</v>
      </c>
    </row>
    <row r="61" spans="1:42" ht="11.25" customHeight="1" x14ac:dyDescent="0.25">
      <c r="A61" s="106"/>
      <c r="B61" s="106"/>
      <c r="C61" s="106"/>
      <c r="D61" s="17" t="s">
        <v>96</v>
      </c>
      <c r="E61" s="17" t="s">
        <v>25</v>
      </c>
      <c r="F61" s="17" t="s">
        <v>25</v>
      </c>
      <c r="G61" s="17" t="s">
        <v>84</v>
      </c>
      <c r="H61" s="17" t="s">
        <v>78</v>
      </c>
      <c r="I61" s="17">
        <f>'MERCADO TUSD'!$U$58</f>
        <v>0</v>
      </c>
      <c r="J61" s="15"/>
      <c r="L61" s="12">
        <f>1*(1 - CUSTOS!$M$33)</f>
        <v>0.6</v>
      </c>
      <c r="M61" s="12">
        <f>IF(AND((+$I$27+$I$28+$I$29+$I$30+$I$31+$I$32+$I$33+$I$34+$I$35+$I$36+$I$37+$I$38+$I$39+$I$40+$I$41+$I$42+$I$43+$I$44+$I$45+$I$46+$I$47+$I$48+$I$49+$I$50+$I$51+$I$52+$I$53+$I$54+$I$55+$I$56+$I$57+$I$58+$I$59+$I$60+$I$61)&lt;&gt;0,SUMPRODUCT($I$5:$I$61,$AC$5:$AC$61,$AP$5:$AP$61)&lt;&gt;0),$M$66*SUMPRODUCT($I$27:$I$61,$AC$27:$AC$61,$AP$27:$AP$61)/SUMPRODUCT($I$5:$I$61,$AC$5:$AC$61,$AP$5:$AP$61)/(+$I$27+$I$28+$I$29+$I$30+$I$31+$I$32+$I$33+$I$34+$I$35+$I$36+$I$37+$I$38+$I$39+$I$40+$I$41+$I$42+$I$43+$I$44+$I$45+$I$46+$I$47+$I$48+$I$49+$I$50+$I$51+$I$52+$I$53+$I$54+$I$55+$I$56+$I$57+$I$58+$I$59+$I$60+$I$61),0)*(1 - CUSTOS!$M$33)</f>
        <v>0.47367362428523163</v>
      </c>
      <c r="N61" s="12">
        <f ca="1">(+M61+O61+R61+U61+V61+W61+X61+Y61+Z61+AA61+AC61+AH61+AI61+AJ61+AK61)*CUSTOS!$M$5</f>
        <v>1.4587278133134676</v>
      </c>
      <c r="O61" s="12">
        <f>1 - CUSTOS!$M$33</f>
        <v>0.6</v>
      </c>
      <c r="P61" s="12">
        <f>1 - CUSTOS!$M$33</f>
        <v>0.6</v>
      </c>
      <c r="Q61" s="12">
        <f>1*(1 - CUSTOS!$M$33)</f>
        <v>0.6</v>
      </c>
      <c r="R61" s="12">
        <f>1 - CUSTOS!$M$33</f>
        <v>0.6</v>
      </c>
      <c r="S61" s="12">
        <f>1 - CUSTOS!$M$33</f>
        <v>0.6</v>
      </c>
      <c r="T61" s="12"/>
      <c r="U61" s="12">
        <f>TRANSICAO!$U$61*CUSTOS!$T$3</f>
        <v>10.298400000000001</v>
      </c>
      <c r="V61" s="12">
        <f>TRANSICAO!$V$61*CUSTOS!$T$3</f>
        <v>3.56826</v>
      </c>
      <c r="W61" s="12">
        <f>TRANSICAO!$W$61*CUSTOS!$T$3</f>
        <v>0.30983999999999995</v>
      </c>
      <c r="X61" s="12">
        <f>TRANSICAO!$X$61*CUSTOS!$T$3</f>
        <v>0</v>
      </c>
      <c r="Y61" s="12">
        <f>TRANSICAO!$Y$61*CUSTOS!$T$3</f>
        <v>9.590819999999999</v>
      </c>
      <c r="Z61" s="12">
        <f>TRANSICAO!$Z$61*CUSTOS!$T$3</f>
        <v>0</v>
      </c>
      <c r="AA61" s="12">
        <f>TRANSICAO!$AA$61*CUSTOS!$T$3</f>
        <v>0</v>
      </c>
      <c r="AB61" s="12">
        <f>TRANSICAO!$AB$61*CUSTOS!$T$3</f>
        <v>0</v>
      </c>
      <c r="AC61" s="12">
        <f>TRANSICAO!$AC$61*CUSTOS!$T$3</f>
        <v>98.531399999999991</v>
      </c>
      <c r="AD61" s="12">
        <f>TRANSICAO!$AD$61*CUSTOS!$T$3</f>
        <v>0</v>
      </c>
      <c r="AE61" s="12">
        <v>0</v>
      </c>
      <c r="AF61" s="12">
        <v>0</v>
      </c>
      <c r="AG61" s="12"/>
      <c r="AH61" s="12">
        <f>(1 - CUSTOS!$M$33)*15.7076</f>
        <v>9.4245599999999996</v>
      </c>
      <c r="AI61" s="12">
        <f>(1 - CUSTOS!$M$33)*15.7076</f>
        <v>9.4245599999999996</v>
      </c>
      <c r="AJ61" s="12">
        <f ca="1">$N$75*(1-CUSTOS!$M$33)</f>
        <v>1.5256338535307512</v>
      </c>
      <c r="AK61" s="12">
        <f t="shared" ca="1" si="1"/>
        <v>1.5256338535307512</v>
      </c>
      <c r="AL61" s="12"/>
      <c r="AM61" s="12"/>
      <c r="AP61" s="12">
        <f>IF((1 - CUSTOS!$M$33)&lt;&gt;0,1/(1 - CUSTOS!$M$33),1)</f>
        <v>1.6666666666666667</v>
      </c>
    </row>
    <row r="63" spans="1:42" ht="11.25" customHeight="1" x14ac:dyDescent="0.25">
      <c r="K63" s="16" t="s">
        <v>819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 spans="1:42" ht="11.25" customHeight="1" x14ac:dyDescent="0.25">
      <c r="K64" s="16" t="s">
        <v>820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 spans="11:39" ht="11.25" customHeight="1" x14ac:dyDescent="0.25">
      <c r="K65" s="16" t="s">
        <v>821</v>
      </c>
      <c r="L65" s="12">
        <f>IF(ISERROR(+SUMPRODUCT($L$5:$L$8,$I$5:$I$8)+SUMPRODUCT($L$9:$L$11,$I$9:$I$11)+SUMPRODUCT($L$12:$L$15,$I$12:$I$15)+SUMPRODUCT($L$16:$L$18,$I$16:$I$18)+SUMPRODUCT($L$19:$L$19,$I$19:$I$19)+SUMPRODUCT($L$20:$L$24,$I$20:$I$24)+SUMPRODUCT($L$25:$L$26,$I$25:$I$26)+SUMPRODUCT($L$27:$L$29,$I$27:$I$29)+SUMPRODUCT($L$30:$L$34,$I$30:$I$34)+SUMPRODUCT($L$35:$L$39,$I$35:$I$39)+SUMPRODUCT($L$40:$L$42,$I$40:$I$42)+SUMPRODUCT($L$43:$L$43,$I$43:$I$43)+SUMPRODUCT($L$44:$L$46,$I$44:$I$46)+SUMPRODUCT($L$47:$L$47,$I$47:$I$47)+SUMPRODUCT($L$48:$L$50,$I$48:$I$50)+SUMPRODUCT($L$51:$L$51,$I$51:$I$51)+SUMPRODUCT($L$52:$L$54,$I$52:$I$54)+SUMPRODUCT($L$55:$L$57,$I$55:$I$57)+SUMPRODUCT($L$58:$L$58,$I$58:$I$58)+SUMPRODUCT($L$59:$L$59,$I$59:$I$59)+SUMPRODUCT($L$60:$L$61,$I$60:$I$61)),0,+SUMPRODUCT($L$5:$L$8,$I$5:$I$8)+SUMPRODUCT($L$9:$L$11,$I$9:$I$11)+SUMPRODUCT($L$12:$L$15,$I$12:$I$15)+SUMPRODUCT($L$16:$L$18,$I$16:$I$18)+SUMPRODUCT($L$19:$L$19,$I$19:$I$19)+SUMPRODUCT($L$20:$L$24,$I$20:$I$24)+SUMPRODUCT($L$25:$L$26,$I$25:$I$26)+SUMPRODUCT($L$27:$L$29,$I$27:$I$29)+SUMPRODUCT($L$30:$L$34,$I$30:$I$34)+SUMPRODUCT($L$35:$L$39,$I$35:$I$39)+SUMPRODUCT($L$40:$L$42,$I$40:$I$42)+SUMPRODUCT($L$43:$L$43,$I$43:$I$43)+SUMPRODUCT($L$44:$L$46,$I$44:$I$46)+SUMPRODUCT($L$47:$L$47,$I$47:$I$47)+SUMPRODUCT($L$48:$L$50,$I$48:$I$50)+SUMPRODUCT($L$51:$L$51,$I$51:$I$51)+SUMPRODUCT($L$52:$L$54,$I$52:$I$54)+SUMPRODUCT($L$55:$L$57,$I$55:$I$57)+SUMPRODUCT($L$58:$L$58,$I$58:$I$58)+SUMPRODUCT($L$59:$L$59,$I$59:$I$59)+SUMPRODUCT($L$60:$L$61,$I$60:$I$61))</f>
        <v>565247.23231000011</v>
      </c>
      <c r="M65" s="12">
        <f>IF(ISERROR(+SUMPRODUCT($M$5:$M$8,$I$5:$I$8)+SUMPRODUCT($M$9:$M$11,$I$9:$I$11)+SUMPRODUCT($M$12:$M$15,$I$12:$I$15)+SUMPRODUCT($M$16:$M$18,$I$16:$I$18)+SUMPRODUCT($M$19:$M$19,$I$19:$I$19)+SUMPRODUCT($M$20:$M$24,$I$20:$I$24)+SUMPRODUCT($M$25:$M$26,$I$25:$I$26)+SUMPRODUCT($M$27:$M$29,$I$27:$I$29)+SUMPRODUCT($M$30:$M$34,$I$30:$I$34)+SUMPRODUCT($M$35:$M$39,$I$35:$I$39)+SUMPRODUCT($M$40:$M$42,$I$40:$I$42)+SUMPRODUCT($M$43:$M$43,$I$43:$I$43)+SUMPRODUCT($M$44:$M$46,$I$44:$I$46)+SUMPRODUCT($M$47:$M$47,$I$47:$I$47)+SUMPRODUCT($M$48:$M$50,$I$48:$I$50)+SUMPRODUCT($M$51:$M$51,$I$51:$I$51)+SUMPRODUCT($M$52:$M$54,$I$52:$I$54)+SUMPRODUCT($M$55:$M$57,$I$55:$I$57)+SUMPRODUCT($M$58:$M$58,$I$58:$I$58)+SUMPRODUCT($M$59:$M$59,$I$59:$I$59)+SUMPRODUCT($M$60:$M$61,$I$60:$I$61)),0,+SUMPRODUCT($M$5:$M$8,$I$5:$I$8)+SUMPRODUCT($M$9:$M$11,$I$9:$I$11)+SUMPRODUCT($M$12:$M$15,$I$12:$I$15)+SUMPRODUCT($M$16:$M$18,$I$16:$I$18)+SUMPRODUCT($M$19:$M$19,$I$19:$I$19)+SUMPRODUCT($M$20:$M$24,$I$20:$I$24)+SUMPRODUCT($M$25:$M$26,$I$25:$I$26)+SUMPRODUCT($M$27:$M$29,$I$27:$I$29)+SUMPRODUCT($M$30:$M$34,$I$30:$I$34)+SUMPRODUCT($M$35:$M$39,$I$35:$I$39)+SUMPRODUCT($M$40:$M$42,$I$40:$I$42)+SUMPRODUCT($M$43:$M$43,$I$43:$I$43)+SUMPRODUCT($M$44:$M$46,$I$44:$I$46)+SUMPRODUCT($M$47:$M$47,$I$47:$I$47)+SUMPRODUCT($M$48:$M$50,$I$48:$I$50)+SUMPRODUCT($M$51:$M$51,$I$51:$I$51)+SUMPRODUCT($M$52:$M$54,$I$52:$I$54)+SUMPRODUCT($M$55:$M$57,$I$55:$I$57)+SUMPRODUCT($M$58:$M$58,$I$58:$I$58)+SUMPRODUCT($M$59:$M$59,$I$59:$I$59)+SUMPRODUCT($M$60:$M$61,$I$60:$I$61))</f>
        <v>417487.67957316613</v>
      </c>
      <c r="N65" s="12">
        <f ca="1">IF(ISERROR(+SUMPRODUCT($N$5:$N$8,$I$5:$I$8)+SUMPRODUCT($N$9:$N$11,$I$9:$I$11)+SUMPRODUCT($N$12:$N$15,$I$12:$I$15)+SUMPRODUCT($N$16:$N$18,$I$16:$I$18)+SUMPRODUCT($N$19:$N$19,$I$19:$I$19)+SUMPRODUCT($N$20:$N$24,$I$20:$I$24)+SUMPRODUCT($N$25:$N$26,$I$25:$I$26)+SUMPRODUCT($N$27:$N$29,$I$27:$I$29)+SUMPRODUCT($N$30:$N$34,$I$30:$I$34)+SUMPRODUCT($N$35:$N$39,$I$35:$I$39)+SUMPRODUCT($N$40:$N$42,$I$40:$I$42)+SUMPRODUCT($N$43:$N$43,$I$43:$I$43)+SUMPRODUCT($N$44:$N$46,$I$44:$I$46)+SUMPRODUCT($N$47:$N$47,$I$47:$I$47)+SUMPRODUCT($N$48:$N$50,$I$48:$I$50)+SUMPRODUCT($N$51:$N$51,$I$51:$I$51)+SUMPRODUCT($N$52:$N$54,$I$52:$I$54)+SUMPRODUCT($N$55:$N$57,$I$55:$I$57)+SUMPRODUCT($N$58:$N$58,$I$58:$I$58)+SUMPRODUCT($N$59:$N$59,$I$59:$I$59)+SUMPRODUCT($N$60:$N$61,$I$60:$I$61)),0,+SUMPRODUCT($N$5:$N$8,$I$5:$I$8)+SUMPRODUCT($N$9:$N$11,$I$9:$I$11)+SUMPRODUCT($N$12:$N$15,$I$12:$I$15)+SUMPRODUCT($N$16:$N$18,$I$16:$I$18)+SUMPRODUCT($N$19:$N$19,$I$19:$I$19)+SUMPRODUCT($N$20:$N$24,$I$20:$I$24)+SUMPRODUCT($N$25:$N$26,$I$25:$I$26)+SUMPRODUCT($N$27:$N$29,$I$27:$I$29)+SUMPRODUCT($N$30:$N$34,$I$30:$I$34)+SUMPRODUCT($N$35:$N$39,$I$35:$I$39)+SUMPRODUCT($N$40:$N$42,$I$40:$I$42)+SUMPRODUCT($N$43:$N$43,$I$43:$I$43)+SUMPRODUCT($N$44:$N$46,$I$44:$I$46)+SUMPRODUCT($N$47:$N$47,$I$47:$I$47)+SUMPRODUCT($N$48:$N$50,$I$48:$I$50)+SUMPRODUCT($N$51:$N$51,$I$51:$I$51)+SUMPRODUCT($N$52:$N$54,$I$52:$I$54)+SUMPRODUCT($N$55:$N$57,$I$55:$I$57)+SUMPRODUCT($N$58:$N$58,$I$58:$I$58)+SUMPRODUCT($N$59:$N$59,$I$59:$I$59)+SUMPRODUCT($N$60:$N$61,$I$60:$I$61))</f>
        <v>1153935.2039253702</v>
      </c>
      <c r="O65" s="12">
        <f>IF(ISERROR(+SUMPRODUCT($O$5:$O$8,$I$5:$I$8)+SUMPRODUCT($O$9:$O$11,$I$9:$I$11)+SUMPRODUCT($O$12:$O$15,$I$12:$I$15)+SUMPRODUCT($O$16:$O$18,$I$16:$I$18)+SUMPRODUCT($O$19:$O$19,$I$19:$I$19)+SUMPRODUCT($O$20:$O$24,$I$20:$I$24)+SUMPRODUCT($O$25:$O$26,$I$25:$I$26)+SUMPRODUCT($O$27:$O$29,$I$27:$I$29)+SUMPRODUCT($O$30:$O$34,$I$30:$I$34)+SUMPRODUCT($O$35:$O$39,$I$35:$I$39)+SUMPRODUCT($O$40:$O$42,$I$40:$I$42)+SUMPRODUCT($O$43:$O$43,$I$43:$I$43)+SUMPRODUCT($O$44:$O$46,$I$44:$I$46)+SUMPRODUCT($O$47:$O$47,$I$47:$I$47)+SUMPRODUCT($O$48:$O$50,$I$48:$I$50)+SUMPRODUCT($O$51:$O$51,$I$51:$I$51)+SUMPRODUCT($O$52:$O$54,$I$52:$I$54)+SUMPRODUCT($O$55:$O$57,$I$55:$I$57)+SUMPRODUCT($O$58:$O$58,$I$58:$I$58)+SUMPRODUCT($O$59:$O$59,$I$59:$I$59)+SUMPRODUCT($O$60:$O$61,$I$60:$I$61)),0,+SUMPRODUCT($O$5:$O$8,$I$5:$I$8)+SUMPRODUCT($O$9:$O$11,$I$9:$I$11)+SUMPRODUCT($O$12:$O$15,$I$12:$I$15)+SUMPRODUCT($O$16:$O$18,$I$16:$I$18)+SUMPRODUCT($O$19:$O$19,$I$19:$I$19)+SUMPRODUCT($O$20:$O$24,$I$20:$I$24)+SUMPRODUCT($O$25:$O$26,$I$25:$I$26)+SUMPRODUCT($O$27:$O$29,$I$27:$I$29)+SUMPRODUCT($O$30:$O$34,$I$30:$I$34)+SUMPRODUCT($O$35:$O$39,$I$35:$I$39)+SUMPRODUCT($O$40:$O$42,$I$40:$I$42)+SUMPRODUCT($O$43:$O$43,$I$43:$I$43)+SUMPRODUCT($O$44:$O$46,$I$44:$I$46)+SUMPRODUCT($O$47:$O$47,$I$47:$I$47)+SUMPRODUCT($O$48:$O$50,$I$48:$I$50)+SUMPRODUCT($O$51:$O$51,$I$51:$I$51)+SUMPRODUCT($O$52:$O$54,$I$52:$I$54)+SUMPRODUCT($O$55:$O$57,$I$55:$I$57)+SUMPRODUCT($O$58:$O$58,$I$58:$I$58)+SUMPRODUCT($O$59:$O$59,$I$59:$I$59)+SUMPRODUCT($O$60:$O$61,$I$60:$I$61))</f>
        <v>692874.33625000005</v>
      </c>
      <c r="P65" s="12">
        <f>IF(ISERROR(+SUMPRODUCT($P$5:$P$8,$I$5:$I$8)+SUMPRODUCT($P$9:$P$11,$I$9:$I$11)+SUMPRODUCT($P$12:$P$15,$I$12:$I$15)+SUMPRODUCT($P$16:$P$18,$I$16:$I$18)+SUMPRODUCT($P$19:$P$19,$I$19:$I$19)+SUMPRODUCT($P$20:$P$24,$I$20:$I$24)+SUMPRODUCT($P$25:$P$26,$I$25:$I$26)+SUMPRODUCT($P$27:$P$29,$I$27:$I$29)+SUMPRODUCT($P$30:$P$34,$I$30:$I$34)+SUMPRODUCT($P$35:$P$39,$I$35:$I$39)+SUMPRODUCT($P$40:$P$42,$I$40:$I$42)+SUMPRODUCT($P$43:$P$43,$I$43:$I$43)+SUMPRODUCT($P$44:$P$46,$I$44:$I$46)+SUMPRODUCT($P$47:$P$47,$I$47:$I$47)+SUMPRODUCT($P$48:$P$50,$I$48:$I$50)+SUMPRODUCT($P$51:$P$51,$I$51:$I$51)+SUMPRODUCT($P$52:$P$54,$I$52:$I$54)+SUMPRODUCT($P$55:$P$57,$I$55:$I$57)+SUMPRODUCT($P$58:$P$58,$I$58:$I$58)+SUMPRODUCT($P$59:$P$59,$I$59:$I$59)+SUMPRODUCT($P$60:$P$61,$I$60:$I$61)),0,+SUMPRODUCT($P$5:$P$8,$I$5:$I$8)+SUMPRODUCT($P$9:$P$11,$I$9:$I$11)+SUMPRODUCT($P$12:$P$15,$I$12:$I$15)+SUMPRODUCT($P$16:$P$18,$I$16:$I$18)+SUMPRODUCT($P$19:$P$19,$I$19:$I$19)+SUMPRODUCT($P$20:$P$24,$I$20:$I$24)+SUMPRODUCT($P$25:$P$26,$I$25:$I$26)+SUMPRODUCT($P$27:$P$29,$I$27:$I$29)+SUMPRODUCT($P$30:$P$34,$I$30:$I$34)+SUMPRODUCT($P$35:$P$39,$I$35:$I$39)+SUMPRODUCT($P$40:$P$42,$I$40:$I$42)+SUMPRODUCT($P$43:$P$43,$I$43:$I$43)+SUMPRODUCT($P$44:$P$46,$I$44:$I$46)+SUMPRODUCT($P$47:$P$47,$I$47:$I$47)+SUMPRODUCT($P$48:$P$50,$I$48:$I$50)+SUMPRODUCT($P$51:$P$51,$I$51:$I$51)+SUMPRODUCT($P$52:$P$54,$I$52:$I$54)+SUMPRODUCT($P$55:$P$57,$I$55:$I$57)+SUMPRODUCT($P$58:$P$58,$I$58:$I$58)+SUMPRODUCT($P$59:$P$59,$I$59:$I$59)+SUMPRODUCT($P$60:$P$61,$I$60:$I$61))</f>
        <v>623621.37625000009</v>
      </c>
      <c r="Q65" s="12">
        <f>IF(ISERROR(+SUMPRODUCT($Q$5:$Q$8,$I$5:$I$8)+SUMPRODUCT($Q$9:$Q$11,$I$9:$I$11)+SUMPRODUCT($Q$12:$Q$15,$I$12:$I$15)+SUMPRODUCT($Q$16:$Q$18,$I$16:$I$18)+SUMPRODUCT($Q$19:$Q$19,$I$19:$I$19)+SUMPRODUCT($Q$20:$Q$24,$I$20:$I$24)+SUMPRODUCT($Q$25:$Q$26,$I$25:$I$26)+SUMPRODUCT($Q$27:$Q$29,$I$27:$I$29)+SUMPRODUCT($Q$30:$Q$34,$I$30:$I$34)+SUMPRODUCT($Q$35:$Q$39,$I$35:$I$39)+SUMPRODUCT($Q$40:$Q$42,$I$40:$I$42)+SUMPRODUCT($Q$43:$Q$43,$I$43:$I$43)+SUMPRODUCT($Q$44:$Q$46,$I$44:$I$46)+SUMPRODUCT($Q$47:$Q$47,$I$47:$I$47)+SUMPRODUCT($Q$48:$Q$50,$I$48:$I$50)+SUMPRODUCT($Q$51:$Q$51,$I$51:$I$51)+SUMPRODUCT($Q$52:$Q$54,$I$52:$I$54)+SUMPRODUCT($Q$55:$Q$57,$I$55:$I$57)+SUMPRODUCT($Q$58:$Q$58,$I$58:$I$58)+SUMPRODUCT($Q$59:$Q$59,$I$59:$I$59)+SUMPRODUCT($Q$60:$Q$61,$I$60:$I$61)),0,+SUMPRODUCT($Q$5:$Q$8,$I$5:$I$8)+SUMPRODUCT($Q$9:$Q$11,$I$9:$I$11)+SUMPRODUCT($Q$12:$Q$15,$I$12:$I$15)+SUMPRODUCT($Q$16:$Q$18,$I$16:$I$18)+SUMPRODUCT($Q$19:$Q$19,$I$19:$I$19)+SUMPRODUCT($Q$20:$Q$24,$I$20:$I$24)+SUMPRODUCT($Q$25:$Q$26,$I$25:$I$26)+SUMPRODUCT($Q$27:$Q$29,$I$27:$I$29)+SUMPRODUCT($Q$30:$Q$34,$I$30:$I$34)+SUMPRODUCT($Q$35:$Q$39,$I$35:$I$39)+SUMPRODUCT($Q$40:$Q$42,$I$40:$I$42)+SUMPRODUCT($Q$43:$Q$43,$I$43:$I$43)+SUMPRODUCT($Q$44:$Q$46,$I$44:$I$46)+SUMPRODUCT($Q$47:$Q$47,$I$47:$I$47)+SUMPRODUCT($Q$48:$Q$50,$I$48:$I$50)+SUMPRODUCT($Q$51:$Q$51,$I$51:$I$51)+SUMPRODUCT($Q$52:$Q$54,$I$52:$I$54)+SUMPRODUCT($Q$55:$Q$57,$I$55:$I$57)+SUMPRODUCT($Q$58:$Q$58,$I$58:$I$58)+SUMPRODUCT($Q$59:$Q$59,$I$59:$I$59)+SUMPRODUCT($Q$60:$Q$61,$I$60:$I$61))</f>
        <v>565247.23231000011</v>
      </c>
      <c r="R65" s="12">
        <f>IF(ISERROR(+SUMPRODUCT($R$5:$R$8,$I$5:$I$8)+SUMPRODUCT($R$9:$R$11,$I$9:$I$11)+SUMPRODUCT($R$12:$R$15,$I$12:$I$15)+SUMPRODUCT($R$16:$R$18,$I$16:$I$18)+SUMPRODUCT($R$19:$R$19,$I$19:$I$19)+SUMPRODUCT($R$20:$R$24,$I$20:$I$24)+SUMPRODUCT($R$25:$R$26,$I$25:$I$26)+SUMPRODUCT($R$27:$R$29,$I$27:$I$29)+SUMPRODUCT($R$30:$R$34,$I$30:$I$34)+SUMPRODUCT($R$35:$R$39,$I$35:$I$39)+SUMPRODUCT($R$40:$R$42,$I$40:$I$42)+SUMPRODUCT($R$43:$R$43,$I$43:$I$43)+SUMPRODUCT($R$44:$R$46,$I$44:$I$46)+SUMPRODUCT($R$47:$R$47,$I$47:$I$47)+SUMPRODUCT($R$48:$R$50,$I$48:$I$50)+SUMPRODUCT($R$51:$R$51,$I$51:$I$51)+SUMPRODUCT($R$52:$R$54,$I$52:$I$54)+SUMPRODUCT($R$55:$R$57,$I$55:$I$57)+SUMPRODUCT($R$58:$R$58,$I$58:$I$58)+SUMPRODUCT($R$59:$R$59,$I$59:$I$59)+SUMPRODUCT($R$60:$R$61,$I$60:$I$61)),0,+SUMPRODUCT($R$5:$R$8,$I$5:$I$8)+SUMPRODUCT($R$9:$R$11,$I$9:$I$11)+SUMPRODUCT($R$12:$R$15,$I$12:$I$15)+SUMPRODUCT($R$16:$R$18,$I$16:$I$18)+SUMPRODUCT($R$19:$R$19,$I$19:$I$19)+SUMPRODUCT($R$20:$R$24,$I$20:$I$24)+SUMPRODUCT($R$25:$R$26,$I$25:$I$26)+SUMPRODUCT($R$27:$R$29,$I$27:$I$29)+SUMPRODUCT($R$30:$R$34,$I$30:$I$34)+SUMPRODUCT($R$35:$R$39,$I$35:$I$39)+SUMPRODUCT($R$40:$R$42,$I$40:$I$42)+SUMPRODUCT($R$43:$R$43,$I$43:$I$43)+SUMPRODUCT($R$44:$R$46,$I$44:$I$46)+SUMPRODUCT($R$47:$R$47,$I$47:$I$47)+SUMPRODUCT($R$48:$R$50,$I$48:$I$50)+SUMPRODUCT($R$51:$R$51,$I$51:$I$51)+SUMPRODUCT($R$52:$R$54,$I$52:$I$54)+SUMPRODUCT($R$55:$R$57,$I$55:$I$57)+SUMPRODUCT($R$58:$R$58,$I$58:$I$58)+SUMPRODUCT($R$59:$R$59,$I$59:$I$59)+SUMPRODUCT($R$60:$R$61,$I$60:$I$61))</f>
        <v>623621.37625000009</v>
      </c>
      <c r="S65" s="12">
        <f>IF(ISERROR(+SUMPRODUCT($S$5:$S$8,$I$5:$I$8)+SUMPRODUCT($S$9:$S$11,$I$9:$I$11)+SUMPRODUCT($S$12:$S$15,$I$12:$I$15)+SUMPRODUCT($S$16:$S$18,$I$16:$I$18)+SUMPRODUCT($S$19:$S$19,$I$19:$I$19)+SUMPRODUCT($S$20:$S$24,$I$20:$I$24)+SUMPRODUCT($S$25:$S$26,$I$25:$I$26)+SUMPRODUCT($S$27:$S$29,$I$27:$I$29)+SUMPRODUCT($S$30:$S$34,$I$30:$I$34)+SUMPRODUCT($S$35:$S$39,$I$35:$I$39)+SUMPRODUCT($S$40:$S$42,$I$40:$I$42)+SUMPRODUCT($S$43:$S$43,$I$43:$I$43)+SUMPRODUCT($S$44:$S$46,$I$44:$I$46)+SUMPRODUCT($S$47:$S$47,$I$47:$I$47)+SUMPRODUCT($S$48:$S$50,$I$48:$I$50)+SUMPRODUCT($S$51:$S$51,$I$51:$I$51)+SUMPRODUCT($S$52:$S$54,$I$52:$I$54)+SUMPRODUCT($S$55:$S$57,$I$55:$I$57)+SUMPRODUCT($S$58:$S$58,$I$58:$I$58)+SUMPRODUCT($S$59:$S$59,$I$59:$I$59)+SUMPRODUCT($S$60:$S$61,$I$60:$I$61)),0,+SUMPRODUCT($S$5:$S$8,$I$5:$I$8)+SUMPRODUCT($S$9:$S$11,$I$9:$I$11)+SUMPRODUCT($S$12:$S$15,$I$12:$I$15)+SUMPRODUCT($S$16:$S$18,$I$16:$I$18)+SUMPRODUCT($S$19:$S$19,$I$19:$I$19)+SUMPRODUCT($S$20:$S$24,$I$20:$I$24)+SUMPRODUCT($S$25:$S$26,$I$25:$I$26)+SUMPRODUCT($S$27:$S$29,$I$27:$I$29)+SUMPRODUCT($S$30:$S$34,$I$30:$I$34)+SUMPRODUCT($S$35:$S$39,$I$35:$I$39)+SUMPRODUCT($S$40:$S$42,$I$40:$I$42)+SUMPRODUCT($S$43:$S$43,$I$43:$I$43)+SUMPRODUCT($S$44:$S$46,$I$44:$I$46)+SUMPRODUCT($S$47:$S$47,$I$47:$I$47)+SUMPRODUCT($S$48:$S$50,$I$48:$I$50)+SUMPRODUCT($S$51:$S$51,$I$51:$I$51)+SUMPRODUCT($S$52:$S$54,$I$52:$I$54)+SUMPRODUCT($S$55:$S$57,$I$55:$I$57)+SUMPRODUCT($S$58:$S$58,$I$58:$I$58)+SUMPRODUCT($S$59:$S$59,$I$59:$I$59)+SUMPRODUCT($S$60:$S$61,$I$60:$I$61))</f>
        <v>692874.33625000005</v>
      </c>
      <c r="T65" s="12"/>
      <c r="U65" s="12">
        <f>IF(ISERROR(+SUMPRODUCT($U$5:$U$8,$I$5:$I$8)+SUMPRODUCT($U$9:$U$11,$I$9:$I$11)+SUMPRODUCT($U$12:$U$15,$I$12:$I$15)+SUMPRODUCT($U$16:$U$18,$I$16:$I$18)+SUMPRODUCT($U$19:$U$19,$I$19:$I$19)+SUMPRODUCT($U$20:$U$24,$I$20:$I$24)+SUMPRODUCT($U$25:$U$26,$I$25:$I$26)+SUMPRODUCT($U$27:$U$29,$I$27:$I$29)+SUMPRODUCT($U$30:$U$34,$I$30:$I$34)+SUMPRODUCT($U$35:$U$39,$I$35:$I$39)+SUMPRODUCT($U$40:$U$42,$I$40:$I$42)+SUMPRODUCT($U$43:$U$43,$I$43:$I$43)+SUMPRODUCT($U$44:$U$46,$I$44:$I$46)+SUMPRODUCT($U$47:$U$47,$I$47:$I$47)+SUMPRODUCT($U$48:$U$50,$I$48:$I$50)+SUMPRODUCT($U$51:$U$51,$I$51:$I$51)+SUMPRODUCT($U$52:$U$54,$I$52:$I$54)+SUMPRODUCT($U$55:$U$57,$I$55:$I$57)+SUMPRODUCT($U$58:$U$58,$I$58:$I$58)+SUMPRODUCT($U$59:$U$59,$I$59:$I$59)+SUMPRODUCT($U$60:$U$61,$I$60:$I$61)),0,+SUMPRODUCT($U$5:$U$8,$I$5:$I$8)+SUMPRODUCT($U$9:$U$11,$I$9:$I$11)+SUMPRODUCT($U$12:$U$15,$I$12:$I$15)+SUMPRODUCT($U$16:$U$18,$I$16:$I$18)+SUMPRODUCT($U$19:$U$19,$I$19:$I$19)+SUMPRODUCT($U$20:$U$24,$I$20:$I$24)+SUMPRODUCT($U$25:$U$26,$I$25:$I$26)+SUMPRODUCT($U$27:$U$29,$I$27:$I$29)+SUMPRODUCT($U$30:$U$34,$I$30:$I$34)+SUMPRODUCT($U$35:$U$39,$I$35:$I$39)+SUMPRODUCT($U$40:$U$42,$I$40:$I$42)+SUMPRODUCT($U$43:$U$43,$I$43:$I$43)+SUMPRODUCT($U$44:$U$46,$I$44:$I$46)+SUMPRODUCT($U$47:$U$47,$I$47:$I$47)+SUMPRODUCT($U$48:$U$50,$I$48:$I$50)+SUMPRODUCT($U$51:$U$51,$I$51:$I$51)+SUMPRODUCT($U$52:$U$54,$I$52:$I$54)+SUMPRODUCT($U$55:$U$57,$I$55:$I$57)+SUMPRODUCT($U$58:$U$58,$I$58:$I$58)+SUMPRODUCT($U$59:$U$59,$I$59:$I$59)+SUMPRODUCT($U$60:$U$61,$I$60:$I$61))</f>
        <v>14606865.046784341</v>
      </c>
      <c r="V65" s="12">
        <f>IF(ISERROR(+SUMPRODUCT($V$5:$V$8,$I$5:$I$8)+SUMPRODUCT($V$9:$V$11,$I$9:$I$11)+SUMPRODUCT($V$12:$V$15,$I$12:$I$15)+SUMPRODUCT($V$16:$V$18,$I$16:$I$18)+SUMPRODUCT($V$19:$V$19,$I$19:$I$19)+SUMPRODUCT($V$20:$V$24,$I$20:$I$24)+SUMPRODUCT($V$25:$V$26,$I$25:$I$26)+SUMPRODUCT($V$27:$V$29,$I$27:$I$29)+SUMPRODUCT($V$30:$V$34,$I$30:$I$34)+SUMPRODUCT($V$35:$V$39,$I$35:$I$39)+SUMPRODUCT($V$40:$V$42,$I$40:$I$42)+SUMPRODUCT($V$43:$V$43,$I$43:$I$43)+SUMPRODUCT($V$44:$V$46,$I$44:$I$46)+SUMPRODUCT($V$47:$V$47,$I$47:$I$47)+SUMPRODUCT($V$48:$V$50,$I$48:$I$50)+SUMPRODUCT($V$51:$V$51,$I$51:$I$51)+SUMPRODUCT($V$52:$V$54,$I$52:$I$54)+SUMPRODUCT($V$55:$V$57,$I$55:$I$57)+SUMPRODUCT($V$58:$V$58,$I$58:$I$58)+SUMPRODUCT($V$59:$V$59,$I$59:$I$59)+SUMPRODUCT($V$60:$V$61,$I$60:$I$61)),0,+SUMPRODUCT($V$5:$V$8,$I$5:$I$8)+SUMPRODUCT($V$9:$V$11,$I$9:$I$11)+SUMPRODUCT($V$12:$V$15,$I$12:$I$15)+SUMPRODUCT($V$16:$V$18,$I$16:$I$18)+SUMPRODUCT($V$19:$V$19,$I$19:$I$19)+SUMPRODUCT($V$20:$V$24,$I$20:$I$24)+SUMPRODUCT($V$25:$V$26,$I$25:$I$26)+SUMPRODUCT($V$27:$V$29,$I$27:$I$29)+SUMPRODUCT($V$30:$V$34,$I$30:$I$34)+SUMPRODUCT($V$35:$V$39,$I$35:$I$39)+SUMPRODUCT($V$40:$V$42,$I$40:$I$42)+SUMPRODUCT($V$43:$V$43,$I$43:$I$43)+SUMPRODUCT($V$44:$V$46,$I$44:$I$46)+SUMPRODUCT($V$47:$V$47,$I$47:$I$47)+SUMPRODUCT($V$48:$V$50,$I$48:$I$50)+SUMPRODUCT($V$51:$V$51,$I$51:$I$51)+SUMPRODUCT($V$52:$V$54,$I$52:$I$54)+SUMPRODUCT($V$55:$V$57,$I$55:$I$57)+SUMPRODUCT($V$58:$V$58,$I$58:$I$58)+SUMPRODUCT($V$59:$V$59,$I$59:$I$59)+SUMPRODUCT($V$60:$V$61,$I$60:$I$61))</f>
        <v>5065231.2275888948</v>
      </c>
      <c r="W65" s="12">
        <f>IF(ISERROR(+SUMPRODUCT($W$5:$W$8,$I$5:$I$8)+SUMPRODUCT($W$9:$W$11,$I$9:$I$11)+SUMPRODUCT($W$12:$W$15,$I$12:$I$15)+SUMPRODUCT($W$16:$W$18,$I$16:$I$18)+SUMPRODUCT($W$19:$W$19,$I$19:$I$19)+SUMPRODUCT($W$20:$W$24,$I$20:$I$24)+SUMPRODUCT($W$25:$W$26,$I$25:$I$26)+SUMPRODUCT($W$27:$W$29,$I$27:$I$29)+SUMPRODUCT($W$30:$W$34,$I$30:$I$34)+SUMPRODUCT($W$35:$W$39,$I$35:$I$39)+SUMPRODUCT($W$40:$W$42,$I$40:$I$42)+SUMPRODUCT($W$43:$W$43,$I$43:$I$43)+SUMPRODUCT($W$44:$W$46,$I$44:$I$46)+SUMPRODUCT($W$47:$W$47,$I$47:$I$47)+SUMPRODUCT($W$48:$W$50,$I$48:$I$50)+SUMPRODUCT($W$51:$W$51,$I$51:$I$51)+SUMPRODUCT($W$52:$W$54,$I$52:$I$54)+SUMPRODUCT($W$55:$W$57,$I$55:$I$57)+SUMPRODUCT($W$58:$W$58,$I$58:$I$58)+SUMPRODUCT($W$59:$W$59,$I$59:$I$59)+SUMPRODUCT($W$60:$W$61,$I$60:$I$61)),0,+SUMPRODUCT($W$5:$W$8,$I$5:$I$8)+SUMPRODUCT($W$9:$W$11,$I$9:$I$11)+SUMPRODUCT($W$12:$W$15,$I$12:$I$15)+SUMPRODUCT($W$16:$W$18,$I$16:$I$18)+SUMPRODUCT($W$19:$W$19,$I$19:$I$19)+SUMPRODUCT($W$20:$W$24,$I$20:$I$24)+SUMPRODUCT($W$25:$W$26,$I$25:$I$26)+SUMPRODUCT($W$27:$W$29,$I$27:$I$29)+SUMPRODUCT($W$30:$W$34,$I$30:$I$34)+SUMPRODUCT($W$35:$W$39,$I$35:$I$39)+SUMPRODUCT($W$40:$W$42,$I$40:$I$42)+SUMPRODUCT($W$43:$W$43,$I$43:$I$43)+SUMPRODUCT($W$44:$W$46,$I$44:$I$46)+SUMPRODUCT($W$47:$W$47,$I$47:$I$47)+SUMPRODUCT($W$48:$W$50,$I$48:$I$50)+SUMPRODUCT($W$51:$W$51,$I$51:$I$51)+SUMPRODUCT($W$52:$W$54,$I$52:$I$54)+SUMPRODUCT($W$55:$W$57,$I$55:$I$57)+SUMPRODUCT($W$58:$W$58,$I$58:$I$58)+SUMPRODUCT($W$59:$W$59,$I$59:$I$59)+SUMPRODUCT($W$60:$W$61,$I$60:$I$61))</f>
        <v>438389.02784085996</v>
      </c>
      <c r="X65" s="12">
        <f>IF(ISERROR(+SUMPRODUCT($X$5:$X$8,$I$5:$I$8)+SUMPRODUCT($X$9:$X$11,$I$9:$I$11)+SUMPRODUCT($X$12:$X$15,$I$12:$I$15)+SUMPRODUCT($X$16:$X$18,$I$16:$I$18)+SUMPRODUCT($X$19:$X$19,$I$19:$I$19)+SUMPRODUCT($X$20:$X$24,$I$20:$I$24)+SUMPRODUCT($X$25:$X$26,$I$25:$I$26)+SUMPRODUCT($X$27:$X$29,$I$27:$I$29)+SUMPRODUCT($X$30:$X$34,$I$30:$I$34)+SUMPRODUCT($X$35:$X$39,$I$35:$I$39)+SUMPRODUCT($X$40:$X$42,$I$40:$I$42)+SUMPRODUCT($X$43:$X$43,$I$43:$I$43)+SUMPRODUCT($X$44:$X$46,$I$44:$I$46)+SUMPRODUCT($X$47:$X$47,$I$47:$I$47)+SUMPRODUCT($X$48:$X$50,$I$48:$I$50)+SUMPRODUCT($X$51:$X$51,$I$51:$I$51)+SUMPRODUCT($X$52:$X$54,$I$52:$I$54)+SUMPRODUCT($X$55:$X$57,$I$55:$I$57)+SUMPRODUCT($X$58:$X$58,$I$58:$I$58)+SUMPRODUCT($X$59:$X$59,$I$59:$I$59)+SUMPRODUCT($X$60:$X$61,$I$60:$I$61)),0,+SUMPRODUCT($X$5:$X$8,$I$5:$I$8)+SUMPRODUCT($X$9:$X$11,$I$9:$I$11)+SUMPRODUCT($X$12:$X$15,$I$12:$I$15)+SUMPRODUCT($X$16:$X$18,$I$16:$I$18)+SUMPRODUCT($X$19:$X$19,$I$19:$I$19)+SUMPRODUCT($X$20:$X$24,$I$20:$I$24)+SUMPRODUCT($X$25:$X$26,$I$25:$I$26)+SUMPRODUCT($X$27:$X$29,$I$27:$I$29)+SUMPRODUCT($X$30:$X$34,$I$30:$I$34)+SUMPRODUCT($X$35:$X$39,$I$35:$I$39)+SUMPRODUCT($X$40:$X$42,$I$40:$I$42)+SUMPRODUCT($X$43:$X$43,$I$43:$I$43)+SUMPRODUCT($X$44:$X$46,$I$44:$I$46)+SUMPRODUCT($X$47:$X$47,$I$47:$I$47)+SUMPRODUCT($X$48:$X$50,$I$48:$I$50)+SUMPRODUCT($X$51:$X$51,$I$51:$I$51)+SUMPRODUCT($X$52:$X$54,$I$52:$I$54)+SUMPRODUCT($X$55:$X$57,$I$55:$I$57)+SUMPRODUCT($X$58:$X$58,$I$58:$I$58)+SUMPRODUCT($X$59:$X$59,$I$59:$I$59)+SUMPRODUCT($X$60:$X$61,$I$60:$I$61))</f>
        <v>0</v>
      </c>
      <c r="Y65" s="12">
        <f>IF(ISERROR(+SUMPRODUCT($Y$5:$Y$8,$I$5:$I$8)+SUMPRODUCT($Y$9:$Y$11,$I$9:$I$11)+SUMPRODUCT($Y$12:$Y$15,$I$12:$I$15)+SUMPRODUCT($Y$16:$Y$18,$I$16:$I$18)+SUMPRODUCT($Y$19:$Y$19,$I$19:$I$19)+SUMPRODUCT($Y$20:$Y$24,$I$20:$I$24)+SUMPRODUCT($Y$25:$Y$26,$I$25:$I$26)+SUMPRODUCT($Y$27:$Y$29,$I$27:$I$29)+SUMPRODUCT($Y$30:$Y$34,$I$30:$I$34)+SUMPRODUCT($Y$35:$Y$39,$I$35:$I$39)+SUMPRODUCT($Y$40:$Y$42,$I$40:$I$42)+SUMPRODUCT($Y$43:$Y$43,$I$43:$I$43)+SUMPRODUCT($Y$44:$Y$46,$I$44:$I$46)+SUMPRODUCT($Y$47:$Y$47,$I$47:$I$47)+SUMPRODUCT($Y$48:$Y$50,$I$48:$I$50)+SUMPRODUCT($Y$51:$Y$51,$I$51:$I$51)+SUMPRODUCT($Y$52:$Y$54,$I$52:$I$54)+SUMPRODUCT($Y$55:$Y$57,$I$55:$I$57)+SUMPRODUCT($Y$58:$Y$58,$I$58:$I$58)+SUMPRODUCT($Y$59:$Y$59,$I$59:$I$59)+SUMPRODUCT($Y$60:$Y$61,$I$60:$I$61)),0,+SUMPRODUCT($Y$5:$Y$8,$I$5:$I$8)+SUMPRODUCT($Y$9:$Y$11,$I$9:$I$11)+SUMPRODUCT($Y$12:$Y$15,$I$12:$I$15)+SUMPRODUCT($Y$16:$Y$18,$I$16:$I$18)+SUMPRODUCT($Y$19:$Y$19,$I$19:$I$19)+SUMPRODUCT($Y$20:$Y$24,$I$20:$I$24)+SUMPRODUCT($Y$25:$Y$26,$I$25:$I$26)+SUMPRODUCT($Y$27:$Y$29,$I$27:$I$29)+SUMPRODUCT($Y$30:$Y$34,$I$30:$I$34)+SUMPRODUCT($Y$35:$Y$39,$I$35:$I$39)+SUMPRODUCT($Y$40:$Y$42,$I$40:$I$42)+SUMPRODUCT($Y$43:$Y$43,$I$43:$I$43)+SUMPRODUCT($Y$44:$Y$46,$I$44:$I$46)+SUMPRODUCT($Y$47:$Y$47,$I$47:$I$47)+SUMPRODUCT($Y$48:$Y$50,$I$48:$I$50)+SUMPRODUCT($Y$51:$Y$51,$I$51:$I$51)+SUMPRODUCT($Y$52:$Y$54,$I$52:$I$54)+SUMPRODUCT($Y$55:$Y$57,$I$55:$I$57)+SUMPRODUCT($Y$58:$Y$58,$I$58:$I$58)+SUMPRODUCT($Y$59:$Y$59,$I$59:$I$59)+SUMPRODUCT($Y$60:$Y$61,$I$60:$I$61))</f>
        <v>12603767.782899594</v>
      </c>
      <c r="Z65" s="12">
        <f>IF(ISERROR(+SUMPRODUCT($Z$5:$Z$8,$I$5:$I$8)+SUMPRODUCT($Z$9:$Z$11,$I$9:$I$11)+SUMPRODUCT($Z$12:$Z$15,$I$12:$I$15)+SUMPRODUCT($Z$16:$Z$18,$I$16:$I$18)+SUMPRODUCT($Z$19:$Z$19,$I$19:$I$19)+SUMPRODUCT($Z$20:$Z$24,$I$20:$I$24)+SUMPRODUCT($Z$25:$Z$26,$I$25:$I$26)+SUMPRODUCT($Z$27:$Z$29,$I$27:$I$29)+SUMPRODUCT($Z$30:$Z$34,$I$30:$I$34)+SUMPRODUCT($Z$35:$Z$39,$I$35:$I$39)+SUMPRODUCT($Z$40:$Z$42,$I$40:$I$42)+SUMPRODUCT($Z$43:$Z$43,$I$43:$I$43)+SUMPRODUCT($Z$44:$Z$46,$I$44:$I$46)+SUMPRODUCT($Z$47:$Z$47,$I$47:$I$47)+SUMPRODUCT($Z$48:$Z$50,$I$48:$I$50)+SUMPRODUCT($Z$51:$Z$51,$I$51:$I$51)+SUMPRODUCT($Z$52:$Z$54,$I$52:$I$54)+SUMPRODUCT($Z$55:$Z$57,$I$55:$I$57)+SUMPRODUCT($Z$58:$Z$58,$I$58:$I$58)+SUMPRODUCT($Z$59:$Z$59,$I$59:$I$59)+SUMPRODUCT($Z$60:$Z$61,$I$60:$I$61)),0,+SUMPRODUCT($Z$5:$Z$8,$I$5:$I$8)+SUMPRODUCT($Z$9:$Z$11,$I$9:$I$11)+SUMPRODUCT($Z$12:$Z$15,$I$12:$I$15)+SUMPRODUCT($Z$16:$Z$18,$I$16:$I$18)+SUMPRODUCT($Z$19:$Z$19,$I$19:$I$19)+SUMPRODUCT($Z$20:$Z$24,$I$20:$I$24)+SUMPRODUCT($Z$25:$Z$26,$I$25:$I$26)+SUMPRODUCT($Z$27:$Z$29,$I$27:$I$29)+SUMPRODUCT($Z$30:$Z$34,$I$30:$I$34)+SUMPRODUCT($Z$35:$Z$39,$I$35:$I$39)+SUMPRODUCT($Z$40:$Z$42,$I$40:$I$42)+SUMPRODUCT($Z$43:$Z$43,$I$43:$I$43)+SUMPRODUCT($Z$44:$Z$46,$I$44:$I$46)+SUMPRODUCT($Z$47:$Z$47,$I$47:$I$47)+SUMPRODUCT($Z$48:$Z$50,$I$48:$I$50)+SUMPRODUCT($Z$51:$Z$51,$I$51:$I$51)+SUMPRODUCT($Z$52:$Z$54,$I$52:$I$54)+SUMPRODUCT($Z$55:$Z$57,$I$55:$I$57)+SUMPRODUCT($Z$58:$Z$58,$I$58:$I$58)+SUMPRODUCT($Z$59:$Z$59,$I$59:$I$59)+SUMPRODUCT($Z$60:$Z$61,$I$60:$I$61))</f>
        <v>0</v>
      </c>
      <c r="AA65" s="12">
        <f>IF(ISERROR(+SUMPRODUCT($AA$5:$AA$8,$I$5:$I$8)+SUMPRODUCT($AA$9:$AA$11,$I$9:$I$11)+SUMPRODUCT($AA$12:$AA$15,$I$12:$I$15)+SUMPRODUCT($AA$16:$AA$18,$I$16:$I$18)+SUMPRODUCT($AA$19:$AA$19,$I$19:$I$19)+SUMPRODUCT($AA$20:$AA$24,$I$20:$I$24)+SUMPRODUCT($AA$25:$AA$26,$I$25:$I$26)+SUMPRODUCT($AA$27:$AA$29,$I$27:$I$29)+SUMPRODUCT($AA$30:$AA$34,$I$30:$I$34)+SUMPRODUCT($AA$35:$AA$39,$I$35:$I$39)+SUMPRODUCT($AA$40:$AA$42,$I$40:$I$42)+SUMPRODUCT($AA$43:$AA$43,$I$43:$I$43)+SUMPRODUCT($AA$44:$AA$46,$I$44:$I$46)+SUMPRODUCT($AA$47:$AA$47,$I$47:$I$47)+SUMPRODUCT($AA$48:$AA$50,$I$48:$I$50)+SUMPRODUCT($AA$51:$AA$51,$I$51:$I$51)+SUMPRODUCT($AA$52:$AA$54,$I$52:$I$54)+SUMPRODUCT($AA$55:$AA$57,$I$55:$I$57)+SUMPRODUCT($AA$58:$AA$58,$I$58:$I$58)+SUMPRODUCT($AA$59:$AA$59,$I$59:$I$59)+SUMPRODUCT($AA$60:$AA$61,$I$60:$I$61)),0,+SUMPRODUCT($AA$5:$AA$8,$I$5:$I$8)+SUMPRODUCT($AA$9:$AA$11,$I$9:$I$11)+SUMPRODUCT($AA$12:$AA$15,$I$12:$I$15)+SUMPRODUCT($AA$16:$AA$18,$I$16:$I$18)+SUMPRODUCT($AA$19:$AA$19,$I$19:$I$19)+SUMPRODUCT($AA$20:$AA$24,$I$20:$I$24)+SUMPRODUCT($AA$25:$AA$26,$I$25:$I$26)+SUMPRODUCT($AA$27:$AA$29,$I$27:$I$29)+SUMPRODUCT($AA$30:$AA$34,$I$30:$I$34)+SUMPRODUCT($AA$35:$AA$39,$I$35:$I$39)+SUMPRODUCT($AA$40:$AA$42,$I$40:$I$42)+SUMPRODUCT($AA$43:$AA$43,$I$43:$I$43)+SUMPRODUCT($AA$44:$AA$46,$I$44:$I$46)+SUMPRODUCT($AA$47:$AA$47,$I$47:$I$47)+SUMPRODUCT($AA$48:$AA$50,$I$48:$I$50)+SUMPRODUCT($AA$51:$AA$51,$I$51:$I$51)+SUMPRODUCT($AA$52:$AA$54,$I$52:$I$54)+SUMPRODUCT($AA$55:$AA$57,$I$55:$I$57)+SUMPRODUCT($AA$58:$AA$58,$I$58:$I$58)+SUMPRODUCT($AA$59:$AA$59,$I$59:$I$59)+SUMPRODUCT($AA$60:$AA$61,$I$60:$I$61))</f>
        <v>0</v>
      </c>
      <c r="AB65" s="12"/>
      <c r="AC65" s="12">
        <f>IF(ISERROR(+SUMPRODUCT($AC$5:$AC$8,$I$5:$I$8)+SUMPRODUCT($AC$9:$AC$11,$I$9:$I$11)+SUMPRODUCT($AC$12:$AC$15,$I$12:$I$15)+SUMPRODUCT($AC$16:$AC$18,$I$16:$I$18)+SUMPRODUCT($AC$19:$AC$19,$I$19:$I$19)+SUMPRODUCT($AC$20:$AC$24,$I$20:$I$24)+SUMPRODUCT($AC$25:$AC$26,$I$25:$I$26)+SUMPRODUCT($AC$27:$AC$29,$I$27:$I$29)+SUMPRODUCT($AC$30:$AC$34,$I$30:$I$34)+SUMPRODUCT($AC$35:$AC$39,$I$35:$I$39)+SUMPRODUCT($AC$40:$AC$42,$I$40:$I$42)+SUMPRODUCT($AC$43:$AC$43,$I$43:$I$43)+SUMPRODUCT($AC$44:$AC$46,$I$44:$I$46)+SUMPRODUCT($AC$47:$AC$47,$I$47:$I$47)+SUMPRODUCT($AC$48:$AC$50,$I$48:$I$50)+SUMPRODUCT($AC$51:$AC$51,$I$51:$I$51)+SUMPRODUCT($AC$52:$AC$54,$I$52:$I$54)+SUMPRODUCT($AC$55:$AC$57,$I$55:$I$57)+SUMPRODUCT($AC$58:$AC$58,$I$58:$I$58)+SUMPRODUCT($AC$59:$AC$59,$I$59:$I$59)+SUMPRODUCT($AC$60:$AC$61,$I$60:$I$61)),0,+SUMPRODUCT($AC$5:$AC$8,$I$5:$I$8)+SUMPRODUCT($AC$9:$AC$11,$I$9:$I$11)+SUMPRODUCT($AC$12:$AC$15,$I$12:$I$15)+SUMPRODUCT($AC$16:$AC$18,$I$16:$I$18)+SUMPRODUCT($AC$19:$AC$19,$I$19:$I$19)+SUMPRODUCT($AC$20:$AC$24,$I$20:$I$24)+SUMPRODUCT($AC$25:$AC$26,$I$25:$I$26)+SUMPRODUCT($AC$27:$AC$29,$I$27:$I$29)+SUMPRODUCT($AC$30:$AC$34,$I$30:$I$34)+SUMPRODUCT($AC$35:$AC$39,$I$35:$I$39)+SUMPRODUCT($AC$40:$AC$42,$I$40:$I$42)+SUMPRODUCT($AC$43:$AC$43,$I$43:$I$43)+SUMPRODUCT($AC$44:$AC$46,$I$44:$I$46)+SUMPRODUCT($AC$47:$AC$47,$I$47:$I$47)+SUMPRODUCT($AC$48:$AC$50,$I$48:$I$50)+SUMPRODUCT($AC$51:$AC$51,$I$51:$I$51)+SUMPRODUCT($AC$52:$AC$54,$I$52:$I$54)+SUMPRODUCT($AC$55:$AC$57,$I$55:$I$57)+SUMPRODUCT($AC$58:$AC$58,$I$58:$I$58)+SUMPRODUCT($AC$59:$AC$59,$I$59:$I$59)+SUMPRODUCT($AC$60:$AC$61,$I$60:$I$61))</f>
        <v>86838045.663593769</v>
      </c>
      <c r="AD65" s="12"/>
      <c r="AE65" s="12">
        <f>IF(ISERROR(+SUMPRODUCT($AE$5:$AE$8,$I$5:$I$8)+SUMPRODUCT($AE$9:$AE$11,$I$9:$I$11)+SUMPRODUCT($AE$12:$AE$15,$I$12:$I$15)+SUMPRODUCT($AE$16:$AE$18,$I$16:$I$18)+SUMPRODUCT($AE$19:$AE$19,$I$19:$I$19)+SUMPRODUCT($AE$20:$AE$24,$I$20:$I$24)+SUMPRODUCT($AE$25:$AE$26,$I$25:$I$26)+SUMPRODUCT($AE$27:$AE$29,$I$27:$I$29)+SUMPRODUCT($AE$30:$AE$34,$I$30:$I$34)+SUMPRODUCT($AE$35:$AE$39,$I$35:$I$39)+SUMPRODUCT($AE$40:$AE$42,$I$40:$I$42)+SUMPRODUCT($AE$43:$AE$43,$I$43:$I$43)+SUMPRODUCT($AE$44:$AE$46,$I$44:$I$46)+SUMPRODUCT($AE$47:$AE$47,$I$47:$I$47)+SUMPRODUCT($AE$48:$AE$50,$I$48:$I$50)+SUMPRODUCT($AE$51:$AE$51,$I$51:$I$51)+SUMPRODUCT($AE$52:$AE$54,$I$52:$I$54)+SUMPRODUCT($AE$55:$AE$57,$I$55:$I$57)+SUMPRODUCT($AE$58:$AE$58,$I$58:$I$58)+SUMPRODUCT($AE$59:$AE$59,$I$59:$I$59)+SUMPRODUCT($AE$60:$AE$61,$I$60:$I$61)),0,+SUMPRODUCT($AE$5:$AE$8,$I$5:$I$8)+SUMPRODUCT($AE$9:$AE$11,$I$9:$I$11)+SUMPRODUCT($AE$12:$AE$15,$I$12:$I$15)+SUMPRODUCT($AE$16:$AE$18,$I$16:$I$18)+SUMPRODUCT($AE$19:$AE$19,$I$19:$I$19)+SUMPRODUCT($AE$20:$AE$24,$I$20:$I$24)+SUMPRODUCT($AE$25:$AE$26,$I$25:$I$26)+SUMPRODUCT($AE$27:$AE$29,$I$27:$I$29)+SUMPRODUCT($AE$30:$AE$34,$I$30:$I$34)+SUMPRODUCT($AE$35:$AE$39,$I$35:$I$39)+SUMPRODUCT($AE$40:$AE$42,$I$40:$I$42)+SUMPRODUCT($AE$43:$AE$43,$I$43:$I$43)+SUMPRODUCT($AE$44:$AE$46,$I$44:$I$46)+SUMPRODUCT($AE$47:$AE$47,$I$47:$I$47)+SUMPRODUCT($AE$48:$AE$50,$I$48:$I$50)+SUMPRODUCT($AE$51:$AE$51,$I$51:$I$51)+SUMPRODUCT($AE$52:$AE$54,$I$52:$I$54)+SUMPRODUCT($AE$55:$AE$57,$I$55:$I$57)+SUMPRODUCT($AE$58:$AE$58,$I$58:$I$58)+SUMPRODUCT($AE$59:$AE$59,$I$59:$I$59)+SUMPRODUCT($AE$60:$AE$61,$I$60:$I$61))</f>
        <v>0</v>
      </c>
      <c r="AF65" s="12">
        <f>IF(ISERROR(+SUMPRODUCT($AF$5:$AF$8,$I$5:$I$8)+SUMPRODUCT($AF$9:$AF$11,$I$9:$I$11)+SUMPRODUCT($AF$12:$AF$15,$I$12:$I$15)+SUMPRODUCT($AF$16:$AF$18,$I$16:$I$18)+SUMPRODUCT($AF$19:$AF$19,$I$19:$I$19)+SUMPRODUCT($AF$20:$AF$24,$I$20:$I$24)+SUMPRODUCT($AF$25:$AF$26,$I$25:$I$26)+SUMPRODUCT($AF$27:$AF$29,$I$27:$I$29)+SUMPRODUCT($AF$30:$AF$34,$I$30:$I$34)+SUMPRODUCT($AF$35:$AF$39,$I$35:$I$39)+SUMPRODUCT($AF$40:$AF$42,$I$40:$I$42)+SUMPRODUCT($AF$43:$AF$43,$I$43:$I$43)+SUMPRODUCT($AF$44:$AF$46,$I$44:$I$46)+SUMPRODUCT($AF$47:$AF$47,$I$47:$I$47)+SUMPRODUCT($AF$48:$AF$50,$I$48:$I$50)+SUMPRODUCT($AF$51:$AF$51,$I$51:$I$51)+SUMPRODUCT($AF$52:$AF$54,$I$52:$I$54)+SUMPRODUCT($AF$55:$AF$57,$I$55:$I$57)+SUMPRODUCT($AF$58:$AF$58,$I$58:$I$58)+SUMPRODUCT($AF$59:$AF$59,$I$59:$I$59)+SUMPRODUCT($AF$60:$AF$61,$I$60:$I$61)),0,+SUMPRODUCT($AF$5:$AF$8,$I$5:$I$8)+SUMPRODUCT($AF$9:$AF$11,$I$9:$I$11)+SUMPRODUCT($AF$12:$AF$15,$I$12:$I$15)+SUMPRODUCT($AF$16:$AF$18,$I$16:$I$18)+SUMPRODUCT($AF$19:$AF$19,$I$19:$I$19)+SUMPRODUCT($AF$20:$AF$24,$I$20:$I$24)+SUMPRODUCT($AF$25:$AF$26,$I$25:$I$26)+SUMPRODUCT($AF$27:$AF$29,$I$27:$I$29)+SUMPRODUCT($AF$30:$AF$34,$I$30:$I$34)+SUMPRODUCT($AF$35:$AF$39,$I$35:$I$39)+SUMPRODUCT($AF$40:$AF$42,$I$40:$I$42)+SUMPRODUCT($AF$43:$AF$43,$I$43:$I$43)+SUMPRODUCT($AF$44:$AF$46,$I$44:$I$46)+SUMPRODUCT($AF$47:$AF$47,$I$47:$I$47)+SUMPRODUCT($AF$48:$AF$50,$I$48:$I$50)+SUMPRODUCT($AF$51:$AF$51,$I$51:$I$51)+SUMPRODUCT($AF$52:$AF$54,$I$52:$I$54)+SUMPRODUCT($AF$55:$AF$57,$I$55:$I$57)+SUMPRODUCT($AF$58:$AF$58,$I$58:$I$58)+SUMPRODUCT($AF$59:$AF$59,$I$59:$I$59)+SUMPRODUCT($AF$60:$AF$61,$I$60:$I$61))</f>
        <v>0</v>
      </c>
      <c r="AG65" s="12"/>
      <c r="AH65" s="12">
        <f>IF(ISERROR(+SUMPRODUCT($AH$5:$AH$8,$I$5:$I$8)+SUMPRODUCT($AH$9:$AH$11,$I$9:$I$11)+SUMPRODUCT($AH$12:$AH$15,$I$12:$I$15)+SUMPRODUCT($AH$16:$AH$18,$I$16:$I$18)+SUMPRODUCT($AH$19:$AH$19,$I$19:$I$19)+SUMPRODUCT($AH$20:$AH$24,$I$20:$I$24)+SUMPRODUCT($AH$25:$AH$26,$I$25:$I$26)+SUMPRODUCT($AH$27:$AH$29,$I$27:$I$29)+SUMPRODUCT($AH$30:$AH$34,$I$30:$I$34)+SUMPRODUCT($AH$35:$AH$39,$I$35:$I$39)+SUMPRODUCT($AH$40:$AH$42,$I$40:$I$42)+SUMPRODUCT($AH$43:$AH$43,$I$43:$I$43)+SUMPRODUCT($AH$44:$AH$46,$I$44:$I$46)+SUMPRODUCT($AH$47:$AH$47,$I$47:$I$47)+SUMPRODUCT($AH$48:$AH$50,$I$48:$I$50)+SUMPRODUCT($AH$51:$AH$51,$I$51:$I$51)+SUMPRODUCT($AH$52:$AH$54,$I$52:$I$54)+SUMPRODUCT($AH$55:$AH$57,$I$55:$I$57)+SUMPRODUCT($AH$58:$AH$58,$I$58:$I$58)+SUMPRODUCT($AH$59:$AH$59,$I$59:$I$59)+SUMPRODUCT($AH$60:$AH$61,$I$60:$I$61)),0,+SUMPRODUCT($AH$5:$AH$8,$I$5:$I$8)+SUMPRODUCT($AH$9:$AH$11,$I$9:$I$11)+SUMPRODUCT($AH$12:$AH$15,$I$12:$I$15)+SUMPRODUCT($AH$16:$AH$18,$I$16:$I$18)+SUMPRODUCT($AH$19:$AH$19,$I$19:$I$19)+SUMPRODUCT($AH$20:$AH$24,$I$20:$I$24)+SUMPRODUCT($AH$25:$AH$26,$I$25:$I$26)+SUMPRODUCT($AH$27:$AH$29,$I$27:$I$29)+SUMPRODUCT($AH$30:$AH$34,$I$30:$I$34)+SUMPRODUCT($AH$35:$AH$39,$I$35:$I$39)+SUMPRODUCT($AH$40:$AH$42,$I$40:$I$42)+SUMPRODUCT($AH$43:$AH$43,$I$43:$I$43)+SUMPRODUCT($AH$44:$AH$46,$I$44:$I$46)+SUMPRODUCT($AH$47:$AH$47,$I$47:$I$47)+SUMPRODUCT($AH$48:$AH$50,$I$48:$I$50)+SUMPRODUCT($AH$51:$AH$51,$I$51:$I$51)+SUMPRODUCT($AH$52:$AH$54,$I$52:$I$54)+SUMPRODUCT($AH$55:$AH$57,$I$55:$I$57)+SUMPRODUCT($AH$58:$AH$58,$I$58:$I$58)+SUMPRODUCT($AH$59:$AH$59,$I$59:$I$59)+SUMPRODUCT($AH$60:$AH$61,$I$60:$I$61))</f>
        <v>7985576.1178340008</v>
      </c>
      <c r="AI65" s="12">
        <f>IF(ISERROR(+SUMPRODUCT($AI$5:$AI$8,$I$5:$I$8)+SUMPRODUCT($AI$9:$AI$11,$I$9:$I$11)+SUMPRODUCT($AI$12:$AI$15,$I$12:$I$15)+SUMPRODUCT($AI$16:$AI$18,$I$16:$I$18)+SUMPRODUCT($AI$19:$AI$19,$I$19:$I$19)+SUMPRODUCT($AI$20:$AI$24,$I$20:$I$24)+SUMPRODUCT($AI$25:$AI$26,$I$25:$I$26)+SUMPRODUCT($AI$27:$AI$29,$I$27:$I$29)+SUMPRODUCT($AI$30:$AI$34,$I$30:$I$34)+SUMPRODUCT($AI$35:$AI$39,$I$35:$I$39)+SUMPRODUCT($AI$40:$AI$42,$I$40:$I$42)+SUMPRODUCT($AI$43:$AI$43,$I$43:$I$43)+SUMPRODUCT($AI$44:$AI$46,$I$44:$I$46)+SUMPRODUCT($AI$47:$AI$47,$I$47:$I$47)+SUMPRODUCT($AI$48:$AI$50,$I$48:$I$50)+SUMPRODUCT($AI$51:$AI$51,$I$51:$I$51)+SUMPRODUCT($AI$52:$AI$54,$I$52:$I$54)+SUMPRODUCT($AI$55:$AI$57,$I$55:$I$57)+SUMPRODUCT($AI$58:$AI$58,$I$58:$I$58)+SUMPRODUCT($AI$59:$AI$59,$I$59:$I$59)+SUMPRODUCT($AI$60:$AI$61,$I$60:$I$61)),0,+SUMPRODUCT($AI$5:$AI$8,$I$5:$I$8)+SUMPRODUCT($AI$9:$AI$11,$I$9:$I$11)+SUMPRODUCT($AI$12:$AI$15,$I$12:$I$15)+SUMPRODUCT($AI$16:$AI$18,$I$16:$I$18)+SUMPRODUCT($AI$19:$AI$19,$I$19:$I$19)+SUMPRODUCT($AI$20:$AI$24,$I$20:$I$24)+SUMPRODUCT($AI$25:$AI$26,$I$25:$I$26)+SUMPRODUCT($AI$27:$AI$29,$I$27:$I$29)+SUMPRODUCT($AI$30:$AI$34,$I$30:$I$34)+SUMPRODUCT($AI$35:$AI$39,$I$35:$I$39)+SUMPRODUCT($AI$40:$AI$42,$I$40:$I$42)+SUMPRODUCT($AI$43:$AI$43,$I$43:$I$43)+SUMPRODUCT($AI$44:$AI$46,$I$44:$I$46)+SUMPRODUCT($AI$47:$AI$47,$I$47:$I$47)+SUMPRODUCT($AI$48:$AI$50,$I$48:$I$50)+SUMPRODUCT($AI$51:$AI$51,$I$51:$I$51)+SUMPRODUCT($AI$52:$AI$54,$I$52:$I$54)+SUMPRODUCT($AI$55:$AI$57,$I$55:$I$57)+SUMPRODUCT($AI$58:$AI$58,$I$58:$I$58)+SUMPRODUCT($AI$59:$AI$59,$I$59:$I$59)+SUMPRODUCT($AI$60:$AI$61,$I$60:$I$61))</f>
        <v>7985576.1178340008</v>
      </c>
      <c r="AJ65" s="12">
        <f ca="1">IF(ISERROR(+SUMPRODUCT($AJ$5:$AJ$8,$I$5:$I$8)+SUMPRODUCT($AJ$9:$AJ$11,$I$9:$I$11)+SUMPRODUCT($AJ$12:$AJ$15,$I$12:$I$15)+SUMPRODUCT($AJ$16:$AJ$18,$I$16:$I$18)+SUMPRODUCT($AJ$19:$AJ$19,$I$19:$I$19)+SUMPRODUCT($AJ$20:$AJ$24,$I$20:$I$24)+SUMPRODUCT($AJ$25:$AJ$26,$I$25:$I$26)+SUMPRODUCT($AJ$27:$AJ$29,$I$27:$I$29)+SUMPRODUCT($AJ$30:$AJ$34,$I$30:$I$34)+SUMPRODUCT($AJ$35:$AJ$39,$I$35:$I$39)+SUMPRODUCT($AJ$40:$AJ$42,$I$40:$I$42)+SUMPRODUCT($AJ$43:$AJ$43,$I$43:$I$43)+SUMPRODUCT($AJ$44:$AJ$46,$I$44:$I$46)+SUMPRODUCT($AJ$47:$AJ$47,$I$47:$I$47)+SUMPRODUCT($AJ$48:$AJ$50,$I$48:$I$50)+SUMPRODUCT($AJ$51:$AJ$51,$I$51:$I$51)+SUMPRODUCT($AJ$52:$AJ$54,$I$52:$I$54)+SUMPRODUCT($AJ$55:$AJ$57,$I$55:$I$57)+SUMPRODUCT($AJ$58:$AJ$58,$I$58:$I$58)+SUMPRODUCT($AJ$59:$AJ$59,$I$59:$I$59)+SUMPRODUCT($AJ$60:$AJ$61,$I$60:$I$61)),0,+SUMPRODUCT($AJ$5:$AJ$8,$I$5:$I$8)+SUMPRODUCT($AJ$9:$AJ$11,$I$9:$I$11)+SUMPRODUCT($AJ$12:$AJ$15,$I$12:$I$15)+SUMPRODUCT($AJ$16:$AJ$18,$I$16:$I$18)+SUMPRODUCT($AJ$19:$AJ$19,$I$19:$I$19)+SUMPRODUCT($AJ$20:$AJ$24,$I$20:$I$24)+SUMPRODUCT($AJ$25:$AJ$26,$I$25:$I$26)+SUMPRODUCT($AJ$27:$AJ$29,$I$27:$I$29)+SUMPRODUCT($AJ$30:$AJ$34,$I$30:$I$34)+SUMPRODUCT($AJ$35:$AJ$39,$I$35:$I$39)+SUMPRODUCT($AJ$40:$AJ$42,$I$40:$I$42)+SUMPRODUCT($AJ$43:$AJ$43,$I$43:$I$43)+SUMPRODUCT($AJ$44:$AJ$46,$I$44:$I$46)+SUMPRODUCT($AJ$47:$AJ$47,$I$47:$I$47)+SUMPRODUCT($AJ$48:$AJ$50,$I$48:$I$50)+SUMPRODUCT($AJ$51:$AJ$51,$I$51:$I$51)+SUMPRODUCT($AJ$52:$AJ$54,$I$52:$I$54)+SUMPRODUCT($AJ$55:$AJ$57,$I$55:$I$57)+SUMPRODUCT($AJ$58:$AJ$58,$I$58:$I$58)+SUMPRODUCT($AJ$59:$AJ$59,$I$59:$I$59)+SUMPRODUCT($AJ$60:$AJ$61,$I$60:$I$61))</f>
        <v>1480306.7679139189</v>
      </c>
      <c r="AK65" s="12">
        <f ca="1">IF(ISERROR(+SUMPRODUCT($AK$5:$AK$8,$I$5:$I$8)+SUMPRODUCT($AK$9:$AK$11,$I$9:$I$11)+SUMPRODUCT($AK$12:$AK$15,$I$12:$I$15)+SUMPRODUCT($AK$16:$AK$18,$I$16:$I$18)+SUMPRODUCT($AK$19:$AK$19,$I$19:$I$19)+SUMPRODUCT($AK$20:$AK$24,$I$20:$I$24)+SUMPRODUCT($AK$25:$AK$26,$I$25:$I$26)+SUMPRODUCT($AK$27:$AK$29,$I$27:$I$29)+SUMPRODUCT($AK$30:$AK$34,$I$30:$I$34)+SUMPRODUCT($AK$35:$AK$39,$I$35:$I$39)+SUMPRODUCT($AK$40:$AK$42,$I$40:$I$42)+SUMPRODUCT($AK$43:$AK$43,$I$43:$I$43)+SUMPRODUCT($AK$44:$AK$46,$I$44:$I$46)+SUMPRODUCT($AK$47:$AK$47,$I$47:$I$47)+SUMPRODUCT($AK$48:$AK$50,$I$48:$I$50)+SUMPRODUCT($AK$51:$AK$51,$I$51:$I$51)+SUMPRODUCT($AK$52:$AK$54,$I$52:$I$54)+SUMPRODUCT($AK$55:$AK$57,$I$55:$I$57)+SUMPRODUCT($AK$58:$AK$58,$I$58:$I$58)+SUMPRODUCT($AK$59:$AK$59,$I$59:$I$59)+SUMPRODUCT($AK$60:$AK$61,$I$60:$I$61)),0,+SUMPRODUCT($AK$5:$AK$8,$I$5:$I$8)+SUMPRODUCT($AK$9:$AK$11,$I$9:$I$11)+SUMPRODUCT($AK$12:$AK$15,$I$12:$I$15)+SUMPRODUCT($AK$16:$AK$18,$I$16:$I$18)+SUMPRODUCT($AK$19:$AK$19,$I$19:$I$19)+SUMPRODUCT($AK$20:$AK$24,$I$20:$I$24)+SUMPRODUCT($AK$25:$AK$26,$I$25:$I$26)+SUMPRODUCT($AK$27:$AK$29,$I$27:$I$29)+SUMPRODUCT($AK$30:$AK$34,$I$30:$I$34)+SUMPRODUCT($AK$35:$AK$39,$I$35:$I$39)+SUMPRODUCT($AK$40:$AK$42,$I$40:$I$42)+SUMPRODUCT($AK$43:$AK$43,$I$43:$I$43)+SUMPRODUCT($AK$44:$AK$46,$I$44:$I$46)+SUMPRODUCT($AK$47:$AK$47,$I$47:$I$47)+SUMPRODUCT($AK$48:$AK$50,$I$48:$I$50)+SUMPRODUCT($AK$51:$AK$51,$I$51:$I$51)+SUMPRODUCT($AK$52:$AK$54,$I$52:$I$54)+SUMPRODUCT($AK$55:$AK$57,$I$55:$I$57)+SUMPRODUCT($AK$58:$AK$58,$I$58:$I$58)+SUMPRODUCT($AK$59:$AK$59,$I$59:$I$59)+SUMPRODUCT($AK$60:$AK$61,$I$60:$I$61))</f>
        <v>1480306.7679139189</v>
      </c>
      <c r="AL65" s="12"/>
      <c r="AM65" s="12"/>
    </row>
    <row r="66" spans="11:39" ht="11.25" customHeight="1" x14ac:dyDescent="0.25">
      <c r="K66" s="16" t="s">
        <v>757</v>
      </c>
      <c r="L66" s="12">
        <f>CUSTOS!$D$2</f>
        <v>1032973.8005780317</v>
      </c>
      <c r="M66" s="12">
        <f>CUSTOS!$D$3</f>
        <v>430118.8978672598</v>
      </c>
      <c r="N66" s="12">
        <f>CUSTOS!$D$4</f>
        <v>1351473.5832748055</v>
      </c>
      <c r="O66" s="12">
        <f>CUSTOS!$D$5</f>
        <v>27638.035714285714</v>
      </c>
      <c r="P66" s="12">
        <f>CUSTOS!$D$6</f>
        <v>0</v>
      </c>
      <c r="Q66" s="12">
        <f>CUSTOS!$D$7</f>
        <v>20358520.190000001</v>
      </c>
      <c r="R66" s="12">
        <f>CUSTOS!$D$8</f>
        <v>8961536.0506794378</v>
      </c>
      <c r="S66" s="12">
        <f>CUSTOS!$D$9</f>
        <v>0</v>
      </c>
      <c r="T66" s="12">
        <f>CUSTOS!$D$10</f>
        <v>32162260.558113821</v>
      </c>
      <c r="U66" s="12">
        <f>CUSTOS!$D$11</f>
        <v>14520413.184000002</v>
      </c>
      <c r="V66" s="12">
        <f>IF(SUM(V63:V65)&lt;&gt;0,CUSTOS!$D$12+CUSTOS!$D$16+CUSTOS!$D$17-'TR TUSD'!$Z$64-'TR TUSD'!$AA$64,0)</f>
        <v>3971557.3920000005</v>
      </c>
      <c r="W66" s="12">
        <f>CUSTOS!$D$13</f>
        <v>352974.387435015</v>
      </c>
      <c r="X66" s="12">
        <f>CUSTOS!$D$14</f>
        <v>0</v>
      </c>
      <c r="Y66" s="12">
        <f>IF(SUM(V63:V65)=0,CUSTOS!$D$15+CUSTOS!$D$16+CUSTOS!$D$17-'TR TUSD'!$Z$64-'TR TUSD'!$AA$64,CUSTOS!$D$15)</f>
        <v>13975762.558050001</v>
      </c>
      <c r="Z66" s="12">
        <f>Z64</f>
        <v>0</v>
      </c>
      <c r="AA66" s="12">
        <f>AA64</f>
        <v>0</v>
      </c>
      <c r="AB66" s="12">
        <f>CUSTOS!$D$18</f>
        <v>32820707.521485016</v>
      </c>
      <c r="AC66" s="12">
        <f>CUSTOS!$D$19</f>
        <v>103471211.26502535</v>
      </c>
      <c r="AD66" s="12">
        <f>CUSTOS!$D$20</f>
        <v>103471211.26502535</v>
      </c>
      <c r="AE66" s="12">
        <f>CUSTOS!$D$21</f>
        <v>0</v>
      </c>
      <c r="AF66" s="12">
        <f>CUSTOS!$D$22</f>
        <v>0</v>
      </c>
      <c r="AG66" s="12">
        <f>CUSTOS!$D$23</f>
        <v>0</v>
      </c>
      <c r="AH66" s="12">
        <f>CUSTOS!$D$24</f>
        <v>8471966.8740926012</v>
      </c>
      <c r="AI66" s="12">
        <f>CUSTOS!$D$25</f>
        <v>199745.85238276212</v>
      </c>
      <c r="AJ66" s="12">
        <f>CUSTOS!$D$26</f>
        <v>1520990.084976139</v>
      </c>
      <c r="AK66" s="12">
        <f>CUSTOS!$D$27</f>
        <v>0</v>
      </c>
      <c r="AL66" s="12">
        <f>CUSTOS!$D$28</f>
        <v>10192702.811451502</v>
      </c>
      <c r="AM66" s="12">
        <f>CUSTOS!$D$29</f>
        <v>178646882.15607569</v>
      </c>
    </row>
    <row r="67" spans="11:39" ht="11.25" customHeight="1" x14ac:dyDescent="0.25">
      <c r="K67" s="16" t="s">
        <v>758</v>
      </c>
      <c r="L67" s="12">
        <f>CUSTOS!$E$2</f>
        <v>-45608.360377848061</v>
      </c>
      <c r="M67" s="12">
        <f>CUSTOS!$E$3</f>
        <v>-14166.531065114292</v>
      </c>
      <c r="N67" s="12">
        <f>CUSTOS!$E$4</f>
        <v>0</v>
      </c>
      <c r="O67" s="12">
        <f>CUSTOS!$E$5</f>
        <v>-1575.5005387090303</v>
      </c>
      <c r="P67" s="12">
        <f>CUSTOS!$E$6</f>
        <v>0</v>
      </c>
      <c r="Q67" s="12">
        <f>CUSTOS!$E$7</f>
        <v>-586670.68666997878</v>
      </c>
      <c r="R67" s="12">
        <f>CUSTOS!$E$8</f>
        <v>-255138.45347551774</v>
      </c>
      <c r="S67" s="12">
        <f>CUSTOS!$E$9</f>
        <v>0</v>
      </c>
      <c r="T67" s="12">
        <f>CUSTOS!$E$10</f>
        <v>-903159.5321271678</v>
      </c>
      <c r="U67" s="12">
        <f>CUSTOS!$E$11</f>
        <v>34307.246296391517</v>
      </c>
      <c r="V67" s="12">
        <f>CUSTOS!$E$12</f>
        <v>0</v>
      </c>
      <c r="W67" s="12">
        <f>CUSTOS!$E$13</f>
        <v>0</v>
      </c>
      <c r="X67" s="12">
        <f>CUSTOS!$E$14</f>
        <v>0</v>
      </c>
      <c r="Y67" s="12">
        <f>CUSTOS!$E$15</f>
        <v>-292431.97467562632</v>
      </c>
      <c r="Z67" s="12">
        <f>CUSTOS!$E$16</f>
        <v>0</v>
      </c>
      <c r="AA67" s="12">
        <f>CUSTOS!$E$17</f>
        <v>0</v>
      </c>
      <c r="AB67" s="12">
        <f>CUSTOS!$E$18</f>
        <v>-258124.72837923479</v>
      </c>
      <c r="AC67" s="12">
        <f>CUSTOS!$E$19</f>
        <v>-645021.98149003857</v>
      </c>
      <c r="AD67" s="12">
        <f>CUSTOS!$E$20</f>
        <v>-645021.98149003857</v>
      </c>
      <c r="AE67" s="12">
        <f>CUSTOS!$E$21</f>
        <v>-14783834.877586793</v>
      </c>
      <c r="AF67" s="12">
        <f>CUSTOS!$E$22</f>
        <v>0</v>
      </c>
      <c r="AG67" s="12">
        <f>CUSTOS!$E$23</f>
        <v>-14783834.877586793</v>
      </c>
      <c r="AH67" s="12">
        <f>CUSTOS!$E$24</f>
        <v>-483878.17770503578</v>
      </c>
      <c r="AI67" s="12">
        <f>CUSTOS!$E$25</f>
        <v>-11408.52655487538</v>
      </c>
      <c r="AJ67" s="12">
        <f>CUSTOS!$E$26</f>
        <v>-86871.670010455389</v>
      </c>
      <c r="AK67" s="12">
        <f>CUSTOS!$E$27</f>
        <v>0</v>
      </c>
      <c r="AL67" s="12">
        <f>CUSTOS!$E$28</f>
        <v>-582158.3742703665</v>
      </c>
      <c r="AM67" s="12">
        <f>CUSTOS!$E$29</f>
        <v>-17172299.493853599</v>
      </c>
    </row>
    <row r="68" spans="11:39" ht="11.25" customHeight="1" x14ac:dyDescent="0.25">
      <c r="K68" s="16" t="s">
        <v>759</v>
      </c>
      <c r="L68" s="12">
        <f>CUSTOS!$F$2</f>
        <v>118299.57656469238</v>
      </c>
      <c r="M68" s="12">
        <f>CUSTOS!$F$3</f>
        <v>0</v>
      </c>
      <c r="N68" s="12">
        <f>CUSTOS!$F$4</f>
        <v>0</v>
      </c>
      <c r="O68" s="12">
        <f>CUSTOS!$F$5</f>
        <v>0</v>
      </c>
      <c r="P68" s="12">
        <f>CUSTOS!$F$6</f>
        <v>0</v>
      </c>
      <c r="Q68" s="12">
        <f>CUSTOS!$F$7</f>
        <v>-9249.6930267323551</v>
      </c>
      <c r="R68" s="12">
        <f>CUSTOS!$F$8</f>
        <v>290912.54638488876</v>
      </c>
      <c r="S68" s="12">
        <f>CUSTOS!$F$9</f>
        <v>0</v>
      </c>
      <c r="T68" s="12">
        <f>CUSTOS!$F$10</f>
        <v>399962.42992284882</v>
      </c>
      <c r="U68" s="12">
        <f>CUSTOS!$F$11</f>
        <v>797866.15633681579</v>
      </c>
      <c r="V68" s="12">
        <f>CUSTOS!$F$12</f>
        <v>218228.72330642547</v>
      </c>
      <c r="W68" s="12">
        <f>CUSTOS!$F$13</f>
        <v>0</v>
      </c>
      <c r="X68" s="12">
        <f>CUSTOS!$F$14</f>
        <v>0</v>
      </c>
      <c r="Y68" s="12">
        <f>CUSTOS!$F$15</f>
        <v>0</v>
      </c>
      <c r="Z68" s="12">
        <f>CUSTOS!$F$16</f>
        <v>0</v>
      </c>
      <c r="AA68" s="12">
        <f>CUSTOS!$F$17</f>
        <v>0</v>
      </c>
      <c r="AB68" s="12">
        <f>CUSTOS!$F$18</f>
        <v>1016094.8796432413</v>
      </c>
      <c r="AC68" s="12">
        <f>CUSTOS!$F$19</f>
        <v>0</v>
      </c>
      <c r="AD68" s="12">
        <f>CUSTOS!$F$20</f>
        <v>0</v>
      </c>
      <c r="AE68" s="12">
        <f>CUSTOS!$F$21</f>
        <v>0</v>
      </c>
      <c r="AF68" s="12">
        <f>CUSTOS!$F$22</f>
        <v>0</v>
      </c>
      <c r="AG68" s="12">
        <f>CUSTOS!$F$23</f>
        <v>0</v>
      </c>
      <c r="AH68" s="12">
        <f>CUSTOS!$F$24</f>
        <v>1408323.2380520743</v>
      </c>
      <c r="AI68" s="12">
        <f>CUSTOS!$F$25</f>
        <v>33204.417556848966</v>
      </c>
      <c r="AJ68" s="12">
        <f>CUSTOS!$F$26</f>
        <v>252839.24186119085</v>
      </c>
      <c r="AK68" s="12">
        <f>CUSTOS!$F$27</f>
        <v>0</v>
      </c>
      <c r="AL68" s="12">
        <f>CUSTOS!$F$28</f>
        <v>1694366.8974701143</v>
      </c>
      <c r="AM68" s="12">
        <f>CUSTOS!$F$29</f>
        <v>3110424.2070362046</v>
      </c>
    </row>
    <row r="69" spans="11:39" ht="11.25" customHeight="1" x14ac:dyDescent="0.25">
      <c r="K69" s="16" t="s">
        <v>822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/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/>
      <c r="AC69" s="12">
        <v>0</v>
      </c>
      <c r="AD69" s="12"/>
      <c r="AE69" s="12">
        <v>0</v>
      </c>
      <c r="AF69" s="12">
        <v>0</v>
      </c>
      <c r="AG69" s="12"/>
      <c r="AH69" s="12">
        <v>0</v>
      </c>
      <c r="AI69" s="12">
        <v>0</v>
      </c>
      <c r="AJ69" s="12">
        <v>0</v>
      </c>
      <c r="AK69" s="12">
        <v>0</v>
      </c>
      <c r="AL69" s="12"/>
      <c r="AM69" s="12"/>
    </row>
    <row r="70" spans="11:39" ht="11.25" customHeight="1" x14ac:dyDescent="0.25">
      <c r="K70" s="16" t="s">
        <v>823</v>
      </c>
      <c r="L70" s="12">
        <f t="shared" ref="L70:S70" si="2">IF((L65+L63)&lt;&gt;0,(L66-L64-L69)/(L65+L63),0)</f>
        <v>1.8274725492357917</v>
      </c>
      <c r="M70" s="12">
        <f t="shared" si="2"/>
        <v>1.0302553079099428</v>
      </c>
      <c r="N70" s="12">
        <f t="shared" ca="1" si="2"/>
        <v>1.1711867171375516</v>
      </c>
      <c r="O70" s="12">
        <f t="shared" si="2"/>
        <v>3.9888958600876039E-2</v>
      </c>
      <c r="P70" s="12">
        <f t="shared" si="2"/>
        <v>0</v>
      </c>
      <c r="Q70" s="12">
        <f t="shared" si="2"/>
        <v>36.017018795122063</v>
      </c>
      <c r="R70" s="12">
        <f t="shared" si="2"/>
        <v>14.370155340997961</v>
      </c>
      <c r="S70" s="12">
        <f t="shared" si="2"/>
        <v>0</v>
      </c>
      <c r="T70" s="12"/>
      <c r="U70" s="12">
        <f>IF(U65&lt;&gt;0,(U66-U64-U63-U69)/U65,0)</f>
        <v>0.99408142250185494</v>
      </c>
      <c r="V70" s="12">
        <f>IF(V65&lt;&gt;0,(V66-V64-V63-V69)/V65,0)</f>
        <v>0.78408215016286731</v>
      </c>
      <c r="W70" s="12">
        <f>IF(W65&lt;&gt;0,(W66-W64-W63-W69)/W65,0)</f>
        <v>0.80516245849827384</v>
      </c>
      <c r="X70" s="12">
        <f>IF(X65&lt;&gt;0,(X66-X64-X63-X69)/X65,0)</f>
        <v>0</v>
      </c>
      <c r="Y70" s="12">
        <f>IF(Y65&lt;&gt;0,(Y66-Y64-Y63-Y69)/Y65,0)</f>
        <v>1.1088559229893054</v>
      </c>
      <c r="Z70" s="12"/>
      <c r="AA70" s="12"/>
      <c r="AB70" s="12"/>
      <c r="AC70" s="12">
        <f>IF(AC65&lt;&gt;0,(AC66-AC64-AC63-AC69)/AC65,0)</f>
        <v>1.1915423760901718</v>
      </c>
      <c r="AD70" s="12"/>
      <c r="AE70" s="12">
        <f>IF((AE65+AE63)&lt;&gt;0,(AE66-AE64-AE69)/(AE65+AE63),0)</f>
        <v>0</v>
      </c>
      <c r="AF70" s="12">
        <f>IF((AF65+AF63)&lt;&gt;0,(AF66-AF64-AF69)/(AF65+AF63),0)</f>
        <v>0</v>
      </c>
      <c r="AG70" s="12"/>
      <c r="AH70" s="12">
        <f>IF(AH65&lt;&gt;0,(AH66-AH64-AH63-AH69)/AH65,0)</f>
        <v>1.0609086619526868</v>
      </c>
      <c r="AI70" s="12">
        <f>IF(AI65&lt;&gt;0,(AI66-AI64-AI63-AI69)/AI65,0)</f>
        <v>2.5013330213793136E-2</v>
      </c>
      <c r="AJ70" s="12">
        <f ca="1">IF((AJ65+AJ63)&lt;&gt;0,(AJ66-AJ64-AJ69)/(AJ65+AJ63),0)</f>
        <v>1.0274830311824839</v>
      </c>
      <c r="AK70" s="12">
        <f ca="1">IF((AK65+AK63)&lt;&gt;0,(AK66-AK64-AK69)/(AK65+AK63),0)</f>
        <v>0</v>
      </c>
      <c r="AL70" s="12"/>
      <c r="AM70" s="12"/>
    </row>
    <row r="72" spans="11:39" ht="11.25" customHeight="1" x14ac:dyDescent="0.25">
      <c r="K72" s="19" t="s">
        <v>827</v>
      </c>
      <c r="L72" s="19" t="s">
        <v>828</v>
      </c>
      <c r="M72" s="19" t="s">
        <v>829</v>
      </c>
      <c r="N72" s="19" t="s">
        <v>830</v>
      </c>
      <c r="O72" s="19" t="s">
        <v>831</v>
      </c>
      <c r="P72" s="19" t="s">
        <v>832</v>
      </c>
    </row>
    <row r="73" spans="11:39" ht="11.25" customHeight="1" x14ac:dyDescent="0.25">
      <c r="K73" s="17" t="s">
        <v>56</v>
      </c>
      <c r="L73" s="17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5001459.2717614323</v>
      </c>
      <c r="M73" s="17">
        <f>+'TUSD BE'!$I$7+'TUSD BE'!$I$8</f>
        <v>69324.911000000007</v>
      </c>
      <c r="N73" s="17">
        <f ca="1">IF(AND($L$81&lt;&gt;0,M73&lt;&gt;0),(L73/$L$81*$AJ$66)/M73,0)</f>
        <v>0.63469313535560201</v>
      </c>
      <c r="O73" s="17"/>
      <c r="P73" s="17"/>
    </row>
    <row r="74" spans="11:39" ht="11.25" customHeight="1" x14ac:dyDescent="0.25">
      <c r="K74" s="17" t="s">
        <v>39</v>
      </c>
      <c r="L74" s="17">
        <f ca="1">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</f>
        <v>40901136.231284477</v>
      </c>
      <c r="M74" s="17">
        <f>+'TUSD BE'!$I$14+'TUSD BE'!$I$15+'TUSD BE'!$I$21+'TUSD BE'!$I$22+'TUSD BE'!$I$23+'TUSD BE'!$I$24</f>
        <v>200191.736</v>
      </c>
      <c r="N74" s="17">
        <f ca="1">IF(AND($L$81&lt;&gt;0,M74&lt;&gt;0),(L74/$L$81*$AJ$66)/M74,0)</f>
        <v>1.7974036217916654</v>
      </c>
      <c r="O74" s="17"/>
      <c r="P74" s="17"/>
    </row>
    <row r="75" spans="11:39" ht="11.25" customHeight="1" x14ac:dyDescent="0.25">
      <c r="K75" s="17" t="s">
        <v>88</v>
      </c>
      <c r="L75" s="17">
        <f ca="1">+$L$76+$L$77+$L$78+$L$79+$L$80</f>
        <v>126987453.6291634</v>
      </c>
      <c r="M75" s="17">
        <f>+$M$76+$M$77+$M$78+$M$79+$M$80</f>
        <v>439357.59000000008</v>
      </c>
      <c r="N75" s="17">
        <f ca="1">IF(AND($L$81&lt;&gt;0,M75&lt;&gt;0),(L75/$L$81*$AJ$66)/M75,0)</f>
        <v>2.5427230892179189</v>
      </c>
      <c r="O75" s="17"/>
      <c r="P75" s="17"/>
    </row>
    <row r="76" spans="11:39" ht="11.25" customHeight="1" x14ac:dyDescent="0.25">
      <c r="K76" s="17" t="s">
        <v>88</v>
      </c>
      <c r="L76" s="17"/>
      <c r="M76" s="17"/>
      <c r="N76" s="17">
        <f ca="1">IF(AND($L$81&lt;&gt;0,M76&lt;&gt;0),(L76/$L$81*$AJ$66)/M76,0)</f>
        <v>0</v>
      </c>
      <c r="O76" s="17"/>
      <c r="P76" s="17"/>
    </row>
    <row r="77" spans="11:39" ht="11.25" customHeight="1" x14ac:dyDescent="0.25">
      <c r="K77" s="17" t="s">
        <v>22</v>
      </c>
      <c r="L77" s="17">
        <f ca="1">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</f>
        <v>84575126.809526399</v>
      </c>
      <c r="M77" s="17">
        <f>+'TUSD BE'!$I$27+'TUSD BE'!$I$28+'TUSD BE'!$I$29+'TUSD BE'!$I$30+'TUSD BE'!$I$31+'TUSD BE'!$I$32+'TUSD BE'!$I$33+'TUSD BE'!$I$34+'TUSD BE'!$I$35+'TUSD BE'!$I$36+'TUSD BE'!$I$37+'TUSD BE'!$I$38+'TUSD BE'!$I$39</f>
        <v>285867.28200000006</v>
      </c>
      <c r="N77" s="17"/>
      <c r="O77" s="17"/>
      <c r="P77" s="17"/>
    </row>
    <row r="78" spans="11:39" ht="11.25" customHeight="1" x14ac:dyDescent="0.25">
      <c r="K78" s="17" t="s">
        <v>43</v>
      </c>
      <c r="L78" s="17">
        <f ca="1">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</f>
        <v>7325537.5014257729</v>
      </c>
      <c r="M78" s="17">
        <f>+'TUSD BE'!$I$40+'TUSD BE'!$I$41+'TUSD BE'!$I$42+'TUSD BE'!$I$43+'TUSD BE'!$I$44+'TUSD BE'!$I$45+'TUSD BE'!$I$46+'TUSD BE'!$I$47+'TUSD BE'!$I$48+'TUSD BE'!$I$49+'TUSD BE'!$I$50+'TUSD BE'!$I$51+'TUSD BE'!$I$52+'TUSD BE'!$I$53+'TUSD BE'!$I$54</f>
        <v>23745.265000000003</v>
      </c>
      <c r="N78" s="17"/>
      <c r="O78" s="17"/>
      <c r="P78" s="17"/>
    </row>
    <row r="79" spans="11:39" ht="11.25" customHeight="1" x14ac:dyDescent="0.25">
      <c r="K79" s="17" t="s">
        <v>37</v>
      </c>
      <c r="L79" s="17">
        <f ca="1">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</f>
        <v>29053696.328427069</v>
      </c>
      <c r="M79" s="17">
        <f>+'TUSD BE'!$I$55+'TUSD BE'!$I$56+'TUSD BE'!$I$57+'TUSD BE'!$I$58+'TUSD BE'!$I$59</f>
        <v>94189.707999999999</v>
      </c>
      <c r="N79" s="17"/>
      <c r="O79" s="17"/>
      <c r="P79" s="17"/>
    </row>
    <row r="80" spans="11:39" ht="11.25" customHeight="1" x14ac:dyDescent="0.25">
      <c r="K80" s="17" t="s">
        <v>46</v>
      </c>
      <c r="L80" s="17">
        <f ca="1">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</f>
        <v>6033092.9897841671</v>
      </c>
      <c r="M80" s="17">
        <f>+'TUSD BE'!$I$60+'TUSD BE'!$I$61</f>
        <v>35555.334999999999</v>
      </c>
      <c r="N80" s="17"/>
      <c r="O80" s="17"/>
      <c r="P80" s="17"/>
    </row>
    <row r="81" spans="11:16" ht="11.25" customHeight="1" x14ac:dyDescent="0.25">
      <c r="K81" s="17"/>
      <c r="L81" s="17">
        <f ca="1">SUM($L$73:$L$80,-$L$75)</f>
        <v>172890049.1322093</v>
      </c>
      <c r="M81" s="17">
        <f>SUM($M$73:$M$80,-$M$75)</f>
        <v>708874.23699999996</v>
      </c>
      <c r="N81" s="17"/>
      <c r="O81" s="17"/>
      <c r="P81" s="17"/>
    </row>
  </sheetData>
  <mergeCells count="89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55:E57"/>
    <mergeCell ref="F55:F57"/>
    <mergeCell ref="A60:A61"/>
    <mergeCell ref="B60:B61"/>
    <mergeCell ref="C60:C61"/>
    <mergeCell ref="B52:B54"/>
    <mergeCell ref="C52:C54"/>
    <mergeCell ref="A55:A59"/>
    <mergeCell ref="B55:B57"/>
    <mergeCell ref="C55:C57"/>
    <mergeCell ref="D55:D57"/>
    <mergeCell ref="F44:F46"/>
    <mergeCell ref="B48:B50"/>
    <mergeCell ref="C48:C50"/>
    <mergeCell ref="D48:D50"/>
    <mergeCell ref="E48:E50"/>
    <mergeCell ref="F48:F50"/>
    <mergeCell ref="A40:A54"/>
    <mergeCell ref="B40:B42"/>
    <mergeCell ref="C40:C42"/>
    <mergeCell ref="D40:D42"/>
    <mergeCell ref="E40:E42"/>
    <mergeCell ref="F40:F42"/>
    <mergeCell ref="B44:B46"/>
    <mergeCell ref="C44:C46"/>
    <mergeCell ref="D44:D46"/>
    <mergeCell ref="E44:E46"/>
    <mergeCell ref="F27:F29"/>
    <mergeCell ref="B30:B34"/>
    <mergeCell ref="C30:C34"/>
    <mergeCell ref="B35:B39"/>
    <mergeCell ref="C35:C39"/>
    <mergeCell ref="A27:A39"/>
    <mergeCell ref="B27:B29"/>
    <mergeCell ref="C27:C29"/>
    <mergeCell ref="D27:D29"/>
    <mergeCell ref="E27:E29"/>
    <mergeCell ref="F20:F22"/>
    <mergeCell ref="E23:E24"/>
    <mergeCell ref="F23:F24"/>
    <mergeCell ref="A25:A26"/>
    <mergeCell ref="B25:B26"/>
    <mergeCell ref="C25:C26"/>
    <mergeCell ref="D25:D26"/>
    <mergeCell ref="F12:F14"/>
    <mergeCell ref="B16:B18"/>
    <mergeCell ref="C16:C18"/>
    <mergeCell ref="D16:D18"/>
    <mergeCell ref="A5:A11"/>
    <mergeCell ref="B5:B8"/>
    <mergeCell ref="C5:C8"/>
    <mergeCell ref="D5:D8"/>
    <mergeCell ref="E5:E7"/>
    <mergeCell ref="F5:F7"/>
    <mergeCell ref="E16:E18"/>
    <mergeCell ref="F16:F18"/>
    <mergeCell ref="A12:A24"/>
    <mergeCell ref="B12:B15"/>
    <mergeCell ref="C12:C15"/>
    <mergeCell ref="D12:D15"/>
    <mergeCell ref="E12:E14"/>
    <mergeCell ref="B20:B24"/>
    <mergeCell ref="C20:C24"/>
    <mergeCell ref="D20:D24"/>
    <mergeCell ref="E20:E22"/>
    <mergeCell ref="B9:B11"/>
    <mergeCell ref="C9:C11"/>
    <mergeCell ref="D9:D11"/>
    <mergeCell ref="E9:E11"/>
    <mergeCell ref="F9:F1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22AC2-89CD-4B39-807E-D6F4740D41D9}">
  <dimension ref="A1:AP68"/>
  <sheetViews>
    <sheetView showGridLines="0" topLeftCell="Z45" workbookViewId="0">
      <selection activeCell="AM63" sqref="AM6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7.8554687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07" t="s">
        <v>68</v>
      </c>
      <c r="B1" s="107" t="s">
        <v>69</v>
      </c>
      <c r="C1" s="107" t="s">
        <v>70</v>
      </c>
      <c r="D1" s="107" t="s">
        <v>71</v>
      </c>
      <c r="E1" s="107" t="s">
        <v>72</v>
      </c>
      <c r="F1" s="107" t="s">
        <v>15</v>
      </c>
      <c r="G1" s="107" t="s">
        <v>74</v>
      </c>
      <c r="H1" s="107" t="s">
        <v>75</v>
      </c>
      <c r="I1" s="107" t="s">
        <v>816</v>
      </c>
      <c r="J1" s="95"/>
      <c r="L1" s="108" t="s">
        <v>824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P1" s="108" t="s">
        <v>818</v>
      </c>
    </row>
    <row r="2" spans="1:42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8" t="s">
        <v>716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P2" s="109"/>
    </row>
    <row r="3" spans="1:42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8" t="s">
        <v>717</v>
      </c>
      <c r="M3" s="108"/>
      <c r="N3" s="108"/>
      <c r="O3" s="108"/>
      <c r="P3" s="108"/>
      <c r="Q3" s="108"/>
      <c r="R3" s="108"/>
      <c r="S3" s="108"/>
      <c r="T3" s="108"/>
      <c r="U3" s="108" t="s">
        <v>726</v>
      </c>
      <c r="V3" s="108"/>
      <c r="W3" s="108"/>
      <c r="X3" s="108"/>
      <c r="Y3" s="108"/>
      <c r="Z3" s="108"/>
      <c r="AA3" s="108"/>
      <c r="AB3" s="108"/>
      <c r="AC3" s="108" t="s">
        <v>734</v>
      </c>
      <c r="AD3" s="108"/>
      <c r="AE3" s="108" t="s">
        <v>736</v>
      </c>
      <c r="AF3" s="108"/>
      <c r="AG3" s="108"/>
      <c r="AH3" s="108" t="s">
        <v>739</v>
      </c>
      <c r="AI3" s="108"/>
      <c r="AJ3" s="108"/>
      <c r="AK3" s="108"/>
      <c r="AL3" s="108"/>
      <c r="AM3" s="108" t="s">
        <v>725</v>
      </c>
      <c r="AP3" s="109"/>
    </row>
    <row r="4" spans="1:42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10" t="s">
        <v>801</v>
      </c>
      <c r="M4" s="10" t="s">
        <v>718</v>
      </c>
      <c r="N4" s="10" t="s">
        <v>719</v>
      </c>
      <c r="O4" s="10" t="s">
        <v>720</v>
      </c>
      <c r="P4" s="10" t="s">
        <v>721</v>
      </c>
      <c r="Q4" s="10" t="s">
        <v>722</v>
      </c>
      <c r="R4" s="10" t="s">
        <v>723</v>
      </c>
      <c r="S4" s="10" t="s">
        <v>724</v>
      </c>
      <c r="T4" s="10" t="s">
        <v>725</v>
      </c>
      <c r="U4" s="10" t="s">
        <v>727</v>
      </c>
      <c r="V4" s="10" t="s">
        <v>728</v>
      </c>
      <c r="W4" s="10" t="s">
        <v>729</v>
      </c>
      <c r="X4" s="10" t="s">
        <v>730</v>
      </c>
      <c r="Y4" s="10" t="s">
        <v>731</v>
      </c>
      <c r="Z4" s="10" t="s">
        <v>732</v>
      </c>
      <c r="AA4" s="10" t="s">
        <v>733</v>
      </c>
      <c r="AB4" s="10" t="s">
        <v>725</v>
      </c>
      <c r="AC4" s="10" t="s">
        <v>735</v>
      </c>
      <c r="AD4" s="10" t="s">
        <v>725</v>
      </c>
      <c r="AE4" s="10" t="s">
        <v>737</v>
      </c>
      <c r="AF4" s="10" t="s">
        <v>738</v>
      </c>
      <c r="AG4" s="10" t="s">
        <v>725</v>
      </c>
      <c r="AH4" s="10" t="s">
        <v>740</v>
      </c>
      <c r="AI4" s="10" t="s">
        <v>741</v>
      </c>
      <c r="AJ4" s="10" t="s">
        <v>742</v>
      </c>
      <c r="AK4" s="10" t="s">
        <v>743</v>
      </c>
      <c r="AL4" s="10" t="s">
        <v>725</v>
      </c>
      <c r="AM4" s="110"/>
      <c r="AP4" s="109"/>
    </row>
    <row r="5" spans="1:42" ht="11.25" customHeight="1" x14ac:dyDescent="0.25">
      <c r="A5" s="106" t="s">
        <v>56</v>
      </c>
      <c r="B5" s="106" t="s">
        <v>40</v>
      </c>
      <c r="C5" s="106" t="s">
        <v>25</v>
      </c>
      <c r="D5" s="106" t="s">
        <v>25</v>
      </c>
      <c r="E5" s="106" t="s">
        <v>25</v>
      </c>
      <c r="F5" s="106" t="s">
        <v>25</v>
      </c>
      <c r="G5" s="17" t="s">
        <v>82</v>
      </c>
      <c r="H5" s="17" t="s">
        <v>81</v>
      </c>
      <c r="I5" s="17">
        <f>'MERCADO TUSD'!$U$2</f>
        <v>115925</v>
      </c>
      <c r="J5" s="15"/>
      <c r="L5" s="12">
        <f>'TR TUSD'!$L$5*'TR TUSD'!$L$70</f>
        <v>0</v>
      </c>
      <c r="M5" s="12">
        <f>'TR TUSD'!$M$5*'TR TUSD'!$M$70</f>
        <v>0</v>
      </c>
      <c r="N5" s="12">
        <f ca="1">'TR TUSD'!$N$5*'TR TUSD'!$N$70</f>
        <v>0</v>
      </c>
      <c r="O5" s="12">
        <f>'TR TUSD'!$O$5*'TR TUSD'!$O$70</f>
        <v>0</v>
      </c>
      <c r="P5" s="12">
        <f>'TR TUSD'!$P$5*'TR TUSD'!$P$70</f>
        <v>0</v>
      </c>
      <c r="Q5" s="12">
        <f>'TR TUSD'!$Q$5*'TR TUSD'!$Q$70</f>
        <v>0</v>
      </c>
      <c r="R5" s="12">
        <f>'TR TUSD'!$R$5*'TR TUSD'!$R$70</f>
        <v>0</v>
      </c>
      <c r="S5" s="12">
        <f>'TR TUSD'!$S$5*'TR TUSD'!$S$70</f>
        <v>0</v>
      </c>
      <c r="T5" s="12">
        <f ca="1">SUM($L$5:$S$5)</f>
        <v>0</v>
      </c>
      <c r="U5" s="12">
        <f>'TR TUSD'!$U$5*'TR TUSD'!$U$70</f>
        <v>4.0470247607757512</v>
      </c>
      <c r="V5" s="12">
        <f>'TR TUSD'!$V$5*'TR TUSD'!$V$70</f>
        <v>1.1007258856846396</v>
      </c>
      <c r="W5" s="12">
        <f>'TR TUSD'!$W$5*'TR TUSD'!$W$70</f>
        <v>9.958249286706651E-2</v>
      </c>
      <c r="X5" s="12">
        <f>'TR TUSD'!$X$5*'TR TUSD'!$X$70</f>
        <v>0</v>
      </c>
      <c r="Y5" s="12">
        <f>'TR TUSD'!$Y$5*'TR TUSD'!$Y$70</f>
        <v>4.8457003834632646</v>
      </c>
      <c r="Z5" s="12">
        <f>'TR TUSD'!$Z$5</f>
        <v>0</v>
      </c>
      <c r="AA5" s="12">
        <f>'TR TUSD'!$AA$5</f>
        <v>0</v>
      </c>
      <c r="AB5" s="12">
        <f>SUM($U$5:$AA$5)</f>
        <v>10.093033522790723</v>
      </c>
      <c r="AC5" s="12">
        <f>'TR TUSD'!$AC$5*'TR TUSD'!$AC$70</f>
        <v>2.5359834698802346</v>
      </c>
      <c r="AD5" s="12">
        <f>SUM($AC$5:$AC$5)</f>
        <v>2.5359834698802346</v>
      </c>
      <c r="AE5" s="12">
        <v>0</v>
      </c>
      <c r="AF5" s="12">
        <v>0</v>
      </c>
      <c r="AG5" s="12">
        <f>SUM($AE$5:$AF$5)</f>
        <v>0</v>
      </c>
      <c r="AH5" s="12">
        <f>'TR TUSD'!$AH$5*'TR TUSD'!$AH$70</f>
        <v>0</v>
      </c>
      <c r="AI5" s="12">
        <f>'TR TUSD'!$AI$5*'TR TUSD'!$AI$70</f>
        <v>0</v>
      </c>
      <c r="AJ5" s="12">
        <f ca="1">'TR TUSD'!$AJ$5*'TR TUSD'!$AJ$70</f>
        <v>0</v>
      </c>
      <c r="AK5" s="12">
        <f ca="1">'TR TUSD'!$AK$5*'TR TUSD'!$AK$70</f>
        <v>0</v>
      </c>
      <c r="AL5" s="12">
        <f ca="1">SUM($AH$5:$AK$5)</f>
        <v>0</v>
      </c>
      <c r="AM5" s="12">
        <f ca="1">SUMIF($L$4:$AL$4,"SUBTOTAL",$L$5:$AL$5)</f>
        <v>12.629016992670957</v>
      </c>
      <c r="AP5" s="12">
        <v>1</v>
      </c>
    </row>
    <row r="6" spans="1:42" ht="11.25" customHeight="1" x14ac:dyDescent="0.25">
      <c r="A6" s="106"/>
      <c r="B6" s="106"/>
      <c r="C6" s="106"/>
      <c r="D6" s="106"/>
      <c r="E6" s="106"/>
      <c r="F6" s="106"/>
      <c r="G6" s="17" t="s">
        <v>83</v>
      </c>
      <c r="H6" s="17" t="s">
        <v>81</v>
      </c>
      <c r="I6" s="17">
        <f>'MERCADO TUSD'!$U$3</f>
        <v>117848</v>
      </c>
      <c r="J6" s="15"/>
      <c r="L6" s="12">
        <f>'TR TUSD'!$L$6*'TR TUSD'!$L$70</f>
        <v>0</v>
      </c>
      <c r="M6" s="12">
        <f>'TR TUSD'!$M$6*'TR TUSD'!$M$70</f>
        <v>0</v>
      </c>
      <c r="N6" s="12">
        <f ca="1">'TR TUSD'!$N$6*'TR TUSD'!$N$70</f>
        <v>0</v>
      </c>
      <c r="O6" s="12">
        <f>'TR TUSD'!$O$6*'TR TUSD'!$O$70</f>
        <v>0</v>
      </c>
      <c r="P6" s="12">
        <f>'TR TUSD'!$P$6*'TR TUSD'!$P$70</f>
        <v>0</v>
      </c>
      <c r="Q6" s="12">
        <f>'TR TUSD'!$Q$6*'TR TUSD'!$Q$70</f>
        <v>0</v>
      </c>
      <c r="R6" s="12">
        <f>'TR TUSD'!$R$6*'TR TUSD'!$R$70</f>
        <v>0</v>
      </c>
      <c r="S6" s="12">
        <f>'TR TUSD'!$S$6*'TR TUSD'!$S$70</f>
        <v>0</v>
      </c>
      <c r="T6" s="12">
        <f ca="1">SUM($L$6:$S$6)</f>
        <v>0</v>
      </c>
      <c r="U6" s="12">
        <f>'TR TUSD'!$U$6*'TR TUSD'!$U$70</f>
        <v>3.1004206670125858</v>
      </c>
      <c r="V6" s="12">
        <f>'TR TUSD'!$V$6*'TR TUSD'!$V$70</f>
        <v>0.85257956680109548</v>
      </c>
      <c r="W6" s="12">
        <f>'TR TUSD'!$W$6*'TR TUSD'!$W$70</f>
        <v>7.4268185171880774E-2</v>
      </c>
      <c r="X6" s="12">
        <f>'TR TUSD'!$X$6*'TR TUSD'!$X$70</f>
        <v>0</v>
      </c>
      <c r="Y6" s="12">
        <f>'TR TUSD'!$Y$6*'TR TUSD'!$Y$70</f>
        <v>1.6414615999195286</v>
      </c>
      <c r="Z6" s="12">
        <f>'TR TUSD'!$Z$6</f>
        <v>0</v>
      </c>
      <c r="AA6" s="12">
        <f>'TR TUSD'!$AA$6</f>
        <v>0</v>
      </c>
      <c r="AB6" s="12">
        <f>SUM($U$6:$AA$6)</f>
        <v>5.6687300189050909</v>
      </c>
      <c r="AC6" s="12">
        <f>'TR TUSD'!$AC$6*'TR TUSD'!$AC$70</f>
        <v>0.32123982459391032</v>
      </c>
      <c r="AD6" s="12">
        <f>SUM($AC$6:$AC$6)</f>
        <v>0.32123982459391032</v>
      </c>
      <c r="AE6" s="12">
        <v>0</v>
      </c>
      <c r="AF6" s="12">
        <v>0</v>
      </c>
      <c r="AG6" s="12">
        <f>SUM($AE$6:$AF$6)</f>
        <v>0</v>
      </c>
      <c r="AH6" s="12">
        <f>'TR TUSD'!$AH$6*'TR TUSD'!$AH$70</f>
        <v>0</v>
      </c>
      <c r="AI6" s="12">
        <f>'TR TUSD'!$AI$6*'TR TUSD'!$AI$70</f>
        <v>0</v>
      </c>
      <c r="AJ6" s="12">
        <f ca="1">'TR TUSD'!$AJ$6*'TR TUSD'!$AJ$70</f>
        <v>0</v>
      </c>
      <c r="AK6" s="12">
        <f ca="1">'TR TUSD'!$AK$6*'TR TUSD'!$AK$70</f>
        <v>0</v>
      </c>
      <c r="AL6" s="12">
        <f ca="1">SUM($AH$6:$AK$6)</f>
        <v>0</v>
      </c>
      <c r="AM6" s="12">
        <f ca="1">SUMIF($L$4:$AL$4,"SUBTOTAL",$L$6:$AL$6)</f>
        <v>5.9899698434990007</v>
      </c>
      <c r="AP6" s="12">
        <v>1</v>
      </c>
    </row>
    <row r="7" spans="1:42" ht="11.25" customHeight="1" x14ac:dyDescent="0.25">
      <c r="A7" s="106"/>
      <c r="B7" s="106"/>
      <c r="C7" s="106"/>
      <c r="D7" s="106"/>
      <c r="E7" s="106"/>
      <c r="F7" s="106"/>
      <c r="G7" s="17" t="s">
        <v>84</v>
      </c>
      <c r="H7" s="17" t="s">
        <v>78</v>
      </c>
      <c r="I7" s="17">
        <f>'MERCADO TUSD'!$U$4</f>
        <v>69324.911000000007</v>
      </c>
      <c r="J7" s="15"/>
      <c r="L7" s="12">
        <f>'TR TUSD'!$L$7*'TR TUSD'!$L$70</f>
        <v>1.1330329805261909</v>
      </c>
      <c r="M7" s="12">
        <f>'TR TUSD'!$M$7*'TR TUSD'!$M$70</f>
        <v>5.7074783652823237E-2</v>
      </c>
      <c r="N7" s="12">
        <f ca="1">'TR TUSD'!$N$7*'TR TUSD'!$N$70</f>
        <v>9.9639704886598429E-2</v>
      </c>
      <c r="O7" s="12">
        <f>'TR TUSD'!$O$7*'TR TUSD'!$O$70</f>
        <v>3.9888958600876039E-2</v>
      </c>
      <c r="P7" s="12">
        <f>'TR TUSD'!$P$7*'TR TUSD'!$P$70</f>
        <v>0</v>
      </c>
      <c r="Q7" s="12">
        <f>'TR TUSD'!$Q$7*'TR TUSD'!$Q$70</f>
        <v>22.330551652975679</v>
      </c>
      <c r="R7" s="12">
        <f>'TR TUSD'!$R$7*'TR TUSD'!$R$70</f>
        <v>14.370155340997961</v>
      </c>
      <c r="S7" s="12">
        <f>'TR TUSD'!$S$7*'TR TUSD'!$S$70</f>
        <v>0</v>
      </c>
      <c r="T7" s="12">
        <f ca="1">SUM($L$7:$S$7)</f>
        <v>38.030343421640126</v>
      </c>
      <c r="U7" s="12">
        <f>'TR TUSD'!$U$7*'TR TUSD'!$U$70</f>
        <v>0</v>
      </c>
      <c r="V7" s="12">
        <f>'TR TUSD'!$V$7*'TR TUSD'!$V$70</f>
        <v>0</v>
      </c>
      <c r="W7" s="12">
        <f>'TR TUSD'!$W$7*'TR TUSD'!$W$70</f>
        <v>0</v>
      </c>
      <c r="X7" s="12">
        <f>'TR TUSD'!$X$7*'TR TUSD'!$X$70</f>
        <v>0</v>
      </c>
      <c r="Y7" s="12">
        <f>'TR TUSD'!$Y$7*'TR TUSD'!$Y$70</f>
        <v>0</v>
      </c>
      <c r="Z7" s="12">
        <f>'TR TUSD'!$Z$7</f>
        <v>0</v>
      </c>
      <c r="AA7" s="12">
        <f>'TR TUSD'!$AA$7</f>
        <v>0</v>
      </c>
      <c r="AB7" s="12">
        <f>SUM($U$7:$AA$7)</f>
        <v>0</v>
      </c>
      <c r="AC7" s="12">
        <f>'TR TUSD'!$AC$7*'TR TUSD'!$AC$70</f>
        <v>0</v>
      </c>
      <c r="AD7" s="12">
        <f>SUM($AC$7:$AC$7)</f>
        <v>0</v>
      </c>
      <c r="AE7" s="12">
        <v>0</v>
      </c>
      <c r="AF7" s="12">
        <v>0</v>
      </c>
      <c r="AG7" s="12">
        <f>SUM($AE$7:$AF$7)</f>
        <v>0</v>
      </c>
      <c r="AH7" s="12">
        <f>'TR TUSD'!$AH$7*'TR TUSD'!$AH$70</f>
        <v>2.749238706584193</v>
      </c>
      <c r="AI7" s="12">
        <f>'TR TUSD'!$AI$7*'TR TUSD'!$AI$70</f>
        <v>6.4819543916023542E-2</v>
      </c>
      <c r="AJ7" s="12">
        <f ca="1">'TR TUSD'!$AJ$7*'TR TUSD'!$AJ$70</f>
        <v>0.65213642658588844</v>
      </c>
      <c r="AK7" s="12">
        <f ca="1">'TR TUSD'!$AK$7*'TR TUSD'!$AK$70</f>
        <v>0</v>
      </c>
      <c r="AL7" s="12">
        <f ca="1">SUM($AH$7:$AK$7)</f>
        <v>3.4661946770861052</v>
      </c>
      <c r="AM7" s="12">
        <f ca="1">SUMIF($L$4:$AL$4,"SUBTOTAL",$L$7:$AL$7)</f>
        <v>41.496538098726234</v>
      </c>
      <c r="AP7" s="12">
        <v>1</v>
      </c>
    </row>
    <row r="8" spans="1:42" ht="11.25" customHeight="1" x14ac:dyDescent="0.25">
      <c r="A8" s="106"/>
      <c r="B8" s="106"/>
      <c r="C8" s="106"/>
      <c r="D8" s="106"/>
      <c r="E8" s="18" t="s">
        <v>85</v>
      </c>
      <c r="F8" s="18" t="s">
        <v>25</v>
      </c>
      <c r="G8" s="17" t="s">
        <v>84</v>
      </c>
      <c r="H8" s="17" t="s">
        <v>78</v>
      </c>
      <c r="I8" s="17">
        <f>'MERCADO TUSD'!$U$5</f>
        <v>0</v>
      </c>
      <c r="J8" s="15"/>
      <c r="L8" s="12">
        <f>'TR TUSD'!$L$8*'TR TUSD'!$L$70</f>
        <v>0</v>
      </c>
      <c r="M8" s="12">
        <f>'TR TUSD'!$M$8*'TR TUSD'!$M$70</f>
        <v>5.7074783652823237E-2</v>
      </c>
      <c r="N8" s="12">
        <f ca="1">'TR TUSD'!$N$8*'TR TUSD'!$N$70</f>
        <v>8.7927837715222903E-2</v>
      </c>
      <c r="O8" s="12">
        <f>'TR TUSD'!$O$8*'TR TUSD'!$O$70</f>
        <v>3.9888958600876039E-2</v>
      </c>
      <c r="P8" s="12">
        <f>'TR TUSD'!$P$8*'TR TUSD'!$P$70</f>
        <v>0</v>
      </c>
      <c r="Q8" s="12">
        <f>'TR TUSD'!$Q$8*'TR TUSD'!$Q$70</f>
        <v>0</v>
      </c>
      <c r="R8" s="12">
        <f>'TR TUSD'!$R$8*'TR TUSD'!$R$70</f>
        <v>0</v>
      </c>
      <c r="S8" s="12">
        <f>'TR TUSD'!$S$8*'TR TUSD'!$S$70</f>
        <v>0</v>
      </c>
      <c r="T8" s="12">
        <f ca="1">SUM($L$8:$S$8)</f>
        <v>0.18489157996892219</v>
      </c>
      <c r="U8" s="12">
        <f>'TR TUSD'!$U$8*'TR TUSD'!$U$70</f>
        <v>0</v>
      </c>
      <c r="V8" s="12">
        <f>'TR TUSD'!$V$8*'TR TUSD'!$V$70</f>
        <v>0</v>
      </c>
      <c r="W8" s="12">
        <f>'TR TUSD'!$W$8*'TR TUSD'!$W$70</f>
        <v>0</v>
      </c>
      <c r="X8" s="12">
        <f>'TR TUSD'!$X$8*'TR TUSD'!$X$70</f>
        <v>0</v>
      </c>
      <c r="Y8" s="12">
        <f>'TR TUSD'!$Y$8*'TR TUSD'!$Y$70</f>
        <v>0</v>
      </c>
      <c r="Z8" s="12">
        <f>'TR TUSD'!$Z$8</f>
        <v>0</v>
      </c>
      <c r="AA8" s="12">
        <f>'TR TUSD'!$AA$8</f>
        <v>0</v>
      </c>
      <c r="AB8" s="12">
        <f>SUM($U$8:$AA$8)</f>
        <v>0</v>
      </c>
      <c r="AC8" s="12">
        <f>'TR TUSD'!$AC$8*'TR TUSD'!$AC$70</f>
        <v>0</v>
      </c>
      <c r="AD8" s="12">
        <f>SUM($AC$8:$AC$8)</f>
        <v>0</v>
      </c>
      <c r="AE8" s="12">
        <v>0</v>
      </c>
      <c r="AF8" s="12">
        <v>0</v>
      </c>
      <c r="AG8" s="12">
        <f>SUM($AE$8:$AF$8)</f>
        <v>0</v>
      </c>
      <c r="AH8" s="12">
        <f>'TR TUSD'!$AH$8*'TR TUSD'!$AH$70</f>
        <v>2.749238706584193</v>
      </c>
      <c r="AI8" s="12">
        <f>'TR TUSD'!$AI$8*'TR TUSD'!$AI$70</f>
        <v>6.4819543916023542E-2</v>
      </c>
      <c r="AJ8" s="12">
        <f ca="1">'TR TUSD'!$AJ$8*'TR TUSD'!$AJ$70</f>
        <v>0.65213642658588844</v>
      </c>
      <c r="AK8" s="12">
        <f ca="1">'TR TUSD'!$AK$8*'TR TUSD'!$AK$70</f>
        <v>0</v>
      </c>
      <c r="AL8" s="12">
        <f ca="1">SUM($AH$8:$AK$8)</f>
        <v>3.4661946770861052</v>
      </c>
      <c r="AM8" s="12">
        <f ca="1">SUMIF($L$4:$AL$4,"SUBTOTAL",$L$8:$AL$8)</f>
        <v>3.6510862570550273</v>
      </c>
      <c r="AP8" s="12">
        <v>1</v>
      </c>
    </row>
    <row r="9" spans="1:42" ht="11.25" customHeight="1" x14ac:dyDescent="0.25">
      <c r="A9" s="106"/>
      <c r="B9" s="106" t="s">
        <v>59</v>
      </c>
      <c r="C9" s="106" t="s">
        <v>25</v>
      </c>
      <c r="D9" s="106" t="s">
        <v>25</v>
      </c>
      <c r="E9" s="106" t="s">
        <v>25</v>
      </c>
      <c r="F9" s="106" t="s">
        <v>60</v>
      </c>
      <c r="G9" s="17" t="s">
        <v>82</v>
      </c>
      <c r="H9" s="17" t="s">
        <v>81</v>
      </c>
      <c r="I9" s="17">
        <f>'MERCADO TUSD'!$U$6</f>
        <v>216624</v>
      </c>
      <c r="J9" s="15"/>
      <c r="L9" s="12">
        <f>'TR TUSD'!$L$9*'TR TUSD'!$L$70</f>
        <v>0</v>
      </c>
      <c r="M9" s="12">
        <f>'TR TUSD'!$M$9*'TR TUSD'!$M$70</f>
        <v>0</v>
      </c>
      <c r="N9" s="12">
        <f ca="1">'TR TUSD'!$N$9*'TR TUSD'!$N$70</f>
        <v>0</v>
      </c>
      <c r="O9" s="12">
        <f>'TR TUSD'!$O$9*'TR TUSD'!$O$70</f>
        <v>0</v>
      </c>
      <c r="P9" s="12">
        <f>'TR TUSD'!$P$9*'TR TUSD'!$P$70</f>
        <v>0</v>
      </c>
      <c r="Q9" s="12">
        <f>'TR TUSD'!$Q$9*'TR TUSD'!$Q$70</f>
        <v>0</v>
      </c>
      <c r="R9" s="12">
        <f>'TR TUSD'!$R$9*'TR TUSD'!$R$70</f>
        <v>0</v>
      </c>
      <c r="S9" s="12">
        <f>'TR TUSD'!$S$9*'TR TUSD'!$S$70</f>
        <v>0</v>
      </c>
      <c r="T9" s="12">
        <f ca="1">SUM($L$9:$S$9)</f>
        <v>0</v>
      </c>
      <c r="U9" s="12">
        <f>'TR TUSD'!$U$9*'TR TUSD'!$U$70</f>
        <v>4.0470247607757512</v>
      </c>
      <c r="V9" s="12">
        <f>'TR TUSD'!$V$9*'TR TUSD'!$V$70</f>
        <v>1.1007258856846396</v>
      </c>
      <c r="W9" s="12">
        <f>'TR TUSD'!$W$9*'TR TUSD'!$W$70</f>
        <v>9.958249286706651E-2</v>
      </c>
      <c r="X9" s="12">
        <f>'TR TUSD'!$X$9*'TR TUSD'!$X$70</f>
        <v>0</v>
      </c>
      <c r="Y9" s="12">
        <f>'TR TUSD'!$Y$9*'TR TUSD'!$Y$70</f>
        <v>4.8457003834632646</v>
      </c>
      <c r="Z9" s="12">
        <f>'TR TUSD'!$Z$9</f>
        <v>0</v>
      </c>
      <c r="AA9" s="12">
        <f>'TR TUSD'!$AA$9</f>
        <v>0</v>
      </c>
      <c r="AB9" s="12">
        <f>SUM($U$9:$AA$9)</f>
        <v>10.093033522790723</v>
      </c>
      <c r="AC9" s="12">
        <f>'TR TUSD'!$AC$9*'TR TUSD'!$AC$70</f>
        <v>2.5359834698802346</v>
      </c>
      <c r="AD9" s="12">
        <f>SUM($AC$9:$AC$9)</f>
        <v>2.5359834698802346</v>
      </c>
      <c r="AE9" s="12">
        <v>0</v>
      </c>
      <c r="AF9" s="12">
        <v>0</v>
      </c>
      <c r="AG9" s="12">
        <f>SUM($AE$9:$AF$9)</f>
        <v>0</v>
      </c>
      <c r="AH9" s="12">
        <f>'TR TUSD'!$AH$9*'TR TUSD'!$AH$70</f>
        <v>0</v>
      </c>
      <c r="AI9" s="12">
        <f>'TR TUSD'!$AI$9*'TR TUSD'!$AI$70</f>
        <v>0</v>
      </c>
      <c r="AJ9" s="12">
        <f ca="1">'TR TUSD'!$AJ$9*'TR TUSD'!$AJ$70</f>
        <v>0</v>
      </c>
      <c r="AK9" s="12">
        <f ca="1">'TR TUSD'!$AK$9*'TR TUSD'!$AK$70</f>
        <v>0</v>
      </c>
      <c r="AL9" s="12">
        <f ca="1">SUM($AH$9:$AK$9)</f>
        <v>0</v>
      </c>
      <c r="AM9" s="12">
        <f ca="1">SUMIF($L$4:$AL$4,"SUBTOTAL",$L$9:$AL$9)</f>
        <v>12.629016992670957</v>
      </c>
      <c r="AP9" s="12">
        <v>1</v>
      </c>
    </row>
    <row r="10" spans="1:42" ht="11.25" customHeight="1" x14ac:dyDescent="0.25">
      <c r="A10" s="106"/>
      <c r="B10" s="106"/>
      <c r="C10" s="106"/>
      <c r="D10" s="106"/>
      <c r="E10" s="106"/>
      <c r="F10" s="106"/>
      <c r="G10" s="17" t="s">
        <v>83</v>
      </c>
      <c r="H10" s="17" t="s">
        <v>81</v>
      </c>
      <c r="I10" s="17">
        <f>'MERCADO TUSD'!$U$7</f>
        <v>219920</v>
      </c>
      <c r="J10" s="15"/>
      <c r="L10" s="12">
        <f>'TR TUSD'!$L$10*'TR TUSD'!$L$70</f>
        <v>0</v>
      </c>
      <c r="M10" s="12">
        <f>'TR TUSD'!$M$10*'TR TUSD'!$M$70</f>
        <v>0</v>
      </c>
      <c r="N10" s="12">
        <f ca="1">'TR TUSD'!$N$10*'TR TUSD'!$N$70</f>
        <v>0</v>
      </c>
      <c r="O10" s="12">
        <f>'TR TUSD'!$O$10*'TR TUSD'!$O$70</f>
        <v>0</v>
      </c>
      <c r="P10" s="12">
        <f>'TR TUSD'!$P$10*'TR TUSD'!$P$70</f>
        <v>0</v>
      </c>
      <c r="Q10" s="12">
        <f>'TR TUSD'!$Q$10*'TR TUSD'!$Q$70</f>
        <v>0</v>
      </c>
      <c r="R10" s="12">
        <f>'TR TUSD'!$R$10*'TR TUSD'!$R$70</f>
        <v>0</v>
      </c>
      <c r="S10" s="12">
        <f>'TR TUSD'!$S$10*'TR TUSD'!$S$70</f>
        <v>0</v>
      </c>
      <c r="T10" s="12">
        <f ca="1">SUM($L$10:$S$10)</f>
        <v>0</v>
      </c>
      <c r="U10" s="12">
        <f>'TR TUSD'!$U$10*'TR TUSD'!$U$70</f>
        <v>3.1004206670125858</v>
      </c>
      <c r="V10" s="12">
        <f>'TR TUSD'!$V$10*'TR TUSD'!$V$70</f>
        <v>0.85257956680109548</v>
      </c>
      <c r="W10" s="12">
        <f>'TR TUSD'!$W$10*'TR TUSD'!$W$70</f>
        <v>7.4268185171880774E-2</v>
      </c>
      <c r="X10" s="12">
        <f>'TR TUSD'!$X$10*'TR TUSD'!$X$70</f>
        <v>0</v>
      </c>
      <c r="Y10" s="12">
        <f>'TR TUSD'!$Y$10*'TR TUSD'!$Y$70</f>
        <v>1.6414615999195286</v>
      </c>
      <c r="Z10" s="12">
        <f>'TR TUSD'!$Z$10</f>
        <v>0</v>
      </c>
      <c r="AA10" s="12">
        <f>'TR TUSD'!$AA$10</f>
        <v>0</v>
      </c>
      <c r="AB10" s="12">
        <f>SUM($U$10:$AA$10)</f>
        <v>5.6687300189050909</v>
      </c>
      <c r="AC10" s="12">
        <f>'TR TUSD'!$AC$10*'TR TUSD'!$AC$70</f>
        <v>0.32123982459391032</v>
      </c>
      <c r="AD10" s="12">
        <f>SUM($AC$10:$AC$10)</f>
        <v>0.32123982459391032</v>
      </c>
      <c r="AE10" s="12">
        <v>0</v>
      </c>
      <c r="AF10" s="12">
        <v>0</v>
      </c>
      <c r="AG10" s="12">
        <f>SUM($AE$10:$AF$10)</f>
        <v>0</v>
      </c>
      <c r="AH10" s="12">
        <f>'TR TUSD'!$AH$10*'TR TUSD'!$AH$70</f>
        <v>0</v>
      </c>
      <c r="AI10" s="12">
        <f>'TR TUSD'!$AI$10*'TR TUSD'!$AI$70</f>
        <v>0</v>
      </c>
      <c r="AJ10" s="12">
        <f ca="1">'TR TUSD'!$AJ$10*'TR TUSD'!$AJ$70</f>
        <v>0</v>
      </c>
      <c r="AK10" s="12">
        <f ca="1">'TR TUSD'!$AK$10*'TR TUSD'!$AK$70</f>
        <v>0</v>
      </c>
      <c r="AL10" s="12">
        <f ca="1">SUM($AH$10:$AK$10)</f>
        <v>0</v>
      </c>
      <c r="AM10" s="12">
        <f ca="1">SUMIF($L$4:$AL$4,"SUBTOTAL",$L$10:$AL$10)</f>
        <v>5.9899698434990007</v>
      </c>
      <c r="AP10" s="12">
        <v>1</v>
      </c>
    </row>
    <row r="11" spans="1:42" ht="11.25" customHeight="1" x14ac:dyDescent="0.25">
      <c r="A11" s="106"/>
      <c r="B11" s="106"/>
      <c r="C11" s="106"/>
      <c r="D11" s="106"/>
      <c r="E11" s="106"/>
      <c r="F11" s="106"/>
      <c r="G11" s="17" t="s">
        <v>84</v>
      </c>
      <c r="H11" s="17" t="s">
        <v>78</v>
      </c>
      <c r="I11" s="17">
        <f>'MERCADO TUSD'!$U$8</f>
        <v>41971.481000000007</v>
      </c>
      <c r="J11" s="15"/>
      <c r="L11" s="12">
        <f>'TR TUSD'!$L$11*'TR TUSD'!$L$70</f>
        <v>0</v>
      </c>
      <c r="M11" s="12">
        <f>'TR TUSD'!$M$11*'TR TUSD'!$M$70</f>
        <v>0</v>
      </c>
      <c r="N11" s="12">
        <f ca="1">'TR TUSD'!$N$11*'TR TUSD'!$N$70</f>
        <v>0</v>
      </c>
      <c r="O11" s="12">
        <f>'TR TUSD'!$O$11*'TR TUSD'!$O$70</f>
        <v>0</v>
      </c>
      <c r="P11" s="12">
        <f>'TR TUSD'!$P$11*'TR TUSD'!$P$70</f>
        <v>0</v>
      </c>
      <c r="Q11" s="12">
        <f>'TR TUSD'!$Q$11*'TR TUSD'!$Q$70</f>
        <v>0</v>
      </c>
      <c r="R11" s="12">
        <f>'TR TUSD'!$R$11*'TR TUSD'!$R$70</f>
        <v>0</v>
      </c>
      <c r="S11" s="12">
        <f>'TR TUSD'!$S$11*'TR TUSD'!$S$70</f>
        <v>0</v>
      </c>
      <c r="T11" s="12">
        <f ca="1">SUM($L$11:$S$11)</f>
        <v>0</v>
      </c>
      <c r="U11" s="12">
        <f>'TR TUSD'!$U$11*'TR TUSD'!$U$70</f>
        <v>0</v>
      </c>
      <c r="V11" s="12">
        <f>'TR TUSD'!$V$11*'TR TUSD'!$V$70</f>
        <v>0</v>
      </c>
      <c r="W11" s="12">
        <f>'TR TUSD'!$W$11*'TR TUSD'!$W$70</f>
        <v>0</v>
      </c>
      <c r="X11" s="12">
        <f>'TR TUSD'!$X$11*'TR TUSD'!$X$70</f>
        <v>0</v>
      </c>
      <c r="Y11" s="12">
        <f>'TR TUSD'!$Y$11*'TR TUSD'!$Y$70</f>
        <v>0</v>
      </c>
      <c r="Z11" s="12">
        <f>'TR TUSD'!$Z$11</f>
        <v>0</v>
      </c>
      <c r="AA11" s="12">
        <f>'TR TUSD'!$AA$11</f>
        <v>0</v>
      </c>
      <c r="AB11" s="12">
        <f>SUM($U$11:$AA$11)</f>
        <v>0</v>
      </c>
      <c r="AC11" s="12">
        <f>'TR TUSD'!$AC$11*'TR TUSD'!$AC$70</f>
        <v>0</v>
      </c>
      <c r="AD11" s="12">
        <f>SUM($AC$11:$AC$11)</f>
        <v>0</v>
      </c>
      <c r="AE11" s="12">
        <v>0</v>
      </c>
      <c r="AF11" s="12">
        <v>0</v>
      </c>
      <c r="AG11" s="12">
        <f>SUM($AE$11:$AF$11)</f>
        <v>0</v>
      </c>
      <c r="AH11" s="12">
        <f>'TR TUSD'!$AH$11*'TR TUSD'!$AH$70</f>
        <v>2.749238706584193</v>
      </c>
      <c r="AI11" s="12">
        <f>'TR TUSD'!$AI$11*'TR TUSD'!$AI$70</f>
        <v>6.4819543916023542E-2</v>
      </c>
      <c r="AJ11" s="12">
        <f ca="1">'TR TUSD'!$AJ$11*'TR TUSD'!$AJ$70</f>
        <v>0</v>
      </c>
      <c r="AK11" s="12">
        <f ca="1">'TR TUSD'!$AK$11*'TR TUSD'!$AK$70</f>
        <v>0</v>
      </c>
      <c r="AL11" s="12">
        <f ca="1">SUM($AH$11:$AK$11)</f>
        <v>2.8140582505002167</v>
      </c>
      <c r="AM11" s="12">
        <f ca="1">SUMIF($L$4:$AL$4,"SUBTOTAL",$L$11:$AL$11)</f>
        <v>2.8140582505002167</v>
      </c>
      <c r="AP11" s="12">
        <v>1</v>
      </c>
    </row>
    <row r="12" spans="1:42" ht="11.25" customHeight="1" x14ac:dyDescent="0.25">
      <c r="A12" s="106" t="s">
        <v>39</v>
      </c>
      <c r="B12" s="106" t="s">
        <v>40</v>
      </c>
      <c r="C12" s="106" t="s">
        <v>25</v>
      </c>
      <c r="D12" s="106" t="s">
        <v>25</v>
      </c>
      <c r="E12" s="106" t="s">
        <v>25</v>
      </c>
      <c r="F12" s="106" t="s">
        <v>25</v>
      </c>
      <c r="G12" s="17" t="s">
        <v>82</v>
      </c>
      <c r="H12" s="17" t="s">
        <v>81</v>
      </c>
      <c r="I12" s="17">
        <f>'MERCADO TUSD'!$U$9</f>
        <v>96314</v>
      </c>
      <c r="J12" s="15"/>
      <c r="L12" s="12">
        <f>'TR TUSD'!$L$12*'TR TUSD'!$L$70</f>
        <v>0</v>
      </c>
      <c r="M12" s="12">
        <f>'TR TUSD'!$M$12*'TR TUSD'!$M$70</f>
        <v>0</v>
      </c>
      <c r="N12" s="12">
        <f ca="1">'TR TUSD'!$N$12*'TR TUSD'!$N$70</f>
        <v>0</v>
      </c>
      <c r="O12" s="12">
        <f>'TR TUSD'!$O$12*'TR TUSD'!$O$70</f>
        <v>0</v>
      </c>
      <c r="P12" s="12">
        <f>'TR TUSD'!$P$12*'TR TUSD'!$P$70</f>
        <v>0</v>
      </c>
      <c r="Q12" s="12">
        <f>'TR TUSD'!$Q$12*'TR TUSD'!$Q$70</f>
        <v>0</v>
      </c>
      <c r="R12" s="12">
        <f>'TR TUSD'!$R$12*'TR TUSD'!$R$70</f>
        <v>0</v>
      </c>
      <c r="S12" s="12">
        <f>'TR TUSD'!$S$12*'TR TUSD'!$S$70</f>
        <v>0</v>
      </c>
      <c r="T12" s="12">
        <f ca="1">SUM($L$12:$S$12)</f>
        <v>0</v>
      </c>
      <c r="U12" s="12">
        <f>'TR TUSD'!$U$12*'TR TUSD'!$U$70</f>
        <v>4.9343915425720324</v>
      </c>
      <c r="V12" s="12">
        <f>'TR TUSD'!$V$12*'TR TUSD'!$V$70</f>
        <v>1.3420506898617668</v>
      </c>
      <c r="W12" s="12">
        <f>'TR TUSD'!$W$12*'TR TUSD'!$W$70</f>
        <v>0.12159563448240933</v>
      </c>
      <c r="X12" s="12">
        <f>'TR TUSD'!$X$12*'TR TUSD'!$X$70</f>
        <v>0</v>
      </c>
      <c r="Y12" s="12">
        <f>'TR TUSD'!$Y$12*'TR TUSD'!$Y$70</f>
        <v>6.4156518649092122</v>
      </c>
      <c r="Z12" s="12">
        <f>'TR TUSD'!$Z$12</f>
        <v>0</v>
      </c>
      <c r="AA12" s="12">
        <f>'TR TUSD'!$AA$12</f>
        <v>0</v>
      </c>
      <c r="AB12" s="12">
        <f>SUM($U$12:$AA$12)</f>
        <v>12.81368973182542</v>
      </c>
      <c r="AC12" s="12">
        <f>'TR TUSD'!$AC$12*'TR TUSD'!$AC$70</f>
        <v>26.652813077369071</v>
      </c>
      <c r="AD12" s="12">
        <f>SUM($AC$12:$AC$12)</f>
        <v>26.652813077369071</v>
      </c>
      <c r="AE12" s="12">
        <v>0</v>
      </c>
      <c r="AF12" s="12">
        <v>0</v>
      </c>
      <c r="AG12" s="12">
        <f>SUM($AE$12:$AF$12)</f>
        <v>0</v>
      </c>
      <c r="AH12" s="12">
        <f>'TR TUSD'!$AH$12*'TR TUSD'!$AH$70</f>
        <v>0</v>
      </c>
      <c r="AI12" s="12">
        <f>'TR TUSD'!$AI$12*'TR TUSD'!$AI$70</f>
        <v>0</v>
      </c>
      <c r="AJ12" s="12">
        <f ca="1">'TR TUSD'!$AJ$12*'TR TUSD'!$AJ$70</f>
        <v>0</v>
      </c>
      <c r="AK12" s="12">
        <f ca="1">'TR TUSD'!$AK$12*'TR TUSD'!$AK$70</f>
        <v>0</v>
      </c>
      <c r="AL12" s="12">
        <f ca="1">SUM($AH$12:$AK$12)</f>
        <v>0</v>
      </c>
      <c r="AM12" s="12">
        <f ca="1">SUMIF($L$4:$AL$4,"SUBTOTAL",$L$12:$AL$12)</f>
        <v>39.466502809194495</v>
      </c>
      <c r="AP12" s="12">
        <v>1</v>
      </c>
    </row>
    <row r="13" spans="1:42" ht="11.25" customHeight="1" x14ac:dyDescent="0.25">
      <c r="A13" s="106"/>
      <c r="B13" s="106"/>
      <c r="C13" s="106"/>
      <c r="D13" s="106"/>
      <c r="E13" s="106"/>
      <c r="F13" s="106"/>
      <c r="G13" s="17" t="s">
        <v>83</v>
      </c>
      <c r="H13" s="17" t="s">
        <v>81</v>
      </c>
      <c r="I13" s="17">
        <f>'MERCADO TUSD'!$U$10</f>
        <v>112951</v>
      </c>
      <c r="J13" s="15"/>
      <c r="L13" s="12">
        <f>'TR TUSD'!$L$13*'TR TUSD'!$L$70</f>
        <v>0</v>
      </c>
      <c r="M13" s="12">
        <f>'TR TUSD'!$M$13*'TR TUSD'!$M$70</f>
        <v>0</v>
      </c>
      <c r="N13" s="12">
        <f ca="1">'TR TUSD'!$N$13*'TR TUSD'!$N$70</f>
        <v>0</v>
      </c>
      <c r="O13" s="12">
        <f>'TR TUSD'!$O$13*'TR TUSD'!$O$70</f>
        <v>0</v>
      </c>
      <c r="P13" s="12">
        <f>'TR TUSD'!$P$13*'TR TUSD'!$P$70</f>
        <v>0</v>
      </c>
      <c r="Q13" s="12">
        <f>'TR TUSD'!$Q$13*'TR TUSD'!$Q$70</f>
        <v>0</v>
      </c>
      <c r="R13" s="12">
        <f>'TR TUSD'!$R$13*'TR TUSD'!$R$70</f>
        <v>0</v>
      </c>
      <c r="S13" s="12">
        <f>'TR TUSD'!$S$13*'TR TUSD'!$S$70</f>
        <v>0</v>
      </c>
      <c r="T13" s="12">
        <f ca="1">SUM($L$13:$S$13)</f>
        <v>0</v>
      </c>
      <c r="U13" s="12">
        <f>'TR TUSD'!$U$13*'TR TUSD'!$U$70</f>
        <v>3.6943743761432186</v>
      </c>
      <c r="V13" s="12">
        <f>'TR TUSD'!$V$13*'TR TUSD'!$V$70</f>
        <v>1.0159587644305321</v>
      </c>
      <c r="W13" s="12">
        <f>'TR TUSD'!$W$13*'TR TUSD'!$W$70</f>
        <v>8.8624231806904999E-2</v>
      </c>
      <c r="X13" s="12">
        <f>'TR TUSD'!$X$13*'TR TUSD'!$X$70</f>
        <v>0</v>
      </c>
      <c r="Y13" s="12">
        <f>'TR TUSD'!$Y$13*'TR TUSD'!$Y$70</f>
        <v>2.4118946952124976</v>
      </c>
      <c r="Z13" s="12">
        <f>'TR TUSD'!$Z$13</f>
        <v>0</v>
      </c>
      <c r="AA13" s="12">
        <f>'TR TUSD'!$AA$13</f>
        <v>0</v>
      </c>
      <c r="AB13" s="12">
        <f>SUM($U$13:$AA$13)</f>
        <v>7.2108520675931524</v>
      </c>
      <c r="AC13" s="12">
        <f>'TR TUSD'!$AC$13*'TR TUSD'!$AC$70</f>
        <v>12.145331862368316</v>
      </c>
      <c r="AD13" s="12">
        <f>SUM($AC$13:$AC$13)</f>
        <v>12.145331862368316</v>
      </c>
      <c r="AE13" s="12">
        <v>0</v>
      </c>
      <c r="AF13" s="12">
        <v>0</v>
      </c>
      <c r="AG13" s="12">
        <f>SUM($AE$13:$AF$13)</f>
        <v>0</v>
      </c>
      <c r="AH13" s="12">
        <f>'TR TUSD'!$AH$13*'TR TUSD'!$AH$70</f>
        <v>0</v>
      </c>
      <c r="AI13" s="12">
        <f>'TR TUSD'!$AI$13*'TR TUSD'!$AI$70</f>
        <v>0</v>
      </c>
      <c r="AJ13" s="12">
        <f ca="1">'TR TUSD'!$AJ$13*'TR TUSD'!$AJ$70</f>
        <v>0</v>
      </c>
      <c r="AK13" s="12">
        <f ca="1">'TR TUSD'!$AK$13*'TR TUSD'!$AK$70</f>
        <v>0</v>
      </c>
      <c r="AL13" s="12">
        <f ca="1">SUM($AH$13:$AK$13)</f>
        <v>0</v>
      </c>
      <c r="AM13" s="12">
        <f ca="1">SUMIF($L$4:$AL$4,"SUBTOTAL",$L$13:$AL$13)</f>
        <v>19.356183929961468</v>
      </c>
      <c r="AP13" s="12">
        <v>1</v>
      </c>
    </row>
    <row r="14" spans="1:42" ht="11.25" customHeight="1" x14ac:dyDescent="0.25">
      <c r="A14" s="106"/>
      <c r="B14" s="106"/>
      <c r="C14" s="106"/>
      <c r="D14" s="106"/>
      <c r="E14" s="106"/>
      <c r="F14" s="106"/>
      <c r="G14" s="17" t="s">
        <v>84</v>
      </c>
      <c r="H14" s="17" t="s">
        <v>78</v>
      </c>
      <c r="I14" s="17">
        <f>'MERCADO TUSD'!$U$11</f>
        <v>43743.163999999997</v>
      </c>
      <c r="J14" s="15"/>
      <c r="L14" s="12">
        <f>'TR TUSD'!$L$14*'TR TUSD'!$L$70</f>
        <v>1.5350769413580649</v>
      </c>
      <c r="M14" s="12">
        <f>'TR TUSD'!$M$14*'TR TUSD'!$M$70</f>
        <v>0.40874769358716467</v>
      </c>
      <c r="N14" s="12">
        <f ca="1">'TR TUSD'!$N$14*'TR TUSD'!$N$70</f>
        <v>0.19225909901201535</v>
      </c>
      <c r="O14" s="12">
        <f>'TR TUSD'!$O$14*'TR TUSD'!$O$70</f>
        <v>3.9888958600876039E-2</v>
      </c>
      <c r="P14" s="12">
        <f>'TR TUSD'!$P$14*'TR TUSD'!$P$70</f>
        <v>0</v>
      </c>
      <c r="Q14" s="12">
        <f>'TR TUSD'!$Q$14*'TR TUSD'!$Q$70</f>
        <v>30.254295787902532</v>
      </c>
      <c r="R14" s="12">
        <f>'TR TUSD'!$R$14*'TR TUSD'!$R$70</f>
        <v>14.370155340997961</v>
      </c>
      <c r="S14" s="12">
        <f>'TR TUSD'!$S$14*'TR TUSD'!$S$70</f>
        <v>0</v>
      </c>
      <c r="T14" s="12">
        <f ca="1">SUM($L$14:$S$14)</f>
        <v>46.800423821458615</v>
      </c>
      <c r="U14" s="12">
        <f>'TR TUSD'!$U$14*'TR TUSD'!$U$70</f>
        <v>0</v>
      </c>
      <c r="V14" s="12">
        <f>'TR TUSD'!$V$14*'TR TUSD'!$V$70</f>
        <v>0</v>
      </c>
      <c r="W14" s="12">
        <f>'TR TUSD'!$W$14*'TR TUSD'!$W$70</f>
        <v>0</v>
      </c>
      <c r="X14" s="12">
        <f>'TR TUSD'!$X$14*'TR TUSD'!$X$70</f>
        <v>0</v>
      </c>
      <c r="Y14" s="12">
        <f>'TR TUSD'!$Y$14*'TR TUSD'!$Y$70</f>
        <v>0</v>
      </c>
      <c r="Z14" s="12">
        <f>'TR TUSD'!$Z$14</f>
        <v>0</v>
      </c>
      <c r="AA14" s="12">
        <f>'TR TUSD'!$AA$14</f>
        <v>0</v>
      </c>
      <c r="AB14" s="12">
        <f>SUM($U$14:$AA$14)</f>
        <v>0</v>
      </c>
      <c r="AC14" s="12">
        <f>'TR TUSD'!$AC$14*'TR TUSD'!$AC$70</f>
        <v>0</v>
      </c>
      <c r="AD14" s="12">
        <f>SUM($AC$14:$AC$14)</f>
        <v>0</v>
      </c>
      <c r="AE14" s="12">
        <v>0</v>
      </c>
      <c r="AF14" s="12">
        <v>0</v>
      </c>
      <c r="AG14" s="12">
        <f>SUM($AE$14:$AF$14)</f>
        <v>0</v>
      </c>
      <c r="AH14" s="12">
        <f>'TR TUSD'!$AH$14*'TR TUSD'!$AH$70</f>
        <v>5.5295620369635996</v>
      </c>
      <c r="AI14" s="12">
        <f>'TR TUSD'!$AI$14*'TR TUSD'!$AI$70</f>
        <v>0.13037197840731121</v>
      </c>
      <c r="AJ14" s="12">
        <f ca="1">'TR TUSD'!$AJ$14*'TR TUSD'!$AJ$70</f>
        <v>1.8468017215768751</v>
      </c>
      <c r="AK14" s="12">
        <f ca="1">'TR TUSD'!$AK$14*'TR TUSD'!$AK$70</f>
        <v>0</v>
      </c>
      <c r="AL14" s="12">
        <f ca="1">SUM($AH$14:$AK$14)</f>
        <v>7.5067357369477854</v>
      </c>
      <c r="AM14" s="12">
        <f ca="1">SUMIF($L$4:$AL$4,"SUBTOTAL",$L$14:$AL$14)</f>
        <v>54.307159558406397</v>
      </c>
      <c r="AP14" s="12">
        <v>1</v>
      </c>
    </row>
    <row r="15" spans="1:42" ht="11.25" customHeight="1" x14ac:dyDescent="0.25">
      <c r="A15" s="106"/>
      <c r="B15" s="106"/>
      <c r="C15" s="106"/>
      <c r="D15" s="106"/>
      <c r="E15" s="18" t="s">
        <v>85</v>
      </c>
      <c r="F15" s="18" t="s">
        <v>25</v>
      </c>
      <c r="G15" s="17" t="s">
        <v>84</v>
      </c>
      <c r="H15" s="17" t="s">
        <v>78</v>
      </c>
      <c r="I15" s="17">
        <f>'MERCADO TUSD'!$U$12</f>
        <v>0</v>
      </c>
      <c r="J15" s="15"/>
      <c r="L15" s="12">
        <f>'TR TUSD'!$L$15*'TR TUSD'!$L$70</f>
        <v>0</v>
      </c>
      <c r="M15" s="12">
        <f>'TR TUSD'!$M$15*'TR TUSD'!$M$70</f>
        <v>0.40874769358716467</v>
      </c>
      <c r="N15" s="12">
        <f ca="1">'TR TUSD'!$N$15*'TR TUSD'!$N$70</f>
        <v>0.18054723184063984</v>
      </c>
      <c r="O15" s="12">
        <f>'TR TUSD'!$O$15*'TR TUSD'!$O$70</f>
        <v>3.9888958600876039E-2</v>
      </c>
      <c r="P15" s="12">
        <f>'TR TUSD'!$P$15*'TR TUSD'!$P$70</f>
        <v>0</v>
      </c>
      <c r="Q15" s="12">
        <f>'TR TUSD'!$Q$15*'TR TUSD'!$Q$70</f>
        <v>0</v>
      </c>
      <c r="R15" s="12">
        <f>'TR TUSD'!$R$15*'TR TUSD'!$R$70</f>
        <v>0</v>
      </c>
      <c r="S15" s="12">
        <f>'TR TUSD'!$S$15*'TR TUSD'!$S$70</f>
        <v>0</v>
      </c>
      <c r="T15" s="12">
        <f ca="1">SUM($L$15:$S$15)</f>
        <v>0.62918388402868053</v>
      </c>
      <c r="U15" s="12">
        <f>'TR TUSD'!$U$15*'TR TUSD'!$U$70</f>
        <v>0</v>
      </c>
      <c r="V15" s="12">
        <f>'TR TUSD'!$V$15*'TR TUSD'!$V$70</f>
        <v>0</v>
      </c>
      <c r="W15" s="12">
        <f>'TR TUSD'!$W$15*'TR TUSD'!$W$70</f>
        <v>0</v>
      </c>
      <c r="X15" s="12">
        <f>'TR TUSD'!$X$15*'TR TUSD'!$X$70</f>
        <v>0</v>
      </c>
      <c r="Y15" s="12">
        <f>'TR TUSD'!$Y$15*'TR TUSD'!$Y$70</f>
        <v>0</v>
      </c>
      <c r="Z15" s="12">
        <f>'TR TUSD'!$Z$15</f>
        <v>0</v>
      </c>
      <c r="AA15" s="12">
        <f>'TR TUSD'!$AA$15</f>
        <v>0</v>
      </c>
      <c r="AB15" s="12">
        <f>SUM($U$15:$AA$15)</f>
        <v>0</v>
      </c>
      <c r="AC15" s="12">
        <f>'TR TUSD'!$AC$15*'TR TUSD'!$AC$70</f>
        <v>0</v>
      </c>
      <c r="AD15" s="12">
        <f>SUM($AC$15:$AC$15)</f>
        <v>0</v>
      </c>
      <c r="AE15" s="12">
        <v>0</v>
      </c>
      <c r="AF15" s="12">
        <v>0</v>
      </c>
      <c r="AG15" s="12">
        <f>SUM($AE$15:$AF$15)</f>
        <v>0</v>
      </c>
      <c r="AH15" s="12">
        <f>'TR TUSD'!$AH$15*'TR TUSD'!$AH$70</f>
        <v>5.5295620369635996</v>
      </c>
      <c r="AI15" s="12">
        <f>'TR TUSD'!$AI$15*'TR TUSD'!$AI$70</f>
        <v>0.13037197840731121</v>
      </c>
      <c r="AJ15" s="12">
        <f ca="1">'TR TUSD'!$AJ$15*'TR TUSD'!$AJ$70</f>
        <v>1.8468017215768751</v>
      </c>
      <c r="AK15" s="12">
        <f ca="1">'TR TUSD'!$AK$15*'TR TUSD'!$AK$70</f>
        <v>0</v>
      </c>
      <c r="AL15" s="12">
        <f ca="1">SUM($AH$15:$AK$15)</f>
        <v>7.5067357369477854</v>
      </c>
      <c r="AM15" s="12">
        <f ca="1">SUMIF($L$4:$AL$4,"SUBTOTAL",$L$15:$AL$15)</f>
        <v>8.1359196209764661</v>
      </c>
      <c r="AP15" s="12">
        <v>1</v>
      </c>
    </row>
    <row r="16" spans="1:42" ht="11.25" customHeight="1" x14ac:dyDescent="0.25">
      <c r="A16" s="106"/>
      <c r="B16" s="106" t="s">
        <v>59</v>
      </c>
      <c r="C16" s="106" t="s">
        <v>25</v>
      </c>
      <c r="D16" s="106" t="s">
        <v>25</v>
      </c>
      <c r="E16" s="106" t="s">
        <v>25</v>
      </c>
      <c r="F16" s="106" t="s">
        <v>60</v>
      </c>
      <c r="G16" s="17" t="s">
        <v>82</v>
      </c>
      <c r="H16" s="17" t="s">
        <v>81</v>
      </c>
      <c r="I16" s="17">
        <f>'MERCADO TUSD'!$U$13</f>
        <v>1804</v>
      </c>
      <c r="J16" s="15"/>
      <c r="L16" s="12">
        <f>'TR TUSD'!$L$16*'TR TUSD'!$L$70</f>
        <v>0</v>
      </c>
      <c r="M16" s="12">
        <f>'TR TUSD'!$M$16*'TR TUSD'!$M$70</f>
        <v>0</v>
      </c>
      <c r="N16" s="12">
        <f ca="1">'TR TUSD'!$N$16*'TR TUSD'!$N$70</f>
        <v>0</v>
      </c>
      <c r="O16" s="12">
        <f>'TR TUSD'!$O$16*'TR TUSD'!$O$70</f>
        <v>0</v>
      </c>
      <c r="P16" s="12">
        <f>'TR TUSD'!$P$16*'TR TUSD'!$P$70</f>
        <v>0</v>
      </c>
      <c r="Q16" s="12">
        <f>'TR TUSD'!$Q$16*'TR TUSD'!$Q$70</f>
        <v>0</v>
      </c>
      <c r="R16" s="12">
        <f>'TR TUSD'!$R$16*'TR TUSD'!$R$70</f>
        <v>0</v>
      </c>
      <c r="S16" s="12">
        <f>'TR TUSD'!$S$16*'TR TUSD'!$S$70</f>
        <v>0</v>
      </c>
      <c r="T16" s="12">
        <f ca="1">SUM($L$16:$S$16)</f>
        <v>0</v>
      </c>
      <c r="U16" s="12">
        <f>'TR TUSD'!$U$16*'TR TUSD'!$U$70</f>
        <v>4.9343915425720324</v>
      </c>
      <c r="V16" s="12">
        <f>'TR TUSD'!$V$16*'TR TUSD'!$V$70</f>
        <v>1.3420506898617668</v>
      </c>
      <c r="W16" s="12">
        <f>'TR TUSD'!$W$16*'TR TUSD'!$W$70</f>
        <v>0.12159563448240933</v>
      </c>
      <c r="X16" s="12">
        <f>'TR TUSD'!$X$16*'TR TUSD'!$X$70</f>
        <v>0</v>
      </c>
      <c r="Y16" s="12">
        <f>'TR TUSD'!$Y$16*'TR TUSD'!$Y$70</f>
        <v>6.4156518649092122</v>
      </c>
      <c r="Z16" s="12">
        <f>'TR TUSD'!$Z$16</f>
        <v>0</v>
      </c>
      <c r="AA16" s="12">
        <f>'TR TUSD'!$AA$16</f>
        <v>0</v>
      </c>
      <c r="AB16" s="12">
        <f>SUM($U$16:$AA$16)</f>
        <v>12.81368973182542</v>
      </c>
      <c r="AC16" s="12">
        <f>'TR TUSD'!$AC$16*'TR TUSD'!$AC$70</f>
        <v>9.2948169514715602</v>
      </c>
      <c r="AD16" s="12">
        <f>SUM($AC$16:$AC$16)</f>
        <v>9.2948169514715602</v>
      </c>
      <c r="AE16" s="12">
        <v>0</v>
      </c>
      <c r="AF16" s="12">
        <v>0</v>
      </c>
      <c r="AG16" s="12">
        <f>SUM($AE$16:$AF$16)</f>
        <v>0</v>
      </c>
      <c r="AH16" s="12">
        <f>'TR TUSD'!$AH$16*'TR TUSD'!$AH$70</f>
        <v>0</v>
      </c>
      <c r="AI16" s="12">
        <f>'TR TUSD'!$AI$16*'TR TUSD'!$AI$70</f>
        <v>0</v>
      </c>
      <c r="AJ16" s="12">
        <f ca="1">'TR TUSD'!$AJ$16*'TR TUSD'!$AJ$70</f>
        <v>0</v>
      </c>
      <c r="AK16" s="12">
        <f ca="1">'TR TUSD'!$AK$16*'TR TUSD'!$AK$70</f>
        <v>0</v>
      </c>
      <c r="AL16" s="12">
        <f ca="1">SUM($AH$16:$AK$16)</f>
        <v>0</v>
      </c>
      <c r="AM16" s="12">
        <f ca="1">SUMIF($L$4:$AL$4,"SUBTOTAL",$L$16:$AL$16)</f>
        <v>22.10850668329698</v>
      </c>
      <c r="AP16" s="12">
        <v>1</v>
      </c>
    </row>
    <row r="17" spans="1:42" ht="11.25" customHeight="1" x14ac:dyDescent="0.25">
      <c r="A17" s="106"/>
      <c r="B17" s="106"/>
      <c r="C17" s="106"/>
      <c r="D17" s="106"/>
      <c r="E17" s="106"/>
      <c r="F17" s="106"/>
      <c r="G17" s="17" t="s">
        <v>83</v>
      </c>
      <c r="H17" s="17" t="s">
        <v>81</v>
      </c>
      <c r="I17" s="17">
        <f>'MERCADO TUSD'!$U$14</f>
        <v>1804</v>
      </c>
      <c r="J17" s="15"/>
      <c r="L17" s="12">
        <f>'TR TUSD'!$L$17*'TR TUSD'!$L$70</f>
        <v>0</v>
      </c>
      <c r="M17" s="12">
        <f>'TR TUSD'!$M$17*'TR TUSD'!$M$70</f>
        <v>0</v>
      </c>
      <c r="N17" s="12">
        <f ca="1">'TR TUSD'!$N$17*'TR TUSD'!$N$70</f>
        <v>0</v>
      </c>
      <c r="O17" s="12">
        <f>'TR TUSD'!$O$17*'TR TUSD'!$O$70</f>
        <v>0</v>
      </c>
      <c r="P17" s="12">
        <f>'TR TUSD'!$P$17*'TR TUSD'!$P$70</f>
        <v>0</v>
      </c>
      <c r="Q17" s="12">
        <f>'TR TUSD'!$Q$17*'TR TUSD'!$Q$70</f>
        <v>0</v>
      </c>
      <c r="R17" s="12">
        <f>'TR TUSD'!$R$17*'TR TUSD'!$R$70</f>
        <v>0</v>
      </c>
      <c r="S17" s="12">
        <f>'TR TUSD'!$S$17*'TR TUSD'!$S$70</f>
        <v>0</v>
      </c>
      <c r="T17" s="12">
        <f ca="1">SUM($L$17:$S$17)</f>
        <v>0</v>
      </c>
      <c r="U17" s="12">
        <f>'TR TUSD'!$U$17*'TR TUSD'!$U$70</f>
        <v>3.6943743761432186</v>
      </c>
      <c r="V17" s="12">
        <f>'TR TUSD'!$V$17*'TR TUSD'!$V$70</f>
        <v>1.0159587644305321</v>
      </c>
      <c r="W17" s="12">
        <f>'TR TUSD'!$W$17*'TR TUSD'!$W$70</f>
        <v>8.8624231806904999E-2</v>
      </c>
      <c r="X17" s="12">
        <f>'TR TUSD'!$X$17*'TR TUSD'!$X$70</f>
        <v>0</v>
      </c>
      <c r="Y17" s="12">
        <f>'TR TUSD'!$Y$17*'TR TUSD'!$Y$70</f>
        <v>2.4118946952124976</v>
      </c>
      <c r="Z17" s="12">
        <f>'TR TUSD'!$Z$17</f>
        <v>0</v>
      </c>
      <c r="AA17" s="12">
        <f>'TR TUSD'!$AA$17</f>
        <v>0</v>
      </c>
      <c r="AB17" s="12">
        <f>SUM($U$17:$AA$17)</f>
        <v>7.2108520675931524</v>
      </c>
      <c r="AC17" s="12">
        <f>'TR TUSD'!$AC$17*'TR TUSD'!$AC$70</f>
        <v>4.2355041917451688</v>
      </c>
      <c r="AD17" s="12">
        <f>SUM($AC$17:$AC$17)</f>
        <v>4.2355041917451688</v>
      </c>
      <c r="AE17" s="12">
        <v>0</v>
      </c>
      <c r="AF17" s="12">
        <v>0</v>
      </c>
      <c r="AG17" s="12">
        <f>SUM($AE$17:$AF$17)</f>
        <v>0</v>
      </c>
      <c r="AH17" s="12">
        <f>'TR TUSD'!$AH$17*'TR TUSD'!$AH$70</f>
        <v>0</v>
      </c>
      <c r="AI17" s="12">
        <f>'TR TUSD'!$AI$17*'TR TUSD'!$AI$70</f>
        <v>0</v>
      </c>
      <c r="AJ17" s="12">
        <f ca="1">'TR TUSD'!$AJ$17*'TR TUSD'!$AJ$70</f>
        <v>0</v>
      </c>
      <c r="AK17" s="12">
        <f ca="1">'TR TUSD'!$AK$17*'TR TUSD'!$AK$70</f>
        <v>0</v>
      </c>
      <c r="AL17" s="12">
        <f ca="1">SUM($AH$17:$AK$17)</f>
        <v>0</v>
      </c>
      <c r="AM17" s="12">
        <f ca="1">SUMIF($L$4:$AL$4,"SUBTOTAL",$L$17:$AL$17)</f>
        <v>11.446356259338321</v>
      </c>
      <c r="AP17" s="12">
        <v>1</v>
      </c>
    </row>
    <row r="18" spans="1:42" ht="11.25" customHeight="1" x14ac:dyDescent="0.25">
      <c r="A18" s="106"/>
      <c r="B18" s="106"/>
      <c r="C18" s="106"/>
      <c r="D18" s="106"/>
      <c r="E18" s="106"/>
      <c r="F18" s="106"/>
      <c r="G18" s="17" t="s">
        <v>84</v>
      </c>
      <c r="H18" s="17" t="s">
        <v>78</v>
      </c>
      <c r="I18" s="17">
        <f>'MERCADO TUSD'!$U$15</f>
        <v>731.00300000000004</v>
      </c>
      <c r="J18" s="15"/>
      <c r="L18" s="12">
        <f>'TR TUSD'!$L$18*'TR TUSD'!$L$70</f>
        <v>0</v>
      </c>
      <c r="M18" s="12">
        <f>'TR TUSD'!$M$18*'TR TUSD'!$M$70</f>
        <v>0</v>
      </c>
      <c r="N18" s="12">
        <f ca="1">'TR TUSD'!$N$18*'TR TUSD'!$N$70</f>
        <v>0</v>
      </c>
      <c r="O18" s="12">
        <f>'TR TUSD'!$O$18*'TR TUSD'!$O$70</f>
        <v>0</v>
      </c>
      <c r="P18" s="12">
        <f>'TR TUSD'!$P$18*'TR TUSD'!$P$70</f>
        <v>0</v>
      </c>
      <c r="Q18" s="12">
        <f>'TR TUSD'!$Q$18*'TR TUSD'!$Q$70</f>
        <v>0</v>
      </c>
      <c r="R18" s="12">
        <f>'TR TUSD'!$R$18*'TR TUSD'!$R$70</f>
        <v>0</v>
      </c>
      <c r="S18" s="12">
        <f>'TR TUSD'!$S$18*'TR TUSD'!$S$70</f>
        <v>0</v>
      </c>
      <c r="T18" s="12">
        <f ca="1">SUM($L$18:$S$18)</f>
        <v>0</v>
      </c>
      <c r="U18" s="12">
        <f>'TR TUSD'!$U$18*'TR TUSD'!$U$70</f>
        <v>0</v>
      </c>
      <c r="V18" s="12">
        <f>'TR TUSD'!$V$18*'TR TUSD'!$V$70</f>
        <v>0</v>
      </c>
      <c r="W18" s="12">
        <f>'TR TUSD'!$W$18*'TR TUSD'!$W$70</f>
        <v>0</v>
      </c>
      <c r="X18" s="12">
        <f>'TR TUSD'!$X$18*'TR TUSD'!$X$70</f>
        <v>0</v>
      </c>
      <c r="Y18" s="12">
        <f>'TR TUSD'!$Y$18*'TR TUSD'!$Y$70</f>
        <v>0</v>
      </c>
      <c r="Z18" s="12">
        <f>'TR TUSD'!$Z$18</f>
        <v>0</v>
      </c>
      <c r="AA18" s="12">
        <f>'TR TUSD'!$AA$18</f>
        <v>0</v>
      </c>
      <c r="AB18" s="12">
        <f>SUM($U$18:$AA$18)</f>
        <v>0</v>
      </c>
      <c r="AC18" s="12">
        <f>'TR TUSD'!$AC$18*'TR TUSD'!$AC$70</f>
        <v>0</v>
      </c>
      <c r="AD18" s="12">
        <f>SUM($AC$18:$AC$18)</f>
        <v>0</v>
      </c>
      <c r="AE18" s="12">
        <v>0</v>
      </c>
      <c r="AF18" s="12">
        <v>0</v>
      </c>
      <c r="AG18" s="12">
        <f>SUM($AE$18:$AF$18)</f>
        <v>0</v>
      </c>
      <c r="AH18" s="12">
        <f>'TR TUSD'!$AH$18*'TR TUSD'!$AH$70</f>
        <v>5.5295620369635996</v>
      </c>
      <c r="AI18" s="12">
        <f>'TR TUSD'!$AI$18*'TR TUSD'!$AI$70</f>
        <v>0.13037197840731121</v>
      </c>
      <c r="AJ18" s="12">
        <f ca="1">'TR TUSD'!$AJ$18*'TR TUSD'!$AJ$70</f>
        <v>0</v>
      </c>
      <c r="AK18" s="12">
        <f ca="1">'TR TUSD'!$AK$18*'TR TUSD'!$AK$70</f>
        <v>0</v>
      </c>
      <c r="AL18" s="12">
        <f ca="1">SUM($AH$18:$AK$18)</f>
        <v>5.6599340153709106</v>
      </c>
      <c r="AM18" s="12">
        <f ca="1">SUMIF($L$4:$AL$4,"SUBTOTAL",$L$18:$AL$18)</f>
        <v>5.6599340153709106</v>
      </c>
      <c r="AP18" s="12">
        <v>1</v>
      </c>
    </row>
    <row r="19" spans="1:42" ht="11.25" customHeight="1" x14ac:dyDescent="0.25">
      <c r="A19" s="106"/>
      <c r="B19" s="18" t="s">
        <v>87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81</v>
      </c>
      <c r="I19" s="17">
        <f>'MERCADO TUSD'!$U$16</f>
        <v>0</v>
      </c>
      <c r="J19" s="15"/>
      <c r="L19" s="12">
        <f>'TR TUSD'!$L$19*'TR TUSD'!$L$70</f>
        <v>0</v>
      </c>
      <c r="M19" s="12">
        <f>'TR TUSD'!$M$19*'TR TUSD'!$M$70</f>
        <v>3.3998425161028113E-2</v>
      </c>
      <c r="N19" s="12">
        <f ca="1">'TR TUSD'!$N$19*'TR TUSD'!$N$70</f>
        <v>9.7091378850703028E-2</v>
      </c>
      <c r="O19" s="12">
        <f>'TR TUSD'!$O$19*'TR TUSD'!$O$70</f>
        <v>0</v>
      </c>
      <c r="P19" s="12">
        <f>'TR TUSD'!$P$19*'TR TUSD'!$P$70</f>
        <v>0</v>
      </c>
      <c r="Q19" s="12">
        <f>'TR TUSD'!$Q$19*'TR TUSD'!$Q$70</f>
        <v>0</v>
      </c>
      <c r="R19" s="12">
        <f>'TR TUSD'!$R$19*'TR TUSD'!$R$70</f>
        <v>0</v>
      </c>
      <c r="S19" s="12">
        <f>'TR TUSD'!$S$19*'TR TUSD'!$S$70</f>
        <v>0</v>
      </c>
      <c r="T19" s="12">
        <f ca="1">SUM($L$19:$S$19)</f>
        <v>0.13108980401173115</v>
      </c>
      <c r="U19" s="12">
        <f>'TR TUSD'!$U$19*'TR TUSD'!$U$70</f>
        <v>0</v>
      </c>
      <c r="V19" s="12">
        <f>'TR TUSD'!$V$19*'TR TUSD'!$V$70</f>
        <v>0</v>
      </c>
      <c r="W19" s="12">
        <f>'TR TUSD'!$W$19*'TR TUSD'!$W$70</f>
        <v>0</v>
      </c>
      <c r="X19" s="12">
        <f>'TR TUSD'!$X$19*'TR TUSD'!$X$70</f>
        <v>0</v>
      </c>
      <c r="Y19" s="12">
        <f>'TR TUSD'!$Y$19*'TR TUSD'!$Y$70</f>
        <v>0</v>
      </c>
      <c r="Z19" s="12">
        <f>'TR TUSD'!$Z$19*'TR TUSD'!$Z$70</f>
        <v>0</v>
      </c>
      <c r="AA19" s="12">
        <f>'TR TUSD'!$AA$19*'TR TUSD'!$AA$70</f>
        <v>0</v>
      </c>
      <c r="AB19" s="12">
        <f>SUM($U$19:$AA$19)</f>
        <v>0</v>
      </c>
      <c r="AC19" s="12">
        <f>'TR TUSD'!$AC$19*'TR TUSD'!$AC$70</f>
        <v>9.8383270909013305</v>
      </c>
      <c r="AD19" s="12">
        <f>SUM($AC$19:$AC$19)</f>
        <v>9.8383270909013305</v>
      </c>
      <c r="AE19" s="12">
        <v>0</v>
      </c>
      <c r="AF19" s="12">
        <v>0</v>
      </c>
      <c r="AG19" s="12">
        <f>SUM($AE$19:$AF$19)</f>
        <v>0</v>
      </c>
      <c r="AH19" s="12">
        <f>'TR TUSD'!$AH$19*'TR TUSD'!$AH$70</f>
        <v>0</v>
      </c>
      <c r="AI19" s="12">
        <f>'TR TUSD'!$AI$19*'TR TUSD'!$AI$70</f>
        <v>0</v>
      </c>
      <c r="AJ19" s="12">
        <f ca="1">'TR TUSD'!$AJ$19*'TR TUSD'!$AJ$70</f>
        <v>0</v>
      </c>
      <c r="AK19" s="12">
        <f ca="1">'TR TUSD'!$AK$19*'TR TUSD'!$AK$70</f>
        <v>0</v>
      </c>
      <c r="AL19" s="12">
        <f ca="1">SUM($AH$19:$AK$19)</f>
        <v>0</v>
      </c>
      <c r="AM19" s="12">
        <f ca="1">SUMIF($L$4:$AL$4,"SUBTOTAL",$L$19:$AL$19)</f>
        <v>9.9694168949130617</v>
      </c>
      <c r="AP19" s="12"/>
    </row>
    <row r="20" spans="1:42" ht="11.25" customHeight="1" x14ac:dyDescent="0.25">
      <c r="A20" s="106"/>
      <c r="B20" s="106" t="s">
        <v>41</v>
      </c>
      <c r="C20" s="106" t="s">
        <v>25</v>
      </c>
      <c r="D20" s="106" t="s">
        <v>25</v>
      </c>
      <c r="E20" s="106" t="s">
        <v>25</v>
      </c>
      <c r="F20" s="106" t="s">
        <v>25</v>
      </c>
      <c r="G20" s="17" t="s">
        <v>9</v>
      </c>
      <c r="H20" s="17" t="s">
        <v>81</v>
      </c>
      <c r="I20" s="17">
        <f>'MERCADO TUSD'!$U$17</f>
        <v>750849</v>
      </c>
      <c r="J20" s="15"/>
      <c r="L20" s="12">
        <f>'TR TUSD'!$L$20*'TR TUSD'!$L$70</f>
        <v>0</v>
      </c>
      <c r="M20" s="12">
        <f>'TR TUSD'!$M$20*'TR TUSD'!$M$70</f>
        <v>0</v>
      </c>
      <c r="N20" s="12">
        <f ca="1">'TR TUSD'!$N$20*'TR TUSD'!$N$70</f>
        <v>0</v>
      </c>
      <c r="O20" s="12">
        <f>'TR TUSD'!$O$20*'TR TUSD'!$O$70</f>
        <v>0</v>
      </c>
      <c r="P20" s="12">
        <f>'TR TUSD'!$P$20*'TR TUSD'!$P$70</f>
        <v>0</v>
      </c>
      <c r="Q20" s="12">
        <f>'TR TUSD'!$Q$20*'TR TUSD'!$Q$70</f>
        <v>0</v>
      </c>
      <c r="R20" s="12">
        <f>'TR TUSD'!$R$20*'TR TUSD'!$R$70</f>
        <v>0</v>
      </c>
      <c r="S20" s="12">
        <f>'TR TUSD'!$S$20*'TR TUSD'!$S$70</f>
        <v>0</v>
      </c>
      <c r="T20" s="12">
        <f ca="1">SUM($L$20:$S$20)</f>
        <v>0</v>
      </c>
      <c r="U20" s="12">
        <f>'TR TUSD'!$U$20*'TR TUSD'!$U$70</f>
        <v>3.6943743761432186</v>
      </c>
      <c r="V20" s="12">
        <f>'TR TUSD'!$V$20*'TR TUSD'!$V$70</f>
        <v>1.0159587644305321</v>
      </c>
      <c r="W20" s="12">
        <f>'TR TUSD'!$W$20*'TR TUSD'!$W$70</f>
        <v>8.8624231806904999E-2</v>
      </c>
      <c r="X20" s="12">
        <f>'TR TUSD'!$X$20*'TR TUSD'!$X$70</f>
        <v>0</v>
      </c>
      <c r="Y20" s="12">
        <f>'TR TUSD'!$Y$20*'TR TUSD'!$Y$70</f>
        <v>2.4118946952124976</v>
      </c>
      <c r="Z20" s="12">
        <f>'TR TUSD'!$Z$20</f>
        <v>0</v>
      </c>
      <c r="AA20" s="12">
        <f>'TR TUSD'!$AA$20</f>
        <v>0</v>
      </c>
      <c r="AB20" s="12">
        <f>SUM($U$20:$AA$20)</f>
        <v>7.2108520675931524</v>
      </c>
      <c r="AC20" s="12">
        <f>'TR TUSD'!$AC$20*'TR TUSD'!$AC$70</f>
        <v>12.145331862368316</v>
      </c>
      <c r="AD20" s="12">
        <f>SUM($AC$20:$AC$20)</f>
        <v>12.145331862368316</v>
      </c>
      <c r="AE20" s="12">
        <v>0</v>
      </c>
      <c r="AF20" s="12">
        <v>0</v>
      </c>
      <c r="AG20" s="12">
        <f>SUM($AE$20:$AF$20)</f>
        <v>0</v>
      </c>
      <c r="AH20" s="12">
        <f>'TR TUSD'!$AH$20*'TR TUSD'!$AH$70</f>
        <v>0</v>
      </c>
      <c r="AI20" s="12">
        <f>'TR TUSD'!$AI$20*'TR TUSD'!$AI$70</f>
        <v>0</v>
      </c>
      <c r="AJ20" s="12">
        <f ca="1">'TR TUSD'!$AJ$20*'TR TUSD'!$AJ$70</f>
        <v>0</v>
      </c>
      <c r="AK20" s="12">
        <f ca="1">'TR TUSD'!$AK$20*'TR TUSD'!$AK$70</f>
        <v>0</v>
      </c>
      <c r="AL20" s="12">
        <f ca="1">SUM($AH$20:$AK$20)</f>
        <v>0</v>
      </c>
      <c r="AM20" s="12">
        <f ca="1">SUMIF($L$4:$AL$4,"SUBTOTAL",$L$20:$AL$20)</f>
        <v>19.356183929961468</v>
      </c>
      <c r="AP20" s="12">
        <v>1</v>
      </c>
    </row>
    <row r="21" spans="1:42" ht="11.25" customHeight="1" x14ac:dyDescent="0.25">
      <c r="A21" s="106"/>
      <c r="B21" s="106"/>
      <c r="C21" s="106"/>
      <c r="D21" s="106"/>
      <c r="E21" s="106"/>
      <c r="F21" s="106"/>
      <c r="G21" s="17" t="s">
        <v>79</v>
      </c>
      <c r="H21" s="17" t="s">
        <v>78</v>
      </c>
      <c r="I21" s="17">
        <f>'MERCADO TUSD'!$U$18</f>
        <v>10300.001999999999</v>
      </c>
      <c r="J21" s="15"/>
      <c r="L21" s="12">
        <f>'TR TUSD'!$L$21*'TR TUSD'!$L$70</f>
        <v>1.5350769413580649</v>
      </c>
      <c r="M21" s="12">
        <f>'TR TUSD'!$M$21*'TR TUSD'!$M$70</f>
        <v>0.40874769358716467</v>
      </c>
      <c r="N21" s="12">
        <f ca="1">'TR TUSD'!$N$21*'TR TUSD'!$N$70</f>
        <v>10.04527399295986</v>
      </c>
      <c r="O21" s="12">
        <f>'TR TUSD'!$O$21*'TR TUSD'!$O$70</f>
        <v>3.9888958600876039E-2</v>
      </c>
      <c r="P21" s="12">
        <f>'TR TUSD'!$P$21*'TR TUSD'!$P$70</f>
        <v>0</v>
      </c>
      <c r="Q21" s="12">
        <f>'TR TUSD'!$Q$21*'TR TUSD'!$Q$70</f>
        <v>30.254295787902532</v>
      </c>
      <c r="R21" s="12">
        <f>'TR TUSD'!$R$21*'TR TUSD'!$R$70</f>
        <v>14.370155340997961</v>
      </c>
      <c r="S21" s="12">
        <f>'TR TUSD'!$S$21*'TR TUSD'!$S$70</f>
        <v>0</v>
      </c>
      <c r="T21" s="12">
        <f ca="1">SUM($L$21:$S$21)</f>
        <v>56.653438715406459</v>
      </c>
      <c r="U21" s="12">
        <f>'TR TUSD'!$U$21*'TR TUSD'!$U$70</f>
        <v>118.67196897776614</v>
      </c>
      <c r="V21" s="12">
        <f>'TR TUSD'!$V$21*'TR TUSD'!$V$70</f>
        <v>32.276749552275938</v>
      </c>
      <c r="W21" s="12">
        <f>'TR TUSD'!$W$21*'TR TUSD'!$W$70</f>
        <v>2.923730074172687</v>
      </c>
      <c r="X21" s="12">
        <f>'TR TUSD'!$X$21*'TR TUSD'!$X$70</f>
        <v>0</v>
      </c>
      <c r="Y21" s="12">
        <f>'TR TUSD'!$Y$21*'TR TUSD'!$Y$70</f>
        <v>154.29758998650183</v>
      </c>
      <c r="Z21" s="12">
        <f>'TR TUSD'!$Z$21</f>
        <v>0</v>
      </c>
      <c r="AA21" s="12">
        <f>'TR TUSD'!$AA$21</f>
        <v>0</v>
      </c>
      <c r="AB21" s="12">
        <f>SUM($U$21:$AA$21)</f>
        <v>308.17003859071656</v>
      </c>
      <c r="AC21" s="12">
        <f>'TR TUSD'!$AC$21*'TR TUSD'!$AC$70</f>
        <v>641.00177917875601</v>
      </c>
      <c r="AD21" s="12">
        <f>SUM($AC$21:$AC$21)</f>
        <v>641.00177917875601</v>
      </c>
      <c r="AE21" s="12">
        <v>0</v>
      </c>
      <c r="AF21" s="12">
        <v>0</v>
      </c>
      <c r="AG21" s="12">
        <f>SUM($AE$21:$AF$21)</f>
        <v>0</v>
      </c>
      <c r="AH21" s="12">
        <f>'TR TUSD'!$AH$21*'TR TUSD'!$AH$70</f>
        <v>5.5295620369635996</v>
      </c>
      <c r="AI21" s="12">
        <f>'TR TUSD'!$AI$21*'TR TUSD'!$AI$70</f>
        <v>0.13037197840731121</v>
      </c>
      <c r="AJ21" s="12">
        <f ca="1">'TR TUSD'!$AJ$21*'TR TUSD'!$AJ$70</f>
        <v>1.8468017215768751</v>
      </c>
      <c r="AK21" s="12">
        <f ca="1">'TR TUSD'!$AK$21*'TR TUSD'!$AK$70</f>
        <v>0</v>
      </c>
      <c r="AL21" s="12">
        <f ca="1">SUM($AH$21:$AK$21)</f>
        <v>7.5067357369477854</v>
      </c>
      <c r="AM21" s="12">
        <f ca="1">SUMIF($L$4:$AL$4,"SUBTOTAL",$L$21:$AL$21)</f>
        <v>1013.3319922218268</v>
      </c>
      <c r="AP21" s="12">
        <v>1</v>
      </c>
    </row>
    <row r="22" spans="1:42" ht="11.25" customHeight="1" x14ac:dyDescent="0.25">
      <c r="A22" s="106"/>
      <c r="B22" s="106"/>
      <c r="C22" s="106"/>
      <c r="D22" s="106"/>
      <c r="E22" s="106"/>
      <c r="F22" s="106"/>
      <c r="G22" s="17" t="s">
        <v>80</v>
      </c>
      <c r="H22" s="17" t="s">
        <v>78</v>
      </c>
      <c r="I22" s="17">
        <f>'MERCADO TUSD'!$U$19</f>
        <v>146148.57</v>
      </c>
      <c r="J22" s="15"/>
      <c r="L22" s="12">
        <f>'TR TUSD'!$L$22*'TR TUSD'!$L$70</f>
        <v>1.5350769413580649</v>
      </c>
      <c r="M22" s="12">
        <f>'TR TUSD'!$M$22*'TR TUSD'!$M$70</f>
        <v>0.40874769358716467</v>
      </c>
      <c r="N22" s="12">
        <f ca="1">'TR TUSD'!$N$22*'TR TUSD'!$N$70</f>
        <v>0.19225909901201535</v>
      </c>
      <c r="O22" s="12">
        <f>'TR TUSD'!$O$22*'TR TUSD'!$O$70</f>
        <v>3.9888958600876039E-2</v>
      </c>
      <c r="P22" s="12">
        <f>'TR TUSD'!$P$22*'TR TUSD'!$P$70</f>
        <v>0</v>
      </c>
      <c r="Q22" s="12">
        <f>'TR TUSD'!$Q$22*'TR TUSD'!$Q$70</f>
        <v>30.254295787902532</v>
      </c>
      <c r="R22" s="12">
        <f>'TR TUSD'!$R$22*'TR TUSD'!$R$70</f>
        <v>14.370155340997961</v>
      </c>
      <c r="S22" s="12">
        <f>'TR TUSD'!$S$22*'TR TUSD'!$S$70</f>
        <v>0</v>
      </c>
      <c r="T22" s="12">
        <f ca="1">SUM($L$22:$S$22)</f>
        <v>46.800423821458615</v>
      </c>
      <c r="U22" s="12">
        <f>'TR TUSD'!$U$22*'TR TUSD'!$U$70</f>
        <v>0</v>
      </c>
      <c r="V22" s="12">
        <f>'TR TUSD'!$V$22*'TR TUSD'!$V$70</f>
        <v>0</v>
      </c>
      <c r="W22" s="12">
        <f>'TR TUSD'!$W$22*'TR TUSD'!$W$70</f>
        <v>0</v>
      </c>
      <c r="X22" s="12">
        <f>'TR TUSD'!$X$22*'TR TUSD'!$X$70</f>
        <v>0</v>
      </c>
      <c r="Y22" s="12">
        <f>'TR TUSD'!$Y$22*'TR TUSD'!$Y$70</f>
        <v>0</v>
      </c>
      <c r="Z22" s="12">
        <f>'TR TUSD'!$Z$22</f>
        <v>0</v>
      </c>
      <c r="AA22" s="12">
        <f>'TR TUSD'!$AA$22</f>
        <v>0</v>
      </c>
      <c r="AB22" s="12">
        <f>SUM($U$22:$AA$22)</f>
        <v>0</v>
      </c>
      <c r="AC22" s="12">
        <f>'TR TUSD'!$AC$22*'TR TUSD'!$AC$70</f>
        <v>0</v>
      </c>
      <c r="AD22" s="12">
        <f>SUM($AC$22:$AC$22)</f>
        <v>0</v>
      </c>
      <c r="AE22" s="12">
        <v>0</v>
      </c>
      <c r="AF22" s="12">
        <v>0</v>
      </c>
      <c r="AG22" s="12">
        <f>SUM($AE$22:$AF$22)</f>
        <v>0</v>
      </c>
      <c r="AH22" s="12">
        <f>'TR TUSD'!$AH$22*'TR TUSD'!$AH$70</f>
        <v>5.5295620369635996</v>
      </c>
      <c r="AI22" s="12">
        <f>'TR TUSD'!$AI$22*'TR TUSD'!$AI$70</f>
        <v>0.13037197840731121</v>
      </c>
      <c r="AJ22" s="12">
        <f ca="1">'TR TUSD'!$AJ$22*'TR TUSD'!$AJ$70</f>
        <v>1.8468017215768751</v>
      </c>
      <c r="AK22" s="12">
        <f ca="1">'TR TUSD'!$AK$22*'TR TUSD'!$AK$70</f>
        <v>0</v>
      </c>
      <c r="AL22" s="12">
        <f ca="1">SUM($AH$22:$AK$22)</f>
        <v>7.5067357369477854</v>
      </c>
      <c r="AM22" s="12">
        <f ca="1">SUMIF($L$4:$AL$4,"SUBTOTAL",$L$22:$AL$22)</f>
        <v>54.307159558406397</v>
      </c>
      <c r="AP22" s="12">
        <v>1</v>
      </c>
    </row>
    <row r="23" spans="1:42" ht="11.25" customHeight="1" x14ac:dyDescent="0.25">
      <c r="A23" s="106"/>
      <c r="B23" s="106"/>
      <c r="C23" s="106"/>
      <c r="D23" s="106"/>
      <c r="E23" s="106" t="s">
        <v>85</v>
      </c>
      <c r="F23" s="106" t="s">
        <v>25</v>
      </c>
      <c r="G23" s="17" t="s">
        <v>79</v>
      </c>
      <c r="H23" s="17" t="s">
        <v>78</v>
      </c>
      <c r="I23" s="17">
        <f>'MERCADO TUSD'!$U$20</f>
        <v>0</v>
      </c>
      <c r="J23" s="15"/>
      <c r="L23" s="12">
        <f>'TR TUSD'!$L$23*'TR TUSD'!$L$70</f>
        <v>0</v>
      </c>
      <c r="M23" s="12">
        <f>'TR TUSD'!$M$23*'TR TUSD'!$M$70</f>
        <v>0.40874769358716467</v>
      </c>
      <c r="N23" s="12">
        <f ca="1">'TR TUSD'!$N$23*'TR TUSD'!$N$70</f>
        <v>10.033562125788482</v>
      </c>
      <c r="O23" s="12">
        <f>'TR TUSD'!$O$23*'TR TUSD'!$O$70</f>
        <v>3.9888958600876039E-2</v>
      </c>
      <c r="P23" s="12">
        <f>'TR TUSD'!$P$23*'TR TUSD'!$P$70</f>
        <v>0</v>
      </c>
      <c r="Q23" s="12">
        <f>'TR TUSD'!$Q$23*'TR TUSD'!$Q$70</f>
        <v>0</v>
      </c>
      <c r="R23" s="12">
        <f>'TR TUSD'!$R$23*'TR TUSD'!$R$70</f>
        <v>0</v>
      </c>
      <c r="S23" s="12">
        <f>'TR TUSD'!$S$23*'TR TUSD'!$S$70</f>
        <v>0</v>
      </c>
      <c r="T23" s="12">
        <f ca="1">SUM($L$23:$S$23)</f>
        <v>10.482198777976523</v>
      </c>
      <c r="U23" s="12">
        <f>'TR TUSD'!$U$23*'TR TUSD'!$U$70</f>
        <v>118.67196897776614</v>
      </c>
      <c r="V23" s="12">
        <f>'TR TUSD'!$V$23*'TR TUSD'!$V$70</f>
        <v>32.276749552275938</v>
      </c>
      <c r="W23" s="12">
        <f>'TR TUSD'!$W$23*'TR TUSD'!$W$70</f>
        <v>2.923730074172687</v>
      </c>
      <c r="X23" s="12">
        <f>'TR TUSD'!$X$23*'TR TUSD'!$X$70</f>
        <v>0</v>
      </c>
      <c r="Y23" s="12">
        <f>'TR TUSD'!$Y$23*'TR TUSD'!$Y$70</f>
        <v>154.29758998650183</v>
      </c>
      <c r="Z23" s="12">
        <f>'TR TUSD'!$Z$23</f>
        <v>0</v>
      </c>
      <c r="AA23" s="12">
        <f>'TR TUSD'!$AA$23</f>
        <v>0</v>
      </c>
      <c r="AB23" s="12">
        <f>SUM($U$23:$AA$23)</f>
        <v>308.17003859071656</v>
      </c>
      <c r="AC23" s="12">
        <f>'TR TUSD'!$AC$23*'TR TUSD'!$AC$70</f>
        <v>641.00177917875601</v>
      </c>
      <c r="AD23" s="12">
        <f>SUM($AC$23:$AC$23)</f>
        <v>641.00177917875601</v>
      </c>
      <c r="AE23" s="12">
        <v>0</v>
      </c>
      <c r="AF23" s="12">
        <v>0</v>
      </c>
      <c r="AG23" s="12">
        <f>SUM($AE$23:$AF$23)</f>
        <v>0</v>
      </c>
      <c r="AH23" s="12">
        <f>'TR TUSD'!$AH$23*'TR TUSD'!$AH$70</f>
        <v>5.5295620369635996</v>
      </c>
      <c r="AI23" s="12">
        <f>'TR TUSD'!$AI$23*'TR TUSD'!$AI$70</f>
        <v>0.13037197840731121</v>
      </c>
      <c r="AJ23" s="12">
        <f ca="1">'TR TUSD'!$AJ$23*'TR TUSD'!$AJ$70</f>
        <v>1.8468017215768751</v>
      </c>
      <c r="AK23" s="12">
        <f ca="1">'TR TUSD'!$AK$23*'TR TUSD'!$AK$70</f>
        <v>0</v>
      </c>
      <c r="AL23" s="12">
        <f ca="1">SUM($AH$23:$AK$23)</f>
        <v>7.5067357369477854</v>
      </c>
      <c r="AM23" s="12">
        <f ca="1">SUMIF($L$4:$AL$4,"SUBTOTAL",$L$23:$AL$23)</f>
        <v>967.16075228439695</v>
      </c>
      <c r="AP23" s="12">
        <v>1</v>
      </c>
    </row>
    <row r="24" spans="1:42" ht="11.25" customHeight="1" x14ac:dyDescent="0.25">
      <c r="A24" s="106"/>
      <c r="B24" s="106"/>
      <c r="C24" s="106"/>
      <c r="D24" s="106"/>
      <c r="E24" s="106"/>
      <c r="F24" s="106"/>
      <c r="G24" s="17" t="s">
        <v>80</v>
      </c>
      <c r="H24" s="17" t="s">
        <v>78</v>
      </c>
      <c r="I24" s="17">
        <f>'MERCADO TUSD'!$U$21</f>
        <v>0</v>
      </c>
      <c r="J24" s="15"/>
      <c r="L24" s="12">
        <f>'TR TUSD'!$L$24*'TR TUSD'!$L$70</f>
        <v>0</v>
      </c>
      <c r="M24" s="12">
        <f>'TR TUSD'!$M$24*'TR TUSD'!$M$70</f>
        <v>0.40874769358716467</v>
      </c>
      <c r="N24" s="12">
        <f ca="1">'TR TUSD'!$N$24*'TR TUSD'!$N$70</f>
        <v>0.18054723184063984</v>
      </c>
      <c r="O24" s="12">
        <f>'TR TUSD'!$O$24*'TR TUSD'!$O$70</f>
        <v>3.9888958600876039E-2</v>
      </c>
      <c r="P24" s="12">
        <f>'TR TUSD'!$P$24*'TR TUSD'!$P$70</f>
        <v>0</v>
      </c>
      <c r="Q24" s="12">
        <f>'TR TUSD'!$Q$24*'TR TUSD'!$Q$70</f>
        <v>0</v>
      </c>
      <c r="R24" s="12">
        <f>'TR TUSD'!$R$24*'TR TUSD'!$R$70</f>
        <v>0</v>
      </c>
      <c r="S24" s="12">
        <f>'TR TUSD'!$S$24*'TR TUSD'!$S$70</f>
        <v>0</v>
      </c>
      <c r="T24" s="12">
        <f ca="1">SUM($L$24:$S$24)</f>
        <v>0.62918388402868053</v>
      </c>
      <c r="U24" s="12">
        <f>'TR TUSD'!$U$24*'TR TUSD'!$U$70</f>
        <v>0</v>
      </c>
      <c r="V24" s="12">
        <f>'TR TUSD'!$V$24*'TR TUSD'!$V$70</f>
        <v>0</v>
      </c>
      <c r="W24" s="12">
        <f>'TR TUSD'!$W$24*'TR TUSD'!$W$70</f>
        <v>0</v>
      </c>
      <c r="X24" s="12">
        <f>'TR TUSD'!$X$24*'TR TUSD'!$X$70</f>
        <v>0</v>
      </c>
      <c r="Y24" s="12">
        <f>'TR TUSD'!$Y$24*'TR TUSD'!$Y$70</f>
        <v>0</v>
      </c>
      <c r="Z24" s="12">
        <f>'TR TUSD'!$Z$24</f>
        <v>0</v>
      </c>
      <c r="AA24" s="12">
        <f>'TR TUSD'!$AA$24</f>
        <v>0</v>
      </c>
      <c r="AB24" s="12">
        <f>SUM($U$24:$AA$24)</f>
        <v>0</v>
      </c>
      <c r="AC24" s="12">
        <f>'TR TUSD'!$AC$24*'TR TUSD'!$AC$70</f>
        <v>0</v>
      </c>
      <c r="AD24" s="12">
        <f>SUM($AC$24:$AC$24)</f>
        <v>0</v>
      </c>
      <c r="AE24" s="12">
        <v>0</v>
      </c>
      <c r="AF24" s="12">
        <v>0</v>
      </c>
      <c r="AG24" s="12">
        <f>SUM($AE$24:$AF$24)</f>
        <v>0</v>
      </c>
      <c r="AH24" s="12">
        <f>'TR TUSD'!$AH$24*'TR TUSD'!$AH$70</f>
        <v>5.5295620369635996</v>
      </c>
      <c r="AI24" s="12">
        <f>'TR TUSD'!$AI$24*'TR TUSD'!$AI$70</f>
        <v>0.13037197840731121</v>
      </c>
      <c r="AJ24" s="12">
        <f ca="1">'TR TUSD'!$AJ$24*'TR TUSD'!$AJ$70</f>
        <v>1.8468017215768751</v>
      </c>
      <c r="AK24" s="12">
        <f ca="1">'TR TUSD'!$AK$24*'TR TUSD'!$AK$70</f>
        <v>0</v>
      </c>
      <c r="AL24" s="12">
        <f ca="1">SUM($AH$24:$AK$24)</f>
        <v>7.5067357369477854</v>
      </c>
      <c r="AM24" s="12">
        <f ca="1">SUMIF($L$4:$AL$4,"SUBTOTAL",$L$24:$AL$24)</f>
        <v>8.1359196209764661</v>
      </c>
      <c r="AP24" s="12">
        <v>1</v>
      </c>
    </row>
    <row r="25" spans="1:42" ht="11.25" customHeight="1" x14ac:dyDescent="0.25">
      <c r="A25" s="106" t="s">
        <v>88</v>
      </c>
      <c r="B25" s="106" t="s">
        <v>87</v>
      </c>
      <c r="C25" s="106" t="s">
        <v>25</v>
      </c>
      <c r="D25" s="106" t="s">
        <v>25</v>
      </c>
      <c r="E25" s="18" t="s">
        <v>89</v>
      </c>
      <c r="F25" s="18" t="s">
        <v>25</v>
      </c>
      <c r="G25" s="17" t="s">
        <v>9</v>
      </c>
      <c r="H25" s="17" t="s">
        <v>81</v>
      </c>
      <c r="I25" s="17">
        <f>'MERCADO TUSD'!$U$22+0.00000001</f>
        <v>1E-8</v>
      </c>
      <c r="J25" s="15"/>
      <c r="L25" s="12">
        <f>'TR TUSD'!$L$25*'TR TUSD'!$L$70</f>
        <v>0</v>
      </c>
      <c r="M25" s="12">
        <f>'TR TUSD'!$M$25*'TR TUSD'!$M$70</f>
        <v>3.616196130763899E-2</v>
      </c>
      <c r="N25" s="12">
        <f ca="1">'TR TUSD'!$N$25*'TR TUSD'!$N$70</f>
        <v>0.10329866845153206</v>
      </c>
      <c r="O25" s="12">
        <f>'TR TUSD'!$O$25*'TR TUSD'!$O$70</f>
        <v>0</v>
      </c>
      <c r="P25" s="12">
        <f>'TR TUSD'!$P$25*'TR TUSD'!$P$70</f>
        <v>0</v>
      </c>
      <c r="Q25" s="12">
        <f>'TR TUSD'!$Q$25*'TR TUSD'!$Q$70</f>
        <v>0</v>
      </c>
      <c r="R25" s="12">
        <f>'TR TUSD'!$R$25*'TR TUSD'!$R$70</f>
        <v>0</v>
      </c>
      <c r="S25" s="12">
        <f>'TR TUSD'!$S$25*'TR TUSD'!$S$70</f>
        <v>0</v>
      </c>
      <c r="T25" s="12">
        <f ca="1">SUM($L$25:$S$25)</f>
        <v>0.13946062975917106</v>
      </c>
      <c r="U25" s="12">
        <f>'TR TUSD'!$U$25*'TR TUSD'!$U$70</f>
        <v>0</v>
      </c>
      <c r="V25" s="12">
        <f>'TR TUSD'!$V$25*'TR TUSD'!$V$70</f>
        <v>0</v>
      </c>
      <c r="W25" s="12">
        <f>'TR TUSD'!$W$25*'TR TUSD'!$W$70</f>
        <v>0</v>
      </c>
      <c r="X25" s="12">
        <f>'TR TUSD'!$X$25*'TR TUSD'!$X$70</f>
        <v>0</v>
      </c>
      <c r="Y25" s="12">
        <f>'TR TUSD'!$Y$25*'TR TUSD'!$Y$70</f>
        <v>0</v>
      </c>
      <c r="Z25" s="12">
        <f>'TR TUSD'!$Z$25*'TR TUSD'!$Z$70</f>
        <v>0</v>
      </c>
      <c r="AA25" s="12">
        <f>'TR TUSD'!$AA$25*'TR TUSD'!$AA$70</f>
        <v>0</v>
      </c>
      <c r="AB25" s="12">
        <f>SUM($U$25:$AA$25)</f>
        <v>0</v>
      </c>
      <c r="AC25" s="12">
        <f>'TR TUSD'!$AC$25*'TR TUSD'!$AC$70</f>
        <v>10.464720918011935</v>
      </c>
      <c r="AD25" s="12">
        <f>SUM($AC$25:$AC$25)</f>
        <v>10.464720918011935</v>
      </c>
      <c r="AE25" s="12">
        <v>0</v>
      </c>
      <c r="AF25" s="12">
        <v>0</v>
      </c>
      <c r="AG25" s="12">
        <f>SUM($AE$25:$AF$25)</f>
        <v>0</v>
      </c>
      <c r="AH25" s="12">
        <f>'TR TUSD'!$AH$25*'TR TUSD'!$AH$70</f>
        <v>0</v>
      </c>
      <c r="AI25" s="12">
        <f>'TR TUSD'!$AI$25*'TR TUSD'!$AI$70</f>
        <v>0</v>
      </c>
      <c r="AJ25" s="12">
        <f ca="1">'TR TUSD'!$AJ$25*'TR TUSD'!$AJ$70</f>
        <v>0</v>
      </c>
      <c r="AK25" s="12">
        <f ca="1">'TR TUSD'!$AK$25*'TR TUSD'!$AK$70</f>
        <v>0</v>
      </c>
      <c r="AL25" s="12">
        <f ca="1">SUM($AH$25:$AK$25)</f>
        <v>0</v>
      </c>
      <c r="AM25" s="12">
        <f ca="1">SUMIF($L$4:$AL$4,"SUBTOTAL",$L$25:$AL$25)</f>
        <v>10.604181547771105</v>
      </c>
      <c r="AP25" s="12"/>
    </row>
    <row r="26" spans="1:42" ht="11.25" customHeight="1" x14ac:dyDescent="0.25">
      <c r="A26" s="106"/>
      <c r="B26" s="106"/>
      <c r="C26" s="106"/>
      <c r="D26" s="106"/>
      <c r="E26" s="18" t="s">
        <v>90</v>
      </c>
      <c r="F26" s="18" t="s">
        <v>25</v>
      </c>
      <c r="G26" s="17" t="s">
        <v>9</v>
      </c>
      <c r="H26" s="17" t="s">
        <v>81</v>
      </c>
      <c r="I26" s="17">
        <f>'MERCADO TUSD'!$U$23+0.00000001</f>
        <v>1E-8</v>
      </c>
      <c r="J26" s="15"/>
      <c r="L26" s="12">
        <f>'TR TUSD'!$L$26*'TR TUSD'!$L$70</f>
        <v>0</v>
      </c>
      <c r="M26" s="12">
        <f>'TR TUSD'!$M$26*'TR TUSD'!$M$70</f>
        <v>3.616196130763899E-2</v>
      </c>
      <c r="N26" s="12">
        <f ca="1">'TR TUSD'!$N$26*'TR TUSD'!$N$70</f>
        <v>0.10329866845153206</v>
      </c>
      <c r="O26" s="12">
        <f>'TR TUSD'!$O$26*'TR TUSD'!$O$70</f>
        <v>0</v>
      </c>
      <c r="P26" s="12">
        <f>'TR TUSD'!$P$26*'TR TUSD'!$P$70</f>
        <v>0</v>
      </c>
      <c r="Q26" s="12">
        <f>'TR TUSD'!$Q$26*'TR TUSD'!$Q$70</f>
        <v>0</v>
      </c>
      <c r="R26" s="12">
        <f>'TR TUSD'!$R$26*'TR TUSD'!$R$70</f>
        <v>0</v>
      </c>
      <c r="S26" s="12">
        <f>'TR TUSD'!$S$26*'TR TUSD'!$S$70</f>
        <v>0</v>
      </c>
      <c r="T26" s="12">
        <f ca="1">SUM($L$26:$S$26)</f>
        <v>0.13946062975917106</v>
      </c>
      <c r="U26" s="12">
        <f>'TR TUSD'!$U$26*'TR TUSD'!$U$70</f>
        <v>0</v>
      </c>
      <c r="V26" s="12">
        <f>'TR TUSD'!$V$26*'TR TUSD'!$V$70</f>
        <v>0</v>
      </c>
      <c r="W26" s="12">
        <f>'TR TUSD'!$W$26*'TR TUSD'!$W$70</f>
        <v>0</v>
      </c>
      <c r="X26" s="12">
        <f>'TR TUSD'!$X$26*'TR TUSD'!$X$70</f>
        <v>0</v>
      </c>
      <c r="Y26" s="12">
        <f>'TR TUSD'!$Y$26*'TR TUSD'!$Y$70</f>
        <v>0</v>
      </c>
      <c r="Z26" s="12">
        <f>'TR TUSD'!$Z$26*'TR TUSD'!$Z$70</f>
        <v>0</v>
      </c>
      <c r="AA26" s="12">
        <f>'TR TUSD'!$AA$26*'TR TUSD'!$AA$70</f>
        <v>0</v>
      </c>
      <c r="AB26" s="12">
        <f>SUM($U$26:$AA$26)</f>
        <v>0</v>
      </c>
      <c r="AC26" s="12">
        <f>'TR TUSD'!$AC$26*'TR TUSD'!$AC$70</f>
        <v>18.133725959003499</v>
      </c>
      <c r="AD26" s="12">
        <f>SUM($AC$26:$AC$26)</f>
        <v>18.133725959003499</v>
      </c>
      <c r="AE26" s="12">
        <v>0</v>
      </c>
      <c r="AF26" s="12">
        <v>0</v>
      </c>
      <c r="AG26" s="12">
        <f>SUM($AE$26:$AF$26)</f>
        <v>0</v>
      </c>
      <c r="AH26" s="12">
        <f>'TR TUSD'!$AH$26*'TR TUSD'!$AH$70</f>
        <v>0</v>
      </c>
      <c r="AI26" s="12">
        <f>'TR TUSD'!$AI$26*'TR TUSD'!$AI$70</f>
        <v>0</v>
      </c>
      <c r="AJ26" s="12">
        <f ca="1">'TR TUSD'!$AJ$26*'TR TUSD'!$AJ$70</f>
        <v>0</v>
      </c>
      <c r="AK26" s="12">
        <f ca="1">'TR TUSD'!$AK$26*'TR TUSD'!$AK$70</f>
        <v>0</v>
      </c>
      <c r="AL26" s="12">
        <f ca="1">SUM($AH$26:$AK$26)</f>
        <v>0</v>
      </c>
      <c r="AM26" s="12">
        <f ca="1">SUMIF($L$4:$AL$4,"SUBTOTAL",$L$26:$AL$26)</f>
        <v>18.27318658876267</v>
      </c>
      <c r="AP26" s="12"/>
    </row>
    <row r="27" spans="1:42" ht="11.25" customHeight="1" x14ac:dyDescent="0.25">
      <c r="A27" s="106" t="s">
        <v>22</v>
      </c>
      <c r="B27" s="106" t="s">
        <v>33</v>
      </c>
      <c r="C27" s="106" t="s">
        <v>24</v>
      </c>
      <c r="D27" s="106" t="s">
        <v>24</v>
      </c>
      <c r="E27" s="106" t="s">
        <v>25</v>
      </c>
      <c r="F27" s="106" t="s">
        <v>25</v>
      </c>
      <c r="G27" s="17" t="s">
        <v>79</v>
      </c>
      <c r="H27" s="17" t="s">
        <v>78</v>
      </c>
      <c r="I27" s="17">
        <f>'MERCADO TUSD'!$U$24</f>
        <v>6.9259999999999993</v>
      </c>
      <c r="J27" s="15"/>
      <c r="L27" s="12">
        <f>'TR TUSD'!$L$27*'TR TUSD'!$L$70</f>
        <v>1.8274725492357917</v>
      </c>
      <c r="M27" s="12">
        <f>'TR TUSD'!$M$27*'TR TUSD'!$M$70</f>
        <v>0.81334127606133311</v>
      </c>
      <c r="N27" s="12">
        <f ca="1">'TR TUSD'!$N$27*'TR TUSD'!$N$70</f>
        <v>8.0993464530991996</v>
      </c>
      <c r="O27" s="12">
        <f>'TR TUSD'!$O$27*'TR TUSD'!$O$70</f>
        <v>3.9888958600876039E-2</v>
      </c>
      <c r="P27" s="12">
        <f>'TR TUSD'!$P$27*'TR TUSD'!$P$70</f>
        <v>0</v>
      </c>
      <c r="Q27" s="12">
        <f>'TR TUSD'!$Q$27*'TR TUSD'!$Q$70</f>
        <v>36.017018795122063</v>
      </c>
      <c r="R27" s="12">
        <f>'TR TUSD'!$R$27*'TR TUSD'!$R$70</f>
        <v>14.370155340997961</v>
      </c>
      <c r="S27" s="12">
        <f>'TR TUSD'!$S$27*'TR TUSD'!$S$70</f>
        <v>0</v>
      </c>
      <c r="T27" s="12">
        <f ca="1">SUM($L$27:$S$27)</f>
        <v>61.167223373117224</v>
      </c>
      <c r="U27" s="12">
        <f>'TR TUSD'!$U$27*'TR TUSD'!$U$70</f>
        <v>54.599922130914379</v>
      </c>
      <c r="V27" s="12">
        <f>'TR TUSD'!$V$27*'TR TUSD'!$V$70</f>
        <v>14.921710583319495</v>
      </c>
      <c r="W27" s="12">
        <f>'TR TUSD'!$W$27*'TR TUSD'!$W$70</f>
        <v>1.3304504464225477</v>
      </c>
      <c r="X27" s="12">
        <f>'TR TUSD'!$X$27*'TR TUSD'!$X$70</f>
        <v>0</v>
      </c>
      <c r="Y27" s="12">
        <f>'TR TUSD'!$Y$27*'TR TUSD'!$Y$70</f>
        <v>56.719311088010556</v>
      </c>
      <c r="Z27" s="12">
        <f>'TR TUSD'!$Z$27</f>
        <v>0</v>
      </c>
      <c r="AA27" s="12">
        <f>'TR TUSD'!$AA$27</f>
        <v>0</v>
      </c>
      <c r="AB27" s="12">
        <f>SUM($U$27:$AA$27)</f>
        <v>127.57139424866698</v>
      </c>
      <c r="AC27" s="12">
        <f>'TR TUSD'!$AC$27*'TR TUSD'!$AC$70</f>
        <v>626.15659102352379</v>
      </c>
      <c r="AD27" s="12">
        <f>SUM($AC$27:$AC$27)</f>
        <v>626.15659102352379</v>
      </c>
      <c r="AE27" s="12">
        <v>0</v>
      </c>
      <c r="AF27" s="12">
        <v>0</v>
      </c>
      <c r="AG27" s="12">
        <f>SUM($AE$27:$AF$27)</f>
        <v>0</v>
      </c>
      <c r="AH27" s="12">
        <f>'TR TUSD'!$AH$27*'TR TUSD'!$AH$70</f>
        <v>16.664328898488023</v>
      </c>
      <c r="AI27" s="12">
        <f>'TR TUSD'!$AI$27*'TR TUSD'!$AI$70</f>
        <v>0.39289938566617705</v>
      </c>
      <c r="AJ27" s="12">
        <f ca="1">'TR TUSD'!$AJ$27*'TR TUSD'!$AJ$70</f>
        <v>2.6126048271673166</v>
      </c>
      <c r="AK27" s="12">
        <f ca="1">'TR TUSD'!$AK$27*'TR TUSD'!$AK$70</f>
        <v>0</v>
      </c>
      <c r="AL27" s="12">
        <f ca="1">SUM($AH$27:$AK$27)</f>
        <v>19.669833111321516</v>
      </c>
      <c r="AM27" s="12">
        <f ca="1">SUMIF($L$4:$AL$4,"SUBTOTAL",$L$27:$AL$27)</f>
        <v>834.56504175662951</v>
      </c>
      <c r="AP27" s="12">
        <v>1</v>
      </c>
    </row>
    <row r="28" spans="1:42" ht="11.25" customHeight="1" x14ac:dyDescent="0.25">
      <c r="A28" s="106"/>
      <c r="B28" s="106"/>
      <c r="C28" s="106"/>
      <c r="D28" s="106"/>
      <c r="E28" s="106"/>
      <c r="F28" s="106"/>
      <c r="G28" s="17" t="s">
        <v>91</v>
      </c>
      <c r="H28" s="17" t="s">
        <v>78</v>
      </c>
      <c r="I28" s="17">
        <f>'MERCADO TUSD'!$U$25</f>
        <v>4.6099999999999994</v>
      </c>
      <c r="J28" s="15"/>
      <c r="L28" s="12">
        <f>'TR TUSD'!$L$28*'TR TUSD'!$L$70</f>
        <v>1.8274725492357917</v>
      </c>
      <c r="M28" s="12">
        <f>'TR TUSD'!$M$28*'TR TUSD'!$M$70</f>
        <v>0.81334127606133311</v>
      </c>
      <c r="N28" s="12">
        <f ca="1">'TR TUSD'!$N$28*'TR TUSD'!$N$70</f>
        <v>5.0436711182452099</v>
      </c>
      <c r="O28" s="12">
        <f>'TR TUSD'!$O$28*'TR TUSD'!$O$70</f>
        <v>3.9888958600876039E-2</v>
      </c>
      <c r="P28" s="12">
        <f>'TR TUSD'!$P$28*'TR TUSD'!$P$70</f>
        <v>0</v>
      </c>
      <c r="Q28" s="12">
        <f>'TR TUSD'!$Q$28*'TR TUSD'!$Q$70</f>
        <v>36.017018795122063</v>
      </c>
      <c r="R28" s="12">
        <f>'TR TUSD'!$R$28*'TR TUSD'!$R$70</f>
        <v>14.370155340997961</v>
      </c>
      <c r="S28" s="12">
        <f>'TR TUSD'!$S$28*'TR TUSD'!$S$70</f>
        <v>0</v>
      </c>
      <c r="T28" s="12">
        <f ca="1">SUM($L$28:$S$28)</f>
        <v>58.111548038263237</v>
      </c>
      <c r="U28" s="12">
        <f>'TR TUSD'!$U$28*'TR TUSD'!$U$70</f>
        <v>32.759953278548629</v>
      </c>
      <c r="V28" s="12">
        <f>'TR TUSD'!$V$28*'TR TUSD'!$V$70</f>
        <v>8.9530420316347001</v>
      </c>
      <c r="W28" s="12">
        <f>'TR TUSD'!$W$28*'TR TUSD'!$W$70</f>
        <v>0.7982380613551886</v>
      </c>
      <c r="X28" s="12">
        <f>'TR TUSD'!$X$28*'TR TUSD'!$X$70</f>
        <v>0</v>
      </c>
      <c r="Y28" s="12">
        <f>'TR TUSD'!$Y$28*'TR TUSD'!$Y$70</f>
        <v>34.031564475687873</v>
      </c>
      <c r="Z28" s="12">
        <f>'TR TUSD'!$Z$28</f>
        <v>0</v>
      </c>
      <c r="AA28" s="12">
        <f>'TR TUSD'!$AA$28</f>
        <v>0</v>
      </c>
      <c r="AB28" s="12">
        <f>SUM($U$28:$AA$28)</f>
        <v>76.542797847226382</v>
      </c>
      <c r="AC28" s="12">
        <f>'TR TUSD'!$AC$28*'TR TUSD'!$AC$70</f>
        <v>375.69390695241918</v>
      </c>
      <c r="AD28" s="12">
        <f>SUM($AC$28:$AC$28)</f>
        <v>375.69390695241918</v>
      </c>
      <c r="AE28" s="12">
        <v>0</v>
      </c>
      <c r="AF28" s="12">
        <v>0</v>
      </c>
      <c r="AG28" s="12">
        <f>SUM($AE$28:$AF$28)</f>
        <v>0</v>
      </c>
      <c r="AH28" s="12">
        <f>'TR TUSD'!$AH$28*'TR TUSD'!$AH$70</f>
        <v>16.664328898488023</v>
      </c>
      <c r="AI28" s="12">
        <f>'TR TUSD'!$AI$28*'TR TUSD'!$AI$70</f>
        <v>0.39289938566617705</v>
      </c>
      <c r="AJ28" s="12">
        <f ca="1">'TR TUSD'!$AJ$28*'TR TUSD'!$AJ$70</f>
        <v>2.6126048271673166</v>
      </c>
      <c r="AK28" s="12">
        <f ca="1">'TR TUSD'!$AK$28*'TR TUSD'!$AK$70</f>
        <v>0</v>
      </c>
      <c r="AL28" s="12">
        <f ca="1">SUM($AH$28:$AK$28)</f>
        <v>19.669833111321516</v>
      </c>
      <c r="AM28" s="12">
        <f ca="1">SUMIF($L$4:$AL$4,"SUBTOTAL",$L$28:$AL$28)</f>
        <v>530.01808594923034</v>
      </c>
      <c r="AP28" s="12">
        <v>1</v>
      </c>
    </row>
    <row r="29" spans="1:42" ht="11.25" customHeight="1" x14ac:dyDescent="0.25">
      <c r="A29" s="106"/>
      <c r="B29" s="106"/>
      <c r="C29" s="106"/>
      <c r="D29" s="106"/>
      <c r="E29" s="106"/>
      <c r="F29" s="106"/>
      <c r="G29" s="17" t="s">
        <v>80</v>
      </c>
      <c r="H29" s="17" t="s">
        <v>78</v>
      </c>
      <c r="I29" s="17">
        <f>'MERCADO TUSD'!$U$26</f>
        <v>73.14200000000001</v>
      </c>
      <c r="J29" s="15"/>
      <c r="L29" s="12">
        <f>'TR TUSD'!$L$29*'TR TUSD'!$L$70</f>
        <v>1.8274725492357917</v>
      </c>
      <c r="M29" s="12">
        <f>'TR TUSD'!$M$29*'TR TUSD'!$M$70</f>
        <v>0.81334127606133311</v>
      </c>
      <c r="N29" s="12">
        <f ca="1">'TR TUSD'!$N$29*'TR TUSD'!$N$70</f>
        <v>1.9879981257646511</v>
      </c>
      <c r="O29" s="12">
        <f>'TR TUSD'!$O$29*'TR TUSD'!$O$70</f>
        <v>3.9888958600876039E-2</v>
      </c>
      <c r="P29" s="12">
        <f>'TR TUSD'!$P$29*'TR TUSD'!$P$70</f>
        <v>0</v>
      </c>
      <c r="Q29" s="12">
        <f>'TR TUSD'!$Q$29*'TR TUSD'!$Q$70</f>
        <v>36.017018795122063</v>
      </c>
      <c r="R29" s="12">
        <f>'TR TUSD'!$R$29*'TR TUSD'!$R$70</f>
        <v>14.370155340997961</v>
      </c>
      <c r="S29" s="12">
        <f>'TR TUSD'!$S$29*'TR TUSD'!$S$70</f>
        <v>0</v>
      </c>
      <c r="T29" s="12">
        <f ca="1">SUM($L$29:$S$29)</f>
        <v>55.055875045782678</v>
      </c>
      <c r="U29" s="12">
        <f>'TR TUSD'!$U$29*'TR TUSD'!$U$70</f>
        <v>10.919984426182875</v>
      </c>
      <c r="V29" s="12">
        <f>'TR TUSD'!$V$29*'TR TUSD'!$V$70</f>
        <v>2.9843734799499058</v>
      </c>
      <c r="W29" s="12">
        <f>'TR TUSD'!$W$29*'TR TUSD'!$W$70</f>
        <v>0.26610619253367951</v>
      </c>
      <c r="X29" s="12">
        <f>'TR TUSD'!$X$29*'TR TUSD'!$X$70</f>
        <v>0</v>
      </c>
      <c r="Y29" s="12">
        <f>'TR TUSD'!$Y$29*'TR TUSD'!$Y$70</f>
        <v>11.343817863365192</v>
      </c>
      <c r="Z29" s="12">
        <f>'TR TUSD'!$Z$29</f>
        <v>0</v>
      </c>
      <c r="AA29" s="12">
        <f>'TR TUSD'!$AA$29</f>
        <v>0</v>
      </c>
      <c r="AB29" s="12">
        <f>SUM($U$29:$AA$29)</f>
        <v>25.514281962031653</v>
      </c>
      <c r="AC29" s="12">
        <f>'TR TUSD'!$AC$29*'TR TUSD'!$AC$70</f>
        <v>125.23134203555227</v>
      </c>
      <c r="AD29" s="12">
        <f>SUM($AC$29:$AC$29)</f>
        <v>125.23134203555227</v>
      </c>
      <c r="AE29" s="12">
        <v>0</v>
      </c>
      <c r="AF29" s="12">
        <v>0</v>
      </c>
      <c r="AG29" s="12">
        <f>SUM($AE$29:$AF$29)</f>
        <v>0</v>
      </c>
      <c r="AH29" s="12">
        <f>'TR TUSD'!$AH$29*'TR TUSD'!$AH$70</f>
        <v>16.664328898488023</v>
      </c>
      <c r="AI29" s="12">
        <f>'TR TUSD'!$AI$29*'TR TUSD'!$AI$70</f>
        <v>0.39289938566617705</v>
      </c>
      <c r="AJ29" s="12">
        <f ca="1">'TR TUSD'!$AJ$29*'TR TUSD'!$AJ$70</f>
        <v>2.6126048271673166</v>
      </c>
      <c r="AK29" s="12">
        <f ca="1">'TR TUSD'!$AK$29*'TR TUSD'!$AK$70</f>
        <v>0</v>
      </c>
      <c r="AL29" s="12">
        <f ca="1">SUM($AH$29:$AK$29)</f>
        <v>19.669833111321516</v>
      </c>
      <c r="AM29" s="12">
        <f ca="1">SUMIF($L$4:$AL$4,"SUBTOTAL",$L$29:$AL$29)</f>
        <v>225.47133215468813</v>
      </c>
      <c r="AP29" s="12">
        <v>1</v>
      </c>
    </row>
    <row r="30" spans="1:42" ht="11.25" customHeight="1" x14ac:dyDescent="0.25">
      <c r="A30" s="106"/>
      <c r="B30" s="106" t="s">
        <v>23</v>
      </c>
      <c r="C30" s="106" t="s">
        <v>24</v>
      </c>
      <c r="D30" s="18" t="s">
        <v>24</v>
      </c>
      <c r="E30" s="18" t="s">
        <v>25</v>
      </c>
      <c r="F30" s="18" t="s">
        <v>25</v>
      </c>
      <c r="G30" s="17" t="s">
        <v>84</v>
      </c>
      <c r="H30" s="17" t="s">
        <v>78</v>
      </c>
      <c r="I30" s="17">
        <f>'MERCADO TUSD'!$U$27</f>
        <v>216529.64400000003</v>
      </c>
      <c r="J30" s="15"/>
      <c r="L30" s="12">
        <f>'TR TUSD'!$L$30*'TR TUSD'!$L$70</f>
        <v>1.8274725492357917</v>
      </c>
      <c r="M30" s="12">
        <f>'TR TUSD'!$M$30*'TR TUSD'!$M$70</f>
        <v>0.81334127606133311</v>
      </c>
      <c r="N30" s="12">
        <f ca="1">'TR TUSD'!$N$30*'TR TUSD'!$N$70</f>
        <v>2.8474043981197319</v>
      </c>
      <c r="O30" s="12">
        <f>'TR TUSD'!$O$30*'TR TUSD'!$O$70</f>
        <v>3.9888958600876039E-2</v>
      </c>
      <c r="P30" s="12">
        <f>'TR TUSD'!$P$30*'TR TUSD'!$P$70</f>
        <v>0</v>
      </c>
      <c r="Q30" s="12">
        <f>'TR TUSD'!$Q$30*'TR TUSD'!$Q$70</f>
        <v>36.017018795122063</v>
      </c>
      <c r="R30" s="12">
        <f>'TR TUSD'!$R$30*'TR TUSD'!$R$70</f>
        <v>14.370155340997961</v>
      </c>
      <c r="S30" s="12">
        <f>'TR TUSD'!$S$30*'TR TUSD'!$S$70</f>
        <v>0</v>
      </c>
      <c r="T30" s="12">
        <f ca="1">SUM($L$30:$S$30)</f>
        <v>55.915281318137758</v>
      </c>
      <c r="U30" s="12">
        <f>'TR TUSD'!$U$30*'TR TUSD'!$U$70</f>
        <v>17.06241353582184</v>
      </c>
      <c r="V30" s="12">
        <f>'TR TUSD'!$V$30*'TR TUSD'!$V$70</f>
        <v>4.6630149552335878</v>
      </c>
      <c r="W30" s="12">
        <f>'TR TUSD'!$W$30*'TR TUSD'!$W$70</f>
        <v>0.41578589356850859</v>
      </c>
      <c r="X30" s="12">
        <f>'TR TUSD'!$X$30*'TR TUSD'!$X$70</f>
        <v>0</v>
      </c>
      <c r="Y30" s="12">
        <f>'TR TUSD'!$Y$30*'TR TUSD'!$Y$70</f>
        <v>17.724729272207149</v>
      </c>
      <c r="Z30" s="12">
        <f>'TR TUSD'!$Z$30</f>
        <v>0</v>
      </c>
      <c r="AA30" s="12">
        <f>'TR TUSD'!$AA$30</f>
        <v>0</v>
      </c>
      <c r="AB30" s="12">
        <f>SUM($U$30:$AA$30)</f>
        <v>39.865943656831085</v>
      </c>
      <c r="AC30" s="12">
        <f>'TR TUSD'!$AC$30*'TR TUSD'!$AC$70</f>
        <v>195.6738974591519</v>
      </c>
      <c r="AD30" s="12">
        <f>SUM($AC$30:$AC$30)</f>
        <v>195.6738974591519</v>
      </c>
      <c r="AE30" s="12">
        <v>0</v>
      </c>
      <c r="AF30" s="12">
        <v>0</v>
      </c>
      <c r="AG30" s="12">
        <f>SUM($AE$30:$AF$30)</f>
        <v>0</v>
      </c>
      <c r="AH30" s="12">
        <f>'TR TUSD'!$AH$30*'TR TUSD'!$AH$70</f>
        <v>16.664328898488023</v>
      </c>
      <c r="AI30" s="12">
        <f>'TR TUSD'!$AI$30*'TR TUSD'!$AI$70</f>
        <v>0.39289938566617705</v>
      </c>
      <c r="AJ30" s="12">
        <f ca="1">'TR TUSD'!$AJ$30*'TR TUSD'!$AJ$70</f>
        <v>2.6126048271673166</v>
      </c>
      <c r="AK30" s="12">
        <f ca="1">'TR TUSD'!$AK$30*'TR TUSD'!$AK$70</f>
        <v>0</v>
      </c>
      <c r="AL30" s="12">
        <f ca="1">SUM($AH$30:$AK$30)</f>
        <v>19.669833111321516</v>
      </c>
      <c r="AM30" s="12">
        <f ca="1">SUMIF($L$4:$AL$4,"SUBTOTAL",$L$30:$AL$30)</f>
        <v>311.12495554544228</v>
      </c>
      <c r="AP30" s="12">
        <v>1</v>
      </c>
    </row>
    <row r="31" spans="1:42" ht="11.25" customHeight="1" x14ac:dyDescent="0.25">
      <c r="A31" s="106"/>
      <c r="B31" s="106"/>
      <c r="C31" s="106"/>
      <c r="D31" s="18" t="s">
        <v>29</v>
      </c>
      <c r="E31" s="18" t="s">
        <v>25</v>
      </c>
      <c r="F31" s="18" t="s">
        <v>25</v>
      </c>
      <c r="G31" s="17" t="s">
        <v>84</v>
      </c>
      <c r="H31" s="17" t="s">
        <v>78</v>
      </c>
      <c r="I31" s="17">
        <f>'MERCADO TUSD'!$U$28</f>
        <v>20401.981000000003</v>
      </c>
      <c r="J31" s="15"/>
      <c r="L31" s="12">
        <f>'TR TUSD'!$L$31*'TR TUSD'!$L$70</f>
        <v>0</v>
      </c>
      <c r="M31" s="12">
        <f>'TR TUSD'!$M$31*'TR TUSD'!$M$70</f>
        <v>0.81334127606133311</v>
      </c>
      <c r="N31" s="12">
        <f ca="1">'TR TUSD'!$N$31*'TR TUSD'!$N$70</f>
        <v>2.8356925309483567</v>
      </c>
      <c r="O31" s="12">
        <f>'TR TUSD'!$O$31*'TR TUSD'!$O$70</f>
        <v>3.9888958600876039E-2</v>
      </c>
      <c r="P31" s="12">
        <f>'TR TUSD'!$P$31*'TR TUSD'!$P$70</f>
        <v>0</v>
      </c>
      <c r="Q31" s="12">
        <f>'TR TUSD'!$Q$31*'TR TUSD'!$Q$70</f>
        <v>0</v>
      </c>
      <c r="R31" s="12">
        <f>'TR TUSD'!$R$31*'TR TUSD'!$R$70</f>
        <v>0</v>
      </c>
      <c r="S31" s="12">
        <f>'TR TUSD'!$S$31*'TR TUSD'!$S$70</f>
        <v>0</v>
      </c>
      <c r="T31" s="12">
        <f ca="1">SUM($L$31:$S$31)</f>
        <v>3.6889227656105659</v>
      </c>
      <c r="U31" s="12">
        <f>'TR TUSD'!$U$31*'TR TUSD'!$U$70</f>
        <v>17.06241353582184</v>
      </c>
      <c r="V31" s="12">
        <f>'TR TUSD'!$V$31*'TR TUSD'!$V$70</f>
        <v>4.6630149552335878</v>
      </c>
      <c r="W31" s="12">
        <f>'TR TUSD'!$W$31*'TR TUSD'!$W$70</f>
        <v>0.41578589356850859</v>
      </c>
      <c r="X31" s="12">
        <f>'TR TUSD'!$X$31*'TR TUSD'!$X$70</f>
        <v>0</v>
      </c>
      <c r="Y31" s="12">
        <f>'TR TUSD'!$Y$31*'TR TUSD'!$Y$70</f>
        <v>17.724729272207149</v>
      </c>
      <c r="Z31" s="12">
        <f>'TR TUSD'!$Z$31</f>
        <v>0</v>
      </c>
      <c r="AA31" s="12">
        <f>'TR TUSD'!$AA$31</f>
        <v>0</v>
      </c>
      <c r="AB31" s="12">
        <f>SUM($U$31:$AA$31)</f>
        <v>39.865943656831085</v>
      </c>
      <c r="AC31" s="12">
        <f>'TR TUSD'!$AC$31*'TR TUSD'!$AC$70</f>
        <v>195.6738974591519</v>
      </c>
      <c r="AD31" s="12">
        <f>SUM($AC$31:$AC$31)</f>
        <v>195.6738974591519</v>
      </c>
      <c r="AE31" s="12">
        <v>0</v>
      </c>
      <c r="AF31" s="12">
        <v>0</v>
      </c>
      <c r="AG31" s="12">
        <f>SUM($AE$31:$AF$31)</f>
        <v>0</v>
      </c>
      <c r="AH31" s="12">
        <f>'TR TUSD'!$AH$31*'TR TUSD'!$AH$70</f>
        <v>16.664328898488023</v>
      </c>
      <c r="AI31" s="12">
        <f>'TR TUSD'!$AI$31*'TR TUSD'!$AI$70</f>
        <v>0.39289938566617705</v>
      </c>
      <c r="AJ31" s="12">
        <f ca="1">'TR TUSD'!$AJ$31*'TR TUSD'!$AJ$70</f>
        <v>2.6126048271673166</v>
      </c>
      <c r="AK31" s="12">
        <f ca="1">'TR TUSD'!$AK$31*'TR TUSD'!$AK$70</f>
        <v>0</v>
      </c>
      <c r="AL31" s="12">
        <f ca="1">SUM($AH$31:$AK$31)</f>
        <v>19.669833111321516</v>
      </c>
      <c r="AM31" s="12">
        <f ca="1">SUMIF($L$4:$AL$4,"SUBTOTAL",$L$31:$AL$31)</f>
        <v>258.89859699291509</v>
      </c>
      <c r="AP31" s="12">
        <f>IF((1 - CUSTOS!$M$24)&lt;&gt;0,1/(1 - CUSTOS!$M$24),1)</f>
        <v>1</v>
      </c>
    </row>
    <row r="32" spans="1:42" ht="11.25" customHeight="1" x14ac:dyDescent="0.25">
      <c r="A32" s="106"/>
      <c r="B32" s="106"/>
      <c r="C32" s="106"/>
      <c r="D32" s="18" t="s">
        <v>30</v>
      </c>
      <c r="E32" s="18" t="s">
        <v>25</v>
      </c>
      <c r="F32" s="18" t="s">
        <v>25</v>
      </c>
      <c r="G32" s="17" t="s">
        <v>84</v>
      </c>
      <c r="H32" s="17" t="s">
        <v>78</v>
      </c>
      <c r="I32" s="17">
        <f>'MERCADO TUSD'!$U$29</f>
        <v>32706.754000000004</v>
      </c>
      <c r="J32" s="15"/>
      <c r="L32" s="12">
        <f>'TR TUSD'!$L$32*'TR TUSD'!$L$70</f>
        <v>0</v>
      </c>
      <c r="M32" s="12">
        <f>'TR TUSD'!$M$32*'TR TUSD'!$M$70</f>
        <v>0.81334127606133311</v>
      </c>
      <c r="N32" s="12">
        <f ca="1">'TR TUSD'!$N$32*'TR TUSD'!$N$70</f>
        <v>2.8356925309483567</v>
      </c>
      <c r="O32" s="12">
        <f>'TR TUSD'!$O$32*'TR TUSD'!$O$70</f>
        <v>3.9888958600876039E-2</v>
      </c>
      <c r="P32" s="12">
        <f>'TR TUSD'!$P$32*'TR TUSD'!$P$70</f>
        <v>0</v>
      </c>
      <c r="Q32" s="12">
        <f>'TR TUSD'!$Q$32*'TR TUSD'!$Q$70</f>
        <v>0</v>
      </c>
      <c r="R32" s="12">
        <f>'TR TUSD'!$R$32*'TR TUSD'!$R$70</f>
        <v>0</v>
      </c>
      <c r="S32" s="12">
        <f>'TR TUSD'!$S$32*'TR TUSD'!$S$70</f>
        <v>0</v>
      </c>
      <c r="T32" s="12">
        <f ca="1">SUM($L$32:$S$32)</f>
        <v>3.6889227656105659</v>
      </c>
      <c r="U32" s="12">
        <f>'TR TUSD'!$U$32*'TR TUSD'!$U$70</f>
        <v>17.06241353582184</v>
      </c>
      <c r="V32" s="12">
        <f>'TR TUSD'!$V$32*'TR TUSD'!$V$70</f>
        <v>4.6630149552335878</v>
      </c>
      <c r="W32" s="12">
        <f>'TR TUSD'!$W$32*'TR TUSD'!$W$70</f>
        <v>0.41578589356850859</v>
      </c>
      <c r="X32" s="12">
        <f>'TR TUSD'!$X$32*'TR TUSD'!$X$70</f>
        <v>0</v>
      </c>
      <c r="Y32" s="12">
        <f>'TR TUSD'!$Y$32*'TR TUSD'!$Y$70</f>
        <v>17.724729272207149</v>
      </c>
      <c r="Z32" s="12">
        <f>'TR TUSD'!$Z$32</f>
        <v>0</v>
      </c>
      <c r="AA32" s="12">
        <f>'TR TUSD'!$AA$32</f>
        <v>0</v>
      </c>
      <c r="AB32" s="12">
        <f>SUM($U$32:$AA$32)</f>
        <v>39.865943656831085</v>
      </c>
      <c r="AC32" s="12">
        <f>'TR TUSD'!$AC$32*'TR TUSD'!$AC$70</f>
        <v>195.6738974591519</v>
      </c>
      <c r="AD32" s="12">
        <f>SUM($AC$32:$AC$32)</f>
        <v>195.6738974591519</v>
      </c>
      <c r="AE32" s="12">
        <v>0</v>
      </c>
      <c r="AF32" s="12">
        <v>0</v>
      </c>
      <c r="AG32" s="12">
        <f>SUM($AE$32:$AF$32)</f>
        <v>0</v>
      </c>
      <c r="AH32" s="12">
        <f>'TR TUSD'!$AH$32*'TR TUSD'!$AH$70</f>
        <v>16.664328898488023</v>
      </c>
      <c r="AI32" s="12">
        <f>'TR TUSD'!$AI$32*'TR TUSD'!$AI$70</f>
        <v>0.39289938566617705</v>
      </c>
      <c r="AJ32" s="12">
        <f ca="1">'TR TUSD'!$AJ$32*'TR TUSD'!$AJ$70</f>
        <v>2.6126048271673166</v>
      </c>
      <c r="AK32" s="12">
        <f ca="1">'TR TUSD'!$AK$32*'TR TUSD'!$AK$70</f>
        <v>0</v>
      </c>
      <c r="AL32" s="12">
        <f ca="1">SUM($AH$32:$AK$32)</f>
        <v>19.669833111321516</v>
      </c>
      <c r="AM32" s="12">
        <f ca="1">SUMIF($L$4:$AL$4,"SUBTOTAL",$L$32:$AL$32)</f>
        <v>258.89859699291509</v>
      </c>
      <c r="AP32" s="12">
        <f>IF((1 - CUSTOS!$M$25)&lt;&gt;0,1/(1 - CUSTOS!$M$25),1)</f>
        <v>1</v>
      </c>
    </row>
    <row r="33" spans="1:42" ht="11.25" customHeight="1" x14ac:dyDescent="0.25">
      <c r="A33" s="106"/>
      <c r="B33" s="106"/>
      <c r="C33" s="106"/>
      <c r="D33" s="18" t="s">
        <v>31</v>
      </c>
      <c r="E33" s="18" t="s">
        <v>25</v>
      </c>
      <c r="F33" s="18" t="s">
        <v>25</v>
      </c>
      <c r="G33" s="17" t="s">
        <v>84</v>
      </c>
      <c r="H33" s="17" t="s">
        <v>78</v>
      </c>
      <c r="I33" s="17">
        <f>'MERCADO TUSD'!$U$30</f>
        <v>13213.162</v>
      </c>
      <c r="J33" s="15"/>
      <c r="L33" s="12">
        <f>'TR TUSD'!$L$33*'TR TUSD'!$L$70</f>
        <v>0</v>
      </c>
      <c r="M33" s="12">
        <f>'TR TUSD'!$M$33*'TR TUSD'!$M$70</f>
        <v>0.81334127606133311</v>
      </c>
      <c r="N33" s="12">
        <f ca="1">'TR TUSD'!$N$33*'TR TUSD'!$N$70</f>
        <v>2.8356925309483567</v>
      </c>
      <c r="O33" s="12">
        <f>'TR TUSD'!$O$33*'TR TUSD'!$O$70</f>
        <v>3.9888958600876039E-2</v>
      </c>
      <c r="P33" s="12">
        <f>'TR TUSD'!$P$33*'TR TUSD'!$P$70</f>
        <v>0</v>
      </c>
      <c r="Q33" s="12">
        <f>'TR TUSD'!$Q$33*'TR TUSD'!$Q$70</f>
        <v>0</v>
      </c>
      <c r="R33" s="12">
        <f>'TR TUSD'!$R$33*'TR TUSD'!$R$70</f>
        <v>0</v>
      </c>
      <c r="S33" s="12">
        <f>'TR TUSD'!$S$33*'TR TUSD'!$S$70</f>
        <v>0</v>
      </c>
      <c r="T33" s="12">
        <f ca="1">SUM($L$33:$S$33)</f>
        <v>3.6889227656105659</v>
      </c>
      <c r="U33" s="12">
        <f>'TR TUSD'!$U$33*'TR TUSD'!$U$70</f>
        <v>17.06241353582184</v>
      </c>
      <c r="V33" s="12">
        <f>'TR TUSD'!$V$33*'TR TUSD'!$V$70</f>
        <v>4.6630149552335878</v>
      </c>
      <c r="W33" s="12">
        <f>'TR TUSD'!$W$33*'TR TUSD'!$W$70</f>
        <v>0.41578589356850859</v>
      </c>
      <c r="X33" s="12">
        <f>'TR TUSD'!$X$33*'TR TUSD'!$X$70</f>
        <v>0</v>
      </c>
      <c r="Y33" s="12">
        <f>'TR TUSD'!$Y$33*'TR TUSD'!$Y$70</f>
        <v>17.724729272207149</v>
      </c>
      <c r="Z33" s="12">
        <f>'TR TUSD'!$Z$33</f>
        <v>0</v>
      </c>
      <c r="AA33" s="12">
        <f>'TR TUSD'!$AA$33</f>
        <v>0</v>
      </c>
      <c r="AB33" s="12">
        <f>SUM($U$33:$AA$33)</f>
        <v>39.865943656831085</v>
      </c>
      <c r="AC33" s="12">
        <f>'TR TUSD'!$AC$33*'TR TUSD'!$AC$70</f>
        <v>195.6738974591519</v>
      </c>
      <c r="AD33" s="12">
        <f>SUM($AC$33:$AC$33)</f>
        <v>195.6738974591519</v>
      </c>
      <c r="AE33" s="12">
        <v>0</v>
      </c>
      <c r="AF33" s="12">
        <v>0</v>
      </c>
      <c r="AG33" s="12">
        <f>SUM($AE$33:$AF$33)</f>
        <v>0</v>
      </c>
      <c r="AH33" s="12">
        <f>'TR TUSD'!$AH$33*'TR TUSD'!$AH$70</f>
        <v>16.664328898488023</v>
      </c>
      <c r="AI33" s="12">
        <f>'TR TUSD'!$AI$33*'TR TUSD'!$AI$70</f>
        <v>0.39289938566617705</v>
      </c>
      <c r="AJ33" s="12">
        <f ca="1">'TR TUSD'!$AJ$33*'TR TUSD'!$AJ$70</f>
        <v>2.6126048271673166</v>
      </c>
      <c r="AK33" s="12">
        <f ca="1">'TR TUSD'!$AK$33*'TR TUSD'!$AK$70</f>
        <v>0</v>
      </c>
      <c r="AL33" s="12">
        <f ca="1">SUM($AH$33:$AK$33)</f>
        <v>19.669833111321516</v>
      </c>
      <c r="AM33" s="12">
        <f ca="1">SUMIF($L$4:$AL$4,"SUBTOTAL",$L$33:$AL$33)</f>
        <v>258.89859699291509</v>
      </c>
      <c r="AP33" s="12">
        <f>IF((1 - CUSTOS!$M$26)&lt;&gt;0,1/(1 - CUSTOS!$M$26),1)</f>
        <v>1</v>
      </c>
    </row>
    <row r="34" spans="1:42" ht="11.25" customHeight="1" x14ac:dyDescent="0.25">
      <c r="A34" s="106"/>
      <c r="B34" s="106"/>
      <c r="C34" s="106"/>
      <c r="D34" s="18" t="s">
        <v>32</v>
      </c>
      <c r="E34" s="18" t="s">
        <v>25</v>
      </c>
      <c r="F34" s="18" t="s">
        <v>25</v>
      </c>
      <c r="G34" s="17" t="s">
        <v>84</v>
      </c>
      <c r="H34" s="17" t="s">
        <v>78</v>
      </c>
      <c r="I34" s="17">
        <f>'MERCADO TUSD'!$U$31</f>
        <v>2931.0630000000001</v>
      </c>
      <c r="J34" s="15"/>
      <c r="L34" s="12">
        <f>'TR TUSD'!$L$34*'TR TUSD'!$L$70</f>
        <v>0</v>
      </c>
      <c r="M34" s="12">
        <f>'TR TUSD'!$M$34*'TR TUSD'!$M$70</f>
        <v>0.81334127606133311</v>
      </c>
      <c r="N34" s="12">
        <f ca="1">'TR TUSD'!$N$34*'TR TUSD'!$N$70</f>
        <v>2.8356925309483567</v>
      </c>
      <c r="O34" s="12">
        <f>'TR TUSD'!$O$34*'TR TUSD'!$O$70</f>
        <v>3.9888958600876039E-2</v>
      </c>
      <c r="P34" s="12">
        <f>'TR TUSD'!$P$34*'TR TUSD'!$P$70</f>
        <v>0</v>
      </c>
      <c r="Q34" s="12">
        <f>'TR TUSD'!$Q$34*'TR TUSD'!$Q$70</f>
        <v>0</v>
      </c>
      <c r="R34" s="12">
        <f>'TR TUSD'!$R$34*'TR TUSD'!$R$70</f>
        <v>0</v>
      </c>
      <c r="S34" s="12">
        <f>'TR TUSD'!$S$34*'TR TUSD'!$S$70</f>
        <v>0</v>
      </c>
      <c r="T34" s="12">
        <f ca="1">SUM($L$34:$S$34)</f>
        <v>3.6889227656105659</v>
      </c>
      <c r="U34" s="12">
        <f>'TR TUSD'!$U$34*'TR TUSD'!$U$70</f>
        <v>17.06241353582184</v>
      </c>
      <c r="V34" s="12">
        <f>'TR TUSD'!$V$34*'TR TUSD'!$V$70</f>
        <v>4.6630149552335878</v>
      </c>
      <c r="W34" s="12">
        <f>'TR TUSD'!$W$34*'TR TUSD'!$W$70</f>
        <v>0.41578589356850859</v>
      </c>
      <c r="X34" s="12">
        <f>'TR TUSD'!$X$34*'TR TUSD'!$X$70</f>
        <v>0</v>
      </c>
      <c r="Y34" s="12">
        <f>'TR TUSD'!$Y$34*'TR TUSD'!$Y$70</f>
        <v>17.724729272207149</v>
      </c>
      <c r="Z34" s="12">
        <f>'TR TUSD'!$Z$34</f>
        <v>0</v>
      </c>
      <c r="AA34" s="12">
        <f>'TR TUSD'!$AA$34</f>
        <v>0</v>
      </c>
      <c r="AB34" s="12">
        <f>SUM($U$34:$AA$34)</f>
        <v>39.865943656831085</v>
      </c>
      <c r="AC34" s="12">
        <f>'TR TUSD'!$AC$34*'TR TUSD'!$AC$70</f>
        <v>195.6738974591519</v>
      </c>
      <c r="AD34" s="12">
        <f>SUM($AC$34:$AC$34)</f>
        <v>195.6738974591519</v>
      </c>
      <c r="AE34" s="12">
        <v>0</v>
      </c>
      <c r="AF34" s="12">
        <v>0</v>
      </c>
      <c r="AG34" s="12">
        <f>SUM($AE$34:$AF$34)</f>
        <v>0</v>
      </c>
      <c r="AH34" s="12">
        <f>'TR TUSD'!$AH$34*'TR TUSD'!$AH$70</f>
        <v>16.664328898488023</v>
      </c>
      <c r="AI34" s="12">
        <f>'TR TUSD'!$AI$34*'TR TUSD'!$AI$70</f>
        <v>0.39289938566617705</v>
      </c>
      <c r="AJ34" s="12">
        <f ca="1">'TR TUSD'!$AJ$34*'TR TUSD'!$AJ$70</f>
        <v>2.6126048271673166</v>
      </c>
      <c r="AK34" s="12">
        <f ca="1">'TR TUSD'!$AK$34*'TR TUSD'!$AK$70</f>
        <v>0</v>
      </c>
      <c r="AL34" s="12">
        <f ca="1">SUM($AH$34:$AK$34)</f>
        <v>19.669833111321516</v>
      </c>
      <c r="AM34" s="12">
        <f ca="1">SUMIF($L$4:$AL$4,"SUBTOTAL",$L$34:$AL$34)</f>
        <v>258.89859699291509</v>
      </c>
      <c r="AP34" s="12">
        <f>IF((1 - CUSTOS!$M$27)&lt;&gt;0,1/(1 - CUSTOS!$M$27),1)</f>
        <v>1</v>
      </c>
    </row>
    <row r="35" spans="1:42" ht="11.25" customHeight="1" x14ac:dyDescent="0.25">
      <c r="A35" s="106"/>
      <c r="B35" s="106" t="s">
        <v>93</v>
      </c>
      <c r="C35" s="106" t="s">
        <v>24</v>
      </c>
      <c r="D35" s="18" t="s">
        <v>24</v>
      </c>
      <c r="E35" s="18" t="s">
        <v>25</v>
      </c>
      <c r="F35" s="18" t="s">
        <v>25</v>
      </c>
      <c r="G35" s="17" t="s">
        <v>84</v>
      </c>
      <c r="H35" s="17" t="s">
        <v>78</v>
      </c>
      <c r="I35" s="17">
        <f>'MERCADO TUSD'!$U$32</f>
        <v>0</v>
      </c>
      <c r="J35" s="15"/>
      <c r="L35" s="12">
        <f>'TR TUSD'!$L$35*'TR TUSD'!$L$70</f>
        <v>1.8274725492357917</v>
      </c>
      <c r="M35" s="12">
        <f>'TR TUSD'!$M$35*'TR TUSD'!$M$70</f>
        <v>0.81334127606133311</v>
      </c>
      <c r="N35" s="12">
        <f ca="1">'TR TUSD'!$N$35*'TR TUSD'!$N$70</f>
        <v>2.8474043981197319</v>
      </c>
      <c r="O35" s="12">
        <f>'TR TUSD'!$O$35*'TR TUSD'!$O$70</f>
        <v>3.9888958600876039E-2</v>
      </c>
      <c r="P35" s="12">
        <f>'TR TUSD'!$P$35*'TR TUSD'!$P$70</f>
        <v>0</v>
      </c>
      <c r="Q35" s="12">
        <f>'TR TUSD'!$Q$35*'TR TUSD'!$Q$70</f>
        <v>36.017018795122063</v>
      </c>
      <c r="R35" s="12">
        <f>'TR TUSD'!$R$35*'TR TUSD'!$R$70</f>
        <v>14.370155340997961</v>
      </c>
      <c r="S35" s="12">
        <f>'TR TUSD'!$S$35*'TR TUSD'!$S$70</f>
        <v>0</v>
      </c>
      <c r="T35" s="12">
        <f ca="1">SUM($L$35:$S$35)</f>
        <v>55.915281318137758</v>
      </c>
      <c r="U35" s="12">
        <f>'TR TUSD'!$U$35*'TR TUSD'!$U$70</f>
        <v>17.06241353582184</v>
      </c>
      <c r="V35" s="12">
        <f>'TR TUSD'!$V$35*'TR TUSD'!$V$70</f>
        <v>4.6630149552335878</v>
      </c>
      <c r="W35" s="12">
        <f>'TR TUSD'!$W$35*'TR TUSD'!$W$70</f>
        <v>0.41578589356850859</v>
      </c>
      <c r="X35" s="12">
        <f>'TR TUSD'!$X$35*'TR TUSD'!$X$70</f>
        <v>0</v>
      </c>
      <c r="Y35" s="12">
        <f>'TR TUSD'!$Y$35*'TR TUSD'!$Y$70</f>
        <v>17.724729272207149</v>
      </c>
      <c r="Z35" s="12">
        <f>'TR TUSD'!$Z$35</f>
        <v>0</v>
      </c>
      <c r="AA35" s="12">
        <f>'TR TUSD'!$AA$35</f>
        <v>0</v>
      </c>
      <c r="AB35" s="12">
        <f>SUM($U$35:$AA$35)</f>
        <v>39.865943656831085</v>
      </c>
      <c r="AC35" s="12">
        <f>'TR TUSD'!$AC$35*'TR TUSD'!$AC$70</f>
        <v>195.6738974591519</v>
      </c>
      <c r="AD35" s="12">
        <f>SUM($AC$35:$AC$35)</f>
        <v>195.6738974591519</v>
      </c>
      <c r="AE35" s="12">
        <v>0</v>
      </c>
      <c r="AF35" s="12">
        <v>0</v>
      </c>
      <c r="AG35" s="12">
        <f>SUM($AE$35:$AF$35)</f>
        <v>0</v>
      </c>
      <c r="AH35" s="12">
        <f>'TR TUSD'!$AH$35*'TR TUSD'!$AH$70</f>
        <v>16.664328898488023</v>
      </c>
      <c r="AI35" s="12">
        <f>'TR TUSD'!$AI$35*'TR TUSD'!$AI$70</f>
        <v>0.39289938566617705</v>
      </c>
      <c r="AJ35" s="12">
        <f ca="1">'TR TUSD'!$AJ$35*'TR TUSD'!$AJ$70</f>
        <v>2.6126048271673166</v>
      </c>
      <c r="AK35" s="12">
        <f ca="1">'TR TUSD'!$AK$35*'TR TUSD'!$AK$70</f>
        <v>0</v>
      </c>
      <c r="AL35" s="12">
        <f ca="1">SUM($AH$35:$AK$35)</f>
        <v>19.669833111321516</v>
      </c>
      <c r="AM35" s="12">
        <f ca="1">SUMIF($L$4:$AL$4,"SUBTOTAL",$L$35:$AL$35)</f>
        <v>311.12495554544228</v>
      </c>
      <c r="AP35" s="12">
        <v>1</v>
      </c>
    </row>
    <row r="36" spans="1:42" ht="11.25" customHeight="1" x14ac:dyDescent="0.25">
      <c r="A36" s="106"/>
      <c r="B36" s="106"/>
      <c r="C36" s="106"/>
      <c r="D36" s="18" t="s">
        <v>29</v>
      </c>
      <c r="E36" s="18" t="s">
        <v>25</v>
      </c>
      <c r="F36" s="18" t="s">
        <v>25</v>
      </c>
      <c r="G36" s="17" t="s">
        <v>84</v>
      </c>
      <c r="H36" s="17" t="s">
        <v>78</v>
      </c>
      <c r="I36" s="17">
        <f>'MERCADO TUSD'!$U$33</f>
        <v>0</v>
      </c>
      <c r="J36" s="15"/>
      <c r="L36" s="12">
        <f>'TR TUSD'!$L$36*'TR TUSD'!$L$70</f>
        <v>0</v>
      </c>
      <c r="M36" s="12">
        <f>'TR TUSD'!$M$36*'TR TUSD'!$M$70</f>
        <v>0.81334127606133311</v>
      </c>
      <c r="N36" s="12">
        <f ca="1">'TR TUSD'!$N$36*'TR TUSD'!$N$70</f>
        <v>2.8356925309483567</v>
      </c>
      <c r="O36" s="12">
        <f>'TR TUSD'!$O$36*'TR TUSD'!$O$70</f>
        <v>3.9888958600876039E-2</v>
      </c>
      <c r="P36" s="12">
        <f>'TR TUSD'!$P$36*'TR TUSD'!$P$70</f>
        <v>0</v>
      </c>
      <c r="Q36" s="12">
        <f>'TR TUSD'!$Q$36*'TR TUSD'!$Q$70</f>
        <v>0</v>
      </c>
      <c r="R36" s="12">
        <f>'TR TUSD'!$R$36*'TR TUSD'!$R$70</f>
        <v>0</v>
      </c>
      <c r="S36" s="12">
        <f>'TR TUSD'!$S$36*'TR TUSD'!$S$70</f>
        <v>0</v>
      </c>
      <c r="T36" s="12">
        <f ca="1">SUM($L$36:$S$36)</f>
        <v>3.6889227656105659</v>
      </c>
      <c r="U36" s="12">
        <f>'TR TUSD'!$U$36*'TR TUSD'!$U$70</f>
        <v>17.06241353582184</v>
      </c>
      <c r="V36" s="12">
        <f>'TR TUSD'!$V$36*'TR TUSD'!$V$70</f>
        <v>4.6630149552335878</v>
      </c>
      <c r="W36" s="12">
        <f>'TR TUSD'!$W$36*'TR TUSD'!$W$70</f>
        <v>0.41578589356850859</v>
      </c>
      <c r="X36" s="12">
        <f>'TR TUSD'!$X$36*'TR TUSD'!$X$70</f>
        <v>0</v>
      </c>
      <c r="Y36" s="12">
        <f>'TR TUSD'!$Y$36*'TR TUSD'!$Y$70</f>
        <v>17.724729272207149</v>
      </c>
      <c r="Z36" s="12">
        <f>'TR TUSD'!$Z$36</f>
        <v>0</v>
      </c>
      <c r="AA36" s="12">
        <f>'TR TUSD'!$AA$36</f>
        <v>0</v>
      </c>
      <c r="AB36" s="12">
        <f>SUM($U$36:$AA$36)</f>
        <v>39.865943656831085</v>
      </c>
      <c r="AC36" s="12">
        <f>'TR TUSD'!$AC$36*'TR TUSD'!$AC$70</f>
        <v>195.6738974591519</v>
      </c>
      <c r="AD36" s="12">
        <f>SUM($AC$36:$AC$36)</f>
        <v>195.6738974591519</v>
      </c>
      <c r="AE36" s="12">
        <v>0</v>
      </c>
      <c r="AF36" s="12">
        <v>0</v>
      </c>
      <c r="AG36" s="12">
        <f>SUM($AE$36:$AF$36)</f>
        <v>0</v>
      </c>
      <c r="AH36" s="12">
        <f>'TR TUSD'!$AH$36*'TR TUSD'!$AH$70</f>
        <v>16.664328898488023</v>
      </c>
      <c r="AI36" s="12">
        <f>'TR TUSD'!$AI$36*'TR TUSD'!$AI$70</f>
        <v>0.39289938566617705</v>
      </c>
      <c r="AJ36" s="12">
        <f ca="1">'TR TUSD'!$AJ$36*'TR TUSD'!$AJ$70</f>
        <v>2.6126048271673166</v>
      </c>
      <c r="AK36" s="12">
        <f ca="1">'TR TUSD'!$AK$36*'TR TUSD'!$AK$70</f>
        <v>0</v>
      </c>
      <c r="AL36" s="12">
        <f ca="1">SUM($AH$36:$AK$36)</f>
        <v>19.669833111321516</v>
      </c>
      <c r="AM36" s="12">
        <f ca="1">SUMIF($L$4:$AL$4,"SUBTOTAL",$L$36:$AL$36)</f>
        <v>258.89859699291509</v>
      </c>
      <c r="AP36" s="12">
        <f>IF((1 - CUSTOS!$M$24)&lt;&gt;0,1/(1 - CUSTOS!$M$24),1)</f>
        <v>1</v>
      </c>
    </row>
    <row r="37" spans="1:42" ht="11.25" customHeight="1" x14ac:dyDescent="0.25">
      <c r="A37" s="106"/>
      <c r="B37" s="106"/>
      <c r="C37" s="106"/>
      <c r="D37" s="18" t="s">
        <v>30</v>
      </c>
      <c r="E37" s="18" t="s">
        <v>25</v>
      </c>
      <c r="F37" s="18" t="s">
        <v>25</v>
      </c>
      <c r="G37" s="17" t="s">
        <v>84</v>
      </c>
      <c r="H37" s="17" t="s">
        <v>78</v>
      </c>
      <c r="I37" s="17">
        <f>'MERCADO TUSD'!$U$34</f>
        <v>0</v>
      </c>
      <c r="J37" s="15"/>
      <c r="L37" s="12">
        <f>'TR TUSD'!$L$37*'TR TUSD'!$L$70</f>
        <v>0</v>
      </c>
      <c r="M37" s="12">
        <f>'TR TUSD'!$M$37*'TR TUSD'!$M$70</f>
        <v>0.81334127606133311</v>
      </c>
      <c r="N37" s="12">
        <f ca="1">'TR TUSD'!$N$37*'TR TUSD'!$N$70</f>
        <v>2.8356925309483567</v>
      </c>
      <c r="O37" s="12">
        <f>'TR TUSD'!$O$37*'TR TUSD'!$O$70</f>
        <v>3.9888958600876039E-2</v>
      </c>
      <c r="P37" s="12">
        <f>'TR TUSD'!$P$37*'TR TUSD'!$P$70</f>
        <v>0</v>
      </c>
      <c r="Q37" s="12">
        <f>'TR TUSD'!$Q$37*'TR TUSD'!$Q$70</f>
        <v>0</v>
      </c>
      <c r="R37" s="12">
        <f>'TR TUSD'!$R$37*'TR TUSD'!$R$70</f>
        <v>0</v>
      </c>
      <c r="S37" s="12">
        <f>'TR TUSD'!$S$37*'TR TUSD'!$S$70</f>
        <v>0</v>
      </c>
      <c r="T37" s="12">
        <f ca="1">SUM($L$37:$S$37)</f>
        <v>3.6889227656105659</v>
      </c>
      <c r="U37" s="12">
        <f>'TR TUSD'!$U$37*'TR TUSD'!$U$70</f>
        <v>17.06241353582184</v>
      </c>
      <c r="V37" s="12">
        <f>'TR TUSD'!$V$37*'TR TUSD'!$V$70</f>
        <v>4.6630149552335878</v>
      </c>
      <c r="W37" s="12">
        <f>'TR TUSD'!$W$37*'TR TUSD'!$W$70</f>
        <v>0.41578589356850859</v>
      </c>
      <c r="X37" s="12">
        <f>'TR TUSD'!$X$37*'TR TUSD'!$X$70</f>
        <v>0</v>
      </c>
      <c r="Y37" s="12">
        <f>'TR TUSD'!$Y$37*'TR TUSD'!$Y$70</f>
        <v>17.724729272207149</v>
      </c>
      <c r="Z37" s="12">
        <f>'TR TUSD'!$Z$37</f>
        <v>0</v>
      </c>
      <c r="AA37" s="12">
        <f>'TR TUSD'!$AA$37</f>
        <v>0</v>
      </c>
      <c r="AB37" s="12">
        <f>SUM($U$37:$AA$37)</f>
        <v>39.865943656831085</v>
      </c>
      <c r="AC37" s="12">
        <f>'TR TUSD'!$AC$37*'TR TUSD'!$AC$70</f>
        <v>195.6738974591519</v>
      </c>
      <c r="AD37" s="12">
        <f>SUM($AC$37:$AC$37)</f>
        <v>195.6738974591519</v>
      </c>
      <c r="AE37" s="12">
        <v>0</v>
      </c>
      <c r="AF37" s="12">
        <v>0</v>
      </c>
      <c r="AG37" s="12">
        <f>SUM($AE$37:$AF$37)</f>
        <v>0</v>
      </c>
      <c r="AH37" s="12">
        <f>'TR TUSD'!$AH$37*'TR TUSD'!$AH$70</f>
        <v>16.664328898488023</v>
      </c>
      <c r="AI37" s="12">
        <f>'TR TUSD'!$AI$37*'TR TUSD'!$AI$70</f>
        <v>0.39289938566617705</v>
      </c>
      <c r="AJ37" s="12">
        <f ca="1">'TR TUSD'!$AJ$37*'TR TUSD'!$AJ$70</f>
        <v>2.6126048271673166</v>
      </c>
      <c r="AK37" s="12">
        <f ca="1">'TR TUSD'!$AK$37*'TR TUSD'!$AK$70</f>
        <v>0</v>
      </c>
      <c r="AL37" s="12">
        <f ca="1">SUM($AH$37:$AK$37)</f>
        <v>19.669833111321516</v>
      </c>
      <c r="AM37" s="12">
        <f ca="1">SUMIF($L$4:$AL$4,"SUBTOTAL",$L$37:$AL$37)</f>
        <v>258.89859699291509</v>
      </c>
      <c r="AP37" s="12">
        <f>IF((1 - CUSTOS!$M$25)&lt;&gt;0,1/(1 - CUSTOS!$M$25),1)</f>
        <v>1</v>
      </c>
    </row>
    <row r="38" spans="1:42" ht="11.25" customHeight="1" x14ac:dyDescent="0.25">
      <c r="A38" s="106"/>
      <c r="B38" s="106"/>
      <c r="C38" s="106"/>
      <c r="D38" s="18" t="s">
        <v>31</v>
      </c>
      <c r="E38" s="18" t="s">
        <v>25</v>
      </c>
      <c r="F38" s="18" t="s">
        <v>25</v>
      </c>
      <c r="G38" s="17" t="s">
        <v>84</v>
      </c>
      <c r="H38" s="17" t="s">
        <v>78</v>
      </c>
      <c r="I38" s="17">
        <f>'MERCADO TUSD'!$U$35</f>
        <v>0</v>
      </c>
      <c r="J38" s="15"/>
      <c r="L38" s="12">
        <f>'TR TUSD'!$L$38*'TR TUSD'!$L$70</f>
        <v>0</v>
      </c>
      <c r="M38" s="12">
        <f>'TR TUSD'!$M$38*'TR TUSD'!$M$70</f>
        <v>0.81334127606133311</v>
      </c>
      <c r="N38" s="12">
        <f ca="1">'TR TUSD'!$N$38*'TR TUSD'!$N$70</f>
        <v>2.8356925309483567</v>
      </c>
      <c r="O38" s="12">
        <f>'TR TUSD'!$O$38*'TR TUSD'!$O$70</f>
        <v>3.9888958600876039E-2</v>
      </c>
      <c r="P38" s="12">
        <f>'TR TUSD'!$P$38*'TR TUSD'!$P$70</f>
        <v>0</v>
      </c>
      <c r="Q38" s="12">
        <f>'TR TUSD'!$Q$38*'TR TUSD'!$Q$70</f>
        <v>0</v>
      </c>
      <c r="R38" s="12">
        <f>'TR TUSD'!$R$38*'TR TUSD'!$R$70</f>
        <v>0</v>
      </c>
      <c r="S38" s="12">
        <f>'TR TUSD'!$S$38*'TR TUSD'!$S$70</f>
        <v>0</v>
      </c>
      <c r="T38" s="12">
        <f ca="1">SUM($L$38:$S$38)</f>
        <v>3.6889227656105659</v>
      </c>
      <c r="U38" s="12">
        <f>'TR TUSD'!$U$38*'TR TUSD'!$U$70</f>
        <v>17.06241353582184</v>
      </c>
      <c r="V38" s="12">
        <f>'TR TUSD'!$V$38*'TR TUSD'!$V$70</f>
        <v>4.6630149552335878</v>
      </c>
      <c r="W38" s="12">
        <f>'TR TUSD'!$W$38*'TR TUSD'!$W$70</f>
        <v>0.41578589356850859</v>
      </c>
      <c r="X38" s="12">
        <f>'TR TUSD'!$X$38*'TR TUSD'!$X$70</f>
        <v>0</v>
      </c>
      <c r="Y38" s="12">
        <f>'TR TUSD'!$Y$38*'TR TUSD'!$Y$70</f>
        <v>17.724729272207149</v>
      </c>
      <c r="Z38" s="12">
        <f>'TR TUSD'!$Z$38</f>
        <v>0</v>
      </c>
      <c r="AA38" s="12">
        <f>'TR TUSD'!$AA$38</f>
        <v>0</v>
      </c>
      <c r="AB38" s="12">
        <f>SUM($U$38:$AA$38)</f>
        <v>39.865943656831085</v>
      </c>
      <c r="AC38" s="12">
        <f>'TR TUSD'!$AC$38*'TR TUSD'!$AC$70</f>
        <v>195.6738974591519</v>
      </c>
      <c r="AD38" s="12">
        <f>SUM($AC$38:$AC$38)</f>
        <v>195.6738974591519</v>
      </c>
      <c r="AE38" s="12">
        <v>0</v>
      </c>
      <c r="AF38" s="12">
        <v>0</v>
      </c>
      <c r="AG38" s="12">
        <f>SUM($AE$38:$AF$38)</f>
        <v>0</v>
      </c>
      <c r="AH38" s="12">
        <f>'TR TUSD'!$AH$38*'TR TUSD'!$AH$70</f>
        <v>16.664328898488023</v>
      </c>
      <c r="AI38" s="12">
        <f>'TR TUSD'!$AI$38*'TR TUSD'!$AI$70</f>
        <v>0.39289938566617705</v>
      </c>
      <c r="AJ38" s="12">
        <f ca="1">'TR TUSD'!$AJ$38*'TR TUSD'!$AJ$70</f>
        <v>2.6126048271673166</v>
      </c>
      <c r="AK38" s="12">
        <f ca="1">'TR TUSD'!$AK$38*'TR TUSD'!$AK$70</f>
        <v>0</v>
      </c>
      <c r="AL38" s="12">
        <f ca="1">SUM($AH$38:$AK$38)</f>
        <v>19.669833111321516</v>
      </c>
      <c r="AM38" s="12">
        <f ca="1">SUMIF($L$4:$AL$4,"SUBTOTAL",$L$38:$AL$38)</f>
        <v>258.89859699291509</v>
      </c>
      <c r="AP38" s="12">
        <f>IF((1 - CUSTOS!$M$26)&lt;&gt;0,1/(1 - CUSTOS!$M$26),1)</f>
        <v>1</v>
      </c>
    </row>
    <row r="39" spans="1:42" ht="11.25" customHeight="1" x14ac:dyDescent="0.25">
      <c r="A39" s="106"/>
      <c r="B39" s="106"/>
      <c r="C39" s="106"/>
      <c r="D39" s="18" t="s">
        <v>32</v>
      </c>
      <c r="E39" s="18" t="s">
        <v>25</v>
      </c>
      <c r="F39" s="18" t="s">
        <v>25</v>
      </c>
      <c r="G39" s="17" t="s">
        <v>84</v>
      </c>
      <c r="H39" s="17" t="s">
        <v>78</v>
      </c>
      <c r="I39" s="17">
        <f>'MERCADO TUSD'!$U$36</f>
        <v>0</v>
      </c>
      <c r="J39" s="15"/>
      <c r="L39" s="12">
        <f>'TR TUSD'!$L$39*'TR TUSD'!$L$70</f>
        <v>0</v>
      </c>
      <c r="M39" s="12">
        <f>'TR TUSD'!$M$39*'TR TUSD'!$M$70</f>
        <v>0.81334127606133311</v>
      </c>
      <c r="N39" s="12">
        <f ca="1">'TR TUSD'!$N$39*'TR TUSD'!$N$70</f>
        <v>2.8356925309483567</v>
      </c>
      <c r="O39" s="12">
        <f>'TR TUSD'!$O$39*'TR TUSD'!$O$70</f>
        <v>3.9888958600876039E-2</v>
      </c>
      <c r="P39" s="12">
        <f>'TR TUSD'!$P$39*'TR TUSD'!$P$70</f>
        <v>0</v>
      </c>
      <c r="Q39" s="12">
        <f>'TR TUSD'!$Q$39*'TR TUSD'!$Q$70</f>
        <v>0</v>
      </c>
      <c r="R39" s="12">
        <f>'TR TUSD'!$R$39*'TR TUSD'!$R$70</f>
        <v>0</v>
      </c>
      <c r="S39" s="12">
        <f>'TR TUSD'!$S$39*'TR TUSD'!$S$70</f>
        <v>0</v>
      </c>
      <c r="T39" s="12">
        <f ca="1">SUM($L$39:$S$39)</f>
        <v>3.6889227656105659</v>
      </c>
      <c r="U39" s="12">
        <f>'TR TUSD'!$U$39*'TR TUSD'!$U$70</f>
        <v>17.06241353582184</v>
      </c>
      <c r="V39" s="12">
        <f>'TR TUSD'!$V$39*'TR TUSD'!$V$70</f>
        <v>4.6630149552335878</v>
      </c>
      <c r="W39" s="12">
        <f>'TR TUSD'!$W$39*'TR TUSD'!$W$70</f>
        <v>0.41578589356850859</v>
      </c>
      <c r="X39" s="12">
        <f>'TR TUSD'!$X$39*'TR TUSD'!$X$70</f>
        <v>0</v>
      </c>
      <c r="Y39" s="12">
        <f>'TR TUSD'!$Y$39*'TR TUSD'!$Y$70</f>
        <v>17.724729272207149</v>
      </c>
      <c r="Z39" s="12">
        <f>'TR TUSD'!$Z$39</f>
        <v>0</v>
      </c>
      <c r="AA39" s="12">
        <f>'TR TUSD'!$AA$39</f>
        <v>0</v>
      </c>
      <c r="AB39" s="12">
        <f>SUM($U$39:$AA$39)</f>
        <v>39.865943656831085</v>
      </c>
      <c r="AC39" s="12">
        <f>'TR TUSD'!$AC$39*'TR TUSD'!$AC$70</f>
        <v>195.6738974591519</v>
      </c>
      <c r="AD39" s="12">
        <f>SUM($AC$39:$AC$39)</f>
        <v>195.6738974591519</v>
      </c>
      <c r="AE39" s="12">
        <v>0</v>
      </c>
      <c r="AF39" s="12">
        <v>0</v>
      </c>
      <c r="AG39" s="12">
        <f>SUM($AE$39:$AF$39)</f>
        <v>0</v>
      </c>
      <c r="AH39" s="12">
        <f>'TR TUSD'!$AH$39*'TR TUSD'!$AH$70</f>
        <v>16.664328898488023</v>
      </c>
      <c r="AI39" s="12">
        <f>'TR TUSD'!$AI$39*'TR TUSD'!$AI$70</f>
        <v>0.39289938566617705</v>
      </c>
      <c r="AJ39" s="12">
        <f ca="1">'TR TUSD'!$AJ$39*'TR TUSD'!$AJ$70</f>
        <v>2.6126048271673166</v>
      </c>
      <c r="AK39" s="12">
        <f ca="1">'TR TUSD'!$AK$39*'TR TUSD'!$AK$70</f>
        <v>0</v>
      </c>
      <c r="AL39" s="12">
        <f ca="1">SUM($AH$39:$AK$39)</f>
        <v>19.669833111321516</v>
      </c>
      <c r="AM39" s="12">
        <f ca="1">SUMIF($L$4:$AL$4,"SUBTOTAL",$L$39:$AL$39)</f>
        <v>258.89859699291509</v>
      </c>
      <c r="AP39" s="12">
        <f>IF((1 - CUSTOS!$M$27)&lt;&gt;0,1/(1 - CUSTOS!$M$27),1)</f>
        <v>1</v>
      </c>
    </row>
    <row r="40" spans="1:42" ht="11.25" customHeight="1" x14ac:dyDescent="0.25">
      <c r="A40" s="106" t="s">
        <v>43</v>
      </c>
      <c r="B40" s="106" t="s">
        <v>33</v>
      </c>
      <c r="C40" s="106" t="s">
        <v>44</v>
      </c>
      <c r="D40" s="106" t="s">
        <v>25</v>
      </c>
      <c r="E40" s="106" t="s">
        <v>25</v>
      </c>
      <c r="F40" s="106" t="s">
        <v>25</v>
      </c>
      <c r="G40" s="17" t="s">
        <v>79</v>
      </c>
      <c r="H40" s="17" t="s">
        <v>78</v>
      </c>
      <c r="I40" s="17">
        <f>'MERCADO TUSD'!$U$37</f>
        <v>0.16600000000000004</v>
      </c>
      <c r="J40" s="15"/>
      <c r="L40" s="12">
        <f>'TR TUSD'!$L$40*'TR TUSD'!$L$70</f>
        <v>1.8274725492357917</v>
      </c>
      <c r="M40" s="12">
        <f>'TR TUSD'!$M$40*'TR TUSD'!$M$70</f>
        <v>0.81334127606133311</v>
      </c>
      <c r="N40" s="12">
        <f ca="1">'TR TUSD'!$N$40*'TR TUSD'!$N$70</f>
        <v>8.0993464530991996</v>
      </c>
      <c r="O40" s="12">
        <f>'TR TUSD'!$O$40*'TR TUSD'!$O$70</f>
        <v>3.9888958600876039E-2</v>
      </c>
      <c r="P40" s="12">
        <f>'TR TUSD'!$P$40*'TR TUSD'!$P$70</f>
        <v>0</v>
      </c>
      <c r="Q40" s="12">
        <f>'TR TUSD'!$Q$40*'TR TUSD'!$Q$70</f>
        <v>36.017018795122063</v>
      </c>
      <c r="R40" s="12">
        <f>'TR TUSD'!$R$40*'TR TUSD'!$R$70</f>
        <v>14.370155340997961</v>
      </c>
      <c r="S40" s="12">
        <f>'TR TUSD'!$S$40*'TR TUSD'!$S$70</f>
        <v>0</v>
      </c>
      <c r="T40" s="12">
        <f ca="1">SUM($L$40:$S$40)</f>
        <v>61.167223373117224</v>
      </c>
      <c r="U40" s="12">
        <f>'TR TUSD'!$U$40*'TR TUSD'!$U$70</f>
        <v>54.599922130914379</v>
      </c>
      <c r="V40" s="12">
        <f>'TR TUSD'!$V$40*'TR TUSD'!$V$70</f>
        <v>14.921710583319495</v>
      </c>
      <c r="W40" s="12">
        <f>'TR TUSD'!$W$40*'TR TUSD'!$W$70</f>
        <v>1.3304504464225477</v>
      </c>
      <c r="X40" s="12">
        <f>'TR TUSD'!$X$40*'TR TUSD'!$X$70</f>
        <v>0</v>
      </c>
      <c r="Y40" s="12">
        <f>'TR TUSD'!$Y$40*'TR TUSD'!$Y$70</f>
        <v>56.719311088010556</v>
      </c>
      <c r="Z40" s="12">
        <f>'TR TUSD'!$Z$40</f>
        <v>0</v>
      </c>
      <c r="AA40" s="12">
        <f>'TR TUSD'!$AA$40</f>
        <v>0</v>
      </c>
      <c r="AB40" s="12">
        <f>SUM($U$40:$AA$40)</f>
        <v>127.57139424866698</v>
      </c>
      <c r="AC40" s="12">
        <f>'TR TUSD'!$AC$40*'TR TUSD'!$AC$70</f>
        <v>626.15659102352379</v>
      </c>
      <c r="AD40" s="12">
        <f>SUM($AC$40:$AC$40)</f>
        <v>626.15659102352379</v>
      </c>
      <c r="AE40" s="12">
        <v>0</v>
      </c>
      <c r="AF40" s="12">
        <v>0</v>
      </c>
      <c r="AG40" s="12">
        <f>SUM($AE$40:$AF$40)</f>
        <v>0</v>
      </c>
      <c r="AH40" s="12">
        <f>'TR TUSD'!$AH$40*'TR TUSD'!$AH$70</f>
        <v>16.664328898488023</v>
      </c>
      <c r="AI40" s="12">
        <f>'TR TUSD'!$AI$40*'TR TUSD'!$AI$70</f>
        <v>0.39289938566617705</v>
      </c>
      <c r="AJ40" s="12">
        <f ca="1">'TR TUSD'!$AJ$40*'TR TUSD'!$AJ$70</f>
        <v>2.6126048271673166</v>
      </c>
      <c r="AK40" s="12">
        <f ca="1">'TR TUSD'!$AK$40*'TR TUSD'!$AK$70</f>
        <v>0</v>
      </c>
      <c r="AL40" s="12">
        <f ca="1">SUM($AH$40:$AK$40)</f>
        <v>19.669833111321516</v>
      </c>
      <c r="AM40" s="12">
        <f ca="1">SUMIF($L$4:$AL$4,"SUBTOTAL",$L$40:$AL$40)</f>
        <v>834.56504175662951</v>
      </c>
      <c r="AP40" s="12">
        <f>IF((1 - CUSTOS!$M$28)&lt;&gt;0,1/(1 - CUSTOS!$M$28),1)</f>
        <v>1</v>
      </c>
    </row>
    <row r="41" spans="1:42" ht="11.25" customHeight="1" x14ac:dyDescent="0.25">
      <c r="A41" s="106"/>
      <c r="B41" s="106"/>
      <c r="C41" s="106"/>
      <c r="D41" s="106"/>
      <c r="E41" s="106"/>
      <c r="F41" s="106"/>
      <c r="G41" s="17" t="s">
        <v>91</v>
      </c>
      <c r="H41" s="17" t="s">
        <v>78</v>
      </c>
      <c r="I41" s="17">
        <f>'MERCADO TUSD'!$U$38</f>
        <v>0.14499999999999999</v>
      </c>
      <c r="J41" s="15"/>
      <c r="L41" s="12">
        <f>'TR TUSD'!$L$41*'TR TUSD'!$L$70</f>
        <v>1.8274725492357917</v>
      </c>
      <c r="M41" s="12">
        <f>'TR TUSD'!$M$41*'TR TUSD'!$M$70</f>
        <v>0.81334127606133311</v>
      </c>
      <c r="N41" s="12">
        <f ca="1">'TR TUSD'!$N$41*'TR TUSD'!$N$70</f>
        <v>5.0436711182452099</v>
      </c>
      <c r="O41" s="12">
        <f>'TR TUSD'!$O$41*'TR TUSD'!$O$70</f>
        <v>3.9888958600876039E-2</v>
      </c>
      <c r="P41" s="12">
        <f>'TR TUSD'!$P$41*'TR TUSD'!$P$70</f>
        <v>0</v>
      </c>
      <c r="Q41" s="12">
        <f>'TR TUSD'!$Q$41*'TR TUSD'!$Q$70</f>
        <v>36.017018795122063</v>
      </c>
      <c r="R41" s="12">
        <f>'TR TUSD'!$R$41*'TR TUSD'!$R$70</f>
        <v>14.370155340997961</v>
      </c>
      <c r="S41" s="12">
        <f>'TR TUSD'!$S$41*'TR TUSD'!$S$70</f>
        <v>0</v>
      </c>
      <c r="T41" s="12">
        <f ca="1">SUM($L$41:$S$41)</f>
        <v>58.111548038263237</v>
      </c>
      <c r="U41" s="12">
        <f>'TR TUSD'!$U$41*'TR TUSD'!$U$70</f>
        <v>32.759953278548629</v>
      </c>
      <c r="V41" s="12">
        <f>'TR TUSD'!$V$41*'TR TUSD'!$V$70</f>
        <v>8.9530420316347001</v>
      </c>
      <c r="W41" s="12">
        <f>'TR TUSD'!$W$41*'TR TUSD'!$W$70</f>
        <v>0.7982380613551886</v>
      </c>
      <c r="X41" s="12">
        <f>'TR TUSD'!$X$41*'TR TUSD'!$X$70</f>
        <v>0</v>
      </c>
      <c r="Y41" s="12">
        <f>'TR TUSD'!$Y$41*'TR TUSD'!$Y$70</f>
        <v>34.031564475687873</v>
      </c>
      <c r="Z41" s="12">
        <f>'TR TUSD'!$Z$41</f>
        <v>0</v>
      </c>
      <c r="AA41" s="12">
        <f>'TR TUSD'!$AA$41</f>
        <v>0</v>
      </c>
      <c r="AB41" s="12">
        <f>SUM($U$41:$AA$41)</f>
        <v>76.542797847226382</v>
      </c>
      <c r="AC41" s="12">
        <f>'TR TUSD'!$AC$41*'TR TUSD'!$AC$70</f>
        <v>375.69390695241918</v>
      </c>
      <c r="AD41" s="12">
        <f>SUM($AC$41:$AC$41)</f>
        <v>375.69390695241918</v>
      </c>
      <c r="AE41" s="12">
        <v>0</v>
      </c>
      <c r="AF41" s="12">
        <v>0</v>
      </c>
      <c r="AG41" s="12">
        <f>SUM($AE$41:$AF$41)</f>
        <v>0</v>
      </c>
      <c r="AH41" s="12">
        <f>'TR TUSD'!$AH$41*'TR TUSD'!$AH$70</f>
        <v>16.664328898488023</v>
      </c>
      <c r="AI41" s="12">
        <f>'TR TUSD'!$AI$41*'TR TUSD'!$AI$70</f>
        <v>0.39289938566617705</v>
      </c>
      <c r="AJ41" s="12">
        <f ca="1">'TR TUSD'!$AJ$41*'TR TUSD'!$AJ$70</f>
        <v>2.6126048271673166</v>
      </c>
      <c r="AK41" s="12">
        <f ca="1">'TR TUSD'!$AK$41*'TR TUSD'!$AK$70</f>
        <v>0</v>
      </c>
      <c r="AL41" s="12">
        <f ca="1">SUM($AH$41:$AK$41)</f>
        <v>19.669833111321516</v>
      </c>
      <c r="AM41" s="12">
        <f ca="1">SUMIF($L$4:$AL$4,"SUBTOTAL",$L$41:$AL$41)</f>
        <v>530.01808594923034</v>
      </c>
      <c r="AP41" s="12">
        <f>IF((1 - CUSTOS!$M$28)&lt;&gt;0,1/(1 - CUSTOS!$M$28),1)</f>
        <v>1</v>
      </c>
    </row>
    <row r="42" spans="1:42" ht="11.25" customHeight="1" x14ac:dyDescent="0.25">
      <c r="A42" s="106"/>
      <c r="B42" s="106"/>
      <c r="C42" s="106"/>
      <c r="D42" s="106"/>
      <c r="E42" s="106"/>
      <c r="F42" s="106"/>
      <c r="G42" s="17" t="s">
        <v>80</v>
      </c>
      <c r="H42" s="17" t="s">
        <v>78</v>
      </c>
      <c r="I42" s="17">
        <f>'MERCADO TUSD'!$U$39</f>
        <v>3.37</v>
      </c>
      <c r="J42" s="15"/>
      <c r="L42" s="12">
        <f>'TR TUSD'!$L$42*'TR TUSD'!$L$70</f>
        <v>1.8274725492357917</v>
      </c>
      <c r="M42" s="12">
        <f>'TR TUSD'!$M$42*'TR TUSD'!$M$70</f>
        <v>0.81334127606133311</v>
      </c>
      <c r="N42" s="12">
        <f ca="1">'TR TUSD'!$N$42*'TR TUSD'!$N$70</f>
        <v>1.9879981257646511</v>
      </c>
      <c r="O42" s="12">
        <f>'TR TUSD'!$O$42*'TR TUSD'!$O$70</f>
        <v>3.9888958600876039E-2</v>
      </c>
      <c r="P42" s="12">
        <f>'TR TUSD'!$P$42*'TR TUSD'!$P$70</f>
        <v>0</v>
      </c>
      <c r="Q42" s="12">
        <f>'TR TUSD'!$Q$42*'TR TUSD'!$Q$70</f>
        <v>36.017018795122063</v>
      </c>
      <c r="R42" s="12">
        <f>'TR TUSD'!$R$42*'TR TUSD'!$R$70</f>
        <v>14.370155340997961</v>
      </c>
      <c r="S42" s="12">
        <f>'TR TUSD'!$S$42*'TR TUSD'!$S$70</f>
        <v>0</v>
      </c>
      <c r="T42" s="12">
        <f ca="1">SUM($L$42:$S$42)</f>
        <v>55.055875045782678</v>
      </c>
      <c r="U42" s="12">
        <f>'TR TUSD'!$U$42*'TR TUSD'!$U$70</f>
        <v>10.919984426182875</v>
      </c>
      <c r="V42" s="12">
        <f>'TR TUSD'!$V$42*'TR TUSD'!$V$70</f>
        <v>2.9843734799499058</v>
      </c>
      <c r="W42" s="12">
        <f>'TR TUSD'!$W$42*'TR TUSD'!$W$70</f>
        <v>0.26610619253367951</v>
      </c>
      <c r="X42" s="12">
        <f>'TR TUSD'!$X$42*'TR TUSD'!$X$70</f>
        <v>0</v>
      </c>
      <c r="Y42" s="12">
        <f>'TR TUSD'!$Y$42*'TR TUSD'!$Y$70</f>
        <v>11.343817863365192</v>
      </c>
      <c r="Z42" s="12">
        <f>'TR TUSD'!$Z$42</f>
        <v>0</v>
      </c>
      <c r="AA42" s="12">
        <f>'TR TUSD'!$AA$42</f>
        <v>0</v>
      </c>
      <c r="AB42" s="12">
        <f>SUM($U$42:$AA$42)</f>
        <v>25.514281962031653</v>
      </c>
      <c r="AC42" s="12">
        <f>'TR TUSD'!$AC$42*'TR TUSD'!$AC$70</f>
        <v>125.23134203555227</v>
      </c>
      <c r="AD42" s="12">
        <f>SUM($AC$42:$AC$42)</f>
        <v>125.23134203555227</v>
      </c>
      <c r="AE42" s="12">
        <v>0</v>
      </c>
      <c r="AF42" s="12">
        <v>0</v>
      </c>
      <c r="AG42" s="12">
        <f>SUM($AE$42:$AF$42)</f>
        <v>0</v>
      </c>
      <c r="AH42" s="12">
        <f>'TR TUSD'!$AH$42*'TR TUSD'!$AH$70</f>
        <v>16.664328898488023</v>
      </c>
      <c r="AI42" s="12">
        <f>'TR TUSD'!$AI$42*'TR TUSD'!$AI$70</f>
        <v>0.39289938566617705</v>
      </c>
      <c r="AJ42" s="12">
        <f ca="1">'TR TUSD'!$AJ$42*'TR TUSD'!$AJ$70</f>
        <v>2.6126048271673166</v>
      </c>
      <c r="AK42" s="12">
        <f ca="1">'TR TUSD'!$AK$42*'TR TUSD'!$AK$70</f>
        <v>0</v>
      </c>
      <c r="AL42" s="12">
        <f ca="1">SUM($AH$42:$AK$42)</f>
        <v>19.669833111321516</v>
      </c>
      <c r="AM42" s="12">
        <f ca="1">SUMIF($L$4:$AL$4,"SUBTOTAL",$L$42:$AL$42)</f>
        <v>225.47133215468813</v>
      </c>
      <c r="AP42" s="12">
        <f>IF((1 - CUSTOS!$M$28)&lt;&gt;0,1/(1 - CUSTOS!$M$28),1)</f>
        <v>1</v>
      </c>
    </row>
    <row r="43" spans="1:42" ht="11.25" customHeight="1" x14ac:dyDescent="0.25">
      <c r="A43" s="106"/>
      <c r="B43" s="18" t="s">
        <v>23</v>
      </c>
      <c r="C43" s="18" t="s">
        <v>44</v>
      </c>
      <c r="D43" s="18" t="s">
        <v>25</v>
      </c>
      <c r="E43" s="18" t="s">
        <v>25</v>
      </c>
      <c r="F43" s="18" t="s">
        <v>25</v>
      </c>
      <c r="G43" s="17" t="s">
        <v>84</v>
      </c>
      <c r="H43" s="17" t="s">
        <v>78</v>
      </c>
      <c r="I43" s="17">
        <f>'MERCADO TUSD'!$U$40</f>
        <v>23741.584000000003</v>
      </c>
      <c r="J43" s="15"/>
      <c r="L43" s="12">
        <f>'TR TUSD'!$L$43*'TR TUSD'!$L$70</f>
        <v>1.8274725492357917</v>
      </c>
      <c r="M43" s="12">
        <f>'TR TUSD'!$M$43*'TR TUSD'!$M$70</f>
        <v>0.81334127606133311</v>
      </c>
      <c r="N43" s="12">
        <f ca="1">'TR TUSD'!$N$43*'TR TUSD'!$N$70</f>
        <v>2.8474043981197319</v>
      </c>
      <c r="O43" s="12">
        <f>'TR TUSD'!$O$43*'TR TUSD'!$O$70</f>
        <v>3.9888958600876039E-2</v>
      </c>
      <c r="P43" s="12">
        <f>'TR TUSD'!$P$43*'TR TUSD'!$P$70</f>
        <v>0</v>
      </c>
      <c r="Q43" s="12">
        <f>'TR TUSD'!$Q$43*'TR TUSD'!$Q$70</f>
        <v>36.017018795122063</v>
      </c>
      <c r="R43" s="12">
        <f>'TR TUSD'!$R$43*'TR TUSD'!$R$70</f>
        <v>14.370155340997961</v>
      </c>
      <c r="S43" s="12">
        <f>'TR TUSD'!$S$43*'TR TUSD'!$S$70</f>
        <v>0</v>
      </c>
      <c r="T43" s="12">
        <f ca="1">SUM($L$43:$S$43)</f>
        <v>55.915281318137758</v>
      </c>
      <c r="U43" s="12">
        <f>'TR TUSD'!$U$43*'TR TUSD'!$U$70</f>
        <v>17.06241353582184</v>
      </c>
      <c r="V43" s="12">
        <f>'TR TUSD'!$V$43*'TR TUSD'!$V$70</f>
        <v>4.6630149552335878</v>
      </c>
      <c r="W43" s="12">
        <f>'TR TUSD'!$W$43*'TR TUSD'!$W$70</f>
        <v>0.41578589356850859</v>
      </c>
      <c r="X43" s="12">
        <f>'TR TUSD'!$X$43*'TR TUSD'!$X$70</f>
        <v>0</v>
      </c>
      <c r="Y43" s="12">
        <f>'TR TUSD'!$Y$43*'TR TUSD'!$Y$70</f>
        <v>17.724729272207149</v>
      </c>
      <c r="Z43" s="12">
        <f>'TR TUSD'!$Z$43</f>
        <v>0</v>
      </c>
      <c r="AA43" s="12">
        <f>'TR TUSD'!$AA$43</f>
        <v>0</v>
      </c>
      <c r="AB43" s="12">
        <f>SUM($U$43:$AA$43)</f>
        <v>39.865943656831085</v>
      </c>
      <c r="AC43" s="12">
        <f>'TR TUSD'!$AC$43*'TR TUSD'!$AC$70</f>
        <v>195.6738974591519</v>
      </c>
      <c r="AD43" s="12">
        <f>SUM($AC$43:$AC$43)</f>
        <v>195.6738974591519</v>
      </c>
      <c r="AE43" s="12">
        <v>0</v>
      </c>
      <c r="AF43" s="12">
        <v>0</v>
      </c>
      <c r="AG43" s="12">
        <f>SUM($AE$43:$AF$43)</f>
        <v>0</v>
      </c>
      <c r="AH43" s="12">
        <f>'TR TUSD'!$AH$43*'TR TUSD'!$AH$70</f>
        <v>16.664328898488023</v>
      </c>
      <c r="AI43" s="12">
        <f>'TR TUSD'!$AI$43*'TR TUSD'!$AI$70</f>
        <v>0.39289938566617705</v>
      </c>
      <c r="AJ43" s="12">
        <f ca="1">'TR TUSD'!$AJ$43*'TR TUSD'!$AJ$70</f>
        <v>2.6126048271673166</v>
      </c>
      <c r="AK43" s="12">
        <f ca="1">'TR TUSD'!$AK$43*'TR TUSD'!$AK$70</f>
        <v>0</v>
      </c>
      <c r="AL43" s="12">
        <f ca="1">SUM($AH$43:$AK$43)</f>
        <v>19.669833111321516</v>
      </c>
      <c r="AM43" s="12">
        <f ca="1">SUMIF($L$4:$AL$4,"SUBTOTAL",$L$43:$AL$43)</f>
        <v>311.12495554544228</v>
      </c>
      <c r="AP43" s="12">
        <f>IF((1 - CUSTOS!$M$28)&lt;&gt;0,1/(1 - CUSTOS!$M$28),1)</f>
        <v>1</v>
      </c>
    </row>
    <row r="44" spans="1:42" ht="11.25" customHeight="1" x14ac:dyDescent="0.25">
      <c r="A44" s="106"/>
      <c r="B44" s="106" t="s">
        <v>33</v>
      </c>
      <c r="C44" s="106" t="s">
        <v>44</v>
      </c>
      <c r="D44" s="106" t="s">
        <v>94</v>
      </c>
      <c r="E44" s="106" t="s">
        <v>25</v>
      </c>
      <c r="F44" s="106" t="s">
        <v>25</v>
      </c>
      <c r="G44" s="17" t="s">
        <v>79</v>
      </c>
      <c r="H44" s="17" t="s">
        <v>78</v>
      </c>
      <c r="I44" s="17">
        <f>'MERCADO TUSD'!$U$41</f>
        <v>0</v>
      </c>
      <c r="J44" s="15"/>
      <c r="L44" s="12">
        <f>'TR TUSD'!$L$44*'TR TUSD'!$L$70</f>
        <v>1.8274725492357917</v>
      </c>
      <c r="M44" s="12">
        <f>'TR TUSD'!$M$44*'TR TUSD'!$M$70</f>
        <v>0.81334127606133311</v>
      </c>
      <c r="N44" s="12">
        <f ca="1">'TR TUSD'!$N$44*'TR TUSD'!$N$70</f>
        <v>8.0993464530991996</v>
      </c>
      <c r="O44" s="12">
        <f>'TR TUSD'!$O$44*'TR TUSD'!$O$70</f>
        <v>3.9888958600876039E-2</v>
      </c>
      <c r="P44" s="12">
        <f>'TR TUSD'!$P$44*'TR TUSD'!$P$70</f>
        <v>0</v>
      </c>
      <c r="Q44" s="12">
        <f>'TR TUSD'!$Q$44*'TR TUSD'!$Q$70</f>
        <v>36.017018795122063</v>
      </c>
      <c r="R44" s="12">
        <f>'TR TUSD'!$R$44*'TR TUSD'!$R$70</f>
        <v>14.370155340997961</v>
      </c>
      <c r="S44" s="12">
        <f>'TR TUSD'!$S$44*'TR TUSD'!$S$70</f>
        <v>0</v>
      </c>
      <c r="T44" s="12">
        <f ca="1">SUM($L$44:$S$44)</f>
        <v>61.167223373117224</v>
      </c>
      <c r="U44" s="12">
        <f>'TR TUSD'!$U$44*'TR TUSD'!$U$70</f>
        <v>54.599922130914379</v>
      </c>
      <c r="V44" s="12">
        <f>'TR TUSD'!$V$44*'TR TUSD'!$V$70</f>
        <v>14.921710583319495</v>
      </c>
      <c r="W44" s="12">
        <f>'TR TUSD'!$W$44*'TR TUSD'!$W$70</f>
        <v>1.3304504464225477</v>
      </c>
      <c r="X44" s="12">
        <f>'TR TUSD'!$X$44*'TR TUSD'!$X$70</f>
        <v>0</v>
      </c>
      <c r="Y44" s="12">
        <f>'TR TUSD'!$Y$44*'TR TUSD'!$Y$70</f>
        <v>56.719311088010556</v>
      </c>
      <c r="Z44" s="12">
        <f>'TR TUSD'!$Z$44</f>
        <v>0</v>
      </c>
      <c r="AA44" s="12">
        <f>'TR TUSD'!$AA$44</f>
        <v>0</v>
      </c>
      <c r="AB44" s="12">
        <f>SUM($U$44:$AA$44)</f>
        <v>127.57139424866698</v>
      </c>
      <c r="AC44" s="12">
        <f>'TR TUSD'!$AC$44*'TR TUSD'!$AC$70</f>
        <v>626.15659102352379</v>
      </c>
      <c r="AD44" s="12">
        <f>SUM($AC$44:$AC$44)</f>
        <v>626.15659102352379</v>
      </c>
      <c r="AE44" s="12">
        <v>0</v>
      </c>
      <c r="AF44" s="12">
        <v>0</v>
      </c>
      <c r="AG44" s="12">
        <f>SUM($AE$44:$AF$44)</f>
        <v>0</v>
      </c>
      <c r="AH44" s="12">
        <f>'TR TUSD'!$AH$44*'TR TUSD'!$AH$70</f>
        <v>16.664328898488023</v>
      </c>
      <c r="AI44" s="12">
        <f>'TR TUSD'!$AI$44*'TR TUSD'!$AI$70</f>
        <v>0.39289938566617705</v>
      </c>
      <c r="AJ44" s="12">
        <f ca="1">'TR TUSD'!$AJ$44*'TR TUSD'!$AJ$70</f>
        <v>2.6126048271673166</v>
      </c>
      <c r="AK44" s="12">
        <f ca="1">'TR TUSD'!$AK$44*'TR TUSD'!$AK$70</f>
        <v>0</v>
      </c>
      <c r="AL44" s="12">
        <f ca="1">SUM($AH$44:$AK$44)</f>
        <v>19.669833111321516</v>
      </c>
      <c r="AM44" s="12">
        <f ca="1">SUMIF($L$4:$AL$4,"SUBTOTAL",$L$44:$AL$44)</f>
        <v>834.56504175662951</v>
      </c>
      <c r="AP44" s="12">
        <f>IF((1 - CUSTOS!$M$29)&lt;&gt;0,1/(1 - CUSTOS!$M$29),1)</f>
        <v>1</v>
      </c>
    </row>
    <row r="45" spans="1:42" ht="11.25" customHeight="1" x14ac:dyDescent="0.25">
      <c r="A45" s="106"/>
      <c r="B45" s="106"/>
      <c r="C45" s="106"/>
      <c r="D45" s="106"/>
      <c r="E45" s="106"/>
      <c r="F45" s="106"/>
      <c r="G45" s="17" t="s">
        <v>91</v>
      </c>
      <c r="H45" s="17" t="s">
        <v>78</v>
      </c>
      <c r="I45" s="17">
        <f>'MERCADO TUSD'!$U$42</f>
        <v>0</v>
      </c>
      <c r="J45" s="15"/>
      <c r="L45" s="12">
        <f>'TR TUSD'!$L$45*'TR TUSD'!$L$70</f>
        <v>1.8274725492357917</v>
      </c>
      <c r="M45" s="12">
        <f>'TR TUSD'!$M$45*'TR TUSD'!$M$70</f>
        <v>0.81334127606133311</v>
      </c>
      <c r="N45" s="12">
        <f ca="1">'TR TUSD'!$N$45*'TR TUSD'!$N$70</f>
        <v>5.0436711182452099</v>
      </c>
      <c r="O45" s="12">
        <f>'TR TUSD'!$O$45*'TR TUSD'!$O$70</f>
        <v>3.9888958600876039E-2</v>
      </c>
      <c r="P45" s="12">
        <f>'TR TUSD'!$P$45*'TR TUSD'!$P$70</f>
        <v>0</v>
      </c>
      <c r="Q45" s="12">
        <f>'TR TUSD'!$Q$45*'TR TUSD'!$Q$70</f>
        <v>36.017018795122063</v>
      </c>
      <c r="R45" s="12">
        <f>'TR TUSD'!$R$45*'TR TUSD'!$R$70</f>
        <v>14.370155340997961</v>
      </c>
      <c r="S45" s="12">
        <f>'TR TUSD'!$S$45*'TR TUSD'!$S$70</f>
        <v>0</v>
      </c>
      <c r="T45" s="12">
        <f ca="1">SUM($L$45:$S$45)</f>
        <v>58.111548038263237</v>
      </c>
      <c r="U45" s="12">
        <f>'TR TUSD'!$U$45*'TR TUSD'!$U$70</f>
        <v>32.759953278548629</v>
      </c>
      <c r="V45" s="12">
        <f>'TR TUSD'!$V$45*'TR TUSD'!$V$70</f>
        <v>8.9530420316347001</v>
      </c>
      <c r="W45" s="12">
        <f>'TR TUSD'!$W$45*'TR TUSD'!$W$70</f>
        <v>0.7982380613551886</v>
      </c>
      <c r="X45" s="12">
        <f>'TR TUSD'!$X$45*'TR TUSD'!$X$70</f>
        <v>0</v>
      </c>
      <c r="Y45" s="12">
        <f>'TR TUSD'!$Y$45*'TR TUSD'!$Y$70</f>
        <v>34.031564475687873</v>
      </c>
      <c r="Z45" s="12">
        <f>'TR TUSD'!$Z$45</f>
        <v>0</v>
      </c>
      <c r="AA45" s="12">
        <f>'TR TUSD'!$AA$45</f>
        <v>0</v>
      </c>
      <c r="AB45" s="12">
        <f>SUM($U$45:$AA$45)</f>
        <v>76.542797847226382</v>
      </c>
      <c r="AC45" s="12">
        <f>'TR TUSD'!$AC$45*'TR TUSD'!$AC$70</f>
        <v>375.69390695241918</v>
      </c>
      <c r="AD45" s="12">
        <f>SUM($AC$45:$AC$45)</f>
        <v>375.69390695241918</v>
      </c>
      <c r="AE45" s="12">
        <v>0</v>
      </c>
      <c r="AF45" s="12">
        <v>0</v>
      </c>
      <c r="AG45" s="12">
        <f>SUM($AE$45:$AF$45)</f>
        <v>0</v>
      </c>
      <c r="AH45" s="12">
        <f>'TR TUSD'!$AH$45*'TR TUSD'!$AH$70</f>
        <v>16.664328898488023</v>
      </c>
      <c r="AI45" s="12">
        <f>'TR TUSD'!$AI$45*'TR TUSD'!$AI$70</f>
        <v>0.39289938566617705</v>
      </c>
      <c r="AJ45" s="12">
        <f ca="1">'TR TUSD'!$AJ$45*'TR TUSD'!$AJ$70</f>
        <v>2.6126048271673166</v>
      </c>
      <c r="AK45" s="12">
        <f ca="1">'TR TUSD'!$AK$45*'TR TUSD'!$AK$70</f>
        <v>0</v>
      </c>
      <c r="AL45" s="12">
        <f ca="1">SUM($AH$45:$AK$45)</f>
        <v>19.669833111321516</v>
      </c>
      <c r="AM45" s="12">
        <f ca="1">SUMIF($L$4:$AL$4,"SUBTOTAL",$L$45:$AL$45)</f>
        <v>530.01808594923034</v>
      </c>
      <c r="AP45" s="12">
        <f>IF((1 - CUSTOS!$M$29)&lt;&gt;0,1/(1 - CUSTOS!$M$29),1)</f>
        <v>1</v>
      </c>
    </row>
    <row r="46" spans="1:42" ht="11.25" customHeight="1" x14ac:dyDescent="0.25">
      <c r="A46" s="106"/>
      <c r="B46" s="106"/>
      <c r="C46" s="106"/>
      <c r="D46" s="106"/>
      <c r="E46" s="106"/>
      <c r="F46" s="106"/>
      <c r="G46" s="17" t="s">
        <v>80</v>
      </c>
      <c r="H46" s="17" t="s">
        <v>78</v>
      </c>
      <c r="I46" s="17">
        <f>'MERCADO TUSD'!$U$43</f>
        <v>0</v>
      </c>
      <c r="J46" s="15"/>
      <c r="L46" s="12">
        <f>'TR TUSD'!$L$46*'TR TUSD'!$L$70</f>
        <v>1.8274725492357917</v>
      </c>
      <c r="M46" s="12">
        <f>'TR TUSD'!$M$46*'TR TUSD'!$M$70</f>
        <v>0.81334127606133311</v>
      </c>
      <c r="N46" s="12">
        <f ca="1">'TR TUSD'!$N$46*'TR TUSD'!$N$70</f>
        <v>1.9879981257646511</v>
      </c>
      <c r="O46" s="12">
        <f>'TR TUSD'!$O$46*'TR TUSD'!$O$70</f>
        <v>3.9888958600876039E-2</v>
      </c>
      <c r="P46" s="12">
        <f>'TR TUSD'!$P$46*'TR TUSD'!$P$70</f>
        <v>0</v>
      </c>
      <c r="Q46" s="12">
        <f>'TR TUSD'!$Q$46*'TR TUSD'!$Q$70</f>
        <v>36.017018795122063</v>
      </c>
      <c r="R46" s="12">
        <f>'TR TUSD'!$R$46*'TR TUSD'!$R$70</f>
        <v>14.370155340997961</v>
      </c>
      <c r="S46" s="12">
        <f>'TR TUSD'!$S$46*'TR TUSD'!$S$70</f>
        <v>0</v>
      </c>
      <c r="T46" s="12">
        <f ca="1">SUM($L$46:$S$46)</f>
        <v>55.055875045782678</v>
      </c>
      <c r="U46" s="12">
        <f>'TR TUSD'!$U$46*'TR TUSD'!$U$70</f>
        <v>10.919984426182875</v>
      </c>
      <c r="V46" s="12">
        <f>'TR TUSD'!$V$46*'TR TUSD'!$V$70</f>
        <v>2.9843734799499058</v>
      </c>
      <c r="W46" s="12">
        <f>'TR TUSD'!$W$46*'TR TUSD'!$W$70</f>
        <v>0.26610619253367951</v>
      </c>
      <c r="X46" s="12">
        <f>'TR TUSD'!$X$46*'TR TUSD'!$X$70</f>
        <v>0</v>
      </c>
      <c r="Y46" s="12">
        <f>'TR TUSD'!$Y$46*'TR TUSD'!$Y$70</f>
        <v>11.343817863365192</v>
      </c>
      <c r="Z46" s="12">
        <f>'TR TUSD'!$Z$46</f>
        <v>0</v>
      </c>
      <c r="AA46" s="12">
        <f>'TR TUSD'!$AA$46</f>
        <v>0</v>
      </c>
      <c r="AB46" s="12">
        <f>SUM($U$46:$AA$46)</f>
        <v>25.514281962031653</v>
      </c>
      <c r="AC46" s="12">
        <f>'TR TUSD'!$AC$46*'TR TUSD'!$AC$70</f>
        <v>125.23134203555227</v>
      </c>
      <c r="AD46" s="12">
        <f>SUM($AC$46:$AC$46)</f>
        <v>125.23134203555227</v>
      </c>
      <c r="AE46" s="12">
        <v>0</v>
      </c>
      <c r="AF46" s="12">
        <v>0</v>
      </c>
      <c r="AG46" s="12">
        <f>SUM($AE$46:$AF$46)</f>
        <v>0</v>
      </c>
      <c r="AH46" s="12">
        <f>'TR TUSD'!$AH$46*'TR TUSD'!$AH$70</f>
        <v>16.664328898488023</v>
      </c>
      <c r="AI46" s="12">
        <f>'TR TUSD'!$AI$46*'TR TUSD'!$AI$70</f>
        <v>0.39289938566617705</v>
      </c>
      <c r="AJ46" s="12">
        <f ca="1">'TR TUSD'!$AJ$46*'TR TUSD'!$AJ$70</f>
        <v>2.6126048271673166</v>
      </c>
      <c r="AK46" s="12">
        <f ca="1">'TR TUSD'!$AK$46*'TR TUSD'!$AK$70</f>
        <v>0</v>
      </c>
      <c r="AL46" s="12">
        <f ca="1">SUM($AH$46:$AK$46)</f>
        <v>19.669833111321516</v>
      </c>
      <c r="AM46" s="12">
        <f ca="1">SUMIF($L$4:$AL$4,"SUBTOTAL",$L$46:$AL$46)</f>
        <v>225.47133215468813</v>
      </c>
      <c r="AP46" s="12">
        <f>IF((1 - CUSTOS!$M$29)&lt;&gt;0,1/(1 - CUSTOS!$M$29),1)</f>
        <v>1</v>
      </c>
    </row>
    <row r="47" spans="1:42" ht="11.25" customHeight="1" x14ac:dyDescent="0.25">
      <c r="A47" s="106"/>
      <c r="B47" s="18" t="s">
        <v>23</v>
      </c>
      <c r="C47" s="18" t="s">
        <v>44</v>
      </c>
      <c r="D47" s="18" t="s">
        <v>94</v>
      </c>
      <c r="E47" s="18" t="s">
        <v>25</v>
      </c>
      <c r="F47" s="18" t="s">
        <v>25</v>
      </c>
      <c r="G47" s="17" t="s">
        <v>84</v>
      </c>
      <c r="H47" s="17" t="s">
        <v>78</v>
      </c>
      <c r="I47" s="17">
        <f>'MERCADO TUSD'!$U$44</f>
        <v>0</v>
      </c>
      <c r="J47" s="15"/>
      <c r="L47" s="12">
        <f>'TR TUSD'!$L$47*'TR TUSD'!$L$70</f>
        <v>1.8274725492357917</v>
      </c>
      <c r="M47" s="12">
        <f>'TR TUSD'!$M$47*'TR TUSD'!$M$70</f>
        <v>0.81334127606133311</v>
      </c>
      <c r="N47" s="12">
        <f ca="1">'TR TUSD'!$N$47*'TR TUSD'!$N$70</f>
        <v>2.8474043981197319</v>
      </c>
      <c r="O47" s="12">
        <f>'TR TUSD'!$O$47*'TR TUSD'!$O$70</f>
        <v>3.9888958600876039E-2</v>
      </c>
      <c r="P47" s="12">
        <f>'TR TUSD'!$P$47*'TR TUSD'!$P$70</f>
        <v>0</v>
      </c>
      <c r="Q47" s="12">
        <f>'TR TUSD'!$Q$47*'TR TUSD'!$Q$70</f>
        <v>36.017018795122063</v>
      </c>
      <c r="R47" s="12">
        <f>'TR TUSD'!$R$47*'TR TUSD'!$R$70</f>
        <v>14.370155340997961</v>
      </c>
      <c r="S47" s="12">
        <f>'TR TUSD'!$S$47*'TR TUSD'!$S$70</f>
        <v>0</v>
      </c>
      <c r="T47" s="12">
        <f ca="1">SUM($L$47:$S$47)</f>
        <v>55.915281318137758</v>
      </c>
      <c r="U47" s="12">
        <f>'TR TUSD'!$U$47*'TR TUSD'!$U$70</f>
        <v>17.06241353582184</v>
      </c>
      <c r="V47" s="12">
        <f>'TR TUSD'!$V$47*'TR TUSD'!$V$70</f>
        <v>4.6630149552335878</v>
      </c>
      <c r="W47" s="12">
        <f>'TR TUSD'!$W$47*'TR TUSD'!$W$70</f>
        <v>0.41578589356850859</v>
      </c>
      <c r="X47" s="12">
        <f>'TR TUSD'!$X$47*'TR TUSD'!$X$70</f>
        <v>0</v>
      </c>
      <c r="Y47" s="12">
        <f>'TR TUSD'!$Y$47*'TR TUSD'!$Y$70</f>
        <v>17.724729272207149</v>
      </c>
      <c r="Z47" s="12">
        <f>'TR TUSD'!$Z$47</f>
        <v>0</v>
      </c>
      <c r="AA47" s="12">
        <f>'TR TUSD'!$AA$47</f>
        <v>0</v>
      </c>
      <c r="AB47" s="12">
        <f>SUM($U$47:$AA$47)</f>
        <v>39.865943656831085</v>
      </c>
      <c r="AC47" s="12">
        <f>'TR TUSD'!$AC$47*'TR TUSD'!$AC$70</f>
        <v>195.6738974591519</v>
      </c>
      <c r="AD47" s="12">
        <f>SUM($AC$47:$AC$47)</f>
        <v>195.6738974591519</v>
      </c>
      <c r="AE47" s="12">
        <v>0</v>
      </c>
      <c r="AF47" s="12">
        <v>0</v>
      </c>
      <c r="AG47" s="12">
        <f>SUM($AE$47:$AF$47)</f>
        <v>0</v>
      </c>
      <c r="AH47" s="12">
        <f>'TR TUSD'!$AH$47*'TR TUSD'!$AH$70</f>
        <v>16.664328898488023</v>
      </c>
      <c r="AI47" s="12">
        <f>'TR TUSD'!$AI$47*'TR TUSD'!$AI$70</f>
        <v>0.39289938566617705</v>
      </c>
      <c r="AJ47" s="12">
        <f ca="1">'TR TUSD'!$AJ$47*'TR TUSD'!$AJ$70</f>
        <v>2.6126048271673166</v>
      </c>
      <c r="AK47" s="12">
        <f ca="1">'TR TUSD'!$AK$47*'TR TUSD'!$AK$70</f>
        <v>0</v>
      </c>
      <c r="AL47" s="12">
        <f ca="1">SUM($AH$47:$AK$47)</f>
        <v>19.669833111321516</v>
      </c>
      <c r="AM47" s="12">
        <f ca="1">SUMIF($L$4:$AL$4,"SUBTOTAL",$L$47:$AL$47)</f>
        <v>311.12495554544228</v>
      </c>
      <c r="AP47" s="12">
        <f>IF((1 - CUSTOS!$M$29)&lt;&gt;0,1/(1 - CUSTOS!$M$29),1)</f>
        <v>1</v>
      </c>
    </row>
    <row r="48" spans="1:42" ht="11.25" customHeight="1" x14ac:dyDescent="0.25">
      <c r="A48" s="106"/>
      <c r="B48" s="106" t="s">
        <v>33</v>
      </c>
      <c r="C48" s="106" t="s">
        <v>44</v>
      </c>
      <c r="D48" s="106" t="s">
        <v>95</v>
      </c>
      <c r="E48" s="106" t="s">
        <v>25</v>
      </c>
      <c r="F48" s="106" t="s">
        <v>25</v>
      </c>
      <c r="G48" s="17" t="s">
        <v>79</v>
      </c>
      <c r="H48" s="17" t="s">
        <v>78</v>
      </c>
      <c r="I48" s="17">
        <f>'MERCADO TUSD'!$U$45</f>
        <v>0</v>
      </c>
      <c r="J48" s="15"/>
      <c r="L48" s="12">
        <f>'TR TUSD'!$L$48*'TR TUSD'!$L$70</f>
        <v>1.8274725492357917</v>
      </c>
      <c r="M48" s="12">
        <f>'TR TUSD'!$M$48*'TR TUSD'!$M$70</f>
        <v>0.81334127606133311</v>
      </c>
      <c r="N48" s="12">
        <f ca="1">'TR TUSD'!$N$48*'TR TUSD'!$N$70</f>
        <v>8.0993464530991996</v>
      </c>
      <c r="O48" s="12">
        <f>'TR TUSD'!$O$48*'TR TUSD'!$O$70</f>
        <v>3.9888958600876039E-2</v>
      </c>
      <c r="P48" s="12">
        <f>'TR TUSD'!$P$48*'TR TUSD'!$P$70</f>
        <v>0</v>
      </c>
      <c r="Q48" s="12">
        <f>'TR TUSD'!$Q$48*'TR TUSD'!$Q$70</f>
        <v>36.017018795122063</v>
      </c>
      <c r="R48" s="12">
        <f>'TR TUSD'!$R$48*'TR TUSD'!$R$70</f>
        <v>14.370155340997961</v>
      </c>
      <c r="S48" s="12">
        <f>'TR TUSD'!$S$48*'TR TUSD'!$S$70</f>
        <v>0</v>
      </c>
      <c r="T48" s="12">
        <f ca="1">SUM($L$48:$S$48)</f>
        <v>61.167223373117224</v>
      </c>
      <c r="U48" s="12">
        <f>'TR TUSD'!$U$48*'TR TUSD'!$U$70</f>
        <v>54.599922130914379</v>
      </c>
      <c r="V48" s="12">
        <f>'TR TUSD'!$V$48*'TR TUSD'!$V$70</f>
        <v>14.921710583319495</v>
      </c>
      <c r="W48" s="12">
        <f>'TR TUSD'!$W$48*'TR TUSD'!$W$70</f>
        <v>1.3304504464225477</v>
      </c>
      <c r="X48" s="12">
        <f>'TR TUSD'!$X$48*'TR TUSD'!$X$70</f>
        <v>0</v>
      </c>
      <c r="Y48" s="12">
        <f>'TR TUSD'!$Y$48*'TR TUSD'!$Y$70</f>
        <v>56.719311088010556</v>
      </c>
      <c r="Z48" s="12">
        <f>'TR TUSD'!$Z$48</f>
        <v>0</v>
      </c>
      <c r="AA48" s="12">
        <f>'TR TUSD'!$AA$48</f>
        <v>0</v>
      </c>
      <c r="AB48" s="12">
        <f>SUM($U$48:$AA$48)</f>
        <v>127.57139424866698</v>
      </c>
      <c r="AC48" s="12">
        <f>'TR TUSD'!$AC$48*'TR TUSD'!$AC$70</f>
        <v>626.15659102352379</v>
      </c>
      <c r="AD48" s="12">
        <f>SUM($AC$48:$AC$48)</f>
        <v>626.15659102352379</v>
      </c>
      <c r="AE48" s="12">
        <v>0</v>
      </c>
      <c r="AF48" s="12">
        <v>0</v>
      </c>
      <c r="AG48" s="12">
        <f>SUM($AE$48:$AF$48)</f>
        <v>0</v>
      </c>
      <c r="AH48" s="12">
        <f>'TR TUSD'!$AH$48*'TR TUSD'!$AH$70</f>
        <v>16.664328898488023</v>
      </c>
      <c r="AI48" s="12">
        <f>'TR TUSD'!$AI$48*'TR TUSD'!$AI$70</f>
        <v>0.39289938566617705</v>
      </c>
      <c r="AJ48" s="12">
        <f ca="1">'TR TUSD'!$AJ$48*'TR TUSD'!$AJ$70</f>
        <v>2.6126048271673166</v>
      </c>
      <c r="AK48" s="12">
        <f ca="1">'TR TUSD'!$AK$48*'TR TUSD'!$AK$70</f>
        <v>0</v>
      </c>
      <c r="AL48" s="12">
        <f ca="1">SUM($AH$48:$AK$48)</f>
        <v>19.669833111321516</v>
      </c>
      <c r="AM48" s="12">
        <f ca="1">SUMIF($L$4:$AL$4,"SUBTOTAL",$L$48:$AL$48)</f>
        <v>834.56504175662951</v>
      </c>
      <c r="AP48" s="12">
        <f>IF((1 - CUSTOS!$M$30)&lt;&gt;0,1/(1 - CUSTOS!$M$30),1)</f>
        <v>1</v>
      </c>
    </row>
    <row r="49" spans="1:42" ht="11.25" customHeight="1" x14ac:dyDescent="0.25">
      <c r="A49" s="106"/>
      <c r="B49" s="106"/>
      <c r="C49" s="106"/>
      <c r="D49" s="106"/>
      <c r="E49" s="106"/>
      <c r="F49" s="106"/>
      <c r="G49" s="17" t="s">
        <v>91</v>
      </c>
      <c r="H49" s="17" t="s">
        <v>78</v>
      </c>
      <c r="I49" s="17">
        <f>'MERCADO TUSD'!$U$46</f>
        <v>0</v>
      </c>
      <c r="J49" s="15"/>
      <c r="L49" s="12">
        <f>'TR TUSD'!$L$49*'TR TUSD'!$L$70</f>
        <v>1.8274725492357917</v>
      </c>
      <c r="M49" s="12">
        <f>'TR TUSD'!$M$49*'TR TUSD'!$M$70</f>
        <v>0.81334127606133311</v>
      </c>
      <c r="N49" s="12">
        <f ca="1">'TR TUSD'!$N$49*'TR TUSD'!$N$70</f>
        <v>5.0436711182452099</v>
      </c>
      <c r="O49" s="12">
        <f>'TR TUSD'!$O$49*'TR TUSD'!$O$70</f>
        <v>3.9888958600876039E-2</v>
      </c>
      <c r="P49" s="12">
        <f>'TR TUSD'!$P$49*'TR TUSD'!$P$70</f>
        <v>0</v>
      </c>
      <c r="Q49" s="12">
        <f>'TR TUSD'!$Q$49*'TR TUSD'!$Q$70</f>
        <v>36.017018795122063</v>
      </c>
      <c r="R49" s="12">
        <f>'TR TUSD'!$R$49*'TR TUSD'!$R$70</f>
        <v>14.370155340997961</v>
      </c>
      <c r="S49" s="12">
        <f>'TR TUSD'!$S$49*'TR TUSD'!$S$70</f>
        <v>0</v>
      </c>
      <c r="T49" s="12">
        <f ca="1">SUM($L$49:$S$49)</f>
        <v>58.111548038263237</v>
      </c>
      <c r="U49" s="12">
        <f>'TR TUSD'!$U$49*'TR TUSD'!$U$70</f>
        <v>32.759953278548629</v>
      </c>
      <c r="V49" s="12">
        <f>'TR TUSD'!$V$49*'TR TUSD'!$V$70</f>
        <v>8.9530420316347001</v>
      </c>
      <c r="W49" s="12">
        <f>'TR TUSD'!$W$49*'TR TUSD'!$W$70</f>
        <v>0.7982380613551886</v>
      </c>
      <c r="X49" s="12">
        <f>'TR TUSD'!$X$49*'TR TUSD'!$X$70</f>
        <v>0</v>
      </c>
      <c r="Y49" s="12">
        <f>'TR TUSD'!$Y$49*'TR TUSD'!$Y$70</f>
        <v>34.031564475687873</v>
      </c>
      <c r="Z49" s="12">
        <f>'TR TUSD'!$Z$49</f>
        <v>0</v>
      </c>
      <c r="AA49" s="12">
        <f>'TR TUSD'!$AA$49</f>
        <v>0</v>
      </c>
      <c r="AB49" s="12">
        <f>SUM($U$49:$AA$49)</f>
        <v>76.542797847226382</v>
      </c>
      <c r="AC49" s="12">
        <f>'TR TUSD'!$AC$49*'TR TUSD'!$AC$70</f>
        <v>375.69390695241918</v>
      </c>
      <c r="AD49" s="12">
        <f>SUM($AC$49:$AC$49)</f>
        <v>375.69390695241918</v>
      </c>
      <c r="AE49" s="12">
        <v>0</v>
      </c>
      <c r="AF49" s="12">
        <v>0</v>
      </c>
      <c r="AG49" s="12">
        <f>SUM($AE$49:$AF$49)</f>
        <v>0</v>
      </c>
      <c r="AH49" s="12">
        <f>'TR TUSD'!$AH$49*'TR TUSD'!$AH$70</f>
        <v>16.664328898488023</v>
      </c>
      <c r="AI49" s="12">
        <f>'TR TUSD'!$AI$49*'TR TUSD'!$AI$70</f>
        <v>0.39289938566617705</v>
      </c>
      <c r="AJ49" s="12">
        <f ca="1">'TR TUSD'!$AJ$49*'TR TUSD'!$AJ$70</f>
        <v>2.6126048271673166</v>
      </c>
      <c r="AK49" s="12">
        <f ca="1">'TR TUSD'!$AK$49*'TR TUSD'!$AK$70</f>
        <v>0</v>
      </c>
      <c r="AL49" s="12">
        <f ca="1">SUM($AH$49:$AK$49)</f>
        <v>19.669833111321516</v>
      </c>
      <c r="AM49" s="12">
        <f ca="1">SUMIF($L$4:$AL$4,"SUBTOTAL",$L$49:$AL$49)</f>
        <v>530.01808594923034</v>
      </c>
      <c r="AP49" s="12">
        <f>IF((1 - CUSTOS!$M$30)&lt;&gt;0,1/(1 - CUSTOS!$M$30),1)</f>
        <v>1</v>
      </c>
    </row>
    <row r="50" spans="1:42" ht="11.25" customHeight="1" x14ac:dyDescent="0.25">
      <c r="A50" s="106"/>
      <c r="B50" s="106"/>
      <c r="C50" s="106"/>
      <c r="D50" s="106"/>
      <c r="E50" s="106"/>
      <c r="F50" s="106"/>
      <c r="G50" s="17" t="s">
        <v>80</v>
      </c>
      <c r="H50" s="17" t="s">
        <v>78</v>
      </c>
      <c r="I50" s="17">
        <f>'MERCADO TUSD'!$U$47</f>
        <v>0</v>
      </c>
      <c r="J50" s="15"/>
      <c r="L50" s="12">
        <f>'TR TUSD'!$L$50*'TR TUSD'!$L$70</f>
        <v>1.8274725492357917</v>
      </c>
      <c r="M50" s="12">
        <f>'TR TUSD'!$M$50*'TR TUSD'!$M$70</f>
        <v>0.81334127606133311</v>
      </c>
      <c r="N50" s="12">
        <f ca="1">'TR TUSD'!$N$50*'TR TUSD'!$N$70</f>
        <v>1.9879981257646511</v>
      </c>
      <c r="O50" s="12">
        <f>'TR TUSD'!$O$50*'TR TUSD'!$O$70</f>
        <v>3.9888958600876039E-2</v>
      </c>
      <c r="P50" s="12">
        <f>'TR TUSD'!$P$50*'TR TUSD'!$P$70</f>
        <v>0</v>
      </c>
      <c r="Q50" s="12">
        <f>'TR TUSD'!$Q$50*'TR TUSD'!$Q$70</f>
        <v>36.017018795122063</v>
      </c>
      <c r="R50" s="12">
        <f>'TR TUSD'!$R$50*'TR TUSD'!$R$70</f>
        <v>14.370155340997961</v>
      </c>
      <c r="S50" s="12">
        <f>'TR TUSD'!$S$50*'TR TUSD'!$S$70</f>
        <v>0</v>
      </c>
      <c r="T50" s="12">
        <f ca="1">SUM($L$50:$S$50)</f>
        <v>55.055875045782678</v>
      </c>
      <c r="U50" s="12">
        <f>'TR TUSD'!$U$50*'TR TUSD'!$U$70</f>
        <v>10.919984426182875</v>
      </c>
      <c r="V50" s="12">
        <f>'TR TUSD'!$V$50*'TR TUSD'!$V$70</f>
        <v>2.9843734799499058</v>
      </c>
      <c r="W50" s="12">
        <f>'TR TUSD'!$W$50*'TR TUSD'!$W$70</f>
        <v>0.26610619253367951</v>
      </c>
      <c r="X50" s="12">
        <f>'TR TUSD'!$X$50*'TR TUSD'!$X$70</f>
        <v>0</v>
      </c>
      <c r="Y50" s="12">
        <f>'TR TUSD'!$Y$50*'TR TUSD'!$Y$70</f>
        <v>11.343817863365192</v>
      </c>
      <c r="Z50" s="12">
        <f>'TR TUSD'!$Z$50</f>
        <v>0</v>
      </c>
      <c r="AA50" s="12">
        <f>'TR TUSD'!$AA$50</f>
        <v>0</v>
      </c>
      <c r="AB50" s="12">
        <f>SUM($U$50:$AA$50)</f>
        <v>25.514281962031653</v>
      </c>
      <c r="AC50" s="12">
        <f>'TR TUSD'!$AC$50*'TR TUSD'!$AC$70</f>
        <v>125.23134203555227</v>
      </c>
      <c r="AD50" s="12">
        <f>SUM($AC$50:$AC$50)</f>
        <v>125.23134203555227</v>
      </c>
      <c r="AE50" s="12">
        <v>0</v>
      </c>
      <c r="AF50" s="12">
        <v>0</v>
      </c>
      <c r="AG50" s="12">
        <f>SUM($AE$50:$AF$50)</f>
        <v>0</v>
      </c>
      <c r="AH50" s="12">
        <f>'TR TUSD'!$AH$50*'TR TUSD'!$AH$70</f>
        <v>16.664328898488023</v>
      </c>
      <c r="AI50" s="12">
        <f>'TR TUSD'!$AI$50*'TR TUSD'!$AI$70</f>
        <v>0.39289938566617705</v>
      </c>
      <c r="AJ50" s="12">
        <f ca="1">'TR TUSD'!$AJ$50*'TR TUSD'!$AJ$70</f>
        <v>2.6126048271673166</v>
      </c>
      <c r="AK50" s="12">
        <f ca="1">'TR TUSD'!$AK$50*'TR TUSD'!$AK$70</f>
        <v>0</v>
      </c>
      <c r="AL50" s="12">
        <f ca="1">SUM($AH$50:$AK$50)</f>
        <v>19.669833111321516</v>
      </c>
      <c r="AM50" s="12">
        <f ca="1">SUMIF($L$4:$AL$4,"SUBTOTAL",$L$50:$AL$50)</f>
        <v>225.47133215468813</v>
      </c>
      <c r="AP50" s="12">
        <f>IF((1 - CUSTOS!$M$30)&lt;&gt;0,1/(1 - CUSTOS!$M$30),1)</f>
        <v>1</v>
      </c>
    </row>
    <row r="51" spans="1:42" ht="11.25" customHeight="1" x14ac:dyDescent="0.25">
      <c r="A51" s="106"/>
      <c r="B51" s="18" t="s">
        <v>23</v>
      </c>
      <c r="C51" s="18" t="s">
        <v>44</v>
      </c>
      <c r="D51" s="18" t="s">
        <v>95</v>
      </c>
      <c r="E51" s="18" t="s">
        <v>25</v>
      </c>
      <c r="F51" s="18" t="s">
        <v>25</v>
      </c>
      <c r="G51" s="17" t="s">
        <v>84</v>
      </c>
      <c r="H51" s="17" t="s">
        <v>78</v>
      </c>
      <c r="I51" s="17">
        <f>'MERCADO TUSD'!$U$48</f>
        <v>0</v>
      </c>
      <c r="J51" s="15"/>
      <c r="L51" s="12">
        <f>'TR TUSD'!$L$51*'TR TUSD'!$L$70</f>
        <v>1.8274725492357917</v>
      </c>
      <c r="M51" s="12">
        <f>'TR TUSD'!$M$51*'TR TUSD'!$M$70</f>
        <v>0.81334127606133311</v>
      </c>
      <c r="N51" s="12">
        <f ca="1">'TR TUSD'!$N$51*'TR TUSD'!$N$70</f>
        <v>2.8474043981197319</v>
      </c>
      <c r="O51" s="12">
        <f>'TR TUSD'!$O$51*'TR TUSD'!$O$70</f>
        <v>3.9888958600876039E-2</v>
      </c>
      <c r="P51" s="12">
        <f>'TR TUSD'!$P$51*'TR TUSD'!$P$70</f>
        <v>0</v>
      </c>
      <c r="Q51" s="12">
        <f>'TR TUSD'!$Q$51*'TR TUSD'!$Q$70</f>
        <v>36.017018795122063</v>
      </c>
      <c r="R51" s="12">
        <f>'TR TUSD'!$R$51*'TR TUSD'!$R$70</f>
        <v>14.370155340997961</v>
      </c>
      <c r="S51" s="12">
        <f>'TR TUSD'!$S$51*'TR TUSD'!$S$70</f>
        <v>0</v>
      </c>
      <c r="T51" s="12">
        <f ca="1">SUM($L$51:$S$51)</f>
        <v>55.915281318137758</v>
      </c>
      <c r="U51" s="12">
        <f>'TR TUSD'!$U$51*'TR TUSD'!$U$70</f>
        <v>17.06241353582184</v>
      </c>
      <c r="V51" s="12">
        <f>'TR TUSD'!$V$51*'TR TUSD'!$V$70</f>
        <v>4.6630149552335878</v>
      </c>
      <c r="W51" s="12">
        <f>'TR TUSD'!$W$51*'TR TUSD'!$W$70</f>
        <v>0.41578589356850859</v>
      </c>
      <c r="X51" s="12">
        <f>'TR TUSD'!$X$51*'TR TUSD'!$X$70</f>
        <v>0</v>
      </c>
      <c r="Y51" s="12">
        <f>'TR TUSD'!$Y$51*'TR TUSD'!$Y$70</f>
        <v>17.724729272207149</v>
      </c>
      <c r="Z51" s="12">
        <f>'TR TUSD'!$Z$51</f>
        <v>0</v>
      </c>
      <c r="AA51" s="12">
        <f>'TR TUSD'!$AA$51</f>
        <v>0</v>
      </c>
      <c r="AB51" s="12">
        <f>SUM($U$51:$AA$51)</f>
        <v>39.865943656831085</v>
      </c>
      <c r="AC51" s="12">
        <f>'TR TUSD'!$AC$51*'TR TUSD'!$AC$70</f>
        <v>195.6738974591519</v>
      </c>
      <c r="AD51" s="12">
        <f>SUM($AC$51:$AC$51)</f>
        <v>195.6738974591519</v>
      </c>
      <c r="AE51" s="12">
        <v>0</v>
      </c>
      <c r="AF51" s="12">
        <v>0</v>
      </c>
      <c r="AG51" s="12">
        <f>SUM($AE$51:$AF$51)</f>
        <v>0</v>
      </c>
      <c r="AH51" s="12">
        <f>'TR TUSD'!$AH$51*'TR TUSD'!$AH$70</f>
        <v>16.664328898488023</v>
      </c>
      <c r="AI51" s="12">
        <f>'TR TUSD'!$AI$51*'TR TUSD'!$AI$70</f>
        <v>0.39289938566617705</v>
      </c>
      <c r="AJ51" s="12">
        <f ca="1">'TR TUSD'!$AJ$51*'TR TUSD'!$AJ$70</f>
        <v>2.6126048271673166</v>
      </c>
      <c r="AK51" s="12">
        <f ca="1">'TR TUSD'!$AK$51*'TR TUSD'!$AK$70</f>
        <v>0</v>
      </c>
      <c r="AL51" s="12">
        <f ca="1">SUM($AH$51:$AK$51)</f>
        <v>19.669833111321516</v>
      </c>
      <c r="AM51" s="12">
        <f ca="1">SUMIF($L$4:$AL$4,"SUBTOTAL",$L$51:$AL$51)</f>
        <v>311.12495554544228</v>
      </c>
      <c r="AP51" s="12">
        <f>IF((1 - CUSTOS!$M$30)&lt;&gt;0,1/(1 - CUSTOS!$M$30),1)</f>
        <v>1</v>
      </c>
    </row>
    <row r="52" spans="1:42" ht="11.25" customHeight="1" x14ac:dyDescent="0.25">
      <c r="A52" s="106"/>
      <c r="B52" s="106" t="s">
        <v>93</v>
      </c>
      <c r="C52" s="106" t="s">
        <v>44</v>
      </c>
      <c r="D52" s="18" t="s">
        <v>25</v>
      </c>
      <c r="E52" s="18" t="s">
        <v>25</v>
      </c>
      <c r="F52" s="18" t="s">
        <v>25</v>
      </c>
      <c r="G52" s="17" t="s">
        <v>84</v>
      </c>
      <c r="H52" s="17" t="s">
        <v>78</v>
      </c>
      <c r="I52" s="17">
        <f>'MERCADO TUSD'!$U$49</f>
        <v>0</v>
      </c>
      <c r="J52" s="15"/>
      <c r="L52" s="12">
        <f>'TR TUSD'!$L$52*'TR TUSD'!$L$70</f>
        <v>1.8274725492357917</v>
      </c>
      <c r="M52" s="12">
        <f>'TR TUSD'!$M$52*'TR TUSD'!$M$70</f>
        <v>0.81334127606133311</v>
      </c>
      <c r="N52" s="12">
        <f ca="1">'TR TUSD'!$N$52*'TR TUSD'!$N$70</f>
        <v>2.8474043981197319</v>
      </c>
      <c r="O52" s="12">
        <f>'TR TUSD'!$O$52*'TR TUSD'!$O$70</f>
        <v>3.9888958600876039E-2</v>
      </c>
      <c r="P52" s="12">
        <f>'TR TUSD'!$P$52*'TR TUSD'!$P$70</f>
        <v>0</v>
      </c>
      <c r="Q52" s="12">
        <f>'TR TUSD'!$Q$52*'TR TUSD'!$Q$70</f>
        <v>36.017018795122063</v>
      </c>
      <c r="R52" s="12">
        <f>'TR TUSD'!$R$52*'TR TUSD'!$R$70</f>
        <v>14.370155340997961</v>
      </c>
      <c r="S52" s="12">
        <f>'TR TUSD'!$S$52*'TR TUSD'!$S$70</f>
        <v>0</v>
      </c>
      <c r="T52" s="12">
        <f ca="1">SUM($L$52:$S$52)</f>
        <v>55.915281318137758</v>
      </c>
      <c r="U52" s="12">
        <f>'TR TUSD'!$U$52*'TR TUSD'!$U$70</f>
        <v>17.06241353582184</v>
      </c>
      <c r="V52" s="12">
        <f>'TR TUSD'!$V$52*'TR TUSD'!$V$70</f>
        <v>4.6630149552335878</v>
      </c>
      <c r="W52" s="12">
        <f>'TR TUSD'!$W$52*'TR TUSD'!$W$70</f>
        <v>0.41578589356850859</v>
      </c>
      <c r="X52" s="12">
        <f>'TR TUSD'!$X$52*'TR TUSD'!$X$70</f>
        <v>0</v>
      </c>
      <c r="Y52" s="12">
        <f>'TR TUSD'!$Y$52*'TR TUSD'!$Y$70</f>
        <v>17.724729272207149</v>
      </c>
      <c r="Z52" s="12">
        <f>'TR TUSD'!$Z$52</f>
        <v>0</v>
      </c>
      <c r="AA52" s="12">
        <f>'TR TUSD'!$AA$52</f>
        <v>0</v>
      </c>
      <c r="AB52" s="12">
        <f>SUM($U$52:$AA$52)</f>
        <v>39.865943656831085</v>
      </c>
      <c r="AC52" s="12">
        <f>'TR TUSD'!$AC$52*'TR TUSD'!$AC$70</f>
        <v>195.6738974591519</v>
      </c>
      <c r="AD52" s="12">
        <f>SUM($AC$52:$AC$52)</f>
        <v>195.6738974591519</v>
      </c>
      <c r="AE52" s="12">
        <v>0</v>
      </c>
      <c r="AF52" s="12">
        <v>0</v>
      </c>
      <c r="AG52" s="12">
        <f>SUM($AE$52:$AF$52)</f>
        <v>0</v>
      </c>
      <c r="AH52" s="12">
        <f>'TR TUSD'!$AH$52*'TR TUSD'!$AH$70</f>
        <v>16.664328898488023</v>
      </c>
      <c r="AI52" s="12">
        <f>'TR TUSD'!$AI$52*'TR TUSD'!$AI$70</f>
        <v>0.39289938566617705</v>
      </c>
      <c r="AJ52" s="12">
        <f ca="1">'TR TUSD'!$AJ$52*'TR TUSD'!$AJ$70</f>
        <v>2.6126048271673166</v>
      </c>
      <c r="AK52" s="12">
        <f ca="1">'TR TUSD'!$AK$52*'TR TUSD'!$AK$70</f>
        <v>0</v>
      </c>
      <c r="AL52" s="12">
        <f ca="1">SUM($AH$52:$AK$52)</f>
        <v>19.669833111321516</v>
      </c>
      <c r="AM52" s="12">
        <f ca="1">SUMIF($L$4:$AL$4,"SUBTOTAL",$L$52:$AL$52)</f>
        <v>311.12495554544228</v>
      </c>
      <c r="AP52" s="12">
        <f>IF((1 - CUSTOS!$M$28)&lt;&gt;0,1/(1 - CUSTOS!$M$28),1)</f>
        <v>1</v>
      </c>
    </row>
    <row r="53" spans="1:42" ht="11.25" customHeight="1" x14ac:dyDescent="0.25">
      <c r="A53" s="106"/>
      <c r="B53" s="106"/>
      <c r="C53" s="106"/>
      <c r="D53" s="18" t="s">
        <v>94</v>
      </c>
      <c r="E53" s="18" t="s">
        <v>25</v>
      </c>
      <c r="F53" s="18" t="s">
        <v>25</v>
      </c>
      <c r="G53" s="17" t="s">
        <v>84</v>
      </c>
      <c r="H53" s="17" t="s">
        <v>78</v>
      </c>
      <c r="I53" s="17">
        <f>'MERCADO TUSD'!$U$50</f>
        <v>0</v>
      </c>
      <c r="J53" s="15"/>
      <c r="L53" s="12">
        <f>'TR TUSD'!$L$53*'TR TUSD'!$L$70</f>
        <v>1.8274725492357917</v>
      </c>
      <c r="M53" s="12">
        <f>'TR TUSD'!$M$53*'TR TUSD'!$M$70</f>
        <v>0.81334127606133311</v>
      </c>
      <c r="N53" s="12">
        <f ca="1">'TR TUSD'!$N$53*'TR TUSD'!$N$70</f>
        <v>2.8474043981197319</v>
      </c>
      <c r="O53" s="12">
        <f>'TR TUSD'!$O$53*'TR TUSD'!$O$70</f>
        <v>3.9888958600876039E-2</v>
      </c>
      <c r="P53" s="12">
        <f>'TR TUSD'!$P$53*'TR TUSD'!$P$70</f>
        <v>0</v>
      </c>
      <c r="Q53" s="12">
        <f>'TR TUSD'!$Q$53*'TR TUSD'!$Q$70</f>
        <v>36.017018795122063</v>
      </c>
      <c r="R53" s="12">
        <f>'TR TUSD'!$R$53*'TR TUSD'!$R$70</f>
        <v>14.370155340997961</v>
      </c>
      <c r="S53" s="12">
        <f>'TR TUSD'!$S$53*'TR TUSD'!$S$70</f>
        <v>0</v>
      </c>
      <c r="T53" s="12">
        <f ca="1">SUM($L$53:$S$53)</f>
        <v>55.915281318137758</v>
      </c>
      <c r="U53" s="12">
        <f>'TR TUSD'!$U$53*'TR TUSD'!$U$70</f>
        <v>17.06241353582184</v>
      </c>
      <c r="V53" s="12">
        <f>'TR TUSD'!$V$53*'TR TUSD'!$V$70</f>
        <v>4.6630149552335878</v>
      </c>
      <c r="W53" s="12">
        <f>'TR TUSD'!$W$53*'TR TUSD'!$W$70</f>
        <v>0.41578589356850859</v>
      </c>
      <c r="X53" s="12">
        <f>'TR TUSD'!$X$53*'TR TUSD'!$X$70</f>
        <v>0</v>
      </c>
      <c r="Y53" s="12">
        <f>'TR TUSD'!$Y$53*'TR TUSD'!$Y$70</f>
        <v>17.724729272207149</v>
      </c>
      <c r="Z53" s="12">
        <f>'TR TUSD'!$Z$53</f>
        <v>0</v>
      </c>
      <c r="AA53" s="12">
        <f>'TR TUSD'!$AA$53</f>
        <v>0</v>
      </c>
      <c r="AB53" s="12">
        <f>SUM($U$53:$AA$53)</f>
        <v>39.865943656831085</v>
      </c>
      <c r="AC53" s="12">
        <f>'TR TUSD'!$AC$53*'TR TUSD'!$AC$70</f>
        <v>195.6738974591519</v>
      </c>
      <c r="AD53" s="12">
        <f>SUM($AC$53:$AC$53)</f>
        <v>195.6738974591519</v>
      </c>
      <c r="AE53" s="12">
        <v>0</v>
      </c>
      <c r="AF53" s="12">
        <v>0</v>
      </c>
      <c r="AG53" s="12">
        <f>SUM($AE$53:$AF$53)</f>
        <v>0</v>
      </c>
      <c r="AH53" s="12">
        <f>'TR TUSD'!$AH$53*'TR TUSD'!$AH$70</f>
        <v>16.664328898488023</v>
      </c>
      <c r="AI53" s="12">
        <f>'TR TUSD'!$AI$53*'TR TUSD'!$AI$70</f>
        <v>0.39289938566617705</v>
      </c>
      <c r="AJ53" s="12">
        <f ca="1">'TR TUSD'!$AJ$53*'TR TUSD'!$AJ$70</f>
        <v>2.6126048271673166</v>
      </c>
      <c r="AK53" s="12">
        <f ca="1">'TR TUSD'!$AK$53*'TR TUSD'!$AK$70</f>
        <v>0</v>
      </c>
      <c r="AL53" s="12">
        <f ca="1">SUM($AH$53:$AK$53)</f>
        <v>19.669833111321516</v>
      </c>
      <c r="AM53" s="12">
        <f ca="1">SUMIF($L$4:$AL$4,"SUBTOTAL",$L$53:$AL$53)</f>
        <v>311.12495554544228</v>
      </c>
      <c r="AP53" s="12">
        <f>IF((1 - CUSTOS!$M$29)&lt;&gt;0,1/(1 - CUSTOS!$M$29),1)</f>
        <v>1</v>
      </c>
    </row>
    <row r="54" spans="1:42" ht="11.25" customHeight="1" x14ac:dyDescent="0.25">
      <c r="A54" s="106"/>
      <c r="B54" s="106"/>
      <c r="C54" s="106"/>
      <c r="D54" s="18" t="s">
        <v>95</v>
      </c>
      <c r="E54" s="18" t="s">
        <v>25</v>
      </c>
      <c r="F54" s="18" t="s">
        <v>25</v>
      </c>
      <c r="G54" s="17" t="s">
        <v>84</v>
      </c>
      <c r="H54" s="17" t="s">
        <v>78</v>
      </c>
      <c r="I54" s="17">
        <f>'MERCADO TUSD'!$U$51</f>
        <v>0</v>
      </c>
      <c r="J54" s="15"/>
      <c r="L54" s="12">
        <f>'TR TUSD'!$L$54*'TR TUSD'!$L$70</f>
        <v>1.8274725492357917</v>
      </c>
      <c r="M54" s="12">
        <f>'TR TUSD'!$M$54*'TR TUSD'!$M$70</f>
        <v>0.81334127606133311</v>
      </c>
      <c r="N54" s="12">
        <f ca="1">'TR TUSD'!$N$54*'TR TUSD'!$N$70</f>
        <v>2.8474043981197319</v>
      </c>
      <c r="O54" s="12">
        <f>'TR TUSD'!$O$54*'TR TUSD'!$O$70</f>
        <v>3.9888958600876039E-2</v>
      </c>
      <c r="P54" s="12">
        <f>'TR TUSD'!$P$54*'TR TUSD'!$P$70</f>
        <v>0</v>
      </c>
      <c r="Q54" s="12">
        <f>'TR TUSD'!$Q$54*'TR TUSD'!$Q$70</f>
        <v>36.017018795122063</v>
      </c>
      <c r="R54" s="12">
        <f>'TR TUSD'!$R$54*'TR TUSD'!$R$70</f>
        <v>14.370155340997961</v>
      </c>
      <c r="S54" s="12">
        <f>'TR TUSD'!$S$54*'TR TUSD'!$S$70</f>
        <v>0</v>
      </c>
      <c r="T54" s="12">
        <f ca="1">SUM($L$54:$S$54)</f>
        <v>55.915281318137758</v>
      </c>
      <c r="U54" s="12">
        <f>'TR TUSD'!$U$54*'TR TUSD'!$U$70</f>
        <v>17.06241353582184</v>
      </c>
      <c r="V54" s="12">
        <f>'TR TUSD'!$V$54*'TR TUSD'!$V$70</f>
        <v>4.6630149552335878</v>
      </c>
      <c r="W54" s="12">
        <f>'TR TUSD'!$W$54*'TR TUSD'!$W$70</f>
        <v>0.41578589356850859</v>
      </c>
      <c r="X54" s="12">
        <f>'TR TUSD'!$X$54*'TR TUSD'!$X$70</f>
        <v>0</v>
      </c>
      <c r="Y54" s="12">
        <f>'TR TUSD'!$Y$54*'TR TUSD'!$Y$70</f>
        <v>17.724729272207149</v>
      </c>
      <c r="Z54" s="12">
        <f>'TR TUSD'!$Z$54</f>
        <v>0</v>
      </c>
      <c r="AA54" s="12">
        <f>'TR TUSD'!$AA$54</f>
        <v>0</v>
      </c>
      <c r="AB54" s="12">
        <f>SUM($U$54:$AA$54)</f>
        <v>39.865943656831085</v>
      </c>
      <c r="AC54" s="12">
        <f>'TR TUSD'!$AC$54*'TR TUSD'!$AC$70</f>
        <v>195.6738974591519</v>
      </c>
      <c r="AD54" s="12">
        <f>SUM($AC$54:$AC$54)</f>
        <v>195.6738974591519</v>
      </c>
      <c r="AE54" s="12">
        <v>0</v>
      </c>
      <c r="AF54" s="12">
        <v>0</v>
      </c>
      <c r="AG54" s="12">
        <f>SUM($AE$54:$AF$54)</f>
        <v>0</v>
      </c>
      <c r="AH54" s="12">
        <f>'TR TUSD'!$AH$54*'TR TUSD'!$AH$70</f>
        <v>16.664328898488023</v>
      </c>
      <c r="AI54" s="12">
        <f>'TR TUSD'!$AI$54*'TR TUSD'!$AI$70</f>
        <v>0.39289938566617705</v>
      </c>
      <c r="AJ54" s="12">
        <f ca="1">'TR TUSD'!$AJ$54*'TR TUSD'!$AJ$70</f>
        <v>2.6126048271673166</v>
      </c>
      <c r="AK54" s="12">
        <f ca="1">'TR TUSD'!$AK$54*'TR TUSD'!$AK$70</f>
        <v>0</v>
      </c>
      <c r="AL54" s="12">
        <f ca="1">SUM($AH$54:$AK$54)</f>
        <v>19.669833111321516</v>
      </c>
      <c r="AM54" s="12">
        <f ca="1">SUMIF($L$4:$AL$4,"SUBTOTAL",$L$54:$AL$54)</f>
        <v>311.12495554544228</v>
      </c>
      <c r="AP54" s="12">
        <f>IF((1 - CUSTOS!$M$30)&lt;&gt;0,1/(1 - CUSTOS!$M$30),1)</f>
        <v>1</v>
      </c>
    </row>
    <row r="55" spans="1:42" ht="11.25" customHeight="1" x14ac:dyDescent="0.25">
      <c r="A55" s="106" t="s">
        <v>37</v>
      </c>
      <c r="B55" s="106" t="s">
        <v>33</v>
      </c>
      <c r="C55" s="106" t="s">
        <v>25</v>
      </c>
      <c r="D55" s="106" t="s">
        <v>25</v>
      </c>
      <c r="E55" s="106" t="s">
        <v>25</v>
      </c>
      <c r="F55" s="106" t="s">
        <v>25</v>
      </c>
      <c r="G55" s="17" t="s">
        <v>79</v>
      </c>
      <c r="H55" s="17" t="s">
        <v>78</v>
      </c>
      <c r="I55" s="17">
        <f>'MERCADO TUSD'!$U$52</f>
        <v>8.0860000000000003</v>
      </c>
      <c r="J55" s="15"/>
      <c r="L55" s="12">
        <f>'TR TUSD'!$L$55*'TR TUSD'!$L$70</f>
        <v>1.8274725492357917</v>
      </c>
      <c r="M55" s="12">
        <f>'TR TUSD'!$M$55*'TR TUSD'!$M$70</f>
        <v>0.81334127606133311</v>
      </c>
      <c r="N55" s="12">
        <f ca="1">'TR TUSD'!$N$55*'TR TUSD'!$N$70</f>
        <v>8.2187079473762754</v>
      </c>
      <c r="O55" s="12">
        <f>'TR TUSD'!$O$55*'TR TUSD'!$O$70</f>
        <v>3.9888958600876039E-2</v>
      </c>
      <c r="P55" s="12">
        <f>'TR TUSD'!$P$55*'TR TUSD'!$P$70</f>
        <v>0</v>
      </c>
      <c r="Q55" s="12">
        <f>'TR TUSD'!$Q$55*'TR TUSD'!$Q$70</f>
        <v>36.017018795122063</v>
      </c>
      <c r="R55" s="12">
        <f>'TR TUSD'!$R$55*'TR TUSD'!$R$70</f>
        <v>14.370155340997961</v>
      </c>
      <c r="S55" s="12">
        <f>'TR TUSD'!$S$55*'TR TUSD'!$S$70</f>
        <v>0</v>
      </c>
      <c r="T55" s="12">
        <f ca="1">SUM($L$55:$S$55)</f>
        <v>61.286584867394303</v>
      </c>
      <c r="U55" s="12">
        <f>'TR TUSD'!$U$55*'TR TUSD'!$U$70</f>
        <v>55.453042807705472</v>
      </c>
      <c r="V55" s="12">
        <f>'TR TUSD'!$V$55*'TR TUSD'!$V$70</f>
        <v>15.154896614777931</v>
      </c>
      <c r="W55" s="12">
        <f>'TR TUSD'!$W$55*'TR TUSD'!$W$70</f>
        <v>1.351223637851803</v>
      </c>
      <c r="X55" s="12">
        <f>'TR TUSD'!$X$55*'TR TUSD'!$X$70</f>
        <v>0</v>
      </c>
      <c r="Y55" s="12">
        <f>'TR TUSD'!$Y$55*'TR TUSD'!$Y$70</f>
        <v>57.605508741663613</v>
      </c>
      <c r="Z55" s="12">
        <f>'TR TUSD'!$Z$55</f>
        <v>0</v>
      </c>
      <c r="AA55" s="12">
        <f>'TR TUSD'!$AA$55</f>
        <v>0</v>
      </c>
      <c r="AB55" s="12">
        <f>SUM($U$55:$AA$55)</f>
        <v>129.56467180199883</v>
      </c>
      <c r="AC55" s="12">
        <f>'TR TUSD'!$AC$55*'TR TUSD'!$AC$70</f>
        <v>635.94022631936264</v>
      </c>
      <c r="AD55" s="12">
        <f>SUM($AC$55:$AC$55)</f>
        <v>635.94022631936264</v>
      </c>
      <c r="AE55" s="12">
        <v>0</v>
      </c>
      <c r="AF55" s="12">
        <v>0</v>
      </c>
      <c r="AG55" s="12">
        <f>SUM($AE$55:$AF$55)</f>
        <v>0</v>
      </c>
      <c r="AH55" s="12">
        <f>'TR TUSD'!$AH$55*'TR TUSD'!$AH$70</f>
        <v>16.664328898488023</v>
      </c>
      <c r="AI55" s="12">
        <f>'TR TUSD'!$AI$55*'TR TUSD'!$AI$70</f>
        <v>0.39289938566617705</v>
      </c>
      <c r="AJ55" s="12">
        <f ca="1">'TR TUSD'!$AJ$55*'TR TUSD'!$AJ$70</f>
        <v>2.6126048271673166</v>
      </c>
      <c r="AK55" s="12">
        <f ca="1">'TR TUSD'!$AK$55*'TR TUSD'!$AK$70</f>
        <v>0</v>
      </c>
      <c r="AL55" s="12">
        <f ca="1">SUM($AH$55:$AK$55)</f>
        <v>19.669833111321516</v>
      </c>
      <c r="AM55" s="12">
        <f ca="1">SUMIF($L$4:$AL$4,"SUBTOTAL",$L$55:$AL$55)</f>
        <v>846.46131610007728</v>
      </c>
      <c r="AP55" s="12">
        <f>IF((1 - CUSTOS!$M$31)&lt;&gt;0,1/(1 - CUSTOS!$M$31),1)</f>
        <v>1</v>
      </c>
    </row>
    <row r="56" spans="1:42" ht="11.25" customHeight="1" x14ac:dyDescent="0.25">
      <c r="A56" s="106"/>
      <c r="B56" s="106"/>
      <c r="C56" s="106"/>
      <c r="D56" s="106"/>
      <c r="E56" s="106"/>
      <c r="F56" s="106"/>
      <c r="G56" s="17" t="s">
        <v>91</v>
      </c>
      <c r="H56" s="17" t="s">
        <v>78</v>
      </c>
      <c r="I56" s="17">
        <f>'MERCADO TUSD'!$U$53</f>
        <v>8.0350000000000001</v>
      </c>
      <c r="J56" s="15"/>
      <c r="L56" s="12">
        <f>'TR TUSD'!$L$56*'TR TUSD'!$L$70</f>
        <v>1.8274725492357917</v>
      </c>
      <c r="M56" s="12">
        <f>'TR TUSD'!$M$56*'TR TUSD'!$M$70</f>
        <v>0.81334127606133311</v>
      </c>
      <c r="N56" s="12">
        <f ca="1">'TR TUSD'!$N$56*'TR TUSD'!$N$70</f>
        <v>5.1152891859981704</v>
      </c>
      <c r="O56" s="12">
        <f>'TR TUSD'!$O$56*'TR TUSD'!$O$70</f>
        <v>3.9888958600876039E-2</v>
      </c>
      <c r="P56" s="12">
        <f>'TR TUSD'!$P$56*'TR TUSD'!$P$70</f>
        <v>0</v>
      </c>
      <c r="Q56" s="12">
        <f>'TR TUSD'!$Q$56*'TR TUSD'!$Q$70</f>
        <v>36.017018795122063</v>
      </c>
      <c r="R56" s="12">
        <f>'TR TUSD'!$R$56*'TR TUSD'!$R$70</f>
        <v>14.370155340997961</v>
      </c>
      <c r="S56" s="12">
        <f>'TR TUSD'!$S$56*'TR TUSD'!$S$70</f>
        <v>0</v>
      </c>
      <c r="T56" s="12">
        <f ca="1">SUM($L$56:$S$56)</f>
        <v>58.183166106016195</v>
      </c>
      <c r="U56" s="12">
        <f>'TR TUSD'!$U$56*'TR TUSD'!$U$70</f>
        <v>33.271805802994834</v>
      </c>
      <c r="V56" s="12">
        <f>'TR TUSD'!$V$56*'TR TUSD'!$V$70</f>
        <v>9.0929222872237556</v>
      </c>
      <c r="W56" s="12">
        <f>'TR TUSD'!$W$56*'TR TUSD'!$W$70</f>
        <v>0.81071807946191188</v>
      </c>
      <c r="X56" s="12">
        <f>'TR TUSD'!$X$56*'TR TUSD'!$X$70</f>
        <v>0</v>
      </c>
      <c r="Y56" s="12">
        <f>'TR TUSD'!$Y$56*'TR TUSD'!$Y$70</f>
        <v>34.563371776353549</v>
      </c>
      <c r="Z56" s="12">
        <f>'TR TUSD'!$Z$56</f>
        <v>0</v>
      </c>
      <c r="AA56" s="12">
        <f>'TR TUSD'!$AA$56</f>
        <v>0</v>
      </c>
      <c r="AB56" s="12">
        <f>SUM($U$56:$AA$56)</f>
        <v>77.738817946034061</v>
      </c>
      <c r="AC56" s="12">
        <f>'TR TUSD'!$AC$56*'TR TUSD'!$AC$70</f>
        <v>381.56415962246507</v>
      </c>
      <c r="AD56" s="12">
        <f>SUM($AC$56:$AC$56)</f>
        <v>381.56415962246507</v>
      </c>
      <c r="AE56" s="12">
        <v>0</v>
      </c>
      <c r="AF56" s="12">
        <v>0</v>
      </c>
      <c r="AG56" s="12">
        <f>SUM($AE$56:$AF$56)</f>
        <v>0</v>
      </c>
      <c r="AH56" s="12">
        <f>'TR TUSD'!$AH$56*'TR TUSD'!$AH$70</f>
        <v>16.664328898488023</v>
      </c>
      <c r="AI56" s="12">
        <f>'TR TUSD'!$AI$56*'TR TUSD'!$AI$70</f>
        <v>0.39289938566617705</v>
      </c>
      <c r="AJ56" s="12">
        <f ca="1">'TR TUSD'!$AJ$56*'TR TUSD'!$AJ$70</f>
        <v>2.6126048271673166</v>
      </c>
      <c r="AK56" s="12">
        <f ca="1">'TR TUSD'!$AK$56*'TR TUSD'!$AK$70</f>
        <v>0</v>
      </c>
      <c r="AL56" s="12">
        <f ca="1">SUM($AH$56:$AK$56)</f>
        <v>19.669833111321516</v>
      </c>
      <c r="AM56" s="12">
        <f ca="1">SUMIF($L$4:$AL$4,"SUBTOTAL",$L$56:$AL$56)</f>
        <v>537.15597678583686</v>
      </c>
      <c r="AP56" s="12">
        <f>IF((1 - CUSTOS!$M$31)&lt;&gt;0,1/(1 - CUSTOS!$M$31),1)</f>
        <v>1</v>
      </c>
    </row>
    <row r="57" spans="1:42" ht="11.25" customHeight="1" x14ac:dyDescent="0.25">
      <c r="A57" s="106"/>
      <c r="B57" s="106"/>
      <c r="C57" s="106"/>
      <c r="D57" s="106"/>
      <c r="E57" s="106"/>
      <c r="F57" s="106"/>
      <c r="G57" s="17" t="s">
        <v>80</v>
      </c>
      <c r="H57" s="17" t="s">
        <v>78</v>
      </c>
      <c r="I57" s="17">
        <f>'MERCADO TUSD'!$U$54</f>
        <v>133.73599999999999</v>
      </c>
      <c r="J57" s="15"/>
      <c r="L57" s="12">
        <f>'TR TUSD'!$L$57*'TR TUSD'!$L$70</f>
        <v>1.8274725492357917</v>
      </c>
      <c r="M57" s="12">
        <f>'TR TUSD'!$M$57*'TR TUSD'!$M$70</f>
        <v>0.81334127606133311</v>
      </c>
      <c r="N57" s="12">
        <f ca="1">'TR TUSD'!$N$57*'TR TUSD'!$N$70</f>
        <v>2.0118692534333489</v>
      </c>
      <c r="O57" s="12">
        <f>'TR TUSD'!$O$57*'TR TUSD'!$O$70</f>
        <v>3.9888958600876039E-2</v>
      </c>
      <c r="P57" s="12">
        <f>'TR TUSD'!$P$57*'TR TUSD'!$P$70</f>
        <v>0</v>
      </c>
      <c r="Q57" s="12">
        <f>'TR TUSD'!$Q$57*'TR TUSD'!$Q$70</f>
        <v>36.017018795122063</v>
      </c>
      <c r="R57" s="12">
        <f>'TR TUSD'!$R$57*'TR TUSD'!$R$70</f>
        <v>14.370155340997961</v>
      </c>
      <c r="S57" s="12">
        <f>'TR TUSD'!$S$57*'TR TUSD'!$S$70</f>
        <v>0</v>
      </c>
      <c r="T57" s="12">
        <f ca="1">SUM($L$57:$S$57)</f>
        <v>55.079746173451376</v>
      </c>
      <c r="U57" s="12">
        <f>'TR TUSD'!$U$57*'TR TUSD'!$U$70</f>
        <v>11.090568798284194</v>
      </c>
      <c r="V57" s="12">
        <f>'TR TUSD'!$V$57*'TR TUSD'!$V$70</f>
        <v>3.0309479596695801</v>
      </c>
      <c r="W57" s="12">
        <f>'TR TUSD'!$W$57*'TR TUSD'!$W$70</f>
        <v>0.27021252107202071</v>
      </c>
      <c r="X57" s="12">
        <f>'TR TUSD'!$X$57*'TR TUSD'!$X$70</f>
        <v>0</v>
      </c>
      <c r="Y57" s="12">
        <f>'TR TUSD'!$Y$57*'TR TUSD'!$Y$70</f>
        <v>11.521123925451182</v>
      </c>
      <c r="Z57" s="12">
        <f>'TR TUSD'!$Z$57</f>
        <v>0</v>
      </c>
      <c r="AA57" s="12">
        <f>'TR TUSD'!$AA$57</f>
        <v>0</v>
      </c>
      <c r="AB57" s="12">
        <f>SUM($U$57:$AA$57)</f>
        <v>25.912853204476974</v>
      </c>
      <c r="AC57" s="12">
        <f>'TR TUSD'!$AC$57*'TR TUSD'!$AC$70</f>
        <v>127.18809292556756</v>
      </c>
      <c r="AD57" s="12">
        <f>SUM($AC$57:$AC$57)</f>
        <v>127.18809292556756</v>
      </c>
      <c r="AE57" s="12">
        <v>0</v>
      </c>
      <c r="AF57" s="12">
        <v>0</v>
      </c>
      <c r="AG57" s="12">
        <f>SUM($AE$57:$AF$57)</f>
        <v>0</v>
      </c>
      <c r="AH57" s="12">
        <f>'TR TUSD'!$AH$57*'TR TUSD'!$AH$70</f>
        <v>16.664328898488023</v>
      </c>
      <c r="AI57" s="12">
        <f>'TR TUSD'!$AI$57*'TR TUSD'!$AI$70</f>
        <v>0.39289938566617705</v>
      </c>
      <c r="AJ57" s="12">
        <f ca="1">'TR TUSD'!$AJ$57*'TR TUSD'!$AJ$70</f>
        <v>2.6126048271673166</v>
      </c>
      <c r="AK57" s="12">
        <f ca="1">'TR TUSD'!$AK$57*'TR TUSD'!$AK$70</f>
        <v>0</v>
      </c>
      <c r="AL57" s="12">
        <f ca="1">SUM($AH$57:$AK$57)</f>
        <v>19.669833111321516</v>
      </c>
      <c r="AM57" s="12">
        <f ca="1">SUMIF($L$4:$AL$4,"SUBTOTAL",$L$57:$AL$57)</f>
        <v>227.85052541481741</v>
      </c>
      <c r="AP57" s="12">
        <f>IF((1 - CUSTOS!$M$31)&lt;&gt;0,1/(1 - CUSTOS!$M$31),1)</f>
        <v>1</v>
      </c>
    </row>
    <row r="58" spans="1:42" ht="11.25" customHeight="1" x14ac:dyDescent="0.25">
      <c r="A58" s="106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84</v>
      </c>
      <c r="H58" s="17" t="s">
        <v>78</v>
      </c>
      <c r="I58" s="17">
        <f>'MERCADO TUSD'!$U$55</f>
        <v>94039.850999999995</v>
      </c>
      <c r="J58" s="15"/>
      <c r="L58" s="12">
        <f>'TR TUSD'!$L$58*'TR TUSD'!$L$70</f>
        <v>1.8274725492357917</v>
      </c>
      <c r="M58" s="12">
        <f>'TR TUSD'!$M$58*'TR TUSD'!$M$70</f>
        <v>0.81334127606133311</v>
      </c>
      <c r="N58" s="12">
        <f ca="1">'TR TUSD'!$N$58*'TR TUSD'!$N$70</f>
        <v>2.8474043981197319</v>
      </c>
      <c r="O58" s="12">
        <f>'TR TUSD'!$O$58*'TR TUSD'!$O$70</f>
        <v>3.9888958600876039E-2</v>
      </c>
      <c r="P58" s="12">
        <f>'TR TUSD'!$P$58*'TR TUSD'!$P$70</f>
        <v>0</v>
      </c>
      <c r="Q58" s="12">
        <f>'TR TUSD'!$Q$58*'TR TUSD'!$Q$70</f>
        <v>36.017018795122063</v>
      </c>
      <c r="R58" s="12">
        <f>'TR TUSD'!$R$58*'TR TUSD'!$R$70</f>
        <v>14.370155340997961</v>
      </c>
      <c r="S58" s="12">
        <f>'TR TUSD'!$S$58*'TR TUSD'!$S$70</f>
        <v>0</v>
      </c>
      <c r="T58" s="12">
        <f ca="1">SUM($L$58:$S$58)</f>
        <v>55.915281318137758</v>
      </c>
      <c r="U58" s="12">
        <f>'TR TUSD'!$U$58*'TR TUSD'!$U$70</f>
        <v>17.06241353582184</v>
      </c>
      <c r="V58" s="12">
        <f>'TR TUSD'!$V$58*'TR TUSD'!$V$70</f>
        <v>4.6630149552335878</v>
      </c>
      <c r="W58" s="12">
        <f>'TR TUSD'!$W$58*'TR TUSD'!$W$70</f>
        <v>0.41578589356850859</v>
      </c>
      <c r="X58" s="12">
        <f>'TR TUSD'!$X$58*'TR TUSD'!$X$70</f>
        <v>0</v>
      </c>
      <c r="Y58" s="12">
        <f>'TR TUSD'!$Y$58*'TR TUSD'!$Y$70</f>
        <v>17.724729272207149</v>
      </c>
      <c r="Z58" s="12">
        <f>'TR TUSD'!$Z$58</f>
        <v>0</v>
      </c>
      <c r="AA58" s="12">
        <f>'TR TUSD'!$AA$58</f>
        <v>0</v>
      </c>
      <c r="AB58" s="12">
        <f>SUM($U$58:$AA$58)</f>
        <v>39.865943656831085</v>
      </c>
      <c r="AC58" s="12">
        <f>'TR TUSD'!$AC$58*'TR TUSD'!$AC$70</f>
        <v>195.6738974591519</v>
      </c>
      <c r="AD58" s="12">
        <f>SUM($AC$58:$AC$58)</f>
        <v>195.6738974591519</v>
      </c>
      <c r="AE58" s="12">
        <v>0</v>
      </c>
      <c r="AF58" s="12">
        <v>0</v>
      </c>
      <c r="AG58" s="12">
        <f>SUM($AE$58:$AF$58)</f>
        <v>0</v>
      </c>
      <c r="AH58" s="12">
        <f>'TR TUSD'!$AH$58*'TR TUSD'!$AH$70</f>
        <v>16.664328898488023</v>
      </c>
      <c r="AI58" s="12">
        <f>'TR TUSD'!$AI$58*'TR TUSD'!$AI$70</f>
        <v>0.39289938566617705</v>
      </c>
      <c r="AJ58" s="12">
        <f ca="1">'TR TUSD'!$AJ$58*'TR TUSD'!$AJ$70</f>
        <v>2.6126048271673166</v>
      </c>
      <c r="AK58" s="12">
        <f ca="1">'TR TUSD'!$AK$58*'TR TUSD'!$AK$70</f>
        <v>0</v>
      </c>
      <c r="AL58" s="12">
        <f ca="1">SUM($AH$58:$AK$58)</f>
        <v>19.669833111321516</v>
      </c>
      <c r="AM58" s="12">
        <f ca="1">SUMIF($L$4:$AL$4,"SUBTOTAL",$L$58:$AL$58)</f>
        <v>311.12495554544228</v>
      </c>
      <c r="AP58" s="12">
        <f>IF((1 - CUSTOS!$M$31)&lt;&gt;0,1/(1 - CUSTOS!$M$31),1)</f>
        <v>1</v>
      </c>
    </row>
    <row r="59" spans="1:42" ht="11.25" customHeight="1" x14ac:dyDescent="0.25">
      <c r="A59" s="106"/>
      <c r="B59" s="18" t="s">
        <v>93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84</v>
      </c>
      <c r="H59" s="17" t="s">
        <v>78</v>
      </c>
      <c r="I59" s="17">
        <f>'MERCADO TUSD'!$U$56</f>
        <v>0</v>
      </c>
      <c r="J59" s="15"/>
      <c r="L59" s="12">
        <f>'TR TUSD'!$L$59*'TR TUSD'!$L$70</f>
        <v>1.8274725492357917</v>
      </c>
      <c r="M59" s="12">
        <f>'TR TUSD'!$M$59*'TR TUSD'!$M$70</f>
        <v>0.81334127606133311</v>
      </c>
      <c r="N59" s="12">
        <f ca="1">'TR TUSD'!$N$59*'TR TUSD'!$N$70</f>
        <v>2.8474043981197319</v>
      </c>
      <c r="O59" s="12">
        <f>'TR TUSD'!$O$59*'TR TUSD'!$O$70</f>
        <v>3.9888958600876039E-2</v>
      </c>
      <c r="P59" s="12">
        <f>'TR TUSD'!$P$59*'TR TUSD'!$P$70</f>
        <v>0</v>
      </c>
      <c r="Q59" s="12">
        <f>'TR TUSD'!$Q$59*'TR TUSD'!$Q$70</f>
        <v>36.017018795122063</v>
      </c>
      <c r="R59" s="12">
        <f>'TR TUSD'!$R$59*'TR TUSD'!$R$70</f>
        <v>14.370155340997961</v>
      </c>
      <c r="S59" s="12">
        <f>'TR TUSD'!$S$59*'TR TUSD'!$S$70</f>
        <v>0</v>
      </c>
      <c r="T59" s="12">
        <f ca="1">SUM($L$59:$S$59)</f>
        <v>55.915281318137758</v>
      </c>
      <c r="U59" s="12">
        <f>'TR TUSD'!$U$59*'TR TUSD'!$U$70</f>
        <v>17.06241353582184</v>
      </c>
      <c r="V59" s="12">
        <f>'TR TUSD'!$V$59*'TR TUSD'!$V$70</f>
        <v>4.6630149552335878</v>
      </c>
      <c r="W59" s="12">
        <f>'TR TUSD'!$W$59*'TR TUSD'!$W$70</f>
        <v>0.41578589356850859</v>
      </c>
      <c r="X59" s="12">
        <f>'TR TUSD'!$X$59*'TR TUSD'!$X$70</f>
        <v>0</v>
      </c>
      <c r="Y59" s="12">
        <f>'TR TUSD'!$Y$59*'TR TUSD'!$Y$70</f>
        <v>17.724729272207149</v>
      </c>
      <c r="Z59" s="12">
        <f>'TR TUSD'!$Z$59</f>
        <v>0</v>
      </c>
      <c r="AA59" s="12">
        <f>'TR TUSD'!$AA$59</f>
        <v>0</v>
      </c>
      <c r="AB59" s="12">
        <f>SUM($U$59:$AA$59)</f>
        <v>39.865943656831085</v>
      </c>
      <c r="AC59" s="12">
        <f>'TR TUSD'!$AC$59*'TR TUSD'!$AC$70</f>
        <v>195.6738974591519</v>
      </c>
      <c r="AD59" s="12">
        <f>SUM($AC$59:$AC$59)</f>
        <v>195.6738974591519</v>
      </c>
      <c r="AE59" s="12">
        <v>0</v>
      </c>
      <c r="AF59" s="12">
        <v>0</v>
      </c>
      <c r="AG59" s="12">
        <f>SUM($AE$59:$AF$59)</f>
        <v>0</v>
      </c>
      <c r="AH59" s="12">
        <f>'TR TUSD'!$AH$59*'TR TUSD'!$AH$70</f>
        <v>16.664328898488023</v>
      </c>
      <c r="AI59" s="12">
        <f>'TR TUSD'!$AI$59*'TR TUSD'!$AI$70</f>
        <v>0.39289938566617705</v>
      </c>
      <c r="AJ59" s="12">
        <f ca="1">'TR TUSD'!$AJ$59*'TR TUSD'!$AJ$70</f>
        <v>2.6126048271673166</v>
      </c>
      <c r="AK59" s="12">
        <f ca="1">'TR TUSD'!$AK$59*'TR TUSD'!$AK$70</f>
        <v>0</v>
      </c>
      <c r="AL59" s="12">
        <f ca="1">SUM($AH$59:$AK$59)</f>
        <v>19.669833111321516</v>
      </c>
      <c r="AM59" s="12">
        <f ca="1">SUMIF($L$4:$AL$4,"SUBTOTAL",$L$59:$AL$59)</f>
        <v>311.12495554544228</v>
      </c>
      <c r="AP59" s="12">
        <f>IF((1 - CUSTOS!$M$31)&lt;&gt;0,1/(1 - CUSTOS!$M$31),1)</f>
        <v>1</v>
      </c>
    </row>
    <row r="60" spans="1:42" ht="11.25" customHeight="1" x14ac:dyDescent="0.25">
      <c r="A60" s="106" t="s">
        <v>46</v>
      </c>
      <c r="B60" s="106" t="s">
        <v>23</v>
      </c>
      <c r="C60" s="106" t="s">
        <v>47</v>
      </c>
      <c r="D60" s="18" t="s">
        <v>48</v>
      </c>
      <c r="E60" s="18" t="s">
        <v>25</v>
      </c>
      <c r="F60" s="18" t="s">
        <v>25</v>
      </c>
      <c r="G60" s="17" t="s">
        <v>84</v>
      </c>
      <c r="H60" s="17" t="s">
        <v>78</v>
      </c>
      <c r="I60" s="17">
        <f>'MERCADO TUSD'!$U$57</f>
        <v>35555.334999999999</v>
      </c>
      <c r="J60" s="15"/>
      <c r="L60" s="12">
        <f>'TR TUSD'!$L$60*'TR TUSD'!$L$70</f>
        <v>1.0051099020796854</v>
      </c>
      <c r="M60" s="12">
        <f>'TR TUSD'!$M$60*'TR TUSD'!$M$70</f>
        <v>0.44733770183373328</v>
      </c>
      <c r="N60" s="12">
        <f ca="1">'TR TUSD'!$N$60*'TR TUSD'!$N$70</f>
        <v>1.5660724189658526</v>
      </c>
      <c r="O60" s="12">
        <f>'TR TUSD'!$O$60*'TR TUSD'!$O$70</f>
        <v>2.1938927230481822E-2</v>
      </c>
      <c r="P60" s="12">
        <f>'TR TUSD'!$P$60*'TR TUSD'!$P$70</f>
        <v>0</v>
      </c>
      <c r="Q60" s="12">
        <f>'TR TUSD'!$Q$60*'TR TUSD'!$Q$70</f>
        <v>19.809360337317138</v>
      </c>
      <c r="R60" s="12">
        <f>'TR TUSD'!$R$60*'TR TUSD'!$R$70</f>
        <v>7.9035854375488794</v>
      </c>
      <c r="S60" s="12">
        <f>'TR TUSD'!$S$60*'TR TUSD'!$S$70</f>
        <v>0</v>
      </c>
      <c r="T60" s="12">
        <f ca="1">SUM($L$60:$S$60)</f>
        <v>30.75340472497577</v>
      </c>
      <c r="U60" s="12">
        <f>'TR TUSD'!$U$60*'TR TUSD'!$U$70</f>
        <v>9.3843274447020111</v>
      </c>
      <c r="V60" s="12">
        <f>'TR TUSD'!$V$60*'TR TUSD'!$V$70</f>
        <v>2.5646582253784733</v>
      </c>
      <c r="W60" s="12">
        <f>'TR TUSD'!$W$60*'TR TUSD'!$W$70</f>
        <v>0.22868224146267974</v>
      </c>
      <c r="X60" s="12">
        <f>'TR TUSD'!$X$60*'TR TUSD'!$X$70</f>
        <v>0</v>
      </c>
      <c r="Y60" s="12">
        <f>'TR TUSD'!$Y$60*'TR TUSD'!$Y$70</f>
        <v>9.7486010997139338</v>
      </c>
      <c r="Z60" s="12">
        <f>'TR TUSD'!$Z$60</f>
        <v>0</v>
      </c>
      <c r="AA60" s="12">
        <f>'TR TUSD'!$AA$60</f>
        <v>0</v>
      </c>
      <c r="AB60" s="12">
        <f>SUM($U$60:$AA$60)</f>
        <v>21.926269011257098</v>
      </c>
      <c r="AC60" s="12">
        <f>'TR TUSD'!$AC$60*'TR TUSD'!$AC$70</f>
        <v>107.62064360253356</v>
      </c>
      <c r="AD60" s="12">
        <f>SUM($AC$60:$AC$60)</f>
        <v>107.62064360253356</v>
      </c>
      <c r="AE60" s="12">
        <v>0</v>
      </c>
      <c r="AF60" s="12">
        <v>0</v>
      </c>
      <c r="AG60" s="12">
        <f>SUM($AE$60:$AF$60)</f>
        <v>0</v>
      </c>
      <c r="AH60" s="12">
        <f>'TR TUSD'!$AH$60*'TR TUSD'!$AH$70</f>
        <v>9.165380894168413</v>
      </c>
      <c r="AI60" s="12">
        <f>'TR TUSD'!$AI$60*'TR TUSD'!$AI$70</f>
        <v>0.21609466211639738</v>
      </c>
      <c r="AJ60" s="12">
        <f ca="1">'TR TUSD'!$AJ$60*'TR TUSD'!$AJ$70</f>
        <v>1.4369326549420243</v>
      </c>
      <c r="AK60" s="12">
        <f ca="1">'TR TUSD'!$AK$60*'TR TUSD'!$AK$70</f>
        <v>0</v>
      </c>
      <c r="AL60" s="12">
        <f ca="1">SUM($AH$60:$AK$60)</f>
        <v>10.818408211226835</v>
      </c>
      <c r="AM60" s="12">
        <f ca="1">SUMIF($L$4:$AL$4,"SUBTOTAL",$L$60:$AL$60)</f>
        <v>171.11872554999326</v>
      </c>
      <c r="AP60" s="12">
        <f>IF((1 - CUSTOS!$M$32)&lt;&gt;0,1/(1 - CUSTOS!$M$32),1)</f>
        <v>1.8181818181818181</v>
      </c>
    </row>
    <row r="61" spans="1:42" ht="11.25" customHeight="1" x14ac:dyDescent="0.25">
      <c r="A61" s="106"/>
      <c r="B61" s="106"/>
      <c r="C61" s="106"/>
      <c r="D61" s="17" t="s">
        <v>96</v>
      </c>
      <c r="E61" s="17" t="s">
        <v>25</v>
      </c>
      <c r="F61" s="17" t="s">
        <v>25</v>
      </c>
      <c r="G61" s="17" t="s">
        <v>84</v>
      </c>
      <c r="H61" s="17" t="s">
        <v>78</v>
      </c>
      <c r="I61" s="17">
        <f>'MERCADO TUSD'!$U$58</f>
        <v>0</v>
      </c>
      <c r="J61" s="15"/>
      <c r="L61" s="12">
        <f>'TR TUSD'!$L$61*'TR TUSD'!$L$70</f>
        <v>1.096483529541475</v>
      </c>
      <c r="M61" s="12">
        <f>'TR TUSD'!$M$61*'TR TUSD'!$M$70</f>
        <v>0.4880047656367999</v>
      </c>
      <c r="N61" s="12">
        <f ca="1">'TR TUSD'!$N$61*'TR TUSD'!$N$70</f>
        <v>1.7084426388718394</v>
      </c>
      <c r="O61" s="12">
        <f>'TR TUSD'!$O$61*'TR TUSD'!$O$70</f>
        <v>2.3933375160525624E-2</v>
      </c>
      <c r="P61" s="12">
        <f>'TR TUSD'!$P$61*'TR TUSD'!$P$70</f>
        <v>0</v>
      </c>
      <c r="Q61" s="12">
        <f>'TR TUSD'!$Q$61*'TR TUSD'!$Q$70</f>
        <v>21.610211277073237</v>
      </c>
      <c r="R61" s="12">
        <f>'TR TUSD'!$R$61*'TR TUSD'!$R$70</f>
        <v>8.6220932045987766</v>
      </c>
      <c r="S61" s="12">
        <f>'TR TUSD'!$S$61*'TR TUSD'!$S$70</f>
        <v>0</v>
      </c>
      <c r="T61" s="12">
        <f ca="1">SUM($L$61:$S$61)</f>
        <v>33.549168790882653</v>
      </c>
      <c r="U61" s="12">
        <f>'TR TUSD'!$U$61*'TR TUSD'!$U$70</f>
        <v>10.237448121493104</v>
      </c>
      <c r="V61" s="12">
        <f>'TR TUSD'!$V$61*'TR TUSD'!$V$70</f>
        <v>2.7978089731401528</v>
      </c>
      <c r="W61" s="12">
        <f>'TR TUSD'!$W$61*'TR TUSD'!$W$70</f>
        <v>0.24947153614110512</v>
      </c>
      <c r="X61" s="12">
        <f>'TR TUSD'!$X$61*'TR TUSD'!$X$70</f>
        <v>0</v>
      </c>
      <c r="Y61" s="12">
        <f>'TR TUSD'!$Y$61*'TR TUSD'!$Y$70</f>
        <v>10.634837563324288</v>
      </c>
      <c r="Z61" s="12">
        <f>'TR TUSD'!$Z$61</f>
        <v>0</v>
      </c>
      <c r="AA61" s="12">
        <f>'TR TUSD'!$AA$61</f>
        <v>0</v>
      </c>
      <c r="AB61" s="12">
        <f>SUM($U$61:$AA$61)</f>
        <v>23.91956619409865</v>
      </c>
      <c r="AC61" s="12">
        <f>'TR TUSD'!$AC$61*'TR TUSD'!$AC$70</f>
        <v>117.40433847549114</v>
      </c>
      <c r="AD61" s="12">
        <f>SUM($AC$61:$AC$61)</f>
        <v>117.40433847549114</v>
      </c>
      <c r="AE61" s="12">
        <v>0</v>
      </c>
      <c r="AF61" s="12">
        <v>0</v>
      </c>
      <c r="AG61" s="12">
        <f>SUM($AE$61:$AF$61)</f>
        <v>0</v>
      </c>
      <c r="AH61" s="12">
        <f>'TR TUSD'!$AH$61*'TR TUSD'!$AH$70</f>
        <v>9.9985973390928145</v>
      </c>
      <c r="AI61" s="12">
        <f>'TR TUSD'!$AI$61*'TR TUSD'!$AI$70</f>
        <v>0.23573963139970622</v>
      </c>
      <c r="AJ61" s="12">
        <f ca="1">'TR TUSD'!$AJ$61*'TR TUSD'!$AJ$70</f>
        <v>1.5675628963003898</v>
      </c>
      <c r="AK61" s="12">
        <f ca="1">'TR TUSD'!$AK$61*'TR TUSD'!$AK$70</f>
        <v>0</v>
      </c>
      <c r="AL61" s="12">
        <f ca="1">SUM($AH$61:$AK$61)</f>
        <v>11.80189986679291</v>
      </c>
      <c r="AM61" s="12">
        <f ca="1">SUMIF($L$4:$AL$4,"SUBTOTAL",$L$61:$AL$61)</f>
        <v>186.67497332726538</v>
      </c>
      <c r="AP61" s="12">
        <f>IF((1 - CUSTOS!$M$33)&lt;&gt;0,1/(1 - CUSTOS!$M$33),1)</f>
        <v>1.6666666666666667</v>
      </c>
    </row>
    <row r="63" spans="1:42" ht="11.25" customHeight="1" x14ac:dyDescent="0.25">
      <c r="K63" s="16" t="s">
        <v>825</v>
      </c>
      <c r="L63" s="12">
        <f>SUMPRODUCT($I$5:$I61,$L$5:$L61)</f>
        <v>1032973.8005780317</v>
      </c>
      <c r="M63" s="12">
        <f>SUMPRODUCT($I$5:$I61,$M$5:$M61)</f>
        <v>430118.89786725992</v>
      </c>
      <c r="N63" s="12">
        <f ca="1">SUMPRODUCT($I$5:$I61,$N$5:$N61)</f>
        <v>1351473.5832748057</v>
      </c>
      <c r="O63" s="12">
        <f>SUMPRODUCT($I$5:$I61,$O$5:$O61)</f>
        <v>27638.035714285725</v>
      </c>
      <c r="P63" s="12">
        <f>SUMPRODUCT($I$5:$I61,$P$5:$P61)</f>
        <v>0</v>
      </c>
      <c r="Q63" s="12">
        <f>SUMPRODUCT($I$5:$I61,$Q$5:$Q61)</f>
        <v>20358520.189999998</v>
      </c>
      <c r="R63" s="12">
        <f>SUMPRODUCT($I$5:$I61,$R$5:$R61)</f>
        <v>8961536.0506794378</v>
      </c>
      <c r="S63" s="12">
        <f>SUMPRODUCT($I$5:$I61,$S$5:$S61)</f>
        <v>0</v>
      </c>
      <c r="T63" s="12">
        <f ca="1">SUMPRODUCT($I$5:$I61,$T$5:$T61)</f>
        <v>32162260.558113821</v>
      </c>
      <c r="U63" s="12">
        <f>SUMPRODUCT($I$5:$I61,$U$5:$U61)</f>
        <v>14520413.183999997</v>
      </c>
      <c r="V63" s="12">
        <f>SUMPRODUCT($I$5:$I61,$V$5:$V61)</f>
        <v>3971557.3920000009</v>
      </c>
      <c r="W63" s="12">
        <f>SUMPRODUCT($I$5:$I61,$W$5:$W61)</f>
        <v>352974.38743501512</v>
      </c>
      <c r="X63" s="12">
        <f>SUMPRODUCT($I$5:$I61,$X$5:$X61)</f>
        <v>0</v>
      </c>
      <c r="Y63" s="12">
        <f>SUMPRODUCT($I$5:$I61,$Y$5:$Y61)</f>
        <v>13975762.558049999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32820707.521485008</v>
      </c>
      <c r="AC63" s="12">
        <f>SUMPRODUCT($I$5:$I61,$AC$5:$AC61)</f>
        <v>103471211.26502538</v>
      </c>
      <c r="AD63" s="12">
        <f>SUMPRODUCT($I$5:$I61,$AD$5:$AD61)</f>
        <v>103471211.26502538</v>
      </c>
      <c r="AE63" s="12">
        <f>SUMPRODUCT($I$5:$I61,$AE$5:$AE61)</f>
        <v>0</v>
      </c>
      <c r="AF63" s="12">
        <f>SUMPRODUCT($I$5:$I61,$AF$5:$AF61)</f>
        <v>0</v>
      </c>
      <c r="AG63" s="12">
        <f>SUMPRODUCT($I$5:$I61,$AG$5:$AG61)</f>
        <v>0</v>
      </c>
      <c r="AH63" s="12">
        <f>SUMPRODUCT($I$5:$I61,$AH$5:$AH61)</f>
        <v>8471966.8740926012</v>
      </c>
      <c r="AI63" s="12">
        <f>SUMPRODUCT($I$5:$I61,$AI$5:$AI61)</f>
        <v>199745.8523827621</v>
      </c>
      <c r="AJ63" s="12">
        <f ca="1">SUMPRODUCT($I$5:$I61,$AJ$5:$AJ61)</f>
        <v>1520990.0849761388</v>
      </c>
      <c r="AK63" s="12">
        <f ca="1">SUMPRODUCT($I$5:$I61,$AK$5:$AK61)</f>
        <v>0</v>
      </c>
      <c r="AL63" s="12">
        <f ca="1">SUMPRODUCT($I$5:$I61,$AL$5:$AL61)</f>
        <v>10192702.8114515</v>
      </c>
      <c r="AM63" s="12">
        <f ca="1">SUMPRODUCT($I$5:$I61,$AM$5:$AM61)</f>
        <v>178646882.15607572</v>
      </c>
    </row>
    <row r="64" spans="1:42" ht="11.25" customHeight="1" x14ac:dyDescent="0.25">
      <c r="K64" s="16" t="s">
        <v>757</v>
      </c>
      <c r="L64" s="12">
        <f>'TR TUSD'!$L$66</f>
        <v>1032973.8005780317</v>
      </c>
      <c r="M64" s="12">
        <f>'TR TUSD'!$M$66</f>
        <v>430118.8978672598</v>
      </c>
      <c r="N64" s="12">
        <f>'TR TUSD'!$N$66</f>
        <v>1351473.5832748055</v>
      </c>
      <c r="O64" s="12">
        <f>'TR TUSD'!$O$66</f>
        <v>27638.035714285714</v>
      </c>
      <c r="P64" s="12">
        <f>'TR TUSD'!$P$66</f>
        <v>0</v>
      </c>
      <c r="Q64" s="12">
        <f>'TR TUSD'!$Q$66</f>
        <v>20358520.190000001</v>
      </c>
      <c r="R64" s="12">
        <f>'TR TUSD'!$R$66</f>
        <v>8961536.0506794378</v>
      </c>
      <c r="S64" s="12">
        <f>'TR TUSD'!$S$66</f>
        <v>0</v>
      </c>
      <c r="T64" s="12">
        <f>'TR TUSD'!$T$66</f>
        <v>32162260.558113821</v>
      </c>
      <c r="U64" s="12">
        <f>'TR TUSD'!$U$66</f>
        <v>14520413.184000002</v>
      </c>
      <c r="V64" s="12">
        <f>'TR TUSD'!$V$66</f>
        <v>3971557.3920000005</v>
      </c>
      <c r="W64" s="12">
        <f>'TR TUSD'!$W$66</f>
        <v>352974.387435015</v>
      </c>
      <c r="X64" s="12">
        <f>'TR TUSD'!$X$66</f>
        <v>0</v>
      </c>
      <c r="Y64" s="12">
        <f>'TR TUSD'!$Y$66</f>
        <v>13975762.558050001</v>
      </c>
      <c r="Z64" s="12">
        <f>'TR TUSD'!$Z$66</f>
        <v>0</v>
      </c>
      <c r="AA64" s="12">
        <f>'TR TUSD'!$AA$66</f>
        <v>0</v>
      </c>
      <c r="AB64" s="12">
        <f>'TR TUSD'!$AB$66</f>
        <v>32820707.521485016</v>
      </c>
      <c r="AC64" s="12">
        <f>'TR TUSD'!$AC$66</f>
        <v>103471211.26502535</v>
      </c>
      <c r="AD64" s="12">
        <f>'TR TUSD'!$AD$66</f>
        <v>103471211.26502535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8471966.8740926012</v>
      </c>
      <c r="AI64" s="12">
        <f>'TR TUSD'!$AI$66</f>
        <v>199745.85238276212</v>
      </c>
      <c r="AJ64" s="12">
        <f>'TR TUSD'!$AJ$66</f>
        <v>1520990.084976139</v>
      </c>
      <c r="AK64" s="12">
        <f>'TR TUSD'!$AK$66</f>
        <v>0</v>
      </c>
      <c r="AL64" s="12">
        <f>'TR TUSD'!$AL$66</f>
        <v>10192702.811451502</v>
      </c>
      <c r="AM64" s="12">
        <f>CUSTOS!$D$29</f>
        <v>178646882.15607569</v>
      </c>
    </row>
    <row r="65" spans="11:39" ht="11.25" customHeight="1" x14ac:dyDescent="0.25">
      <c r="K65" s="16" t="s">
        <v>758</v>
      </c>
      <c r="L65" s="12">
        <f>CUSTOS!$E$2</f>
        <v>-45608.360377848061</v>
      </c>
      <c r="M65" s="12">
        <f>CUSTOS!$E$3</f>
        <v>-14166.531065114292</v>
      </c>
      <c r="N65" s="12">
        <f>CUSTOS!$E$4</f>
        <v>0</v>
      </c>
      <c r="O65" s="12">
        <f>CUSTOS!$E$5</f>
        <v>-1575.5005387090303</v>
      </c>
      <c r="P65" s="12">
        <f>CUSTOS!$E$6</f>
        <v>0</v>
      </c>
      <c r="Q65" s="12">
        <f>CUSTOS!$E$7</f>
        <v>-586670.68666997878</v>
      </c>
      <c r="R65" s="12">
        <f>CUSTOS!$E$8</f>
        <v>-255138.45347551774</v>
      </c>
      <c r="S65" s="12">
        <f>CUSTOS!$E$9</f>
        <v>0</v>
      </c>
      <c r="T65" s="12">
        <f>CUSTOS!$E$10</f>
        <v>-903159.5321271678</v>
      </c>
      <c r="U65" s="12">
        <f>CUSTOS!$E$11</f>
        <v>34307.246296391517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-292431.97467562632</v>
      </c>
      <c r="Z65" s="12">
        <f>CUSTOS!$E$16</f>
        <v>0</v>
      </c>
      <c r="AA65" s="12">
        <f>CUSTOS!$E$17</f>
        <v>0</v>
      </c>
      <c r="AB65" s="12">
        <f>CUSTOS!$E$18</f>
        <v>-258124.72837923479</v>
      </c>
      <c r="AC65" s="12">
        <f>CUSTOS!$E$19</f>
        <v>-645021.98149003857</v>
      </c>
      <c r="AD65" s="12">
        <f>CUSTOS!$E$20</f>
        <v>-645021.98149003857</v>
      </c>
      <c r="AE65" s="12">
        <f>CUSTOS!$E$21</f>
        <v>-14783834.877586793</v>
      </c>
      <c r="AF65" s="12">
        <f>CUSTOS!$E$22</f>
        <v>0</v>
      </c>
      <c r="AG65" s="12">
        <f>CUSTOS!$E$23</f>
        <v>-14783834.877586793</v>
      </c>
      <c r="AH65" s="12">
        <f>CUSTOS!$E$24</f>
        <v>-483878.17770503578</v>
      </c>
      <c r="AI65" s="12">
        <f>CUSTOS!$E$25</f>
        <v>-11408.52655487538</v>
      </c>
      <c r="AJ65" s="12">
        <f>CUSTOS!$E$26</f>
        <v>-86871.670010455389</v>
      </c>
      <c r="AK65" s="12">
        <f>CUSTOS!$E$27</f>
        <v>0</v>
      </c>
      <c r="AL65" s="12">
        <f>CUSTOS!$E$28</f>
        <v>-582158.3742703665</v>
      </c>
      <c r="AM65" s="12">
        <f>CUSTOS!$E$29</f>
        <v>-17172299.493853599</v>
      </c>
    </row>
    <row r="66" spans="11:39" ht="11.25" customHeight="1" x14ac:dyDescent="0.25">
      <c r="K66" s="16" t="s">
        <v>759</v>
      </c>
      <c r="L66" s="12">
        <f>CUSTOS!$F$2</f>
        <v>118299.57656469238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-9249.6930267323551</v>
      </c>
      <c r="R66" s="12">
        <f>CUSTOS!$F$8</f>
        <v>290912.54638488876</v>
      </c>
      <c r="S66" s="12">
        <f>CUSTOS!$F$9</f>
        <v>0</v>
      </c>
      <c r="T66" s="12">
        <f>CUSTOS!$F$10</f>
        <v>399962.42992284882</v>
      </c>
      <c r="U66" s="12">
        <f>CUSTOS!$F$11</f>
        <v>797866.15633681579</v>
      </c>
      <c r="V66" s="12">
        <f>CUSTOS!$F$12</f>
        <v>218228.72330642547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1016094.8796432413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1408323.2380520743</v>
      </c>
      <c r="AI66" s="12">
        <f>CUSTOS!$F$25</f>
        <v>33204.417556848966</v>
      </c>
      <c r="AJ66" s="12">
        <f>CUSTOS!$F$26</f>
        <v>252839.24186119085</v>
      </c>
      <c r="AK66" s="12">
        <f>CUSTOS!$F$27</f>
        <v>0</v>
      </c>
      <c r="AL66" s="12">
        <f>CUSTOS!$F$28</f>
        <v>1694366.8974701143</v>
      </c>
      <c r="AM66" s="12">
        <f>CUSTOS!$F$29</f>
        <v>3110424.2070362046</v>
      </c>
    </row>
    <row r="67" spans="11:39" ht="11.25" customHeight="1" x14ac:dyDescent="0.25">
      <c r="K67" s="16" t="s">
        <v>822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f>SUM($L$67:$S$67)</f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f>SUM($U$67:$AA$67)</f>
        <v>0</v>
      </c>
      <c r="AC67" s="12">
        <v>0</v>
      </c>
      <c r="AD67" s="12">
        <f>SUM($AC$67:$AC$67)</f>
        <v>0</v>
      </c>
      <c r="AE67" s="12">
        <v>0</v>
      </c>
      <c r="AF67" s="12">
        <v>0</v>
      </c>
      <c r="AG67" s="12">
        <f>SUM($AE$67:$AF$67)</f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f>SUM($AH$67:$AK$67)</f>
        <v>0</v>
      </c>
      <c r="AM67" s="12">
        <f>SUMIF($L$4:$AL$4,"SUBTOTAL",$L$67:$AL$67)</f>
        <v>0</v>
      </c>
    </row>
    <row r="68" spans="11:39" ht="11.25" customHeight="1" x14ac:dyDescent="0.25">
      <c r="K68" s="16" t="s">
        <v>826</v>
      </c>
      <c r="L68" s="12">
        <f t="shared" ref="L68:R68" si="0">IF((L63-(0))&lt;&gt;0,(L65)/(L63-(0)),0)</f>
        <v>-4.4152485137886874E-2</v>
      </c>
      <c r="M68" s="12">
        <f t="shared" si="0"/>
        <v>-3.2936313971227232E-2</v>
      </c>
      <c r="N68" s="12">
        <f t="shared" ca="1" si="0"/>
        <v>0</v>
      </c>
      <c r="O68" s="12">
        <f t="shared" si="0"/>
        <v>-5.7004794226192979E-2</v>
      </c>
      <c r="P68" s="12">
        <f t="shared" si="0"/>
        <v>0</v>
      </c>
      <c r="Q68" s="12">
        <f t="shared" si="0"/>
        <v>-2.8816961213032982E-2</v>
      </c>
      <c r="R68" s="12">
        <f t="shared" si="0"/>
        <v>-2.847039302555435E-2</v>
      </c>
      <c r="S68" s="12">
        <f>IF((R63-(0)&lt;&gt;0),(S65)/(R63-(0)),0)</f>
        <v>0</v>
      </c>
      <c r="T68" s="12"/>
      <c r="U68" s="12">
        <f t="shared" ref="U68:AA68" si="1">IF((U63-(0))&lt;&gt;0,(U65)/(U63-(0)),0)</f>
        <v>2.3626907761959953E-3</v>
      </c>
      <c r="V68" s="12">
        <f t="shared" si="1"/>
        <v>0</v>
      </c>
      <c r="W68" s="12">
        <f t="shared" si="1"/>
        <v>0</v>
      </c>
      <c r="X68" s="12">
        <f t="shared" si="1"/>
        <v>0</v>
      </c>
      <c r="Y68" s="12">
        <f t="shared" si="1"/>
        <v>-2.0924223165711006E-2</v>
      </c>
      <c r="Z68" s="12">
        <f t="shared" si="1"/>
        <v>0</v>
      </c>
      <c r="AA68" s="12">
        <f t="shared" si="1"/>
        <v>0</v>
      </c>
      <c r="AB68" s="12"/>
      <c r="AC68" s="12">
        <f>IF((AC63-(0))&lt;&gt;0,(AC65)/(AC63-(0)),0)</f>
        <v>-6.2338303920876628E-3</v>
      </c>
      <c r="AD68" s="12"/>
      <c r="AE68" s="12">
        <f ca="1">IF(($AM63-(0))&lt;&gt;0,(AE65)/($AM63-(0)),0)</f>
        <v>-8.275450821845759E-2</v>
      </c>
      <c r="AF68" s="12">
        <f ca="1">IF(($AM63-(0))&lt;&gt;0,(AF65)/($AM63-(0)),0)</f>
        <v>0</v>
      </c>
      <c r="AG68" s="12"/>
      <c r="AH68" s="12">
        <f>IF((AH63-(0))&lt;&gt;0,(AH65)/(AH63-(0)),0)</f>
        <v>-5.711521124861127E-2</v>
      </c>
      <c r="AI68" s="12">
        <f>IF((AI63-(0))&lt;&gt;0,(AI65)/(AI63-(0)),0)</f>
        <v>-5.711521124861127E-2</v>
      </c>
      <c r="AJ68" s="12">
        <f ca="1">IF((AJ63-(0))&lt;&gt;0,(AJ65)/(AJ63-(0)),0)</f>
        <v>-5.7115211248611283E-2</v>
      </c>
      <c r="AK68" s="12">
        <f ca="1">IF((AK63-(0))&lt;&gt;0,(AK65)/(AK63-(0)),0)</f>
        <v>0</v>
      </c>
      <c r="AL68" s="12"/>
      <c r="AM68" s="12"/>
    </row>
  </sheetData>
  <mergeCells count="89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9:C11"/>
    <mergeCell ref="D9:D11"/>
    <mergeCell ref="E9:E11"/>
    <mergeCell ref="F9:F11"/>
    <mergeCell ref="F5:F7"/>
    <mergeCell ref="B9:B11"/>
    <mergeCell ref="A5:A11"/>
    <mergeCell ref="B5:B8"/>
    <mergeCell ref="C5:C8"/>
    <mergeCell ref="D5:D8"/>
    <mergeCell ref="E5:E7"/>
    <mergeCell ref="B1:B4"/>
    <mergeCell ref="C1:C4"/>
    <mergeCell ref="D1:D4"/>
    <mergeCell ref="E1:E4"/>
    <mergeCell ref="E16:E18"/>
    <mergeCell ref="F16:F18"/>
    <mergeCell ref="B12:B15"/>
    <mergeCell ref="C12:C15"/>
    <mergeCell ref="D12:D15"/>
    <mergeCell ref="E12:E14"/>
    <mergeCell ref="F23:F24"/>
    <mergeCell ref="A25:A26"/>
    <mergeCell ref="B25:B26"/>
    <mergeCell ref="C25:C26"/>
    <mergeCell ref="D25:D26"/>
    <mergeCell ref="B20:B24"/>
    <mergeCell ref="C20:C24"/>
    <mergeCell ref="D20:D24"/>
    <mergeCell ref="E20:E22"/>
    <mergeCell ref="F20:F22"/>
    <mergeCell ref="A12:A24"/>
    <mergeCell ref="E23:E24"/>
    <mergeCell ref="F12:F14"/>
    <mergeCell ref="B16:B18"/>
    <mergeCell ref="C16:C18"/>
    <mergeCell ref="D16:D18"/>
    <mergeCell ref="F27:F29"/>
    <mergeCell ref="B30:B34"/>
    <mergeCell ref="C30:C34"/>
    <mergeCell ref="B35:B39"/>
    <mergeCell ref="C35:C39"/>
    <mergeCell ref="A27:A39"/>
    <mergeCell ref="B27:B29"/>
    <mergeCell ref="C27:C29"/>
    <mergeCell ref="D27:D29"/>
    <mergeCell ref="E27:E29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E55:E57"/>
    <mergeCell ref="F55:F57"/>
    <mergeCell ref="A60:A61"/>
    <mergeCell ref="B60:B61"/>
    <mergeCell ref="C60:C61"/>
    <mergeCell ref="D55:D57"/>
  </mergeCells>
  <conditionalFormatting sqref="L63">
    <cfRule type="cellIs" dxfId="1162" priority="55" operator="notEqual">
      <formula>$L$64-$L$67</formula>
    </cfRule>
    <cfRule type="cellIs" dxfId="1161" priority="56" operator="equal">
      <formula>$L$64-$L$67</formula>
    </cfRule>
  </conditionalFormatting>
  <conditionalFormatting sqref="M63">
    <cfRule type="cellIs" dxfId="1160" priority="53" operator="notEqual">
      <formula>$M$64-$M$67</formula>
    </cfRule>
    <cfRule type="cellIs" dxfId="1159" priority="54" operator="equal">
      <formula>$M$64-$M$67</formula>
    </cfRule>
  </conditionalFormatting>
  <conditionalFormatting sqref="N63">
    <cfRule type="cellIs" dxfId="1158" priority="51" operator="notEqual">
      <formula>$N$64-$N$67</formula>
    </cfRule>
    <cfRule type="cellIs" dxfId="1157" priority="52" operator="equal">
      <formula>$N$64-$N$67</formula>
    </cfRule>
  </conditionalFormatting>
  <conditionalFormatting sqref="O63">
    <cfRule type="cellIs" dxfId="1156" priority="49" operator="notEqual">
      <formula>$O$64-$O$67</formula>
    </cfRule>
    <cfRule type="cellIs" dxfId="1155" priority="50" operator="equal">
      <formula>$O$64-$O$67</formula>
    </cfRule>
  </conditionalFormatting>
  <conditionalFormatting sqref="P63">
    <cfRule type="cellIs" dxfId="1154" priority="47" operator="notEqual">
      <formula>$P$64-$P$67</formula>
    </cfRule>
    <cfRule type="cellIs" dxfId="1153" priority="48" operator="equal">
      <formula>$P$64-$P$67</formula>
    </cfRule>
  </conditionalFormatting>
  <conditionalFormatting sqref="Q63">
    <cfRule type="cellIs" dxfId="1152" priority="45" operator="notEqual">
      <formula>$Q$64-$Q$67</formula>
    </cfRule>
    <cfRule type="cellIs" dxfId="1151" priority="46" operator="equal">
      <formula>$Q$64-$Q$67</formula>
    </cfRule>
  </conditionalFormatting>
  <conditionalFormatting sqref="R63">
    <cfRule type="cellIs" dxfId="1150" priority="43" operator="notEqual">
      <formula>$R$64-$R$67</formula>
    </cfRule>
    <cfRule type="cellIs" dxfId="1149" priority="44" operator="equal">
      <formula>$R$64-$R$67</formula>
    </cfRule>
  </conditionalFormatting>
  <conditionalFormatting sqref="S63">
    <cfRule type="cellIs" dxfId="1148" priority="41" operator="notEqual">
      <formula>$S$64-$S$67</formula>
    </cfRule>
    <cfRule type="cellIs" dxfId="1147" priority="42" operator="equal">
      <formula>$S$64-$S$67</formula>
    </cfRule>
  </conditionalFormatting>
  <conditionalFormatting sqref="T63">
    <cfRule type="cellIs" dxfId="1146" priority="39" operator="notEqual">
      <formula>$T$64-$T$67</formula>
    </cfRule>
    <cfRule type="cellIs" dxfId="1145" priority="40" operator="equal">
      <formula>$T$64-$T$67</formula>
    </cfRule>
  </conditionalFormatting>
  <conditionalFormatting sqref="U63">
    <cfRule type="cellIs" dxfId="1144" priority="37" operator="notEqual">
      <formula>$U$64-$U$67</formula>
    </cfRule>
    <cfRule type="cellIs" dxfId="1143" priority="38" operator="equal">
      <formula>$U$64-$U$67</formula>
    </cfRule>
  </conditionalFormatting>
  <conditionalFormatting sqref="V63">
    <cfRule type="cellIs" dxfId="1142" priority="35" operator="notEqual">
      <formula>$V$64-$V$67</formula>
    </cfRule>
    <cfRule type="cellIs" dxfId="1141" priority="36" operator="equal">
      <formula>$V$64-$V$67</formula>
    </cfRule>
  </conditionalFormatting>
  <conditionalFormatting sqref="W63">
    <cfRule type="cellIs" dxfId="1140" priority="33" operator="notEqual">
      <formula>$W$64-$W$67</formula>
    </cfRule>
    <cfRule type="cellIs" dxfId="1139" priority="34" operator="equal">
      <formula>$W$64-$W$67</formula>
    </cfRule>
  </conditionalFormatting>
  <conditionalFormatting sqref="X63">
    <cfRule type="cellIs" dxfId="1138" priority="31" operator="notEqual">
      <formula>$X$64-$X$67</formula>
    </cfRule>
    <cfRule type="cellIs" dxfId="1137" priority="32" operator="equal">
      <formula>$X$64-$X$67</formula>
    </cfRule>
  </conditionalFormatting>
  <conditionalFormatting sqref="Y63">
    <cfRule type="cellIs" dxfId="1136" priority="29" operator="notEqual">
      <formula>$Y$64-$Y$67</formula>
    </cfRule>
    <cfRule type="cellIs" dxfId="1135" priority="30" operator="equal">
      <formula>$Y$64-$Y$67</formula>
    </cfRule>
  </conditionalFormatting>
  <conditionalFormatting sqref="Z63">
    <cfRule type="cellIs" dxfId="1134" priority="27" operator="notEqual">
      <formula>$Z$64-$Z$67</formula>
    </cfRule>
    <cfRule type="cellIs" dxfId="1133" priority="28" operator="equal">
      <formula>$Z$64-$Z$67</formula>
    </cfRule>
  </conditionalFormatting>
  <conditionalFormatting sqref="AA63">
    <cfRule type="cellIs" dxfId="1132" priority="25" operator="notEqual">
      <formula>$AA$64-$AA$67</formula>
    </cfRule>
    <cfRule type="cellIs" dxfId="1131" priority="26" operator="equal">
      <formula>$AA$64-$AA$67</formula>
    </cfRule>
  </conditionalFormatting>
  <conditionalFormatting sqref="AB63">
    <cfRule type="cellIs" dxfId="1130" priority="23" operator="notEqual">
      <formula>$AB$64-$AB$67</formula>
    </cfRule>
    <cfRule type="cellIs" dxfId="1129" priority="24" operator="equal">
      <formula>$AB$64-$AB$67</formula>
    </cfRule>
  </conditionalFormatting>
  <conditionalFormatting sqref="AC63">
    <cfRule type="cellIs" dxfId="1128" priority="21" operator="notEqual">
      <formula>$AC$64-$AC$67</formula>
    </cfRule>
    <cfRule type="cellIs" dxfId="1127" priority="22" operator="equal">
      <formula>$AC$64-$AC$67</formula>
    </cfRule>
  </conditionalFormatting>
  <conditionalFormatting sqref="AD63">
    <cfRule type="cellIs" dxfId="1126" priority="19" operator="notEqual">
      <formula>$AD$64-$AD$67</formula>
    </cfRule>
    <cfRule type="cellIs" dxfId="1125" priority="20" operator="equal">
      <formula>$AD$64-$AD$67</formula>
    </cfRule>
  </conditionalFormatting>
  <conditionalFormatting sqref="AE63">
    <cfRule type="cellIs" dxfId="1124" priority="17" operator="notEqual">
      <formula>$AE$64-$AE$67</formula>
    </cfRule>
    <cfRule type="cellIs" dxfId="1123" priority="18" operator="equal">
      <formula>$AE$64-$AE$67</formula>
    </cfRule>
  </conditionalFormatting>
  <conditionalFormatting sqref="AF63">
    <cfRule type="cellIs" dxfId="1122" priority="16" operator="equal">
      <formula>$AF$64-$AF$67</formula>
    </cfRule>
  </conditionalFormatting>
  <conditionalFormatting sqref="AF63">
    <cfRule type="cellIs" dxfId="1121" priority="15" operator="notEqual">
      <formula>$AF$64-$AF$67</formula>
    </cfRule>
  </conditionalFormatting>
  <conditionalFormatting sqref="AG63">
    <cfRule type="cellIs" dxfId="1120" priority="14" operator="equal">
      <formula>$AG$64-$AG$67</formula>
    </cfRule>
  </conditionalFormatting>
  <conditionalFormatting sqref="AG63">
    <cfRule type="cellIs" dxfId="1119" priority="13" operator="notEqual">
      <formula>$AG$64-$AG$67</formula>
    </cfRule>
  </conditionalFormatting>
  <conditionalFormatting sqref="AH63">
    <cfRule type="cellIs" dxfId="1118" priority="12" operator="equal">
      <formula>$AH$64-$AH$67</formula>
    </cfRule>
  </conditionalFormatting>
  <conditionalFormatting sqref="AH63">
    <cfRule type="cellIs" dxfId="1117" priority="11" operator="notEqual">
      <formula>$AH$64-$AH$67</formula>
    </cfRule>
  </conditionalFormatting>
  <conditionalFormatting sqref="AI63">
    <cfRule type="cellIs" dxfId="1116" priority="10" operator="equal">
      <formula>$AI$64-$AI$67</formula>
    </cfRule>
  </conditionalFormatting>
  <conditionalFormatting sqref="AI63">
    <cfRule type="cellIs" dxfId="1115" priority="9" operator="notEqual">
      <formula>$AI$64-$AI$67</formula>
    </cfRule>
  </conditionalFormatting>
  <conditionalFormatting sqref="AJ63">
    <cfRule type="cellIs" dxfId="1114" priority="8" operator="equal">
      <formula>$AJ$64-$AJ$67</formula>
    </cfRule>
  </conditionalFormatting>
  <conditionalFormatting sqref="AJ63">
    <cfRule type="cellIs" dxfId="1113" priority="7" operator="notEqual">
      <formula>$AJ$64-$AJ$67</formula>
    </cfRule>
  </conditionalFormatting>
  <conditionalFormatting sqref="AK63">
    <cfRule type="cellIs" dxfId="1112" priority="6" operator="equal">
      <formula>$AK$64-$AK$67</formula>
    </cfRule>
  </conditionalFormatting>
  <conditionalFormatting sqref="AK63">
    <cfRule type="cellIs" dxfId="1111" priority="5" operator="notEqual">
      <formula>$AK$64-$AK$67</formula>
    </cfRule>
  </conditionalFormatting>
  <conditionalFormatting sqref="AL63">
    <cfRule type="cellIs" dxfId="1110" priority="4" operator="equal">
      <formula>$AL$64-$AL$67</formula>
    </cfRule>
  </conditionalFormatting>
  <conditionalFormatting sqref="AL63">
    <cfRule type="cellIs" dxfId="1109" priority="3" operator="notEqual">
      <formula>$AL$64-$AL$67</formula>
    </cfRule>
  </conditionalFormatting>
  <conditionalFormatting sqref="AM63">
    <cfRule type="cellIs" dxfId="1108" priority="2" operator="equal">
      <formula>$AM$64-$AM$67</formula>
    </cfRule>
  </conditionalFormatting>
  <conditionalFormatting sqref="AM63">
    <cfRule type="cellIs" dxfId="1107" priority="1" operator="notEqual">
      <formula>$AM$64-$AM$67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A875B-AE3D-4038-B706-A1E711C9D971}">
  <dimension ref="A1:AP68"/>
  <sheetViews>
    <sheetView showGridLines="0" topLeftCell="Z45" workbookViewId="0">
      <selection activeCell="AO63" sqref="AO63:AP6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7.85546875" style="9" bestFit="1" customWidth="1"/>
    <col min="16" max="16" width="4.4257812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7" t="s">
        <v>68</v>
      </c>
      <c r="B1" s="107" t="s">
        <v>69</v>
      </c>
      <c r="C1" s="107" t="s">
        <v>70</v>
      </c>
      <c r="D1" s="107" t="s">
        <v>71</v>
      </c>
      <c r="E1" s="107" t="s">
        <v>72</v>
      </c>
      <c r="F1" s="107" t="s">
        <v>15</v>
      </c>
      <c r="G1" s="107" t="s">
        <v>74</v>
      </c>
      <c r="H1" s="107" t="s">
        <v>75</v>
      </c>
      <c r="I1" s="107" t="s">
        <v>816</v>
      </c>
      <c r="J1" s="95"/>
      <c r="L1" s="108" t="s">
        <v>833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O1" s="20"/>
      <c r="AP1" s="111" t="s">
        <v>818</v>
      </c>
    </row>
    <row r="2" spans="1:42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8" t="s">
        <v>716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O2" s="20"/>
      <c r="AP2" s="112"/>
    </row>
    <row r="3" spans="1:42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8" t="s">
        <v>717</v>
      </c>
      <c r="M3" s="108"/>
      <c r="N3" s="108"/>
      <c r="O3" s="108"/>
      <c r="P3" s="108"/>
      <c r="Q3" s="108"/>
      <c r="R3" s="108"/>
      <c r="S3" s="108"/>
      <c r="T3" s="108"/>
      <c r="U3" s="108" t="s">
        <v>726</v>
      </c>
      <c r="V3" s="108"/>
      <c r="W3" s="108"/>
      <c r="X3" s="108"/>
      <c r="Y3" s="108"/>
      <c r="Z3" s="108"/>
      <c r="AA3" s="108"/>
      <c r="AB3" s="108"/>
      <c r="AC3" s="108" t="s">
        <v>734</v>
      </c>
      <c r="AD3" s="108"/>
      <c r="AE3" s="108" t="s">
        <v>736</v>
      </c>
      <c r="AF3" s="108"/>
      <c r="AG3" s="108"/>
      <c r="AH3" s="108" t="s">
        <v>739</v>
      </c>
      <c r="AI3" s="108"/>
      <c r="AJ3" s="108"/>
      <c r="AK3" s="108"/>
      <c r="AL3" s="108"/>
      <c r="AM3" s="108" t="s">
        <v>725</v>
      </c>
      <c r="AO3" s="20"/>
      <c r="AP3" s="112"/>
    </row>
    <row r="4" spans="1:42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10" t="s">
        <v>801</v>
      </c>
      <c r="M4" s="10" t="s">
        <v>718</v>
      </c>
      <c r="N4" s="10" t="s">
        <v>719</v>
      </c>
      <c r="O4" s="10" t="s">
        <v>720</v>
      </c>
      <c r="P4" s="10" t="s">
        <v>721</v>
      </c>
      <c r="Q4" s="10" t="s">
        <v>722</v>
      </c>
      <c r="R4" s="10" t="s">
        <v>723</v>
      </c>
      <c r="S4" s="10" t="s">
        <v>724</v>
      </c>
      <c r="T4" s="10" t="s">
        <v>725</v>
      </c>
      <c r="U4" s="10" t="s">
        <v>727</v>
      </c>
      <c r="V4" s="10" t="s">
        <v>728</v>
      </c>
      <c r="W4" s="10" t="s">
        <v>729</v>
      </c>
      <c r="X4" s="10" t="s">
        <v>730</v>
      </c>
      <c r="Y4" s="10" t="s">
        <v>731</v>
      </c>
      <c r="Z4" s="10" t="s">
        <v>732</v>
      </c>
      <c r="AA4" s="10" t="s">
        <v>733</v>
      </c>
      <c r="AB4" s="10" t="s">
        <v>725</v>
      </c>
      <c r="AC4" s="10" t="s">
        <v>735</v>
      </c>
      <c r="AD4" s="10" t="s">
        <v>725</v>
      </c>
      <c r="AE4" s="10" t="s">
        <v>737</v>
      </c>
      <c r="AF4" s="10" t="s">
        <v>738</v>
      </c>
      <c r="AG4" s="10" t="s">
        <v>725</v>
      </c>
      <c r="AH4" s="10" t="s">
        <v>740</v>
      </c>
      <c r="AI4" s="10" t="s">
        <v>741</v>
      </c>
      <c r="AJ4" s="10" t="s">
        <v>742</v>
      </c>
      <c r="AK4" s="10" t="s">
        <v>743</v>
      </c>
      <c r="AL4" s="10" t="s">
        <v>725</v>
      </c>
      <c r="AM4" s="110"/>
      <c r="AO4" s="21" t="s">
        <v>835</v>
      </c>
      <c r="AP4" s="113"/>
    </row>
    <row r="5" spans="1:42" ht="11.25" customHeight="1" x14ac:dyDescent="0.25">
      <c r="A5" s="106" t="s">
        <v>56</v>
      </c>
      <c r="B5" s="106" t="s">
        <v>40</v>
      </c>
      <c r="C5" s="106" t="s">
        <v>25</v>
      </c>
      <c r="D5" s="106" t="s">
        <v>25</v>
      </c>
      <c r="E5" s="106" t="s">
        <v>25</v>
      </c>
      <c r="F5" s="106" t="s">
        <v>25</v>
      </c>
      <c r="G5" s="17" t="s">
        <v>82</v>
      </c>
      <c r="H5" s="17" t="s">
        <v>81</v>
      </c>
      <c r="I5" s="17">
        <f>'MERCADO TUSD'!$U$2</f>
        <v>115925</v>
      </c>
      <c r="J5" s="15"/>
      <c r="L5" s="12">
        <f>'TUSD BE'!$L$5*'TUSD BE'!$L$68</f>
        <v>0</v>
      </c>
      <c r="M5" s="12">
        <f>'TUSD BE'!$M$5*'TUSD BE'!$M$68</f>
        <v>0</v>
      </c>
      <c r="N5" s="12">
        <f ca="1">'TUSD BE'!$N$5*'TUSD BE'!$N$68</f>
        <v>0</v>
      </c>
      <c r="O5" s="12">
        <f>'TUSD BE'!$O$5*'TUSD BE'!$O$68</f>
        <v>0</v>
      </c>
      <c r="P5" s="12">
        <f>'TUSD BE'!$P$5*'TUSD BE'!$P$68</f>
        <v>0</v>
      </c>
      <c r="Q5" s="12">
        <f>'TUSD BE'!$Q$5*'TUSD BE'!$Q$68</f>
        <v>0</v>
      </c>
      <c r="R5" s="12">
        <f>'TUSD BE'!$R$5*'TUSD BE'!$R$68</f>
        <v>0</v>
      </c>
      <c r="S5" s="12">
        <f>'TUSD BE'!$R$5*'TUSD BE'!$S$68</f>
        <v>0</v>
      </c>
      <c r="T5" s="12">
        <f ca="1">SUM($L$5:$S$5)</f>
        <v>0</v>
      </c>
      <c r="U5" s="12">
        <f>'TUSD BE'!$U$5*'TUSD BE'!$U$68</f>
        <v>9.5618680733216711E-3</v>
      </c>
      <c r="V5" s="12">
        <f>'TUSD BE'!$V$5*'TUSD BE'!$V$68</f>
        <v>0</v>
      </c>
      <c r="W5" s="12">
        <f>'TUSD BE'!$W$5*'TUSD BE'!$W$68</f>
        <v>0</v>
      </c>
      <c r="X5" s="12">
        <f>'TUSD BE'!$X$5*'TUSD BE'!$X$68</f>
        <v>0</v>
      </c>
      <c r="Y5" s="12">
        <f>'TUSD BE'!$Y$5*'TUSD BE'!$Y$68</f>
        <v>-0.10139251621775675</v>
      </c>
      <c r="Z5" s="12">
        <f>'TUSD BE'!$Z$5*'TUSD BE'!$Z$68</f>
        <v>0</v>
      </c>
      <c r="AA5" s="12">
        <f>'TUSD BE'!$AA$5*'TUSD BE'!$AA$68</f>
        <v>0</v>
      </c>
      <c r="AB5" s="12">
        <f>SUM($U$5:$AA$5)</f>
        <v>-9.1830648144435076E-2</v>
      </c>
      <c r="AC5" s="12">
        <f>'TUSD BE'!$AC$5*'TUSD BE'!$AC$68</f>
        <v>-1.5808890828371336E-2</v>
      </c>
      <c r="AD5" s="12">
        <f>SUM($AC$5:$AC$5)</f>
        <v>-1.5808890828371336E-2</v>
      </c>
      <c r="AE5" s="12">
        <f ca="1">$AO$5*$AO$65</f>
        <v>-1.0704901634889634</v>
      </c>
      <c r="AF5" s="12">
        <f ca="1">$AP$5*$AP$65</f>
        <v>0</v>
      </c>
      <c r="AG5" s="12">
        <f ca="1">SUM($AE$5:$AF$5)</f>
        <v>-1.0704901634889634</v>
      </c>
      <c r="AH5" s="12">
        <f>'TUSD BE'!$AH$5*'TUSD BE'!$AH$68</f>
        <v>0</v>
      </c>
      <c r="AI5" s="12">
        <f>'TUSD BE'!$AI$5*'TUSD BE'!$AI$68</f>
        <v>0</v>
      </c>
      <c r="AJ5" s="12">
        <f ca="1">'TUSD BE'!$AJ$5*'TUSD BE'!$AJ$68</f>
        <v>0</v>
      </c>
      <c r="AK5" s="12">
        <f ca="1">'TUSD BE'!$AK$5*'TUSD BE'!$AK$68</f>
        <v>0</v>
      </c>
      <c r="AL5" s="12">
        <f ca="1">SUM($AH$5:$AK$5)</f>
        <v>0</v>
      </c>
      <c r="AM5" s="12">
        <f ca="1">SUMIF($L$4:$AL$4,"SUBTOTAL",$L$5:$AL$5)</f>
        <v>-1.1781297024617698</v>
      </c>
      <c r="AO5" s="20">
        <f ca="1">+'TUSD BE'!$T$5+'TUSD BE'!$AB$5+'TUSD BE'!$AD$5+'TUSD BE'!$AL$5</f>
        <v>12.629016992670957</v>
      </c>
      <c r="AP5" s="20">
        <f ca="1">+'TUSD BE'!$T$5+'TUSD BE'!$AB$5+'TUSD BE'!$AD$5+'TUSD BE'!$AL$5</f>
        <v>12.629016992670957</v>
      </c>
    </row>
    <row r="6" spans="1:42" ht="11.25" customHeight="1" x14ac:dyDescent="0.25">
      <c r="A6" s="106"/>
      <c r="B6" s="106"/>
      <c r="C6" s="106"/>
      <c r="D6" s="106"/>
      <c r="E6" s="106"/>
      <c r="F6" s="106"/>
      <c r="G6" s="17" t="s">
        <v>83</v>
      </c>
      <c r="H6" s="17" t="s">
        <v>81</v>
      </c>
      <c r="I6" s="17">
        <f>'MERCADO TUSD'!$U$3</f>
        <v>117848</v>
      </c>
      <c r="J6" s="15"/>
      <c r="L6" s="12">
        <f>'TUSD BE'!$L$6*'TUSD BE'!$L$68</f>
        <v>0</v>
      </c>
      <c r="M6" s="12">
        <f>'TUSD BE'!$M$6*'TUSD BE'!$M$68</f>
        <v>0</v>
      </c>
      <c r="N6" s="12">
        <f ca="1">'TUSD BE'!$N$6*'TUSD BE'!$N$68</f>
        <v>0</v>
      </c>
      <c r="O6" s="12">
        <f>'TUSD BE'!$O$6*'TUSD BE'!$O$68</f>
        <v>0</v>
      </c>
      <c r="P6" s="12">
        <f>'TUSD BE'!$P$6*'TUSD BE'!$P$68</f>
        <v>0</v>
      </c>
      <c r="Q6" s="12">
        <f>'TUSD BE'!$Q$6*'TUSD BE'!$Q$68</f>
        <v>0</v>
      </c>
      <c r="R6" s="12">
        <f>'TUSD BE'!$R$6*'TUSD BE'!$R$68</f>
        <v>0</v>
      </c>
      <c r="S6" s="12">
        <f>'TUSD BE'!$R$6*'TUSD BE'!$S$68</f>
        <v>0</v>
      </c>
      <c r="T6" s="12">
        <f ca="1">SUM($L$6:$S$6)</f>
        <v>0</v>
      </c>
      <c r="U6" s="12">
        <f>'TUSD BE'!$U$6*'TUSD BE'!$U$68</f>
        <v>7.325335312278072E-3</v>
      </c>
      <c r="V6" s="12">
        <f>'TUSD BE'!$V$6*'TUSD BE'!$V$68</f>
        <v>0</v>
      </c>
      <c r="W6" s="12">
        <f>'TUSD BE'!$W$6*'TUSD BE'!$W$68</f>
        <v>0</v>
      </c>
      <c r="X6" s="12">
        <f>'TUSD BE'!$X$6*'TUSD BE'!$X$68</f>
        <v>0</v>
      </c>
      <c r="Y6" s="12">
        <f>'TUSD BE'!$Y$6*'TUSD BE'!$Y$68</f>
        <v>-3.4346308834661249E-2</v>
      </c>
      <c r="Z6" s="12">
        <f>'TUSD BE'!$Z$6*'TUSD BE'!$Z$68</f>
        <v>0</v>
      </c>
      <c r="AA6" s="12">
        <f>'TUSD BE'!$AA$6*'TUSD BE'!$AA$68</f>
        <v>0</v>
      </c>
      <c r="AB6" s="12">
        <f>SUM($U$6:$AA$6)</f>
        <v>-2.7020973522383175E-2</v>
      </c>
      <c r="AC6" s="12">
        <f>'TUSD BE'!$AC$6*'TUSD BE'!$AC$68</f>
        <v>-2.0025545817024281E-3</v>
      </c>
      <c r="AD6" s="12">
        <f>SUM($AC$6:$AC$6)</f>
        <v>-2.0025545817024281E-3</v>
      </c>
      <c r="AE6" s="12">
        <f ca="1">$AO$6*$AO$65</f>
        <v>-0.50773578028934663</v>
      </c>
      <c r="AF6" s="12">
        <f ca="1">$AP$6*$AP$65</f>
        <v>0</v>
      </c>
      <c r="AG6" s="12">
        <f ca="1">SUM($AE$6:$AF$6)</f>
        <v>-0.50773578028934663</v>
      </c>
      <c r="AH6" s="12">
        <f>'TUSD BE'!$AH$6*'TUSD BE'!$AH$68</f>
        <v>0</v>
      </c>
      <c r="AI6" s="12">
        <f>'TUSD BE'!$AI$6*'TUSD BE'!$AI$68</f>
        <v>0</v>
      </c>
      <c r="AJ6" s="12">
        <f ca="1">'TUSD BE'!$AJ$6*'TUSD BE'!$AJ$68</f>
        <v>0</v>
      </c>
      <c r="AK6" s="12">
        <f ca="1">'TUSD BE'!$AK$6*'TUSD BE'!$AK$68</f>
        <v>0</v>
      </c>
      <c r="AL6" s="12">
        <f ca="1">SUM($AH$6:$AK$6)</f>
        <v>0</v>
      </c>
      <c r="AM6" s="12">
        <f ca="1">SUMIF($L$4:$AL$4,"SUBTOTAL",$L$6:$AL$6)</f>
        <v>-0.53675930839343222</v>
      </c>
      <c r="AO6" s="20">
        <f ca="1">+'TUSD BE'!$T$6+'TUSD BE'!$AB$6+'TUSD BE'!$AD$6+'TUSD BE'!$AL$6</f>
        <v>5.9899698434990007</v>
      </c>
      <c r="AP6" s="20">
        <f ca="1">+'TUSD BE'!$T$6+'TUSD BE'!$AB$6+'TUSD BE'!$AD$6+'TUSD BE'!$AL$6</f>
        <v>5.9899698434990007</v>
      </c>
    </row>
    <row r="7" spans="1:42" ht="11.25" customHeight="1" x14ac:dyDescent="0.25">
      <c r="A7" s="106"/>
      <c r="B7" s="106"/>
      <c r="C7" s="106"/>
      <c r="D7" s="106"/>
      <c r="E7" s="106"/>
      <c r="F7" s="106"/>
      <c r="G7" s="17" t="s">
        <v>84</v>
      </c>
      <c r="H7" s="17" t="s">
        <v>78</v>
      </c>
      <c r="I7" s="17">
        <f>'MERCADO TUSD'!$U$4</f>
        <v>69324.911000000007</v>
      </c>
      <c r="J7" s="15"/>
      <c r="L7" s="12">
        <f>'TUSD BE'!$L$7*'TUSD BE'!$L$68</f>
        <v>-5.0026221833418316E-2</v>
      </c>
      <c r="M7" s="12">
        <f>'TUSD BE'!$M$7*'TUSD BE'!$M$68</f>
        <v>-1.8798329942292537E-3</v>
      </c>
      <c r="N7" s="12">
        <f ca="1">'TUSD BE'!$N$7*'TUSD BE'!$N$68</f>
        <v>0</v>
      </c>
      <c r="O7" s="12">
        <f>'TUSD BE'!$O$7*'TUSD BE'!$O$68</f>
        <v>-2.273861876940069E-3</v>
      </c>
      <c r="P7" s="12">
        <f>'TUSD BE'!$P$7*'TUSD BE'!$P$68</f>
        <v>0</v>
      </c>
      <c r="Q7" s="12">
        <f>'TUSD BE'!$Q$7*'TUSD BE'!$Q$68</f>
        <v>-0.64349864084942965</v>
      </c>
      <c r="R7" s="12">
        <f>'TUSD BE'!$R$7*'TUSD BE'!$R$68</f>
        <v>-0.40912397039648096</v>
      </c>
      <c r="S7" s="12">
        <f>'TUSD BE'!$R$7*'TUSD BE'!$S$68</f>
        <v>0</v>
      </c>
      <c r="T7" s="12">
        <f ca="1">SUM($L$7:$S$7)</f>
        <v>-1.1068025279504983</v>
      </c>
      <c r="U7" s="12">
        <f>'TUSD BE'!$U$7*'TUSD BE'!$U$68</f>
        <v>0</v>
      </c>
      <c r="V7" s="12">
        <f>'TUSD BE'!$V$7*'TUSD BE'!$V$68</f>
        <v>0</v>
      </c>
      <c r="W7" s="12">
        <f>'TUSD BE'!$W$7*'TUSD BE'!$W$68</f>
        <v>0</v>
      </c>
      <c r="X7" s="12">
        <f>'TUSD BE'!$X$7*'TUSD BE'!$X$68</f>
        <v>0</v>
      </c>
      <c r="Y7" s="12">
        <f>'TUSD BE'!$Y$7*'TUSD BE'!$Y$68</f>
        <v>0</v>
      </c>
      <c r="Z7" s="12">
        <f>'TUSD BE'!$Z$7*'TUSD BE'!$Z$68</f>
        <v>0</v>
      </c>
      <c r="AA7" s="12">
        <f>'TUSD BE'!$AA$7*'TUSD BE'!$AA$68</f>
        <v>0</v>
      </c>
      <c r="AB7" s="12">
        <f>SUM($U$7:$AA$7)</f>
        <v>0</v>
      </c>
      <c r="AC7" s="12">
        <f>'TUSD BE'!$AC$7*'TUSD BE'!$AC$68</f>
        <v>0</v>
      </c>
      <c r="AD7" s="12">
        <f>SUM($AC$7:$AC$7)</f>
        <v>0</v>
      </c>
      <c r="AE7" s="12">
        <f ca="1">$AO$7*$AO$65</f>
        <v>-3.5174262477682006</v>
      </c>
      <c r="AF7" s="12">
        <f ca="1">$AP$7*$AP$65</f>
        <v>0</v>
      </c>
      <c r="AG7" s="12">
        <f ca="1">SUM($AE$7:$AF$7)</f>
        <v>-3.5174262477682006</v>
      </c>
      <c r="AH7" s="12">
        <f>'TUSD BE'!$AH$7*'TUSD BE'!$AH$68</f>
        <v>-0.15702334949941499</v>
      </c>
      <c r="AI7" s="12">
        <f>'TUSD BE'!$AI$7*'TUSD BE'!$AI$68</f>
        <v>-3.7021819438023199E-3</v>
      </c>
      <c r="AJ7" s="12">
        <f ca="1">'TUSD BE'!$AJ$7*'TUSD BE'!$AJ$68</f>
        <v>-3.7246909767367505E-2</v>
      </c>
      <c r="AK7" s="12">
        <f ca="1">'TUSD BE'!$AK$7*'TUSD BE'!$AK$68</f>
        <v>0</v>
      </c>
      <c r="AL7" s="12">
        <f ca="1">SUM($AH$7:$AK$7)</f>
        <v>-0.1979724412105848</v>
      </c>
      <c r="AM7" s="12">
        <f ca="1">SUMIF($L$4:$AL$4,"SUBTOTAL",$L$7:$AL$7)</f>
        <v>-4.8222012169292832</v>
      </c>
      <c r="AO7" s="20">
        <f ca="1">+'TUSD BE'!$T$7+'TUSD BE'!$AB$7+'TUSD BE'!$AD$7+'TUSD BE'!$AL$7</f>
        <v>41.496538098726234</v>
      </c>
      <c r="AP7" s="20">
        <f ca="1">+'TUSD BE'!$T$7+'TUSD BE'!$AB$7+'TUSD BE'!$AD$7+'TUSD BE'!$AL$7</f>
        <v>41.496538098726234</v>
      </c>
    </row>
    <row r="8" spans="1:42" ht="11.25" customHeight="1" x14ac:dyDescent="0.25">
      <c r="A8" s="106"/>
      <c r="B8" s="106"/>
      <c r="C8" s="106"/>
      <c r="D8" s="106"/>
      <c r="E8" s="18" t="s">
        <v>85</v>
      </c>
      <c r="F8" s="18" t="s">
        <v>25</v>
      </c>
      <c r="G8" s="17" t="s">
        <v>84</v>
      </c>
      <c r="H8" s="17" t="s">
        <v>78</v>
      </c>
      <c r="I8" s="17">
        <f>'MERCADO TUSD'!$U$5</f>
        <v>0</v>
      </c>
      <c r="J8" s="15"/>
      <c r="L8" s="12">
        <f>'TUSD BE'!$L$8*'TUSD BE'!$L$68</f>
        <v>0</v>
      </c>
      <c r="M8" s="12">
        <f>'TUSD BE'!$M$8*'TUSD BE'!$M$68</f>
        <v>-1.8798329942292537E-3</v>
      </c>
      <c r="N8" s="12">
        <f ca="1">'TUSD BE'!$N$8*'TUSD BE'!$N$68</f>
        <v>0</v>
      </c>
      <c r="O8" s="12">
        <f>'TUSD BE'!$O$8*'TUSD BE'!$O$68</f>
        <v>-2.273861876940069E-3</v>
      </c>
      <c r="P8" s="12">
        <f>'TUSD BE'!$P$8*'TUSD BE'!$P$68</f>
        <v>0</v>
      </c>
      <c r="Q8" s="12">
        <f>'TUSD BE'!$Q$8*'TUSD BE'!$Q$68</f>
        <v>0</v>
      </c>
      <c r="R8" s="12">
        <f>'TUSD BE'!$R$8*'TUSD BE'!$R$68</f>
        <v>0</v>
      </c>
      <c r="S8" s="12">
        <f>'TUSD BE'!$R$8*'TUSD BE'!$S$68</f>
        <v>0</v>
      </c>
      <c r="T8" s="12">
        <f ca="1">SUM($L$8:$S$8)</f>
        <v>-4.1536948711693228E-3</v>
      </c>
      <c r="U8" s="12">
        <f>'TUSD BE'!$U$8*'TUSD BE'!$U$68</f>
        <v>0</v>
      </c>
      <c r="V8" s="12">
        <f>'TUSD BE'!$V$8*'TUSD BE'!$V$68</f>
        <v>0</v>
      </c>
      <c r="W8" s="12">
        <f>'TUSD BE'!$W$8*'TUSD BE'!$W$68</f>
        <v>0</v>
      </c>
      <c r="X8" s="12">
        <f>'TUSD BE'!$X$8*'TUSD BE'!$X$68</f>
        <v>0</v>
      </c>
      <c r="Y8" s="12">
        <f>'TUSD BE'!$Y$8*'TUSD BE'!$Y$68</f>
        <v>0</v>
      </c>
      <c r="Z8" s="12">
        <f>'TUSD BE'!$Z$8*'TUSD BE'!$Z$68</f>
        <v>0</v>
      </c>
      <c r="AA8" s="12">
        <f>'TUSD BE'!$AA$8*'TUSD BE'!$AA$68</f>
        <v>0</v>
      </c>
      <c r="AB8" s="12">
        <f>SUM($U$8:$AA$8)</f>
        <v>0</v>
      </c>
      <c r="AC8" s="12">
        <f>'TUSD BE'!$AC$8*'TUSD BE'!$AC$68</f>
        <v>0</v>
      </c>
      <c r="AD8" s="12">
        <f>SUM($AC$8:$AC$8)</f>
        <v>0</v>
      </c>
      <c r="AE8" s="12">
        <f ca="1">$AO$8*$AO$65</f>
        <v>-0.30948188022039641</v>
      </c>
      <c r="AF8" s="12">
        <f ca="1">$AP$8*$AP$65</f>
        <v>0</v>
      </c>
      <c r="AG8" s="12">
        <f ca="1">SUM($AE$8:$AF$8)</f>
        <v>-0.30948188022039641</v>
      </c>
      <c r="AH8" s="12">
        <f>'TUSD BE'!$AH$8*'TUSD BE'!$AH$68</f>
        <v>-0.15702334949941499</v>
      </c>
      <c r="AI8" s="12">
        <f>'TUSD BE'!$AI$8*'TUSD BE'!$AI$68</f>
        <v>-3.7021819438023199E-3</v>
      </c>
      <c r="AJ8" s="12">
        <f ca="1">'TUSD BE'!$AJ$8*'TUSD BE'!$AJ$68</f>
        <v>-3.7246909767367505E-2</v>
      </c>
      <c r="AK8" s="12">
        <f ca="1">'TUSD BE'!$AK$8*'TUSD BE'!$AK$68</f>
        <v>0</v>
      </c>
      <c r="AL8" s="12">
        <f ca="1">SUM($AH$8:$AK$8)</f>
        <v>-0.1979724412105848</v>
      </c>
      <c r="AM8" s="12">
        <f ca="1">SUMIF($L$4:$AL$4,"SUBTOTAL",$L$8:$AL$8)</f>
        <v>-0.51160801630215058</v>
      </c>
      <c r="AO8" s="20">
        <f ca="1">+'TUSD BE'!$T$8+'TUSD BE'!$AB$8+'TUSD BE'!$AD$8+'TUSD BE'!$AL$8</f>
        <v>3.6510862570550273</v>
      </c>
      <c r="AP8" s="20">
        <f ca="1">+'TUSD BE'!$T$8+'TUSD BE'!$AB$8+'TUSD BE'!$AD$8+'TUSD BE'!$AL$8</f>
        <v>3.6510862570550273</v>
      </c>
    </row>
    <row r="9" spans="1:42" ht="11.25" customHeight="1" x14ac:dyDescent="0.25">
      <c r="A9" s="106"/>
      <c r="B9" s="106" t="s">
        <v>59</v>
      </c>
      <c r="C9" s="106" t="s">
        <v>25</v>
      </c>
      <c r="D9" s="106" t="s">
        <v>25</v>
      </c>
      <c r="E9" s="106" t="s">
        <v>25</v>
      </c>
      <c r="F9" s="106" t="s">
        <v>60</v>
      </c>
      <c r="G9" s="17" t="s">
        <v>82</v>
      </c>
      <c r="H9" s="17" t="s">
        <v>81</v>
      </c>
      <c r="I9" s="17">
        <f>'MERCADO TUSD'!$U$6</f>
        <v>216624</v>
      </c>
      <c r="J9" s="15"/>
      <c r="L9" s="12">
        <f>'TUSD BE'!$L$9*'TUSD BE'!$L$68</f>
        <v>0</v>
      </c>
      <c r="M9" s="12">
        <f>'TUSD BE'!$M$9*'TUSD BE'!$M$68</f>
        <v>0</v>
      </c>
      <c r="N9" s="12">
        <f ca="1">'TUSD BE'!$N$9*'TUSD BE'!$N$68</f>
        <v>0</v>
      </c>
      <c r="O9" s="12">
        <f>'TUSD BE'!$O$9*'TUSD BE'!$O$68</f>
        <v>0</v>
      </c>
      <c r="P9" s="12">
        <f>'TUSD BE'!$P$9*'TUSD BE'!$P$68</f>
        <v>0</v>
      </c>
      <c r="Q9" s="12">
        <f>'TUSD BE'!$Q$9*'TUSD BE'!$Q$68</f>
        <v>0</v>
      </c>
      <c r="R9" s="12">
        <f>'TUSD BE'!$R$9*'TUSD BE'!$R$68</f>
        <v>0</v>
      </c>
      <c r="S9" s="12">
        <f>'TUSD BE'!$R$9*'TUSD BE'!$S$68</f>
        <v>0</v>
      </c>
      <c r="T9" s="12">
        <f ca="1">SUM($L$9:$S$9)</f>
        <v>0</v>
      </c>
      <c r="U9" s="12">
        <f>'TUSD BE'!$U$9*'TUSD BE'!$U$68</f>
        <v>9.5618680733216711E-3</v>
      </c>
      <c r="V9" s="12">
        <f>'TUSD BE'!$V$9*'TUSD BE'!$V$68</f>
        <v>0</v>
      </c>
      <c r="W9" s="12">
        <f>'TUSD BE'!$W$9*'TUSD BE'!$W$68</f>
        <v>0</v>
      </c>
      <c r="X9" s="12">
        <f>'TUSD BE'!$X$9*'TUSD BE'!$X$68</f>
        <v>0</v>
      </c>
      <c r="Y9" s="12">
        <f>'TUSD BE'!$Y$9*'TUSD BE'!$Y$68</f>
        <v>-0.10139251621775675</v>
      </c>
      <c r="Z9" s="12">
        <f>'TUSD BE'!$Z$9*'TUSD BE'!$Z$68</f>
        <v>0</v>
      </c>
      <c r="AA9" s="12">
        <f>'TUSD BE'!$AA$9*'TUSD BE'!$AA$68</f>
        <v>0</v>
      </c>
      <c r="AB9" s="12">
        <f>SUM($U$9:$AA$9)</f>
        <v>-9.1830648144435076E-2</v>
      </c>
      <c r="AC9" s="12">
        <f>'TUSD BE'!$AC$9*'TUSD BE'!$AC$68</f>
        <v>-1.5808890828371336E-2</v>
      </c>
      <c r="AD9" s="12">
        <f>SUM($AC$9:$AC$9)</f>
        <v>-1.5808890828371336E-2</v>
      </c>
      <c r="AE9" s="12">
        <v>0</v>
      </c>
      <c r="AF9" s="12">
        <f ca="1">$AP$9*$AP$65</f>
        <v>0</v>
      </c>
      <c r="AG9" s="12">
        <f ca="1">SUM($AE$9:$AF$9)</f>
        <v>0</v>
      </c>
      <c r="AH9" s="12">
        <f>'TUSD BE'!$AH$9*'TUSD BE'!$AH$68</f>
        <v>0</v>
      </c>
      <c r="AI9" s="12">
        <f>'TUSD BE'!$AI$9*'TUSD BE'!$AI$68</f>
        <v>0</v>
      </c>
      <c r="AJ9" s="12">
        <f ca="1">'TUSD BE'!$AJ$9*'TUSD BE'!$AJ$68</f>
        <v>0</v>
      </c>
      <c r="AK9" s="12">
        <f ca="1">'TUSD BE'!$AK$9*'TUSD BE'!$AK$68</f>
        <v>0</v>
      </c>
      <c r="AL9" s="12">
        <f ca="1">SUM($AH$9:$AK$9)</f>
        <v>0</v>
      </c>
      <c r="AM9" s="12">
        <f ca="1">SUMIF($L$4:$AL$4,"SUBTOTAL",$L$9:$AL$9)</f>
        <v>-0.10763953897280641</v>
      </c>
      <c r="AO9" s="20"/>
      <c r="AP9" s="20">
        <f ca="1">+'TUSD BE'!$T$9+'TUSD BE'!$AB$9+'TUSD BE'!$AD$9+'TUSD BE'!$AL$9</f>
        <v>12.629016992670957</v>
      </c>
    </row>
    <row r="10" spans="1:42" ht="11.25" customHeight="1" x14ac:dyDescent="0.25">
      <c r="A10" s="106"/>
      <c r="B10" s="106"/>
      <c r="C10" s="106"/>
      <c r="D10" s="106"/>
      <c r="E10" s="106"/>
      <c r="F10" s="106"/>
      <c r="G10" s="17" t="s">
        <v>83</v>
      </c>
      <c r="H10" s="17" t="s">
        <v>81</v>
      </c>
      <c r="I10" s="17">
        <f>'MERCADO TUSD'!$U$7</f>
        <v>219920</v>
      </c>
      <c r="J10" s="15"/>
      <c r="L10" s="12">
        <f>'TUSD BE'!$L$10*'TUSD BE'!$L$68</f>
        <v>0</v>
      </c>
      <c r="M10" s="12">
        <f>'TUSD BE'!$M$10*'TUSD BE'!$M$68</f>
        <v>0</v>
      </c>
      <c r="N10" s="12">
        <f ca="1">'TUSD BE'!$N$10*'TUSD BE'!$N$68</f>
        <v>0</v>
      </c>
      <c r="O10" s="12">
        <f>'TUSD BE'!$O$10*'TUSD BE'!$O$68</f>
        <v>0</v>
      </c>
      <c r="P10" s="12">
        <f>'TUSD BE'!$P$10*'TUSD BE'!$P$68</f>
        <v>0</v>
      </c>
      <c r="Q10" s="12">
        <f>'TUSD BE'!$Q$10*'TUSD BE'!$Q$68</f>
        <v>0</v>
      </c>
      <c r="R10" s="12">
        <f>'TUSD BE'!$R$10*'TUSD BE'!$R$68</f>
        <v>0</v>
      </c>
      <c r="S10" s="12">
        <f>'TUSD BE'!$R$10*'TUSD BE'!$S$68</f>
        <v>0</v>
      </c>
      <c r="T10" s="12">
        <f ca="1">SUM($L$10:$S$10)</f>
        <v>0</v>
      </c>
      <c r="U10" s="12">
        <f>'TUSD BE'!$U$10*'TUSD BE'!$U$68</f>
        <v>7.325335312278072E-3</v>
      </c>
      <c r="V10" s="12">
        <f>'TUSD BE'!$V$10*'TUSD BE'!$V$68</f>
        <v>0</v>
      </c>
      <c r="W10" s="12">
        <f>'TUSD BE'!$W$10*'TUSD BE'!$W$68</f>
        <v>0</v>
      </c>
      <c r="X10" s="12">
        <f>'TUSD BE'!$X$10*'TUSD BE'!$X$68</f>
        <v>0</v>
      </c>
      <c r="Y10" s="12">
        <f>'TUSD BE'!$Y$10*'TUSD BE'!$Y$68</f>
        <v>-3.4346308834661249E-2</v>
      </c>
      <c r="Z10" s="12">
        <f>'TUSD BE'!$Z$10*'TUSD BE'!$Z$68</f>
        <v>0</v>
      </c>
      <c r="AA10" s="12">
        <f>'TUSD BE'!$AA$10*'TUSD BE'!$AA$68</f>
        <v>0</v>
      </c>
      <c r="AB10" s="12">
        <f>SUM($U$10:$AA$10)</f>
        <v>-2.7020973522383175E-2</v>
      </c>
      <c r="AC10" s="12">
        <f>'TUSD BE'!$AC$10*'TUSD BE'!$AC$68</f>
        <v>-2.0025545817024281E-3</v>
      </c>
      <c r="AD10" s="12">
        <f>SUM($AC$10:$AC$10)</f>
        <v>-2.0025545817024281E-3</v>
      </c>
      <c r="AE10" s="12">
        <v>0</v>
      </c>
      <c r="AF10" s="12">
        <f ca="1">$AP$10*$AP$65</f>
        <v>0</v>
      </c>
      <c r="AG10" s="12">
        <f ca="1">SUM($AE$10:$AF$10)</f>
        <v>0</v>
      </c>
      <c r="AH10" s="12">
        <f>'TUSD BE'!$AH$10*'TUSD BE'!$AH$68</f>
        <v>0</v>
      </c>
      <c r="AI10" s="12">
        <f>'TUSD BE'!$AI$10*'TUSD BE'!$AI$68</f>
        <v>0</v>
      </c>
      <c r="AJ10" s="12">
        <f ca="1">'TUSD BE'!$AJ$10*'TUSD BE'!$AJ$68</f>
        <v>0</v>
      </c>
      <c r="AK10" s="12">
        <f ca="1">'TUSD BE'!$AK$10*'TUSD BE'!$AK$68</f>
        <v>0</v>
      </c>
      <c r="AL10" s="12">
        <f ca="1">SUM($AH$10:$AK$10)</f>
        <v>0</v>
      </c>
      <c r="AM10" s="12">
        <f ca="1">SUMIF($L$4:$AL$4,"SUBTOTAL",$L$10:$AL$10)</f>
        <v>-2.9023528104085605E-2</v>
      </c>
      <c r="AO10" s="20"/>
      <c r="AP10" s="20">
        <f ca="1">+'TUSD BE'!$T$10+'TUSD BE'!$AB$10+'TUSD BE'!$AD$10+'TUSD BE'!$AL$10</f>
        <v>5.9899698434990007</v>
      </c>
    </row>
    <row r="11" spans="1:42" ht="11.25" customHeight="1" x14ac:dyDescent="0.25">
      <c r="A11" s="106"/>
      <c r="B11" s="106"/>
      <c r="C11" s="106"/>
      <c r="D11" s="106"/>
      <c r="E11" s="106"/>
      <c r="F11" s="106"/>
      <c r="G11" s="17" t="s">
        <v>84</v>
      </c>
      <c r="H11" s="17" t="s">
        <v>78</v>
      </c>
      <c r="I11" s="17">
        <f>'MERCADO TUSD'!$U$8</f>
        <v>41971.481000000007</v>
      </c>
      <c r="J11" s="15"/>
      <c r="L11" s="12">
        <f>'TUSD BE'!$L$11*'TUSD BE'!$L$68</f>
        <v>0</v>
      </c>
      <c r="M11" s="12">
        <f>'TUSD BE'!$M$11*'TUSD BE'!$M$68</f>
        <v>0</v>
      </c>
      <c r="N11" s="12">
        <f ca="1">'TUSD BE'!$N$11*'TUSD BE'!$N$68</f>
        <v>0</v>
      </c>
      <c r="O11" s="12">
        <f>'TUSD BE'!$O$11*'TUSD BE'!$O$68</f>
        <v>0</v>
      </c>
      <c r="P11" s="12">
        <f>'TUSD BE'!$P$11*'TUSD BE'!$P$68</f>
        <v>0</v>
      </c>
      <c r="Q11" s="12">
        <f>'TUSD BE'!$Q$11*'TUSD BE'!$Q$68</f>
        <v>0</v>
      </c>
      <c r="R11" s="12">
        <f>'TUSD BE'!$R$11*'TUSD BE'!$R$68</f>
        <v>0</v>
      </c>
      <c r="S11" s="12">
        <f>'TUSD BE'!$R$11*'TUSD BE'!$S$68</f>
        <v>0</v>
      </c>
      <c r="T11" s="12">
        <f ca="1">SUM($L$11:$S$11)</f>
        <v>0</v>
      </c>
      <c r="U11" s="12">
        <f>'TUSD BE'!$U$11*'TUSD BE'!$U$68</f>
        <v>0</v>
      </c>
      <c r="V11" s="12">
        <f>'TUSD BE'!$V$11*'TUSD BE'!$V$68</f>
        <v>0</v>
      </c>
      <c r="W11" s="12">
        <f>'TUSD BE'!$W$11*'TUSD BE'!$W$68</f>
        <v>0</v>
      </c>
      <c r="X11" s="12">
        <f>'TUSD BE'!$X$11*'TUSD BE'!$X$68</f>
        <v>0</v>
      </c>
      <c r="Y11" s="12">
        <f>'TUSD BE'!$Y$11*'TUSD BE'!$Y$68</f>
        <v>0</v>
      </c>
      <c r="Z11" s="12">
        <f>'TUSD BE'!$Z$11*'TUSD BE'!$Z$68</f>
        <v>0</v>
      </c>
      <c r="AA11" s="12">
        <f>'TUSD BE'!$AA$11*'TUSD BE'!$AA$68</f>
        <v>0</v>
      </c>
      <c r="AB11" s="12">
        <f>SUM($U$11:$AA$11)</f>
        <v>0</v>
      </c>
      <c r="AC11" s="12">
        <f>'TUSD BE'!$AC$11*'TUSD BE'!$AC$68</f>
        <v>0</v>
      </c>
      <c r="AD11" s="12">
        <f>SUM($AC$11:$AC$11)</f>
        <v>0</v>
      </c>
      <c r="AE11" s="12">
        <v>0</v>
      </c>
      <c r="AF11" s="12">
        <f ca="1">$AP$11*$AP$65</f>
        <v>0</v>
      </c>
      <c r="AG11" s="12">
        <f ca="1">SUM($AE$11:$AF$11)</f>
        <v>0</v>
      </c>
      <c r="AH11" s="12">
        <f>'TUSD BE'!$AH$11*'TUSD BE'!$AH$68</f>
        <v>-0.15702334949941499</v>
      </c>
      <c r="AI11" s="12">
        <f>'TUSD BE'!$AI$11*'TUSD BE'!$AI$68</f>
        <v>-3.7021819438023199E-3</v>
      </c>
      <c r="AJ11" s="12">
        <f ca="1">'TUSD BE'!$AJ$11*'TUSD BE'!$AJ$68</f>
        <v>0</v>
      </c>
      <c r="AK11" s="12">
        <f ca="1">'TUSD BE'!$AK$11*'TUSD BE'!$AK$68</f>
        <v>0</v>
      </c>
      <c r="AL11" s="12">
        <f ca="1">SUM($AH$11:$AK$11)</f>
        <v>-0.1607255314432173</v>
      </c>
      <c r="AM11" s="12">
        <f ca="1">SUMIF($L$4:$AL$4,"SUBTOTAL",$L$11:$AL$11)</f>
        <v>-0.1607255314432173</v>
      </c>
      <c r="AO11" s="20"/>
      <c r="AP11" s="20">
        <f ca="1">+'TUSD BE'!$T$11+'TUSD BE'!$AB$11+'TUSD BE'!$AD$11+'TUSD BE'!$AL$11</f>
        <v>2.8140582505002167</v>
      </c>
    </row>
    <row r="12" spans="1:42" ht="11.25" customHeight="1" x14ac:dyDescent="0.25">
      <c r="A12" s="106" t="s">
        <v>39</v>
      </c>
      <c r="B12" s="106" t="s">
        <v>40</v>
      </c>
      <c r="C12" s="106" t="s">
        <v>25</v>
      </c>
      <c r="D12" s="106" t="s">
        <v>25</v>
      </c>
      <c r="E12" s="106" t="s">
        <v>25</v>
      </c>
      <c r="F12" s="106" t="s">
        <v>25</v>
      </c>
      <c r="G12" s="17" t="s">
        <v>82</v>
      </c>
      <c r="H12" s="17" t="s">
        <v>81</v>
      </c>
      <c r="I12" s="17">
        <f>'MERCADO TUSD'!$U$9</f>
        <v>96314</v>
      </c>
      <c r="J12" s="15"/>
      <c r="L12" s="12">
        <f>'TUSD BE'!$L$12*'TUSD BE'!$L$68</f>
        <v>0</v>
      </c>
      <c r="M12" s="12">
        <f>'TUSD BE'!$M$12*'TUSD BE'!$M$68</f>
        <v>0</v>
      </c>
      <c r="N12" s="12">
        <f ca="1">'TUSD BE'!$N$12*'TUSD BE'!$N$68</f>
        <v>0</v>
      </c>
      <c r="O12" s="12">
        <f>'TUSD BE'!$O$12*'TUSD BE'!$O$68</f>
        <v>0</v>
      </c>
      <c r="P12" s="12">
        <f>'TUSD BE'!$P$12*'TUSD BE'!$P$68</f>
        <v>0</v>
      </c>
      <c r="Q12" s="12">
        <f>'TUSD BE'!$Q$12*'TUSD BE'!$Q$68</f>
        <v>0</v>
      </c>
      <c r="R12" s="12">
        <f>'TUSD BE'!$R$12*'TUSD BE'!$R$68</f>
        <v>0</v>
      </c>
      <c r="S12" s="12">
        <f>'TUSD BE'!$R$12*'TUSD BE'!$S$68</f>
        <v>0</v>
      </c>
      <c r="T12" s="12">
        <f ca="1">SUM($L$12:$S$12)</f>
        <v>0</v>
      </c>
      <c r="U12" s="12">
        <f>'TUSD BE'!$U$12*'TUSD BE'!$U$68</f>
        <v>1.1658441383774469E-2</v>
      </c>
      <c r="V12" s="12">
        <f>'TUSD BE'!$V$12*'TUSD BE'!$V$68</f>
        <v>0</v>
      </c>
      <c r="W12" s="12">
        <f>'TUSD BE'!$W$12*'TUSD BE'!$W$68</f>
        <v>0</v>
      </c>
      <c r="X12" s="12">
        <f>'TUSD BE'!$X$12*'TUSD BE'!$X$68</f>
        <v>0</v>
      </c>
      <c r="Y12" s="12">
        <f>'TUSD BE'!$Y$12*'TUSD BE'!$Y$68</f>
        <v>-0.13424253137487036</v>
      </c>
      <c r="Z12" s="12">
        <f>'TUSD BE'!$Z$12*'TUSD BE'!$Z$68</f>
        <v>0</v>
      </c>
      <c r="AA12" s="12">
        <f>'TUSD BE'!$AA$12*'TUSD BE'!$AA$68</f>
        <v>0</v>
      </c>
      <c r="AB12" s="12">
        <f>SUM($U$12:$AA$12)</f>
        <v>-0.12258408999109588</v>
      </c>
      <c r="AC12" s="12">
        <f>'TUSD BE'!$AC$12*'TUSD BE'!$AC$68</f>
        <v>-0.16614911619633482</v>
      </c>
      <c r="AD12" s="12">
        <f>SUM($AC$12:$AC$12)</f>
        <v>-0.16614911619633482</v>
      </c>
      <c r="AE12" s="12">
        <f ca="1">$AO$12*$AO$65</f>
        <v>-3.3453516666475687</v>
      </c>
      <c r="AF12" s="12">
        <f ca="1">$AP$12*$AP$65</f>
        <v>0</v>
      </c>
      <c r="AG12" s="12">
        <f ca="1">SUM($AE$12:$AF$12)</f>
        <v>-3.3453516666475687</v>
      </c>
      <c r="AH12" s="12">
        <f>'TUSD BE'!$AH$12*'TUSD BE'!$AH$68</f>
        <v>0</v>
      </c>
      <c r="AI12" s="12">
        <f>'TUSD BE'!$AI$12*'TUSD BE'!$AI$68</f>
        <v>0</v>
      </c>
      <c r="AJ12" s="12">
        <f ca="1">'TUSD BE'!$AJ$12*'TUSD BE'!$AJ$68</f>
        <v>0</v>
      </c>
      <c r="AK12" s="12">
        <f ca="1">'TUSD BE'!$AK$12*'TUSD BE'!$AK$68</f>
        <v>0</v>
      </c>
      <c r="AL12" s="12">
        <f ca="1">SUM($AH$12:$AK$12)</f>
        <v>0</v>
      </c>
      <c r="AM12" s="12">
        <f ca="1">SUMIF($L$4:$AL$4,"SUBTOTAL",$L$12:$AL$12)</f>
        <v>-3.6340848728349995</v>
      </c>
      <c r="AO12" s="20">
        <f ca="1">+'TUSD BE'!$T$12+'TUSD BE'!$AB$12+'TUSD BE'!$AD$12+'TUSD BE'!$AL$12</f>
        <v>39.466502809194495</v>
      </c>
      <c r="AP12" s="20">
        <f ca="1">+'TUSD BE'!$T$12+'TUSD BE'!$AB$12+'TUSD BE'!$AD$12+'TUSD BE'!$AL$12</f>
        <v>39.466502809194495</v>
      </c>
    </row>
    <row r="13" spans="1:42" ht="11.25" customHeight="1" x14ac:dyDescent="0.25">
      <c r="A13" s="106"/>
      <c r="B13" s="106"/>
      <c r="C13" s="106"/>
      <c r="D13" s="106"/>
      <c r="E13" s="106"/>
      <c r="F13" s="106"/>
      <c r="G13" s="17" t="s">
        <v>83</v>
      </c>
      <c r="H13" s="17" t="s">
        <v>81</v>
      </c>
      <c r="I13" s="17">
        <f>'MERCADO TUSD'!$U$10</f>
        <v>112951</v>
      </c>
      <c r="J13" s="15"/>
      <c r="L13" s="12">
        <f>'TUSD BE'!$L$13*'TUSD BE'!$L$68</f>
        <v>0</v>
      </c>
      <c r="M13" s="12">
        <f>'TUSD BE'!$M$13*'TUSD BE'!$M$68</f>
        <v>0</v>
      </c>
      <c r="N13" s="12">
        <f ca="1">'TUSD BE'!$N$13*'TUSD BE'!$N$68</f>
        <v>0</v>
      </c>
      <c r="O13" s="12">
        <f>'TUSD BE'!$O$13*'TUSD BE'!$O$68</f>
        <v>0</v>
      </c>
      <c r="P13" s="12">
        <f>'TUSD BE'!$P$13*'TUSD BE'!$P$68</f>
        <v>0</v>
      </c>
      <c r="Q13" s="12">
        <f>'TUSD BE'!$Q$13*'TUSD BE'!$Q$68</f>
        <v>0</v>
      </c>
      <c r="R13" s="12">
        <f>'TUSD BE'!$R$13*'TUSD BE'!$R$68</f>
        <v>0</v>
      </c>
      <c r="S13" s="12">
        <f>'TUSD BE'!$R$13*'TUSD BE'!$S$68</f>
        <v>0</v>
      </c>
      <c r="T13" s="12">
        <f ca="1">SUM($L$13:$S$13)</f>
        <v>0</v>
      </c>
      <c r="U13" s="12">
        <f>'TUSD BE'!$U$13*'TUSD BE'!$U$68</f>
        <v>8.7286642623284165E-3</v>
      </c>
      <c r="V13" s="12">
        <f>'TUSD BE'!$V$13*'TUSD BE'!$V$68</f>
        <v>0</v>
      </c>
      <c r="W13" s="12">
        <f>'TUSD BE'!$W$13*'TUSD BE'!$W$68</f>
        <v>0</v>
      </c>
      <c r="X13" s="12">
        <f>'TUSD BE'!$X$13*'TUSD BE'!$X$68</f>
        <v>0</v>
      </c>
      <c r="Y13" s="12">
        <f>'TUSD BE'!$Y$13*'TUSD BE'!$Y$68</f>
        <v>-5.0467022854820826E-2</v>
      </c>
      <c r="Z13" s="12">
        <f>'TUSD BE'!$Z$13*'TUSD BE'!$Z$68</f>
        <v>0</v>
      </c>
      <c r="AA13" s="12">
        <f>'TUSD BE'!$AA$13*'TUSD BE'!$AA$68</f>
        <v>0</v>
      </c>
      <c r="AB13" s="12">
        <f>SUM($U$13:$AA$13)</f>
        <v>-4.1738358592492406E-2</v>
      </c>
      <c r="AC13" s="12">
        <f>'TUSD BE'!$AC$13*'TUSD BE'!$AC$68</f>
        <v>-7.5711938885622262E-2</v>
      </c>
      <c r="AD13" s="12">
        <f>SUM($AC$13:$AC$13)</f>
        <v>-7.5711938885622262E-2</v>
      </c>
      <c r="AE13" s="12">
        <f ca="1">$AO$13*$AO$65</f>
        <v>-1.6407139614850279</v>
      </c>
      <c r="AF13" s="12">
        <f ca="1">$AP$13*$AP$65</f>
        <v>0</v>
      </c>
      <c r="AG13" s="12">
        <f ca="1">SUM($AE$13:$AF$13)</f>
        <v>-1.6407139614850279</v>
      </c>
      <c r="AH13" s="12">
        <f>'TUSD BE'!$AH$13*'TUSD BE'!$AH$68</f>
        <v>0</v>
      </c>
      <c r="AI13" s="12">
        <f>'TUSD BE'!$AI$13*'TUSD BE'!$AI$68</f>
        <v>0</v>
      </c>
      <c r="AJ13" s="12">
        <f ca="1">'TUSD BE'!$AJ$13*'TUSD BE'!$AJ$68</f>
        <v>0</v>
      </c>
      <c r="AK13" s="12">
        <f ca="1">'TUSD BE'!$AK$13*'TUSD BE'!$AK$68</f>
        <v>0</v>
      </c>
      <c r="AL13" s="12">
        <f ca="1">SUM($AH$13:$AK$13)</f>
        <v>0</v>
      </c>
      <c r="AM13" s="12">
        <f ca="1">SUMIF($L$4:$AL$4,"SUBTOTAL",$L$13:$AL$13)</f>
        <v>-1.7581642589631425</v>
      </c>
      <c r="AO13" s="20">
        <f ca="1">+'TUSD BE'!$T$13+'TUSD BE'!$AB$13+'TUSD BE'!$AD$13+'TUSD BE'!$AL$13</f>
        <v>19.356183929961468</v>
      </c>
      <c r="AP13" s="20">
        <f ca="1">+'TUSD BE'!$T$13+'TUSD BE'!$AB$13+'TUSD BE'!$AD$13+'TUSD BE'!$AL$13</f>
        <v>19.356183929961468</v>
      </c>
    </row>
    <row r="14" spans="1:42" ht="11.25" customHeight="1" x14ac:dyDescent="0.25">
      <c r="A14" s="106"/>
      <c r="B14" s="106"/>
      <c r="C14" s="106"/>
      <c r="D14" s="106"/>
      <c r="E14" s="106"/>
      <c r="F14" s="106"/>
      <c r="G14" s="17" t="s">
        <v>84</v>
      </c>
      <c r="H14" s="17" t="s">
        <v>78</v>
      </c>
      <c r="I14" s="17">
        <f>'MERCADO TUSD'!$U$11</f>
        <v>43743.163999999997</v>
      </c>
      <c r="J14" s="15"/>
      <c r="L14" s="12">
        <f>'TUSD BE'!$L$14*'TUSD BE'!$L$68</f>
        <v>-6.7777461838824798E-2</v>
      </c>
      <c r="M14" s="12">
        <f>'TUSD BE'!$M$14*'TUSD BE'!$M$68</f>
        <v>-1.3462642371001839E-2</v>
      </c>
      <c r="N14" s="12">
        <f ca="1">'TUSD BE'!$N$14*'TUSD BE'!$N$68</f>
        <v>0</v>
      </c>
      <c r="O14" s="12">
        <f>'TUSD BE'!$O$14*'TUSD BE'!$O$68</f>
        <v>-2.273861876940069E-3</v>
      </c>
      <c r="P14" s="12">
        <f>'TUSD BE'!$P$14*'TUSD BE'!$P$68</f>
        <v>0</v>
      </c>
      <c r="Q14" s="12">
        <f>'TUSD BE'!$Q$14*'TUSD BE'!$Q$68</f>
        <v>-0.87183686824761442</v>
      </c>
      <c r="R14" s="12">
        <f>'TUSD BE'!$R$14*'TUSD BE'!$R$68</f>
        <v>-0.40912397039648096</v>
      </c>
      <c r="S14" s="12">
        <f>'TUSD BE'!$R$14*'TUSD BE'!$S$68</f>
        <v>0</v>
      </c>
      <c r="T14" s="12">
        <f ca="1">SUM($L$14:$S$14)</f>
        <v>-1.3644748047308619</v>
      </c>
      <c r="U14" s="12">
        <f>'TUSD BE'!$U$14*'TUSD BE'!$U$68</f>
        <v>0</v>
      </c>
      <c r="V14" s="12">
        <f>'TUSD BE'!$V$14*'TUSD BE'!$V$68</f>
        <v>0</v>
      </c>
      <c r="W14" s="12">
        <f>'TUSD BE'!$W$14*'TUSD BE'!$W$68</f>
        <v>0</v>
      </c>
      <c r="X14" s="12">
        <f>'TUSD BE'!$X$14*'TUSD BE'!$X$68</f>
        <v>0</v>
      </c>
      <c r="Y14" s="12">
        <f>'TUSD BE'!$Y$14*'TUSD BE'!$Y$68</f>
        <v>0</v>
      </c>
      <c r="Z14" s="12">
        <f>'TUSD BE'!$Z$14*'TUSD BE'!$Z$68</f>
        <v>0</v>
      </c>
      <c r="AA14" s="12">
        <f>'TUSD BE'!$AA$14*'TUSD BE'!$AA$68</f>
        <v>0</v>
      </c>
      <c r="AB14" s="12">
        <f>SUM($U$14:$AA$14)</f>
        <v>0</v>
      </c>
      <c r="AC14" s="12">
        <f>'TUSD BE'!$AC$14*'TUSD BE'!$AC$68</f>
        <v>0</v>
      </c>
      <c r="AD14" s="12">
        <f>SUM($AC$14:$AC$14)</f>
        <v>0</v>
      </c>
      <c r="AE14" s="12">
        <f ca="1">$AO$14*$AO$65</f>
        <v>-4.6033099922216865</v>
      </c>
      <c r="AF14" s="12">
        <f ca="1">$AP$14*$AP$65</f>
        <v>0</v>
      </c>
      <c r="AG14" s="12">
        <f ca="1">SUM($AE$14:$AF$14)</f>
        <v>-4.6033099922216865</v>
      </c>
      <c r="AH14" s="12">
        <f>'TUSD BE'!$AH$14*'TUSD BE'!$AH$68</f>
        <v>-0.31582210385347725</v>
      </c>
      <c r="AI14" s="12">
        <f>'TUSD BE'!$AI$14*'TUSD BE'!$AI$68</f>
        <v>-7.4462230876329669E-3</v>
      </c>
      <c r="AJ14" s="12">
        <f ca="1">'TUSD BE'!$AJ$14*'TUSD BE'!$AJ$68</f>
        <v>-0.10548047046216222</v>
      </c>
      <c r="AK14" s="12">
        <f ca="1">'TUSD BE'!$AK$14*'TUSD BE'!$AK$68</f>
        <v>0</v>
      </c>
      <c r="AL14" s="12">
        <f ca="1">SUM($AH$14:$AK$14)</f>
        <v>-0.42874879740327243</v>
      </c>
      <c r="AM14" s="12">
        <f ca="1">SUMIF($L$4:$AL$4,"SUBTOTAL",$L$14:$AL$14)</f>
        <v>-6.3965335943558213</v>
      </c>
      <c r="AO14" s="20">
        <f ca="1">+'TUSD BE'!$T$14+'TUSD BE'!$AB$14+'TUSD BE'!$AD$14+'TUSD BE'!$AL$14</f>
        <v>54.307159558406397</v>
      </c>
      <c r="AP14" s="20">
        <f ca="1">+'TUSD BE'!$T$14+'TUSD BE'!$AB$14+'TUSD BE'!$AD$14+'TUSD BE'!$AL$14</f>
        <v>54.307159558406397</v>
      </c>
    </row>
    <row r="15" spans="1:42" ht="11.25" customHeight="1" x14ac:dyDescent="0.25">
      <c r="A15" s="106"/>
      <c r="B15" s="106"/>
      <c r="C15" s="106"/>
      <c r="D15" s="106"/>
      <c r="E15" s="18" t="s">
        <v>85</v>
      </c>
      <c r="F15" s="18" t="s">
        <v>25</v>
      </c>
      <c r="G15" s="17" t="s">
        <v>84</v>
      </c>
      <c r="H15" s="17" t="s">
        <v>78</v>
      </c>
      <c r="I15" s="17">
        <f>'MERCADO TUSD'!$U$12</f>
        <v>0</v>
      </c>
      <c r="J15" s="15"/>
      <c r="L15" s="12">
        <f>'TUSD BE'!$L$15*'TUSD BE'!$L$68</f>
        <v>0</v>
      </c>
      <c r="M15" s="12">
        <f>'TUSD BE'!$M$15*'TUSD BE'!$M$68</f>
        <v>-1.3462642371001839E-2</v>
      </c>
      <c r="N15" s="12">
        <f ca="1">'TUSD BE'!$N$15*'TUSD BE'!$N$68</f>
        <v>0</v>
      </c>
      <c r="O15" s="12">
        <f>'TUSD BE'!$O$15*'TUSD BE'!$O$68</f>
        <v>-2.273861876940069E-3</v>
      </c>
      <c r="P15" s="12">
        <f>'TUSD BE'!$P$15*'TUSD BE'!$P$68</f>
        <v>0</v>
      </c>
      <c r="Q15" s="12">
        <f>'TUSD BE'!$Q$15*'TUSD BE'!$Q$68</f>
        <v>0</v>
      </c>
      <c r="R15" s="12">
        <f>'TUSD BE'!$R$15*'TUSD BE'!$R$68</f>
        <v>0</v>
      </c>
      <c r="S15" s="12">
        <f>'TUSD BE'!$R$15*'TUSD BE'!$S$68</f>
        <v>0</v>
      </c>
      <c r="T15" s="12">
        <f ca="1">SUM($L$15:$S$15)</f>
        <v>-1.5736504247941908E-2</v>
      </c>
      <c r="U15" s="12">
        <f>'TUSD BE'!$U$15*'TUSD BE'!$U$68</f>
        <v>0</v>
      </c>
      <c r="V15" s="12">
        <f>'TUSD BE'!$V$15*'TUSD BE'!$V$68</f>
        <v>0</v>
      </c>
      <c r="W15" s="12">
        <f>'TUSD BE'!$W$15*'TUSD BE'!$W$68</f>
        <v>0</v>
      </c>
      <c r="X15" s="12">
        <f>'TUSD BE'!$X$15*'TUSD BE'!$X$68</f>
        <v>0</v>
      </c>
      <c r="Y15" s="12">
        <f>'TUSD BE'!$Y$15*'TUSD BE'!$Y$68</f>
        <v>0</v>
      </c>
      <c r="Z15" s="12">
        <f>'TUSD BE'!$Z$15*'TUSD BE'!$Z$68</f>
        <v>0</v>
      </c>
      <c r="AA15" s="12">
        <f>'TUSD BE'!$AA$15*'TUSD BE'!$AA$68</f>
        <v>0</v>
      </c>
      <c r="AB15" s="12">
        <f>SUM($U$15:$AA$15)</f>
        <v>0</v>
      </c>
      <c r="AC15" s="12">
        <f>'TUSD BE'!$AC$15*'TUSD BE'!$AC$68</f>
        <v>0</v>
      </c>
      <c r="AD15" s="12">
        <f>SUM($AC$15:$AC$15)</f>
        <v>0</v>
      </c>
      <c r="AE15" s="12">
        <f ca="1">$AO$15*$AO$65</f>
        <v>-0.68963577531382947</v>
      </c>
      <c r="AF15" s="12">
        <f ca="1">$AP$15*$AP$65</f>
        <v>0</v>
      </c>
      <c r="AG15" s="12">
        <f ca="1">SUM($AE$15:$AF$15)</f>
        <v>-0.68963577531382947</v>
      </c>
      <c r="AH15" s="12">
        <f>'TUSD BE'!$AH$15*'TUSD BE'!$AH$68</f>
        <v>-0.31582210385347725</v>
      </c>
      <c r="AI15" s="12">
        <f>'TUSD BE'!$AI$15*'TUSD BE'!$AI$68</f>
        <v>-7.4462230876329669E-3</v>
      </c>
      <c r="AJ15" s="12">
        <f ca="1">'TUSD BE'!$AJ$15*'TUSD BE'!$AJ$68</f>
        <v>-0.10548047046216222</v>
      </c>
      <c r="AK15" s="12">
        <f ca="1">'TUSD BE'!$AK$15*'TUSD BE'!$AK$68</f>
        <v>0</v>
      </c>
      <c r="AL15" s="12">
        <f ca="1">SUM($AH$15:$AK$15)</f>
        <v>-0.42874879740327243</v>
      </c>
      <c r="AM15" s="12">
        <f ca="1">SUMIF($L$4:$AL$4,"SUBTOTAL",$L$15:$AL$15)</f>
        <v>-1.1341210769650438</v>
      </c>
      <c r="AO15" s="20">
        <f ca="1">+'TUSD BE'!$T$15+'TUSD BE'!$AB$15+'TUSD BE'!$AD$15+'TUSD BE'!$AL$15</f>
        <v>8.1359196209764661</v>
      </c>
      <c r="AP15" s="20">
        <f ca="1">+'TUSD BE'!$T$15+'TUSD BE'!$AB$15+'TUSD BE'!$AD$15+'TUSD BE'!$AL$15</f>
        <v>8.1359196209764661</v>
      </c>
    </row>
    <row r="16" spans="1:42" ht="11.25" customHeight="1" x14ac:dyDescent="0.25">
      <c r="A16" s="106"/>
      <c r="B16" s="106" t="s">
        <v>59</v>
      </c>
      <c r="C16" s="106" t="s">
        <v>25</v>
      </c>
      <c r="D16" s="106" t="s">
        <v>25</v>
      </c>
      <c r="E16" s="106" t="s">
        <v>25</v>
      </c>
      <c r="F16" s="106" t="s">
        <v>60</v>
      </c>
      <c r="G16" s="17" t="s">
        <v>82</v>
      </c>
      <c r="H16" s="17" t="s">
        <v>81</v>
      </c>
      <c r="I16" s="17">
        <f>'MERCADO TUSD'!$U$13</f>
        <v>1804</v>
      </c>
      <c r="J16" s="15"/>
      <c r="L16" s="12">
        <f>'TUSD BE'!$L$16*'TUSD BE'!$L$68</f>
        <v>0</v>
      </c>
      <c r="M16" s="12">
        <f>'TUSD BE'!$M$16*'TUSD BE'!$M$68</f>
        <v>0</v>
      </c>
      <c r="N16" s="12">
        <f ca="1">'TUSD BE'!$N$16*'TUSD BE'!$N$68</f>
        <v>0</v>
      </c>
      <c r="O16" s="12">
        <f>'TUSD BE'!$O$16*'TUSD BE'!$O$68</f>
        <v>0</v>
      </c>
      <c r="P16" s="12">
        <f>'TUSD BE'!$P$16*'TUSD BE'!$P$68</f>
        <v>0</v>
      </c>
      <c r="Q16" s="12">
        <f>'TUSD BE'!$Q$16*'TUSD BE'!$Q$68</f>
        <v>0</v>
      </c>
      <c r="R16" s="12">
        <f>'TUSD BE'!$R$16*'TUSD BE'!$R$68</f>
        <v>0</v>
      </c>
      <c r="S16" s="12">
        <f>'TUSD BE'!$R$16*'TUSD BE'!$S$68</f>
        <v>0</v>
      </c>
      <c r="T16" s="12">
        <f ca="1">SUM($L$16:$S$16)</f>
        <v>0</v>
      </c>
      <c r="U16" s="12">
        <f>'TUSD BE'!$U$16*'TUSD BE'!$U$68</f>
        <v>1.1658441383774469E-2</v>
      </c>
      <c r="V16" s="12">
        <f>'TUSD BE'!$V$16*'TUSD BE'!$V$68</f>
        <v>0</v>
      </c>
      <c r="W16" s="12">
        <f>'TUSD BE'!$W$16*'TUSD BE'!$W$68</f>
        <v>0</v>
      </c>
      <c r="X16" s="12">
        <f>'TUSD BE'!$X$16*'TUSD BE'!$X$68</f>
        <v>0</v>
      </c>
      <c r="Y16" s="12">
        <f>'TUSD BE'!$Y$16*'TUSD BE'!$Y$68</f>
        <v>-0.13424253137487036</v>
      </c>
      <c r="Z16" s="12">
        <f>'TUSD BE'!$Z$16*'TUSD BE'!$Z$68</f>
        <v>0</v>
      </c>
      <c r="AA16" s="12">
        <f>'TUSD BE'!$AA$16*'TUSD BE'!$AA$68</f>
        <v>0</v>
      </c>
      <c r="AB16" s="12">
        <f>SUM($U$16:$AA$16)</f>
        <v>-0.12258408999109588</v>
      </c>
      <c r="AC16" s="12">
        <f>'TUSD BE'!$AC$16*'TUSD BE'!$AC$68</f>
        <v>-5.7942312400975013E-2</v>
      </c>
      <c r="AD16" s="12">
        <f>SUM($AC$16:$AC$16)</f>
        <v>-5.7942312400975013E-2</v>
      </c>
      <c r="AE16" s="12">
        <v>0</v>
      </c>
      <c r="AF16" s="12">
        <f ca="1">$AP$16*$AP$65</f>
        <v>0</v>
      </c>
      <c r="AG16" s="12">
        <f ca="1">SUM($AE$16:$AF$16)</f>
        <v>0</v>
      </c>
      <c r="AH16" s="12">
        <f>'TUSD BE'!$AH$16*'TUSD BE'!$AH$68</f>
        <v>0</v>
      </c>
      <c r="AI16" s="12">
        <f>'TUSD BE'!$AI$16*'TUSD BE'!$AI$68</f>
        <v>0</v>
      </c>
      <c r="AJ16" s="12">
        <f ca="1">'TUSD BE'!$AJ$16*'TUSD BE'!$AJ$68</f>
        <v>0</v>
      </c>
      <c r="AK16" s="12">
        <f ca="1">'TUSD BE'!$AK$16*'TUSD BE'!$AK$68</f>
        <v>0</v>
      </c>
      <c r="AL16" s="12">
        <f ca="1">SUM($AH$16:$AK$16)</f>
        <v>0</v>
      </c>
      <c r="AM16" s="12">
        <f ca="1">SUMIF($L$4:$AL$4,"SUBTOTAL",$L$16:$AL$16)</f>
        <v>-0.18052640239207091</v>
      </c>
      <c r="AO16" s="20"/>
      <c r="AP16" s="20">
        <f ca="1">+'TUSD BE'!$T$16+'TUSD BE'!$AB$16+'TUSD BE'!$AD$16+'TUSD BE'!$AL$16</f>
        <v>22.10850668329698</v>
      </c>
    </row>
    <row r="17" spans="1:42" ht="11.25" customHeight="1" x14ac:dyDescent="0.25">
      <c r="A17" s="106"/>
      <c r="B17" s="106"/>
      <c r="C17" s="106"/>
      <c r="D17" s="106"/>
      <c r="E17" s="106"/>
      <c r="F17" s="106"/>
      <c r="G17" s="17" t="s">
        <v>83</v>
      </c>
      <c r="H17" s="17" t="s">
        <v>81</v>
      </c>
      <c r="I17" s="17">
        <f>'MERCADO TUSD'!$U$14</f>
        <v>1804</v>
      </c>
      <c r="J17" s="15"/>
      <c r="L17" s="12">
        <f>'TUSD BE'!$L$17*'TUSD BE'!$L$68</f>
        <v>0</v>
      </c>
      <c r="M17" s="12">
        <f>'TUSD BE'!$M$17*'TUSD BE'!$M$68</f>
        <v>0</v>
      </c>
      <c r="N17" s="12">
        <f ca="1">'TUSD BE'!$N$17*'TUSD BE'!$N$68</f>
        <v>0</v>
      </c>
      <c r="O17" s="12">
        <f>'TUSD BE'!$O$17*'TUSD BE'!$O$68</f>
        <v>0</v>
      </c>
      <c r="P17" s="12">
        <f>'TUSD BE'!$P$17*'TUSD BE'!$P$68</f>
        <v>0</v>
      </c>
      <c r="Q17" s="12">
        <f>'TUSD BE'!$Q$17*'TUSD BE'!$Q$68</f>
        <v>0</v>
      </c>
      <c r="R17" s="12">
        <f>'TUSD BE'!$R$17*'TUSD BE'!$R$68</f>
        <v>0</v>
      </c>
      <c r="S17" s="12">
        <f>'TUSD BE'!$R$17*'TUSD BE'!$S$68</f>
        <v>0</v>
      </c>
      <c r="T17" s="12">
        <f ca="1">SUM($L$17:$S$17)</f>
        <v>0</v>
      </c>
      <c r="U17" s="12">
        <f>'TUSD BE'!$U$17*'TUSD BE'!$U$68</f>
        <v>8.7286642623284165E-3</v>
      </c>
      <c r="V17" s="12">
        <f>'TUSD BE'!$V$17*'TUSD BE'!$V$68</f>
        <v>0</v>
      </c>
      <c r="W17" s="12">
        <f>'TUSD BE'!$W$17*'TUSD BE'!$W$68</f>
        <v>0</v>
      </c>
      <c r="X17" s="12">
        <f>'TUSD BE'!$X$17*'TUSD BE'!$X$68</f>
        <v>0</v>
      </c>
      <c r="Y17" s="12">
        <f>'TUSD BE'!$Y$17*'TUSD BE'!$Y$68</f>
        <v>-5.0467022854820826E-2</v>
      </c>
      <c r="Z17" s="12">
        <f>'TUSD BE'!$Z$17*'TUSD BE'!$Z$68</f>
        <v>0</v>
      </c>
      <c r="AA17" s="12">
        <f>'TUSD BE'!$AA$17*'TUSD BE'!$AA$68</f>
        <v>0</v>
      </c>
      <c r="AB17" s="12">
        <f>SUM($U$17:$AA$17)</f>
        <v>-4.1738358592492406E-2</v>
      </c>
      <c r="AC17" s="12">
        <f>'TUSD BE'!$AC$17*'TUSD BE'!$AC$68</f>
        <v>-2.6403414756315725E-2</v>
      </c>
      <c r="AD17" s="12">
        <f>SUM($AC$17:$AC$17)</f>
        <v>-2.6403414756315725E-2</v>
      </c>
      <c r="AE17" s="12">
        <v>0</v>
      </c>
      <c r="AF17" s="12">
        <f ca="1">$AP$17*$AP$65</f>
        <v>0</v>
      </c>
      <c r="AG17" s="12">
        <f ca="1">SUM($AE$17:$AF$17)</f>
        <v>0</v>
      </c>
      <c r="AH17" s="12">
        <f>'TUSD BE'!$AH$17*'TUSD BE'!$AH$68</f>
        <v>0</v>
      </c>
      <c r="AI17" s="12">
        <f>'TUSD BE'!$AI$17*'TUSD BE'!$AI$68</f>
        <v>0</v>
      </c>
      <c r="AJ17" s="12">
        <f ca="1">'TUSD BE'!$AJ$17*'TUSD BE'!$AJ$68</f>
        <v>0</v>
      </c>
      <c r="AK17" s="12">
        <f ca="1">'TUSD BE'!$AK$17*'TUSD BE'!$AK$68</f>
        <v>0</v>
      </c>
      <c r="AL17" s="12">
        <f ca="1">SUM($AH$17:$AK$17)</f>
        <v>0</v>
      </c>
      <c r="AM17" s="12">
        <f ca="1">SUMIF($L$4:$AL$4,"SUBTOTAL",$L$17:$AL$17)</f>
        <v>-6.8141773348808138E-2</v>
      </c>
      <c r="AO17" s="20"/>
      <c r="AP17" s="20">
        <f ca="1">+'TUSD BE'!$T$17+'TUSD BE'!$AB$17+'TUSD BE'!$AD$17+'TUSD BE'!$AL$17</f>
        <v>11.446356259338321</v>
      </c>
    </row>
    <row r="18" spans="1:42" ht="11.25" customHeight="1" x14ac:dyDescent="0.25">
      <c r="A18" s="106"/>
      <c r="B18" s="106"/>
      <c r="C18" s="106"/>
      <c r="D18" s="106"/>
      <c r="E18" s="106"/>
      <c r="F18" s="106"/>
      <c r="G18" s="17" t="s">
        <v>84</v>
      </c>
      <c r="H18" s="17" t="s">
        <v>78</v>
      </c>
      <c r="I18" s="17">
        <f>'MERCADO TUSD'!$U$15</f>
        <v>731.00300000000004</v>
      </c>
      <c r="J18" s="15"/>
      <c r="L18" s="12">
        <f>'TUSD BE'!$L$18*'TUSD BE'!$L$68</f>
        <v>0</v>
      </c>
      <c r="M18" s="12">
        <f>'TUSD BE'!$M$18*'TUSD BE'!$M$68</f>
        <v>0</v>
      </c>
      <c r="N18" s="12">
        <f ca="1">'TUSD BE'!$N$18*'TUSD BE'!$N$68</f>
        <v>0</v>
      </c>
      <c r="O18" s="12">
        <f>'TUSD BE'!$O$18*'TUSD BE'!$O$68</f>
        <v>0</v>
      </c>
      <c r="P18" s="12">
        <f>'TUSD BE'!$P$18*'TUSD BE'!$P$68</f>
        <v>0</v>
      </c>
      <c r="Q18" s="12">
        <f>'TUSD BE'!$Q$18*'TUSD BE'!$Q$68</f>
        <v>0</v>
      </c>
      <c r="R18" s="12">
        <f>'TUSD BE'!$R$18*'TUSD BE'!$R$68</f>
        <v>0</v>
      </c>
      <c r="S18" s="12">
        <f>'TUSD BE'!$R$18*'TUSD BE'!$S$68</f>
        <v>0</v>
      </c>
      <c r="T18" s="12">
        <f ca="1">SUM($L$18:$S$18)</f>
        <v>0</v>
      </c>
      <c r="U18" s="12">
        <f>'TUSD BE'!$U$18*'TUSD BE'!$U$68</f>
        <v>0</v>
      </c>
      <c r="V18" s="12">
        <f>'TUSD BE'!$V$18*'TUSD BE'!$V$68</f>
        <v>0</v>
      </c>
      <c r="W18" s="12">
        <f>'TUSD BE'!$W$18*'TUSD BE'!$W$68</f>
        <v>0</v>
      </c>
      <c r="X18" s="12">
        <f>'TUSD BE'!$X$18*'TUSD BE'!$X$68</f>
        <v>0</v>
      </c>
      <c r="Y18" s="12">
        <f>'TUSD BE'!$Y$18*'TUSD BE'!$Y$68</f>
        <v>0</v>
      </c>
      <c r="Z18" s="12">
        <f>'TUSD BE'!$Z$18*'TUSD BE'!$Z$68</f>
        <v>0</v>
      </c>
      <c r="AA18" s="12">
        <f>'TUSD BE'!$AA$18*'TUSD BE'!$AA$68</f>
        <v>0</v>
      </c>
      <c r="AB18" s="12">
        <f>SUM($U$18:$AA$18)</f>
        <v>0</v>
      </c>
      <c r="AC18" s="12">
        <f>'TUSD BE'!$AC$18*'TUSD BE'!$AC$68</f>
        <v>0</v>
      </c>
      <c r="AD18" s="12">
        <f>SUM($AC$18:$AC$18)</f>
        <v>0</v>
      </c>
      <c r="AE18" s="12">
        <v>0</v>
      </c>
      <c r="AF18" s="12">
        <f ca="1">$AP$18*$AP$65</f>
        <v>0</v>
      </c>
      <c r="AG18" s="12">
        <f ca="1">SUM($AE$18:$AF$18)</f>
        <v>0</v>
      </c>
      <c r="AH18" s="12">
        <f>'TUSD BE'!$AH$18*'TUSD BE'!$AH$68</f>
        <v>-0.31582210385347725</v>
      </c>
      <c r="AI18" s="12">
        <f>'TUSD BE'!$AI$18*'TUSD BE'!$AI$68</f>
        <v>-7.4462230876329669E-3</v>
      </c>
      <c r="AJ18" s="12">
        <f ca="1">'TUSD BE'!$AJ$18*'TUSD BE'!$AJ$68</f>
        <v>0</v>
      </c>
      <c r="AK18" s="12">
        <f ca="1">'TUSD BE'!$AK$18*'TUSD BE'!$AK$68</f>
        <v>0</v>
      </c>
      <c r="AL18" s="12">
        <f ca="1">SUM($AH$18:$AK$18)</f>
        <v>-0.32326832694111024</v>
      </c>
      <c r="AM18" s="12">
        <f ca="1">SUMIF($L$4:$AL$4,"SUBTOTAL",$L$18:$AL$18)</f>
        <v>-0.32326832694111024</v>
      </c>
      <c r="AO18" s="20"/>
      <c r="AP18" s="20">
        <f ca="1">+'TUSD BE'!$T$18+'TUSD BE'!$AB$18+'TUSD BE'!$AD$18+'TUSD BE'!$AL$18</f>
        <v>5.6599340153709106</v>
      </c>
    </row>
    <row r="19" spans="1:42" ht="11.25" customHeight="1" x14ac:dyDescent="0.25">
      <c r="A19" s="106"/>
      <c r="B19" s="18" t="s">
        <v>87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81</v>
      </c>
      <c r="I19" s="17">
        <f>'MERCADO TUSD'!$U$16</f>
        <v>0</v>
      </c>
      <c r="J19" s="15"/>
      <c r="L19" s="12">
        <f>'TUSD BE'!$L$19*'TUSD BE'!$L$68</f>
        <v>0</v>
      </c>
      <c r="M19" s="12">
        <f>'TUSD BE'!$M$19*'TUSD BE'!$M$68</f>
        <v>-1.1197828056308937E-3</v>
      </c>
      <c r="N19" s="12">
        <f ca="1">'TUSD BE'!$N$19*'TUSD BE'!$N$68</f>
        <v>0</v>
      </c>
      <c r="O19" s="12">
        <f>'TUSD BE'!$O$19*'TUSD BE'!$O$68</f>
        <v>0</v>
      </c>
      <c r="P19" s="12">
        <f>'TUSD BE'!$P$19*'TUSD BE'!$P$68</f>
        <v>0</v>
      </c>
      <c r="Q19" s="12">
        <f>'TUSD BE'!$Q$19*'TUSD BE'!$Q$68</f>
        <v>0</v>
      </c>
      <c r="R19" s="12">
        <f>'TUSD BE'!$R$19*'TUSD BE'!$R$68</f>
        <v>0</v>
      </c>
      <c r="S19" s="12">
        <f>'TUSD BE'!$R$19*'TUSD BE'!$S$68</f>
        <v>0</v>
      </c>
      <c r="T19" s="12">
        <f ca="1">SUM($L$19:$S$19)</f>
        <v>-1.1197828056308937E-3</v>
      </c>
      <c r="U19" s="12">
        <f>'TUSD BE'!$U$19*'TUSD BE'!$U$68</f>
        <v>0</v>
      </c>
      <c r="V19" s="12">
        <f>'TUSD BE'!$V$19*'TUSD BE'!$V$68</f>
        <v>0</v>
      </c>
      <c r="W19" s="12">
        <f>'TUSD BE'!$W$19*'TUSD BE'!$W$68</f>
        <v>0</v>
      </c>
      <c r="X19" s="12">
        <f>'TUSD BE'!$X$19*'TUSD BE'!$X$68</f>
        <v>0</v>
      </c>
      <c r="Y19" s="12">
        <f>'TUSD BE'!$Y$19*'TUSD BE'!$Y$68</f>
        <v>0</v>
      </c>
      <c r="Z19" s="12">
        <f>'TUSD BE'!$Z$19*'TUSD BE'!$Z$68</f>
        <v>0</v>
      </c>
      <c r="AA19" s="12">
        <f>'TUSD BE'!$AA$19*'TUSD BE'!$AA$68</f>
        <v>0</v>
      </c>
      <c r="AB19" s="12">
        <f>SUM($U$19:$AA$19)</f>
        <v>0</v>
      </c>
      <c r="AC19" s="12">
        <f>'TUSD BE'!$AC$19*'TUSD BE'!$AC$68</f>
        <v>-6.1330462426560116E-2</v>
      </c>
      <c r="AD19" s="12">
        <f>SUM($AC$19:$AC$19)</f>
        <v>-6.1330462426560116E-2</v>
      </c>
      <c r="AE19" s="12">
        <f ca="1">$AO$19*$AO$65</f>
        <v>-0.84505094323006558</v>
      </c>
      <c r="AF19" s="12">
        <f ca="1">$AP$19*$AP$65</f>
        <v>0</v>
      </c>
      <c r="AG19" s="12">
        <f ca="1">SUM($AE$19:$AF$19)</f>
        <v>-0.84505094323006558</v>
      </c>
      <c r="AH19" s="12">
        <f>'TUSD BE'!$AH$19*'TUSD BE'!$AH$68</f>
        <v>0</v>
      </c>
      <c r="AI19" s="12">
        <f>'TUSD BE'!$AI$19*'TUSD BE'!$AI$68</f>
        <v>0</v>
      </c>
      <c r="AJ19" s="12">
        <f ca="1">'TUSD BE'!$AJ$19*'TUSD BE'!$AJ$68</f>
        <v>0</v>
      </c>
      <c r="AK19" s="12">
        <f ca="1">'TUSD BE'!$AK$19*'TUSD BE'!$AK$68</f>
        <v>0</v>
      </c>
      <c r="AL19" s="12">
        <f ca="1">SUM($AH$19:$AK$19)</f>
        <v>0</v>
      </c>
      <c r="AM19" s="12">
        <f ca="1">SUMIF($L$4:$AL$4,"SUBTOTAL",$L$19:$AL$19)</f>
        <v>-0.90750118846225658</v>
      </c>
      <c r="AO19" s="20">
        <f ca="1">+'TUSD BE'!$T$19+'TUSD BE'!$AB$19+'TUSD BE'!$AD$19+'TUSD BE'!$AL$19</f>
        <v>9.9694168949130617</v>
      </c>
      <c r="AP19" s="20">
        <f ca="1">+'TUSD BE'!$T$19+'TUSD BE'!$AB$19+'TUSD BE'!$AD$19+'TUSD BE'!$AL$19</f>
        <v>9.9694168949130617</v>
      </c>
    </row>
    <row r="20" spans="1:42" ht="11.25" customHeight="1" x14ac:dyDescent="0.25">
      <c r="A20" s="106"/>
      <c r="B20" s="106" t="s">
        <v>41</v>
      </c>
      <c r="C20" s="106" t="s">
        <v>25</v>
      </c>
      <c r="D20" s="106" t="s">
        <v>25</v>
      </c>
      <c r="E20" s="106" t="s">
        <v>25</v>
      </c>
      <c r="F20" s="106" t="s">
        <v>25</v>
      </c>
      <c r="G20" s="17" t="s">
        <v>9</v>
      </c>
      <c r="H20" s="17" t="s">
        <v>81</v>
      </c>
      <c r="I20" s="17">
        <f>'MERCADO TUSD'!$U$17</f>
        <v>750849</v>
      </c>
      <c r="J20" s="15"/>
      <c r="L20" s="12">
        <f>'TUSD BE'!$L$20*'TUSD BE'!$L$68</f>
        <v>0</v>
      </c>
      <c r="M20" s="12">
        <f>'TUSD BE'!$M$20*'TUSD BE'!$M$68</f>
        <v>0</v>
      </c>
      <c r="N20" s="12">
        <f ca="1">'TUSD BE'!$N$20*'TUSD BE'!$N$68</f>
        <v>0</v>
      </c>
      <c r="O20" s="12">
        <f>'TUSD BE'!$O$20*'TUSD BE'!$O$68</f>
        <v>0</v>
      </c>
      <c r="P20" s="12">
        <f>'TUSD BE'!$P$20*'TUSD BE'!$P$68</f>
        <v>0</v>
      </c>
      <c r="Q20" s="12">
        <f>'TUSD BE'!$Q$20*'TUSD BE'!$Q$68</f>
        <v>0</v>
      </c>
      <c r="R20" s="12">
        <f>'TUSD BE'!$R$20*'TUSD BE'!$R$68</f>
        <v>0</v>
      </c>
      <c r="S20" s="12">
        <f>'TUSD BE'!$R$20*'TUSD BE'!$S$68</f>
        <v>0</v>
      </c>
      <c r="T20" s="12">
        <f ca="1">SUM($L$20:$S$20)</f>
        <v>0</v>
      </c>
      <c r="U20" s="12">
        <f>'TUSD BE'!$U$20*'TUSD BE'!$U$68</f>
        <v>8.7286642623284165E-3</v>
      </c>
      <c r="V20" s="12">
        <f>'TUSD BE'!$V$20*'TUSD BE'!$V$68</f>
        <v>0</v>
      </c>
      <c r="W20" s="12">
        <f>'TUSD BE'!$W$20*'TUSD BE'!$W$68</f>
        <v>0</v>
      </c>
      <c r="X20" s="12">
        <f>'TUSD BE'!$X$20*'TUSD BE'!$X$68</f>
        <v>0</v>
      </c>
      <c r="Y20" s="12">
        <f>'TUSD BE'!$Y$20*'TUSD BE'!$Y$68</f>
        <v>-5.0467022854820826E-2</v>
      </c>
      <c r="Z20" s="12">
        <f>'TUSD BE'!$Z$20*'TUSD BE'!$Z$68</f>
        <v>0</v>
      </c>
      <c r="AA20" s="12">
        <f>'TUSD BE'!$AA$20*'TUSD BE'!$AA$68</f>
        <v>0</v>
      </c>
      <c r="AB20" s="12">
        <f>SUM($U$20:$AA$20)</f>
        <v>-4.1738358592492406E-2</v>
      </c>
      <c r="AC20" s="12">
        <f>'TUSD BE'!$AC$20*'TUSD BE'!$AC$68</f>
        <v>-7.5711938885622262E-2</v>
      </c>
      <c r="AD20" s="12">
        <f>SUM($AC$20:$AC$20)</f>
        <v>-7.5711938885622262E-2</v>
      </c>
      <c r="AE20" s="12">
        <f ca="1">$AO$20*$AO$65</f>
        <v>-1.6407139614850279</v>
      </c>
      <c r="AF20" s="12">
        <f ca="1">$AP$20*$AP$65</f>
        <v>0</v>
      </c>
      <c r="AG20" s="12">
        <f ca="1">SUM($AE$20:$AF$20)</f>
        <v>-1.6407139614850279</v>
      </c>
      <c r="AH20" s="12">
        <f>'TUSD BE'!$AH$20*'TUSD BE'!$AH$68</f>
        <v>0</v>
      </c>
      <c r="AI20" s="12">
        <f>'TUSD BE'!$AI$20*'TUSD BE'!$AI$68</f>
        <v>0</v>
      </c>
      <c r="AJ20" s="12">
        <f ca="1">'TUSD BE'!$AJ$20*'TUSD BE'!$AJ$68</f>
        <v>0</v>
      </c>
      <c r="AK20" s="12">
        <f ca="1">'TUSD BE'!$AK$20*'TUSD BE'!$AK$68</f>
        <v>0</v>
      </c>
      <c r="AL20" s="12">
        <f ca="1">SUM($AH$20:$AK$20)</f>
        <v>0</v>
      </c>
      <c r="AM20" s="12">
        <f ca="1">SUMIF($L$4:$AL$4,"SUBTOTAL",$L$20:$AL$20)</f>
        <v>-1.7581642589631425</v>
      </c>
      <c r="AO20" s="20">
        <f ca="1">+'TUSD BE'!$T$20+'TUSD BE'!$AB$20+'TUSD BE'!$AD$20+'TUSD BE'!$AL$20</f>
        <v>19.356183929961468</v>
      </c>
      <c r="AP20" s="20">
        <f ca="1">+'TUSD BE'!$T$20+'TUSD BE'!$AB$20+'TUSD BE'!$AD$20+'TUSD BE'!$AL$20</f>
        <v>19.356183929961468</v>
      </c>
    </row>
    <row r="21" spans="1:42" ht="11.25" customHeight="1" x14ac:dyDescent="0.25">
      <c r="A21" s="106"/>
      <c r="B21" s="106"/>
      <c r="C21" s="106"/>
      <c r="D21" s="106"/>
      <c r="E21" s="106"/>
      <c r="F21" s="106"/>
      <c r="G21" s="17" t="s">
        <v>79</v>
      </c>
      <c r="H21" s="17" t="s">
        <v>78</v>
      </c>
      <c r="I21" s="17">
        <f>'MERCADO TUSD'!$U$18</f>
        <v>10300.001999999999</v>
      </c>
      <c r="J21" s="15"/>
      <c r="L21" s="12">
        <f>'TUSD BE'!$L$21*'TUSD BE'!$L$68</f>
        <v>-6.7777461838824798E-2</v>
      </c>
      <c r="M21" s="12">
        <f>'TUSD BE'!$M$21*'TUSD BE'!$M$68</f>
        <v>-1.3462642371001839E-2</v>
      </c>
      <c r="N21" s="12">
        <f ca="1">'TUSD BE'!$N$21*'TUSD BE'!$N$68</f>
        <v>0</v>
      </c>
      <c r="O21" s="12">
        <f>'TUSD BE'!$O$21*'TUSD BE'!$O$68</f>
        <v>-2.273861876940069E-3</v>
      </c>
      <c r="P21" s="12">
        <f>'TUSD BE'!$P$21*'TUSD BE'!$P$68</f>
        <v>0</v>
      </c>
      <c r="Q21" s="12">
        <f>'TUSD BE'!$Q$21*'TUSD BE'!$Q$68</f>
        <v>-0.87183686824761442</v>
      </c>
      <c r="R21" s="12">
        <f>'TUSD BE'!$R$21*'TUSD BE'!$R$68</f>
        <v>-0.40912397039648096</v>
      </c>
      <c r="S21" s="12">
        <f>'TUSD BE'!$R$21*'TUSD BE'!$S$68</f>
        <v>0</v>
      </c>
      <c r="T21" s="12">
        <f ca="1">SUM($L$21:$S$21)</f>
        <v>-1.3644748047308619</v>
      </c>
      <c r="U21" s="12">
        <f>'TUSD BE'!$U$21*'TUSD BE'!$U$68</f>
        <v>0.28038516649678535</v>
      </c>
      <c r="V21" s="12">
        <f>'TUSD BE'!$V$21*'TUSD BE'!$V$68</f>
        <v>0</v>
      </c>
      <c r="W21" s="12">
        <f>'TUSD BE'!$W$21*'TUSD BE'!$W$68</f>
        <v>0</v>
      </c>
      <c r="X21" s="12">
        <f>'TUSD BE'!$X$21*'TUSD BE'!$X$68</f>
        <v>0</v>
      </c>
      <c r="Y21" s="12">
        <f>'TUSD BE'!$Y$21*'TUSD BE'!$Y$68</f>
        <v>-3.2285572068089401</v>
      </c>
      <c r="Z21" s="12">
        <f>'TUSD BE'!$Z$21*'TUSD BE'!$Z$68</f>
        <v>0</v>
      </c>
      <c r="AA21" s="12">
        <f>'TUSD BE'!$AA$21*'TUSD BE'!$AA$68</f>
        <v>0</v>
      </c>
      <c r="AB21" s="12">
        <f>SUM($U$21:$AA$21)</f>
        <v>-2.948172040312155</v>
      </c>
      <c r="AC21" s="12">
        <f>'TUSD BE'!$AC$21*'TUSD BE'!$AC$68</f>
        <v>-3.995896372426794</v>
      </c>
      <c r="AD21" s="12">
        <f>SUM($AC$21:$AC$21)</f>
        <v>-3.995896372426794</v>
      </c>
      <c r="AE21" s="12">
        <f ca="1">$AO$21*$AO$65</f>
        <v>-85.894407351867869</v>
      </c>
      <c r="AF21" s="12">
        <f ca="1">$AP$21*$AP$65</f>
        <v>0</v>
      </c>
      <c r="AG21" s="12">
        <f ca="1">SUM($AE$21:$AF$21)</f>
        <v>-85.894407351867869</v>
      </c>
      <c r="AH21" s="12">
        <f>'TUSD BE'!$AH$21*'TUSD BE'!$AH$68</f>
        <v>-0.31582210385347725</v>
      </c>
      <c r="AI21" s="12">
        <f>'TUSD BE'!$AI$21*'TUSD BE'!$AI$68</f>
        <v>-7.4462230876329669E-3</v>
      </c>
      <c r="AJ21" s="12">
        <f ca="1">'TUSD BE'!$AJ$21*'TUSD BE'!$AJ$68</f>
        <v>-0.10548047046216222</v>
      </c>
      <c r="AK21" s="12">
        <f ca="1">'TUSD BE'!$AK$21*'TUSD BE'!$AK$68</f>
        <v>0</v>
      </c>
      <c r="AL21" s="12">
        <f ca="1">SUM($AH$21:$AK$21)</f>
        <v>-0.42874879740327243</v>
      </c>
      <c r="AM21" s="12">
        <f ca="1">SUMIF($L$4:$AL$4,"SUBTOTAL",$L$21:$AL$21)</f>
        <v>-94.631699366740946</v>
      </c>
      <c r="AO21" s="20">
        <f ca="1">+'TUSD BE'!$T$21+'TUSD BE'!$AB$21+'TUSD BE'!$AD$21+'TUSD BE'!$AL$21</f>
        <v>1013.3319922218268</v>
      </c>
      <c r="AP21" s="20">
        <f ca="1">+'TUSD BE'!$T$21+'TUSD BE'!$AB$21+'TUSD BE'!$AD$21+'TUSD BE'!$AL$21</f>
        <v>1013.3319922218268</v>
      </c>
    </row>
    <row r="22" spans="1:42" ht="11.25" customHeight="1" x14ac:dyDescent="0.25">
      <c r="A22" s="106"/>
      <c r="B22" s="106"/>
      <c r="C22" s="106"/>
      <c r="D22" s="106"/>
      <c r="E22" s="106"/>
      <c r="F22" s="106"/>
      <c r="G22" s="17" t="s">
        <v>80</v>
      </c>
      <c r="H22" s="17" t="s">
        <v>78</v>
      </c>
      <c r="I22" s="17">
        <f>'MERCADO TUSD'!$U$19</f>
        <v>146148.57</v>
      </c>
      <c r="J22" s="15"/>
      <c r="L22" s="12">
        <f>'TUSD BE'!$L$22*'TUSD BE'!$L$68</f>
        <v>-6.7777461838824798E-2</v>
      </c>
      <c r="M22" s="12">
        <f>'TUSD BE'!$M$22*'TUSD BE'!$M$68</f>
        <v>-1.3462642371001839E-2</v>
      </c>
      <c r="N22" s="12">
        <f ca="1">'TUSD BE'!$N$22*'TUSD BE'!$N$68</f>
        <v>0</v>
      </c>
      <c r="O22" s="12">
        <f>'TUSD BE'!$O$22*'TUSD BE'!$O$68</f>
        <v>-2.273861876940069E-3</v>
      </c>
      <c r="P22" s="12">
        <f>'TUSD BE'!$P$22*'TUSD BE'!$P$68</f>
        <v>0</v>
      </c>
      <c r="Q22" s="12">
        <f>'TUSD BE'!$Q$22*'TUSD BE'!$Q$68</f>
        <v>-0.87183686824761442</v>
      </c>
      <c r="R22" s="12">
        <f>'TUSD BE'!$R$22*'TUSD BE'!$R$68</f>
        <v>-0.40912397039648096</v>
      </c>
      <c r="S22" s="12">
        <f>'TUSD BE'!$R$22*'TUSD BE'!$S$68</f>
        <v>0</v>
      </c>
      <c r="T22" s="12">
        <f ca="1">SUM($L$22:$S$22)</f>
        <v>-1.3644748047308619</v>
      </c>
      <c r="U22" s="12">
        <f>'TUSD BE'!$U$22*'TUSD BE'!$U$68</f>
        <v>0</v>
      </c>
      <c r="V22" s="12">
        <f>'TUSD BE'!$V$22*'TUSD BE'!$V$68</f>
        <v>0</v>
      </c>
      <c r="W22" s="12">
        <f>'TUSD BE'!$W$22*'TUSD BE'!$W$68</f>
        <v>0</v>
      </c>
      <c r="X22" s="12">
        <f>'TUSD BE'!$X$22*'TUSD BE'!$X$68</f>
        <v>0</v>
      </c>
      <c r="Y22" s="12">
        <f>'TUSD BE'!$Y$22*'TUSD BE'!$Y$68</f>
        <v>0</v>
      </c>
      <c r="Z22" s="12">
        <f>'TUSD BE'!$Z$22*'TUSD BE'!$Z$68</f>
        <v>0</v>
      </c>
      <c r="AA22" s="12">
        <f>'TUSD BE'!$AA$22*'TUSD BE'!$AA$68</f>
        <v>0</v>
      </c>
      <c r="AB22" s="12">
        <f>SUM($U$22:$AA$22)</f>
        <v>0</v>
      </c>
      <c r="AC22" s="12">
        <f>'TUSD BE'!$AC$22*'TUSD BE'!$AC$68</f>
        <v>0</v>
      </c>
      <c r="AD22" s="12">
        <f>SUM($AC$22:$AC$22)</f>
        <v>0</v>
      </c>
      <c r="AE22" s="12">
        <f ca="1">$AO$22*$AO$65</f>
        <v>-4.6033099922216865</v>
      </c>
      <c r="AF22" s="12">
        <f ca="1">$AP$22*$AP$65</f>
        <v>0</v>
      </c>
      <c r="AG22" s="12">
        <f ca="1">SUM($AE$22:$AF$22)</f>
        <v>-4.6033099922216865</v>
      </c>
      <c r="AH22" s="12">
        <f>'TUSD BE'!$AH$22*'TUSD BE'!$AH$68</f>
        <v>-0.31582210385347725</v>
      </c>
      <c r="AI22" s="12">
        <f>'TUSD BE'!$AI$22*'TUSD BE'!$AI$68</f>
        <v>-7.4462230876329669E-3</v>
      </c>
      <c r="AJ22" s="12">
        <f ca="1">'TUSD BE'!$AJ$22*'TUSD BE'!$AJ$68</f>
        <v>-0.10548047046216222</v>
      </c>
      <c r="AK22" s="12">
        <f ca="1">'TUSD BE'!$AK$22*'TUSD BE'!$AK$68</f>
        <v>0</v>
      </c>
      <c r="AL22" s="12">
        <f ca="1">SUM($AH$22:$AK$22)</f>
        <v>-0.42874879740327243</v>
      </c>
      <c r="AM22" s="12">
        <f ca="1">SUMIF($L$4:$AL$4,"SUBTOTAL",$L$22:$AL$22)</f>
        <v>-6.3965335943558213</v>
      </c>
      <c r="AO22" s="20">
        <f ca="1">+'TUSD BE'!$T$22+'TUSD BE'!$AB$22+'TUSD BE'!$AD$22+'TUSD BE'!$AL$22</f>
        <v>54.307159558406397</v>
      </c>
      <c r="AP22" s="20">
        <f ca="1">+'TUSD BE'!$T$22+'TUSD BE'!$AB$22+'TUSD BE'!$AD$22+'TUSD BE'!$AL$22</f>
        <v>54.307159558406397</v>
      </c>
    </row>
    <row r="23" spans="1:42" ht="11.25" customHeight="1" x14ac:dyDescent="0.25">
      <c r="A23" s="106"/>
      <c r="B23" s="106"/>
      <c r="C23" s="106"/>
      <c r="D23" s="106"/>
      <c r="E23" s="106" t="s">
        <v>85</v>
      </c>
      <c r="F23" s="106" t="s">
        <v>25</v>
      </c>
      <c r="G23" s="17" t="s">
        <v>79</v>
      </c>
      <c r="H23" s="17" t="s">
        <v>78</v>
      </c>
      <c r="I23" s="17">
        <f>'MERCADO TUSD'!$U$20</f>
        <v>0</v>
      </c>
      <c r="J23" s="15"/>
      <c r="L23" s="12">
        <f>'TUSD BE'!$L$23*'TUSD BE'!$L$68</f>
        <v>0</v>
      </c>
      <c r="M23" s="12">
        <f>'TUSD BE'!$M$23*'TUSD BE'!$M$68</f>
        <v>-1.3462642371001839E-2</v>
      </c>
      <c r="N23" s="12">
        <f ca="1">'TUSD BE'!$N$23*'TUSD BE'!$N$68</f>
        <v>0</v>
      </c>
      <c r="O23" s="12">
        <f>'TUSD BE'!$O$23*'TUSD BE'!$O$68</f>
        <v>-2.273861876940069E-3</v>
      </c>
      <c r="P23" s="12">
        <f>'TUSD BE'!$P$23*'TUSD BE'!$P$68</f>
        <v>0</v>
      </c>
      <c r="Q23" s="12">
        <f>'TUSD BE'!$Q$23*'TUSD BE'!$Q$68</f>
        <v>0</v>
      </c>
      <c r="R23" s="12">
        <f>'TUSD BE'!$R$23*'TUSD BE'!$R$68</f>
        <v>0</v>
      </c>
      <c r="S23" s="12">
        <f>'TUSD BE'!$R$23*'TUSD BE'!$S$68</f>
        <v>0</v>
      </c>
      <c r="T23" s="12">
        <f ca="1">SUM($L$23:$S$23)</f>
        <v>-1.5736504247941908E-2</v>
      </c>
      <c r="U23" s="12">
        <f>'TUSD BE'!$U$23*'TUSD BE'!$U$68</f>
        <v>0.28038516649678535</v>
      </c>
      <c r="V23" s="12">
        <f>'TUSD BE'!$V$23*'TUSD BE'!$V$68</f>
        <v>0</v>
      </c>
      <c r="W23" s="12">
        <f>'TUSD BE'!$W$23*'TUSD BE'!$W$68</f>
        <v>0</v>
      </c>
      <c r="X23" s="12">
        <f>'TUSD BE'!$X$23*'TUSD BE'!$X$68</f>
        <v>0</v>
      </c>
      <c r="Y23" s="12">
        <f>'TUSD BE'!$Y$23*'TUSD BE'!$Y$68</f>
        <v>-3.2285572068089401</v>
      </c>
      <c r="Z23" s="12">
        <f>'TUSD BE'!$Z$23*'TUSD BE'!$Z$68</f>
        <v>0</v>
      </c>
      <c r="AA23" s="12">
        <f>'TUSD BE'!$AA$23*'TUSD BE'!$AA$68</f>
        <v>0</v>
      </c>
      <c r="AB23" s="12">
        <f>SUM($U$23:$AA$23)</f>
        <v>-2.948172040312155</v>
      </c>
      <c r="AC23" s="12">
        <f>'TUSD BE'!$AC$23*'TUSD BE'!$AC$68</f>
        <v>-3.995896372426794</v>
      </c>
      <c r="AD23" s="12">
        <f>SUM($AC$23:$AC$23)</f>
        <v>-3.995896372426794</v>
      </c>
      <c r="AE23" s="12">
        <f ca="1">$AO$23*$AO$65</f>
        <v>-81.980733134960019</v>
      </c>
      <c r="AF23" s="12">
        <f ca="1">$AP$23*$AP$65</f>
        <v>0</v>
      </c>
      <c r="AG23" s="12">
        <f ca="1">SUM($AE$23:$AF$23)</f>
        <v>-81.980733134960019</v>
      </c>
      <c r="AH23" s="12">
        <f>'TUSD BE'!$AH$23*'TUSD BE'!$AH$68</f>
        <v>-0.31582210385347725</v>
      </c>
      <c r="AI23" s="12">
        <f>'TUSD BE'!$AI$23*'TUSD BE'!$AI$68</f>
        <v>-7.4462230876329669E-3</v>
      </c>
      <c r="AJ23" s="12">
        <f ca="1">'TUSD BE'!$AJ$23*'TUSD BE'!$AJ$68</f>
        <v>-0.10548047046216222</v>
      </c>
      <c r="AK23" s="12">
        <f ca="1">'TUSD BE'!$AK$23*'TUSD BE'!$AK$68</f>
        <v>0</v>
      </c>
      <c r="AL23" s="12">
        <f ca="1">SUM($AH$23:$AK$23)</f>
        <v>-0.42874879740327243</v>
      </c>
      <c r="AM23" s="12">
        <f ca="1">SUMIF($L$4:$AL$4,"SUBTOTAL",$L$23:$AL$23)</f>
        <v>-89.369286849350189</v>
      </c>
      <c r="AO23" s="20">
        <f ca="1">+'TUSD BE'!$T$23+'TUSD BE'!$AB$23+'TUSD BE'!$AD$23+'TUSD BE'!$AL$23</f>
        <v>967.16075228439695</v>
      </c>
      <c r="AP23" s="20">
        <f ca="1">+'TUSD BE'!$T$23+'TUSD BE'!$AB$23+'TUSD BE'!$AD$23+'TUSD BE'!$AL$23</f>
        <v>967.16075228439695</v>
      </c>
    </row>
    <row r="24" spans="1:42" ht="11.25" customHeight="1" x14ac:dyDescent="0.25">
      <c r="A24" s="106"/>
      <c r="B24" s="106"/>
      <c r="C24" s="106"/>
      <c r="D24" s="106"/>
      <c r="E24" s="106"/>
      <c r="F24" s="106"/>
      <c r="G24" s="17" t="s">
        <v>80</v>
      </c>
      <c r="H24" s="17" t="s">
        <v>78</v>
      </c>
      <c r="I24" s="17">
        <f>'MERCADO TUSD'!$U$21</f>
        <v>0</v>
      </c>
      <c r="J24" s="15"/>
      <c r="L24" s="12">
        <f>'TUSD BE'!$L$24*'TUSD BE'!$L$68</f>
        <v>0</v>
      </c>
      <c r="M24" s="12">
        <f>'TUSD BE'!$M$24*'TUSD BE'!$M$68</f>
        <v>-1.3462642371001839E-2</v>
      </c>
      <c r="N24" s="12">
        <f ca="1">'TUSD BE'!$N$24*'TUSD BE'!$N$68</f>
        <v>0</v>
      </c>
      <c r="O24" s="12">
        <f>'TUSD BE'!$O$24*'TUSD BE'!$O$68</f>
        <v>-2.273861876940069E-3</v>
      </c>
      <c r="P24" s="12">
        <f>'TUSD BE'!$P$24*'TUSD BE'!$P$68</f>
        <v>0</v>
      </c>
      <c r="Q24" s="12">
        <f>'TUSD BE'!$Q$24*'TUSD BE'!$Q$68</f>
        <v>0</v>
      </c>
      <c r="R24" s="12">
        <f>'TUSD BE'!$R$24*'TUSD BE'!$R$68</f>
        <v>0</v>
      </c>
      <c r="S24" s="12">
        <f>'TUSD BE'!$R$24*'TUSD BE'!$S$68</f>
        <v>0</v>
      </c>
      <c r="T24" s="12">
        <f ca="1">SUM($L$24:$S$24)</f>
        <v>-1.5736504247941908E-2</v>
      </c>
      <c r="U24" s="12">
        <f>'TUSD BE'!$U$24*'TUSD BE'!$U$68</f>
        <v>0</v>
      </c>
      <c r="V24" s="12">
        <f>'TUSD BE'!$V$24*'TUSD BE'!$V$68</f>
        <v>0</v>
      </c>
      <c r="W24" s="12">
        <f>'TUSD BE'!$W$24*'TUSD BE'!$W$68</f>
        <v>0</v>
      </c>
      <c r="X24" s="12">
        <f>'TUSD BE'!$X$24*'TUSD BE'!$X$68</f>
        <v>0</v>
      </c>
      <c r="Y24" s="12">
        <f>'TUSD BE'!$Y$24*'TUSD BE'!$Y$68</f>
        <v>0</v>
      </c>
      <c r="Z24" s="12">
        <f>'TUSD BE'!$Z$24*'TUSD BE'!$Z$68</f>
        <v>0</v>
      </c>
      <c r="AA24" s="12">
        <f>'TUSD BE'!$AA$24*'TUSD BE'!$AA$68</f>
        <v>0</v>
      </c>
      <c r="AB24" s="12">
        <f>SUM($U$24:$AA$24)</f>
        <v>0</v>
      </c>
      <c r="AC24" s="12">
        <f>'TUSD BE'!$AC$24*'TUSD BE'!$AC$68</f>
        <v>0</v>
      </c>
      <c r="AD24" s="12">
        <f>SUM($AC$24:$AC$24)</f>
        <v>0</v>
      </c>
      <c r="AE24" s="12">
        <f ca="1">$AO$24*$AO$65</f>
        <v>-0.68963577531382947</v>
      </c>
      <c r="AF24" s="12">
        <f ca="1">$AP$24*$AP$65</f>
        <v>0</v>
      </c>
      <c r="AG24" s="12">
        <f ca="1">SUM($AE$24:$AF$24)</f>
        <v>-0.68963577531382947</v>
      </c>
      <c r="AH24" s="12">
        <f>'TUSD BE'!$AH$24*'TUSD BE'!$AH$68</f>
        <v>-0.31582210385347725</v>
      </c>
      <c r="AI24" s="12">
        <f>'TUSD BE'!$AI$24*'TUSD BE'!$AI$68</f>
        <v>-7.4462230876329669E-3</v>
      </c>
      <c r="AJ24" s="12">
        <f ca="1">'TUSD BE'!$AJ$24*'TUSD BE'!$AJ$68</f>
        <v>-0.10548047046216222</v>
      </c>
      <c r="AK24" s="12">
        <f ca="1">'TUSD BE'!$AK$24*'TUSD BE'!$AK$68</f>
        <v>0</v>
      </c>
      <c r="AL24" s="12">
        <f ca="1">SUM($AH$24:$AK$24)</f>
        <v>-0.42874879740327243</v>
      </c>
      <c r="AM24" s="12">
        <f ca="1">SUMIF($L$4:$AL$4,"SUBTOTAL",$L$24:$AL$24)</f>
        <v>-1.1341210769650438</v>
      </c>
      <c r="AO24" s="20">
        <f ca="1">+'TUSD BE'!$T$24+'TUSD BE'!$AB$24+'TUSD BE'!$AD$24+'TUSD BE'!$AL$24</f>
        <v>8.1359196209764661</v>
      </c>
      <c r="AP24" s="20">
        <f ca="1">+'TUSD BE'!$T$24+'TUSD BE'!$AB$24+'TUSD BE'!$AD$24+'TUSD BE'!$AL$24</f>
        <v>8.1359196209764661</v>
      </c>
    </row>
    <row r="25" spans="1:42" ht="11.25" customHeight="1" x14ac:dyDescent="0.25">
      <c r="A25" s="106" t="s">
        <v>88</v>
      </c>
      <c r="B25" s="106" t="s">
        <v>87</v>
      </c>
      <c r="C25" s="106" t="s">
        <v>25</v>
      </c>
      <c r="D25" s="106" t="s">
        <v>25</v>
      </c>
      <c r="E25" s="18" t="s">
        <v>89</v>
      </c>
      <c r="F25" s="18" t="s">
        <v>25</v>
      </c>
      <c r="G25" s="17" t="s">
        <v>9</v>
      </c>
      <c r="H25" s="17" t="s">
        <v>81</v>
      </c>
      <c r="I25" s="17">
        <f>'MERCADO TUSD'!$U$22+0.00000001</f>
        <v>1E-8</v>
      </c>
      <c r="J25" s="15"/>
      <c r="L25" s="12">
        <f>'TUSD BE'!$L$25*'TUSD BE'!$L$68</f>
        <v>0</v>
      </c>
      <c r="M25" s="12">
        <f>'TUSD BE'!$M$25*'TUSD BE'!$M$68</f>
        <v>-1.1910417114437686E-3</v>
      </c>
      <c r="N25" s="12">
        <f ca="1">'TUSD BE'!$N$25*'TUSD BE'!$N$68</f>
        <v>0</v>
      </c>
      <c r="O25" s="12">
        <f>'TUSD BE'!$O$25*'TUSD BE'!$O$68</f>
        <v>0</v>
      </c>
      <c r="P25" s="12">
        <f>'TUSD BE'!$P$25*'TUSD BE'!$P$68</f>
        <v>0</v>
      </c>
      <c r="Q25" s="12">
        <f>'TUSD BE'!$Q$25*'TUSD BE'!$Q$68</f>
        <v>0</v>
      </c>
      <c r="R25" s="12">
        <f>'TUSD BE'!$R$25*'TUSD BE'!$R$68</f>
        <v>0</v>
      </c>
      <c r="S25" s="12">
        <f>'TUSD BE'!$R$25*'TUSD BE'!$S$68</f>
        <v>0</v>
      </c>
      <c r="T25" s="12">
        <f ca="1">SUM($L$25:$S$25)</f>
        <v>-1.1910417114437686E-3</v>
      </c>
      <c r="U25" s="12">
        <f>'TUSD BE'!$U$25*'TUSD BE'!$U$68</f>
        <v>0</v>
      </c>
      <c r="V25" s="12">
        <f>'TUSD BE'!$V$25*'TUSD BE'!$V$68</f>
        <v>0</v>
      </c>
      <c r="W25" s="12">
        <f>'TUSD BE'!$W$25*'TUSD BE'!$W$68</f>
        <v>0</v>
      </c>
      <c r="X25" s="12">
        <f>'TUSD BE'!$X$25*'TUSD BE'!$X$68</f>
        <v>0</v>
      </c>
      <c r="Y25" s="12">
        <f>'TUSD BE'!$Y$25*'TUSD BE'!$Y$68</f>
        <v>0</v>
      </c>
      <c r="Z25" s="12">
        <f>'TUSD BE'!$Z$25*'TUSD BE'!$Z$68</f>
        <v>0</v>
      </c>
      <c r="AA25" s="12">
        <f>'TUSD BE'!$AA$25*'TUSD BE'!$AA$68</f>
        <v>0</v>
      </c>
      <c r="AB25" s="12">
        <f>SUM($U$25:$AA$25)</f>
        <v>0</v>
      </c>
      <c r="AC25" s="12">
        <f>'TUSD BE'!$AC$25*'TUSD BE'!$AC$68</f>
        <v>-6.5235295303418303E-2</v>
      </c>
      <c r="AD25" s="12">
        <f>SUM($AC$25:$AC$25)</f>
        <v>-6.5235295303418303E-2</v>
      </c>
      <c r="AE25" s="12">
        <f ca="1">$AO$25*$AO$65</f>
        <v>-0.89885634371447098</v>
      </c>
      <c r="AF25" s="12">
        <f ca="1">$AP$25*$AP$65</f>
        <v>0</v>
      </c>
      <c r="AG25" s="12">
        <f ca="1">SUM($AE$25:$AF$25)</f>
        <v>-0.89885634371447098</v>
      </c>
      <c r="AH25" s="12">
        <f>'TUSD BE'!$AH$25*'TUSD BE'!$AH$68</f>
        <v>0</v>
      </c>
      <c r="AI25" s="12">
        <f>'TUSD BE'!$AI$25*'TUSD BE'!$AI$68</f>
        <v>0</v>
      </c>
      <c r="AJ25" s="12">
        <f ca="1">'TUSD BE'!$AJ$25*'TUSD BE'!$AJ$68</f>
        <v>0</v>
      </c>
      <c r="AK25" s="12">
        <f ca="1">'TUSD BE'!$AK$25*'TUSD BE'!$AK$68</f>
        <v>0</v>
      </c>
      <c r="AL25" s="12">
        <f ca="1">SUM($AH$25:$AK$25)</f>
        <v>0</v>
      </c>
      <c r="AM25" s="12">
        <f ca="1">SUMIF($L$4:$AL$4,"SUBTOTAL",$L$25:$AL$25)</f>
        <v>-0.9652826807293331</v>
      </c>
      <c r="AO25" s="20">
        <f ca="1">+'TUSD BE'!$T$25+'TUSD BE'!$AB$25+'TUSD BE'!$AD$25+'TUSD BE'!$AL$25</f>
        <v>10.604181547771105</v>
      </c>
      <c r="AP25" s="20">
        <f ca="1">+'TUSD BE'!$T$25+'TUSD BE'!$AB$25+'TUSD BE'!$AD$25+'TUSD BE'!$AL$25</f>
        <v>10.604181547771105</v>
      </c>
    </row>
    <row r="26" spans="1:42" ht="11.25" customHeight="1" x14ac:dyDescent="0.25">
      <c r="A26" s="106"/>
      <c r="B26" s="106"/>
      <c r="C26" s="106"/>
      <c r="D26" s="106"/>
      <c r="E26" s="18" t="s">
        <v>90</v>
      </c>
      <c r="F26" s="18" t="s">
        <v>25</v>
      </c>
      <c r="G26" s="17" t="s">
        <v>9</v>
      </c>
      <c r="H26" s="17" t="s">
        <v>81</v>
      </c>
      <c r="I26" s="17">
        <f>'MERCADO TUSD'!$U$23+0.00000001</f>
        <v>1E-8</v>
      </c>
      <c r="J26" s="15"/>
      <c r="L26" s="12">
        <f>'TUSD BE'!$L$26*'TUSD BE'!$L$68</f>
        <v>0</v>
      </c>
      <c r="M26" s="12">
        <f>'TUSD BE'!$M$26*'TUSD BE'!$M$68</f>
        <v>-1.1910417114437686E-3</v>
      </c>
      <c r="N26" s="12">
        <f ca="1">'TUSD BE'!$N$26*'TUSD BE'!$N$68</f>
        <v>0</v>
      </c>
      <c r="O26" s="12">
        <f>'TUSD BE'!$O$26*'TUSD BE'!$O$68</f>
        <v>0</v>
      </c>
      <c r="P26" s="12">
        <f>'TUSD BE'!$P$26*'TUSD BE'!$P$68</f>
        <v>0</v>
      </c>
      <c r="Q26" s="12">
        <f>'TUSD BE'!$Q$26*'TUSD BE'!$Q$68</f>
        <v>0</v>
      </c>
      <c r="R26" s="12">
        <f>'TUSD BE'!$R$26*'TUSD BE'!$R$68</f>
        <v>0</v>
      </c>
      <c r="S26" s="12">
        <f>'TUSD BE'!$R$26*'TUSD BE'!$S$68</f>
        <v>0</v>
      </c>
      <c r="T26" s="12">
        <f ca="1">SUM($L$26:$S$26)</f>
        <v>-1.1910417114437686E-3</v>
      </c>
      <c r="U26" s="12">
        <f>'TUSD BE'!$U$26*'TUSD BE'!$U$68</f>
        <v>0</v>
      </c>
      <c r="V26" s="12">
        <f>'TUSD BE'!$V$26*'TUSD BE'!$V$68</f>
        <v>0</v>
      </c>
      <c r="W26" s="12">
        <f>'TUSD BE'!$W$26*'TUSD BE'!$W$68</f>
        <v>0</v>
      </c>
      <c r="X26" s="12">
        <f>'TUSD BE'!$X$26*'TUSD BE'!$X$68</f>
        <v>0</v>
      </c>
      <c r="Y26" s="12">
        <f>'TUSD BE'!$Y$26*'TUSD BE'!$Y$68</f>
        <v>0</v>
      </c>
      <c r="Z26" s="12">
        <f>'TUSD BE'!$Z$26*'TUSD BE'!$Z$68</f>
        <v>0</v>
      </c>
      <c r="AA26" s="12">
        <f>'TUSD BE'!$AA$26*'TUSD BE'!$AA$68</f>
        <v>0</v>
      </c>
      <c r="AB26" s="12">
        <f>SUM($U$26:$AA$26)</f>
        <v>0</v>
      </c>
      <c r="AC26" s="12">
        <f>'TUSD BE'!$AC$26*'TUSD BE'!$AC$68</f>
        <v>-0.11304257200502502</v>
      </c>
      <c r="AD26" s="12">
        <f>SUM($AC$26:$AC$26)</f>
        <v>-0.11304257200502502</v>
      </c>
      <c r="AE26" s="12">
        <f ca="1">$AO$26*$AO$65</f>
        <v>-1.5489144175054119</v>
      </c>
      <c r="AF26" s="12">
        <f ca="1">$AP$26*$AP$65</f>
        <v>0</v>
      </c>
      <c r="AG26" s="12">
        <f ca="1">SUM($AE$26:$AF$26)</f>
        <v>-1.5489144175054119</v>
      </c>
      <c r="AH26" s="12">
        <f>'TUSD BE'!$AH$26*'TUSD BE'!$AH$68</f>
        <v>0</v>
      </c>
      <c r="AI26" s="12">
        <f>'TUSD BE'!$AI$26*'TUSD BE'!$AI$68</f>
        <v>0</v>
      </c>
      <c r="AJ26" s="12">
        <f ca="1">'TUSD BE'!$AJ$26*'TUSD BE'!$AJ$68</f>
        <v>0</v>
      </c>
      <c r="AK26" s="12">
        <f ca="1">'TUSD BE'!$AK$26*'TUSD BE'!$AK$68</f>
        <v>0</v>
      </c>
      <c r="AL26" s="12">
        <f ca="1">SUM($AH$26:$AK$26)</f>
        <v>0</v>
      </c>
      <c r="AM26" s="12">
        <f ca="1">SUMIF($L$4:$AL$4,"SUBTOTAL",$L$26:$AL$26)</f>
        <v>-1.6631480312218807</v>
      </c>
      <c r="AO26" s="20">
        <f ca="1">+'TUSD BE'!$T$26+'TUSD BE'!$AB$26+'TUSD BE'!$AD$26+'TUSD BE'!$AL$26</f>
        <v>18.27318658876267</v>
      </c>
      <c r="AP26" s="20">
        <f ca="1">+'TUSD BE'!$T$26+'TUSD BE'!$AB$26+'TUSD BE'!$AD$26+'TUSD BE'!$AL$26</f>
        <v>18.27318658876267</v>
      </c>
    </row>
    <row r="27" spans="1:42" ht="11.25" customHeight="1" x14ac:dyDescent="0.25">
      <c r="A27" s="106" t="s">
        <v>22</v>
      </c>
      <c r="B27" s="106" t="s">
        <v>33</v>
      </c>
      <c r="C27" s="106" t="s">
        <v>24</v>
      </c>
      <c r="D27" s="106" t="s">
        <v>24</v>
      </c>
      <c r="E27" s="106" t="s">
        <v>25</v>
      </c>
      <c r="F27" s="106" t="s">
        <v>25</v>
      </c>
      <c r="G27" s="17" t="s">
        <v>79</v>
      </c>
      <c r="H27" s="17" t="s">
        <v>78</v>
      </c>
      <c r="I27" s="17">
        <f>'MERCADO TUSD'!$U$24</f>
        <v>6.9259999999999993</v>
      </c>
      <c r="J27" s="15"/>
      <c r="L27" s="12">
        <f>'TUSD BE'!$L$27*'TUSD BE'!$L$68</f>
        <v>-8.0687454570029529E-2</v>
      </c>
      <c r="M27" s="12">
        <f>'TUSD BE'!$M$27*'TUSD BE'!$M$68</f>
        <v>-2.6788463634114672E-2</v>
      </c>
      <c r="N27" s="12">
        <f ca="1">'TUSD BE'!$N$27*'TUSD BE'!$N$68</f>
        <v>0</v>
      </c>
      <c r="O27" s="12">
        <f>'TUSD BE'!$O$27*'TUSD BE'!$O$68</f>
        <v>-2.273861876940069E-3</v>
      </c>
      <c r="P27" s="12">
        <f>'TUSD BE'!$P$27*'TUSD BE'!$P$68</f>
        <v>0</v>
      </c>
      <c r="Q27" s="12">
        <f>'TUSD BE'!$Q$27*'TUSD BE'!$Q$68</f>
        <v>-1.0379010336281125</v>
      </c>
      <c r="R27" s="12">
        <f>'TUSD BE'!$R$27*'TUSD BE'!$R$68</f>
        <v>-0.40912397039648096</v>
      </c>
      <c r="S27" s="12">
        <f>'TUSD BE'!$R$27*'TUSD BE'!$S$68</f>
        <v>0</v>
      </c>
      <c r="T27" s="12">
        <f ca="1">SUM($L$27:$S$27)</f>
        <v>-1.5567747841056776</v>
      </c>
      <c r="U27" s="12">
        <f>'TUSD BE'!$U$27*'TUSD BE'!$U$68</f>
        <v>0.12900273239973101</v>
      </c>
      <c r="V27" s="12">
        <f>'TUSD BE'!$V$27*'TUSD BE'!$V$68</f>
        <v>0</v>
      </c>
      <c r="W27" s="12">
        <f>'TUSD BE'!$W$27*'TUSD BE'!$W$68</f>
        <v>0</v>
      </c>
      <c r="X27" s="12">
        <f>'TUSD BE'!$X$27*'TUSD BE'!$X$68</f>
        <v>0</v>
      </c>
      <c r="Y27" s="12">
        <f>'TUSD BE'!$Y$27*'TUSD BE'!$Y$68</f>
        <v>-1.1868075230109196</v>
      </c>
      <c r="Z27" s="12">
        <f>'TUSD BE'!$Z$27*'TUSD BE'!$Z$68</f>
        <v>0</v>
      </c>
      <c r="AA27" s="12">
        <f>'TUSD BE'!$AA$27*'TUSD BE'!$AA$68</f>
        <v>0</v>
      </c>
      <c r="AB27" s="12">
        <f>SUM($U$27:$AA$27)</f>
        <v>-1.0578047906111887</v>
      </c>
      <c r="AC27" s="12">
        <f>'TUSD BE'!$AC$27*'TUSD BE'!$AC$68</f>
        <v>-3.9033539873284475</v>
      </c>
      <c r="AD27" s="12">
        <f>SUM($AC$27:$AC$27)</f>
        <v>-3.9033539873284475</v>
      </c>
      <c r="AE27" s="12">
        <f ca="1">$AO$27*$AO$65</f>
        <v>-70.741346575960293</v>
      </c>
      <c r="AF27" s="12">
        <f ca="1">$AP$27*$AP$65</f>
        <v>0</v>
      </c>
      <c r="AG27" s="12">
        <f ca="1">SUM($AE$27:$AF$27)</f>
        <v>-70.741346575960293</v>
      </c>
      <c r="AH27" s="12">
        <f>'TUSD BE'!$AH$27*'TUSD BE'!$AH$68</f>
        <v>-0.951786665353481</v>
      </c>
      <c r="AI27" s="12">
        <f>'TUSD BE'!$AI$27*'TUSD BE'!$AI$68</f>
        <v>-2.2440531411773292E-2</v>
      </c>
      <c r="AJ27" s="12">
        <f ca="1">'TUSD BE'!$AJ$27*'TUSD BE'!$AJ$68</f>
        <v>-0.14921947661280285</v>
      </c>
      <c r="AK27" s="12">
        <f ca="1">'TUSD BE'!$AK$27*'TUSD BE'!$AK$68</f>
        <v>0</v>
      </c>
      <c r="AL27" s="12">
        <f ca="1">SUM($AH$27:$AK$27)</f>
        <v>-1.123446673378057</v>
      </c>
      <c r="AM27" s="12">
        <f ca="1">SUMIF($L$4:$AL$4,"SUBTOTAL",$L$27:$AL$27)</f>
        <v>-78.382726811383662</v>
      </c>
      <c r="AO27" s="20">
        <f ca="1">+'TUSD BE'!$T$27+'TUSD BE'!$AB$27+'TUSD BE'!$AD$27+'TUSD BE'!$AL$27</f>
        <v>834.56504175662951</v>
      </c>
      <c r="AP27" s="20">
        <f ca="1">+'TUSD BE'!$T$27+'TUSD BE'!$AB$27+'TUSD BE'!$AD$27+'TUSD BE'!$AL$27</f>
        <v>834.56504175662951</v>
      </c>
    </row>
    <row r="28" spans="1:42" ht="11.25" customHeight="1" x14ac:dyDescent="0.25">
      <c r="A28" s="106"/>
      <c r="B28" s="106"/>
      <c r="C28" s="106"/>
      <c r="D28" s="106"/>
      <c r="E28" s="106"/>
      <c r="F28" s="106"/>
      <c r="G28" s="17" t="s">
        <v>91</v>
      </c>
      <c r="H28" s="17" t="s">
        <v>78</v>
      </c>
      <c r="I28" s="17">
        <f>'MERCADO TUSD'!$U$25</f>
        <v>4.6099999999999994</v>
      </c>
      <c r="J28" s="15"/>
      <c r="L28" s="12">
        <f>'TUSD BE'!$L$28*'TUSD BE'!$L$68</f>
        <v>-8.0687454570029529E-2</v>
      </c>
      <c r="M28" s="12">
        <f>'TUSD BE'!$M$28*'TUSD BE'!$M$68</f>
        <v>-2.6788463634114672E-2</v>
      </c>
      <c r="N28" s="12">
        <f ca="1">'TUSD BE'!$N$28*'TUSD BE'!$N$68</f>
        <v>0</v>
      </c>
      <c r="O28" s="12">
        <f>'TUSD BE'!$O$28*'TUSD BE'!$O$68</f>
        <v>-2.273861876940069E-3</v>
      </c>
      <c r="P28" s="12">
        <f>'TUSD BE'!$P$28*'TUSD BE'!$P$68</f>
        <v>0</v>
      </c>
      <c r="Q28" s="12">
        <f>'TUSD BE'!$Q$28*'TUSD BE'!$Q$68</f>
        <v>-1.0379010336281125</v>
      </c>
      <c r="R28" s="12">
        <f>'TUSD BE'!$R$28*'TUSD BE'!$R$68</f>
        <v>-0.40912397039648096</v>
      </c>
      <c r="S28" s="12">
        <f>'TUSD BE'!$R$28*'TUSD BE'!$S$68</f>
        <v>0</v>
      </c>
      <c r="T28" s="12">
        <f ca="1">SUM($L$28:$S$28)</f>
        <v>-1.5567747841056776</v>
      </c>
      <c r="U28" s="12">
        <f>'TUSD BE'!$U$28*'TUSD BE'!$U$68</f>
        <v>7.7401639439838604E-2</v>
      </c>
      <c r="V28" s="12">
        <f>'TUSD BE'!$V$28*'TUSD BE'!$V$68</f>
        <v>0</v>
      </c>
      <c r="W28" s="12">
        <f>'TUSD BE'!$W$28*'TUSD BE'!$W$68</f>
        <v>0</v>
      </c>
      <c r="X28" s="12">
        <f>'TUSD BE'!$X$28*'TUSD BE'!$X$68</f>
        <v>0</v>
      </c>
      <c r="Y28" s="12">
        <f>'TUSD BE'!$Y$28*'TUSD BE'!$Y$68</f>
        <v>-0.71208404976757589</v>
      </c>
      <c r="Z28" s="12">
        <f>'TUSD BE'!$Z$28*'TUSD BE'!$Z$68</f>
        <v>0</v>
      </c>
      <c r="AA28" s="12">
        <f>'TUSD BE'!$AA$28*'TUSD BE'!$AA$68</f>
        <v>0</v>
      </c>
      <c r="AB28" s="12">
        <f>SUM($U$28:$AA$28)</f>
        <v>-0.63468241032773731</v>
      </c>
      <c r="AC28" s="12">
        <f>'TUSD BE'!$AC$28*'TUSD BE'!$AC$68</f>
        <v>-2.3420120952821453</v>
      </c>
      <c r="AD28" s="12">
        <f>SUM($AC$28:$AC$28)</f>
        <v>-2.3420120952821453</v>
      </c>
      <c r="AE28" s="12">
        <f ca="1">$AO$28*$AO$65</f>
        <v>-44.926627924340295</v>
      </c>
      <c r="AF28" s="12">
        <f ca="1">$AP$28*$AP$65</f>
        <v>0</v>
      </c>
      <c r="AG28" s="12">
        <f ca="1">SUM($AE$28:$AF$28)</f>
        <v>-44.926627924340295</v>
      </c>
      <c r="AH28" s="12">
        <f>'TUSD BE'!$AH$28*'TUSD BE'!$AH$68</f>
        <v>-0.951786665353481</v>
      </c>
      <c r="AI28" s="12">
        <f>'TUSD BE'!$AI$28*'TUSD BE'!$AI$68</f>
        <v>-2.2440531411773292E-2</v>
      </c>
      <c r="AJ28" s="12">
        <f ca="1">'TUSD BE'!$AJ$28*'TUSD BE'!$AJ$68</f>
        <v>-0.14921947661280285</v>
      </c>
      <c r="AK28" s="12">
        <f ca="1">'TUSD BE'!$AK$28*'TUSD BE'!$AK$68</f>
        <v>0</v>
      </c>
      <c r="AL28" s="12">
        <f ca="1">SUM($AH$28:$AK$28)</f>
        <v>-1.123446673378057</v>
      </c>
      <c r="AM28" s="12">
        <f ca="1">SUMIF($L$4:$AL$4,"SUBTOTAL",$L$28:$AL$28)</f>
        <v>-50.583543887433912</v>
      </c>
      <c r="AO28" s="20">
        <f ca="1">+'TUSD BE'!$T$28+'TUSD BE'!$AB$28+'TUSD BE'!$AD$28+'TUSD BE'!$AL$28</f>
        <v>530.01808594923034</v>
      </c>
      <c r="AP28" s="20">
        <f ca="1">+'TUSD BE'!$T$28+'TUSD BE'!$AB$28+'TUSD BE'!$AD$28+'TUSD BE'!$AL$28</f>
        <v>530.01808594923034</v>
      </c>
    </row>
    <row r="29" spans="1:42" ht="11.25" customHeight="1" x14ac:dyDescent="0.25">
      <c r="A29" s="106"/>
      <c r="B29" s="106"/>
      <c r="C29" s="106"/>
      <c r="D29" s="106"/>
      <c r="E29" s="106"/>
      <c r="F29" s="106"/>
      <c r="G29" s="17" t="s">
        <v>80</v>
      </c>
      <c r="H29" s="17" t="s">
        <v>78</v>
      </c>
      <c r="I29" s="17">
        <f>'MERCADO TUSD'!$U$26</f>
        <v>73.14200000000001</v>
      </c>
      <c r="J29" s="15"/>
      <c r="L29" s="12">
        <f>'TUSD BE'!$L$29*'TUSD BE'!$L$68</f>
        <v>-8.0687454570029529E-2</v>
      </c>
      <c r="M29" s="12">
        <f>'TUSD BE'!$M$29*'TUSD BE'!$M$68</f>
        <v>-2.6788463634114672E-2</v>
      </c>
      <c r="N29" s="12">
        <f ca="1">'TUSD BE'!$N$29*'TUSD BE'!$N$68</f>
        <v>0</v>
      </c>
      <c r="O29" s="12">
        <f>'TUSD BE'!$O$29*'TUSD BE'!$O$68</f>
        <v>-2.273861876940069E-3</v>
      </c>
      <c r="P29" s="12">
        <f>'TUSD BE'!$P$29*'TUSD BE'!$P$68</f>
        <v>0</v>
      </c>
      <c r="Q29" s="12">
        <f>'TUSD BE'!$Q$29*'TUSD BE'!$Q$68</f>
        <v>-1.0379010336281125</v>
      </c>
      <c r="R29" s="12">
        <f>'TUSD BE'!$R$29*'TUSD BE'!$R$68</f>
        <v>-0.40912397039648096</v>
      </c>
      <c r="S29" s="12">
        <f>'TUSD BE'!$R$29*'TUSD BE'!$S$68</f>
        <v>0</v>
      </c>
      <c r="T29" s="12">
        <f ca="1">SUM($L$29:$S$29)</f>
        <v>-1.5567747841056776</v>
      </c>
      <c r="U29" s="12">
        <f>'TUSD BE'!$U$29*'TUSD BE'!$U$68</f>
        <v>2.5800546479946198E-2</v>
      </c>
      <c r="V29" s="12">
        <f>'TUSD BE'!$V$29*'TUSD BE'!$V$68</f>
        <v>0</v>
      </c>
      <c r="W29" s="12">
        <f>'TUSD BE'!$W$29*'TUSD BE'!$W$68</f>
        <v>0</v>
      </c>
      <c r="X29" s="12">
        <f>'TUSD BE'!$X$29*'TUSD BE'!$X$68</f>
        <v>0</v>
      </c>
      <c r="Y29" s="12">
        <f>'TUSD BE'!$Y$29*'TUSD BE'!$Y$68</f>
        <v>-0.23736057652423229</v>
      </c>
      <c r="Z29" s="12">
        <f>'TUSD BE'!$Z$29*'TUSD BE'!$Z$68</f>
        <v>0</v>
      </c>
      <c r="AA29" s="12">
        <f>'TUSD BE'!$AA$29*'TUSD BE'!$AA$68</f>
        <v>0</v>
      </c>
      <c r="AB29" s="12">
        <f>SUM($U$29:$AA$29)</f>
        <v>-0.21156003004428608</v>
      </c>
      <c r="AC29" s="12">
        <f>'TUSD BE'!$AC$29*'TUSD BE'!$AC$68</f>
        <v>-0.78067094602315101</v>
      </c>
      <c r="AD29" s="12">
        <f>SUM($AC$29:$AC$29)</f>
        <v>-0.78067094602315101</v>
      </c>
      <c r="AE29" s="12">
        <f ca="1">$AO$29*$AO$65</f>
        <v>-19.111926396204758</v>
      </c>
      <c r="AF29" s="12">
        <f ca="1">$AP$29*$AP$65</f>
        <v>0</v>
      </c>
      <c r="AG29" s="12">
        <f ca="1">SUM($AE$29:$AF$29)</f>
        <v>-19.111926396204758</v>
      </c>
      <c r="AH29" s="12">
        <f>'TUSD BE'!$AH$29*'TUSD BE'!$AH$68</f>
        <v>-0.951786665353481</v>
      </c>
      <c r="AI29" s="12">
        <f>'TUSD BE'!$AI$29*'TUSD BE'!$AI$68</f>
        <v>-2.2440531411773292E-2</v>
      </c>
      <c r="AJ29" s="12">
        <f ca="1">'TUSD BE'!$AJ$29*'TUSD BE'!$AJ$68</f>
        <v>-0.14921947661280285</v>
      </c>
      <c r="AK29" s="12">
        <f ca="1">'TUSD BE'!$AK$29*'TUSD BE'!$AK$68</f>
        <v>0</v>
      </c>
      <c r="AL29" s="12">
        <f ca="1">SUM($AH$29:$AK$29)</f>
        <v>-1.123446673378057</v>
      </c>
      <c r="AM29" s="12">
        <f ca="1">SUMIF($L$4:$AL$4,"SUBTOTAL",$L$29:$AL$29)</f>
        <v>-22.784378829755934</v>
      </c>
      <c r="AO29" s="20">
        <f ca="1">+'TUSD BE'!$T$29+'TUSD BE'!$AB$29+'TUSD BE'!$AD$29+'TUSD BE'!$AL$29</f>
        <v>225.47133215468813</v>
      </c>
      <c r="AP29" s="20">
        <f ca="1">+'TUSD BE'!$T$29+'TUSD BE'!$AB$29+'TUSD BE'!$AD$29+'TUSD BE'!$AL$29</f>
        <v>225.47133215468813</v>
      </c>
    </row>
    <row r="30" spans="1:42" ht="11.25" customHeight="1" x14ac:dyDescent="0.25">
      <c r="A30" s="106"/>
      <c r="B30" s="106" t="s">
        <v>23</v>
      </c>
      <c r="C30" s="106" t="s">
        <v>24</v>
      </c>
      <c r="D30" s="18" t="s">
        <v>24</v>
      </c>
      <c r="E30" s="18" t="s">
        <v>25</v>
      </c>
      <c r="F30" s="18" t="s">
        <v>25</v>
      </c>
      <c r="G30" s="17" t="s">
        <v>84</v>
      </c>
      <c r="H30" s="17" t="s">
        <v>78</v>
      </c>
      <c r="I30" s="17">
        <f>'MERCADO TUSD'!$U$27</f>
        <v>216529.64400000003</v>
      </c>
      <c r="J30" s="15"/>
      <c r="L30" s="12">
        <f>'TUSD BE'!$L$30*'TUSD BE'!$L$68</f>
        <v>-8.0687454570029529E-2</v>
      </c>
      <c r="M30" s="12">
        <f>'TUSD BE'!$M$30*'TUSD BE'!$M$68</f>
        <v>-2.6788463634114672E-2</v>
      </c>
      <c r="N30" s="12">
        <f ca="1">'TUSD BE'!$N$30*'TUSD BE'!$N$68</f>
        <v>0</v>
      </c>
      <c r="O30" s="12">
        <f>'TUSD BE'!$O$30*'TUSD BE'!$O$68</f>
        <v>-2.273861876940069E-3</v>
      </c>
      <c r="P30" s="12">
        <f>'TUSD BE'!$P$30*'TUSD BE'!$P$68</f>
        <v>0</v>
      </c>
      <c r="Q30" s="12">
        <f>'TUSD BE'!$Q$30*'TUSD BE'!$Q$68</f>
        <v>-1.0379010336281125</v>
      </c>
      <c r="R30" s="12">
        <f>'TUSD BE'!$R$30*'TUSD BE'!$R$68</f>
        <v>-0.40912397039648096</v>
      </c>
      <c r="S30" s="12">
        <f>'TUSD BE'!$R$30*'TUSD BE'!$S$68</f>
        <v>0</v>
      </c>
      <c r="T30" s="12">
        <f ca="1">SUM($L$30:$S$30)</f>
        <v>-1.5567747841056776</v>
      </c>
      <c r="U30" s="12">
        <f>'TUSD BE'!$U$30*'TUSD BE'!$U$68</f>
        <v>4.0313207080727956E-2</v>
      </c>
      <c r="V30" s="12">
        <f>'TUSD BE'!$V$30*'TUSD BE'!$V$68</f>
        <v>0</v>
      </c>
      <c r="W30" s="12">
        <f>'TUSD BE'!$W$30*'TUSD BE'!$W$68</f>
        <v>0</v>
      </c>
      <c r="X30" s="12">
        <f>'TUSD BE'!$X$30*'TUSD BE'!$X$68</f>
        <v>0</v>
      </c>
      <c r="Y30" s="12">
        <f>'TUSD BE'!$Y$30*'TUSD BE'!$Y$68</f>
        <v>-0.37087619084347284</v>
      </c>
      <c r="Z30" s="12">
        <f>'TUSD BE'!$Z$30*'TUSD BE'!$Z$68</f>
        <v>0</v>
      </c>
      <c r="AA30" s="12">
        <f>'TUSD BE'!$AA$30*'TUSD BE'!$AA$68</f>
        <v>0</v>
      </c>
      <c r="AB30" s="12">
        <f>SUM($U$30:$AA$30)</f>
        <v>-0.3305629837627449</v>
      </c>
      <c r="AC30" s="12">
        <f>'TUSD BE'!$AC$30*'TUSD BE'!$AC$68</f>
        <v>-1.2197978889191061</v>
      </c>
      <c r="AD30" s="12">
        <f>SUM($AC$30:$AC$30)</f>
        <v>-1.2197978889191061</v>
      </c>
      <c r="AE30" s="12">
        <f ca="1">$AO$30*$AO$65</f>
        <v>-26.372298391919237</v>
      </c>
      <c r="AF30" s="12">
        <f ca="1">$AP$30*$AP$65</f>
        <v>0</v>
      </c>
      <c r="AG30" s="12">
        <f ca="1">SUM($AE$30:$AF$30)</f>
        <v>-26.372298391919237</v>
      </c>
      <c r="AH30" s="12">
        <f>'TUSD BE'!$AH$30*'TUSD BE'!$AH$68</f>
        <v>-0.951786665353481</v>
      </c>
      <c r="AI30" s="12">
        <f>'TUSD BE'!$AI$30*'TUSD BE'!$AI$68</f>
        <v>-2.2440531411773292E-2</v>
      </c>
      <c r="AJ30" s="12">
        <f ca="1">'TUSD BE'!$AJ$30*'TUSD BE'!$AJ$68</f>
        <v>-0.14921947661280285</v>
      </c>
      <c r="AK30" s="12">
        <f ca="1">'TUSD BE'!$AK$30*'TUSD BE'!$AK$68</f>
        <v>0</v>
      </c>
      <c r="AL30" s="12">
        <f ca="1">SUM($AH$30:$AK$30)</f>
        <v>-1.123446673378057</v>
      </c>
      <c r="AM30" s="12">
        <f ca="1">SUMIF($L$4:$AL$4,"SUBTOTAL",$L$30:$AL$30)</f>
        <v>-30.602880722084823</v>
      </c>
      <c r="AO30" s="20">
        <f ca="1">+'TUSD BE'!$T$30+'TUSD BE'!$AB$30+'TUSD BE'!$AD$30+'TUSD BE'!$AL$30</f>
        <v>311.12495554544228</v>
      </c>
      <c r="AP30" s="20">
        <f ca="1">+'TUSD BE'!$T$30+'TUSD BE'!$AB$30+'TUSD BE'!$AD$30+'TUSD BE'!$AL$30</f>
        <v>311.12495554544228</v>
      </c>
    </row>
    <row r="31" spans="1:42" ht="11.25" customHeight="1" x14ac:dyDescent="0.25">
      <c r="A31" s="106"/>
      <c r="B31" s="106"/>
      <c r="C31" s="106"/>
      <c r="D31" s="18" t="s">
        <v>29</v>
      </c>
      <c r="E31" s="18" t="s">
        <v>25</v>
      </c>
      <c r="F31" s="18" t="s">
        <v>25</v>
      </c>
      <c r="G31" s="17" t="s">
        <v>84</v>
      </c>
      <c r="H31" s="17" t="s">
        <v>78</v>
      </c>
      <c r="I31" s="17">
        <f>'MERCADO TUSD'!$U$28</f>
        <v>20401.981000000003</v>
      </c>
      <c r="J31" s="15"/>
      <c r="L31" s="12">
        <f>'TUSD BE'!$L$31*'TUSD BE'!$L$68</f>
        <v>0</v>
      </c>
      <c r="M31" s="12">
        <f>'TUSD BE'!$M$31*'TUSD BE'!$M$68</f>
        <v>-2.6788463634114672E-2</v>
      </c>
      <c r="N31" s="12">
        <f ca="1">'TUSD BE'!$N$31*'TUSD BE'!$N$68</f>
        <v>0</v>
      </c>
      <c r="O31" s="12">
        <f>'TUSD BE'!$O$31*'TUSD BE'!$O$68</f>
        <v>-2.273861876940069E-3</v>
      </c>
      <c r="P31" s="12">
        <f>'TUSD BE'!$P$31*'TUSD BE'!$P$68</f>
        <v>0</v>
      </c>
      <c r="Q31" s="12">
        <f>'TUSD BE'!$Q$31*'TUSD BE'!$Q$68</f>
        <v>0</v>
      </c>
      <c r="R31" s="12">
        <f>'TUSD BE'!$R$31*'TUSD BE'!$R$68</f>
        <v>0</v>
      </c>
      <c r="S31" s="12">
        <f>'TUSD BE'!$R$31*'TUSD BE'!$S$68</f>
        <v>0</v>
      </c>
      <c r="T31" s="12">
        <f ca="1">SUM($L$31:$S$31)</f>
        <v>-2.906232551105474E-2</v>
      </c>
      <c r="U31" s="12">
        <f>'TUSD BE'!$U$31*'TUSD BE'!$U$68</f>
        <v>4.0313207080727956E-2</v>
      </c>
      <c r="V31" s="12">
        <f>'TUSD BE'!$V$31*'TUSD BE'!$V$68</f>
        <v>0</v>
      </c>
      <c r="W31" s="12">
        <f>'TUSD BE'!$W$31*'TUSD BE'!$W$68</f>
        <v>0</v>
      </c>
      <c r="X31" s="12">
        <f>'TUSD BE'!$X$31*'TUSD BE'!$X$68</f>
        <v>0</v>
      </c>
      <c r="Y31" s="12">
        <f>'TUSD BE'!$Y$31*'TUSD BE'!$Y$68</f>
        <v>-0.37087619084347284</v>
      </c>
      <c r="Z31" s="12">
        <f>'TUSD BE'!$Z$31*'TUSD BE'!$Z$68</f>
        <v>0</v>
      </c>
      <c r="AA31" s="12">
        <f>'TUSD BE'!$AA$31*'TUSD BE'!$AA$68</f>
        <v>0</v>
      </c>
      <c r="AB31" s="12">
        <f>SUM($U$31:$AA$31)</f>
        <v>-0.3305629837627449</v>
      </c>
      <c r="AC31" s="12">
        <f>'TUSD BE'!$AC$31*'TUSD BE'!$AC$68</f>
        <v>-1.2197978889191061</v>
      </c>
      <c r="AD31" s="12">
        <f>SUM($AC$31:$AC$31)</f>
        <v>-1.2197978889191061</v>
      </c>
      <c r="AE31" s="12">
        <f ca="1">$AO$31*$AO$65</f>
        <v>-21.945366102749524</v>
      </c>
      <c r="AF31" s="12">
        <f ca="1">$AP$31*$AP$65</f>
        <v>0</v>
      </c>
      <c r="AG31" s="12">
        <f ca="1">SUM($AE$31:$AF$31)</f>
        <v>-21.945366102749524</v>
      </c>
      <c r="AH31" s="12">
        <f>'TUSD BE'!$AH$31*'TUSD BE'!$AH$68</f>
        <v>-0.951786665353481</v>
      </c>
      <c r="AI31" s="12">
        <f>'TUSD BE'!$AI$31*'TUSD BE'!$AI$68</f>
        <v>-2.2440531411773292E-2</v>
      </c>
      <c r="AJ31" s="12">
        <f ca="1">'TUSD BE'!$AJ$31*'TUSD BE'!$AJ$68</f>
        <v>-0.14921947661280285</v>
      </c>
      <c r="AK31" s="12">
        <f ca="1">'TUSD BE'!$AK$31*'TUSD BE'!$AK$68</f>
        <v>0</v>
      </c>
      <c r="AL31" s="12">
        <f ca="1">SUM($AH$31:$AK$31)</f>
        <v>-1.123446673378057</v>
      </c>
      <c r="AM31" s="12">
        <f ca="1">SUMIF($L$4:$AL$4,"SUBTOTAL",$L$31:$AL$31)</f>
        <v>-24.648235974320489</v>
      </c>
      <c r="AO31" s="20">
        <f ca="1">+'TUSD BE'!$T$31+'TUSD BE'!$AB$31+'TUSD BE'!$AD$31+'TUSD BE'!$AL$31</f>
        <v>258.89859699291509</v>
      </c>
      <c r="AP31" s="20">
        <f ca="1">+'TUSD BE'!$T$31+'TUSD BE'!$AB$31+'TUSD BE'!$AD$31+'TUSD BE'!$AL$31</f>
        <v>258.89859699291509</v>
      </c>
    </row>
    <row r="32" spans="1:42" ht="11.25" customHeight="1" x14ac:dyDescent="0.25">
      <c r="A32" s="106"/>
      <c r="B32" s="106"/>
      <c r="C32" s="106"/>
      <c r="D32" s="18" t="s">
        <v>30</v>
      </c>
      <c r="E32" s="18" t="s">
        <v>25</v>
      </c>
      <c r="F32" s="18" t="s">
        <v>25</v>
      </c>
      <c r="G32" s="17" t="s">
        <v>84</v>
      </c>
      <c r="H32" s="17" t="s">
        <v>78</v>
      </c>
      <c r="I32" s="17">
        <f>'MERCADO TUSD'!$U$29</f>
        <v>32706.754000000004</v>
      </c>
      <c r="J32" s="15"/>
      <c r="L32" s="12">
        <f>'TUSD BE'!$L$32*'TUSD BE'!$L$68</f>
        <v>0</v>
      </c>
      <c r="M32" s="12">
        <f>'TUSD BE'!$M$32*'TUSD BE'!$M$68</f>
        <v>-2.6788463634114672E-2</v>
      </c>
      <c r="N32" s="12">
        <f ca="1">'TUSD BE'!$N$32*'TUSD BE'!$N$68</f>
        <v>0</v>
      </c>
      <c r="O32" s="12">
        <f>'TUSD BE'!$O$32*'TUSD BE'!$O$68</f>
        <v>-2.273861876940069E-3</v>
      </c>
      <c r="P32" s="12">
        <f>'TUSD BE'!$P$32*'TUSD BE'!$P$68</f>
        <v>0</v>
      </c>
      <c r="Q32" s="12">
        <f>'TUSD BE'!$Q$32*'TUSD BE'!$Q$68</f>
        <v>0</v>
      </c>
      <c r="R32" s="12">
        <f>'TUSD BE'!$R$32*'TUSD BE'!$R$68</f>
        <v>0</v>
      </c>
      <c r="S32" s="12">
        <f>'TUSD BE'!$R$32*'TUSD BE'!$S$68</f>
        <v>0</v>
      </c>
      <c r="T32" s="12">
        <f ca="1">SUM($L$32:$S$32)</f>
        <v>-2.906232551105474E-2</v>
      </c>
      <c r="U32" s="12">
        <f>'TUSD BE'!$U$32*'TUSD BE'!$U$68</f>
        <v>4.0313207080727956E-2</v>
      </c>
      <c r="V32" s="12">
        <f>'TUSD BE'!$V$32*'TUSD BE'!$V$68</f>
        <v>0</v>
      </c>
      <c r="W32" s="12">
        <f>'TUSD BE'!$W$32*'TUSD BE'!$W$68</f>
        <v>0</v>
      </c>
      <c r="X32" s="12">
        <f>'TUSD BE'!$X$32*'TUSD BE'!$X$68</f>
        <v>0</v>
      </c>
      <c r="Y32" s="12">
        <f>'TUSD BE'!$Y$32*'TUSD BE'!$Y$68</f>
        <v>-0.37087619084347284</v>
      </c>
      <c r="Z32" s="12">
        <f>'TUSD BE'!$Z$32*'TUSD BE'!$Z$68</f>
        <v>0</v>
      </c>
      <c r="AA32" s="12">
        <f>'TUSD BE'!$AA$32*'TUSD BE'!$AA$68</f>
        <v>0</v>
      </c>
      <c r="AB32" s="12">
        <f>SUM($U$32:$AA$32)</f>
        <v>-0.3305629837627449</v>
      </c>
      <c r="AC32" s="12">
        <f>'TUSD BE'!$AC$32*'TUSD BE'!$AC$68</f>
        <v>-1.2197978889191061</v>
      </c>
      <c r="AD32" s="12">
        <f>SUM($AC$32:$AC$32)</f>
        <v>-1.2197978889191061</v>
      </c>
      <c r="AE32" s="12">
        <f ca="1">$AO$32*$AO$65</f>
        <v>-21.945366102749524</v>
      </c>
      <c r="AF32" s="12">
        <f ca="1">$AP$32*$AP$65</f>
        <v>0</v>
      </c>
      <c r="AG32" s="12">
        <f ca="1">SUM($AE$32:$AF$32)</f>
        <v>-21.945366102749524</v>
      </c>
      <c r="AH32" s="12">
        <f>'TUSD BE'!$AH$32*'TUSD BE'!$AH$68</f>
        <v>-0.951786665353481</v>
      </c>
      <c r="AI32" s="12">
        <f>'TUSD BE'!$AI$32*'TUSD BE'!$AI$68</f>
        <v>-2.2440531411773292E-2</v>
      </c>
      <c r="AJ32" s="12">
        <f ca="1">'TUSD BE'!$AJ$32*'TUSD BE'!$AJ$68</f>
        <v>-0.14921947661280285</v>
      </c>
      <c r="AK32" s="12">
        <f ca="1">'TUSD BE'!$AK$32*'TUSD BE'!$AK$68</f>
        <v>0</v>
      </c>
      <c r="AL32" s="12">
        <f ca="1">SUM($AH$32:$AK$32)</f>
        <v>-1.123446673378057</v>
      </c>
      <c r="AM32" s="12">
        <f ca="1">SUMIF($L$4:$AL$4,"SUBTOTAL",$L$32:$AL$32)</f>
        <v>-24.648235974320489</v>
      </c>
      <c r="AO32" s="20">
        <f ca="1">+'TUSD BE'!$T$32+'TUSD BE'!$AB$32+'TUSD BE'!$AD$32+'TUSD BE'!$AL$32</f>
        <v>258.89859699291509</v>
      </c>
      <c r="AP32" s="20">
        <f ca="1">+'TUSD BE'!$T$32+'TUSD BE'!$AB$32+'TUSD BE'!$AD$32+'TUSD BE'!$AL$32</f>
        <v>258.89859699291509</v>
      </c>
    </row>
    <row r="33" spans="1:42" ht="11.25" customHeight="1" x14ac:dyDescent="0.25">
      <c r="A33" s="106"/>
      <c r="B33" s="106"/>
      <c r="C33" s="106"/>
      <c r="D33" s="18" t="s">
        <v>31</v>
      </c>
      <c r="E33" s="18" t="s">
        <v>25</v>
      </c>
      <c r="F33" s="18" t="s">
        <v>25</v>
      </c>
      <c r="G33" s="17" t="s">
        <v>84</v>
      </c>
      <c r="H33" s="17" t="s">
        <v>78</v>
      </c>
      <c r="I33" s="17">
        <f>'MERCADO TUSD'!$U$30</f>
        <v>13213.162</v>
      </c>
      <c r="J33" s="15"/>
      <c r="L33" s="12">
        <f>'TUSD BE'!$L$33*'TUSD BE'!$L$68</f>
        <v>0</v>
      </c>
      <c r="M33" s="12">
        <f>'TUSD BE'!$M$33*'TUSD BE'!$M$68</f>
        <v>-2.6788463634114672E-2</v>
      </c>
      <c r="N33" s="12">
        <f ca="1">'TUSD BE'!$N$33*'TUSD BE'!$N$68</f>
        <v>0</v>
      </c>
      <c r="O33" s="12">
        <f>'TUSD BE'!$O$33*'TUSD BE'!$O$68</f>
        <v>-2.273861876940069E-3</v>
      </c>
      <c r="P33" s="12">
        <f>'TUSD BE'!$P$33*'TUSD BE'!$P$68</f>
        <v>0</v>
      </c>
      <c r="Q33" s="12">
        <f>'TUSD BE'!$Q$33*'TUSD BE'!$Q$68</f>
        <v>0</v>
      </c>
      <c r="R33" s="12">
        <f>'TUSD BE'!$R$33*'TUSD BE'!$R$68</f>
        <v>0</v>
      </c>
      <c r="S33" s="12">
        <f>'TUSD BE'!$R$33*'TUSD BE'!$S$68</f>
        <v>0</v>
      </c>
      <c r="T33" s="12">
        <f ca="1">SUM($L$33:$S$33)</f>
        <v>-2.906232551105474E-2</v>
      </c>
      <c r="U33" s="12">
        <f>'TUSD BE'!$U$33*'TUSD BE'!$U$68</f>
        <v>4.0313207080727956E-2</v>
      </c>
      <c r="V33" s="12">
        <f>'TUSD BE'!$V$33*'TUSD BE'!$V$68</f>
        <v>0</v>
      </c>
      <c r="W33" s="12">
        <f>'TUSD BE'!$W$33*'TUSD BE'!$W$68</f>
        <v>0</v>
      </c>
      <c r="X33" s="12">
        <f>'TUSD BE'!$X$33*'TUSD BE'!$X$68</f>
        <v>0</v>
      </c>
      <c r="Y33" s="12">
        <f>'TUSD BE'!$Y$33*'TUSD BE'!$Y$68</f>
        <v>-0.37087619084347284</v>
      </c>
      <c r="Z33" s="12">
        <f>'TUSD BE'!$Z$33*'TUSD BE'!$Z$68</f>
        <v>0</v>
      </c>
      <c r="AA33" s="12">
        <f>'TUSD BE'!$AA$33*'TUSD BE'!$AA$68</f>
        <v>0</v>
      </c>
      <c r="AB33" s="12">
        <f>SUM($U$33:$AA$33)</f>
        <v>-0.3305629837627449</v>
      </c>
      <c r="AC33" s="12">
        <f>'TUSD BE'!$AC$33*'TUSD BE'!$AC$68</f>
        <v>-1.2197978889191061</v>
      </c>
      <c r="AD33" s="12">
        <f>SUM($AC$33:$AC$33)</f>
        <v>-1.2197978889191061</v>
      </c>
      <c r="AE33" s="12">
        <f ca="1">$AO$33*$AO$65</f>
        <v>-21.945366102749524</v>
      </c>
      <c r="AF33" s="12">
        <f ca="1">$AP$33*$AP$65</f>
        <v>0</v>
      </c>
      <c r="AG33" s="12">
        <f ca="1">SUM($AE$33:$AF$33)</f>
        <v>-21.945366102749524</v>
      </c>
      <c r="AH33" s="12">
        <f>'TUSD BE'!$AH$33*'TUSD BE'!$AH$68</f>
        <v>-0.951786665353481</v>
      </c>
      <c r="AI33" s="12">
        <f>'TUSD BE'!$AI$33*'TUSD BE'!$AI$68</f>
        <v>-2.2440531411773292E-2</v>
      </c>
      <c r="AJ33" s="12">
        <f ca="1">'TUSD BE'!$AJ$33*'TUSD BE'!$AJ$68</f>
        <v>-0.14921947661280285</v>
      </c>
      <c r="AK33" s="12">
        <f ca="1">'TUSD BE'!$AK$33*'TUSD BE'!$AK$68</f>
        <v>0</v>
      </c>
      <c r="AL33" s="12">
        <f ca="1">SUM($AH$33:$AK$33)</f>
        <v>-1.123446673378057</v>
      </c>
      <c r="AM33" s="12">
        <f ca="1">SUMIF($L$4:$AL$4,"SUBTOTAL",$L$33:$AL$33)</f>
        <v>-24.648235974320489</v>
      </c>
      <c r="AO33" s="20">
        <f ca="1">+'TUSD BE'!$T$33+'TUSD BE'!$AB$33+'TUSD BE'!$AD$33+'TUSD BE'!$AL$33</f>
        <v>258.89859699291509</v>
      </c>
      <c r="AP33" s="20">
        <f ca="1">+'TUSD BE'!$T$33+'TUSD BE'!$AB$33+'TUSD BE'!$AD$33+'TUSD BE'!$AL$33</f>
        <v>258.89859699291509</v>
      </c>
    </row>
    <row r="34" spans="1:42" ht="11.25" customHeight="1" x14ac:dyDescent="0.25">
      <c r="A34" s="106"/>
      <c r="B34" s="106"/>
      <c r="C34" s="106"/>
      <c r="D34" s="18" t="s">
        <v>32</v>
      </c>
      <c r="E34" s="18" t="s">
        <v>25</v>
      </c>
      <c r="F34" s="18" t="s">
        <v>25</v>
      </c>
      <c r="G34" s="17" t="s">
        <v>84</v>
      </c>
      <c r="H34" s="17" t="s">
        <v>78</v>
      </c>
      <c r="I34" s="17">
        <f>'MERCADO TUSD'!$U$31</f>
        <v>2931.0630000000001</v>
      </c>
      <c r="J34" s="15"/>
      <c r="L34" s="12">
        <f>'TUSD BE'!$L$34*'TUSD BE'!$L$68</f>
        <v>0</v>
      </c>
      <c r="M34" s="12">
        <f>'TUSD BE'!$M$34*'TUSD BE'!$M$68</f>
        <v>-2.6788463634114672E-2</v>
      </c>
      <c r="N34" s="12">
        <f ca="1">'TUSD BE'!$N$34*'TUSD BE'!$N$68</f>
        <v>0</v>
      </c>
      <c r="O34" s="12">
        <f>'TUSD BE'!$O$34*'TUSD BE'!$O$68</f>
        <v>-2.273861876940069E-3</v>
      </c>
      <c r="P34" s="12">
        <f>'TUSD BE'!$P$34*'TUSD BE'!$P$68</f>
        <v>0</v>
      </c>
      <c r="Q34" s="12">
        <f>'TUSD BE'!$Q$34*'TUSD BE'!$Q$68</f>
        <v>0</v>
      </c>
      <c r="R34" s="12">
        <f>'TUSD BE'!$R$34*'TUSD BE'!$R$68</f>
        <v>0</v>
      </c>
      <c r="S34" s="12">
        <f>'TUSD BE'!$R$34*'TUSD BE'!$S$68</f>
        <v>0</v>
      </c>
      <c r="T34" s="12">
        <f ca="1">SUM($L$34:$S$34)</f>
        <v>-2.906232551105474E-2</v>
      </c>
      <c r="U34" s="12">
        <f>'TUSD BE'!$U$34*'TUSD BE'!$U$68</f>
        <v>4.0313207080727956E-2</v>
      </c>
      <c r="V34" s="12">
        <f>'TUSD BE'!$V$34*'TUSD BE'!$V$68</f>
        <v>0</v>
      </c>
      <c r="W34" s="12">
        <f>'TUSD BE'!$W$34*'TUSD BE'!$W$68</f>
        <v>0</v>
      </c>
      <c r="X34" s="12">
        <f>'TUSD BE'!$X$34*'TUSD BE'!$X$68</f>
        <v>0</v>
      </c>
      <c r="Y34" s="12">
        <f>'TUSD BE'!$Y$34*'TUSD BE'!$Y$68</f>
        <v>-0.37087619084347284</v>
      </c>
      <c r="Z34" s="12">
        <f>'TUSD BE'!$Z$34*'TUSD BE'!$Z$68</f>
        <v>0</v>
      </c>
      <c r="AA34" s="12">
        <f>'TUSD BE'!$AA$34*'TUSD BE'!$AA$68</f>
        <v>0</v>
      </c>
      <c r="AB34" s="12">
        <f>SUM($U$34:$AA$34)</f>
        <v>-0.3305629837627449</v>
      </c>
      <c r="AC34" s="12">
        <f>'TUSD BE'!$AC$34*'TUSD BE'!$AC$68</f>
        <v>-1.2197978889191061</v>
      </c>
      <c r="AD34" s="12">
        <f>SUM($AC$34:$AC$34)</f>
        <v>-1.2197978889191061</v>
      </c>
      <c r="AE34" s="12">
        <f ca="1">$AO$34*$AO$65</f>
        <v>-21.945366102749524</v>
      </c>
      <c r="AF34" s="12">
        <f ca="1">$AP$34*$AP$65</f>
        <v>0</v>
      </c>
      <c r="AG34" s="12">
        <f ca="1">SUM($AE$34:$AF$34)</f>
        <v>-21.945366102749524</v>
      </c>
      <c r="AH34" s="12">
        <f>'TUSD BE'!$AH$34*'TUSD BE'!$AH$68</f>
        <v>-0.951786665353481</v>
      </c>
      <c r="AI34" s="12">
        <f>'TUSD BE'!$AI$34*'TUSD BE'!$AI$68</f>
        <v>-2.2440531411773292E-2</v>
      </c>
      <c r="AJ34" s="12">
        <f ca="1">'TUSD BE'!$AJ$34*'TUSD BE'!$AJ$68</f>
        <v>-0.14921947661280285</v>
      </c>
      <c r="AK34" s="12">
        <f ca="1">'TUSD BE'!$AK$34*'TUSD BE'!$AK$68</f>
        <v>0</v>
      </c>
      <c r="AL34" s="12">
        <f ca="1">SUM($AH$34:$AK$34)</f>
        <v>-1.123446673378057</v>
      </c>
      <c r="AM34" s="12">
        <f ca="1">SUMIF($L$4:$AL$4,"SUBTOTAL",$L$34:$AL$34)</f>
        <v>-24.648235974320489</v>
      </c>
      <c r="AO34" s="20">
        <f ca="1">+'TUSD BE'!$T$34+'TUSD BE'!$AB$34+'TUSD BE'!$AD$34+'TUSD BE'!$AL$34</f>
        <v>258.89859699291509</v>
      </c>
      <c r="AP34" s="20">
        <f ca="1">+'TUSD BE'!$T$34+'TUSD BE'!$AB$34+'TUSD BE'!$AD$34+'TUSD BE'!$AL$34</f>
        <v>258.89859699291509</v>
      </c>
    </row>
    <row r="35" spans="1:42" ht="11.25" customHeight="1" x14ac:dyDescent="0.25">
      <c r="A35" s="106"/>
      <c r="B35" s="106" t="s">
        <v>93</v>
      </c>
      <c r="C35" s="106" t="s">
        <v>24</v>
      </c>
      <c r="D35" s="18" t="s">
        <v>24</v>
      </c>
      <c r="E35" s="18" t="s">
        <v>25</v>
      </c>
      <c r="F35" s="18" t="s">
        <v>25</v>
      </c>
      <c r="G35" s="17" t="s">
        <v>84</v>
      </c>
      <c r="H35" s="17" t="s">
        <v>78</v>
      </c>
      <c r="I35" s="17">
        <f>'MERCADO TUSD'!$U$32</f>
        <v>0</v>
      </c>
      <c r="J35" s="15"/>
      <c r="L35" s="12">
        <f>'TUSD BE'!$L$35*'TUSD BE'!$L$68</f>
        <v>-8.0687454570029529E-2</v>
      </c>
      <c r="M35" s="12">
        <f>'TUSD BE'!$M$35*'TUSD BE'!$M$68</f>
        <v>-2.6788463634114672E-2</v>
      </c>
      <c r="N35" s="12">
        <f ca="1">'TUSD BE'!$N$35*'TUSD BE'!$N$68</f>
        <v>0</v>
      </c>
      <c r="O35" s="12">
        <f>'TUSD BE'!$O$35*'TUSD BE'!$O$68</f>
        <v>-2.273861876940069E-3</v>
      </c>
      <c r="P35" s="12">
        <f>'TUSD BE'!$P$35*'TUSD BE'!$P$68</f>
        <v>0</v>
      </c>
      <c r="Q35" s="12">
        <f>'TUSD BE'!$Q$35*'TUSD BE'!$Q$68</f>
        <v>-1.0379010336281125</v>
      </c>
      <c r="R35" s="12">
        <f>'TUSD BE'!$R$35*'TUSD BE'!$R$68</f>
        <v>-0.40912397039648096</v>
      </c>
      <c r="S35" s="12">
        <f>'TUSD BE'!$R$35*'TUSD BE'!$S$68</f>
        <v>0</v>
      </c>
      <c r="T35" s="12">
        <f ca="1">SUM($L$35:$S$35)</f>
        <v>-1.5567747841056776</v>
      </c>
      <c r="U35" s="12">
        <f>'TUSD BE'!$U$35*'TUSD BE'!$U$68</f>
        <v>4.0313207080727956E-2</v>
      </c>
      <c r="V35" s="12">
        <f>'TUSD BE'!$V$35*'TUSD BE'!$V$68</f>
        <v>0</v>
      </c>
      <c r="W35" s="12">
        <f>'TUSD BE'!$W$35*'TUSD BE'!$W$68</f>
        <v>0</v>
      </c>
      <c r="X35" s="12">
        <f>'TUSD BE'!$X$35*'TUSD BE'!$X$68</f>
        <v>0</v>
      </c>
      <c r="Y35" s="12">
        <f>'TUSD BE'!$Y$35*'TUSD BE'!$Y$68</f>
        <v>-0.37087619084347284</v>
      </c>
      <c r="Z35" s="12">
        <f>'TUSD BE'!$Z$35*'TUSD BE'!$Z$68</f>
        <v>0</v>
      </c>
      <c r="AA35" s="12">
        <f>'TUSD BE'!$AA$35*'TUSD BE'!$AA$68</f>
        <v>0</v>
      </c>
      <c r="AB35" s="12">
        <f>SUM($U$35:$AA$35)</f>
        <v>-0.3305629837627449</v>
      </c>
      <c r="AC35" s="12">
        <f>'TUSD BE'!$AC$35*'TUSD BE'!$AC$68</f>
        <v>-1.2197978889191061</v>
      </c>
      <c r="AD35" s="12">
        <f>SUM($AC$35:$AC$35)</f>
        <v>-1.2197978889191061</v>
      </c>
      <c r="AE35" s="12">
        <f ca="1">$AO$35*$AO$65</f>
        <v>-26.372298391919237</v>
      </c>
      <c r="AF35" s="12">
        <f ca="1">$AP$35*$AP$65</f>
        <v>0</v>
      </c>
      <c r="AG35" s="12">
        <f ca="1">SUM($AE$35:$AF$35)</f>
        <v>-26.372298391919237</v>
      </c>
      <c r="AH35" s="12">
        <f>'TUSD BE'!$AH$35*'TUSD BE'!$AH$68</f>
        <v>-0.951786665353481</v>
      </c>
      <c r="AI35" s="12">
        <f>'TUSD BE'!$AI$35*'TUSD BE'!$AI$68</f>
        <v>-2.2440531411773292E-2</v>
      </c>
      <c r="AJ35" s="12">
        <f ca="1">'TUSD BE'!$AJ$35*'TUSD BE'!$AJ$68</f>
        <v>-0.14921947661280285</v>
      </c>
      <c r="AK35" s="12">
        <f ca="1">'TUSD BE'!$AK$35*'TUSD BE'!$AK$68</f>
        <v>0</v>
      </c>
      <c r="AL35" s="12">
        <f ca="1">SUM($AH$35:$AK$35)</f>
        <v>-1.123446673378057</v>
      </c>
      <c r="AM35" s="12">
        <f ca="1">SUMIF($L$4:$AL$4,"SUBTOTAL",$L$35:$AL$35)</f>
        <v>-30.602880722084823</v>
      </c>
      <c r="AO35" s="20">
        <f ca="1">+'TUSD BE'!$T$35+'TUSD BE'!$AB$35+'TUSD BE'!$AD$35+'TUSD BE'!$AL$35</f>
        <v>311.12495554544228</v>
      </c>
      <c r="AP35" s="20">
        <f ca="1">+'TUSD BE'!$T$35+'TUSD BE'!$AB$35+'TUSD BE'!$AD$35+'TUSD BE'!$AL$35</f>
        <v>311.12495554544228</v>
      </c>
    </row>
    <row r="36" spans="1:42" ht="11.25" customHeight="1" x14ac:dyDescent="0.25">
      <c r="A36" s="106"/>
      <c r="B36" s="106"/>
      <c r="C36" s="106"/>
      <c r="D36" s="18" t="s">
        <v>29</v>
      </c>
      <c r="E36" s="18" t="s">
        <v>25</v>
      </c>
      <c r="F36" s="18" t="s">
        <v>25</v>
      </c>
      <c r="G36" s="17" t="s">
        <v>84</v>
      </c>
      <c r="H36" s="17" t="s">
        <v>78</v>
      </c>
      <c r="I36" s="17">
        <f>'MERCADO TUSD'!$U$33</f>
        <v>0</v>
      </c>
      <c r="J36" s="15"/>
      <c r="L36" s="12">
        <f>'TUSD BE'!$L$36*'TUSD BE'!$L$68</f>
        <v>0</v>
      </c>
      <c r="M36" s="12">
        <f>'TUSD BE'!$M$36*'TUSD BE'!$M$68</f>
        <v>-2.6788463634114672E-2</v>
      </c>
      <c r="N36" s="12">
        <f ca="1">'TUSD BE'!$N$36*'TUSD BE'!$N$68</f>
        <v>0</v>
      </c>
      <c r="O36" s="12">
        <f>'TUSD BE'!$O$36*'TUSD BE'!$O$68</f>
        <v>-2.273861876940069E-3</v>
      </c>
      <c r="P36" s="12">
        <f>'TUSD BE'!$P$36*'TUSD BE'!$P$68</f>
        <v>0</v>
      </c>
      <c r="Q36" s="12">
        <f>'TUSD BE'!$Q$36*'TUSD BE'!$Q$68</f>
        <v>0</v>
      </c>
      <c r="R36" s="12">
        <f>'TUSD BE'!$R$36*'TUSD BE'!$R$68</f>
        <v>0</v>
      </c>
      <c r="S36" s="12">
        <f>'TUSD BE'!$R$36*'TUSD BE'!$S$68</f>
        <v>0</v>
      </c>
      <c r="T36" s="12">
        <f ca="1">SUM($L$36:$S$36)</f>
        <v>-2.906232551105474E-2</v>
      </c>
      <c r="U36" s="12">
        <f>'TUSD BE'!$U$36*'TUSD BE'!$U$68</f>
        <v>4.0313207080727956E-2</v>
      </c>
      <c r="V36" s="12">
        <f>'TUSD BE'!$V$36*'TUSD BE'!$V$68</f>
        <v>0</v>
      </c>
      <c r="W36" s="12">
        <f>'TUSD BE'!$W$36*'TUSD BE'!$W$68</f>
        <v>0</v>
      </c>
      <c r="X36" s="12">
        <f>'TUSD BE'!$X$36*'TUSD BE'!$X$68</f>
        <v>0</v>
      </c>
      <c r="Y36" s="12">
        <f>'TUSD BE'!$Y$36*'TUSD BE'!$Y$68</f>
        <v>-0.37087619084347284</v>
      </c>
      <c r="Z36" s="12">
        <f>'TUSD BE'!$Z$36*'TUSD BE'!$Z$68</f>
        <v>0</v>
      </c>
      <c r="AA36" s="12">
        <f>'TUSD BE'!$AA$36*'TUSD BE'!$AA$68</f>
        <v>0</v>
      </c>
      <c r="AB36" s="12">
        <f>SUM($U$36:$AA$36)</f>
        <v>-0.3305629837627449</v>
      </c>
      <c r="AC36" s="12">
        <f>'TUSD BE'!$AC$36*'TUSD BE'!$AC$68</f>
        <v>-1.2197978889191061</v>
      </c>
      <c r="AD36" s="12">
        <f>SUM($AC$36:$AC$36)</f>
        <v>-1.2197978889191061</v>
      </c>
      <c r="AE36" s="12">
        <f ca="1">$AO$36*$AO$65</f>
        <v>-21.945366102749524</v>
      </c>
      <c r="AF36" s="12">
        <f ca="1">$AP$36*$AP$65</f>
        <v>0</v>
      </c>
      <c r="AG36" s="12">
        <f ca="1">SUM($AE$36:$AF$36)</f>
        <v>-21.945366102749524</v>
      </c>
      <c r="AH36" s="12">
        <f>'TUSD BE'!$AH$36*'TUSD BE'!$AH$68</f>
        <v>-0.951786665353481</v>
      </c>
      <c r="AI36" s="12">
        <f>'TUSD BE'!$AI$36*'TUSD BE'!$AI$68</f>
        <v>-2.2440531411773292E-2</v>
      </c>
      <c r="AJ36" s="12">
        <f ca="1">'TUSD BE'!$AJ$36*'TUSD BE'!$AJ$68</f>
        <v>-0.14921947661280285</v>
      </c>
      <c r="AK36" s="12">
        <f ca="1">'TUSD BE'!$AK$36*'TUSD BE'!$AK$68</f>
        <v>0</v>
      </c>
      <c r="AL36" s="12">
        <f ca="1">SUM($AH$36:$AK$36)</f>
        <v>-1.123446673378057</v>
      </c>
      <c r="AM36" s="12">
        <f ca="1">SUMIF($L$4:$AL$4,"SUBTOTAL",$L$36:$AL$36)</f>
        <v>-24.648235974320489</v>
      </c>
      <c r="AO36" s="20">
        <f ca="1">+'TUSD BE'!$T$36+'TUSD BE'!$AB$36+'TUSD BE'!$AD$36+'TUSD BE'!$AL$36</f>
        <v>258.89859699291509</v>
      </c>
      <c r="AP36" s="20">
        <f ca="1">+'TUSD BE'!$T$36+'TUSD BE'!$AB$36+'TUSD BE'!$AD$36+'TUSD BE'!$AL$36</f>
        <v>258.89859699291509</v>
      </c>
    </row>
    <row r="37" spans="1:42" ht="11.25" customHeight="1" x14ac:dyDescent="0.25">
      <c r="A37" s="106"/>
      <c r="B37" s="106"/>
      <c r="C37" s="106"/>
      <c r="D37" s="18" t="s">
        <v>30</v>
      </c>
      <c r="E37" s="18" t="s">
        <v>25</v>
      </c>
      <c r="F37" s="18" t="s">
        <v>25</v>
      </c>
      <c r="G37" s="17" t="s">
        <v>84</v>
      </c>
      <c r="H37" s="17" t="s">
        <v>78</v>
      </c>
      <c r="I37" s="17">
        <f>'MERCADO TUSD'!$U$34</f>
        <v>0</v>
      </c>
      <c r="J37" s="15"/>
      <c r="L37" s="12">
        <f>'TUSD BE'!$L$37*'TUSD BE'!$L$68</f>
        <v>0</v>
      </c>
      <c r="M37" s="12">
        <f>'TUSD BE'!$M$37*'TUSD BE'!$M$68</f>
        <v>-2.6788463634114672E-2</v>
      </c>
      <c r="N37" s="12">
        <f ca="1">'TUSD BE'!$N$37*'TUSD BE'!$N$68</f>
        <v>0</v>
      </c>
      <c r="O37" s="12">
        <f>'TUSD BE'!$O$37*'TUSD BE'!$O$68</f>
        <v>-2.273861876940069E-3</v>
      </c>
      <c r="P37" s="12">
        <f>'TUSD BE'!$P$37*'TUSD BE'!$P$68</f>
        <v>0</v>
      </c>
      <c r="Q37" s="12">
        <f>'TUSD BE'!$Q$37*'TUSD BE'!$Q$68</f>
        <v>0</v>
      </c>
      <c r="R37" s="12">
        <f>'TUSD BE'!$R$37*'TUSD BE'!$R$68</f>
        <v>0</v>
      </c>
      <c r="S37" s="12">
        <f>'TUSD BE'!$R$37*'TUSD BE'!$S$68</f>
        <v>0</v>
      </c>
      <c r="T37" s="12">
        <f ca="1">SUM($L$37:$S$37)</f>
        <v>-2.906232551105474E-2</v>
      </c>
      <c r="U37" s="12">
        <f>'TUSD BE'!$U$37*'TUSD BE'!$U$68</f>
        <v>4.0313207080727956E-2</v>
      </c>
      <c r="V37" s="12">
        <f>'TUSD BE'!$V$37*'TUSD BE'!$V$68</f>
        <v>0</v>
      </c>
      <c r="W37" s="12">
        <f>'TUSD BE'!$W$37*'TUSD BE'!$W$68</f>
        <v>0</v>
      </c>
      <c r="X37" s="12">
        <f>'TUSD BE'!$X$37*'TUSD BE'!$X$68</f>
        <v>0</v>
      </c>
      <c r="Y37" s="12">
        <f>'TUSD BE'!$Y$37*'TUSD BE'!$Y$68</f>
        <v>-0.37087619084347284</v>
      </c>
      <c r="Z37" s="12">
        <f>'TUSD BE'!$Z$37*'TUSD BE'!$Z$68</f>
        <v>0</v>
      </c>
      <c r="AA37" s="12">
        <f>'TUSD BE'!$AA$37*'TUSD BE'!$AA$68</f>
        <v>0</v>
      </c>
      <c r="AB37" s="12">
        <f>SUM($U$37:$AA$37)</f>
        <v>-0.3305629837627449</v>
      </c>
      <c r="AC37" s="12">
        <f>'TUSD BE'!$AC$37*'TUSD BE'!$AC$68</f>
        <v>-1.2197978889191061</v>
      </c>
      <c r="AD37" s="12">
        <f>SUM($AC$37:$AC$37)</f>
        <v>-1.2197978889191061</v>
      </c>
      <c r="AE37" s="12">
        <f ca="1">$AO$37*$AO$65</f>
        <v>-21.945366102749524</v>
      </c>
      <c r="AF37" s="12">
        <f ca="1">$AP$37*$AP$65</f>
        <v>0</v>
      </c>
      <c r="AG37" s="12">
        <f ca="1">SUM($AE$37:$AF$37)</f>
        <v>-21.945366102749524</v>
      </c>
      <c r="AH37" s="12">
        <f>'TUSD BE'!$AH$37*'TUSD BE'!$AH$68</f>
        <v>-0.951786665353481</v>
      </c>
      <c r="AI37" s="12">
        <f>'TUSD BE'!$AI$37*'TUSD BE'!$AI$68</f>
        <v>-2.2440531411773292E-2</v>
      </c>
      <c r="AJ37" s="12">
        <f ca="1">'TUSD BE'!$AJ$37*'TUSD BE'!$AJ$68</f>
        <v>-0.14921947661280285</v>
      </c>
      <c r="AK37" s="12">
        <f ca="1">'TUSD BE'!$AK$37*'TUSD BE'!$AK$68</f>
        <v>0</v>
      </c>
      <c r="AL37" s="12">
        <f ca="1">SUM($AH$37:$AK$37)</f>
        <v>-1.123446673378057</v>
      </c>
      <c r="AM37" s="12">
        <f ca="1">SUMIF($L$4:$AL$4,"SUBTOTAL",$L$37:$AL$37)</f>
        <v>-24.648235974320489</v>
      </c>
      <c r="AO37" s="20">
        <f ca="1">+'TUSD BE'!$T$37+'TUSD BE'!$AB$37+'TUSD BE'!$AD$37+'TUSD BE'!$AL$37</f>
        <v>258.89859699291509</v>
      </c>
      <c r="AP37" s="20">
        <f ca="1">+'TUSD BE'!$T$37+'TUSD BE'!$AB$37+'TUSD BE'!$AD$37+'TUSD BE'!$AL$37</f>
        <v>258.89859699291509</v>
      </c>
    </row>
    <row r="38" spans="1:42" ht="11.25" customHeight="1" x14ac:dyDescent="0.25">
      <c r="A38" s="106"/>
      <c r="B38" s="106"/>
      <c r="C38" s="106"/>
      <c r="D38" s="18" t="s">
        <v>31</v>
      </c>
      <c r="E38" s="18" t="s">
        <v>25</v>
      </c>
      <c r="F38" s="18" t="s">
        <v>25</v>
      </c>
      <c r="G38" s="17" t="s">
        <v>84</v>
      </c>
      <c r="H38" s="17" t="s">
        <v>78</v>
      </c>
      <c r="I38" s="17">
        <f>'MERCADO TUSD'!$U$35</f>
        <v>0</v>
      </c>
      <c r="J38" s="15"/>
      <c r="L38" s="12">
        <f>'TUSD BE'!$L$38*'TUSD BE'!$L$68</f>
        <v>0</v>
      </c>
      <c r="M38" s="12">
        <f>'TUSD BE'!$M$38*'TUSD BE'!$M$68</f>
        <v>-2.6788463634114672E-2</v>
      </c>
      <c r="N38" s="12">
        <f ca="1">'TUSD BE'!$N$38*'TUSD BE'!$N$68</f>
        <v>0</v>
      </c>
      <c r="O38" s="12">
        <f>'TUSD BE'!$O$38*'TUSD BE'!$O$68</f>
        <v>-2.273861876940069E-3</v>
      </c>
      <c r="P38" s="12">
        <f>'TUSD BE'!$P$38*'TUSD BE'!$P$68</f>
        <v>0</v>
      </c>
      <c r="Q38" s="12">
        <f>'TUSD BE'!$Q$38*'TUSD BE'!$Q$68</f>
        <v>0</v>
      </c>
      <c r="R38" s="12">
        <f>'TUSD BE'!$R$38*'TUSD BE'!$R$68</f>
        <v>0</v>
      </c>
      <c r="S38" s="12">
        <f>'TUSD BE'!$R$38*'TUSD BE'!$S$68</f>
        <v>0</v>
      </c>
      <c r="T38" s="12">
        <f ca="1">SUM($L$38:$S$38)</f>
        <v>-2.906232551105474E-2</v>
      </c>
      <c r="U38" s="12">
        <f>'TUSD BE'!$U$38*'TUSD BE'!$U$68</f>
        <v>4.0313207080727956E-2</v>
      </c>
      <c r="V38" s="12">
        <f>'TUSD BE'!$V$38*'TUSD BE'!$V$68</f>
        <v>0</v>
      </c>
      <c r="W38" s="12">
        <f>'TUSD BE'!$W$38*'TUSD BE'!$W$68</f>
        <v>0</v>
      </c>
      <c r="X38" s="12">
        <f>'TUSD BE'!$X$38*'TUSD BE'!$X$68</f>
        <v>0</v>
      </c>
      <c r="Y38" s="12">
        <f>'TUSD BE'!$Y$38*'TUSD BE'!$Y$68</f>
        <v>-0.37087619084347284</v>
      </c>
      <c r="Z38" s="12">
        <f>'TUSD BE'!$Z$38*'TUSD BE'!$Z$68</f>
        <v>0</v>
      </c>
      <c r="AA38" s="12">
        <f>'TUSD BE'!$AA$38*'TUSD BE'!$AA$68</f>
        <v>0</v>
      </c>
      <c r="AB38" s="12">
        <f>SUM($U$38:$AA$38)</f>
        <v>-0.3305629837627449</v>
      </c>
      <c r="AC38" s="12">
        <f>'TUSD BE'!$AC$38*'TUSD BE'!$AC$68</f>
        <v>-1.2197978889191061</v>
      </c>
      <c r="AD38" s="12">
        <f>SUM($AC$38:$AC$38)</f>
        <v>-1.2197978889191061</v>
      </c>
      <c r="AE38" s="12">
        <f ca="1">$AO$38*$AO$65</f>
        <v>-21.945366102749524</v>
      </c>
      <c r="AF38" s="12">
        <f ca="1">$AP$38*$AP$65</f>
        <v>0</v>
      </c>
      <c r="AG38" s="12">
        <f ca="1">SUM($AE$38:$AF$38)</f>
        <v>-21.945366102749524</v>
      </c>
      <c r="AH38" s="12">
        <f>'TUSD BE'!$AH$38*'TUSD BE'!$AH$68</f>
        <v>-0.951786665353481</v>
      </c>
      <c r="AI38" s="12">
        <f>'TUSD BE'!$AI$38*'TUSD BE'!$AI$68</f>
        <v>-2.2440531411773292E-2</v>
      </c>
      <c r="AJ38" s="12">
        <f ca="1">'TUSD BE'!$AJ$38*'TUSD BE'!$AJ$68</f>
        <v>-0.14921947661280285</v>
      </c>
      <c r="AK38" s="12">
        <f ca="1">'TUSD BE'!$AK$38*'TUSD BE'!$AK$68</f>
        <v>0</v>
      </c>
      <c r="AL38" s="12">
        <f ca="1">SUM($AH$38:$AK$38)</f>
        <v>-1.123446673378057</v>
      </c>
      <c r="AM38" s="12">
        <f ca="1">SUMIF($L$4:$AL$4,"SUBTOTAL",$L$38:$AL$38)</f>
        <v>-24.648235974320489</v>
      </c>
      <c r="AO38" s="20">
        <f ca="1">+'TUSD BE'!$T$38+'TUSD BE'!$AB$38+'TUSD BE'!$AD$38+'TUSD BE'!$AL$38</f>
        <v>258.89859699291509</v>
      </c>
      <c r="AP38" s="20">
        <f ca="1">+'TUSD BE'!$T$38+'TUSD BE'!$AB$38+'TUSD BE'!$AD$38+'TUSD BE'!$AL$38</f>
        <v>258.89859699291509</v>
      </c>
    </row>
    <row r="39" spans="1:42" ht="11.25" customHeight="1" x14ac:dyDescent="0.25">
      <c r="A39" s="106"/>
      <c r="B39" s="106"/>
      <c r="C39" s="106"/>
      <c r="D39" s="18" t="s">
        <v>32</v>
      </c>
      <c r="E39" s="18" t="s">
        <v>25</v>
      </c>
      <c r="F39" s="18" t="s">
        <v>25</v>
      </c>
      <c r="G39" s="17" t="s">
        <v>84</v>
      </c>
      <c r="H39" s="17" t="s">
        <v>78</v>
      </c>
      <c r="I39" s="17">
        <f>'MERCADO TUSD'!$U$36</f>
        <v>0</v>
      </c>
      <c r="J39" s="15"/>
      <c r="L39" s="12">
        <f>'TUSD BE'!$L$39*'TUSD BE'!$L$68</f>
        <v>0</v>
      </c>
      <c r="M39" s="12">
        <f>'TUSD BE'!$M$39*'TUSD BE'!$M$68</f>
        <v>-2.6788463634114672E-2</v>
      </c>
      <c r="N39" s="12">
        <f ca="1">'TUSD BE'!$N$39*'TUSD BE'!$N$68</f>
        <v>0</v>
      </c>
      <c r="O39" s="12">
        <f>'TUSD BE'!$O$39*'TUSD BE'!$O$68</f>
        <v>-2.273861876940069E-3</v>
      </c>
      <c r="P39" s="12">
        <f>'TUSD BE'!$P$39*'TUSD BE'!$P$68</f>
        <v>0</v>
      </c>
      <c r="Q39" s="12">
        <f>'TUSD BE'!$Q$39*'TUSD BE'!$Q$68</f>
        <v>0</v>
      </c>
      <c r="R39" s="12">
        <f>'TUSD BE'!$R$39*'TUSD BE'!$R$68</f>
        <v>0</v>
      </c>
      <c r="S39" s="12">
        <f>'TUSD BE'!$R$39*'TUSD BE'!$S$68</f>
        <v>0</v>
      </c>
      <c r="T39" s="12">
        <f ca="1">SUM($L$39:$S$39)</f>
        <v>-2.906232551105474E-2</v>
      </c>
      <c r="U39" s="12">
        <f>'TUSD BE'!$U$39*'TUSD BE'!$U$68</f>
        <v>4.0313207080727956E-2</v>
      </c>
      <c r="V39" s="12">
        <f>'TUSD BE'!$V$39*'TUSD BE'!$V$68</f>
        <v>0</v>
      </c>
      <c r="W39" s="12">
        <f>'TUSD BE'!$W$39*'TUSD BE'!$W$68</f>
        <v>0</v>
      </c>
      <c r="X39" s="12">
        <f>'TUSD BE'!$X$39*'TUSD BE'!$X$68</f>
        <v>0</v>
      </c>
      <c r="Y39" s="12">
        <f>'TUSD BE'!$Y$39*'TUSD BE'!$Y$68</f>
        <v>-0.37087619084347284</v>
      </c>
      <c r="Z39" s="12">
        <f>'TUSD BE'!$Z$39*'TUSD BE'!$Z$68</f>
        <v>0</v>
      </c>
      <c r="AA39" s="12">
        <f>'TUSD BE'!$AA$39*'TUSD BE'!$AA$68</f>
        <v>0</v>
      </c>
      <c r="AB39" s="12">
        <f>SUM($U$39:$AA$39)</f>
        <v>-0.3305629837627449</v>
      </c>
      <c r="AC39" s="12">
        <f>'TUSD BE'!$AC$39*'TUSD BE'!$AC$68</f>
        <v>-1.2197978889191061</v>
      </c>
      <c r="AD39" s="12">
        <f>SUM($AC$39:$AC$39)</f>
        <v>-1.2197978889191061</v>
      </c>
      <c r="AE39" s="12">
        <f ca="1">$AO$39*$AO$65</f>
        <v>-21.945366102749524</v>
      </c>
      <c r="AF39" s="12">
        <f ca="1">$AP$39*$AP$65</f>
        <v>0</v>
      </c>
      <c r="AG39" s="12">
        <f ca="1">SUM($AE$39:$AF$39)</f>
        <v>-21.945366102749524</v>
      </c>
      <c r="AH39" s="12">
        <f>'TUSD BE'!$AH$39*'TUSD BE'!$AH$68</f>
        <v>-0.951786665353481</v>
      </c>
      <c r="AI39" s="12">
        <f>'TUSD BE'!$AI$39*'TUSD BE'!$AI$68</f>
        <v>-2.2440531411773292E-2</v>
      </c>
      <c r="AJ39" s="12">
        <f ca="1">'TUSD BE'!$AJ$39*'TUSD BE'!$AJ$68</f>
        <v>-0.14921947661280285</v>
      </c>
      <c r="AK39" s="12">
        <f ca="1">'TUSD BE'!$AK$39*'TUSD BE'!$AK$68</f>
        <v>0</v>
      </c>
      <c r="AL39" s="12">
        <f ca="1">SUM($AH$39:$AK$39)</f>
        <v>-1.123446673378057</v>
      </c>
      <c r="AM39" s="12">
        <f ca="1">SUMIF($L$4:$AL$4,"SUBTOTAL",$L$39:$AL$39)</f>
        <v>-24.648235974320489</v>
      </c>
      <c r="AO39" s="20">
        <f ca="1">+'TUSD BE'!$T$39+'TUSD BE'!$AB$39+'TUSD BE'!$AD$39+'TUSD BE'!$AL$39</f>
        <v>258.89859699291509</v>
      </c>
      <c r="AP39" s="20">
        <f ca="1">+'TUSD BE'!$T$39+'TUSD BE'!$AB$39+'TUSD BE'!$AD$39+'TUSD BE'!$AL$39</f>
        <v>258.89859699291509</v>
      </c>
    </row>
    <row r="40" spans="1:42" ht="11.25" customHeight="1" x14ac:dyDescent="0.25">
      <c r="A40" s="106" t="s">
        <v>43</v>
      </c>
      <c r="B40" s="106" t="s">
        <v>33</v>
      </c>
      <c r="C40" s="106" t="s">
        <v>44</v>
      </c>
      <c r="D40" s="106" t="s">
        <v>25</v>
      </c>
      <c r="E40" s="106" t="s">
        <v>25</v>
      </c>
      <c r="F40" s="106" t="s">
        <v>25</v>
      </c>
      <c r="G40" s="17" t="s">
        <v>79</v>
      </c>
      <c r="H40" s="17" t="s">
        <v>78</v>
      </c>
      <c r="I40" s="17">
        <f>'MERCADO TUSD'!$U$37</f>
        <v>0.16600000000000004</v>
      </c>
      <c r="J40" s="15"/>
      <c r="L40" s="12">
        <f>'TUSD BE'!$L$40*'TUSD BE'!$L$68</f>
        <v>-8.0687454570029529E-2</v>
      </c>
      <c r="M40" s="12">
        <f>'TUSD BE'!$M$40*'TUSD BE'!$M$68</f>
        <v>-2.6788463634114672E-2</v>
      </c>
      <c r="N40" s="12">
        <f ca="1">'TUSD BE'!$N$40*'TUSD BE'!$N$68</f>
        <v>0</v>
      </c>
      <c r="O40" s="12">
        <f>'TUSD BE'!$O$40*'TUSD BE'!$O$68</f>
        <v>-2.273861876940069E-3</v>
      </c>
      <c r="P40" s="12">
        <f>'TUSD BE'!$P$40*'TUSD BE'!$P$68</f>
        <v>0</v>
      </c>
      <c r="Q40" s="12">
        <f>'TUSD BE'!$Q$40*'TUSD BE'!$Q$68</f>
        <v>-1.0379010336281125</v>
      </c>
      <c r="R40" s="12">
        <f>'TUSD BE'!$R$40*'TUSD BE'!$R$68</f>
        <v>-0.40912397039648096</v>
      </c>
      <c r="S40" s="12">
        <f>'TUSD BE'!$R$40*'TUSD BE'!$S$68</f>
        <v>0</v>
      </c>
      <c r="T40" s="12">
        <f ca="1">SUM($L$40:$S$40)</f>
        <v>-1.5567747841056776</v>
      </c>
      <c r="U40" s="12">
        <f>'TUSD BE'!$U$40*'TUSD BE'!$U$68</f>
        <v>0.12900273239973101</v>
      </c>
      <c r="V40" s="12">
        <f>'TUSD BE'!$V$40*'TUSD BE'!$V$68</f>
        <v>0</v>
      </c>
      <c r="W40" s="12">
        <f>'TUSD BE'!$W$40*'TUSD BE'!$W$68</f>
        <v>0</v>
      </c>
      <c r="X40" s="12">
        <f>'TUSD BE'!$X$40*'TUSD BE'!$X$68</f>
        <v>0</v>
      </c>
      <c r="Y40" s="12">
        <f>'TUSD BE'!$Y$40*'TUSD BE'!$Y$68</f>
        <v>-1.1868075230109196</v>
      </c>
      <c r="Z40" s="12">
        <f>'TUSD BE'!$Z$40*'TUSD BE'!$Z$68</f>
        <v>0</v>
      </c>
      <c r="AA40" s="12">
        <f>'TUSD BE'!$AA$40*'TUSD BE'!$AA$68</f>
        <v>0</v>
      </c>
      <c r="AB40" s="12">
        <f>SUM($U$40:$AA$40)</f>
        <v>-1.0578047906111887</v>
      </c>
      <c r="AC40" s="12">
        <f>'TUSD BE'!$AC$40*'TUSD BE'!$AC$68</f>
        <v>-3.9033539873284475</v>
      </c>
      <c r="AD40" s="12">
        <f>SUM($AC$40:$AC$40)</f>
        <v>-3.9033539873284475</v>
      </c>
      <c r="AE40" s="12">
        <f ca="1">$AO$40*$AO$65</f>
        <v>-70.741346575960293</v>
      </c>
      <c r="AF40" s="12">
        <f ca="1">$AP$40*$AP$65</f>
        <v>0</v>
      </c>
      <c r="AG40" s="12">
        <f ca="1">SUM($AE$40:$AF$40)</f>
        <v>-70.741346575960293</v>
      </c>
      <c r="AH40" s="12">
        <f>'TUSD BE'!$AH$40*'TUSD BE'!$AH$68</f>
        <v>-0.951786665353481</v>
      </c>
      <c r="AI40" s="12">
        <f>'TUSD BE'!$AI$40*'TUSD BE'!$AI$68</f>
        <v>-2.2440531411773292E-2</v>
      </c>
      <c r="AJ40" s="12">
        <f ca="1">'TUSD BE'!$AJ$40*'TUSD BE'!$AJ$68</f>
        <v>-0.14921947661280285</v>
      </c>
      <c r="AK40" s="12">
        <f ca="1">'TUSD BE'!$AK$40*'TUSD BE'!$AK$68</f>
        <v>0</v>
      </c>
      <c r="AL40" s="12">
        <f ca="1">SUM($AH$40:$AK$40)</f>
        <v>-1.123446673378057</v>
      </c>
      <c r="AM40" s="12">
        <f ca="1">SUMIF($L$4:$AL$4,"SUBTOTAL",$L$40:$AL$40)</f>
        <v>-78.382726811383662</v>
      </c>
      <c r="AO40" s="20">
        <f ca="1">+'TUSD BE'!$T$40+'TUSD BE'!$AB$40+'TUSD BE'!$AD$40+'TUSD BE'!$AL$40</f>
        <v>834.56504175662951</v>
      </c>
      <c r="AP40" s="20">
        <f ca="1">+'TUSD BE'!$T$40+'TUSD BE'!$AB$40+'TUSD BE'!$AD$40+'TUSD BE'!$AL$40</f>
        <v>834.56504175662951</v>
      </c>
    </row>
    <row r="41" spans="1:42" ht="11.25" customHeight="1" x14ac:dyDescent="0.25">
      <c r="A41" s="106"/>
      <c r="B41" s="106"/>
      <c r="C41" s="106"/>
      <c r="D41" s="106"/>
      <c r="E41" s="106"/>
      <c r="F41" s="106"/>
      <c r="G41" s="17" t="s">
        <v>91</v>
      </c>
      <c r="H41" s="17" t="s">
        <v>78</v>
      </c>
      <c r="I41" s="17">
        <f>'MERCADO TUSD'!$U$38</f>
        <v>0.14499999999999999</v>
      </c>
      <c r="J41" s="15"/>
      <c r="L41" s="12">
        <f>'TUSD BE'!$L$41*'TUSD BE'!$L$68</f>
        <v>-8.0687454570029529E-2</v>
      </c>
      <c r="M41" s="12">
        <f>'TUSD BE'!$M$41*'TUSD BE'!$M$68</f>
        <v>-2.6788463634114672E-2</v>
      </c>
      <c r="N41" s="12">
        <f ca="1">'TUSD BE'!$N$41*'TUSD BE'!$N$68</f>
        <v>0</v>
      </c>
      <c r="O41" s="12">
        <f>'TUSD BE'!$O$41*'TUSD BE'!$O$68</f>
        <v>-2.273861876940069E-3</v>
      </c>
      <c r="P41" s="12">
        <f>'TUSD BE'!$P$41*'TUSD BE'!$P$68</f>
        <v>0</v>
      </c>
      <c r="Q41" s="12">
        <f>'TUSD BE'!$Q$41*'TUSD BE'!$Q$68</f>
        <v>-1.0379010336281125</v>
      </c>
      <c r="R41" s="12">
        <f>'TUSD BE'!$R$41*'TUSD BE'!$R$68</f>
        <v>-0.40912397039648096</v>
      </c>
      <c r="S41" s="12">
        <f>'TUSD BE'!$R$41*'TUSD BE'!$S$68</f>
        <v>0</v>
      </c>
      <c r="T41" s="12">
        <f ca="1">SUM($L$41:$S$41)</f>
        <v>-1.5567747841056776</v>
      </c>
      <c r="U41" s="12">
        <f>'TUSD BE'!$U$41*'TUSD BE'!$U$68</f>
        <v>7.7401639439838604E-2</v>
      </c>
      <c r="V41" s="12">
        <f>'TUSD BE'!$V$41*'TUSD BE'!$V$68</f>
        <v>0</v>
      </c>
      <c r="W41" s="12">
        <f>'TUSD BE'!$W$41*'TUSD BE'!$W$68</f>
        <v>0</v>
      </c>
      <c r="X41" s="12">
        <f>'TUSD BE'!$X$41*'TUSD BE'!$X$68</f>
        <v>0</v>
      </c>
      <c r="Y41" s="12">
        <f>'TUSD BE'!$Y$41*'TUSD BE'!$Y$68</f>
        <v>-0.71208404976757589</v>
      </c>
      <c r="Z41" s="12">
        <f>'TUSD BE'!$Z$41*'TUSD BE'!$Z$68</f>
        <v>0</v>
      </c>
      <c r="AA41" s="12">
        <f>'TUSD BE'!$AA$41*'TUSD BE'!$AA$68</f>
        <v>0</v>
      </c>
      <c r="AB41" s="12">
        <f>SUM($U$41:$AA$41)</f>
        <v>-0.63468241032773731</v>
      </c>
      <c r="AC41" s="12">
        <f>'TUSD BE'!$AC$41*'TUSD BE'!$AC$68</f>
        <v>-2.3420120952821453</v>
      </c>
      <c r="AD41" s="12">
        <f>SUM($AC$41:$AC$41)</f>
        <v>-2.3420120952821453</v>
      </c>
      <c r="AE41" s="12">
        <f ca="1">$AO$41*$AO$65</f>
        <v>-44.926627924340295</v>
      </c>
      <c r="AF41" s="12">
        <f ca="1">$AP$41*$AP$65</f>
        <v>0</v>
      </c>
      <c r="AG41" s="12">
        <f ca="1">SUM($AE$41:$AF$41)</f>
        <v>-44.926627924340295</v>
      </c>
      <c r="AH41" s="12">
        <f>'TUSD BE'!$AH$41*'TUSD BE'!$AH$68</f>
        <v>-0.951786665353481</v>
      </c>
      <c r="AI41" s="12">
        <f>'TUSD BE'!$AI$41*'TUSD BE'!$AI$68</f>
        <v>-2.2440531411773292E-2</v>
      </c>
      <c r="AJ41" s="12">
        <f ca="1">'TUSD BE'!$AJ$41*'TUSD BE'!$AJ$68</f>
        <v>-0.14921947661280285</v>
      </c>
      <c r="AK41" s="12">
        <f ca="1">'TUSD BE'!$AK$41*'TUSD BE'!$AK$68</f>
        <v>0</v>
      </c>
      <c r="AL41" s="12">
        <f ca="1">SUM($AH$41:$AK$41)</f>
        <v>-1.123446673378057</v>
      </c>
      <c r="AM41" s="12">
        <f ca="1">SUMIF($L$4:$AL$4,"SUBTOTAL",$L$41:$AL$41)</f>
        <v>-50.583543887433912</v>
      </c>
      <c r="AO41" s="20">
        <f ca="1">+'TUSD BE'!$T$41+'TUSD BE'!$AB$41+'TUSD BE'!$AD$41+'TUSD BE'!$AL$41</f>
        <v>530.01808594923034</v>
      </c>
      <c r="AP41" s="20">
        <f ca="1">+'TUSD BE'!$T$41+'TUSD BE'!$AB$41+'TUSD BE'!$AD$41+'TUSD BE'!$AL$41</f>
        <v>530.01808594923034</v>
      </c>
    </row>
    <row r="42" spans="1:42" ht="11.25" customHeight="1" x14ac:dyDescent="0.25">
      <c r="A42" s="106"/>
      <c r="B42" s="106"/>
      <c r="C42" s="106"/>
      <c r="D42" s="106"/>
      <c r="E42" s="106"/>
      <c r="F42" s="106"/>
      <c r="G42" s="17" t="s">
        <v>80</v>
      </c>
      <c r="H42" s="17" t="s">
        <v>78</v>
      </c>
      <c r="I42" s="17">
        <f>'MERCADO TUSD'!$U$39</f>
        <v>3.37</v>
      </c>
      <c r="J42" s="15"/>
      <c r="L42" s="12">
        <f>'TUSD BE'!$L$42*'TUSD BE'!$L$68</f>
        <v>-8.0687454570029529E-2</v>
      </c>
      <c r="M42" s="12">
        <f>'TUSD BE'!$M$42*'TUSD BE'!$M$68</f>
        <v>-2.6788463634114672E-2</v>
      </c>
      <c r="N42" s="12">
        <f ca="1">'TUSD BE'!$N$42*'TUSD BE'!$N$68</f>
        <v>0</v>
      </c>
      <c r="O42" s="12">
        <f>'TUSD BE'!$O$42*'TUSD BE'!$O$68</f>
        <v>-2.273861876940069E-3</v>
      </c>
      <c r="P42" s="12">
        <f>'TUSD BE'!$P$42*'TUSD BE'!$P$68</f>
        <v>0</v>
      </c>
      <c r="Q42" s="12">
        <f>'TUSD BE'!$Q$42*'TUSD BE'!$Q$68</f>
        <v>-1.0379010336281125</v>
      </c>
      <c r="R42" s="12">
        <f>'TUSD BE'!$R$42*'TUSD BE'!$R$68</f>
        <v>-0.40912397039648096</v>
      </c>
      <c r="S42" s="12">
        <f>'TUSD BE'!$R$42*'TUSD BE'!$S$68</f>
        <v>0</v>
      </c>
      <c r="T42" s="12">
        <f ca="1">SUM($L$42:$S$42)</f>
        <v>-1.5567747841056776</v>
      </c>
      <c r="U42" s="12">
        <f>'TUSD BE'!$U$42*'TUSD BE'!$U$68</f>
        <v>2.5800546479946198E-2</v>
      </c>
      <c r="V42" s="12">
        <f>'TUSD BE'!$V$42*'TUSD BE'!$V$68</f>
        <v>0</v>
      </c>
      <c r="W42" s="12">
        <f>'TUSD BE'!$W$42*'TUSD BE'!$W$68</f>
        <v>0</v>
      </c>
      <c r="X42" s="12">
        <f>'TUSD BE'!$X$42*'TUSD BE'!$X$68</f>
        <v>0</v>
      </c>
      <c r="Y42" s="12">
        <f>'TUSD BE'!$Y$42*'TUSD BE'!$Y$68</f>
        <v>-0.23736057652423229</v>
      </c>
      <c r="Z42" s="12">
        <f>'TUSD BE'!$Z$42*'TUSD BE'!$Z$68</f>
        <v>0</v>
      </c>
      <c r="AA42" s="12">
        <f>'TUSD BE'!$AA$42*'TUSD BE'!$AA$68</f>
        <v>0</v>
      </c>
      <c r="AB42" s="12">
        <f>SUM($U$42:$AA$42)</f>
        <v>-0.21156003004428608</v>
      </c>
      <c r="AC42" s="12">
        <f>'TUSD BE'!$AC$42*'TUSD BE'!$AC$68</f>
        <v>-0.78067094602315101</v>
      </c>
      <c r="AD42" s="12">
        <f>SUM($AC$42:$AC$42)</f>
        <v>-0.78067094602315101</v>
      </c>
      <c r="AE42" s="12">
        <f ca="1">$AO$42*$AO$65</f>
        <v>-19.111926396204758</v>
      </c>
      <c r="AF42" s="12">
        <f ca="1">$AP$42*$AP$65</f>
        <v>0</v>
      </c>
      <c r="AG42" s="12">
        <f ca="1">SUM($AE$42:$AF$42)</f>
        <v>-19.111926396204758</v>
      </c>
      <c r="AH42" s="12">
        <f>'TUSD BE'!$AH$42*'TUSD BE'!$AH$68</f>
        <v>-0.951786665353481</v>
      </c>
      <c r="AI42" s="12">
        <f>'TUSD BE'!$AI$42*'TUSD BE'!$AI$68</f>
        <v>-2.2440531411773292E-2</v>
      </c>
      <c r="AJ42" s="12">
        <f ca="1">'TUSD BE'!$AJ$42*'TUSD BE'!$AJ$68</f>
        <v>-0.14921947661280285</v>
      </c>
      <c r="AK42" s="12">
        <f ca="1">'TUSD BE'!$AK$42*'TUSD BE'!$AK$68</f>
        <v>0</v>
      </c>
      <c r="AL42" s="12">
        <f ca="1">SUM($AH$42:$AK$42)</f>
        <v>-1.123446673378057</v>
      </c>
      <c r="AM42" s="12">
        <f ca="1">SUMIF($L$4:$AL$4,"SUBTOTAL",$L$42:$AL$42)</f>
        <v>-22.784378829755934</v>
      </c>
      <c r="AO42" s="20">
        <f ca="1">+'TUSD BE'!$T$42+'TUSD BE'!$AB$42+'TUSD BE'!$AD$42+'TUSD BE'!$AL$42</f>
        <v>225.47133215468813</v>
      </c>
      <c r="AP42" s="20">
        <f ca="1">+'TUSD BE'!$T$42+'TUSD BE'!$AB$42+'TUSD BE'!$AD$42+'TUSD BE'!$AL$42</f>
        <v>225.47133215468813</v>
      </c>
    </row>
    <row r="43" spans="1:42" ht="11.25" customHeight="1" x14ac:dyDescent="0.25">
      <c r="A43" s="106"/>
      <c r="B43" s="18" t="s">
        <v>23</v>
      </c>
      <c r="C43" s="18" t="s">
        <v>44</v>
      </c>
      <c r="D43" s="18" t="s">
        <v>25</v>
      </c>
      <c r="E43" s="18" t="s">
        <v>25</v>
      </c>
      <c r="F43" s="18" t="s">
        <v>25</v>
      </c>
      <c r="G43" s="17" t="s">
        <v>84</v>
      </c>
      <c r="H43" s="17" t="s">
        <v>78</v>
      </c>
      <c r="I43" s="17">
        <f>'MERCADO TUSD'!$U$40</f>
        <v>23741.584000000003</v>
      </c>
      <c r="J43" s="15"/>
      <c r="L43" s="12">
        <f>'TUSD BE'!$L$43*'TUSD BE'!$L$68</f>
        <v>-8.0687454570029529E-2</v>
      </c>
      <c r="M43" s="12">
        <f>'TUSD BE'!$M$43*'TUSD BE'!$M$68</f>
        <v>-2.6788463634114672E-2</v>
      </c>
      <c r="N43" s="12">
        <f ca="1">'TUSD BE'!$N$43*'TUSD BE'!$N$68</f>
        <v>0</v>
      </c>
      <c r="O43" s="12">
        <f>'TUSD BE'!$O$43*'TUSD BE'!$O$68</f>
        <v>-2.273861876940069E-3</v>
      </c>
      <c r="P43" s="12">
        <f>'TUSD BE'!$P$43*'TUSD BE'!$P$68</f>
        <v>0</v>
      </c>
      <c r="Q43" s="12">
        <f>'TUSD BE'!$Q$43*'TUSD BE'!$Q$68</f>
        <v>-1.0379010336281125</v>
      </c>
      <c r="R43" s="12">
        <f>'TUSD BE'!$R$43*'TUSD BE'!$R$68</f>
        <v>-0.40912397039648096</v>
      </c>
      <c r="S43" s="12">
        <f>'TUSD BE'!$R$43*'TUSD BE'!$S$68</f>
        <v>0</v>
      </c>
      <c r="T43" s="12">
        <f ca="1">SUM($L$43:$S$43)</f>
        <v>-1.5567747841056776</v>
      </c>
      <c r="U43" s="12">
        <f>'TUSD BE'!$U$43*'TUSD BE'!$U$68</f>
        <v>4.0313207080727956E-2</v>
      </c>
      <c r="V43" s="12">
        <f>'TUSD BE'!$V$43*'TUSD BE'!$V$68</f>
        <v>0</v>
      </c>
      <c r="W43" s="12">
        <f>'TUSD BE'!$W$43*'TUSD BE'!$W$68</f>
        <v>0</v>
      </c>
      <c r="X43" s="12">
        <f>'TUSD BE'!$X$43*'TUSD BE'!$X$68</f>
        <v>0</v>
      </c>
      <c r="Y43" s="12">
        <f>'TUSD BE'!$Y$43*'TUSD BE'!$Y$68</f>
        <v>-0.37087619084347284</v>
      </c>
      <c r="Z43" s="12">
        <f>'TUSD BE'!$Z$43*'TUSD BE'!$Z$68</f>
        <v>0</v>
      </c>
      <c r="AA43" s="12">
        <f>'TUSD BE'!$AA$43*'TUSD BE'!$AA$68</f>
        <v>0</v>
      </c>
      <c r="AB43" s="12">
        <f>SUM($U$43:$AA$43)</f>
        <v>-0.3305629837627449</v>
      </c>
      <c r="AC43" s="12">
        <f>'TUSD BE'!$AC$43*'TUSD BE'!$AC$68</f>
        <v>-1.2197978889191061</v>
      </c>
      <c r="AD43" s="12">
        <f>SUM($AC$43:$AC$43)</f>
        <v>-1.2197978889191061</v>
      </c>
      <c r="AE43" s="12">
        <f ca="1">$AO$43*$AO$65</f>
        <v>-26.372298391919237</v>
      </c>
      <c r="AF43" s="12">
        <f ca="1">$AP$43*$AP$65</f>
        <v>0</v>
      </c>
      <c r="AG43" s="12">
        <f ca="1">SUM($AE$43:$AF$43)</f>
        <v>-26.372298391919237</v>
      </c>
      <c r="AH43" s="12">
        <f>'TUSD BE'!$AH$43*'TUSD BE'!$AH$68</f>
        <v>-0.951786665353481</v>
      </c>
      <c r="AI43" s="12">
        <f>'TUSD BE'!$AI$43*'TUSD BE'!$AI$68</f>
        <v>-2.2440531411773292E-2</v>
      </c>
      <c r="AJ43" s="12">
        <f ca="1">'TUSD BE'!$AJ$43*'TUSD BE'!$AJ$68</f>
        <v>-0.14921947661280285</v>
      </c>
      <c r="AK43" s="12">
        <f ca="1">'TUSD BE'!$AK$43*'TUSD BE'!$AK$68</f>
        <v>0</v>
      </c>
      <c r="AL43" s="12">
        <f ca="1">SUM($AH$43:$AK$43)</f>
        <v>-1.123446673378057</v>
      </c>
      <c r="AM43" s="12">
        <f ca="1">SUMIF($L$4:$AL$4,"SUBTOTAL",$L$43:$AL$43)</f>
        <v>-30.602880722084823</v>
      </c>
      <c r="AO43" s="20">
        <f ca="1">+'TUSD BE'!$T$43+'TUSD BE'!$AB$43+'TUSD BE'!$AD$43+'TUSD BE'!$AL$43</f>
        <v>311.12495554544228</v>
      </c>
      <c r="AP43" s="20">
        <f ca="1">+'TUSD BE'!$T$43+'TUSD BE'!$AB$43+'TUSD BE'!$AD$43+'TUSD BE'!$AL$43</f>
        <v>311.12495554544228</v>
      </c>
    </row>
    <row r="44" spans="1:42" ht="11.25" customHeight="1" x14ac:dyDescent="0.25">
      <c r="A44" s="106"/>
      <c r="B44" s="106" t="s">
        <v>33</v>
      </c>
      <c r="C44" s="106" t="s">
        <v>44</v>
      </c>
      <c r="D44" s="106" t="s">
        <v>94</v>
      </c>
      <c r="E44" s="106" t="s">
        <v>25</v>
      </c>
      <c r="F44" s="106" t="s">
        <v>25</v>
      </c>
      <c r="G44" s="17" t="s">
        <v>79</v>
      </c>
      <c r="H44" s="17" t="s">
        <v>78</v>
      </c>
      <c r="I44" s="17">
        <f>'MERCADO TUSD'!$U$41</f>
        <v>0</v>
      </c>
      <c r="J44" s="15"/>
      <c r="L44" s="12">
        <f>'TUSD BE'!$L$44*'TUSD BE'!$L$68</f>
        <v>-8.0687454570029529E-2</v>
      </c>
      <c r="M44" s="12">
        <f>'TUSD BE'!$M$44*'TUSD BE'!$M$68</f>
        <v>-2.6788463634114672E-2</v>
      </c>
      <c r="N44" s="12">
        <f ca="1">'TUSD BE'!$N$44*'TUSD BE'!$N$68</f>
        <v>0</v>
      </c>
      <c r="O44" s="12">
        <f>'TUSD BE'!$O$44*'TUSD BE'!$O$68</f>
        <v>-2.273861876940069E-3</v>
      </c>
      <c r="P44" s="12">
        <f>'TUSD BE'!$P$44*'TUSD BE'!$P$68</f>
        <v>0</v>
      </c>
      <c r="Q44" s="12">
        <f>'TUSD BE'!$Q$44*'TUSD BE'!$Q$68</f>
        <v>-1.0379010336281125</v>
      </c>
      <c r="R44" s="12">
        <f>'TUSD BE'!$R$44*'TUSD BE'!$R$68</f>
        <v>-0.40912397039648096</v>
      </c>
      <c r="S44" s="12">
        <f>'TUSD BE'!$R$44*'TUSD BE'!$S$68</f>
        <v>0</v>
      </c>
      <c r="T44" s="12">
        <f ca="1">SUM($L$44:$S$44)</f>
        <v>-1.5567747841056776</v>
      </c>
      <c r="U44" s="12">
        <f>'TUSD BE'!$U$44*'TUSD BE'!$U$68</f>
        <v>0.12900273239973101</v>
      </c>
      <c r="V44" s="12">
        <f>'TUSD BE'!$V$44*'TUSD BE'!$V$68</f>
        <v>0</v>
      </c>
      <c r="W44" s="12">
        <f>'TUSD BE'!$W$44*'TUSD BE'!$W$68</f>
        <v>0</v>
      </c>
      <c r="X44" s="12">
        <f>'TUSD BE'!$X$44*'TUSD BE'!$X$68</f>
        <v>0</v>
      </c>
      <c r="Y44" s="12">
        <f>'TUSD BE'!$Y$44*'TUSD BE'!$Y$68</f>
        <v>-1.1868075230109196</v>
      </c>
      <c r="Z44" s="12">
        <f>'TUSD BE'!$Z$44*'TUSD BE'!$Z$68</f>
        <v>0</v>
      </c>
      <c r="AA44" s="12">
        <f>'TUSD BE'!$AA$44*'TUSD BE'!$AA$68</f>
        <v>0</v>
      </c>
      <c r="AB44" s="12">
        <f>SUM($U$44:$AA$44)</f>
        <v>-1.0578047906111887</v>
      </c>
      <c r="AC44" s="12">
        <f>'TUSD BE'!$AC$44*'TUSD BE'!$AC$68</f>
        <v>-3.9033539873284475</v>
      </c>
      <c r="AD44" s="12">
        <f>SUM($AC$44:$AC$44)</f>
        <v>-3.9033539873284475</v>
      </c>
      <c r="AE44" s="12">
        <f ca="1">$AO$44*$AO$65</f>
        <v>-70.741346575960293</v>
      </c>
      <c r="AF44" s="12">
        <f ca="1">$AP$44*$AP$65</f>
        <v>0</v>
      </c>
      <c r="AG44" s="12">
        <f ca="1">SUM($AE$44:$AF$44)</f>
        <v>-70.741346575960293</v>
      </c>
      <c r="AH44" s="12">
        <f>'TUSD BE'!$AH$44*'TUSD BE'!$AH$68</f>
        <v>-0.951786665353481</v>
      </c>
      <c r="AI44" s="12">
        <f>'TUSD BE'!$AI$44*'TUSD BE'!$AI$68</f>
        <v>-2.2440531411773292E-2</v>
      </c>
      <c r="AJ44" s="12">
        <f ca="1">'TUSD BE'!$AJ$44*'TUSD BE'!$AJ$68</f>
        <v>-0.14921947661280285</v>
      </c>
      <c r="AK44" s="12">
        <f ca="1">'TUSD BE'!$AK$44*'TUSD BE'!$AK$68</f>
        <v>0</v>
      </c>
      <c r="AL44" s="12">
        <f ca="1">SUM($AH$44:$AK$44)</f>
        <v>-1.123446673378057</v>
      </c>
      <c r="AM44" s="12">
        <f ca="1">SUMIF($L$4:$AL$4,"SUBTOTAL",$L$44:$AL$44)</f>
        <v>-78.382726811383662</v>
      </c>
      <c r="AO44" s="20">
        <f ca="1">+'TUSD BE'!$T$44+'TUSD BE'!$AB$44+'TUSD BE'!$AD$44+'TUSD BE'!$AL$44</f>
        <v>834.56504175662951</v>
      </c>
      <c r="AP44" s="20">
        <f ca="1">+'TUSD BE'!$T$44+'TUSD BE'!$AB$44+'TUSD BE'!$AD$44+'TUSD BE'!$AL$44</f>
        <v>834.56504175662951</v>
      </c>
    </row>
    <row r="45" spans="1:42" ht="11.25" customHeight="1" x14ac:dyDescent="0.25">
      <c r="A45" s="106"/>
      <c r="B45" s="106"/>
      <c r="C45" s="106"/>
      <c r="D45" s="106"/>
      <c r="E45" s="106"/>
      <c r="F45" s="106"/>
      <c r="G45" s="17" t="s">
        <v>91</v>
      </c>
      <c r="H45" s="17" t="s">
        <v>78</v>
      </c>
      <c r="I45" s="17">
        <f>'MERCADO TUSD'!$U$42</f>
        <v>0</v>
      </c>
      <c r="J45" s="15"/>
      <c r="L45" s="12">
        <f>'TUSD BE'!$L$45*'TUSD BE'!$L$68</f>
        <v>-8.0687454570029529E-2</v>
      </c>
      <c r="M45" s="12">
        <f>'TUSD BE'!$M$45*'TUSD BE'!$M$68</f>
        <v>-2.6788463634114672E-2</v>
      </c>
      <c r="N45" s="12">
        <f ca="1">'TUSD BE'!$N$45*'TUSD BE'!$N$68</f>
        <v>0</v>
      </c>
      <c r="O45" s="12">
        <f>'TUSD BE'!$O$45*'TUSD BE'!$O$68</f>
        <v>-2.273861876940069E-3</v>
      </c>
      <c r="P45" s="12">
        <f>'TUSD BE'!$P$45*'TUSD BE'!$P$68</f>
        <v>0</v>
      </c>
      <c r="Q45" s="12">
        <f>'TUSD BE'!$Q$45*'TUSD BE'!$Q$68</f>
        <v>-1.0379010336281125</v>
      </c>
      <c r="R45" s="12">
        <f>'TUSD BE'!$R$45*'TUSD BE'!$R$68</f>
        <v>-0.40912397039648096</v>
      </c>
      <c r="S45" s="12">
        <f>'TUSD BE'!$R$45*'TUSD BE'!$S$68</f>
        <v>0</v>
      </c>
      <c r="T45" s="12">
        <f ca="1">SUM($L$45:$S$45)</f>
        <v>-1.5567747841056776</v>
      </c>
      <c r="U45" s="12">
        <f>'TUSD BE'!$U$45*'TUSD BE'!$U$68</f>
        <v>7.7401639439838604E-2</v>
      </c>
      <c r="V45" s="12">
        <f>'TUSD BE'!$V$45*'TUSD BE'!$V$68</f>
        <v>0</v>
      </c>
      <c r="W45" s="12">
        <f>'TUSD BE'!$W$45*'TUSD BE'!$W$68</f>
        <v>0</v>
      </c>
      <c r="X45" s="12">
        <f>'TUSD BE'!$X$45*'TUSD BE'!$X$68</f>
        <v>0</v>
      </c>
      <c r="Y45" s="12">
        <f>'TUSD BE'!$Y$45*'TUSD BE'!$Y$68</f>
        <v>-0.71208404976757589</v>
      </c>
      <c r="Z45" s="12">
        <f>'TUSD BE'!$Z$45*'TUSD BE'!$Z$68</f>
        <v>0</v>
      </c>
      <c r="AA45" s="12">
        <f>'TUSD BE'!$AA$45*'TUSD BE'!$AA$68</f>
        <v>0</v>
      </c>
      <c r="AB45" s="12">
        <f>SUM($U$45:$AA$45)</f>
        <v>-0.63468241032773731</v>
      </c>
      <c r="AC45" s="12">
        <f>'TUSD BE'!$AC$45*'TUSD BE'!$AC$68</f>
        <v>-2.3420120952821453</v>
      </c>
      <c r="AD45" s="12">
        <f>SUM($AC$45:$AC$45)</f>
        <v>-2.3420120952821453</v>
      </c>
      <c r="AE45" s="12">
        <f ca="1">$AO$45*$AO$65</f>
        <v>-44.926627924340295</v>
      </c>
      <c r="AF45" s="12">
        <f ca="1">$AP$45*$AP$65</f>
        <v>0</v>
      </c>
      <c r="AG45" s="12">
        <f ca="1">SUM($AE$45:$AF$45)</f>
        <v>-44.926627924340295</v>
      </c>
      <c r="AH45" s="12">
        <f>'TUSD BE'!$AH$45*'TUSD BE'!$AH$68</f>
        <v>-0.951786665353481</v>
      </c>
      <c r="AI45" s="12">
        <f>'TUSD BE'!$AI$45*'TUSD BE'!$AI$68</f>
        <v>-2.2440531411773292E-2</v>
      </c>
      <c r="AJ45" s="12">
        <f ca="1">'TUSD BE'!$AJ$45*'TUSD BE'!$AJ$68</f>
        <v>-0.14921947661280285</v>
      </c>
      <c r="AK45" s="12">
        <f ca="1">'TUSD BE'!$AK$45*'TUSD BE'!$AK$68</f>
        <v>0</v>
      </c>
      <c r="AL45" s="12">
        <f ca="1">SUM($AH$45:$AK$45)</f>
        <v>-1.123446673378057</v>
      </c>
      <c r="AM45" s="12">
        <f ca="1">SUMIF($L$4:$AL$4,"SUBTOTAL",$L$45:$AL$45)</f>
        <v>-50.583543887433912</v>
      </c>
      <c r="AO45" s="20">
        <f ca="1">+'TUSD BE'!$T$45+'TUSD BE'!$AB$45+'TUSD BE'!$AD$45+'TUSD BE'!$AL$45</f>
        <v>530.01808594923034</v>
      </c>
      <c r="AP45" s="20">
        <f ca="1">+'TUSD BE'!$T$45+'TUSD BE'!$AB$45+'TUSD BE'!$AD$45+'TUSD BE'!$AL$45</f>
        <v>530.01808594923034</v>
      </c>
    </row>
    <row r="46" spans="1:42" ht="11.25" customHeight="1" x14ac:dyDescent="0.25">
      <c r="A46" s="106"/>
      <c r="B46" s="106"/>
      <c r="C46" s="106"/>
      <c r="D46" s="106"/>
      <c r="E46" s="106"/>
      <c r="F46" s="106"/>
      <c r="G46" s="17" t="s">
        <v>80</v>
      </c>
      <c r="H46" s="17" t="s">
        <v>78</v>
      </c>
      <c r="I46" s="17">
        <f>'MERCADO TUSD'!$U$43</f>
        <v>0</v>
      </c>
      <c r="J46" s="15"/>
      <c r="L46" s="12">
        <f>'TUSD BE'!$L$46*'TUSD BE'!$L$68</f>
        <v>-8.0687454570029529E-2</v>
      </c>
      <c r="M46" s="12">
        <f>'TUSD BE'!$M$46*'TUSD BE'!$M$68</f>
        <v>-2.6788463634114672E-2</v>
      </c>
      <c r="N46" s="12">
        <f ca="1">'TUSD BE'!$N$46*'TUSD BE'!$N$68</f>
        <v>0</v>
      </c>
      <c r="O46" s="12">
        <f>'TUSD BE'!$O$46*'TUSD BE'!$O$68</f>
        <v>-2.273861876940069E-3</v>
      </c>
      <c r="P46" s="12">
        <f>'TUSD BE'!$P$46*'TUSD BE'!$P$68</f>
        <v>0</v>
      </c>
      <c r="Q46" s="12">
        <f>'TUSD BE'!$Q$46*'TUSD BE'!$Q$68</f>
        <v>-1.0379010336281125</v>
      </c>
      <c r="R46" s="12">
        <f>'TUSD BE'!$R$46*'TUSD BE'!$R$68</f>
        <v>-0.40912397039648096</v>
      </c>
      <c r="S46" s="12">
        <f>'TUSD BE'!$R$46*'TUSD BE'!$S$68</f>
        <v>0</v>
      </c>
      <c r="T46" s="12">
        <f ca="1">SUM($L$46:$S$46)</f>
        <v>-1.5567747841056776</v>
      </c>
      <c r="U46" s="12">
        <f>'TUSD BE'!$U$46*'TUSD BE'!$U$68</f>
        <v>2.5800546479946198E-2</v>
      </c>
      <c r="V46" s="12">
        <f>'TUSD BE'!$V$46*'TUSD BE'!$V$68</f>
        <v>0</v>
      </c>
      <c r="W46" s="12">
        <f>'TUSD BE'!$W$46*'TUSD BE'!$W$68</f>
        <v>0</v>
      </c>
      <c r="X46" s="12">
        <f>'TUSD BE'!$X$46*'TUSD BE'!$X$68</f>
        <v>0</v>
      </c>
      <c r="Y46" s="12">
        <f>'TUSD BE'!$Y$46*'TUSD BE'!$Y$68</f>
        <v>-0.23736057652423229</v>
      </c>
      <c r="Z46" s="12">
        <f>'TUSD BE'!$Z$46*'TUSD BE'!$Z$68</f>
        <v>0</v>
      </c>
      <c r="AA46" s="12">
        <f>'TUSD BE'!$AA$46*'TUSD BE'!$AA$68</f>
        <v>0</v>
      </c>
      <c r="AB46" s="12">
        <f>SUM($U$46:$AA$46)</f>
        <v>-0.21156003004428608</v>
      </c>
      <c r="AC46" s="12">
        <f>'TUSD BE'!$AC$46*'TUSD BE'!$AC$68</f>
        <v>-0.78067094602315101</v>
      </c>
      <c r="AD46" s="12">
        <f>SUM($AC$46:$AC$46)</f>
        <v>-0.78067094602315101</v>
      </c>
      <c r="AE46" s="12">
        <f ca="1">$AO$46*$AO$65</f>
        <v>-19.111926396204758</v>
      </c>
      <c r="AF46" s="12">
        <f ca="1">$AP$46*$AP$65</f>
        <v>0</v>
      </c>
      <c r="AG46" s="12">
        <f ca="1">SUM($AE$46:$AF$46)</f>
        <v>-19.111926396204758</v>
      </c>
      <c r="AH46" s="12">
        <f>'TUSD BE'!$AH$46*'TUSD BE'!$AH$68</f>
        <v>-0.951786665353481</v>
      </c>
      <c r="AI46" s="12">
        <f>'TUSD BE'!$AI$46*'TUSD BE'!$AI$68</f>
        <v>-2.2440531411773292E-2</v>
      </c>
      <c r="AJ46" s="12">
        <f ca="1">'TUSD BE'!$AJ$46*'TUSD BE'!$AJ$68</f>
        <v>-0.14921947661280285</v>
      </c>
      <c r="AK46" s="12">
        <f ca="1">'TUSD BE'!$AK$46*'TUSD BE'!$AK$68</f>
        <v>0</v>
      </c>
      <c r="AL46" s="12">
        <f ca="1">SUM($AH$46:$AK$46)</f>
        <v>-1.123446673378057</v>
      </c>
      <c r="AM46" s="12">
        <f ca="1">SUMIF($L$4:$AL$4,"SUBTOTAL",$L$46:$AL$46)</f>
        <v>-22.784378829755934</v>
      </c>
      <c r="AO46" s="20">
        <f ca="1">+'TUSD BE'!$T$46+'TUSD BE'!$AB$46+'TUSD BE'!$AD$46+'TUSD BE'!$AL$46</f>
        <v>225.47133215468813</v>
      </c>
      <c r="AP46" s="20">
        <f ca="1">+'TUSD BE'!$T$46+'TUSD BE'!$AB$46+'TUSD BE'!$AD$46+'TUSD BE'!$AL$46</f>
        <v>225.47133215468813</v>
      </c>
    </row>
    <row r="47" spans="1:42" ht="11.25" customHeight="1" x14ac:dyDescent="0.25">
      <c r="A47" s="106"/>
      <c r="B47" s="18" t="s">
        <v>23</v>
      </c>
      <c r="C47" s="18" t="s">
        <v>44</v>
      </c>
      <c r="D47" s="18" t="s">
        <v>94</v>
      </c>
      <c r="E47" s="18" t="s">
        <v>25</v>
      </c>
      <c r="F47" s="18" t="s">
        <v>25</v>
      </c>
      <c r="G47" s="17" t="s">
        <v>84</v>
      </c>
      <c r="H47" s="17" t="s">
        <v>78</v>
      </c>
      <c r="I47" s="17">
        <f>'MERCADO TUSD'!$U$44</f>
        <v>0</v>
      </c>
      <c r="J47" s="15"/>
      <c r="L47" s="12">
        <f>'TUSD BE'!$L$47*'TUSD BE'!$L$68</f>
        <v>-8.0687454570029529E-2</v>
      </c>
      <c r="M47" s="12">
        <f>'TUSD BE'!$M$47*'TUSD BE'!$M$68</f>
        <v>-2.6788463634114672E-2</v>
      </c>
      <c r="N47" s="12">
        <f ca="1">'TUSD BE'!$N$47*'TUSD BE'!$N$68</f>
        <v>0</v>
      </c>
      <c r="O47" s="12">
        <f>'TUSD BE'!$O$47*'TUSD BE'!$O$68</f>
        <v>-2.273861876940069E-3</v>
      </c>
      <c r="P47" s="12">
        <f>'TUSD BE'!$P$47*'TUSD BE'!$P$68</f>
        <v>0</v>
      </c>
      <c r="Q47" s="12">
        <f>'TUSD BE'!$Q$47*'TUSD BE'!$Q$68</f>
        <v>-1.0379010336281125</v>
      </c>
      <c r="R47" s="12">
        <f>'TUSD BE'!$R$47*'TUSD BE'!$R$68</f>
        <v>-0.40912397039648096</v>
      </c>
      <c r="S47" s="12">
        <f>'TUSD BE'!$R$47*'TUSD BE'!$S$68</f>
        <v>0</v>
      </c>
      <c r="T47" s="12">
        <f ca="1">SUM($L$47:$S$47)</f>
        <v>-1.5567747841056776</v>
      </c>
      <c r="U47" s="12">
        <f>'TUSD BE'!$U$47*'TUSD BE'!$U$68</f>
        <v>4.0313207080727956E-2</v>
      </c>
      <c r="V47" s="12">
        <f>'TUSD BE'!$V$47*'TUSD BE'!$V$68</f>
        <v>0</v>
      </c>
      <c r="W47" s="12">
        <f>'TUSD BE'!$W$47*'TUSD BE'!$W$68</f>
        <v>0</v>
      </c>
      <c r="X47" s="12">
        <f>'TUSD BE'!$X$47*'TUSD BE'!$X$68</f>
        <v>0</v>
      </c>
      <c r="Y47" s="12">
        <f>'TUSD BE'!$Y$47*'TUSD BE'!$Y$68</f>
        <v>-0.37087619084347284</v>
      </c>
      <c r="Z47" s="12">
        <f>'TUSD BE'!$Z$47*'TUSD BE'!$Z$68</f>
        <v>0</v>
      </c>
      <c r="AA47" s="12">
        <f>'TUSD BE'!$AA$47*'TUSD BE'!$AA$68</f>
        <v>0</v>
      </c>
      <c r="AB47" s="12">
        <f>SUM($U$47:$AA$47)</f>
        <v>-0.3305629837627449</v>
      </c>
      <c r="AC47" s="12">
        <f>'TUSD BE'!$AC$47*'TUSD BE'!$AC$68</f>
        <v>-1.2197978889191061</v>
      </c>
      <c r="AD47" s="12">
        <f>SUM($AC$47:$AC$47)</f>
        <v>-1.2197978889191061</v>
      </c>
      <c r="AE47" s="12">
        <f ca="1">$AO$47*$AO$65</f>
        <v>-26.372298391919237</v>
      </c>
      <c r="AF47" s="12">
        <f ca="1">$AP$47*$AP$65</f>
        <v>0</v>
      </c>
      <c r="AG47" s="12">
        <f ca="1">SUM($AE$47:$AF$47)</f>
        <v>-26.372298391919237</v>
      </c>
      <c r="AH47" s="12">
        <f>'TUSD BE'!$AH$47*'TUSD BE'!$AH$68</f>
        <v>-0.951786665353481</v>
      </c>
      <c r="AI47" s="12">
        <f>'TUSD BE'!$AI$47*'TUSD BE'!$AI$68</f>
        <v>-2.2440531411773292E-2</v>
      </c>
      <c r="AJ47" s="12">
        <f ca="1">'TUSD BE'!$AJ$47*'TUSD BE'!$AJ$68</f>
        <v>-0.14921947661280285</v>
      </c>
      <c r="AK47" s="12">
        <f ca="1">'TUSD BE'!$AK$47*'TUSD BE'!$AK$68</f>
        <v>0</v>
      </c>
      <c r="AL47" s="12">
        <f ca="1">SUM($AH$47:$AK$47)</f>
        <v>-1.123446673378057</v>
      </c>
      <c r="AM47" s="12">
        <f ca="1">SUMIF($L$4:$AL$4,"SUBTOTAL",$L$47:$AL$47)</f>
        <v>-30.602880722084823</v>
      </c>
      <c r="AO47" s="20">
        <f ca="1">+'TUSD BE'!$T$47+'TUSD BE'!$AB$47+'TUSD BE'!$AD$47+'TUSD BE'!$AL$47</f>
        <v>311.12495554544228</v>
      </c>
      <c r="AP47" s="20">
        <f ca="1">+'TUSD BE'!$T$47+'TUSD BE'!$AB$47+'TUSD BE'!$AD$47+'TUSD BE'!$AL$47</f>
        <v>311.12495554544228</v>
      </c>
    </row>
    <row r="48" spans="1:42" ht="11.25" customHeight="1" x14ac:dyDescent="0.25">
      <c r="A48" s="106"/>
      <c r="B48" s="106" t="s">
        <v>33</v>
      </c>
      <c r="C48" s="106" t="s">
        <v>44</v>
      </c>
      <c r="D48" s="106" t="s">
        <v>95</v>
      </c>
      <c r="E48" s="106" t="s">
        <v>25</v>
      </c>
      <c r="F48" s="106" t="s">
        <v>25</v>
      </c>
      <c r="G48" s="17" t="s">
        <v>79</v>
      </c>
      <c r="H48" s="17" t="s">
        <v>78</v>
      </c>
      <c r="I48" s="17">
        <f>'MERCADO TUSD'!$U$45</f>
        <v>0</v>
      </c>
      <c r="J48" s="15"/>
      <c r="L48" s="12">
        <f>'TUSD BE'!$L$48*'TUSD BE'!$L$68</f>
        <v>-8.0687454570029529E-2</v>
      </c>
      <c r="M48" s="12">
        <f>'TUSD BE'!$M$48*'TUSD BE'!$M$68</f>
        <v>-2.6788463634114672E-2</v>
      </c>
      <c r="N48" s="12">
        <f ca="1">'TUSD BE'!$N$48*'TUSD BE'!$N$68</f>
        <v>0</v>
      </c>
      <c r="O48" s="12">
        <f>'TUSD BE'!$O$48*'TUSD BE'!$O$68</f>
        <v>-2.273861876940069E-3</v>
      </c>
      <c r="P48" s="12">
        <f>'TUSD BE'!$P$48*'TUSD BE'!$P$68</f>
        <v>0</v>
      </c>
      <c r="Q48" s="12">
        <f>'TUSD BE'!$Q$48*'TUSD BE'!$Q$68</f>
        <v>-1.0379010336281125</v>
      </c>
      <c r="R48" s="12">
        <f>'TUSD BE'!$R$48*'TUSD BE'!$R$68</f>
        <v>-0.40912397039648096</v>
      </c>
      <c r="S48" s="12">
        <f>'TUSD BE'!$R$48*'TUSD BE'!$S$68</f>
        <v>0</v>
      </c>
      <c r="T48" s="12">
        <f ca="1">SUM($L$48:$S$48)</f>
        <v>-1.5567747841056776</v>
      </c>
      <c r="U48" s="12">
        <f>'TUSD BE'!$U$48*'TUSD BE'!$U$68</f>
        <v>0.12900273239973101</v>
      </c>
      <c r="V48" s="12">
        <f>'TUSD BE'!$V$48*'TUSD BE'!$V$68</f>
        <v>0</v>
      </c>
      <c r="W48" s="12">
        <f>'TUSD BE'!$W$48*'TUSD BE'!$W$68</f>
        <v>0</v>
      </c>
      <c r="X48" s="12">
        <f>'TUSD BE'!$X$48*'TUSD BE'!$X$68</f>
        <v>0</v>
      </c>
      <c r="Y48" s="12">
        <f>'TUSD BE'!$Y$48*'TUSD BE'!$Y$68</f>
        <v>-1.1868075230109196</v>
      </c>
      <c r="Z48" s="12">
        <f>'TUSD BE'!$Z$48*'TUSD BE'!$Z$68</f>
        <v>0</v>
      </c>
      <c r="AA48" s="12">
        <f>'TUSD BE'!$AA$48*'TUSD BE'!$AA$68</f>
        <v>0</v>
      </c>
      <c r="AB48" s="12">
        <f>SUM($U$48:$AA$48)</f>
        <v>-1.0578047906111887</v>
      </c>
      <c r="AC48" s="12">
        <f>'TUSD BE'!$AC$48*'TUSD BE'!$AC$68</f>
        <v>-3.9033539873284475</v>
      </c>
      <c r="AD48" s="12">
        <f>SUM($AC$48:$AC$48)</f>
        <v>-3.9033539873284475</v>
      </c>
      <c r="AE48" s="12">
        <f ca="1">$AO$48*$AO$65</f>
        <v>-70.741346575960293</v>
      </c>
      <c r="AF48" s="12">
        <f ca="1">$AP$48*$AP$65</f>
        <v>0</v>
      </c>
      <c r="AG48" s="12">
        <f ca="1">SUM($AE$48:$AF$48)</f>
        <v>-70.741346575960293</v>
      </c>
      <c r="AH48" s="12">
        <f>'TUSD BE'!$AH$48*'TUSD BE'!$AH$68</f>
        <v>-0.951786665353481</v>
      </c>
      <c r="AI48" s="12">
        <f>'TUSD BE'!$AI$48*'TUSD BE'!$AI$68</f>
        <v>-2.2440531411773292E-2</v>
      </c>
      <c r="AJ48" s="12">
        <f ca="1">'TUSD BE'!$AJ$48*'TUSD BE'!$AJ$68</f>
        <v>-0.14921947661280285</v>
      </c>
      <c r="AK48" s="12">
        <f ca="1">'TUSD BE'!$AK$48*'TUSD BE'!$AK$68</f>
        <v>0</v>
      </c>
      <c r="AL48" s="12">
        <f ca="1">SUM($AH$48:$AK$48)</f>
        <v>-1.123446673378057</v>
      </c>
      <c r="AM48" s="12">
        <f ca="1">SUMIF($L$4:$AL$4,"SUBTOTAL",$L$48:$AL$48)</f>
        <v>-78.382726811383662</v>
      </c>
      <c r="AO48" s="20">
        <f ca="1">+'TUSD BE'!$T$48+'TUSD BE'!$AB$48+'TUSD BE'!$AD$48+'TUSD BE'!$AL$48</f>
        <v>834.56504175662951</v>
      </c>
      <c r="AP48" s="20">
        <f ca="1">+'TUSD BE'!$T$48+'TUSD BE'!$AB$48+'TUSD BE'!$AD$48+'TUSD BE'!$AL$48</f>
        <v>834.56504175662951</v>
      </c>
    </row>
    <row r="49" spans="1:42" ht="11.25" customHeight="1" x14ac:dyDescent="0.25">
      <c r="A49" s="106"/>
      <c r="B49" s="106"/>
      <c r="C49" s="106"/>
      <c r="D49" s="106"/>
      <c r="E49" s="106"/>
      <c r="F49" s="106"/>
      <c r="G49" s="17" t="s">
        <v>91</v>
      </c>
      <c r="H49" s="17" t="s">
        <v>78</v>
      </c>
      <c r="I49" s="17">
        <f>'MERCADO TUSD'!$U$46</f>
        <v>0</v>
      </c>
      <c r="J49" s="15"/>
      <c r="L49" s="12">
        <f>'TUSD BE'!$L$49*'TUSD BE'!$L$68</f>
        <v>-8.0687454570029529E-2</v>
      </c>
      <c r="M49" s="12">
        <f>'TUSD BE'!$M$49*'TUSD BE'!$M$68</f>
        <v>-2.6788463634114672E-2</v>
      </c>
      <c r="N49" s="12">
        <f ca="1">'TUSD BE'!$N$49*'TUSD BE'!$N$68</f>
        <v>0</v>
      </c>
      <c r="O49" s="12">
        <f>'TUSD BE'!$O$49*'TUSD BE'!$O$68</f>
        <v>-2.273861876940069E-3</v>
      </c>
      <c r="P49" s="12">
        <f>'TUSD BE'!$P$49*'TUSD BE'!$P$68</f>
        <v>0</v>
      </c>
      <c r="Q49" s="12">
        <f>'TUSD BE'!$Q$49*'TUSD BE'!$Q$68</f>
        <v>-1.0379010336281125</v>
      </c>
      <c r="R49" s="12">
        <f>'TUSD BE'!$R$49*'TUSD BE'!$R$68</f>
        <v>-0.40912397039648096</v>
      </c>
      <c r="S49" s="12">
        <f>'TUSD BE'!$R$49*'TUSD BE'!$S$68</f>
        <v>0</v>
      </c>
      <c r="T49" s="12">
        <f ca="1">SUM($L$49:$S$49)</f>
        <v>-1.5567747841056776</v>
      </c>
      <c r="U49" s="12">
        <f>'TUSD BE'!$U$49*'TUSD BE'!$U$68</f>
        <v>7.7401639439838604E-2</v>
      </c>
      <c r="V49" s="12">
        <f>'TUSD BE'!$V$49*'TUSD BE'!$V$68</f>
        <v>0</v>
      </c>
      <c r="W49" s="12">
        <f>'TUSD BE'!$W$49*'TUSD BE'!$W$68</f>
        <v>0</v>
      </c>
      <c r="X49" s="12">
        <f>'TUSD BE'!$X$49*'TUSD BE'!$X$68</f>
        <v>0</v>
      </c>
      <c r="Y49" s="12">
        <f>'TUSD BE'!$Y$49*'TUSD BE'!$Y$68</f>
        <v>-0.71208404976757589</v>
      </c>
      <c r="Z49" s="12">
        <f>'TUSD BE'!$Z$49*'TUSD BE'!$Z$68</f>
        <v>0</v>
      </c>
      <c r="AA49" s="12">
        <f>'TUSD BE'!$AA$49*'TUSD BE'!$AA$68</f>
        <v>0</v>
      </c>
      <c r="AB49" s="12">
        <f>SUM($U$49:$AA$49)</f>
        <v>-0.63468241032773731</v>
      </c>
      <c r="AC49" s="12">
        <f>'TUSD BE'!$AC$49*'TUSD BE'!$AC$68</f>
        <v>-2.3420120952821453</v>
      </c>
      <c r="AD49" s="12">
        <f>SUM($AC$49:$AC$49)</f>
        <v>-2.3420120952821453</v>
      </c>
      <c r="AE49" s="12">
        <f ca="1">$AO$49*$AO$65</f>
        <v>-44.926627924340295</v>
      </c>
      <c r="AF49" s="12">
        <f ca="1">$AP$49*$AP$65</f>
        <v>0</v>
      </c>
      <c r="AG49" s="12">
        <f ca="1">SUM($AE$49:$AF$49)</f>
        <v>-44.926627924340295</v>
      </c>
      <c r="AH49" s="12">
        <f>'TUSD BE'!$AH$49*'TUSD BE'!$AH$68</f>
        <v>-0.951786665353481</v>
      </c>
      <c r="AI49" s="12">
        <f>'TUSD BE'!$AI$49*'TUSD BE'!$AI$68</f>
        <v>-2.2440531411773292E-2</v>
      </c>
      <c r="AJ49" s="12">
        <f ca="1">'TUSD BE'!$AJ$49*'TUSD BE'!$AJ$68</f>
        <v>-0.14921947661280285</v>
      </c>
      <c r="AK49" s="12">
        <f ca="1">'TUSD BE'!$AK$49*'TUSD BE'!$AK$68</f>
        <v>0</v>
      </c>
      <c r="AL49" s="12">
        <f ca="1">SUM($AH$49:$AK$49)</f>
        <v>-1.123446673378057</v>
      </c>
      <c r="AM49" s="12">
        <f ca="1">SUMIF($L$4:$AL$4,"SUBTOTAL",$L$49:$AL$49)</f>
        <v>-50.583543887433912</v>
      </c>
      <c r="AO49" s="20">
        <f ca="1">+'TUSD BE'!$T$49+'TUSD BE'!$AB$49+'TUSD BE'!$AD$49+'TUSD BE'!$AL$49</f>
        <v>530.01808594923034</v>
      </c>
      <c r="AP49" s="20">
        <f ca="1">+'TUSD BE'!$T$49+'TUSD BE'!$AB$49+'TUSD BE'!$AD$49+'TUSD BE'!$AL$49</f>
        <v>530.01808594923034</v>
      </c>
    </row>
    <row r="50" spans="1:42" ht="11.25" customHeight="1" x14ac:dyDescent="0.25">
      <c r="A50" s="106"/>
      <c r="B50" s="106"/>
      <c r="C50" s="106"/>
      <c r="D50" s="106"/>
      <c r="E50" s="106"/>
      <c r="F50" s="106"/>
      <c r="G50" s="17" t="s">
        <v>80</v>
      </c>
      <c r="H50" s="17" t="s">
        <v>78</v>
      </c>
      <c r="I50" s="17">
        <f>'MERCADO TUSD'!$U$47</f>
        <v>0</v>
      </c>
      <c r="J50" s="15"/>
      <c r="L50" s="12">
        <f>'TUSD BE'!$L$50*'TUSD BE'!$L$68</f>
        <v>-8.0687454570029529E-2</v>
      </c>
      <c r="M50" s="12">
        <f>'TUSD BE'!$M$50*'TUSD BE'!$M$68</f>
        <v>-2.6788463634114672E-2</v>
      </c>
      <c r="N50" s="12">
        <f ca="1">'TUSD BE'!$N$50*'TUSD BE'!$N$68</f>
        <v>0</v>
      </c>
      <c r="O50" s="12">
        <f>'TUSD BE'!$O$50*'TUSD BE'!$O$68</f>
        <v>-2.273861876940069E-3</v>
      </c>
      <c r="P50" s="12">
        <f>'TUSD BE'!$P$50*'TUSD BE'!$P$68</f>
        <v>0</v>
      </c>
      <c r="Q50" s="12">
        <f>'TUSD BE'!$Q$50*'TUSD BE'!$Q$68</f>
        <v>-1.0379010336281125</v>
      </c>
      <c r="R50" s="12">
        <f>'TUSD BE'!$R$50*'TUSD BE'!$R$68</f>
        <v>-0.40912397039648096</v>
      </c>
      <c r="S50" s="12">
        <f>'TUSD BE'!$R$50*'TUSD BE'!$S$68</f>
        <v>0</v>
      </c>
      <c r="T50" s="12">
        <f ca="1">SUM($L$50:$S$50)</f>
        <v>-1.5567747841056776</v>
      </c>
      <c r="U50" s="12">
        <f>'TUSD BE'!$U$50*'TUSD BE'!$U$68</f>
        <v>2.5800546479946198E-2</v>
      </c>
      <c r="V50" s="12">
        <f>'TUSD BE'!$V$50*'TUSD BE'!$V$68</f>
        <v>0</v>
      </c>
      <c r="W50" s="12">
        <f>'TUSD BE'!$W$50*'TUSD BE'!$W$68</f>
        <v>0</v>
      </c>
      <c r="X50" s="12">
        <f>'TUSD BE'!$X$50*'TUSD BE'!$X$68</f>
        <v>0</v>
      </c>
      <c r="Y50" s="12">
        <f>'TUSD BE'!$Y$50*'TUSD BE'!$Y$68</f>
        <v>-0.23736057652423229</v>
      </c>
      <c r="Z50" s="12">
        <f>'TUSD BE'!$Z$50*'TUSD BE'!$Z$68</f>
        <v>0</v>
      </c>
      <c r="AA50" s="12">
        <f>'TUSD BE'!$AA$50*'TUSD BE'!$AA$68</f>
        <v>0</v>
      </c>
      <c r="AB50" s="12">
        <f>SUM($U$50:$AA$50)</f>
        <v>-0.21156003004428608</v>
      </c>
      <c r="AC50" s="12">
        <f>'TUSD BE'!$AC$50*'TUSD BE'!$AC$68</f>
        <v>-0.78067094602315101</v>
      </c>
      <c r="AD50" s="12">
        <f>SUM($AC$50:$AC$50)</f>
        <v>-0.78067094602315101</v>
      </c>
      <c r="AE50" s="12">
        <f ca="1">$AO$50*$AO$65</f>
        <v>-19.111926396204758</v>
      </c>
      <c r="AF50" s="12">
        <f ca="1">$AP$50*$AP$65</f>
        <v>0</v>
      </c>
      <c r="AG50" s="12">
        <f ca="1">SUM($AE$50:$AF$50)</f>
        <v>-19.111926396204758</v>
      </c>
      <c r="AH50" s="12">
        <f>'TUSD BE'!$AH$50*'TUSD BE'!$AH$68</f>
        <v>-0.951786665353481</v>
      </c>
      <c r="AI50" s="12">
        <f>'TUSD BE'!$AI$50*'TUSD BE'!$AI$68</f>
        <v>-2.2440531411773292E-2</v>
      </c>
      <c r="AJ50" s="12">
        <f ca="1">'TUSD BE'!$AJ$50*'TUSD BE'!$AJ$68</f>
        <v>-0.14921947661280285</v>
      </c>
      <c r="AK50" s="12">
        <f ca="1">'TUSD BE'!$AK$50*'TUSD BE'!$AK$68</f>
        <v>0</v>
      </c>
      <c r="AL50" s="12">
        <f ca="1">SUM($AH$50:$AK$50)</f>
        <v>-1.123446673378057</v>
      </c>
      <c r="AM50" s="12">
        <f ca="1">SUMIF($L$4:$AL$4,"SUBTOTAL",$L$50:$AL$50)</f>
        <v>-22.784378829755934</v>
      </c>
      <c r="AO50" s="20">
        <f ca="1">+'TUSD BE'!$T$50+'TUSD BE'!$AB$50+'TUSD BE'!$AD$50+'TUSD BE'!$AL$50</f>
        <v>225.47133215468813</v>
      </c>
      <c r="AP50" s="20">
        <f ca="1">+'TUSD BE'!$T$50+'TUSD BE'!$AB$50+'TUSD BE'!$AD$50+'TUSD BE'!$AL$50</f>
        <v>225.47133215468813</v>
      </c>
    </row>
    <row r="51" spans="1:42" ht="11.25" customHeight="1" x14ac:dyDescent="0.25">
      <c r="A51" s="106"/>
      <c r="B51" s="18" t="s">
        <v>23</v>
      </c>
      <c r="C51" s="18" t="s">
        <v>44</v>
      </c>
      <c r="D51" s="18" t="s">
        <v>95</v>
      </c>
      <c r="E51" s="18" t="s">
        <v>25</v>
      </c>
      <c r="F51" s="18" t="s">
        <v>25</v>
      </c>
      <c r="G51" s="17" t="s">
        <v>84</v>
      </c>
      <c r="H51" s="17" t="s">
        <v>78</v>
      </c>
      <c r="I51" s="17">
        <f>'MERCADO TUSD'!$U$48</f>
        <v>0</v>
      </c>
      <c r="J51" s="15"/>
      <c r="L51" s="12">
        <f>'TUSD BE'!$L$51*'TUSD BE'!$L$68</f>
        <v>-8.0687454570029529E-2</v>
      </c>
      <c r="M51" s="12">
        <f>'TUSD BE'!$M$51*'TUSD BE'!$M$68</f>
        <v>-2.6788463634114672E-2</v>
      </c>
      <c r="N51" s="12">
        <f ca="1">'TUSD BE'!$N$51*'TUSD BE'!$N$68</f>
        <v>0</v>
      </c>
      <c r="O51" s="12">
        <f>'TUSD BE'!$O$51*'TUSD BE'!$O$68</f>
        <v>-2.273861876940069E-3</v>
      </c>
      <c r="P51" s="12">
        <f>'TUSD BE'!$P$51*'TUSD BE'!$P$68</f>
        <v>0</v>
      </c>
      <c r="Q51" s="12">
        <f>'TUSD BE'!$Q$51*'TUSD BE'!$Q$68</f>
        <v>-1.0379010336281125</v>
      </c>
      <c r="R51" s="12">
        <f>'TUSD BE'!$R$51*'TUSD BE'!$R$68</f>
        <v>-0.40912397039648096</v>
      </c>
      <c r="S51" s="12">
        <f>'TUSD BE'!$R$51*'TUSD BE'!$S$68</f>
        <v>0</v>
      </c>
      <c r="T51" s="12">
        <f ca="1">SUM($L$51:$S$51)</f>
        <v>-1.5567747841056776</v>
      </c>
      <c r="U51" s="12">
        <f>'TUSD BE'!$U$51*'TUSD BE'!$U$68</f>
        <v>4.0313207080727956E-2</v>
      </c>
      <c r="V51" s="12">
        <f>'TUSD BE'!$V$51*'TUSD BE'!$V$68</f>
        <v>0</v>
      </c>
      <c r="W51" s="12">
        <f>'TUSD BE'!$W$51*'TUSD BE'!$W$68</f>
        <v>0</v>
      </c>
      <c r="X51" s="12">
        <f>'TUSD BE'!$X$51*'TUSD BE'!$X$68</f>
        <v>0</v>
      </c>
      <c r="Y51" s="12">
        <f>'TUSD BE'!$Y$51*'TUSD BE'!$Y$68</f>
        <v>-0.37087619084347284</v>
      </c>
      <c r="Z51" s="12">
        <f>'TUSD BE'!$Z$51*'TUSD BE'!$Z$68</f>
        <v>0</v>
      </c>
      <c r="AA51" s="12">
        <f>'TUSD BE'!$AA$51*'TUSD BE'!$AA$68</f>
        <v>0</v>
      </c>
      <c r="AB51" s="12">
        <f>SUM($U$51:$AA$51)</f>
        <v>-0.3305629837627449</v>
      </c>
      <c r="AC51" s="12">
        <f>'TUSD BE'!$AC$51*'TUSD BE'!$AC$68</f>
        <v>-1.2197978889191061</v>
      </c>
      <c r="AD51" s="12">
        <f>SUM($AC$51:$AC$51)</f>
        <v>-1.2197978889191061</v>
      </c>
      <c r="AE51" s="12">
        <f ca="1">$AO$51*$AO$65</f>
        <v>-26.372298391919237</v>
      </c>
      <c r="AF51" s="12">
        <f ca="1">$AP$51*$AP$65</f>
        <v>0</v>
      </c>
      <c r="AG51" s="12">
        <f ca="1">SUM($AE$51:$AF$51)</f>
        <v>-26.372298391919237</v>
      </c>
      <c r="AH51" s="12">
        <f>'TUSD BE'!$AH$51*'TUSD BE'!$AH$68</f>
        <v>-0.951786665353481</v>
      </c>
      <c r="AI51" s="12">
        <f>'TUSD BE'!$AI$51*'TUSD BE'!$AI$68</f>
        <v>-2.2440531411773292E-2</v>
      </c>
      <c r="AJ51" s="12">
        <f ca="1">'TUSD BE'!$AJ$51*'TUSD BE'!$AJ$68</f>
        <v>-0.14921947661280285</v>
      </c>
      <c r="AK51" s="12">
        <f ca="1">'TUSD BE'!$AK$51*'TUSD BE'!$AK$68</f>
        <v>0</v>
      </c>
      <c r="AL51" s="12">
        <f ca="1">SUM($AH$51:$AK$51)</f>
        <v>-1.123446673378057</v>
      </c>
      <c r="AM51" s="12">
        <f ca="1">SUMIF($L$4:$AL$4,"SUBTOTAL",$L$51:$AL$51)</f>
        <v>-30.602880722084823</v>
      </c>
      <c r="AO51" s="20">
        <f ca="1">+'TUSD BE'!$T$51+'TUSD BE'!$AB$51+'TUSD BE'!$AD$51+'TUSD BE'!$AL$51</f>
        <v>311.12495554544228</v>
      </c>
      <c r="AP51" s="20">
        <f ca="1">+'TUSD BE'!$T$51+'TUSD BE'!$AB$51+'TUSD BE'!$AD$51+'TUSD BE'!$AL$51</f>
        <v>311.12495554544228</v>
      </c>
    </row>
    <row r="52" spans="1:42" ht="11.25" customHeight="1" x14ac:dyDescent="0.25">
      <c r="A52" s="106"/>
      <c r="B52" s="106" t="s">
        <v>93</v>
      </c>
      <c r="C52" s="106" t="s">
        <v>44</v>
      </c>
      <c r="D52" s="18" t="s">
        <v>25</v>
      </c>
      <c r="E52" s="18" t="s">
        <v>25</v>
      </c>
      <c r="F52" s="18" t="s">
        <v>25</v>
      </c>
      <c r="G52" s="17" t="s">
        <v>84</v>
      </c>
      <c r="H52" s="17" t="s">
        <v>78</v>
      </c>
      <c r="I52" s="17">
        <f>'MERCADO TUSD'!$U$49</f>
        <v>0</v>
      </c>
      <c r="J52" s="15"/>
      <c r="L52" s="12">
        <f>'TUSD BE'!$L$52*'TUSD BE'!$L$68</f>
        <v>-8.0687454570029529E-2</v>
      </c>
      <c r="M52" s="12">
        <f>'TUSD BE'!$M$52*'TUSD BE'!$M$68</f>
        <v>-2.6788463634114672E-2</v>
      </c>
      <c r="N52" s="12">
        <f ca="1">'TUSD BE'!$N$52*'TUSD BE'!$N$68</f>
        <v>0</v>
      </c>
      <c r="O52" s="12">
        <f>'TUSD BE'!$O$52*'TUSD BE'!$O$68</f>
        <v>-2.273861876940069E-3</v>
      </c>
      <c r="P52" s="12">
        <f>'TUSD BE'!$P$52*'TUSD BE'!$P$68</f>
        <v>0</v>
      </c>
      <c r="Q52" s="12">
        <f>'TUSD BE'!$Q$52*'TUSD BE'!$Q$68</f>
        <v>-1.0379010336281125</v>
      </c>
      <c r="R52" s="12">
        <f>'TUSD BE'!$R$52*'TUSD BE'!$R$68</f>
        <v>-0.40912397039648096</v>
      </c>
      <c r="S52" s="12">
        <f>'TUSD BE'!$R$52*'TUSD BE'!$S$68</f>
        <v>0</v>
      </c>
      <c r="T52" s="12">
        <f ca="1">SUM($L$52:$S$52)</f>
        <v>-1.5567747841056776</v>
      </c>
      <c r="U52" s="12">
        <f>'TUSD BE'!$U$52*'TUSD BE'!$U$68</f>
        <v>4.0313207080727956E-2</v>
      </c>
      <c r="V52" s="12">
        <f>'TUSD BE'!$V$52*'TUSD BE'!$V$68</f>
        <v>0</v>
      </c>
      <c r="W52" s="12">
        <f>'TUSD BE'!$W$52*'TUSD BE'!$W$68</f>
        <v>0</v>
      </c>
      <c r="X52" s="12">
        <f>'TUSD BE'!$X$52*'TUSD BE'!$X$68</f>
        <v>0</v>
      </c>
      <c r="Y52" s="12">
        <f>'TUSD BE'!$Y$52*'TUSD BE'!$Y$68</f>
        <v>-0.37087619084347284</v>
      </c>
      <c r="Z52" s="12">
        <f>'TUSD BE'!$Z$52*'TUSD BE'!$Z$68</f>
        <v>0</v>
      </c>
      <c r="AA52" s="12">
        <f>'TUSD BE'!$AA$52*'TUSD BE'!$AA$68</f>
        <v>0</v>
      </c>
      <c r="AB52" s="12">
        <f>SUM($U$52:$AA$52)</f>
        <v>-0.3305629837627449</v>
      </c>
      <c r="AC52" s="12">
        <f>'TUSD BE'!$AC$52*'TUSD BE'!$AC$68</f>
        <v>-1.2197978889191061</v>
      </c>
      <c r="AD52" s="12">
        <f>SUM($AC$52:$AC$52)</f>
        <v>-1.2197978889191061</v>
      </c>
      <c r="AE52" s="12">
        <f ca="1">$AO$52*$AO$65</f>
        <v>-26.372298391919237</v>
      </c>
      <c r="AF52" s="12">
        <f ca="1">$AP$52*$AP$65</f>
        <v>0</v>
      </c>
      <c r="AG52" s="12">
        <f ca="1">SUM($AE$52:$AF$52)</f>
        <v>-26.372298391919237</v>
      </c>
      <c r="AH52" s="12">
        <f>'TUSD BE'!$AH$52*'TUSD BE'!$AH$68</f>
        <v>-0.951786665353481</v>
      </c>
      <c r="AI52" s="12">
        <f>'TUSD BE'!$AI$52*'TUSD BE'!$AI$68</f>
        <v>-2.2440531411773292E-2</v>
      </c>
      <c r="AJ52" s="12">
        <f ca="1">'TUSD BE'!$AJ$52*'TUSD BE'!$AJ$68</f>
        <v>-0.14921947661280285</v>
      </c>
      <c r="AK52" s="12">
        <f ca="1">'TUSD BE'!$AK$52*'TUSD BE'!$AK$68</f>
        <v>0</v>
      </c>
      <c r="AL52" s="12">
        <f ca="1">SUM($AH$52:$AK$52)</f>
        <v>-1.123446673378057</v>
      </c>
      <c r="AM52" s="12">
        <f ca="1">SUMIF($L$4:$AL$4,"SUBTOTAL",$L$52:$AL$52)</f>
        <v>-30.602880722084823</v>
      </c>
      <c r="AO52" s="20">
        <f ca="1">+'TUSD BE'!$T$52+'TUSD BE'!$AB$52+'TUSD BE'!$AD$52+'TUSD BE'!$AL$52</f>
        <v>311.12495554544228</v>
      </c>
      <c r="AP52" s="20">
        <f ca="1">+'TUSD BE'!$T$52+'TUSD BE'!$AB$52+'TUSD BE'!$AD$52+'TUSD BE'!$AL$52</f>
        <v>311.12495554544228</v>
      </c>
    </row>
    <row r="53" spans="1:42" ht="11.25" customHeight="1" x14ac:dyDescent="0.25">
      <c r="A53" s="106"/>
      <c r="B53" s="106"/>
      <c r="C53" s="106"/>
      <c r="D53" s="18" t="s">
        <v>94</v>
      </c>
      <c r="E53" s="18" t="s">
        <v>25</v>
      </c>
      <c r="F53" s="18" t="s">
        <v>25</v>
      </c>
      <c r="G53" s="17" t="s">
        <v>84</v>
      </c>
      <c r="H53" s="17" t="s">
        <v>78</v>
      </c>
      <c r="I53" s="17">
        <f>'MERCADO TUSD'!$U$50</f>
        <v>0</v>
      </c>
      <c r="J53" s="15"/>
      <c r="L53" s="12">
        <f>'TUSD BE'!$L$53*'TUSD BE'!$L$68</f>
        <v>-8.0687454570029529E-2</v>
      </c>
      <c r="M53" s="12">
        <f>'TUSD BE'!$M$53*'TUSD BE'!$M$68</f>
        <v>-2.6788463634114672E-2</v>
      </c>
      <c r="N53" s="12">
        <f ca="1">'TUSD BE'!$N$53*'TUSD BE'!$N$68</f>
        <v>0</v>
      </c>
      <c r="O53" s="12">
        <f>'TUSD BE'!$O$53*'TUSD BE'!$O$68</f>
        <v>-2.273861876940069E-3</v>
      </c>
      <c r="P53" s="12">
        <f>'TUSD BE'!$P$53*'TUSD BE'!$P$68</f>
        <v>0</v>
      </c>
      <c r="Q53" s="12">
        <f>'TUSD BE'!$Q$53*'TUSD BE'!$Q$68</f>
        <v>-1.0379010336281125</v>
      </c>
      <c r="R53" s="12">
        <f>'TUSD BE'!$R$53*'TUSD BE'!$R$68</f>
        <v>-0.40912397039648096</v>
      </c>
      <c r="S53" s="12">
        <f>'TUSD BE'!$R$53*'TUSD BE'!$S$68</f>
        <v>0</v>
      </c>
      <c r="T53" s="12">
        <f ca="1">SUM($L$53:$S$53)</f>
        <v>-1.5567747841056776</v>
      </c>
      <c r="U53" s="12">
        <f>'TUSD BE'!$U$53*'TUSD BE'!$U$68</f>
        <v>4.0313207080727956E-2</v>
      </c>
      <c r="V53" s="12">
        <f>'TUSD BE'!$V$53*'TUSD BE'!$V$68</f>
        <v>0</v>
      </c>
      <c r="W53" s="12">
        <f>'TUSD BE'!$W$53*'TUSD BE'!$W$68</f>
        <v>0</v>
      </c>
      <c r="X53" s="12">
        <f>'TUSD BE'!$X$53*'TUSD BE'!$X$68</f>
        <v>0</v>
      </c>
      <c r="Y53" s="12">
        <f>'TUSD BE'!$Y$53*'TUSD BE'!$Y$68</f>
        <v>-0.37087619084347284</v>
      </c>
      <c r="Z53" s="12">
        <f>'TUSD BE'!$Z$53*'TUSD BE'!$Z$68</f>
        <v>0</v>
      </c>
      <c r="AA53" s="12">
        <f>'TUSD BE'!$AA$53*'TUSD BE'!$AA$68</f>
        <v>0</v>
      </c>
      <c r="AB53" s="12">
        <f>SUM($U$53:$AA$53)</f>
        <v>-0.3305629837627449</v>
      </c>
      <c r="AC53" s="12">
        <f>'TUSD BE'!$AC$53*'TUSD BE'!$AC$68</f>
        <v>-1.2197978889191061</v>
      </c>
      <c r="AD53" s="12">
        <f>SUM($AC$53:$AC$53)</f>
        <v>-1.2197978889191061</v>
      </c>
      <c r="AE53" s="12">
        <f ca="1">$AO$53*$AO$65</f>
        <v>-26.372298391919237</v>
      </c>
      <c r="AF53" s="12">
        <f ca="1">$AP$53*$AP$65</f>
        <v>0</v>
      </c>
      <c r="AG53" s="12">
        <f ca="1">SUM($AE$53:$AF$53)</f>
        <v>-26.372298391919237</v>
      </c>
      <c r="AH53" s="12">
        <f>'TUSD BE'!$AH$53*'TUSD BE'!$AH$68</f>
        <v>-0.951786665353481</v>
      </c>
      <c r="AI53" s="12">
        <f>'TUSD BE'!$AI$53*'TUSD BE'!$AI$68</f>
        <v>-2.2440531411773292E-2</v>
      </c>
      <c r="AJ53" s="12">
        <f ca="1">'TUSD BE'!$AJ$53*'TUSD BE'!$AJ$68</f>
        <v>-0.14921947661280285</v>
      </c>
      <c r="AK53" s="12">
        <f ca="1">'TUSD BE'!$AK$53*'TUSD BE'!$AK$68</f>
        <v>0</v>
      </c>
      <c r="AL53" s="12">
        <f ca="1">SUM($AH$53:$AK$53)</f>
        <v>-1.123446673378057</v>
      </c>
      <c r="AM53" s="12">
        <f ca="1">SUMIF($L$4:$AL$4,"SUBTOTAL",$L$53:$AL$53)</f>
        <v>-30.602880722084823</v>
      </c>
      <c r="AO53" s="20">
        <f ca="1">+'TUSD BE'!$T$53+'TUSD BE'!$AB$53+'TUSD BE'!$AD$53+'TUSD BE'!$AL$53</f>
        <v>311.12495554544228</v>
      </c>
      <c r="AP53" s="20">
        <f ca="1">+'TUSD BE'!$T$53+'TUSD BE'!$AB$53+'TUSD BE'!$AD$53+'TUSD BE'!$AL$53</f>
        <v>311.12495554544228</v>
      </c>
    </row>
    <row r="54" spans="1:42" ht="11.25" customHeight="1" x14ac:dyDescent="0.25">
      <c r="A54" s="106"/>
      <c r="B54" s="106"/>
      <c r="C54" s="106"/>
      <c r="D54" s="18" t="s">
        <v>95</v>
      </c>
      <c r="E54" s="18" t="s">
        <v>25</v>
      </c>
      <c r="F54" s="18" t="s">
        <v>25</v>
      </c>
      <c r="G54" s="17" t="s">
        <v>84</v>
      </c>
      <c r="H54" s="17" t="s">
        <v>78</v>
      </c>
      <c r="I54" s="17">
        <f>'MERCADO TUSD'!$U$51</f>
        <v>0</v>
      </c>
      <c r="J54" s="15"/>
      <c r="L54" s="12">
        <f>'TUSD BE'!$L$54*'TUSD BE'!$L$68</f>
        <v>-8.0687454570029529E-2</v>
      </c>
      <c r="M54" s="12">
        <f>'TUSD BE'!$M$54*'TUSD BE'!$M$68</f>
        <v>-2.6788463634114672E-2</v>
      </c>
      <c r="N54" s="12">
        <f ca="1">'TUSD BE'!$N$54*'TUSD BE'!$N$68</f>
        <v>0</v>
      </c>
      <c r="O54" s="12">
        <f>'TUSD BE'!$O$54*'TUSD BE'!$O$68</f>
        <v>-2.273861876940069E-3</v>
      </c>
      <c r="P54" s="12">
        <f>'TUSD BE'!$P$54*'TUSD BE'!$P$68</f>
        <v>0</v>
      </c>
      <c r="Q54" s="12">
        <f>'TUSD BE'!$Q$54*'TUSD BE'!$Q$68</f>
        <v>-1.0379010336281125</v>
      </c>
      <c r="R54" s="12">
        <f>'TUSD BE'!$R$54*'TUSD BE'!$R$68</f>
        <v>-0.40912397039648096</v>
      </c>
      <c r="S54" s="12">
        <f>'TUSD BE'!$R$54*'TUSD BE'!$S$68</f>
        <v>0</v>
      </c>
      <c r="T54" s="12">
        <f ca="1">SUM($L$54:$S$54)</f>
        <v>-1.5567747841056776</v>
      </c>
      <c r="U54" s="12">
        <f>'TUSD BE'!$U$54*'TUSD BE'!$U$68</f>
        <v>4.0313207080727956E-2</v>
      </c>
      <c r="V54" s="12">
        <f>'TUSD BE'!$V$54*'TUSD BE'!$V$68</f>
        <v>0</v>
      </c>
      <c r="W54" s="12">
        <f>'TUSD BE'!$W$54*'TUSD BE'!$W$68</f>
        <v>0</v>
      </c>
      <c r="X54" s="12">
        <f>'TUSD BE'!$X$54*'TUSD BE'!$X$68</f>
        <v>0</v>
      </c>
      <c r="Y54" s="12">
        <f>'TUSD BE'!$Y$54*'TUSD BE'!$Y$68</f>
        <v>-0.37087619084347284</v>
      </c>
      <c r="Z54" s="12">
        <f>'TUSD BE'!$Z$54*'TUSD BE'!$Z$68</f>
        <v>0</v>
      </c>
      <c r="AA54" s="12">
        <f>'TUSD BE'!$AA$54*'TUSD BE'!$AA$68</f>
        <v>0</v>
      </c>
      <c r="AB54" s="12">
        <f>SUM($U$54:$AA$54)</f>
        <v>-0.3305629837627449</v>
      </c>
      <c r="AC54" s="12">
        <f>'TUSD BE'!$AC$54*'TUSD BE'!$AC$68</f>
        <v>-1.2197978889191061</v>
      </c>
      <c r="AD54" s="12">
        <f>SUM($AC$54:$AC$54)</f>
        <v>-1.2197978889191061</v>
      </c>
      <c r="AE54" s="12">
        <f ca="1">$AO$54*$AO$65</f>
        <v>-26.372298391919237</v>
      </c>
      <c r="AF54" s="12">
        <f ca="1">$AP$54*$AP$65</f>
        <v>0</v>
      </c>
      <c r="AG54" s="12">
        <f ca="1">SUM($AE$54:$AF$54)</f>
        <v>-26.372298391919237</v>
      </c>
      <c r="AH54" s="12">
        <f>'TUSD BE'!$AH$54*'TUSD BE'!$AH$68</f>
        <v>-0.951786665353481</v>
      </c>
      <c r="AI54" s="12">
        <f>'TUSD BE'!$AI$54*'TUSD BE'!$AI$68</f>
        <v>-2.2440531411773292E-2</v>
      </c>
      <c r="AJ54" s="12">
        <f ca="1">'TUSD BE'!$AJ$54*'TUSD BE'!$AJ$68</f>
        <v>-0.14921947661280285</v>
      </c>
      <c r="AK54" s="12">
        <f ca="1">'TUSD BE'!$AK$54*'TUSD BE'!$AK$68</f>
        <v>0</v>
      </c>
      <c r="AL54" s="12">
        <f ca="1">SUM($AH$54:$AK$54)</f>
        <v>-1.123446673378057</v>
      </c>
      <c r="AM54" s="12">
        <f ca="1">SUMIF($L$4:$AL$4,"SUBTOTAL",$L$54:$AL$54)</f>
        <v>-30.602880722084823</v>
      </c>
      <c r="AO54" s="20">
        <f ca="1">+'TUSD BE'!$T$54+'TUSD BE'!$AB$54+'TUSD BE'!$AD$54+'TUSD BE'!$AL$54</f>
        <v>311.12495554544228</v>
      </c>
      <c r="AP54" s="20">
        <f ca="1">+'TUSD BE'!$T$54+'TUSD BE'!$AB$54+'TUSD BE'!$AD$54+'TUSD BE'!$AL$54</f>
        <v>311.12495554544228</v>
      </c>
    </row>
    <row r="55" spans="1:42" ht="11.25" customHeight="1" x14ac:dyDescent="0.25">
      <c r="A55" s="106" t="s">
        <v>37</v>
      </c>
      <c r="B55" s="106" t="s">
        <v>33</v>
      </c>
      <c r="C55" s="106" t="s">
        <v>25</v>
      </c>
      <c r="D55" s="106" t="s">
        <v>25</v>
      </c>
      <c r="E55" s="106" t="s">
        <v>25</v>
      </c>
      <c r="F55" s="106" t="s">
        <v>25</v>
      </c>
      <c r="G55" s="17" t="s">
        <v>79</v>
      </c>
      <c r="H55" s="17" t="s">
        <v>78</v>
      </c>
      <c r="I55" s="17">
        <f>'MERCADO TUSD'!$U$52</f>
        <v>8.0860000000000003</v>
      </c>
      <c r="J55" s="15"/>
      <c r="L55" s="12">
        <f>'TUSD BE'!$L$55*'TUSD BE'!$L$68</f>
        <v>-8.0687454570029529E-2</v>
      </c>
      <c r="M55" s="12">
        <f>'TUSD BE'!$M$55*'TUSD BE'!$M$68</f>
        <v>-2.6788463634114672E-2</v>
      </c>
      <c r="N55" s="12">
        <f ca="1">'TUSD BE'!$N$55*'TUSD BE'!$N$68</f>
        <v>0</v>
      </c>
      <c r="O55" s="12">
        <f>'TUSD BE'!$O$55*'TUSD BE'!$O$68</f>
        <v>-2.273861876940069E-3</v>
      </c>
      <c r="P55" s="12">
        <f>'TUSD BE'!$P$55*'TUSD BE'!$P$68</f>
        <v>0</v>
      </c>
      <c r="Q55" s="12">
        <f>'TUSD BE'!$Q$55*'TUSD BE'!$Q$68</f>
        <v>-1.0379010336281125</v>
      </c>
      <c r="R55" s="12">
        <f>'TUSD BE'!$R$55*'TUSD BE'!$R$68</f>
        <v>-0.40912397039648096</v>
      </c>
      <c r="S55" s="12">
        <f>'TUSD BE'!$R$55*'TUSD BE'!$S$68</f>
        <v>0</v>
      </c>
      <c r="T55" s="12">
        <f ca="1">SUM($L$55:$S$55)</f>
        <v>-1.5567747841056776</v>
      </c>
      <c r="U55" s="12">
        <f>'TUSD BE'!$U$55*'TUSD BE'!$U$68</f>
        <v>0.13101839275376739</v>
      </c>
      <c r="V55" s="12">
        <f>'TUSD BE'!$V$55*'TUSD BE'!$V$68</f>
        <v>0</v>
      </c>
      <c r="W55" s="12">
        <f>'TUSD BE'!$W$55*'TUSD BE'!$W$68</f>
        <v>0</v>
      </c>
      <c r="X55" s="12">
        <f>'TUSD BE'!$X$55*'TUSD BE'!$X$68</f>
        <v>0</v>
      </c>
      <c r="Y55" s="12">
        <f>'TUSD BE'!$Y$55*'TUSD BE'!$Y$68</f>
        <v>-1.2053505204848856</v>
      </c>
      <c r="Z55" s="12">
        <f>'TUSD BE'!$Z$55*'TUSD BE'!$Z$68</f>
        <v>0</v>
      </c>
      <c r="AA55" s="12">
        <f>'TUSD BE'!$AA$55*'TUSD BE'!$AA$68</f>
        <v>0</v>
      </c>
      <c r="AB55" s="12">
        <f>SUM($U$55:$AA$55)</f>
        <v>-1.0743321277311182</v>
      </c>
      <c r="AC55" s="12">
        <f>'TUSD BE'!$AC$55*'TUSD BE'!$AC$68</f>
        <v>-3.9643435103807496</v>
      </c>
      <c r="AD55" s="12">
        <f>SUM($AC$55:$AC$55)</f>
        <v>-3.9643435103807496</v>
      </c>
      <c r="AE55" s="12">
        <f ca="1">$AO$55*$AO$65</f>
        <v>-71.749726299751728</v>
      </c>
      <c r="AF55" s="12">
        <f ca="1">$AP$55*$AP$65</f>
        <v>0</v>
      </c>
      <c r="AG55" s="12">
        <f ca="1">SUM($AE$55:$AF$55)</f>
        <v>-71.749726299751728</v>
      </c>
      <c r="AH55" s="12">
        <f>'TUSD BE'!$AH$55*'TUSD BE'!$AH$68</f>
        <v>-0.951786665353481</v>
      </c>
      <c r="AI55" s="12">
        <f>'TUSD BE'!$AI$55*'TUSD BE'!$AI$68</f>
        <v>-2.2440531411773292E-2</v>
      </c>
      <c r="AJ55" s="12">
        <f ca="1">'TUSD BE'!$AJ$55*'TUSD BE'!$AJ$68</f>
        <v>-0.14921947661280285</v>
      </c>
      <c r="AK55" s="12">
        <f ca="1">'TUSD BE'!$AK$55*'TUSD BE'!$AK$68</f>
        <v>0</v>
      </c>
      <c r="AL55" s="12">
        <f ca="1">SUM($AH$55:$AK$55)</f>
        <v>-1.123446673378057</v>
      </c>
      <c r="AM55" s="12">
        <f ca="1">SUMIF($L$4:$AL$4,"SUBTOTAL",$L$55:$AL$55)</f>
        <v>-79.468623395347322</v>
      </c>
      <c r="AO55" s="20">
        <f ca="1">+'TUSD BE'!$T$55+'TUSD BE'!$AB$55+'TUSD BE'!$AD$55+'TUSD BE'!$AL$55</f>
        <v>846.46131610007728</v>
      </c>
      <c r="AP55" s="20">
        <f ca="1">+'TUSD BE'!$T$55+'TUSD BE'!$AB$55+'TUSD BE'!$AD$55+'TUSD BE'!$AL$55</f>
        <v>846.46131610007728</v>
      </c>
    </row>
    <row r="56" spans="1:42" ht="11.25" customHeight="1" x14ac:dyDescent="0.25">
      <c r="A56" s="106"/>
      <c r="B56" s="106"/>
      <c r="C56" s="106"/>
      <c r="D56" s="106"/>
      <c r="E56" s="106"/>
      <c r="F56" s="106"/>
      <c r="G56" s="17" t="s">
        <v>91</v>
      </c>
      <c r="H56" s="17" t="s">
        <v>78</v>
      </c>
      <c r="I56" s="17">
        <f>'MERCADO TUSD'!$U$53</f>
        <v>8.0350000000000001</v>
      </c>
      <c r="J56" s="15"/>
      <c r="L56" s="12">
        <f>'TUSD BE'!$L$56*'TUSD BE'!$L$68</f>
        <v>-8.0687454570029529E-2</v>
      </c>
      <c r="M56" s="12">
        <f>'TUSD BE'!$M$56*'TUSD BE'!$M$68</f>
        <v>-2.6788463634114672E-2</v>
      </c>
      <c r="N56" s="12">
        <f ca="1">'TUSD BE'!$N$56*'TUSD BE'!$N$68</f>
        <v>0</v>
      </c>
      <c r="O56" s="12">
        <f>'TUSD BE'!$O$56*'TUSD BE'!$O$68</f>
        <v>-2.273861876940069E-3</v>
      </c>
      <c r="P56" s="12">
        <f>'TUSD BE'!$P$56*'TUSD BE'!$P$68</f>
        <v>0</v>
      </c>
      <c r="Q56" s="12">
        <f>'TUSD BE'!$Q$56*'TUSD BE'!$Q$68</f>
        <v>-1.0379010336281125</v>
      </c>
      <c r="R56" s="12">
        <f>'TUSD BE'!$R$56*'TUSD BE'!$R$68</f>
        <v>-0.40912397039648096</v>
      </c>
      <c r="S56" s="12">
        <f>'TUSD BE'!$R$56*'TUSD BE'!$S$68</f>
        <v>0</v>
      </c>
      <c r="T56" s="12">
        <f ca="1">SUM($L$56:$S$56)</f>
        <v>-1.5567747841056776</v>
      </c>
      <c r="U56" s="12">
        <f>'TUSD BE'!$U$56*'TUSD BE'!$U$68</f>
        <v>7.8610988678120289E-2</v>
      </c>
      <c r="V56" s="12">
        <f>'TUSD BE'!$V$56*'TUSD BE'!$V$68</f>
        <v>0</v>
      </c>
      <c r="W56" s="12">
        <f>'TUSD BE'!$W$56*'TUSD BE'!$W$68</f>
        <v>0</v>
      </c>
      <c r="X56" s="12">
        <f>'TUSD BE'!$X$56*'TUSD BE'!$X$68</f>
        <v>0</v>
      </c>
      <c r="Y56" s="12">
        <f>'TUSD BE'!$Y$56*'TUSD BE'!$Y$68</f>
        <v>-0.72321170440785887</v>
      </c>
      <c r="Z56" s="12">
        <f>'TUSD BE'!$Z$56*'TUSD BE'!$Z$68</f>
        <v>0</v>
      </c>
      <c r="AA56" s="12">
        <f>'TUSD BE'!$AA$56*'TUSD BE'!$AA$68</f>
        <v>0</v>
      </c>
      <c r="AB56" s="12">
        <f>SUM($U$56:$AA$56)</f>
        <v>-0.64460071572973854</v>
      </c>
      <c r="AC56" s="12">
        <f>'TUSD BE'!$AC$56*'TUSD BE'!$AC$68</f>
        <v>-2.378606254785911</v>
      </c>
      <c r="AD56" s="12">
        <f>SUM($AC$56:$AC$56)</f>
        <v>-2.378606254785911</v>
      </c>
      <c r="AE56" s="12">
        <f ca="1">$AO$56*$AO$65</f>
        <v>-45.531666458462119</v>
      </c>
      <c r="AF56" s="12">
        <f ca="1">$AP$56*$AP$65</f>
        <v>0</v>
      </c>
      <c r="AG56" s="12">
        <f ca="1">SUM($AE$56:$AF$56)</f>
        <v>-45.531666458462119</v>
      </c>
      <c r="AH56" s="12">
        <f>'TUSD BE'!$AH$56*'TUSD BE'!$AH$68</f>
        <v>-0.951786665353481</v>
      </c>
      <c r="AI56" s="12">
        <f>'TUSD BE'!$AI$56*'TUSD BE'!$AI$68</f>
        <v>-2.2440531411773292E-2</v>
      </c>
      <c r="AJ56" s="12">
        <f ca="1">'TUSD BE'!$AJ$56*'TUSD BE'!$AJ$68</f>
        <v>-0.14921947661280285</v>
      </c>
      <c r="AK56" s="12">
        <f ca="1">'TUSD BE'!$AK$56*'TUSD BE'!$AK$68</f>
        <v>0</v>
      </c>
      <c r="AL56" s="12">
        <f ca="1">SUM($AH$56:$AK$56)</f>
        <v>-1.123446673378057</v>
      </c>
      <c r="AM56" s="12">
        <f ca="1">SUMIF($L$4:$AL$4,"SUBTOTAL",$L$56:$AL$56)</f>
        <v>-51.235094886461503</v>
      </c>
      <c r="AO56" s="20">
        <f ca="1">+'TUSD BE'!$T$56+'TUSD BE'!$AB$56+'TUSD BE'!$AD$56+'TUSD BE'!$AL$56</f>
        <v>537.15597678583686</v>
      </c>
      <c r="AP56" s="20">
        <f ca="1">+'TUSD BE'!$T$56+'TUSD BE'!$AB$56+'TUSD BE'!$AD$56+'TUSD BE'!$AL$56</f>
        <v>537.15597678583686</v>
      </c>
    </row>
    <row r="57" spans="1:42" ht="11.25" customHeight="1" x14ac:dyDescent="0.25">
      <c r="A57" s="106"/>
      <c r="B57" s="106"/>
      <c r="C57" s="106"/>
      <c r="D57" s="106"/>
      <c r="E57" s="106"/>
      <c r="F57" s="106"/>
      <c r="G57" s="17" t="s">
        <v>80</v>
      </c>
      <c r="H57" s="17" t="s">
        <v>78</v>
      </c>
      <c r="I57" s="17">
        <f>'MERCADO TUSD'!$U$54</f>
        <v>133.73599999999999</v>
      </c>
      <c r="J57" s="15"/>
      <c r="L57" s="12">
        <f>'TUSD BE'!$L$57*'TUSD BE'!$L$68</f>
        <v>-8.0687454570029529E-2</v>
      </c>
      <c r="M57" s="12">
        <f>'TUSD BE'!$M$57*'TUSD BE'!$M$68</f>
        <v>-2.6788463634114672E-2</v>
      </c>
      <c r="N57" s="12">
        <f ca="1">'TUSD BE'!$N$57*'TUSD BE'!$N$68</f>
        <v>0</v>
      </c>
      <c r="O57" s="12">
        <f>'TUSD BE'!$O$57*'TUSD BE'!$O$68</f>
        <v>-2.273861876940069E-3</v>
      </c>
      <c r="P57" s="12">
        <f>'TUSD BE'!$P$57*'TUSD BE'!$P$68</f>
        <v>0</v>
      </c>
      <c r="Q57" s="12">
        <f>'TUSD BE'!$Q$57*'TUSD BE'!$Q$68</f>
        <v>-1.0379010336281125</v>
      </c>
      <c r="R57" s="12">
        <f>'TUSD BE'!$R$57*'TUSD BE'!$R$68</f>
        <v>-0.40912397039648096</v>
      </c>
      <c r="S57" s="12">
        <f>'TUSD BE'!$R$57*'TUSD BE'!$S$68</f>
        <v>0</v>
      </c>
      <c r="T57" s="12">
        <f ca="1">SUM($L$57:$S$57)</f>
        <v>-1.5567747841056776</v>
      </c>
      <c r="U57" s="12">
        <f>'TUSD BE'!$U$57*'TUSD BE'!$U$68</f>
        <v>2.6203584602473167E-2</v>
      </c>
      <c r="V57" s="12">
        <f>'TUSD BE'!$V$57*'TUSD BE'!$V$68</f>
        <v>0</v>
      </c>
      <c r="W57" s="12">
        <f>'TUSD BE'!$W$57*'TUSD BE'!$W$68</f>
        <v>0</v>
      </c>
      <c r="X57" s="12">
        <f>'TUSD BE'!$X$57*'TUSD BE'!$X$68</f>
        <v>0</v>
      </c>
      <c r="Y57" s="12">
        <f>'TUSD BE'!$Y$57*'TUSD BE'!$Y$68</f>
        <v>-0.24107056813595293</v>
      </c>
      <c r="Z57" s="12">
        <f>'TUSD BE'!$Z$57*'TUSD BE'!$Z$68</f>
        <v>0</v>
      </c>
      <c r="AA57" s="12">
        <f>'TUSD BE'!$AA$57*'TUSD BE'!$AA$68</f>
        <v>0</v>
      </c>
      <c r="AB57" s="12">
        <f>SUM($U$57:$AA$57)</f>
        <v>-0.21486698353347977</v>
      </c>
      <c r="AC57" s="12">
        <f>'TUSD BE'!$AC$57*'TUSD BE'!$AC$68</f>
        <v>-0.7928689991910729</v>
      </c>
      <c r="AD57" s="12">
        <f>SUM($AC$57:$AC$57)</f>
        <v>-0.7928689991910729</v>
      </c>
      <c r="AE57" s="12">
        <f ca="1">$AO$57*$AO$65</f>
        <v>-19.313597118754714</v>
      </c>
      <c r="AF57" s="12">
        <f ca="1">$AP$57*$AP$65</f>
        <v>0</v>
      </c>
      <c r="AG57" s="12">
        <f ca="1">SUM($AE$57:$AF$57)</f>
        <v>-19.313597118754714</v>
      </c>
      <c r="AH57" s="12">
        <f>'TUSD BE'!$AH$57*'TUSD BE'!$AH$68</f>
        <v>-0.951786665353481</v>
      </c>
      <c r="AI57" s="12">
        <f>'TUSD BE'!$AI$57*'TUSD BE'!$AI$68</f>
        <v>-2.2440531411773292E-2</v>
      </c>
      <c r="AJ57" s="12">
        <f ca="1">'TUSD BE'!$AJ$57*'TUSD BE'!$AJ$68</f>
        <v>-0.14921947661280285</v>
      </c>
      <c r="AK57" s="12">
        <f ca="1">'TUSD BE'!$AK$57*'TUSD BE'!$AK$68</f>
        <v>0</v>
      </c>
      <c r="AL57" s="12">
        <f ca="1">SUM($AH$57:$AK$57)</f>
        <v>-1.123446673378057</v>
      </c>
      <c r="AM57" s="12">
        <f ca="1">SUMIF($L$4:$AL$4,"SUBTOTAL",$L$57:$AL$57)</f>
        <v>-23.001554558963004</v>
      </c>
      <c r="AO57" s="20">
        <f ca="1">+'TUSD BE'!$T$57+'TUSD BE'!$AB$57+'TUSD BE'!$AD$57+'TUSD BE'!$AL$57</f>
        <v>227.85052541481741</v>
      </c>
      <c r="AP57" s="20">
        <f ca="1">+'TUSD BE'!$T$57+'TUSD BE'!$AB$57+'TUSD BE'!$AD$57+'TUSD BE'!$AL$57</f>
        <v>227.85052541481741</v>
      </c>
    </row>
    <row r="58" spans="1:42" ht="11.25" customHeight="1" x14ac:dyDescent="0.25">
      <c r="A58" s="106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84</v>
      </c>
      <c r="H58" s="17" t="s">
        <v>78</v>
      </c>
      <c r="I58" s="17">
        <f>'MERCADO TUSD'!$U$55</f>
        <v>94039.850999999995</v>
      </c>
      <c r="J58" s="15"/>
      <c r="L58" s="12">
        <f>'TUSD BE'!$L$58*'TUSD BE'!$L$68</f>
        <v>-8.0687454570029529E-2</v>
      </c>
      <c r="M58" s="12">
        <f>'TUSD BE'!$M$58*'TUSD BE'!$M$68</f>
        <v>-2.6788463634114672E-2</v>
      </c>
      <c r="N58" s="12">
        <f ca="1">'TUSD BE'!$N$58*'TUSD BE'!$N$68</f>
        <v>0</v>
      </c>
      <c r="O58" s="12">
        <f>'TUSD BE'!$O$58*'TUSD BE'!$O$68</f>
        <v>-2.273861876940069E-3</v>
      </c>
      <c r="P58" s="12">
        <f>'TUSD BE'!$P$58*'TUSD BE'!$P$68</f>
        <v>0</v>
      </c>
      <c r="Q58" s="12">
        <f>'TUSD BE'!$Q$58*'TUSD BE'!$Q$68</f>
        <v>-1.0379010336281125</v>
      </c>
      <c r="R58" s="12">
        <f>'TUSD BE'!$R$58*'TUSD BE'!$R$68</f>
        <v>-0.40912397039648096</v>
      </c>
      <c r="S58" s="12">
        <f>'TUSD BE'!$R$58*'TUSD BE'!$S$68</f>
        <v>0</v>
      </c>
      <c r="T58" s="12">
        <f ca="1">SUM($L$58:$S$58)</f>
        <v>-1.5567747841056776</v>
      </c>
      <c r="U58" s="12">
        <f>'TUSD BE'!$U$58*'TUSD BE'!$U$68</f>
        <v>4.0313207080727956E-2</v>
      </c>
      <c r="V58" s="12">
        <f>'TUSD BE'!$V$58*'TUSD BE'!$V$68</f>
        <v>0</v>
      </c>
      <c r="W58" s="12">
        <f>'TUSD BE'!$W$58*'TUSD BE'!$W$68</f>
        <v>0</v>
      </c>
      <c r="X58" s="12">
        <f>'TUSD BE'!$X$58*'TUSD BE'!$X$68</f>
        <v>0</v>
      </c>
      <c r="Y58" s="12">
        <f>'TUSD BE'!$Y$58*'TUSD BE'!$Y$68</f>
        <v>-0.37087619084347284</v>
      </c>
      <c r="Z58" s="12">
        <f>'TUSD BE'!$Z$58*'TUSD BE'!$Z$68</f>
        <v>0</v>
      </c>
      <c r="AA58" s="12">
        <f>'TUSD BE'!$AA$58*'TUSD BE'!$AA$68</f>
        <v>0</v>
      </c>
      <c r="AB58" s="12">
        <f>SUM($U$58:$AA$58)</f>
        <v>-0.3305629837627449</v>
      </c>
      <c r="AC58" s="12">
        <f>'TUSD BE'!$AC$58*'TUSD BE'!$AC$68</f>
        <v>-1.2197978889191061</v>
      </c>
      <c r="AD58" s="12">
        <f>SUM($AC$58:$AC$58)</f>
        <v>-1.2197978889191061</v>
      </c>
      <c r="AE58" s="12">
        <f ca="1">$AO$58*$AO$65</f>
        <v>-26.372298391919237</v>
      </c>
      <c r="AF58" s="12">
        <f ca="1">$AP$58*$AP$65</f>
        <v>0</v>
      </c>
      <c r="AG58" s="12">
        <f ca="1">SUM($AE$58:$AF$58)</f>
        <v>-26.372298391919237</v>
      </c>
      <c r="AH58" s="12">
        <f>'TUSD BE'!$AH$58*'TUSD BE'!$AH$68</f>
        <v>-0.951786665353481</v>
      </c>
      <c r="AI58" s="12">
        <f>'TUSD BE'!$AI$58*'TUSD BE'!$AI$68</f>
        <v>-2.2440531411773292E-2</v>
      </c>
      <c r="AJ58" s="12">
        <f ca="1">'TUSD BE'!$AJ$58*'TUSD BE'!$AJ$68</f>
        <v>-0.14921947661280285</v>
      </c>
      <c r="AK58" s="12">
        <f ca="1">'TUSD BE'!$AK$58*'TUSD BE'!$AK$68</f>
        <v>0</v>
      </c>
      <c r="AL58" s="12">
        <f ca="1">SUM($AH$58:$AK$58)</f>
        <v>-1.123446673378057</v>
      </c>
      <c r="AM58" s="12">
        <f ca="1">SUMIF($L$4:$AL$4,"SUBTOTAL",$L$58:$AL$58)</f>
        <v>-30.602880722084823</v>
      </c>
      <c r="AO58" s="20">
        <f ca="1">+'TUSD BE'!$T$58+'TUSD BE'!$AB$58+'TUSD BE'!$AD$58+'TUSD BE'!$AL$58</f>
        <v>311.12495554544228</v>
      </c>
      <c r="AP58" s="20">
        <f ca="1">+'TUSD BE'!$T$58+'TUSD BE'!$AB$58+'TUSD BE'!$AD$58+'TUSD BE'!$AL$58</f>
        <v>311.12495554544228</v>
      </c>
    </row>
    <row r="59" spans="1:42" ht="11.25" customHeight="1" x14ac:dyDescent="0.25">
      <c r="A59" s="106"/>
      <c r="B59" s="18" t="s">
        <v>93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84</v>
      </c>
      <c r="H59" s="17" t="s">
        <v>78</v>
      </c>
      <c r="I59" s="17">
        <f>'MERCADO TUSD'!$U$56</f>
        <v>0</v>
      </c>
      <c r="J59" s="15"/>
      <c r="L59" s="12">
        <f>'TUSD BE'!$L$59*'TUSD BE'!$L$68</f>
        <v>-8.0687454570029529E-2</v>
      </c>
      <c r="M59" s="12">
        <f>'TUSD BE'!$M$59*'TUSD BE'!$M$68</f>
        <v>-2.6788463634114672E-2</v>
      </c>
      <c r="N59" s="12">
        <f ca="1">'TUSD BE'!$N$59*'TUSD BE'!$N$68</f>
        <v>0</v>
      </c>
      <c r="O59" s="12">
        <f>'TUSD BE'!$O$59*'TUSD BE'!$O$68</f>
        <v>-2.273861876940069E-3</v>
      </c>
      <c r="P59" s="12">
        <f>'TUSD BE'!$P$59*'TUSD BE'!$P$68</f>
        <v>0</v>
      </c>
      <c r="Q59" s="12">
        <f>'TUSD BE'!$Q$59*'TUSD BE'!$Q$68</f>
        <v>-1.0379010336281125</v>
      </c>
      <c r="R59" s="12">
        <f>'TUSD BE'!$R$59*'TUSD BE'!$R$68</f>
        <v>-0.40912397039648096</v>
      </c>
      <c r="S59" s="12">
        <f>'TUSD BE'!$R$59*'TUSD BE'!$S$68</f>
        <v>0</v>
      </c>
      <c r="T59" s="12">
        <f ca="1">SUM($L$59:$S$59)</f>
        <v>-1.5567747841056776</v>
      </c>
      <c r="U59" s="12">
        <f>'TUSD BE'!$U$59*'TUSD BE'!$U$68</f>
        <v>4.0313207080727956E-2</v>
      </c>
      <c r="V59" s="12">
        <f>'TUSD BE'!$V$59*'TUSD BE'!$V$68</f>
        <v>0</v>
      </c>
      <c r="W59" s="12">
        <f>'TUSD BE'!$W$59*'TUSD BE'!$W$68</f>
        <v>0</v>
      </c>
      <c r="X59" s="12">
        <f>'TUSD BE'!$X$59*'TUSD BE'!$X$68</f>
        <v>0</v>
      </c>
      <c r="Y59" s="12">
        <f>'TUSD BE'!$Y$59*'TUSD BE'!$Y$68</f>
        <v>-0.37087619084347284</v>
      </c>
      <c r="Z59" s="12">
        <f>'TUSD BE'!$Z$59*'TUSD BE'!$Z$68</f>
        <v>0</v>
      </c>
      <c r="AA59" s="12">
        <f>'TUSD BE'!$AA$59*'TUSD BE'!$AA$68</f>
        <v>0</v>
      </c>
      <c r="AB59" s="12">
        <f>SUM($U$59:$AA$59)</f>
        <v>-0.3305629837627449</v>
      </c>
      <c r="AC59" s="12">
        <f>'TUSD BE'!$AC$59*'TUSD BE'!$AC$68</f>
        <v>-1.2197978889191061</v>
      </c>
      <c r="AD59" s="12">
        <f>SUM($AC$59:$AC$59)</f>
        <v>-1.2197978889191061</v>
      </c>
      <c r="AE59" s="12">
        <f ca="1">$AO$59*$AO$65</f>
        <v>-26.372298391919237</v>
      </c>
      <c r="AF59" s="12">
        <f ca="1">$AP$59*$AP$65</f>
        <v>0</v>
      </c>
      <c r="AG59" s="12">
        <f ca="1">SUM($AE$59:$AF$59)</f>
        <v>-26.372298391919237</v>
      </c>
      <c r="AH59" s="12">
        <f>'TUSD BE'!$AH$59*'TUSD BE'!$AH$68</f>
        <v>-0.951786665353481</v>
      </c>
      <c r="AI59" s="12">
        <f>'TUSD BE'!$AI$59*'TUSD BE'!$AI$68</f>
        <v>-2.2440531411773292E-2</v>
      </c>
      <c r="AJ59" s="12">
        <f ca="1">'TUSD BE'!$AJ$59*'TUSD BE'!$AJ$68</f>
        <v>-0.14921947661280285</v>
      </c>
      <c r="AK59" s="12">
        <f ca="1">'TUSD BE'!$AK$59*'TUSD BE'!$AK$68</f>
        <v>0</v>
      </c>
      <c r="AL59" s="12">
        <f ca="1">SUM($AH$59:$AK$59)</f>
        <v>-1.123446673378057</v>
      </c>
      <c r="AM59" s="12">
        <f ca="1">SUMIF($L$4:$AL$4,"SUBTOTAL",$L$59:$AL$59)</f>
        <v>-30.602880722084823</v>
      </c>
      <c r="AO59" s="20">
        <f ca="1">+'TUSD BE'!$T$59+'TUSD BE'!$AB$59+'TUSD BE'!$AD$59+'TUSD BE'!$AL$59</f>
        <v>311.12495554544228</v>
      </c>
      <c r="AP59" s="20">
        <f ca="1">+'TUSD BE'!$T$59+'TUSD BE'!$AB$59+'TUSD BE'!$AD$59+'TUSD BE'!$AL$59</f>
        <v>311.12495554544228</v>
      </c>
    </row>
    <row r="60" spans="1:42" ht="11.25" customHeight="1" x14ac:dyDescent="0.25">
      <c r="A60" s="106" t="s">
        <v>46</v>
      </c>
      <c r="B60" s="106" t="s">
        <v>23</v>
      </c>
      <c r="C60" s="106" t="s">
        <v>47</v>
      </c>
      <c r="D60" s="18" t="s">
        <v>48</v>
      </c>
      <c r="E60" s="18" t="s">
        <v>25</v>
      </c>
      <c r="F60" s="18" t="s">
        <v>25</v>
      </c>
      <c r="G60" s="17" t="s">
        <v>84</v>
      </c>
      <c r="H60" s="17" t="s">
        <v>78</v>
      </c>
      <c r="I60" s="17">
        <f>'MERCADO TUSD'!$U$57</f>
        <v>35555.334999999999</v>
      </c>
      <c r="J60" s="15"/>
      <c r="L60" s="12">
        <f>'TUSD BE'!$L$60*'TUSD BE'!$L$68</f>
        <v>-4.437810001351624E-2</v>
      </c>
      <c r="M60" s="12">
        <f>'TUSD BE'!$M$60*'TUSD BE'!$M$68</f>
        <v>-1.4733654998763071E-2</v>
      </c>
      <c r="N60" s="12">
        <f ca="1">'TUSD BE'!$N$60*'TUSD BE'!$N$68</f>
        <v>0</v>
      </c>
      <c r="O60" s="12">
        <f>'TUSD BE'!$O$60*'TUSD BE'!$O$68</f>
        <v>-1.250624032317038E-3</v>
      </c>
      <c r="P60" s="12">
        <f>'TUSD BE'!$P$60*'TUSD BE'!$P$68</f>
        <v>0</v>
      </c>
      <c r="Q60" s="12">
        <f>'TUSD BE'!$Q$60*'TUSD BE'!$Q$68</f>
        <v>-0.57084556849546186</v>
      </c>
      <c r="R60" s="12">
        <f>'TUSD BE'!$R$60*'TUSD BE'!$R$68</f>
        <v>-0.22501818371806454</v>
      </c>
      <c r="S60" s="12">
        <f>'TUSD BE'!$R$60*'TUSD BE'!$S$68</f>
        <v>0</v>
      </c>
      <c r="T60" s="12">
        <f ca="1">SUM($L$60:$S$60)</f>
        <v>-0.85622613125812275</v>
      </c>
      <c r="U60" s="12">
        <f>'TUSD BE'!$U$60*'TUSD BE'!$U$68</f>
        <v>2.2172263894400374E-2</v>
      </c>
      <c r="V60" s="12">
        <f>'TUSD BE'!$V$60*'TUSD BE'!$V$68</f>
        <v>0</v>
      </c>
      <c r="W60" s="12">
        <f>'TUSD BE'!$W$60*'TUSD BE'!$W$68</f>
        <v>0</v>
      </c>
      <c r="X60" s="12">
        <f>'TUSD BE'!$X$60*'TUSD BE'!$X$68</f>
        <v>0</v>
      </c>
      <c r="Y60" s="12">
        <f>'TUSD BE'!$Y$60*'TUSD BE'!$Y$68</f>
        <v>-0.20398190496391008</v>
      </c>
      <c r="Z60" s="12">
        <f>'TUSD BE'!$Z$60*'TUSD BE'!$Z$68</f>
        <v>0</v>
      </c>
      <c r="AA60" s="12">
        <f>'TUSD BE'!$AA$60*'TUSD BE'!$AA$68</f>
        <v>0</v>
      </c>
      <c r="AB60" s="12">
        <f>SUM($U$60:$AA$60)</f>
        <v>-0.1818096410695097</v>
      </c>
      <c r="AC60" s="12">
        <f>'TUSD BE'!$AC$60*'TUSD BE'!$AC$68</f>
        <v>-0.67088883890550843</v>
      </c>
      <c r="AD60" s="12">
        <f>SUM($AC$60:$AC$60)</f>
        <v>-0.67088883890550843</v>
      </c>
      <c r="AE60" s="12">
        <f ca="1">$AO$60*$AO$65</f>
        <v>-14.504764115555581</v>
      </c>
      <c r="AF60" s="12">
        <f ca="1">$AP$60*$AP$65</f>
        <v>0</v>
      </c>
      <c r="AG60" s="12">
        <f ca="1">SUM($AE$60:$AF$60)</f>
        <v>-14.504764115555581</v>
      </c>
      <c r="AH60" s="12">
        <f>'TUSD BE'!$AH$60*'TUSD BE'!$AH$68</f>
        <v>-0.5234826659444145</v>
      </c>
      <c r="AI60" s="12">
        <f>'TUSD BE'!$AI$60*'TUSD BE'!$AI$68</f>
        <v>-1.2342292276475311E-2</v>
      </c>
      <c r="AJ60" s="12">
        <f ca="1">'TUSD BE'!$AJ$60*'TUSD BE'!$AJ$68</f>
        <v>-8.2070712137041577E-2</v>
      </c>
      <c r="AK60" s="12">
        <f ca="1">'TUSD BE'!$AK$60*'TUSD BE'!$AK$68</f>
        <v>0</v>
      </c>
      <c r="AL60" s="12">
        <f ca="1">SUM($AH$60:$AK$60)</f>
        <v>-0.61789567035793136</v>
      </c>
      <c r="AM60" s="12">
        <f ca="1">SUMIF($L$4:$AL$4,"SUBTOTAL",$L$60:$AL$60)</f>
        <v>-16.831584397146653</v>
      </c>
      <c r="AO60" s="20">
        <f ca="1">+'TUSD BE'!$T$60+'TUSD BE'!$AB$60+'TUSD BE'!$AD$60+'TUSD BE'!$AL$60</f>
        <v>171.11872554999326</v>
      </c>
      <c r="AP60" s="20">
        <f ca="1">+'TUSD BE'!$T$60+'TUSD BE'!$AB$60+'TUSD BE'!$AD$60+'TUSD BE'!$AL$60</f>
        <v>171.11872554999326</v>
      </c>
    </row>
    <row r="61" spans="1:42" ht="11.25" customHeight="1" x14ac:dyDescent="0.25">
      <c r="A61" s="106"/>
      <c r="B61" s="106"/>
      <c r="C61" s="106"/>
      <c r="D61" s="17" t="s">
        <v>96</v>
      </c>
      <c r="E61" s="17" t="s">
        <v>25</v>
      </c>
      <c r="F61" s="17" t="s">
        <v>25</v>
      </c>
      <c r="G61" s="17" t="s">
        <v>84</v>
      </c>
      <c r="H61" s="17" t="s">
        <v>78</v>
      </c>
      <c r="I61" s="17">
        <f>'MERCADO TUSD'!$U$58</f>
        <v>0</v>
      </c>
      <c r="J61" s="15"/>
      <c r="L61" s="12">
        <f>'TUSD BE'!$L$61*'TUSD BE'!$L$68</f>
        <v>-4.8412472742017716E-2</v>
      </c>
      <c r="M61" s="12">
        <f>'TUSD BE'!$M$61*'TUSD BE'!$M$68</f>
        <v>-1.6073078180468804E-2</v>
      </c>
      <c r="N61" s="12">
        <f ca="1">'TUSD BE'!$N$61*'TUSD BE'!$N$68</f>
        <v>0</v>
      </c>
      <c r="O61" s="12">
        <f>'TUSD BE'!$O$61*'TUSD BE'!$O$68</f>
        <v>-1.3643171261640415E-3</v>
      </c>
      <c r="P61" s="12">
        <f>'TUSD BE'!$P$61*'TUSD BE'!$P$68</f>
        <v>0</v>
      </c>
      <c r="Q61" s="12">
        <f>'TUSD BE'!$Q$61*'TUSD BE'!$Q$68</f>
        <v>-0.62274062017686738</v>
      </c>
      <c r="R61" s="12">
        <f>'TUSD BE'!$R$61*'TUSD BE'!$R$68</f>
        <v>-0.24547438223788856</v>
      </c>
      <c r="S61" s="12">
        <f>'TUSD BE'!$R$61*'TUSD BE'!$S$68</f>
        <v>0</v>
      </c>
      <c r="T61" s="12">
        <f ca="1">SUM($L$61:$S$61)</f>
        <v>-0.93406487046340647</v>
      </c>
      <c r="U61" s="12">
        <f>'TUSD BE'!$U$61*'TUSD BE'!$U$68</f>
        <v>2.4187924248436774E-2</v>
      </c>
      <c r="V61" s="12">
        <f>'TUSD BE'!$V$61*'TUSD BE'!$V$68</f>
        <v>0</v>
      </c>
      <c r="W61" s="12">
        <f>'TUSD BE'!$W$61*'TUSD BE'!$W$68</f>
        <v>0</v>
      </c>
      <c r="X61" s="12">
        <f>'TUSD BE'!$X$61*'TUSD BE'!$X$68</f>
        <v>0</v>
      </c>
      <c r="Y61" s="12">
        <f>'TUSD BE'!$Y$61*'TUSD BE'!$Y$68</f>
        <v>-0.22252571450608366</v>
      </c>
      <c r="Z61" s="12">
        <f>'TUSD BE'!$Z$61*'TUSD BE'!$Z$68</f>
        <v>0</v>
      </c>
      <c r="AA61" s="12">
        <f>'TUSD BE'!$AA$61*'TUSD BE'!$AA$68</f>
        <v>0</v>
      </c>
      <c r="AB61" s="12">
        <f>SUM($U$61:$AA$61)</f>
        <v>-0.19833779025764689</v>
      </c>
      <c r="AC61" s="12">
        <f>'TUSD BE'!$AC$61*'TUSD BE'!$AC$68</f>
        <v>-0.73187873335146358</v>
      </c>
      <c r="AD61" s="12">
        <f>SUM($AC$61:$AC$61)</f>
        <v>-0.73187873335146358</v>
      </c>
      <c r="AE61" s="12">
        <f ca="1">$AO$61*$AO$65</f>
        <v>-15.823379035151543</v>
      </c>
      <c r="AF61" s="12">
        <f ca="1">$AP$61*$AP$65</f>
        <v>0</v>
      </c>
      <c r="AG61" s="12">
        <f ca="1">SUM($AE$61:$AF$61)</f>
        <v>-15.823379035151543</v>
      </c>
      <c r="AH61" s="12">
        <f>'TUSD BE'!$AH$61*'TUSD BE'!$AH$68</f>
        <v>-0.57107199921208862</v>
      </c>
      <c r="AI61" s="12">
        <f>'TUSD BE'!$AI$61*'TUSD BE'!$AI$68</f>
        <v>-1.3464318847063976E-2</v>
      </c>
      <c r="AJ61" s="12">
        <f ca="1">'TUSD BE'!$AJ$61*'TUSD BE'!$AJ$68</f>
        <v>-8.9531685967681712E-2</v>
      </c>
      <c r="AK61" s="12">
        <f ca="1">'TUSD BE'!$AK$61*'TUSD BE'!$AK$68</f>
        <v>0</v>
      </c>
      <c r="AL61" s="12">
        <f ca="1">SUM($AH$61:$AK$61)</f>
        <v>-0.67406800402683431</v>
      </c>
      <c r="AM61" s="12">
        <f ca="1">SUMIF($L$4:$AL$4,"SUBTOTAL",$L$61:$AL$61)</f>
        <v>-18.361728433250896</v>
      </c>
      <c r="AO61" s="20">
        <f ca="1">+'TUSD BE'!$T$61+'TUSD BE'!$AB$61+'TUSD BE'!$AD$61+'TUSD BE'!$AL$61</f>
        <v>186.67497332726538</v>
      </c>
      <c r="AP61" s="20">
        <f ca="1">+'TUSD BE'!$T$61+'TUSD BE'!$AB$61+'TUSD BE'!$AD$61+'TUSD BE'!$AL$61</f>
        <v>186.67497332726538</v>
      </c>
    </row>
    <row r="63" spans="1:42" ht="11.25" customHeight="1" x14ac:dyDescent="0.25">
      <c r="K63" s="16" t="s">
        <v>825</v>
      </c>
      <c r="L63" s="12">
        <f>SUMPRODUCT($I$5:$I61,$L$5:$L61)</f>
        <v>-45608.360377848039</v>
      </c>
      <c r="M63" s="12">
        <f>SUMPRODUCT($I$5:$I61,$M$5:$M61)</f>
        <v>-14166.53106511429</v>
      </c>
      <c r="N63" s="12">
        <f ca="1">SUMPRODUCT($I$5:$I61,$N$5:$N61)</f>
        <v>0</v>
      </c>
      <c r="O63" s="12">
        <f>SUMPRODUCT($I$5:$I61,$O$5:$O61)</f>
        <v>-1575.5005387090296</v>
      </c>
      <c r="P63" s="12">
        <f>SUMPRODUCT($I$5:$I61,$P$5:$P61)</f>
        <v>0</v>
      </c>
      <c r="Q63" s="12">
        <f>SUMPRODUCT($I$5:$I61,$Q$5:$Q61)</f>
        <v>-586670.68666997878</v>
      </c>
      <c r="R63" s="12">
        <f>SUMPRODUCT($I$5:$I61,$R$5:$R61)</f>
        <v>-255138.45347551777</v>
      </c>
      <c r="S63" s="12">
        <f>SUMPRODUCT($I$5:$I61,$S$5:$S61)</f>
        <v>0</v>
      </c>
      <c r="T63" s="12">
        <f ca="1">SUMPRODUCT($I$5:$I61,$T$5:$T61)</f>
        <v>-903159.53212716791</v>
      </c>
      <c r="U63" s="12">
        <f>SUMPRODUCT($I$5:$I61,$U$5:$U61)</f>
        <v>34307.246296391524</v>
      </c>
      <c r="V63" s="12">
        <f>SUMPRODUCT($I$5:$I61,$V$5:$V61)</f>
        <v>0</v>
      </c>
      <c r="W63" s="12">
        <f>SUMPRODUCT($I$5:$I61,$W$5:$W61)</f>
        <v>0</v>
      </c>
      <c r="X63" s="12">
        <f>SUMPRODUCT($I$5:$I61,$X$5:$X61)</f>
        <v>0</v>
      </c>
      <c r="Y63" s="12">
        <f>SUMPRODUCT($I$5:$I61,$Y$5:$Y61)</f>
        <v>-292431.97467562626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-258124.72837923482</v>
      </c>
      <c r="AC63" s="12">
        <f>SUMPRODUCT($I$5:$I61,$AC$5:$AC61)</f>
        <v>-645021.98149003857</v>
      </c>
      <c r="AD63" s="12">
        <f>SUMPRODUCT($I$5:$I61,$AD$5:$AD61)</f>
        <v>-645021.98149003857</v>
      </c>
      <c r="AE63" s="12">
        <f ca="1">SUMPRODUCT($I$5:$I61,$AE$5:$AE61)</f>
        <v>-14783834.877586795</v>
      </c>
      <c r="AF63" s="12">
        <f ca="1">SUMPRODUCT($I$5:$I61,$AF$5:$AF61)</f>
        <v>0</v>
      </c>
      <c r="AG63" s="12">
        <f ca="1">SUMPRODUCT($I$5:$I61,$AG$5:$AG61)</f>
        <v>-14783834.877586795</v>
      </c>
      <c r="AH63" s="12">
        <f>SUMPRODUCT($I$5:$I61,$AH$5:$AH61)</f>
        <v>-483878.17770503578</v>
      </c>
      <c r="AI63" s="12">
        <f>SUMPRODUCT($I$5:$I61,$AI$5:$AI61)</f>
        <v>-11408.52655487538</v>
      </c>
      <c r="AJ63" s="12">
        <f ca="1">SUMPRODUCT($I$5:$I61,$AJ$5:$AJ61)</f>
        <v>-86871.670010455389</v>
      </c>
      <c r="AK63" s="12">
        <f ca="1">SUMPRODUCT($I$5:$I61,$AK$5:$AK61)</f>
        <v>0</v>
      </c>
      <c r="AL63" s="12">
        <f ca="1">SUMPRODUCT($I$5:$I61,$AL$5:$AL61)</f>
        <v>-582158.37427036662</v>
      </c>
      <c r="AM63" s="12">
        <f ca="1">SUMPRODUCT($I$5:$I61,$AM$5:$AM61)</f>
        <v>-17172299.493853603</v>
      </c>
      <c r="AO63" s="17">
        <f ca="1">SUMPRODUCT($I$5:$I61,$AO$5:$AO61)</f>
        <v>174411039.21718574</v>
      </c>
      <c r="AP63" s="17">
        <f ca="1">SUMPRODUCT($I$5:$I61,$AP$5:$AP61)</f>
        <v>178646882.15607572</v>
      </c>
    </row>
    <row r="64" spans="1:42" ht="11.25" customHeight="1" x14ac:dyDescent="0.25">
      <c r="K64" s="16" t="s">
        <v>757</v>
      </c>
      <c r="L64" s="12">
        <f>'TR TUSD'!$L$66</f>
        <v>1032973.8005780317</v>
      </c>
      <c r="M64" s="12">
        <f>'TR TUSD'!$M$66</f>
        <v>430118.8978672598</v>
      </c>
      <c r="N64" s="12">
        <f>'TR TUSD'!$N$66</f>
        <v>1351473.5832748055</v>
      </c>
      <c r="O64" s="12">
        <f>'TR TUSD'!$O$66</f>
        <v>27638.035714285714</v>
      </c>
      <c r="P64" s="12">
        <f>'TR TUSD'!$P$66</f>
        <v>0</v>
      </c>
      <c r="Q64" s="12">
        <f>'TR TUSD'!$Q$66</f>
        <v>20358520.190000001</v>
      </c>
      <c r="R64" s="12">
        <f>'TR TUSD'!$R$66</f>
        <v>8961536.0506794378</v>
      </c>
      <c r="S64" s="12">
        <f>'TR TUSD'!$S$66</f>
        <v>0</v>
      </c>
      <c r="T64" s="12">
        <f>'TR TUSD'!$T$66</f>
        <v>32162260.558113821</v>
      </c>
      <c r="U64" s="12">
        <f>'TR TUSD'!$U$66</f>
        <v>14520413.184000002</v>
      </c>
      <c r="V64" s="12">
        <f>'TR TUSD'!$V$66</f>
        <v>3971557.3920000005</v>
      </c>
      <c r="W64" s="12">
        <f>'TR TUSD'!$W$66</f>
        <v>352974.387435015</v>
      </c>
      <c r="X64" s="12">
        <f>'TR TUSD'!$X$66</f>
        <v>0</v>
      </c>
      <c r="Y64" s="12">
        <f>'TR TUSD'!$Y$66</f>
        <v>13975762.558050001</v>
      </c>
      <c r="Z64" s="12">
        <f>'TR TUSD'!$Z$66</f>
        <v>0</v>
      </c>
      <c r="AA64" s="12">
        <f>'TR TUSD'!$AA$66</f>
        <v>0</v>
      </c>
      <c r="AB64" s="12">
        <f>'TR TUSD'!$AB$66</f>
        <v>32820707.521485016</v>
      </c>
      <c r="AC64" s="12">
        <f>'TR TUSD'!$AC$66</f>
        <v>103471211.26502535</v>
      </c>
      <c r="AD64" s="12">
        <f>'TR TUSD'!$AD$66</f>
        <v>103471211.26502535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8471966.8740926012</v>
      </c>
      <c r="AI64" s="12">
        <f>'TR TUSD'!$AI$66</f>
        <v>199745.85238276212</v>
      </c>
      <c r="AJ64" s="12">
        <f>'TR TUSD'!$AJ$66</f>
        <v>1520990.084976139</v>
      </c>
      <c r="AK64" s="12">
        <f>'TR TUSD'!$AK$66</f>
        <v>0</v>
      </c>
      <c r="AL64" s="12">
        <f>'TR TUSD'!$AL$66</f>
        <v>10192702.811451502</v>
      </c>
      <c r="AM64" s="12">
        <f>'TUSD BE'!$AM$64</f>
        <v>178646882.15607569</v>
      </c>
      <c r="AO64" s="17">
        <f>$AE$65</f>
        <v>-14783834.877586793</v>
      </c>
      <c r="AP64" s="17">
        <f>$AF$65</f>
        <v>0</v>
      </c>
    </row>
    <row r="65" spans="11:42" ht="11.25" customHeight="1" x14ac:dyDescent="0.25">
      <c r="K65" s="16" t="s">
        <v>758</v>
      </c>
      <c r="L65" s="12">
        <f>CUSTOS!$E$2</f>
        <v>-45608.360377848061</v>
      </c>
      <c r="M65" s="12">
        <f>CUSTOS!$E$3</f>
        <v>-14166.531065114292</v>
      </c>
      <c r="N65" s="12">
        <f>CUSTOS!$E$4</f>
        <v>0</v>
      </c>
      <c r="O65" s="12">
        <f>CUSTOS!$E$5</f>
        <v>-1575.5005387090303</v>
      </c>
      <c r="P65" s="12">
        <f>CUSTOS!$E$6</f>
        <v>0</v>
      </c>
      <c r="Q65" s="12">
        <f>CUSTOS!$E$7</f>
        <v>-586670.68666997878</v>
      </c>
      <c r="R65" s="12">
        <f>CUSTOS!$E$8</f>
        <v>-255138.45347551774</v>
      </c>
      <c r="S65" s="12">
        <f>CUSTOS!$E$9</f>
        <v>0</v>
      </c>
      <c r="T65" s="12">
        <f>CUSTOS!$E$10</f>
        <v>-903159.5321271678</v>
      </c>
      <c r="U65" s="12">
        <f>CUSTOS!$E$11</f>
        <v>34307.246296391517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-292431.97467562632</v>
      </c>
      <c r="Z65" s="12">
        <f>CUSTOS!$E$16</f>
        <v>0</v>
      </c>
      <c r="AA65" s="12">
        <f>CUSTOS!$E$17</f>
        <v>0</v>
      </c>
      <c r="AB65" s="12">
        <f>CUSTOS!$E$18</f>
        <v>-258124.72837923479</v>
      </c>
      <c r="AC65" s="12">
        <f>CUSTOS!$E$19</f>
        <v>-645021.98149003857</v>
      </c>
      <c r="AD65" s="12">
        <f>CUSTOS!$E$20</f>
        <v>-645021.98149003857</v>
      </c>
      <c r="AE65" s="12">
        <f>CUSTOS!$E$21</f>
        <v>-14783834.877586793</v>
      </c>
      <c r="AF65" s="12">
        <f>CUSTOS!$E$22</f>
        <v>0</v>
      </c>
      <c r="AG65" s="12">
        <f>CUSTOS!$E$23</f>
        <v>-14783834.877586793</v>
      </c>
      <c r="AH65" s="12">
        <f>CUSTOS!$E$24</f>
        <v>-483878.17770503578</v>
      </c>
      <c r="AI65" s="12">
        <f>CUSTOS!$E$25</f>
        <v>-11408.52655487538</v>
      </c>
      <c r="AJ65" s="12">
        <f>CUSTOS!$E$26</f>
        <v>-86871.670010455389</v>
      </c>
      <c r="AK65" s="12">
        <f>CUSTOS!$E$27</f>
        <v>0</v>
      </c>
      <c r="AL65" s="12">
        <f>CUSTOS!$E$28</f>
        <v>-582158.3742703665</v>
      </c>
      <c r="AM65" s="12">
        <f>CUSTOS!$E$29</f>
        <v>-17172299.493853599</v>
      </c>
      <c r="AO65" s="17">
        <f ca="1">IF(AO63&lt;&gt;0,AO64/AO63,0)</f>
        <v>-8.4764329964098148E-2</v>
      </c>
      <c r="AP65" s="17">
        <f ca="1">IF(AP63&lt;&gt;0,AP64/AP63,0)</f>
        <v>0</v>
      </c>
    </row>
    <row r="66" spans="11:42" ht="11.25" customHeight="1" x14ac:dyDescent="0.25">
      <c r="K66" s="16" t="s">
        <v>759</v>
      </c>
      <c r="L66" s="12">
        <f>CUSTOS!$F$2</f>
        <v>118299.57656469238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-9249.6930267323551</v>
      </c>
      <c r="R66" s="12">
        <f>CUSTOS!$F$8</f>
        <v>290912.54638488876</v>
      </c>
      <c r="S66" s="12">
        <f>CUSTOS!$F$9</f>
        <v>0</v>
      </c>
      <c r="T66" s="12">
        <f>CUSTOS!$F$10</f>
        <v>399962.42992284882</v>
      </c>
      <c r="U66" s="12">
        <f>CUSTOS!$F$11</f>
        <v>797866.15633681579</v>
      </c>
      <c r="V66" s="12">
        <f>CUSTOS!$F$12</f>
        <v>218228.72330642547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1016094.8796432413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1408323.2380520743</v>
      </c>
      <c r="AI66" s="12">
        <f>CUSTOS!$F$25</f>
        <v>33204.417556848966</v>
      </c>
      <c r="AJ66" s="12">
        <f>CUSTOS!$F$26</f>
        <v>252839.24186119085</v>
      </c>
      <c r="AK66" s="12">
        <f>CUSTOS!$F$27</f>
        <v>0</v>
      </c>
      <c r="AL66" s="12">
        <f>CUSTOS!$F$28</f>
        <v>1694366.8974701143</v>
      </c>
      <c r="AM66" s="12">
        <f>CUSTOS!$F$29</f>
        <v>3110424.2070362046</v>
      </c>
    </row>
    <row r="67" spans="11:42" ht="11.25" customHeight="1" x14ac:dyDescent="0.25">
      <c r="K67" s="16" t="s">
        <v>822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f>SUM($L$67:$S$67)</f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f>SUM($U$67:$AA$67)</f>
        <v>0</v>
      </c>
      <c r="AC67" s="12">
        <v>0</v>
      </c>
      <c r="AD67" s="12">
        <f>SUM($AC$67:$AC$67)</f>
        <v>0</v>
      </c>
      <c r="AE67" s="12">
        <v>0</v>
      </c>
      <c r="AF67" s="12">
        <v>0</v>
      </c>
      <c r="AG67" s="12">
        <f>SUM($AE$67:$AF$67)</f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f>SUM($AH$67:$AK$67)</f>
        <v>0</v>
      </c>
      <c r="AM67" s="12"/>
    </row>
    <row r="68" spans="11:42" ht="11.25" customHeight="1" x14ac:dyDescent="0.25">
      <c r="K68" s="16" t="s">
        <v>834</v>
      </c>
      <c r="L68" s="12">
        <f t="shared" ref="L68:R68" si="0">IF((L64-(0))&lt;&gt;0,(L66)/(L64-(0)),0)</f>
        <v>0.11452330785010645</v>
      </c>
      <c r="M68" s="12">
        <f t="shared" si="0"/>
        <v>0</v>
      </c>
      <c r="N68" s="12">
        <f t="shared" si="0"/>
        <v>0</v>
      </c>
      <c r="O68" s="12">
        <f t="shared" si="0"/>
        <v>0</v>
      </c>
      <c r="P68" s="12">
        <f t="shared" si="0"/>
        <v>0</v>
      </c>
      <c r="Q68" s="12">
        <f t="shared" si="0"/>
        <v>-4.5434014557088268E-4</v>
      </c>
      <c r="R68" s="12">
        <f t="shared" si="0"/>
        <v>3.2462352964906349E-2</v>
      </c>
      <c r="S68" s="12">
        <f>IF((R63-(0)&lt;&gt;0),(S65)/(R63-(0)),0)</f>
        <v>0</v>
      </c>
      <c r="T68" s="12"/>
      <c r="U68" s="12">
        <f t="shared" ref="U68:AA68" si="1">IF((U64-(0))&lt;&gt;0,(U66)/(U64-(0)),0)</f>
        <v>5.4947896194578127E-2</v>
      </c>
      <c r="V68" s="12">
        <f t="shared" si="1"/>
        <v>5.4947896194578127E-2</v>
      </c>
      <c r="W68" s="12">
        <f t="shared" si="1"/>
        <v>0</v>
      </c>
      <c r="X68" s="12">
        <f t="shared" si="1"/>
        <v>0</v>
      </c>
      <c r="Y68" s="12">
        <f t="shared" si="1"/>
        <v>0</v>
      </c>
      <c r="Z68" s="12">
        <f t="shared" si="1"/>
        <v>0</v>
      </c>
      <c r="AA68" s="12">
        <f t="shared" si="1"/>
        <v>0</v>
      </c>
      <c r="AB68" s="12"/>
      <c r="AC68" s="12">
        <f>IF((AC64-(0))&lt;&gt;0,(AC66)/(AC64-(0)),0)</f>
        <v>0</v>
      </c>
      <c r="AD68" s="12"/>
      <c r="AE68" s="12">
        <f ca="1">IF(($AM63-(0))&lt;&gt;0,(AE65)/($AM63-(0)),0)</f>
        <v>0.86091177730031432</v>
      </c>
      <c r="AF68" s="12">
        <f ca="1">IF(($AM63-(0))&lt;&gt;0,(AF65)/($AM63-(0)),0)</f>
        <v>0</v>
      </c>
      <c r="AG68" s="12"/>
      <c r="AH68" s="12">
        <f>IF((AH64-(0))&lt;&gt;0,(AH66)/(AH64-(0)),0)</f>
        <v>0.1662333268038084</v>
      </c>
      <c r="AI68" s="12">
        <f>IF((AI64-(0))&lt;&gt;0,(AI66)/(AI64-(0)),0)</f>
        <v>0.1662333268038084</v>
      </c>
      <c r="AJ68" s="12">
        <f>IF((AJ64-(0))&lt;&gt;0,(AJ66)/(AJ64-(0)),0)</f>
        <v>0.16623332680380842</v>
      </c>
      <c r="AK68" s="12">
        <f>IF((AK64-(0))&lt;&gt;0,(AK66)/(AK64-(0)),0)</f>
        <v>0</v>
      </c>
      <c r="AL68" s="12"/>
      <c r="AM68" s="12"/>
    </row>
  </sheetData>
  <mergeCells count="89">
    <mergeCell ref="E55:E57"/>
    <mergeCell ref="F55:F57"/>
    <mergeCell ref="A60:A61"/>
    <mergeCell ref="B60:B61"/>
    <mergeCell ref="C60:C61"/>
    <mergeCell ref="D55:D57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F23:F24"/>
    <mergeCell ref="A25:A26"/>
    <mergeCell ref="B25:B26"/>
    <mergeCell ref="C25:C26"/>
    <mergeCell ref="D25:D26"/>
    <mergeCell ref="B20:B24"/>
    <mergeCell ref="C20:C24"/>
    <mergeCell ref="D20:D24"/>
    <mergeCell ref="E20:E22"/>
    <mergeCell ref="F20:F22"/>
    <mergeCell ref="A12:A24"/>
    <mergeCell ref="E23:E24"/>
    <mergeCell ref="F12:F14"/>
    <mergeCell ref="B16:B18"/>
    <mergeCell ref="C16:C18"/>
    <mergeCell ref="D16:D18"/>
    <mergeCell ref="E16:E18"/>
    <mergeCell ref="F16:F18"/>
    <mergeCell ref="B12:B15"/>
    <mergeCell ref="C12:C15"/>
    <mergeCell ref="D12:D15"/>
    <mergeCell ref="E12:E14"/>
    <mergeCell ref="A1:A4"/>
    <mergeCell ref="C9:C11"/>
    <mergeCell ref="D9:D11"/>
    <mergeCell ref="E9:E11"/>
    <mergeCell ref="F9:F11"/>
    <mergeCell ref="F5:F7"/>
    <mergeCell ref="B9:B11"/>
    <mergeCell ref="A5:A11"/>
    <mergeCell ref="B5:B8"/>
    <mergeCell ref="C5:C8"/>
    <mergeCell ref="D5:D8"/>
    <mergeCell ref="E5:E7"/>
    <mergeCell ref="B1:B4"/>
    <mergeCell ref="C1:C4"/>
    <mergeCell ref="D1:D4"/>
    <mergeCell ref="E1:E4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conditionalFormatting sqref="L63">
    <cfRule type="cellIs" dxfId="1106" priority="55" operator="notEqual">
      <formula>$L$65</formula>
    </cfRule>
    <cfRule type="cellIs" dxfId="1105" priority="56" operator="equal">
      <formula>$L$65</formula>
    </cfRule>
  </conditionalFormatting>
  <conditionalFormatting sqref="M63">
    <cfRule type="cellIs" dxfId="1104" priority="53" operator="notEqual">
      <formula>$M$65</formula>
    </cfRule>
    <cfRule type="cellIs" dxfId="1103" priority="54" operator="equal">
      <formula>$M$65</formula>
    </cfRule>
  </conditionalFormatting>
  <conditionalFormatting sqref="N63">
    <cfRule type="cellIs" dxfId="1102" priority="51" operator="notEqual">
      <formula>$N$65</formula>
    </cfRule>
    <cfRule type="cellIs" dxfId="1101" priority="52" operator="equal">
      <formula>$N$65</formula>
    </cfRule>
  </conditionalFormatting>
  <conditionalFormatting sqref="O63">
    <cfRule type="cellIs" dxfId="1100" priority="49" operator="notEqual">
      <formula>$O$65</formula>
    </cfRule>
    <cfRule type="cellIs" dxfId="1099" priority="50" operator="equal">
      <formula>$O$65</formula>
    </cfRule>
  </conditionalFormatting>
  <conditionalFormatting sqref="P63">
    <cfRule type="cellIs" dxfId="1098" priority="47" operator="notEqual">
      <formula>$P$65</formula>
    </cfRule>
    <cfRule type="cellIs" dxfId="1097" priority="48" operator="equal">
      <formula>$P$65</formula>
    </cfRule>
  </conditionalFormatting>
  <conditionalFormatting sqref="Q63">
    <cfRule type="cellIs" dxfId="1096" priority="45" operator="notEqual">
      <formula>$Q$65</formula>
    </cfRule>
    <cfRule type="cellIs" dxfId="1095" priority="46" operator="equal">
      <formula>$Q$65</formula>
    </cfRule>
  </conditionalFormatting>
  <conditionalFormatting sqref="R63">
    <cfRule type="cellIs" dxfId="1094" priority="43" operator="notEqual">
      <formula>$R$65</formula>
    </cfRule>
    <cfRule type="cellIs" dxfId="1093" priority="44" operator="equal">
      <formula>$R$65</formula>
    </cfRule>
  </conditionalFormatting>
  <conditionalFormatting sqref="S63">
    <cfRule type="cellIs" dxfId="1092" priority="41" operator="notEqual">
      <formula>$S$65</formula>
    </cfRule>
    <cfRule type="cellIs" dxfId="1091" priority="42" operator="equal">
      <formula>$S$65</formula>
    </cfRule>
  </conditionalFormatting>
  <conditionalFormatting sqref="T63">
    <cfRule type="cellIs" dxfId="1090" priority="39" operator="notEqual">
      <formula>$T$65</formula>
    </cfRule>
    <cfRule type="cellIs" dxfId="1089" priority="40" operator="equal">
      <formula>$T$65</formula>
    </cfRule>
  </conditionalFormatting>
  <conditionalFormatting sqref="U63">
    <cfRule type="cellIs" dxfId="1088" priority="37" operator="notEqual">
      <formula>$U$65</formula>
    </cfRule>
    <cfRule type="cellIs" dxfId="1087" priority="38" operator="equal">
      <formula>$U$65</formula>
    </cfRule>
  </conditionalFormatting>
  <conditionalFormatting sqref="V63">
    <cfRule type="cellIs" dxfId="1086" priority="35" operator="notEqual">
      <formula>$V$65</formula>
    </cfRule>
    <cfRule type="cellIs" dxfId="1085" priority="36" operator="equal">
      <formula>$V$65</formula>
    </cfRule>
  </conditionalFormatting>
  <conditionalFormatting sqref="W63">
    <cfRule type="cellIs" dxfId="1084" priority="33" operator="notEqual">
      <formula>$W$65</formula>
    </cfRule>
    <cfRule type="cellIs" dxfId="1083" priority="34" operator="equal">
      <formula>$W$65</formula>
    </cfRule>
  </conditionalFormatting>
  <conditionalFormatting sqref="X63">
    <cfRule type="cellIs" dxfId="1082" priority="31" operator="notEqual">
      <formula>$X$65</formula>
    </cfRule>
    <cfRule type="cellIs" dxfId="1081" priority="32" operator="equal">
      <formula>$X$65</formula>
    </cfRule>
  </conditionalFormatting>
  <conditionalFormatting sqref="Y63">
    <cfRule type="cellIs" dxfId="1080" priority="29" operator="notEqual">
      <formula>$Y$65</formula>
    </cfRule>
    <cfRule type="cellIs" dxfId="1079" priority="30" operator="equal">
      <formula>$Y$65</formula>
    </cfRule>
  </conditionalFormatting>
  <conditionalFormatting sqref="Z63">
    <cfRule type="cellIs" dxfId="1078" priority="27" operator="notEqual">
      <formula>$Z$65</formula>
    </cfRule>
    <cfRule type="cellIs" dxfId="1077" priority="28" operator="equal">
      <formula>$Z$65</formula>
    </cfRule>
  </conditionalFormatting>
  <conditionalFormatting sqref="AA63">
    <cfRule type="cellIs" dxfId="1076" priority="25" operator="notEqual">
      <formula>$AA$65</formula>
    </cfRule>
    <cfRule type="cellIs" dxfId="1075" priority="26" operator="equal">
      <formula>$AA$65</formula>
    </cfRule>
  </conditionalFormatting>
  <conditionalFormatting sqref="AB63">
    <cfRule type="cellIs" dxfId="1074" priority="23" operator="notEqual">
      <formula>$AB$65</formula>
    </cfRule>
    <cfRule type="cellIs" dxfId="1073" priority="24" operator="equal">
      <formula>$AB$65</formula>
    </cfRule>
  </conditionalFormatting>
  <conditionalFormatting sqref="AC63">
    <cfRule type="cellIs" dxfId="1072" priority="21" operator="notEqual">
      <formula>$AC$65</formula>
    </cfRule>
    <cfRule type="cellIs" dxfId="1071" priority="22" operator="equal">
      <formula>$AC$65</formula>
    </cfRule>
  </conditionalFormatting>
  <conditionalFormatting sqref="AD63">
    <cfRule type="cellIs" dxfId="1070" priority="19" operator="notEqual">
      <formula>$AD$65</formula>
    </cfRule>
    <cfRule type="cellIs" dxfId="1069" priority="20" operator="equal">
      <formula>$AD$65</formula>
    </cfRule>
  </conditionalFormatting>
  <conditionalFormatting sqref="AE63">
    <cfRule type="cellIs" dxfId="1068" priority="17" operator="notEqual">
      <formula>$AE$65</formula>
    </cfRule>
    <cfRule type="cellIs" dxfId="1067" priority="18" operator="equal">
      <formula>$AE$65</formula>
    </cfRule>
  </conditionalFormatting>
  <conditionalFormatting sqref="AF63">
    <cfRule type="cellIs" dxfId="1066" priority="16" operator="equal">
      <formula>$AF$65</formula>
    </cfRule>
  </conditionalFormatting>
  <conditionalFormatting sqref="AF63">
    <cfRule type="cellIs" dxfId="1065" priority="15" operator="notEqual">
      <formula>$AF$65</formula>
    </cfRule>
  </conditionalFormatting>
  <conditionalFormatting sqref="AG63">
    <cfRule type="cellIs" dxfId="1064" priority="14" operator="equal">
      <formula>$AG$65</formula>
    </cfRule>
  </conditionalFormatting>
  <conditionalFormatting sqref="AG63">
    <cfRule type="cellIs" dxfId="1063" priority="13" operator="notEqual">
      <formula>$AG$65</formula>
    </cfRule>
  </conditionalFormatting>
  <conditionalFormatting sqref="AH63">
    <cfRule type="cellIs" dxfId="1062" priority="12" operator="equal">
      <formula>$AH$65</formula>
    </cfRule>
  </conditionalFormatting>
  <conditionalFormatting sqref="AH63">
    <cfRule type="cellIs" dxfId="1061" priority="11" operator="notEqual">
      <formula>$AH$65</formula>
    </cfRule>
  </conditionalFormatting>
  <conditionalFormatting sqref="AI63">
    <cfRule type="cellIs" dxfId="1060" priority="10" operator="equal">
      <formula>$AI$65</formula>
    </cfRule>
  </conditionalFormatting>
  <conditionalFormatting sqref="AI63">
    <cfRule type="cellIs" dxfId="1059" priority="9" operator="notEqual">
      <formula>$AI$65</formula>
    </cfRule>
  </conditionalFormatting>
  <conditionalFormatting sqref="AJ63">
    <cfRule type="cellIs" dxfId="1058" priority="8" operator="equal">
      <formula>$AJ$65</formula>
    </cfRule>
  </conditionalFormatting>
  <conditionalFormatting sqref="AJ63">
    <cfRule type="cellIs" dxfId="1057" priority="7" operator="notEqual">
      <formula>$AJ$65</formula>
    </cfRule>
  </conditionalFormatting>
  <conditionalFormatting sqref="AK63">
    <cfRule type="cellIs" dxfId="1056" priority="6" operator="equal">
      <formula>$AK$65</formula>
    </cfRule>
  </conditionalFormatting>
  <conditionalFormatting sqref="AK63">
    <cfRule type="cellIs" dxfId="1055" priority="5" operator="notEqual">
      <formula>$AK$65</formula>
    </cfRule>
  </conditionalFormatting>
  <conditionalFormatting sqref="AL63">
    <cfRule type="cellIs" dxfId="1054" priority="4" operator="equal">
      <formula>$AL$65</formula>
    </cfRule>
  </conditionalFormatting>
  <conditionalFormatting sqref="AL63">
    <cfRule type="cellIs" dxfId="1053" priority="3" operator="notEqual">
      <formula>$AL$65</formula>
    </cfRule>
  </conditionalFormatting>
  <conditionalFormatting sqref="AM63">
    <cfRule type="cellIs" dxfId="1052" priority="2" operator="equal">
      <formula>$AM$65</formula>
    </cfRule>
  </conditionalFormatting>
  <conditionalFormatting sqref="AM63">
    <cfRule type="cellIs" dxfId="1051" priority="1" operator="notEqual">
      <formula>$AM$65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C640-FA97-4330-857D-A1FC4FE3A105}">
  <dimension ref="A1:AP67"/>
  <sheetViews>
    <sheetView showGridLines="0" topLeftCell="Z45" workbookViewId="0">
      <selection activeCell="AO63" sqref="AO63:AP6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8.7109375" style="9" bestFit="1" customWidth="1"/>
    <col min="14" max="14" width="10" style="9" bestFit="1" customWidth="1"/>
    <col min="15" max="15" width="7.85546875" style="9" bestFit="1" customWidth="1"/>
    <col min="16" max="16" width="4.85546875" style="9" bestFit="1" customWidth="1"/>
    <col min="17" max="17" width="10.85546875" style="9" bestFit="1" customWidth="1"/>
    <col min="18" max="18" width="10" style="9" bestFit="1" customWidth="1"/>
    <col min="19" max="19" width="8.7109375" style="9" bestFit="1" customWidth="1"/>
    <col min="20" max="21" width="10.85546875" style="9" bestFit="1" customWidth="1"/>
    <col min="22" max="22" width="8.7109375" style="9" bestFit="1" customWidth="1"/>
    <col min="23" max="24" width="9.85546875" style="9" bestFit="1" customWidth="1"/>
    <col min="25" max="25" width="10.85546875" style="9" bestFit="1" customWidth="1"/>
    <col min="26" max="26" width="7.7109375" style="9" bestFit="1" customWidth="1"/>
    <col min="27" max="27" width="9.85546875" style="9" bestFit="1" customWidth="1"/>
    <col min="28" max="28" width="10.85546875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4.85546875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07" t="s">
        <v>68</v>
      </c>
      <c r="B1" s="107" t="s">
        <v>69</v>
      </c>
      <c r="C1" s="107" t="s">
        <v>70</v>
      </c>
      <c r="D1" s="107" t="s">
        <v>71</v>
      </c>
      <c r="E1" s="107" t="s">
        <v>72</v>
      </c>
      <c r="F1" s="107" t="s">
        <v>15</v>
      </c>
      <c r="G1" s="107" t="s">
        <v>74</v>
      </c>
      <c r="H1" s="107" t="s">
        <v>75</v>
      </c>
      <c r="I1" s="107" t="s">
        <v>816</v>
      </c>
      <c r="J1" s="95"/>
      <c r="L1" s="108" t="s">
        <v>836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O1" s="20"/>
      <c r="AP1" s="111" t="s">
        <v>818</v>
      </c>
    </row>
    <row r="2" spans="1:42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8" t="s">
        <v>716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H2" s="108"/>
      <c r="AI2" s="108"/>
      <c r="AJ2" s="108"/>
      <c r="AK2" s="108"/>
      <c r="AL2" s="108"/>
      <c r="AM2" s="108"/>
      <c r="AO2" s="20"/>
      <c r="AP2" s="112"/>
    </row>
    <row r="3" spans="1:42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8" t="s">
        <v>717</v>
      </c>
      <c r="M3" s="108"/>
      <c r="N3" s="108"/>
      <c r="O3" s="108"/>
      <c r="P3" s="108"/>
      <c r="Q3" s="108"/>
      <c r="R3" s="108"/>
      <c r="S3" s="108"/>
      <c r="T3" s="108"/>
      <c r="U3" s="108" t="s">
        <v>726</v>
      </c>
      <c r="V3" s="108"/>
      <c r="W3" s="108"/>
      <c r="X3" s="108"/>
      <c r="Y3" s="108"/>
      <c r="Z3" s="108"/>
      <c r="AA3" s="108"/>
      <c r="AB3" s="108"/>
      <c r="AC3" s="108" t="s">
        <v>734</v>
      </c>
      <c r="AD3" s="108"/>
      <c r="AE3" s="108" t="s">
        <v>736</v>
      </c>
      <c r="AF3" s="108"/>
      <c r="AG3" s="108"/>
      <c r="AH3" s="108" t="s">
        <v>739</v>
      </c>
      <c r="AI3" s="108"/>
      <c r="AJ3" s="108"/>
      <c r="AK3" s="108"/>
      <c r="AL3" s="108"/>
      <c r="AM3" s="108" t="s">
        <v>725</v>
      </c>
      <c r="AO3" s="20"/>
      <c r="AP3" s="112"/>
    </row>
    <row r="4" spans="1:42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10" t="s">
        <v>801</v>
      </c>
      <c r="M4" s="10" t="s">
        <v>718</v>
      </c>
      <c r="N4" s="10" t="s">
        <v>719</v>
      </c>
      <c r="O4" s="10" t="s">
        <v>720</v>
      </c>
      <c r="P4" s="10" t="s">
        <v>721</v>
      </c>
      <c r="Q4" s="10" t="s">
        <v>722</v>
      </c>
      <c r="R4" s="10" t="s">
        <v>723</v>
      </c>
      <c r="S4" s="10" t="s">
        <v>724</v>
      </c>
      <c r="T4" s="10" t="s">
        <v>725</v>
      </c>
      <c r="U4" s="10" t="s">
        <v>727</v>
      </c>
      <c r="V4" s="10" t="s">
        <v>728</v>
      </c>
      <c r="W4" s="10" t="s">
        <v>729</v>
      </c>
      <c r="X4" s="10" t="s">
        <v>730</v>
      </c>
      <c r="Y4" s="10" t="s">
        <v>731</v>
      </c>
      <c r="Z4" s="10" t="s">
        <v>732</v>
      </c>
      <c r="AA4" s="10" t="s">
        <v>733</v>
      </c>
      <c r="AB4" s="10" t="s">
        <v>725</v>
      </c>
      <c r="AC4" s="10" t="s">
        <v>735</v>
      </c>
      <c r="AD4" s="10" t="s">
        <v>725</v>
      </c>
      <c r="AE4" s="10" t="s">
        <v>737</v>
      </c>
      <c r="AF4" s="10" t="s">
        <v>738</v>
      </c>
      <c r="AG4" s="10" t="s">
        <v>725</v>
      </c>
      <c r="AH4" s="10" t="s">
        <v>740</v>
      </c>
      <c r="AI4" s="10" t="s">
        <v>741</v>
      </c>
      <c r="AJ4" s="10" t="s">
        <v>742</v>
      </c>
      <c r="AK4" s="10" t="s">
        <v>743</v>
      </c>
      <c r="AL4" s="10" t="s">
        <v>725</v>
      </c>
      <c r="AM4" s="110"/>
      <c r="AO4" s="21" t="s">
        <v>835</v>
      </c>
      <c r="AP4" s="113"/>
    </row>
    <row r="5" spans="1:42" ht="11.25" customHeight="1" x14ac:dyDescent="0.25">
      <c r="A5" s="106" t="s">
        <v>56</v>
      </c>
      <c r="B5" s="106" t="s">
        <v>40</v>
      </c>
      <c r="C5" s="106" t="s">
        <v>25</v>
      </c>
      <c r="D5" s="106" t="s">
        <v>25</v>
      </c>
      <c r="E5" s="106" t="s">
        <v>25</v>
      </c>
      <c r="F5" s="106" t="s">
        <v>25</v>
      </c>
      <c r="G5" s="17" t="s">
        <v>82</v>
      </c>
      <c r="H5" s="17" t="s">
        <v>81</v>
      </c>
      <c r="I5" s="17">
        <f>'MERCADO TUSD'!$U$2</f>
        <v>115925</v>
      </c>
      <c r="J5" s="15"/>
      <c r="L5" s="12">
        <f>'TUSD BE'!$L$5*'TUSD BF'!$L$68</f>
        <v>0</v>
      </c>
      <c r="M5" s="12">
        <f>'TUSD BE'!$M$5*'TUSD BF'!$M$68</f>
        <v>0</v>
      </c>
      <c r="N5" s="12">
        <f ca="1">'TUSD BE'!$N$5*'TUSD BF'!$N$68</f>
        <v>0</v>
      </c>
      <c r="O5" s="12">
        <f>'TUSD BE'!$O$5*'TUSD BF'!$O$68</f>
        <v>0</v>
      </c>
      <c r="P5" s="12">
        <f>'TUSD BE'!$P$5*'TUSD BF'!$P$68</f>
        <v>0</v>
      </c>
      <c r="Q5" s="12">
        <f>'TUSD BE'!$Q$5*'TUSD BF'!$Q$68</f>
        <v>0</v>
      </c>
      <c r="R5" s="12">
        <f>'TUSD BE'!$R$5*'TUSD BF'!$R$68</f>
        <v>0</v>
      </c>
      <c r="S5" s="12">
        <f>'TUSD BE'!$R$5*'TUSD BF'!$S$68</f>
        <v>0</v>
      </c>
      <c r="T5" s="12">
        <f ca="1">SUM($L$5:$S$5)</f>
        <v>0</v>
      </c>
      <c r="U5" s="12">
        <f>'TUSD BE'!$U$5*'TUSD BF'!$U$68</f>
        <v>0.22237549645199337</v>
      </c>
      <c r="V5" s="12">
        <f>'TUSD BE'!$V$5*'TUSD BF'!$V$68</f>
        <v>6.0482571705284649E-2</v>
      </c>
      <c r="W5" s="12">
        <f>'TUSD BE'!$W$5*'TUSD BF'!$W$68</f>
        <v>0</v>
      </c>
      <c r="X5" s="12">
        <f>'TUSD BE'!$X$5*'TUSD BF'!$X$68</f>
        <v>0</v>
      </c>
      <c r="Y5" s="12">
        <f>'TUSD BE'!$Y$5*'TUSD BF'!$Y$68</f>
        <v>0</v>
      </c>
      <c r="Z5" s="12">
        <f>'TUSD BE'!$Z$5*'TUSD BF'!$Z$68</f>
        <v>0</v>
      </c>
      <c r="AA5" s="12">
        <f>'TUSD BE'!$AA$5*'TUSD BF'!$AA$68</f>
        <v>0</v>
      </c>
      <c r="AB5" s="12">
        <f>SUM($U$5:$AA$5)</f>
        <v>0.28285806815727799</v>
      </c>
      <c r="AC5" s="12">
        <f>'TUSD BE'!$AC$5*'TUSD BF'!$AC$68</f>
        <v>0</v>
      </c>
      <c r="AD5" s="12">
        <f>SUM($AC$5:$AC$5)</f>
        <v>0</v>
      </c>
      <c r="AE5" s="12">
        <f ca="1">$AO$5*$AO$65</f>
        <v>0</v>
      </c>
      <c r="AF5" s="12">
        <f ca="1">$AP$5*$AP$65</f>
        <v>0</v>
      </c>
      <c r="AG5" s="12">
        <f ca="1">SUM($AE$5:$AF$5)</f>
        <v>0</v>
      </c>
      <c r="AH5" s="12">
        <f>'TUSD BE'!$AH$5*'TUSD BF'!$AH$68</f>
        <v>0</v>
      </c>
      <c r="AI5" s="12">
        <f>'TUSD BE'!$AI$5*'TUSD BF'!$AI$68</f>
        <v>0</v>
      </c>
      <c r="AJ5" s="12">
        <f ca="1">'TUSD BE'!$AJ$5*'TUSD BF'!$AJ$68</f>
        <v>0</v>
      </c>
      <c r="AK5" s="12">
        <f ca="1">'TUSD BE'!$AK$5*'TUSD BF'!$AK$68</f>
        <v>0</v>
      </c>
      <c r="AL5" s="12">
        <f ca="1">SUM($AH$5:$AK$5)</f>
        <v>0</v>
      </c>
      <c r="AM5" s="12">
        <f ca="1">SUMIF($L$4:$AL$4,"SUBTOTAL",$L$5:$AL$5)</f>
        <v>0.28285806815727799</v>
      </c>
      <c r="AO5" s="20">
        <f ca="1">+'TUSD BE'!$T$5+'TUSD BE'!$AB$5+'TUSD BE'!$AD$5+'TUSD BE'!$AL$5</f>
        <v>12.629016992670957</v>
      </c>
      <c r="AP5" s="20">
        <f ca="1">+'TUSD BE'!$T$5+'TUSD BE'!$AB$5+'TUSD BE'!$AD$5+'TUSD BE'!$AL$5</f>
        <v>12.629016992670957</v>
      </c>
    </row>
    <row r="6" spans="1:42" ht="11.25" customHeight="1" x14ac:dyDescent="0.25">
      <c r="A6" s="106"/>
      <c r="B6" s="106"/>
      <c r="C6" s="106"/>
      <c r="D6" s="106"/>
      <c r="E6" s="106"/>
      <c r="F6" s="106"/>
      <c r="G6" s="17" t="s">
        <v>83</v>
      </c>
      <c r="H6" s="17" t="s">
        <v>81</v>
      </c>
      <c r="I6" s="17">
        <f>'MERCADO TUSD'!$U$3</f>
        <v>117848</v>
      </c>
      <c r="J6" s="15"/>
      <c r="L6" s="12">
        <f>'TUSD BE'!$L$6*'TUSD BF'!$L$68</f>
        <v>0</v>
      </c>
      <c r="M6" s="12">
        <f>'TUSD BE'!$M$6*'TUSD BF'!$M$68</f>
        <v>0</v>
      </c>
      <c r="N6" s="12">
        <f ca="1">'TUSD BE'!$N$6*'TUSD BF'!$N$68</f>
        <v>0</v>
      </c>
      <c r="O6" s="12">
        <f>'TUSD BE'!$O$6*'TUSD BF'!$O$68</f>
        <v>0</v>
      </c>
      <c r="P6" s="12">
        <f>'TUSD BE'!$P$6*'TUSD BF'!$P$68</f>
        <v>0</v>
      </c>
      <c r="Q6" s="12">
        <f>'TUSD BE'!$Q$6*'TUSD BF'!$Q$68</f>
        <v>0</v>
      </c>
      <c r="R6" s="12">
        <f>'TUSD BE'!$R$6*'TUSD BF'!$R$68</f>
        <v>0</v>
      </c>
      <c r="S6" s="12">
        <f>'TUSD BE'!$R$6*'TUSD BF'!$S$68</f>
        <v>0</v>
      </c>
      <c r="T6" s="12">
        <f ca="1">SUM($L$6:$S$6)</f>
        <v>0</v>
      </c>
      <c r="U6" s="12">
        <f>'TUSD BE'!$U$6*'TUSD BF'!$U$68</f>
        <v>0.17036159297053224</v>
      </c>
      <c r="V6" s="12">
        <f>'TUSD BE'!$V$6*'TUSD BF'!$V$68</f>
        <v>4.6847453534204983E-2</v>
      </c>
      <c r="W6" s="12">
        <f>'TUSD BE'!$W$6*'TUSD BF'!$W$68</f>
        <v>0</v>
      </c>
      <c r="X6" s="12">
        <f>'TUSD BE'!$X$6*'TUSD BF'!$X$68</f>
        <v>0</v>
      </c>
      <c r="Y6" s="12">
        <f>'TUSD BE'!$Y$6*'TUSD BF'!$Y$68</f>
        <v>0</v>
      </c>
      <c r="Z6" s="12">
        <f>'TUSD BE'!$Z$6*'TUSD BF'!$Z$68</f>
        <v>0</v>
      </c>
      <c r="AA6" s="12">
        <f>'TUSD BE'!$AA$6*'TUSD BF'!$AA$68</f>
        <v>0</v>
      </c>
      <c r="AB6" s="12">
        <f>SUM($U$6:$AA$6)</f>
        <v>0.21720904650473721</v>
      </c>
      <c r="AC6" s="12">
        <f>'TUSD BE'!$AC$6*'TUSD BF'!$AC$68</f>
        <v>0</v>
      </c>
      <c r="AD6" s="12">
        <f>SUM($AC$6:$AC$6)</f>
        <v>0</v>
      </c>
      <c r="AE6" s="12">
        <f ca="1">$AO$6*$AO$65</f>
        <v>0</v>
      </c>
      <c r="AF6" s="12">
        <f ca="1">$AP$6*$AP$65</f>
        <v>0</v>
      </c>
      <c r="AG6" s="12">
        <f ca="1">SUM($AE$6:$AF$6)</f>
        <v>0</v>
      </c>
      <c r="AH6" s="12">
        <f>'TUSD BE'!$AH$6*'TUSD BF'!$AH$68</f>
        <v>0</v>
      </c>
      <c r="AI6" s="12">
        <f>'TUSD BE'!$AI$6*'TUSD BF'!$AI$68</f>
        <v>0</v>
      </c>
      <c r="AJ6" s="12">
        <f ca="1">'TUSD BE'!$AJ$6*'TUSD BF'!$AJ$68</f>
        <v>0</v>
      </c>
      <c r="AK6" s="12">
        <f ca="1">'TUSD BE'!$AK$6*'TUSD BF'!$AK$68</f>
        <v>0</v>
      </c>
      <c r="AL6" s="12">
        <f ca="1">SUM($AH$6:$AK$6)</f>
        <v>0</v>
      </c>
      <c r="AM6" s="12">
        <f ca="1">SUMIF($L$4:$AL$4,"SUBTOTAL",$L$6:$AL$6)</f>
        <v>0.21720904650473721</v>
      </c>
      <c r="AO6" s="20">
        <f ca="1">+'TUSD BE'!$T$6+'TUSD BE'!$AB$6+'TUSD BE'!$AD$6+'TUSD BE'!$AL$6</f>
        <v>5.9899698434990007</v>
      </c>
      <c r="AP6" s="20">
        <f ca="1">+'TUSD BE'!$T$6+'TUSD BE'!$AB$6+'TUSD BE'!$AD$6+'TUSD BE'!$AL$6</f>
        <v>5.9899698434990007</v>
      </c>
    </row>
    <row r="7" spans="1:42" ht="11.25" customHeight="1" x14ac:dyDescent="0.25">
      <c r="A7" s="106"/>
      <c r="B7" s="106"/>
      <c r="C7" s="106"/>
      <c r="D7" s="106"/>
      <c r="E7" s="106"/>
      <c r="F7" s="106"/>
      <c r="G7" s="17" t="s">
        <v>84</v>
      </c>
      <c r="H7" s="17" t="s">
        <v>78</v>
      </c>
      <c r="I7" s="17">
        <f>'MERCADO TUSD'!$U$4</f>
        <v>69324.911000000007</v>
      </c>
      <c r="J7" s="15"/>
      <c r="L7" s="12">
        <f>'TUSD BE'!$L$7*'TUSD BF'!$L$68</f>
        <v>0.12975868483312464</v>
      </c>
      <c r="M7" s="12">
        <f>'TUSD BE'!$M$7*'TUSD BF'!$M$68</f>
        <v>0</v>
      </c>
      <c r="N7" s="12">
        <f ca="1">'TUSD BE'!$N$7*'TUSD BF'!$N$68</f>
        <v>0</v>
      </c>
      <c r="O7" s="12">
        <f>'TUSD BE'!$O$7*'TUSD BF'!$O$68</f>
        <v>0</v>
      </c>
      <c r="P7" s="12">
        <f>'TUSD BE'!$P$7*'TUSD BF'!$P$68</f>
        <v>0</v>
      </c>
      <c r="Q7" s="12">
        <f>'TUSD BE'!$Q$7*'TUSD BF'!$Q$68</f>
        <v>-1.0145666088691085E-2</v>
      </c>
      <c r="R7" s="12">
        <f>'TUSD BE'!$R$7*'TUSD BF'!$R$68</f>
        <v>0.46648905484000996</v>
      </c>
      <c r="S7" s="12">
        <f>'TUSD BE'!$R$7*'TUSD BF'!$S$68</f>
        <v>0</v>
      </c>
      <c r="T7" s="12">
        <f ca="1">SUM($L$7:$S$7)</f>
        <v>0.58610207358444355</v>
      </c>
      <c r="U7" s="12">
        <f>'TUSD BE'!$U$7*'TUSD BF'!$U$68</f>
        <v>0</v>
      </c>
      <c r="V7" s="12">
        <f>'TUSD BE'!$V$7*'TUSD BF'!$V$68</f>
        <v>0</v>
      </c>
      <c r="W7" s="12">
        <f>'TUSD BE'!$W$7*'TUSD BF'!$W$68</f>
        <v>0</v>
      </c>
      <c r="X7" s="12">
        <f>'TUSD BE'!$X$7*'TUSD BF'!$X$68</f>
        <v>0</v>
      </c>
      <c r="Y7" s="12">
        <f>'TUSD BE'!$Y$7*'TUSD BF'!$Y$68</f>
        <v>0</v>
      </c>
      <c r="Z7" s="12">
        <f>'TUSD BE'!$Z$7*'TUSD BF'!$Z$68</f>
        <v>0</v>
      </c>
      <c r="AA7" s="12">
        <f>'TUSD BE'!$AA$7*'TUSD BF'!$AA$68</f>
        <v>0</v>
      </c>
      <c r="AB7" s="12">
        <f>SUM($U$7:$AA$7)</f>
        <v>0</v>
      </c>
      <c r="AC7" s="12">
        <f>'TUSD BE'!$AC$7*'TUSD BF'!$AC$68</f>
        <v>0</v>
      </c>
      <c r="AD7" s="12">
        <f>SUM($AC$7:$AC$7)</f>
        <v>0</v>
      </c>
      <c r="AE7" s="12">
        <f ca="1">$AO$7*$AO$65</f>
        <v>0</v>
      </c>
      <c r="AF7" s="12">
        <f ca="1">$AP$7*$AP$65</f>
        <v>0</v>
      </c>
      <c r="AG7" s="12">
        <f ca="1">SUM($AE$7:$AF$7)</f>
        <v>0</v>
      </c>
      <c r="AH7" s="12">
        <f>'TUSD BE'!$AH$7*'TUSD BF'!$AH$68</f>
        <v>0.45701509637328963</v>
      </c>
      <c r="AI7" s="12">
        <f>'TUSD BE'!$AI$7*'TUSD BF'!$AI$68</f>
        <v>1.0775168427066151E-2</v>
      </c>
      <c r="AJ7" s="12">
        <f ca="1">'TUSD BE'!$AJ$7*'TUSD BF'!$AJ$68</f>
        <v>0.10840680772131982</v>
      </c>
      <c r="AK7" s="12">
        <f ca="1">'TUSD BE'!$AK$7*'TUSD BF'!$AK$68</f>
        <v>0</v>
      </c>
      <c r="AL7" s="12">
        <f ca="1">SUM($AH$7:$AK$7)</f>
        <v>0.57619707252167562</v>
      </c>
      <c r="AM7" s="12">
        <f ca="1">SUMIF($L$4:$AL$4,"SUBTOTAL",$L$7:$AL$7)</f>
        <v>1.1622991461061192</v>
      </c>
      <c r="AO7" s="20">
        <f ca="1">+'TUSD BE'!$T$7+'TUSD BE'!$AB$7+'TUSD BE'!$AD$7+'TUSD BE'!$AL$7</f>
        <v>41.496538098726234</v>
      </c>
      <c r="AP7" s="20">
        <f ca="1">+'TUSD BE'!$T$7+'TUSD BE'!$AB$7+'TUSD BE'!$AD$7+'TUSD BE'!$AL$7</f>
        <v>41.496538098726234</v>
      </c>
    </row>
    <row r="8" spans="1:42" ht="11.25" customHeight="1" x14ac:dyDescent="0.25">
      <c r="A8" s="106"/>
      <c r="B8" s="106"/>
      <c r="C8" s="106"/>
      <c r="D8" s="106"/>
      <c r="E8" s="18" t="s">
        <v>85</v>
      </c>
      <c r="F8" s="18" t="s">
        <v>25</v>
      </c>
      <c r="G8" s="17" t="s">
        <v>84</v>
      </c>
      <c r="H8" s="17" t="s">
        <v>78</v>
      </c>
      <c r="I8" s="17">
        <f>'MERCADO TUSD'!$U$5</f>
        <v>0</v>
      </c>
      <c r="J8" s="15"/>
      <c r="L8" s="12">
        <f>'TUSD BE'!$L$8*'TUSD BF'!$L$68</f>
        <v>0</v>
      </c>
      <c r="M8" s="12">
        <f>'TUSD BE'!$M$8*'TUSD BF'!$M$68</f>
        <v>0</v>
      </c>
      <c r="N8" s="12">
        <f ca="1">'TUSD BE'!$N$8*'TUSD BF'!$N$68</f>
        <v>0</v>
      </c>
      <c r="O8" s="12">
        <f>'TUSD BE'!$O$8*'TUSD BF'!$O$68</f>
        <v>0</v>
      </c>
      <c r="P8" s="12">
        <f>'TUSD BE'!$P$8*'TUSD BF'!$P$68</f>
        <v>0</v>
      </c>
      <c r="Q8" s="12">
        <f>'TUSD BE'!$Q$8*'TUSD BF'!$Q$68</f>
        <v>0</v>
      </c>
      <c r="R8" s="12">
        <f>'TUSD BE'!$R$8*'TUSD BF'!$R$68</f>
        <v>0</v>
      </c>
      <c r="S8" s="12">
        <f>'TUSD BE'!$R$8*'TUSD BF'!$S$68</f>
        <v>0</v>
      </c>
      <c r="T8" s="12">
        <f ca="1">SUM($L$8:$S$8)</f>
        <v>0</v>
      </c>
      <c r="U8" s="12">
        <f>'TUSD BE'!$U$8*'TUSD BF'!$U$68</f>
        <v>0</v>
      </c>
      <c r="V8" s="12">
        <f>'TUSD BE'!$V$8*'TUSD BF'!$V$68</f>
        <v>0</v>
      </c>
      <c r="W8" s="12">
        <f>'TUSD BE'!$W$8*'TUSD BF'!$W$68</f>
        <v>0</v>
      </c>
      <c r="X8" s="12">
        <f>'TUSD BE'!$X$8*'TUSD BF'!$X$68</f>
        <v>0</v>
      </c>
      <c r="Y8" s="12">
        <f>'TUSD BE'!$Y$8*'TUSD BF'!$Y$68</f>
        <v>0</v>
      </c>
      <c r="Z8" s="12">
        <f>'TUSD BE'!$Z$8*'TUSD BF'!$Z$68</f>
        <v>0</v>
      </c>
      <c r="AA8" s="12">
        <f>'TUSD BE'!$AA$8*'TUSD BF'!$AA$68</f>
        <v>0</v>
      </c>
      <c r="AB8" s="12">
        <f>SUM($U$8:$AA$8)</f>
        <v>0</v>
      </c>
      <c r="AC8" s="12">
        <f>'TUSD BE'!$AC$8*'TUSD BF'!$AC$68</f>
        <v>0</v>
      </c>
      <c r="AD8" s="12">
        <f>SUM($AC$8:$AC$8)</f>
        <v>0</v>
      </c>
      <c r="AE8" s="12">
        <f ca="1">$AO$8*$AO$65</f>
        <v>0</v>
      </c>
      <c r="AF8" s="12">
        <f ca="1">$AP$8*$AP$65</f>
        <v>0</v>
      </c>
      <c r="AG8" s="12">
        <f ca="1">SUM($AE$8:$AF$8)</f>
        <v>0</v>
      </c>
      <c r="AH8" s="12">
        <f>'TUSD BE'!$AH$8*'TUSD BF'!$AH$68</f>
        <v>0.45701509637328963</v>
      </c>
      <c r="AI8" s="12">
        <f>'TUSD BE'!$AI$8*'TUSD BF'!$AI$68</f>
        <v>1.0775168427066151E-2</v>
      </c>
      <c r="AJ8" s="12">
        <f ca="1">'TUSD BE'!$AJ$8*'TUSD BF'!$AJ$68</f>
        <v>0.10840680772131982</v>
      </c>
      <c r="AK8" s="12">
        <f ca="1">'TUSD BE'!$AK$8*'TUSD BF'!$AK$68</f>
        <v>0</v>
      </c>
      <c r="AL8" s="12">
        <f ca="1">SUM($AH$8:$AK$8)</f>
        <v>0.57619707252167562</v>
      </c>
      <c r="AM8" s="12">
        <f ca="1">SUMIF($L$4:$AL$4,"SUBTOTAL",$L$8:$AL$8)</f>
        <v>0.57619707252167562</v>
      </c>
      <c r="AO8" s="20">
        <f ca="1">+'TUSD BE'!$T$8+'TUSD BE'!$AB$8+'TUSD BE'!$AD$8+'TUSD BE'!$AL$8</f>
        <v>3.6510862570550273</v>
      </c>
      <c r="AP8" s="20">
        <f ca="1">+'TUSD BE'!$T$8+'TUSD BE'!$AB$8+'TUSD BE'!$AD$8+'TUSD BE'!$AL$8</f>
        <v>3.6510862570550273</v>
      </c>
    </row>
    <row r="9" spans="1:42" ht="11.25" customHeight="1" x14ac:dyDescent="0.25">
      <c r="A9" s="106"/>
      <c r="B9" s="106" t="s">
        <v>59</v>
      </c>
      <c r="C9" s="106" t="s">
        <v>25</v>
      </c>
      <c r="D9" s="106" t="s">
        <v>25</v>
      </c>
      <c r="E9" s="106" t="s">
        <v>25</v>
      </c>
      <c r="F9" s="106" t="s">
        <v>60</v>
      </c>
      <c r="G9" s="17" t="s">
        <v>82</v>
      </c>
      <c r="H9" s="17" t="s">
        <v>81</v>
      </c>
      <c r="I9" s="17">
        <f>'MERCADO TUSD'!$U$6</f>
        <v>216624</v>
      </c>
      <c r="J9" s="15"/>
      <c r="L9" s="12">
        <f>'TUSD BE'!$L$9*'TUSD BF'!$L$68</f>
        <v>0</v>
      </c>
      <c r="M9" s="12">
        <f>'TUSD BE'!$M$9*'TUSD BF'!$M$68</f>
        <v>0</v>
      </c>
      <c r="N9" s="12">
        <f ca="1">'TUSD BE'!$N$9*'TUSD BF'!$N$68</f>
        <v>0</v>
      </c>
      <c r="O9" s="12">
        <f>'TUSD BE'!$O$9*'TUSD BF'!$O$68</f>
        <v>0</v>
      </c>
      <c r="P9" s="12">
        <f>'TUSD BE'!$P$9*'TUSD BF'!$P$68</f>
        <v>0</v>
      </c>
      <c r="Q9" s="12">
        <f>'TUSD BE'!$Q$9*'TUSD BF'!$Q$68</f>
        <v>0</v>
      </c>
      <c r="R9" s="12">
        <f>'TUSD BE'!$R$9*'TUSD BF'!$R$68</f>
        <v>0</v>
      </c>
      <c r="S9" s="12">
        <f>'TUSD BE'!$R$9*'TUSD BF'!$S$68</f>
        <v>0</v>
      </c>
      <c r="T9" s="12">
        <f ca="1">SUM($L$9:$S$9)</f>
        <v>0</v>
      </c>
      <c r="U9" s="12">
        <f>'TUSD BE'!$U$9*'TUSD BF'!$U$68</f>
        <v>0.22237549645199337</v>
      </c>
      <c r="V9" s="12">
        <f>'TUSD BE'!$V$9*'TUSD BF'!$V$68</f>
        <v>6.0482571705284649E-2</v>
      </c>
      <c r="W9" s="12">
        <f>'TUSD BE'!$W$9*'TUSD BF'!$W$68</f>
        <v>0</v>
      </c>
      <c r="X9" s="12">
        <f>'TUSD BE'!$X$9*'TUSD BF'!$X$68</f>
        <v>0</v>
      </c>
      <c r="Y9" s="12">
        <f>'TUSD BE'!$Y$9*'TUSD BF'!$Y$68</f>
        <v>0</v>
      </c>
      <c r="Z9" s="12">
        <f>'TUSD BE'!$Z$9*'TUSD BF'!$Z$68</f>
        <v>0</v>
      </c>
      <c r="AA9" s="12">
        <f>'TUSD BE'!$AA$9*'TUSD BF'!$AA$68</f>
        <v>0</v>
      </c>
      <c r="AB9" s="12">
        <f>SUM($U$9:$AA$9)</f>
        <v>0.28285806815727799</v>
      </c>
      <c r="AC9" s="12">
        <f>'TUSD BE'!$AC$9*'TUSD BF'!$AC$68</f>
        <v>0</v>
      </c>
      <c r="AD9" s="12">
        <f>SUM($AC$9:$AC$9)</f>
        <v>0</v>
      </c>
      <c r="AE9" s="12">
        <v>0</v>
      </c>
      <c r="AF9" s="12">
        <f ca="1">$AP$9*$AP$65</f>
        <v>0</v>
      </c>
      <c r="AG9" s="12">
        <f ca="1">SUM($AE$9:$AF$9)</f>
        <v>0</v>
      </c>
      <c r="AH9" s="12">
        <f>'TUSD BE'!$AH$9*'TUSD BF'!$AH$68</f>
        <v>0</v>
      </c>
      <c r="AI9" s="12">
        <f>'TUSD BE'!$AI$9*'TUSD BF'!$AI$68</f>
        <v>0</v>
      </c>
      <c r="AJ9" s="12">
        <f ca="1">'TUSD BE'!$AJ$9*'TUSD BF'!$AJ$68</f>
        <v>0</v>
      </c>
      <c r="AK9" s="12">
        <f ca="1">'TUSD BE'!$AK$9*'TUSD BF'!$AK$68</f>
        <v>0</v>
      </c>
      <c r="AL9" s="12">
        <f ca="1">SUM($AH$9:$AK$9)</f>
        <v>0</v>
      </c>
      <c r="AM9" s="12">
        <f ca="1">SUMIF($L$4:$AL$4,"SUBTOTAL",$L$9:$AL$9)</f>
        <v>0.28285806815727799</v>
      </c>
      <c r="AO9" s="20"/>
      <c r="AP9" s="20">
        <f ca="1">+'TUSD BE'!$T$9+'TUSD BE'!$AB$9+'TUSD BE'!$AD$9+'TUSD BE'!$AL$9</f>
        <v>12.629016992670957</v>
      </c>
    </row>
    <row r="10" spans="1:42" ht="11.25" customHeight="1" x14ac:dyDescent="0.25">
      <c r="A10" s="106"/>
      <c r="B10" s="106"/>
      <c r="C10" s="106"/>
      <c r="D10" s="106"/>
      <c r="E10" s="106"/>
      <c r="F10" s="106"/>
      <c r="G10" s="17" t="s">
        <v>83</v>
      </c>
      <c r="H10" s="17" t="s">
        <v>81</v>
      </c>
      <c r="I10" s="17">
        <f>'MERCADO TUSD'!$U$7</f>
        <v>219920</v>
      </c>
      <c r="J10" s="15"/>
      <c r="L10" s="12">
        <f>'TUSD BE'!$L$10*'TUSD BF'!$L$68</f>
        <v>0</v>
      </c>
      <c r="M10" s="12">
        <f>'TUSD BE'!$M$10*'TUSD BF'!$M$68</f>
        <v>0</v>
      </c>
      <c r="N10" s="12">
        <f ca="1">'TUSD BE'!$N$10*'TUSD BF'!$N$68</f>
        <v>0</v>
      </c>
      <c r="O10" s="12">
        <f>'TUSD BE'!$O$10*'TUSD BF'!$O$68</f>
        <v>0</v>
      </c>
      <c r="P10" s="12">
        <f>'TUSD BE'!$P$10*'TUSD BF'!$P$68</f>
        <v>0</v>
      </c>
      <c r="Q10" s="12">
        <f>'TUSD BE'!$Q$10*'TUSD BF'!$Q$68</f>
        <v>0</v>
      </c>
      <c r="R10" s="12">
        <f>'TUSD BE'!$R$10*'TUSD BF'!$R$68</f>
        <v>0</v>
      </c>
      <c r="S10" s="12">
        <f>'TUSD BE'!$R$10*'TUSD BF'!$S$68</f>
        <v>0</v>
      </c>
      <c r="T10" s="12">
        <f ca="1">SUM($L$10:$S$10)</f>
        <v>0</v>
      </c>
      <c r="U10" s="12">
        <f>'TUSD BE'!$U$10*'TUSD BF'!$U$68</f>
        <v>0.17036159297053224</v>
      </c>
      <c r="V10" s="12">
        <f>'TUSD BE'!$V$10*'TUSD BF'!$V$68</f>
        <v>4.6847453534204983E-2</v>
      </c>
      <c r="W10" s="12">
        <f>'TUSD BE'!$W$10*'TUSD BF'!$W$68</f>
        <v>0</v>
      </c>
      <c r="X10" s="12">
        <f>'TUSD BE'!$X$10*'TUSD BF'!$X$68</f>
        <v>0</v>
      </c>
      <c r="Y10" s="12">
        <f>'TUSD BE'!$Y$10*'TUSD BF'!$Y$68</f>
        <v>0</v>
      </c>
      <c r="Z10" s="12">
        <f>'TUSD BE'!$Z$10*'TUSD BF'!$Z$68</f>
        <v>0</v>
      </c>
      <c r="AA10" s="12">
        <f>'TUSD BE'!$AA$10*'TUSD BF'!$AA$68</f>
        <v>0</v>
      </c>
      <c r="AB10" s="12">
        <f>SUM($U$10:$AA$10)</f>
        <v>0.21720904650473721</v>
      </c>
      <c r="AC10" s="12">
        <f>'TUSD BE'!$AC$10*'TUSD BF'!$AC$68</f>
        <v>0</v>
      </c>
      <c r="AD10" s="12">
        <f>SUM($AC$10:$AC$10)</f>
        <v>0</v>
      </c>
      <c r="AE10" s="12">
        <v>0</v>
      </c>
      <c r="AF10" s="12">
        <f ca="1">$AP$10*$AP$65</f>
        <v>0</v>
      </c>
      <c r="AG10" s="12">
        <f ca="1">SUM($AE$10:$AF$10)</f>
        <v>0</v>
      </c>
      <c r="AH10" s="12">
        <f>'TUSD BE'!$AH$10*'TUSD BF'!$AH$68</f>
        <v>0</v>
      </c>
      <c r="AI10" s="12">
        <f>'TUSD BE'!$AI$10*'TUSD BF'!$AI$68</f>
        <v>0</v>
      </c>
      <c r="AJ10" s="12">
        <f ca="1">'TUSD BE'!$AJ$10*'TUSD BF'!$AJ$68</f>
        <v>0</v>
      </c>
      <c r="AK10" s="12">
        <f ca="1">'TUSD BE'!$AK$10*'TUSD BF'!$AK$68</f>
        <v>0</v>
      </c>
      <c r="AL10" s="12">
        <f ca="1">SUM($AH$10:$AK$10)</f>
        <v>0</v>
      </c>
      <c r="AM10" s="12">
        <f ca="1">SUMIF($L$4:$AL$4,"SUBTOTAL",$L$10:$AL$10)</f>
        <v>0.21720904650473721</v>
      </c>
      <c r="AO10" s="20"/>
      <c r="AP10" s="20">
        <f ca="1">+'TUSD BE'!$T$10+'TUSD BE'!$AB$10+'TUSD BE'!$AD$10+'TUSD BE'!$AL$10</f>
        <v>5.9899698434990007</v>
      </c>
    </row>
    <row r="11" spans="1:42" ht="11.25" customHeight="1" x14ac:dyDescent="0.25">
      <c r="A11" s="106"/>
      <c r="B11" s="106"/>
      <c r="C11" s="106"/>
      <c r="D11" s="106"/>
      <c r="E11" s="106"/>
      <c r="F11" s="106"/>
      <c r="G11" s="17" t="s">
        <v>84</v>
      </c>
      <c r="H11" s="17" t="s">
        <v>78</v>
      </c>
      <c r="I11" s="17">
        <f>'MERCADO TUSD'!$U$8</f>
        <v>41971.481000000007</v>
      </c>
      <c r="J11" s="15"/>
      <c r="L11" s="12">
        <f>'TUSD BE'!$L$11*'TUSD BF'!$L$68</f>
        <v>0</v>
      </c>
      <c r="M11" s="12">
        <f>'TUSD BE'!$M$11*'TUSD BF'!$M$68</f>
        <v>0</v>
      </c>
      <c r="N11" s="12">
        <f ca="1">'TUSD BE'!$N$11*'TUSD BF'!$N$68</f>
        <v>0</v>
      </c>
      <c r="O11" s="12">
        <f>'TUSD BE'!$O$11*'TUSD BF'!$O$68</f>
        <v>0</v>
      </c>
      <c r="P11" s="12">
        <f>'TUSD BE'!$P$11*'TUSD BF'!$P$68</f>
        <v>0</v>
      </c>
      <c r="Q11" s="12">
        <f>'TUSD BE'!$Q$11*'TUSD BF'!$Q$68</f>
        <v>0</v>
      </c>
      <c r="R11" s="12">
        <f>'TUSD BE'!$R$11*'TUSD BF'!$R$68</f>
        <v>0</v>
      </c>
      <c r="S11" s="12">
        <f>'TUSD BE'!$R$11*'TUSD BF'!$S$68</f>
        <v>0</v>
      </c>
      <c r="T11" s="12">
        <f ca="1">SUM($L$11:$S$11)</f>
        <v>0</v>
      </c>
      <c r="U11" s="12">
        <f>'TUSD BE'!$U$11*'TUSD BF'!$U$68</f>
        <v>0</v>
      </c>
      <c r="V11" s="12">
        <f>'TUSD BE'!$V$11*'TUSD BF'!$V$68</f>
        <v>0</v>
      </c>
      <c r="W11" s="12">
        <f>'TUSD BE'!$W$11*'TUSD BF'!$W$68</f>
        <v>0</v>
      </c>
      <c r="X11" s="12">
        <f>'TUSD BE'!$X$11*'TUSD BF'!$X$68</f>
        <v>0</v>
      </c>
      <c r="Y11" s="12">
        <f>'TUSD BE'!$Y$11*'TUSD BF'!$Y$68</f>
        <v>0</v>
      </c>
      <c r="Z11" s="12">
        <f>'TUSD BE'!$Z$11*'TUSD BF'!$Z$68</f>
        <v>0</v>
      </c>
      <c r="AA11" s="12">
        <f>'TUSD BE'!$AA$11*'TUSD BF'!$AA$68</f>
        <v>0</v>
      </c>
      <c r="AB11" s="12">
        <f>SUM($U$11:$AA$11)</f>
        <v>0</v>
      </c>
      <c r="AC11" s="12">
        <f>'TUSD BE'!$AC$11*'TUSD BF'!$AC$68</f>
        <v>0</v>
      </c>
      <c r="AD11" s="12">
        <f>SUM($AC$11:$AC$11)</f>
        <v>0</v>
      </c>
      <c r="AE11" s="12">
        <v>0</v>
      </c>
      <c r="AF11" s="12">
        <f ca="1">$AP$11*$AP$65</f>
        <v>0</v>
      </c>
      <c r="AG11" s="12">
        <f ca="1">SUM($AE$11:$AF$11)</f>
        <v>0</v>
      </c>
      <c r="AH11" s="12">
        <f>'TUSD BE'!$AH$11*'TUSD BF'!$AH$68</f>
        <v>0.45701509637328963</v>
      </c>
      <c r="AI11" s="12">
        <f>'TUSD BE'!$AI$11*'TUSD BF'!$AI$68</f>
        <v>1.0775168427066151E-2</v>
      </c>
      <c r="AJ11" s="12">
        <f ca="1">'TUSD BE'!$AJ$11*'TUSD BF'!$AJ$68</f>
        <v>0</v>
      </c>
      <c r="AK11" s="12">
        <f ca="1">'TUSD BE'!$AK$11*'TUSD BF'!$AK$68</f>
        <v>0</v>
      </c>
      <c r="AL11" s="12">
        <f ca="1">SUM($AH$11:$AK$11)</f>
        <v>0.46779026480035579</v>
      </c>
      <c r="AM11" s="12">
        <f ca="1">SUMIF($L$4:$AL$4,"SUBTOTAL",$L$11:$AL$11)</f>
        <v>0.46779026480035579</v>
      </c>
      <c r="AO11" s="20"/>
      <c r="AP11" s="20">
        <f ca="1">+'TUSD BE'!$T$11+'TUSD BE'!$AB$11+'TUSD BE'!$AD$11+'TUSD BE'!$AL$11</f>
        <v>2.8140582505002167</v>
      </c>
    </row>
    <row r="12" spans="1:42" ht="11.25" customHeight="1" x14ac:dyDescent="0.25">
      <c r="A12" s="106" t="s">
        <v>39</v>
      </c>
      <c r="B12" s="106" t="s">
        <v>40</v>
      </c>
      <c r="C12" s="106" t="s">
        <v>25</v>
      </c>
      <c r="D12" s="106" t="s">
        <v>25</v>
      </c>
      <c r="E12" s="106" t="s">
        <v>25</v>
      </c>
      <c r="F12" s="106" t="s">
        <v>25</v>
      </c>
      <c r="G12" s="17" t="s">
        <v>82</v>
      </c>
      <c r="H12" s="17" t="s">
        <v>81</v>
      </c>
      <c r="I12" s="17">
        <f>'MERCADO TUSD'!$U$9</f>
        <v>96314</v>
      </c>
      <c r="J12" s="15"/>
      <c r="L12" s="12">
        <f>'TUSD BE'!$L$12*'TUSD BF'!$L$68</f>
        <v>0</v>
      </c>
      <c r="M12" s="12">
        <f>'TUSD BE'!$M$12*'TUSD BF'!$M$68</f>
        <v>0</v>
      </c>
      <c r="N12" s="12">
        <f ca="1">'TUSD BE'!$N$12*'TUSD BF'!$N$68</f>
        <v>0</v>
      </c>
      <c r="O12" s="12">
        <f>'TUSD BE'!$O$12*'TUSD BF'!$O$68</f>
        <v>0</v>
      </c>
      <c r="P12" s="12">
        <f>'TUSD BE'!$P$12*'TUSD BF'!$P$68</f>
        <v>0</v>
      </c>
      <c r="Q12" s="12">
        <f>'TUSD BE'!$Q$12*'TUSD BF'!$Q$68</f>
        <v>0</v>
      </c>
      <c r="R12" s="12">
        <f>'TUSD BE'!$R$12*'TUSD BF'!$R$68</f>
        <v>0</v>
      </c>
      <c r="S12" s="12">
        <f>'TUSD BE'!$R$12*'TUSD BF'!$S$68</f>
        <v>0</v>
      </c>
      <c r="T12" s="12">
        <f ca="1">SUM($L$12:$S$12)</f>
        <v>0</v>
      </c>
      <c r="U12" s="12">
        <f>'TUSD BE'!$U$12*'TUSD BF'!$U$68</f>
        <v>0.27113443426465228</v>
      </c>
      <c r="V12" s="12">
        <f>'TUSD BE'!$V$12*'TUSD BF'!$V$68</f>
        <v>7.374286199438633E-2</v>
      </c>
      <c r="W12" s="12">
        <f>'TUSD BE'!$W$12*'TUSD BF'!$W$68</f>
        <v>0</v>
      </c>
      <c r="X12" s="12">
        <f>'TUSD BE'!$X$12*'TUSD BF'!$X$68</f>
        <v>0</v>
      </c>
      <c r="Y12" s="12">
        <f>'TUSD BE'!$Y$12*'TUSD BF'!$Y$68</f>
        <v>0</v>
      </c>
      <c r="Z12" s="12">
        <f>'TUSD BE'!$Z$12*'TUSD BF'!$Z$68</f>
        <v>0</v>
      </c>
      <c r="AA12" s="12">
        <f>'TUSD BE'!$AA$12*'TUSD BF'!$AA$68</f>
        <v>0</v>
      </c>
      <c r="AB12" s="12">
        <f>SUM($U$12:$AA$12)</f>
        <v>0.34487729625903862</v>
      </c>
      <c r="AC12" s="12">
        <f>'TUSD BE'!$AC$12*'TUSD BF'!$AC$68</f>
        <v>0</v>
      </c>
      <c r="AD12" s="12">
        <f>SUM($AC$12:$AC$12)</f>
        <v>0</v>
      </c>
      <c r="AE12" s="12">
        <f ca="1">$AO$12*$AO$65</f>
        <v>0</v>
      </c>
      <c r="AF12" s="12">
        <f ca="1">$AP$12*$AP$65</f>
        <v>0</v>
      </c>
      <c r="AG12" s="12">
        <f ca="1">SUM($AE$12:$AF$12)</f>
        <v>0</v>
      </c>
      <c r="AH12" s="12">
        <f>'TUSD BE'!$AH$12*'TUSD BF'!$AH$68</f>
        <v>0</v>
      </c>
      <c r="AI12" s="12">
        <f>'TUSD BE'!$AI$12*'TUSD BF'!$AI$68</f>
        <v>0</v>
      </c>
      <c r="AJ12" s="12">
        <f ca="1">'TUSD BE'!$AJ$12*'TUSD BF'!$AJ$68</f>
        <v>0</v>
      </c>
      <c r="AK12" s="12">
        <f ca="1">'TUSD BE'!$AK$12*'TUSD BF'!$AK$68</f>
        <v>0</v>
      </c>
      <c r="AL12" s="12">
        <f ca="1">SUM($AH$12:$AK$12)</f>
        <v>0</v>
      </c>
      <c r="AM12" s="12">
        <f ca="1">SUMIF($L$4:$AL$4,"SUBTOTAL",$L$12:$AL$12)</f>
        <v>0.34487729625903862</v>
      </c>
      <c r="AO12" s="20">
        <f ca="1">+'TUSD BE'!$T$12+'TUSD BE'!$AB$12+'TUSD BE'!$AD$12+'TUSD BE'!$AL$12</f>
        <v>39.466502809194495</v>
      </c>
      <c r="AP12" s="20">
        <f ca="1">+'TUSD BE'!$T$12+'TUSD BE'!$AB$12+'TUSD BE'!$AD$12+'TUSD BE'!$AL$12</f>
        <v>39.466502809194495</v>
      </c>
    </row>
    <row r="13" spans="1:42" ht="11.25" customHeight="1" x14ac:dyDescent="0.25">
      <c r="A13" s="106"/>
      <c r="B13" s="106"/>
      <c r="C13" s="106"/>
      <c r="D13" s="106"/>
      <c r="E13" s="106"/>
      <c r="F13" s="106"/>
      <c r="G13" s="17" t="s">
        <v>83</v>
      </c>
      <c r="H13" s="17" t="s">
        <v>81</v>
      </c>
      <c r="I13" s="17">
        <f>'MERCADO TUSD'!$U$10</f>
        <v>112951</v>
      </c>
      <c r="J13" s="15"/>
      <c r="L13" s="12">
        <f>'TUSD BE'!$L$13*'TUSD BF'!$L$68</f>
        <v>0</v>
      </c>
      <c r="M13" s="12">
        <f>'TUSD BE'!$M$13*'TUSD BF'!$M$68</f>
        <v>0</v>
      </c>
      <c r="N13" s="12">
        <f ca="1">'TUSD BE'!$N$13*'TUSD BF'!$N$68</f>
        <v>0</v>
      </c>
      <c r="O13" s="12">
        <f>'TUSD BE'!$O$13*'TUSD BF'!$O$68</f>
        <v>0</v>
      </c>
      <c r="P13" s="12">
        <f>'TUSD BE'!$P$13*'TUSD BF'!$P$68</f>
        <v>0</v>
      </c>
      <c r="Q13" s="12">
        <f>'TUSD BE'!$Q$13*'TUSD BF'!$Q$68</f>
        <v>0</v>
      </c>
      <c r="R13" s="12">
        <f>'TUSD BE'!$R$13*'TUSD BF'!$R$68</f>
        <v>0</v>
      </c>
      <c r="S13" s="12">
        <f>'TUSD BE'!$R$13*'TUSD BF'!$S$68</f>
        <v>0</v>
      </c>
      <c r="T13" s="12">
        <f ca="1">SUM($L$13:$S$13)</f>
        <v>0</v>
      </c>
      <c r="U13" s="12">
        <f>'TUSD BE'!$U$13*'TUSD BF'!$U$68</f>
        <v>0.20299809972422692</v>
      </c>
      <c r="V13" s="12">
        <f>'TUSD BE'!$V$13*'TUSD BF'!$V$68</f>
        <v>5.5824796725900731E-2</v>
      </c>
      <c r="W13" s="12">
        <f>'TUSD BE'!$W$13*'TUSD BF'!$W$68</f>
        <v>0</v>
      </c>
      <c r="X13" s="12">
        <f>'TUSD BE'!$X$13*'TUSD BF'!$X$68</f>
        <v>0</v>
      </c>
      <c r="Y13" s="12">
        <f>'TUSD BE'!$Y$13*'TUSD BF'!$Y$68</f>
        <v>0</v>
      </c>
      <c r="Z13" s="12">
        <f>'TUSD BE'!$Z$13*'TUSD BF'!$Z$68</f>
        <v>0</v>
      </c>
      <c r="AA13" s="12">
        <f>'TUSD BE'!$AA$13*'TUSD BF'!$AA$68</f>
        <v>0</v>
      </c>
      <c r="AB13" s="12">
        <f>SUM($U$13:$AA$13)</f>
        <v>0.25882289645012763</v>
      </c>
      <c r="AC13" s="12">
        <f>'TUSD BE'!$AC$13*'TUSD BF'!$AC$68</f>
        <v>0</v>
      </c>
      <c r="AD13" s="12">
        <f>SUM($AC$13:$AC$13)</f>
        <v>0</v>
      </c>
      <c r="AE13" s="12">
        <f ca="1">$AO$13*$AO$65</f>
        <v>0</v>
      </c>
      <c r="AF13" s="12">
        <f ca="1">$AP$13*$AP$65</f>
        <v>0</v>
      </c>
      <c r="AG13" s="12">
        <f ca="1">SUM($AE$13:$AF$13)</f>
        <v>0</v>
      </c>
      <c r="AH13" s="12">
        <f>'TUSD BE'!$AH$13*'TUSD BF'!$AH$68</f>
        <v>0</v>
      </c>
      <c r="AI13" s="12">
        <f>'TUSD BE'!$AI$13*'TUSD BF'!$AI$68</f>
        <v>0</v>
      </c>
      <c r="AJ13" s="12">
        <f ca="1">'TUSD BE'!$AJ$13*'TUSD BF'!$AJ$68</f>
        <v>0</v>
      </c>
      <c r="AK13" s="12">
        <f ca="1">'TUSD BE'!$AK$13*'TUSD BF'!$AK$68</f>
        <v>0</v>
      </c>
      <c r="AL13" s="12">
        <f ca="1">SUM($AH$13:$AK$13)</f>
        <v>0</v>
      </c>
      <c r="AM13" s="12">
        <f ca="1">SUMIF($L$4:$AL$4,"SUBTOTAL",$L$13:$AL$13)</f>
        <v>0.25882289645012763</v>
      </c>
      <c r="AO13" s="20">
        <f ca="1">+'TUSD BE'!$T$13+'TUSD BE'!$AB$13+'TUSD BE'!$AD$13+'TUSD BE'!$AL$13</f>
        <v>19.356183929961468</v>
      </c>
      <c r="AP13" s="20">
        <f ca="1">+'TUSD BE'!$T$13+'TUSD BE'!$AB$13+'TUSD BE'!$AD$13+'TUSD BE'!$AL$13</f>
        <v>19.356183929961468</v>
      </c>
    </row>
    <row r="14" spans="1:42" ht="11.25" customHeight="1" x14ac:dyDescent="0.25">
      <c r="A14" s="106"/>
      <c r="B14" s="106"/>
      <c r="C14" s="106"/>
      <c r="D14" s="106"/>
      <c r="E14" s="106"/>
      <c r="F14" s="106"/>
      <c r="G14" s="17" t="s">
        <v>84</v>
      </c>
      <c r="H14" s="17" t="s">
        <v>78</v>
      </c>
      <c r="I14" s="17">
        <f>'MERCADO TUSD'!$U$11</f>
        <v>43743.163999999997</v>
      </c>
      <c r="J14" s="15"/>
      <c r="L14" s="12">
        <f>'TUSD BE'!$L$14*'TUSD BF'!$L$68</f>
        <v>0.17580208912874948</v>
      </c>
      <c r="M14" s="12">
        <f>'TUSD BE'!$M$14*'TUSD BF'!$M$68</f>
        <v>0</v>
      </c>
      <c r="N14" s="12">
        <f ca="1">'TUSD BE'!$N$14*'TUSD BF'!$N$68</f>
        <v>0</v>
      </c>
      <c r="O14" s="12">
        <f>'TUSD BE'!$O$14*'TUSD BF'!$O$68</f>
        <v>0</v>
      </c>
      <c r="P14" s="12">
        <f>'TUSD BE'!$P$14*'TUSD BF'!$P$68</f>
        <v>0</v>
      </c>
      <c r="Q14" s="12">
        <f>'TUSD BE'!$Q$14*'TUSD BF'!$Q$68</f>
        <v>-1.3745741152420179E-2</v>
      </c>
      <c r="R14" s="12">
        <f>'TUSD BE'!$R$14*'TUSD BF'!$R$68</f>
        <v>0.46648905484000996</v>
      </c>
      <c r="S14" s="12">
        <f>'TUSD BE'!$R$14*'TUSD BF'!$S$68</f>
        <v>0</v>
      </c>
      <c r="T14" s="12">
        <f ca="1">SUM($L$14:$S$14)</f>
        <v>0.6285454028163393</v>
      </c>
      <c r="U14" s="12">
        <f>'TUSD BE'!$U$14*'TUSD BF'!$U$68</f>
        <v>0</v>
      </c>
      <c r="V14" s="12">
        <f>'TUSD BE'!$V$14*'TUSD BF'!$V$68</f>
        <v>0</v>
      </c>
      <c r="W14" s="12">
        <f>'TUSD BE'!$W$14*'TUSD BF'!$W$68</f>
        <v>0</v>
      </c>
      <c r="X14" s="12">
        <f>'TUSD BE'!$X$14*'TUSD BF'!$X$68</f>
        <v>0</v>
      </c>
      <c r="Y14" s="12">
        <f>'TUSD BE'!$Y$14*'TUSD BF'!$Y$68</f>
        <v>0</v>
      </c>
      <c r="Z14" s="12">
        <f>'TUSD BE'!$Z$14*'TUSD BF'!$Z$68</f>
        <v>0</v>
      </c>
      <c r="AA14" s="12">
        <f>'TUSD BE'!$AA$14*'TUSD BF'!$AA$68</f>
        <v>0</v>
      </c>
      <c r="AB14" s="12">
        <f>SUM($U$14:$AA$14)</f>
        <v>0</v>
      </c>
      <c r="AC14" s="12">
        <f>'TUSD BE'!$AC$14*'TUSD BF'!$AC$68</f>
        <v>0</v>
      </c>
      <c r="AD14" s="12">
        <f>SUM($AC$14:$AC$14)</f>
        <v>0</v>
      </c>
      <c r="AE14" s="12">
        <f ca="1">$AO$14*$AO$65</f>
        <v>0</v>
      </c>
      <c r="AF14" s="12">
        <f ca="1">$AP$14*$AP$65</f>
        <v>0</v>
      </c>
      <c r="AG14" s="12">
        <f ca="1">SUM($AE$14:$AF$14)</f>
        <v>0</v>
      </c>
      <c r="AH14" s="12">
        <f>'TUSD BE'!$AH$14*'TUSD BF'!$AH$68</f>
        <v>0.91919749317250254</v>
      </c>
      <c r="AI14" s="12">
        <f>'TUSD BE'!$AI$14*'TUSD BF'!$AI$68</f>
        <v>2.1672167692641617E-2</v>
      </c>
      <c r="AJ14" s="12">
        <f ca="1">'TUSD BE'!$AJ$14*'TUSD BF'!$AJ$68</f>
        <v>0.30699999412472467</v>
      </c>
      <c r="AK14" s="12">
        <f ca="1">'TUSD BE'!$AK$14*'TUSD BF'!$AK$68</f>
        <v>0</v>
      </c>
      <c r="AL14" s="12">
        <f ca="1">SUM($AH$14:$AK$14)</f>
        <v>1.2478696549898687</v>
      </c>
      <c r="AM14" s="12">
        <f ca="1">SUMIF($L$4:$AL$4,"SUBTOTAL",$L$14:$AL$14)</f>
        <v>1.876415057806208</v>
      </c>
      <c r="AO14" s="20">
        <f ca="1">+'TUSD BE'!$T$14+'TUSD BE'!$AB$14+'TUSD BE'!$AD$14+'TUSD BE'!$AL$14</f>
        <v>54.307159558406397</v>
      </c>
      <c r="AP14" s="20">
        <f ca="1">+'TUSD BE'!$T$14+'TUSD BE'!$AB$14+'TUSD BE'!$AD$14+'TUSD BE'!$AL$14</f>
        <v>54.307159558406397</v>
      </c>
    </row>
    <row r="15" spans="1:42" ht="11.25" customHeight="1" x14ac:dyDescent="0.25">
      <c r="A15" s="106"/>
      <c r="B15" s="106"/>
      <c r="C15" s="106"/>
      <c r="D15" s="106"/>
      <c r="E15" s="18" t="s">
        <v>85</v>
      </c>
      <c r="F15" s="18" t="s">
        <v>25</v>
      </c>
      <c r="G15" s="17" t="s">
        <v>84</v>
      </c>
      <c r="H15" s="17" t="s">
        <v>78</v>
      </c>
      <c r="I15" s="17">
        <f>'MERCADO TUSD'!$U$12</f>
        <v>0</v>
      </c>
      <c r="J15" s="15"/>
      <c r="L15" s="12">
        <f>'TUSD BE'!$L$15*'TUSD BF'!$L$68</f>
        <v>0</v>
      </c>
      <c r="M15" s="12">
        <f>'TUSD BE'!$M$15*'TUSD BF'!$M$68</f>
        <v>0</v>
      </c>
      <c r="N15" s="12">
        <f ca="1">'TUSD BE'!$N$15*'TUSD BF'!$N$68</f>
        <v>0</v>
      </c>
      <c r="O15" s="12">
        <f>'TUSD BE'!$O$15*'TUSD BF'!$O$68</f>
        <v>0</v>
      </c>
      <c r="P15" s="12">
        <f>'TUSD BE'!$P$15*'TUSD BF'!$P$68</f>
        <v>0</v>
      </c>
      <c r="Q15" s="12">
        <f>'TUSD BE'!$Q$15*'TUSD BF'!$Q$68</f>
        <v>0</v>
      </c>
      <c r="R15" s="12">
        <f>'TUSD BE'!$R$15*'TUSD BF'!$R$68</f>
        <v>0</v>
      </c>
      <c r="S15" s="12">
        <f>'TUSD BE'!$R$15*'TUSD BF'!$S$68</f>
        <v>0</v>
      </c>
      <c r="T15" s="12">
        <f ca="1">SUM($L$15:$S$15)</f>
        <v>0</v>
      </c>
      <c r="U15" s="12">
        <f>'TUSD BE'!$U$15*'TUSD BF'!$U$68</f>
        <v>0</v>
      </c>
      <c r="V15" s="12">
        <f>'TUSD BE'!$V$15*'TUSD BF'!$V$68</f>
        <v>0</v>
      </c>
      <c r="W15" s="12">
        <f>'TUSD BE'!$W$15*'TUSD BF'!$W$68</f>
        <v>0</v>
      </c>
      <c r="X15" s="12">
        <f>'TUSD BE'!$X$15*'TUSD BF'!$X$68</f>
        <v>0</v>
      </c>
      <c r="Y15" s="12">
        <f>'TUSD BE'!$Y$15*'TUSD BF'!$Y$68</f>
        <v>0</v>
      </c>
      <c r="Z15" s="12">
        <f>'TUSD BE'!$Z$15*'TUSD BF'!$Z$68</f>
        <v>0</v>
      </c>
      <c r="AA15" s="12">
        <f>'TUSD BE'!$AA$15*'TUSD BF'!$AA$68</f>
        <v>0</v>
      </c>
      <c r="AB15" s="12">
        <f>SUM($U$15:$AA$15)</f>
        <v>0</v>
      </c>
      <c r="AC15" s="12">
        <f>'TUSD BE'!$AC$15*'TUSD BF'!$AC$68</f>
        <v>0</v>
      </c>
      <c r="AD15" s="12">
        <f>SUM($AC$15:$AC$15)</f>
        <v>0</v>
      </c>
      <c r="AE15" s="12">
        <f ca="1">$AO$15*$AO$65</f>
        <v>0</v>
      </c>
      <c r="AF15" s="12">
        <f ca="1">$AP$15*$AP$65</f>
        <v>0</v>
      </c>
      <c r="AG15" s="12">
        <f ca="1">SUM($AE$15:$AF$15)</f>
        <v>0</v>
      </c>
      <c r="AH15" s="12">
        <f>'TUSD BE'!$AH$15*'TUSD BF'!$AH$68</f>
        <v>0.91919749317250254</v>
      </c>
      <c r="AI15" s="12">
        <f>'TUSD BE'!$AI$15*'TUSD BF'!$AI$68</f>
        <v>2.1672167692641617E-2</v>
      </c>
      <c r="AJ15" s="12">
        <f ca="1">'TUSD BE'!$AJ$15*'TUSD BF'!$AJ$68</f>
        <v>0.30699999412472467</v>
      </c>
      <c r="AK15" s="12">
        <f ca="1">'TUSD BE'!$AK$15*'TUSD BF'!$AK$68</f>
        <v>0</v>
      </c>
      <c r="AL15" s="12">
        <f ca="1">SUM($AH$15:$AK$15)</f>
        <v>1.2478696549898687</v>
      </c>
      <c r="AM15" s="12">
        <f ca="1">SUMIF($L$4:$AL$4,"SUBTOTAL",$L$15:$AL$15)</f>
        <v>1.2478696549898687</v>
      </c>
      <c r="AO15" s="20">
        <f ca="1">+'TUSD BE'!$T$15+'TUSD BE'!$AB$15+'TUSD BE'!$AD$15+'TUSD BE'!$AL$15</f>
        <v>8.1359196209764661</v>
      </c>
      <c r="AP15" s="20">
        <f ca="1">+'TUSD BE'!$T$15+'TUSD BE'!$AB$15+'TUSD BE'!$AD$15+'TUSD BE'!$AL$15</f>
        <v>8.1359196209764661</v>
      </c>
    </row>
    <row r="16" spans="1:42" ht="11.25" customHeight="1" x14ac:dyDescent="0.25">
      <c r="A16" s="106"/>
      <c r="B16" s="106" t="s">
        <v>59</v>
      </c>
      <c r="C16" s="106" t="s">
        <v>25</v>
      </c>
      <c r="D16" s="106" t="s">
        <v>25</v>
      </c>
      <c r="E16" s="106" t="s">
        <v>25</v>
      </c>
      <c r="F16" s="106" t="s">
        <v>60</v>
      </c>
      <c r="G16" s="17" t="s">
        <v>82</v>
      </c>
      <c r="H16" s="17" t="s">
        <v>81</v>
      </c>
      <c r="I16" s="17">
        <f>'MERCADO TUSD'!$U$13</f>
        <v>1804</v>
      </c>
      <c r="J16" s="15"/>
      <c r="L16" s="12">
        <f>'TUSD BE'!$L$16*'TUSD BF'!$L$68</f>
        <v>0</v>
      </c>
      <c r="M16" s="12">
        <f>'TUSD BE'!$M$16*'TUSD BF'!$M$68</f>
        <v>0</v>
      </c>
      <c r="N16" s="12">
        <f ca="1">'TUSD BE'!$N$16*'TUSD BF'!$N$68</f>
        <v>0</v>
      </c>
      <c r="O16" s="12">
        <f>'TUSD BE'!$O$16*'TUSD BF'!$O$68</f>
        <v>0</v>
      </c>
      <c r="P16" s="12">
        <f>'TUSD BE'!$P$16*'TUSD BF'!$P$68</f>
        <v>0</v>
      </c>
      <c r="Q16" s="12">
        <f>'TUSD BE'!$Q$16*'TUSD BF'!$Q$68</f>
        <v>0</v>
      </c>
      <c r="R16" s="12">
        <f>'TUSD BE'!$R$16*'TUSD BF'!$R$68</f>
        <v>0</v>
      </c>
      <c r="S16" s="12">
        <f>'TUSD BE'!$R$16*'TUSD BF'!$S$68</f>
        <v>0</v>
      </c>
      <c r="T16" s="12">
        <f ca="1">SUM($L$16:$S$16)</f>
        <v>0</v>
      </c>
      <c r="U16" s="12">
        <f>'TUSD BE'!$U$16*'TUSD BF'!$U$68</f>
        <v>0.27113443426465228</v>
      </c>
      <c r="V16" s="12">
        <f>'TUSD BE'!$V$16*'TUSD BF'!$V$68</f>
        <v>7.374286199438633E-2</v>
      </c>
      <c r="W16" s="12">
        <f>'TUSD BE'!$W$16*'TUSD BF'!$W$68</f>
        <v>0</v>
      </c>
      <c r="X16" s="12">
        <f>'TUSD BE'!$X$16*'TUSD BF'!$X$68</f>
        <v>0</v>
      </c>
      <c r="Y16" s="12">
        <f>'TUSD BE'!$Y$16*'TUSD BF'!$Y$68</f>
        <v>0</v>
      </c>
      <c r="Z16" s="12">
        <f>'TUSD BE'!$Z$16*'TUSD BF'!$Z$68</f>
        <v>0</v>
      </c>
      <c r="AA16" s="12">
        <f>'TUSD BE'!$AA$16*'TUSD BF'!$AA$68</f>
        <v>0</v>
      </c>
      <c r="AB16" s="12">
        <f>SUM($U$16:$AA$16)</f>
        <v>0.34487729625903862</v>
      </c>
      <c r="AC16" s="12">
        <f>'TUSD BE'!$AC$16*'TUSD BF'!$AC$68</f>
        <v>0</v>
      </c>
      <c r="AD16" s="12">
        <f>SUM($AC$16:$AC$16)</f>
        <v>0</v>
      </c>
      <c r="AE16" s="12">
        <v>0</v>
      </c>
      <c r="AF16" s="12">
        <f ca="1">$AP$16*$AP$65</f>
        <v>0</v>
      </c>
      <c r="AG16" s="12">
        <f ca="1">SUM($AE$16:$AF$16)</f>
        <v>0</v>
      </c>
      <c r="AH16" s="12">
        <f>'TUSD BE'!$AH$16*'TUSD BF'!$AH$68</f>
        <v>0</v>
      </c>
      <c r="AI16" s="12">
        <f>'TUSD BE'!$AI$16*'TUSD BF'!$AI$68</f>
        <v>0</v>
      </c>
      <c r="AJ16" s="12">
        <f ca="1">'TUSD BE'!$AJ$16*'TUSD BF'!$AJ$68</f>
        <v>0</v>
      </c>
      <c r="AK16" s="12">
        <f ca="1">'TUSD BE'!$AK$16*'TUSD BF'!$AK$68</f>
        <v>0</v>
      </c>
      <c r="AL16" s="12">
        <f ca="1">SUM($AH$16:$AK$16)</f>
        <v>0</v>
      </c>
      <c r="AM16" s="12">
        <f ca="1">SUMIF($L$4:$AL$4,"SUBTOTAL",$L$16:$AL$16)</f>
        <v>0.34487729625903862</v>
      </c>
      <c r="AO16" s="20"/>
      <c r="AP16" s="20">
        <f ca="1">+'TUSD BE'!$T$16+'TUSD BE'!$AB$16+'TUSD BE'!$AD$16+'TUSD BE'!$AL$16</f>
        <v>22.10850668329698</v>
      </c>
    </row>
    <row r="17" spans="1:42" ht="11.25" customHeight="1" x14ac:dyDescent="0.25">
      <c r="A17" s="106"/>
      <c r="B17" s="106"/>
      <c r="C17" s="106"/>
      <c r="D17" s="106"/>
      <c r="E17" s="106"/>
      <c r="F17" s="106"/>
      <c r="G17" s="17" t="s">
        <v>83</v>
      </c>
      <c r="H17" s="17" t="s">
        <v>81</v>
      </c>
      <c r="I17" s="17">
        <f>'MERCADO TUSD'!$U$14</f>
        <v>1804</v>
      </c>
      <c r="J17" s="15"/>
      <c r="L17" s="12">
        <f>'TUSD BE'!$L$17*'TUSD BF'!$L$68</f>
        <v>0</v>
      </c>
      <c r="M17" s="12">
        <f>'TUSD BE'!$M$17*'TUSD BF'!$M$68</f>
        <v>0</v>
      </c>
      <c r="N17" s="12">
        <f ca="1">'TUSD BE'!$N$17*'TUSD BF'!$N$68</f>
        <v>0</v>
      </c>
      <c r="O17" s="12">
        <f>'TUSD BE'!$O$17*'TUSD BF'!$O$68</f>
        <v>0</v>
      </c>
      <c r="P17" s="12">
        <f>'TUSD BE'!$P$17*'TUSD BF'!$P$68</f>
        <v>0</v>
      </c>
      <c r="Q17" s="12">
        <f>'TUSD BE'!$Q$17*'TUSD BF'!$Q$68</f>
        <v>0</v>
      </c>
      <c r="R17" s="12">
        <f>'TUSD BE'!$R$17*'TUSD BF'!$R$68</f>
        <v>0</v>
      </c>
      <c r="S17" s="12">
        <f>'TUSD BE'!$R$17*'TUSD BF'!$S$68</f>
        <v>0</v>
      </c>
      <c r="T17" s="12">
        <f ca="1">SUM($L$17:$S$17)</f>
        <v>0</v>
      </c>
      <c r="U17" s="12">
        <f>'TUSD BE'!$U$17*'TUSD BF'!$U$68</f>
        <v>0.20299809972422692</v>
      </c>
      <c r="V17" s="12">
        <f>'TUSD BE'!$V$17*'TUSD BF'!$V$68</f>
        <v>5.5824796725900731E-2</v>
      </c>
      <c r="W17" s="12">
        <f>'TUSD BE'!$W$17*'TUSD BF'!$W$68</f>
        <v>0</v>
      </c>
      <c r="X17" s="12">
        <f>'TUSD BE'!$X$17*'TUSD BF'!$X$68</f>
        <v>0</v>
      </c>
      <c r="Y17" s="12">
        <f>'TUSD BE'!$Y$17*'TUSD BF'!$Y$68</f>
        <v>0</v>
      </c>
      <c r="Z17" s="12">
        <f>'TUSD BE'!$Z$17*'TUSD BF'!$Z$68</f>
        <v>0</v>
      </c>
      <c r="AA17" s="12">
        <f>'TUSD BE'!$AA$17*'TUSD BF'!$AA$68</f>
        <v>0</v>
      </c>
      <c r="AB17" s="12">
        <f>SUM($U$17:$AA$17)</f>
        <v>0.25882289645012763</v>
      </c>
      <c r="AC17" s="12">
        <f>'TUSD BE'!$AC$17*'TUSD BF'!$AC$68</f>
        <v>0</v>
      </c>
      <c r="AD17" s="12">
        <f>SUM($AC$17:$AC$17)</f>
        <v>0</v>
      </c>
      <c r="AE17" s="12">
        <v>0</v>
      </c>
      <c r="AF17" s="12">
        <f ca="1">$AP$17*$AP$65</f>
        <v>0</v>
      </c>
      <c r="AG17" s="12">
        <f ca="1">SUM($AE$17:$AF$17)</f>
        <v>0</v>
      </c>
      <c r="AH17" s="12">
        <f>'TUSD BE'!$AH$17*'TUSD BF'!$AH$68</f>
        <v>0</v>
      </c>
      <c r="AI17" s="12">
        <f>'TUSD BE'!$AI$17*'TUSD BF'!$AI$68</f>
        <v>0</v>
      </c>
      <c r="AJ17" s="12">
        <f ca="1">'TUSD BE'!$AJ$17*'TUSD BF'!$AJ$68</f>
        <v>0</v>
      </c>
      <c r="AK17" s="12">
        <f ca="1">'TUSD BE'!$AK$17*'TUSD BF'!$AK$68</f>
        <v>0</v>
      </c>
      <c r="AL17" s="12">
        <f ca="1">SUM($AH$17:$AK$17)</f>
        <v>0</v>
      </c>
      <c r="AM17" s="12">
        <f ca="1">SUMIF($L$4:$AL$4,"SUBTOTAL",$L$17:$AL$17)</f>
        <v>0.25882289645012763</v>
      </c>
      <c r="AO17" s="20"/>
      <c r="AP17" s="20">
        <f ca="1">+'TUSD BE'!$T$17+'TUSD BE'!$AB$17+'TUSD BE'!$AD$17+'TUSD BE'!$AL$17</f>
        <v>11.446356259338321</v>
      </c>
    </row>
    <row r="18" spans="1:42" ht="11.25" customHeight="1" x14ac:dyDescent="0.25">
      <c r="A18" s="106"/>
      <c r="B18" s="106"/>
      <c r="C18" s="106"/>
      <c r="D18" s="106"/>
      <c r="E18" s="106"/>
      <c r="F18" s="106"/>
      <c r="G18" s="17" t="s">
        <v>84</v>
      </c>
      <c r="H18" s="17" t="s">
        <v>78</v>
      </c>
      <c r="I18" s="17">
        <f>'MERCADO TUSD'!$U$15</f>
        <v>731.00300000000004</v>
      </c>
      <c r="J18" s="15"/>
      <c r="L18" s="12">
        <f>'TUSD BE'!$L$18*'TUSD BF'!$L$68</f>
        <v>0</v>
      </c>
      <c r="M18" s="12">
        <f>'TUSD BE'!$M$18*'TUSD BF'!$M$68</f>
        <v>0</v>
      </c>
      <c r="N18" s="12">
        <f ca="1">'TUSD BE'!$N$18*'TUSD BF'!$N$68</f>
        <v>0</v>
      </c>
      <c r="O18" s="12">
        <f>'TUSD BE'!$O$18*'TUSD BF'!$O$68</f>
        <v>0</v>
      </c>
      <c r="P18" s="12">
        <f>'TUSD BE'!$P$18*'TUSD BF'!$P$68</f>
        <v>0</v>
      </c>
      <c r="Q18" s="12">
        <f>'TUSD BE'!$Q$18*'TUSD BF'!$Q$68</f>
        <v>0</v>
      </c>
      <c r="R18" s="12">
        <f>'TUSD BE'!$R$18*'TUSD BF'!$R$68</f>
        <v>0</v>
      </c>
      <c r="S18" s="12">
        <f>'TUSD BE'!$R$18*'TUSD BF'!$S$68</f>
        <v>0</v>
      </c>
      <c r="T18" s="12">
        <f ca="1">SUM($L$18:$S$18)</f>
        <v>0</v>
      </c>
      <c r="U18" s="12">
        <f>'TUSD BE'!$U$18*'TUSD BF'!$U$68</f>
        <v>0</v>
      </c>
      <c r="V18" s="12">
        <f>'TUSD BE'!$V$18*'TUSD BF'!$V$68</f>
        <v>0</v>
      </c>
      <c r="W18" s="12">
        <f>'TUSD BE'!$W$18*'TUSD BF'!$W$68</f>
        <v>0</v>
      </c>
      <c r="X18" s="12">
        <f>'TUSD BE'!$X$18*'TUSD BF'!$X$68</f>
        <v>0</v>
      </c>
      <c r="Y18" s="12">
        <f>'TUSD BE'!$Y$18*'TUSD BF'!$Y$68</f>
        <v>0</v>
      </c>
      <c r="Z18" s="12">
        <f>'TUSD BE'!$Z$18*'TUSD BF'!$Z$68</f>
        <v>0</v>
      </c>
      <c r="AA18" s="12">
        <f>'TUSD BE'!$AA$18*'TUSD BF'!$AA$68</f>
        <v>0</v>
      </c>
      <c r="AB18" s="12">
        <f>SUM($U$18:$AA$18)</f>
        <v>0</v>
      </c>
      <c r="AC18" s="12">
        <f>'TUSD BE'!$AC$18*'TUSD BF'!$AC$68</f>
        <v>0</v>
      </c>
      <c r="AD18" s="12">
        <f>SUM($AC$18:$AC$18)</f>
        <v>0</v>
      </c>
      <c r="AE18" s="12">
        <v>0</v>
      </c>
      <c r="AF18" s="12">
        <f ca="1">$AP$18*$AP$65</f>
        <v>0</v>
      </c>
      <c r="AG18" s="12">
        <f ca="1">SUM($AE$18:$AF$18)</f>
        <v>0</v>
      </c>
      <c r="AH18" s="12">
        <f>'TUSD BE'!$AH$18*'TUSD BF'!$AH$68</f>
        <v>0.91919749317250254</v>
      </c>
      <c r="AI18" s="12">
        <f>'TUSD BE'!$AI$18*'TUSD BF'!$AI$68</f>
        <v>2.1672167692641617E-2</v>
      </c>
      <c r="AJ18" s="12">
        <f ca="1">'TUSD BE'!$AJ$18*'TUSD BF'!$AJ$68</f>
        <v>0</v>
      </c>
      <c r="AK18" s="12">
        <f ca="1">'TUSD BE'!$AK$18*'TUSD BF'!$AK$68</f>
        <v>0</v>
      </c>
      <c r="AL18" s="12">
        <f ca="1">SUM($AH$18:$AK$18)</f>
        <v>0.94086966086514412</v>
      </c>
      <c r="AM18" s="12">
        <f ca="1">SUMIF($L$4:$AL$4,"SUBTOTAL",$L$18:$AL$18)</f>
        <v>0.94086966086514412</v>
      </c>
      <c r="AO18" s="20"/>
      <c r="AP18" s="20">
        <f ca="1">+'TUSD BE'!$T$18+'TUSD BE'!$AB$18+'TUSD BE'!$AD$18+'TUSD BE'!$AL$18</f>
        <v>5.6599340153709106</v>
      </c>
    </row>
    <row r="19" spans="1:42" ht="11.25" customHeight="1" x14ac:dyDescent="0.25">
      <c r="A19" s="106"/>
      <c r="B19" s="18" t="s">
        <v>87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81</v>
      </c>
      <c r="I19" s="17">
        <f>'MERCADO TUSD'!$U$16</f>
        <v>0</v>
      </c>
      <c r="J19" s="15"/>
      <c r="L19" s="12">
        <f>'TUSD BE'!$L$19*'TUSD BF'!$L$68</f>
        <v>0</v>
      </c>
      <c r="M19" s="12">
        <f>'TUSD BE'!$M$19*'TUSD BF'!$M$68</f>
        <v>0</v>
      </c>
      <c r="N19" s="12">
        <f ca="1">'TUSD BE'!$N$19*'TUSD BF'!$N$68</f>
        <v>0</v>
      </c>
      <c r="O19" s="12">
        <f>'TUSD BE'!$O$19*'TUSD BF'!$O$68</f>
        <v>0</v>
      </c>
      <c r="P19" s="12">
        <f>'TUSD BE'!$P$19*'TUSD BF'!$P$68</f>
        <v>0</v>
      </c>
      <c r="Q19" s="12">
        <f>'TUSD BE'!$Q$19*'TUSD BF'!$Q$68</f>
        <v>0</v>
      </c>
      <c r="R19" s="12">
        <f>'TUSD BE'!$R$19*'TUSD BF'!$R$68</f>
        <v>0</v>
      </c>
      <c r="S19" s="12">
        <f>'TUSD BE'!$R$19*'TUSD BF'!$S$68</f>
        <v>0</v>
      </c>
      <c r="T19" s="12">
        <f ca="1">SUM($L$19:$S$19)</f>
        <v>0</v>
      </c>
      <c r="U19" s="12">
        <f>'TUSD BE'!$U$19*'TUSD BF'!$U$68</f>
        <v>0</v>
      </c>
      <c r="V19" s="12">
        <f>'TUSD BE'!$V$19*'TUSD BF'!$V$68</f>
        <v>0</v>
      </c>
      <c r="W19" s="12">
        <f>'TUSD BE'!$W$19*'TUSD BF'!$W$68</f>
        <v>0</v>
      </c>
      <c r="X19" s="12">
        <f>'TUSD BE'!$X$19*'TUSD BF'!$X$68</f>
        <v>0</v>
      </c>
      <c r="Y19" s="12">
        <f>'TUSD BE'!$Y$19*'TUSD BF'!$Y$68</f>
        <v>0</v>
      </c>
      <c r="Z19" s="12">
        <f>'TUSD BE'!$Z$19*'TUSD BF'!$Z$68</f>
        <v>0</v>
      </c>
      <c r="AA19" s="12">
        <f>'TUSD BE'!$AA$19*'TUSD BF'!$AA$68</f>
        <v>0</v>
      </c>
      <c r="AB19" s="12">
        <f>SUM($U$19:$AA$19)</f>
        <v>0</v>
      </c>
      <c r="AC19" s="12">
        <f>'TUSD BE'!$AC$19*'TUSD BF'!$AC$68</f>
        <v>0</v>
      </c>
      <c r="AD19" s="12">
        <f>SUM($AC$19:$AC$19)</f>
        <v>0</v>
      </c>
      <c r="AE19" s="12">
        <f ca="1">$AO$19*$AO$65</f>
        <v>0</v>
      </c>
      <c r="AF19" s="12">
        <f ca="1">$AP$19*$AP$65</f>
        <v>0</v>
      </c>
      <c r="AG19" s="12">
        <f ca="1">SUM($AE$19:$AF$19)</f>
        <v>0</v>
      </c>
      <c r="AH19" s="12">
        <f>'TUSD BE'!$AH$19*'TUSD BF'!$AH$68</f>
        <v>0</v>
      </c>
      <c r="AI19" s="12">
        <f>'TUSD BE'!$AI$19*'TUSD BF'!$AI$68</f>
        <v>0</v>
      </c>
      <c r="AJ19" s="12">
        <f ca="1">'TUSD BE'!$AJ$19*'TUSD BF'!$AJ$68</f>
        <v>0</v>
      </c>
      <c r="AK19" s="12">
        <f ca="1">'TUSD BE'!$AK$19*'TUSD BF'!$AK$68</f>
        <v>0</v>
      </c>
      <c r="AL19" s="12">
        <f ca="1">SUM($AH$19:$AK$19)</f>
        <v>0</v>
      </c>
      <c r="AM19" s="12">
        <f ca="1">SUMIF($L$4:$AL$4,"SUBTOTAL",$L$19:$AL$19)</f>
        <v>0</v>
      </c>
      <c r="AO19" s="20">
        <f ca="1">+'TUSD BE'!$T$19+'TUSD BE'!$AB$19+'TUSD BE'!$AD$19+'TUSD BE'!$AL$19</f>
        <v>9.9694168949130617</v>
      </c>
      <c r="AP19" s="20">
        <f ca="1">+'TUSD BE'!$T$19+'TUSD BE'!$AB$19+'TUSD BE'!$AD$19+'TUSD BE'!$AL$19</f>
        <v>9.9694168949130617</v>
      </c>
    </row>
    <row r="20" spans="1:42" ht="11.25" customHeight="1" x14ac:dyDescent="0.25">
      <c r="A20" s="106"/>
      <c r="B20" s="106" t="s">
        <v>41</v>
      </c>
      <c r="C20" s="106" t="s">
        <v>25</v>
      </c>
      <c r="D20" s="106" t="s">
        <v>25</v>
      </c>
      <c r="E20" s="106" t="s">
        <v>25</v>
      </c>
      <c r="F20" s="106" t="s">
        <v>25</v>
      </c>
      <c r="G20" s="17" t="s">
        <v>9</v>
      </c>
      <c r="H20" s="17" t="s">
        <v>81</v>
      </c>
      <c r="I20" s="17">
        <f>'MERCADO TUSD'!$U$17</f>
        <v>750849</v>
      </c>
      <c r="J20" s="15"/>
      <c r="L20" s="12">
        <f>'TUSD BE'!$L$20*'TUSD BF'!$L$68</f>
        <v>0</v>
      </c>
      <c r="M20" s="12">
        <f>'TUSD BE'!$M$20*'TUSD BF'!$M$68</f>
        <v>0</v>
      </c>
      <c r="N20" s="12">
        <f ca="1">'TUSD BE'!$N$20*'TUSD BF'!$N$68</f>
        <v>0</v>
      </c>
      <c r="O20" s="12">
        <f>'TUSD BE'!$O$20*'TUSD BF'!$O$68</f>
        <v>0</v>
      </c>
      <c r="P20" s="12">
        <f>'TUSD BE'!$P$20*'TUSD BF'!$P$68</f>
        <v>0</v>
      </c>
      <c r="Q20" s="12">
        <f>'TUSD BE'!$Q$20*'TUSD BF'!$Q$68</f>
        <v>0</v>
      </c>
      <c r="R20" s="12">
        <f>'TUSD BE'!$R$20*'TUSD BF'!$R$68</f>
        <v>0</v>
      </c>
      <c r="S20" s="12">
        <f>'TUSD BE'!$R$20*'TUSD BF'!$S$68</f>
        <v>0</v>
      </c>
      <c r="T20" s="12">
        <f ca="1">SUM($L$20:$S$20)</f>
        <v>0</v>
      </c>
      <c r="U20" s="12">
        <f>'TUSD BE'!$U$20*'TUSD BF'!$U$68</f>
        <v>0.20299809972422692</v>
      </c>
      <c r="V20" s="12">
        <f>'TUSD BE'!$V$20*'TUSD BF'!$V$68</f>
        <v>5.5824796725900731E-2</v>
      </c>
      <c r="W20" s="12">
        <f>'TUSD BE'!$W$20*'TUSD BF'!$W$68</f>
        <v>0</v>
      </c>
      <c r="X20" s="12">
        <f>'TUSD BE'!$X$20*'TUSD BF'!$X$68</f>
        <v>0</v>
      </c>
      <c r="Y20" s="12">
        <f>'TUSD BE'!$Y$20*'TUSD BF'!$Y$68</f>
        <v>0</v>
      </c>
      <c r="Z20" s="12">
        <f>'TUSD BE'!$Z$20*'TUSD BF'!$Z$68</f>
        <v>0</v>
      </c>
      <c r="AA20" s="12">
        <f>'TUSD BE'!$AA$20*'TUSD BF'!$AA$68</f>
        <v>0</v>
      </c>
      <c r="AB20" s="12">
        <f>SUM($U$20:$AA$20)</f>
        <v>0.25882289645012763</v>
      </c>
      <c r="AC20" s="12">
        <f>'TUSD BE'!$AC$20*'TUSD BF'!$AC$68</f>
        <v>0</v>
      </c>
      <c r="AD20" s="12">
        <f>SUM($AC$20:$AC$20)</f>
        <v>0</v>
      </c>
      <c r="AE20" s="12">
        <f ca="1">$AO$20*$AO$65</f>
        <v>0</v>
      </c>
      <c r="AF20" s="12">
        <f ca="1">$AP$20*$AP$65</f>
        <v>0</v>
      </c>
      <c r="AG20" s="12">
        <f ca="1">SUM($AE$20:$AF$20)</f>
        <v>0</v>
      </c>
      <c r="AH20" s="12">
        <f>'TUSD BE'!$AH$20*'TUSD BF'!$AH$68</f>
        <v>0</v>
      </c>
      <c r="AI20" s="12">
        <f>'TUSD BE'!$AI$20*'TUSD BF'!$AI$68</f>
        <v>0</v>
      </c>
      <c r="AJ20" s="12">
        <f ca="1">'TUSD BE'!$AJ$20*'TUSD BF'!$AJ$68</f>
        <v>0</v>
      </c>
      <c r="AK20" s="12">
        <f ca="1">'TUSD BE'!$AK$20*'TUSD BF'!$AK$68</f>
        <v>0</v>
      </c>
      <c r="AL20" s="12">
        <f ca="1">SUM($AH$20:$AK$20)</f>
        <v>0</v>
      </c>
      <c r="AM20" s="12">
        <f ca="1">SUMIF($L$4:$AL$4,"SUBTOTAL",$L$20:$AL$20)</f>
        <v>0.25882289645012763</v>
      </c>
      <c r="AO20" s="20">
        <f ca="1">+'TUSD BE'!$T$20+'TUSD BE'!$AB$20+'TUSD BE'!$AD$20+'TUSD BE'!$AL$20</f>
        <v>19.356183929961468</v>
      </c>
      <c r="AP20" s="20">
        <f ca="1">+'TUSD BE'!$T$20+'TUSD BE'!$AB$20+'TUSD BE'!$AD$20+'TUSD BE'!$AL$20</f>
        <v>19.356183929961468</v>
      </c>
    </row>
    <row r="21" spans="1:42" ht="11.25" customHeight="1" x14ac:dyDescent="0.25">
      <c r="A21" s="106"/>
      <c r="B21" s="106"/>
      <c r="C21" s="106"/>
      <c r="D21" s="106"/>
      <c r="E21" s="106"/>
      <c r="F21" s="106"/>
      <c r="G21" s="17" t="s">
        <v>79</v>
      </c>
      <c r="H21" s="17" t="s">
        <v>78</v>
      </c>
      <c r="I21" s="17">
        <f>'MERCADO TUSD'!$U$18</f>
        <v>10300.001999999999</v>
      </c>
      <c r="J21" s="15"/>
      <c r="L21" s="12">
        <f>'TUSD BE'!$L$21*'TUSD BF'!$L$68</f>
        <v>0.17580208912874948</v>
      </c>
      <c r="M21" s="12">
        <f>'TUSD BE'!$M$21*'TUSD BF'!$M$68</f>
        <v>0</v>
      </c>
      <c r="N21" s="12">
        <f ca="1">'TUSD BE'!$N$21*'TUSD BF'!$N$68</f>
        <v>0</v>
      </c>
      <c r="O21" s="12">
        <f>'TUSD BE'!$O$21*'TUSD BF'!$O$68</f>
        <v>0</v>
      </c>
      <c r="P21" s="12">
        <f>'TUSD BE'!$P$21*'TUSD BF'!$P$68</f>
        <v>0</v>
      </c>
      <c r="Q21" s="12">
        <f>'TUSD BE'!$Q$21*'TUSD BF'!$Q$68</f>
        <v>-1.3745741152420179E-2</v>
      </c>
      <c r="R21" s="12">
        <f>'TUSD BE'!$R$21*'TUSD BF'!$R$68</f>
        <v>0.46648905484000996</v>
      </c>
      <c r="S21" s="12">
        <f>'TUSD BE'!$R$21*'TUSD BF'!$S$68</f>
        <v>0</v>
      </c>
      <c r="T21" s="12">
        <f ca="1">SUM($L$21:$S$21)</f>
        <v>0.6285454028163393</v>
      </c>
      <c r="U21" s="12">
        <f>'TUSD BE'!$U$21*'TUSD BF'!$U$68</f>
        <v>6.5207750325964895</v>
      </c>
      <c r="V21" s="12">
        <f>'TUSD BE'!$V$21*'TUSD BF'!$V$68</f>
        <v>1.7735394838968543</v>
      </c>
      <c r="W21" s="12">
        <f>'TUSD BE'!$W$21*'TUSD BF'!$W$68</f>
        <v>0</v>
      </c>
      <c r="X21" s="12">
        <f>'TUSD BE'!$X$21*'TUSD BF'!$X$68</f>
        <v>0</v>
      </c>
      <c r="Y21" s="12">
        <f>'TUSD BE'!$Y$21*'TUSD BF'!$Y$68</f>
        <v>0</v>
      </c>
      <c r="Z21" s="12">
        <f>'TUSD BE'!$Z$21*'TUSD BF'!$Z$68</f>
        <v>0</v>
      </c>
      <c r="AA21" s="12">
        <f>'TUSD BE'!$AA$21*'TUSD BF'!$AA$68</f>
        <v>0</v>
      </c>
      <c r="AB21" s="12">
        <f>SUM($U$21:$AA$21)</f>
        <v>8.2943145164933441</v>
      </c>
      <c r="AC21" s="12">
        <f>'TUSD BE'!$AC$21*'TUSD BF'!$AC$68</f>
        <v>0</v>
      </c>
      <c r="AD21" s="12">
        <f>SUM($AC$21:$AC$21)</f>
        <v>0</v>
      </c>
      <c r="AE21" s="12">
        <f ca="1">$AO$21*$AO$65</f>
        <v>0</v>
      </c>
      <c r="AF21" s="12">
        <f ca="1">$AP$21*$AP$65</f>
        <v>0</v>
      </c>
      <c r="AG21" s="12">
        <f ca="1">SUM($AE$21:$AF$21)</f>
        <v>0</v>
      </c>
      <c r="AH21" s="12">
        <f>'TUSD BE'!$AH$21*'TUSD BF'!$AH$68</f>
        <v>0.91919749317250254</v>
      </c>
      <c r="AI21" s="12">
        <f>'TUSD BE'!$AI$21*'TUSD BF'!$AI$68</f>
        <v>2.1672167692641617E-2</v>
      </c>
      <c r="AJ21" s="12">
        <f ca="1">'TUSD BE'!$AJ$21*'TUSD BF'!$AJ$68</f>
        <v>0.30699999412472467</v>
      </c>
      <c r="AK21" s="12">
        <f ca="1">'TUSD BE'!$AK$21*'TUSD BF'!$AK$68</f>
        <v>0</v>
      </c>
      <c r="AL21" s="12">
        <f ca="1">SUM($AH$21:$AK$21)</f>
        <v>1.2478696549898687</v>
      </c>
      <c r="AM21" s="12">
        <f ca="1">SUMIF($L$4:$AL$4,"SUBTOTAL",$L$21:$AL$21)</f>
        <v>10.170729574299552</v>
      </c>
      <c r="AO21" s="20">
        <f ca="1">+'TUSD BE'!$T$21+'TUSD BE'!$AB$21+'TUSD BE'!$AD$21+'TUSD BE'!$AL$21</f>
        <v>1013.3319922218268</v>
      </c>
      <c r="AP21" s="20">
        <f ca="1">+'TUSD BE'!$T$21+'TUSD BE'!$AB$21+'TUSD BE'!$AD$21+'TUSD BE'!$AL$21</f>
        <v>1013.3319922218268</v>
      </c>
    </row>
    <row r="22" spans="1:42" ht="11.25" customHeight="1" x14ac:dyDescent="0.25">
      <c r="A22" s="106"/>
      <c r="B22" s="106"/>
      <c r="C22" s="106"/>
      <c r="D22" s="106"/>
      <c r="E22" s="106"/>
      <c r="F22" s="106"/>
      <c r="G22" s="17" t="s">
        <v>80</v>
      </c>
      <c r="H22" s="17" t="s">
        <v>78</v>
      </c>
      <c r="I22" s="17">
        <f>'MERCADO TUSD'!$U$19</f>
        <v>146148.57</v>
      </c>
      <c r="J22" s="15"/>
      <c r="L22" s="12">
        <f>'TUSD BE'!$L$22*'TUSD BF'!$L$68</f>
        <v>0.17580208912874948</v>
      </c>
      <c r="M22" s="12">
        <f>'TUSD BE'!$M$22*'TUSD BF'!$M$68</f>
        <v>0</v>
      </c>
      <c r="N22" s="12">
        <f ca="1">'TUSD BE'!$N$22*'TUSD BF'!$N$68</f>
        <v>0</v>
      </c>
      <c r="O22" s="12">
        <f>'TUSD BE'!$O$22*'TUSD BF'!$O$68</f>
        <v>0</v>
      </c>
      <c r="P22" s="12">
        <f>'TUSD BE'!$P$22*'TUSD BF'!$P$68</f>
        <v>0</v>
      </c>
      <c r="Q22" s="12">
        <f>'TUSD BE'!$Q$22*'TUSD BF'!$Q$68</f>
        <v>-1.3745741152420179E-2</v>
      </c>
      <c r="R22" s="12">
        <f>'TUSD BE'!$R$22*'TUSD BF'!$R$68</f>
        <v>0.46648905484000996</v>
      </c>
      <c r="S22" s="12">
        <f>'TUSD BE'!$R$22*'TUSD BF'!$S$68</f>
        <v>0</v>
      </c>
      <c r="T22" s="12">
        <f ca="1">SUM($L$22:$S$22)</f>
        <v>0.6285454028163393</v>
      </c>
      <c r="U22" s="12">
        <f>'TUSD BE'!$U$22*'TUSD BF'!$U$68</f>
        <v>0</v>
      </c>
      <c r="V22" s="12">
        <f>'TUSD BE'!$V$22*'TUSD BF'!$V$68</f>
        <v>0</v>
      </c>
      <c r="W22" s="12">
        <f>'TUSD BE'!$W$22*'TUSD BF'!$W$68</f>
        <v>0</v>
      </c>
      <c r="X22" s="12">
        <f>'TUSD BE'!$X$22*'TUSD BF'!$X$68</f>
        <v>0</v>
      </c>
      <c r="Y22" s="12">
        <f>'TUSD BE'!$Y$22*'TUSD BF'!$Y$68</f>
        <v>0</v>
      </c>
      <c r="Z22" s="12">
        <f>'TUSD BE'!$Z$22*'TUSD BF'!$Z$68</f>
        <v>0</v>
      </c>
      <c r="AA22" s="12">
        <f>'TUSD BE'!$AA$22*'TUSD BF'!$AA$68</f>
        <v>0</v>
      </c>
      <c r="AB22" s="12">
        <f>SUM($U$22:$AA$22)</f>
        <v>0</v>
      </c>
      <c r="AC22" s="12">
        <f>'TUSD BE'!$AC$22*'TUSD BF'!$AC$68</f>
        <v>0</v>
      </c>
      <c r="AD22" s="12">
        <f>SUM($AC$22:$AC$22)</f>
        <v>0</v>
      </c>
      <c r="AE22" s="12">
        <f ca="1">$AO$22*$AO$65</f>
        <v>0</v>
      </c>
      <c r="AF22" s="12">
        <f ca="1">$AP$22*$AP$65</f>
        <v>0</v>
      </c>
      <c r="AG22" s="12">
        <f ca="1">SUM($AE$22:$AF$22)</f>
        <v>0</v>
      </c>
      <c r="AH22" s="12">
        <f>'TUSD BE'!$AH$22*'TUSD BF'!$AH$68</f>
        <v>0.91919749317250254</v>
      </c>
      <c r="AI22" s="12">
        <f>'TUSD BE'!$AI$22*'TUSD BF'!$AI$68</f>
        <v>2.1672167692641617E-2</v>
      </c>
      <c r="AJ22" s="12">
        <f ca="1">'TUSD BE'!$AJ$22*'TUSD BF'!$AJ$68</f>
        <v>0.30699999412472467</v>
      </c>
      <c r="AK22" s="12">
        <f ca="1">'TUSD BE'!$AK$22*'TUSD BF'!$AK$68</f>
        <v>0</v>
      </c>
      <c r="AL22" s="12">
        <f ca="1">SUM($AH$22:$AK$22)</f>
        <v>1.2478696549898687</v>
      </c>
      <c r="AM22" s="12">
        <f ca="1">SUMIF($L$4:$AL$4,"SUBTOTAL",$L$22:$AL$22)</f>
        <v>1.876415057806208</v>
      </c>
      <c r="AO22" s="20">
        <f ca="1">+'TUSD BE'!$T$22+'TUSD BE'!$AB$22+'TUSD BE'!$AD$22+'TUSD BE'!$AL$22</f>
        <v>54.307159558406397</v>
      </c>
      <c r="AP22" s="20">
        <f ca="1">+'TUSD BE'!$T$22+'TUSD BE'!$AB$22+'TUSD BE'!$AD$22+'TUSD BE'!$AL$22</f>
        <v>54.307159558406397</v>
      </c>
    </row>
    <row r="23" spans="1:42" ht="11.25" customHeight="1" x14ac:dyDescent="0.25">
      <c r="A23" s="106"/>
      <c r="B23" s="106"/>
      <c r="C23" s="106"/>
      <c r="D23" s="106"/>
      <c r="E23" s="106" t="s">
        <v>85</v>
      </c>
      <c r="F23" s="106" t="s">
        <v>25</v>
      </c>
      <c r="G23" s="17" t="s">
        <v>79</v>
      </c>
      <c r="H23" s="17" t="s">
        <v>78</v>
      </c>
      <c r="I23" s="17">
        <f>'MERCADO TUSD'!$U$20</f>
        <v>0</v>
      </c>
      <c r="J23" s="15"/>
      <c r="L23" s="12">
        <f>'TUSD BE'!$L$23*'TUSD BF'!$L$68</f>
        <v>0</v>
      </c>
      <c r="M23" s="12">
        <f>'TUSD BE'!$M$23*'TUSD BF'!$M$68</f>
        <v>0</v>
      </c>
      <c r="N23" s="12">
        <f ca="1">'TUSD BE'!$N$23*'TUSD BF'!$N$68</f>
        <v>0</v>
      </c>
      <c r="O23" s="12">
        <f>'TUSD BE'!$O$23*'TUSD BF'!$O$68</f>
        <v>0</v>
      </c>
      <c r="P23" s="12">
        <f>'TUSD BE'!$P$23*'TUSD BF'!$P$68</f>
        <v>0</v>
      </c>
      <c r="Q23" s="12">
        <f>'TUSD BE'!$Q$23*'TUSD BF'!$Q$68</f>
        <v>0</v>
      </c>
      <c r="R23" s="12">
        <f>'TUSD BE'!$R$23*'TUSD BF'!$R$68</f>
        <v>0</v>
      </c>
      <c r="S23" s="12">
        <f>'TUSD BE'!$R$23*'TUSD BF'!$S$68</f>
        <v>0</v>
      </c>
      <c r="T23" s="12">
        <f ca="1">SUM($L$23:$S$23)</f>
        <v>0</v>
      </c>
      <c r="U23" s="12">
        <f>'TUSD BE'!$U$23*'TUSD BF'!$U$68</f>
        <v>6.5207750325964895</v>
      </c>
      <c r="V23" s="12">
        <f>'TUSD BE'!$V$23*'TUSD BF'!$V$68</f>
        <v>1.7735394838968543</v>
      </c>
      <c r="W23" s="12">
        <f>'TUSD BE'!$W$23*'TUSD BF'!$W$68</f>
        <v>0</v>
      </c>
      <c r="X23" s="12">
        <f>'TUSD BE'!$X$23*'TUSD BF'!$X$68</f>
        <v>0</v>
      </c>
      <c r="Y23" s="12">
        <f>'TUSD BE'!$Y$23*'TUSD BF'!$Y$68</f>
        <v>0</v>
      </c>
      <c r="Z23" s="12">
        <f>'TUSD BE'!$Z$23*'TUSD BF'!$Z$68</f>
        <v>0</v>
      </c>
      <c r="AA23" s="12">
        <f>'TUSD BE'!$AA$23*'TUSD BF'!$AA$68</f>
        <v>0</v>
      </c>
      <c r="AB23" s="12">
        <f>SUM($U$23:$AA$23)</f>
        <v>8.2943145164933441</v>
      </c>
      <c r="AC23" s="12">
        <f>'TUSD BE'!$AC$23*'TUSD BF'!$AC$68</f>
        <v>0</v>
      </c>
      <c r="AD23" s="12">
        <f>SUM($AC$23:$AC$23)</f>
        <v>0</v>
      </c>
      <c r="AE23" s="12">
        <f ca="1">$AO$23*$AO$65</f>
        <v>0</v>
      </c>
      <c r="AF23" s="12">
        <f ca="1">$AP$23*$AP$65</f>
        <v>0</v>
      </c>
      <c r="AG23" s="12">
        <f ca="1">SUM($AE$23:$AF$23)</f>
        <v>0</v>
      </c>
      <c r="AH23" s="12">
        <f>'TUSD BE'!$AH$23*'TUSD BF'!$AH$68</f>
        <v>0.91919749317250254</v>
      </c>
      <c r="AI23" s="12">
        <f>'TUSD BE'!$AI$23*'TUSD BF'!$AI$68</f>
        <v>2.1672167692641617E-2</v>
      </c>
      <c r="AJ23" s="12">
        <f ca="1">'TUSD BE'!$AJ$23*'TUSD BF'!$AJ$68</f>
        <v>0.30699999412472467</v>
      </c>
      <c r="AK23" s="12">
        <f ca="1">'TUSD BE'!$AK$23*'TUSD BF'!$AK$68</f>
        <v>0</v>
      </c>
      <c r="AL23" s="12">
        <f ca="1">SUM($AH$23:$AK$23)</f>
        <v>1.2478696549898687</v>
      </c>
      <c r="AM23" s="12">
        <f ca="1">SUMIF($L$4:$AL$4,"SUBTOTAL",$L$23:$AL$23)</f>
        <v>9.5421841714832123</v>
      </c>
      <c r="AO23" s="20">
        <f ca="1">+'TUSD BE'!$T$23+'TUSD BE'!$AB$23+'TUSD BE'!$AD$23+'TUSD BE'!$AL$23</f>
        <v>967.16075228439695</v>
      </c>
      <c r="AP23" s="20">
        <f ca="1">+'TUSD BE'!$T$23+'TUSD BE'!$AB$23+'TUSD BE'!$AD$23+'TUSD BE'!$AL$23</f>
        <v>967.16075228439695</v>
      </c>
    </row>
    <row r="24" spans="1:42" ht="11.25" customHeight="1" x14ac:dyDescent="0.25">
      <c r="A24" s="106"/>
      <c r="B24" s="106"/>
      <c r="C24" s="106"/>
      <c r="D24" s="106"/>
      <c r="E24" s="106"/>
      <c r="F24" s="106"/>
      <c r="G24" s="17" t="s">
        <v>80</v>
      </c>
      <c r="H24" s="17" t="s">
        <v>78</v>
      </c>
      <c r="I24" s="17">
        <f>'MERCADO TUSD'!$U$21</f>
        <v>0</v>
      </c>
      <c r="J24" s="15"/>
      <c r="L24" s="12">
        <f>'TUSD BE'!$L$24*'TUSD BF'!$L$68</f>
        <v>0</v>
      </c>
      <c r="M24" s="12">
        <f>'TUSD BE'!$M$24*'TUSD BF'!$M$68</f>
        <v>0</v>
      </c>
      <c r="N24" s="12">
        <f ca="1">'TUSD BE'!$N$24*'TUSD BF'!$N$68</f>
        <v>0</v>
      </c>
      <c r="O24" s="12">
        <f>'TUSD BE'!$O$24*'TUSD BF'!$O$68</f>
        <v>0</v>
      </c>
      <c r="P24" s="12">
        <f>'TUSD BE'!$P$24*'TUSD BF'!$P$68</f>
        <v>0</v>
      </c>
      <c r="Q24" s="12">
        <f>'TUSD BE'!$Q$24*'TUSD BF'!$Q$68</f>
        <v>0</v>
      </c>
      <c r="R24" s="12">
        <f>'TUSD BE'!$R$24*'TUSD BF'!$R$68</f>
        <v>0</v>
      </c>
      <c r="S24" s="12">
        <f>'TUSD BE'!$R$24*'TUSD BF'!$S$68</f>
        <v>0</v>
      </c>
      <c r="T24" s="12">
        <f ca="1">SUM($L$24:$S$24)</f>
        <v>0</v>
      </c>
      <c r="U24" s="12">
        <f>'TUSD BE'!$U$24*'TUSD BF'!$U$68</f>
        <v>0</v>
      </c>
      <c r="V24" s="12">
        <f>'TUSD BE'!$V$24*'TUSD BF'!$V$68</f>
        <v>0</v>
      </c>
      <c r="W24" s="12">
        <f>'TUSD BE'!$W$24*'TUSD BF'!$W$68</f>
        <v>0</v>
      </c>
      <c r="X24" s="12">
        <f>'TUSD BE'!$X$24*'TUSD BF'!$X$68</f>
        <v>0</v>
      </c>
      <c r="Y24" s="12">
        <f>'TUSD BE'!$Y$24*'TUSD BF'!$Y$68</f>
        <v>0</v>
      </c>
      <c r="Z24" s="12">
        <f>'TUSD BE'!$Z$24*'TUSD BF'!$Z$68</f>
        <v>0</v>
      </c>
      <c r="AA24" s="12">
        <f>'TUSD BE'!$AA$24*'TUSD BF'!$AA$68</f>
        <v>0</v>
      </c>
      <c r="AB24" s="12">
        <f>SUM($U$24:$AA$24)</f>
        <v>0</v>
      </c>
      <c r="AC24" s="12">
        <f>'TUSD BE'!$AC$24*'TUSD BF'!$AC$68</f>
        <v>0</v>
      </c>
      <c r="AD24" s="12">
        <f>SUM($AC$24:$AC$24)</f>
        <v>0</v>
      </c>
      <c r="AE24" s="12">
        <f ca="1">$AO$24*$AO$65</f>
        <v>0</v>
      </c>
      <c r="AF24" s="12">
        <f ca="1">$AP$24*$AP$65</f>
        <v>0</v>
      </c>
      <c r="AG24" s="12">
        <f ca="1">SUM($AE$24:$AF$24)</f>
        <v>0</v>
      </c>
      <c r="AH24" s="12">
        <f>'TUSD BE'!$AH$24*'TUSD BF'!$AH$68</f>
        <v>0.91919749317250254</v>
      </c>
      <c r="AI24" s="12">
        <f>'TUSD BE'!$AI$24*'TUSD BF'!$AI$68</f>
        <v>2.1672167692641617E-2</v>
      </c>
      <c r="AJ24" s="12">
        <f ca="1">'TUSD BE'!$AJ$24*'TUSD BF'!$AJ$68</f>
        <v>0.30699999412472467</v>
      </c>
      <c r="AK24" s="12">
        <f ca="1">'TUSD BE'!$AK$24*'TUSD BF'!$AK$68</f>
        <v>0</v>
      </c>
      <c r="AL24" s="12">
        <f ca="1">SUM($AH$24:$AK$24)</f>
        <v>1.2478696549898687</v>
      </c>
      <c r="AM24" s="12">
        <f ca="1">SUMIF($L$4:$AL$4,"SUBTOTAL",$L$24:$AL$24)</f>
        <v>1.2478696549898687</v>
      </c>
      <c r="AO24" s="20">
        <f ca="1">+'TUSD BE'!$T$24+'TUSD BE'!$AB$24+'TUSD BE'!$AD$24+'TUSD BE'!$AL$24</f>
        <v>8.1359196209764661</v>
      </c>
      <c r="AP24" s="20">
        <f ca="1">+'TUSD BE'!$T$24+'TUSD BE'!$AB$24+'TUSD BE'!$AD$24+'TUSD BE'!$AL$24</f>
        <v>8.1359196209764661</v>
      </c>
    </row>
    <row r="25" spans="1:42" ht="11.25" customHeight="1" x14ac:dyDescent="0.25">
      <c r="A25" s="106" t="s">
        <v>88</v>
      </c>
      <c r="B25" s="106" t="s">
        <v>87</v>
      </c>
      <c r="C25" s="106" t="s">
        <v>25</v>
      </c>
      <c r="D25" s="106" t="s">
        <v>25</v>
      </c>
      <c r="E25" s="18" t="s">
        <v>89</v>
      </c>
      <c r="F25" s="18" t="s">
        <v>25</v>
      </c>
      <c r="G25" s="17" t="s">
        <v>9</v>
      </c>
      <c r="H25" s="17" t="s">
        <v>81</v>
      </c>
      <c r="I25" s="17">
        <f>'MERCADO TUSD'!$U$22+0.00000001</f>
        <v>1E-8</v>
      </c>
      <c r="J25" s="15"/>
      <c r="L25" s="12">
        <f>'TUSD BE'!$L$25*'TUSD BF'!$L$68</f>
        <v>0</v>
      </c>
      <c r="M25" s="12">
        <f>'TUSD BE'!$M$25*'TUSD BF'!$M$68</f>
        <v>0</v>
      </c>
      <c r="N25" s="12">
        <f ca="1">'TUSD BE'!$N$25*'TUSD BF'!$N$68</f>
        <v>0</v>
      </c>
      <c r="O25" s="12">
        <f>'TUSD BE'!$O$25*'TUSD BF'!$O$68</f>
        <v>0</v>
      </c>
      <c r="P25" s="12">
        <f>'TUSD BE'!$P$25*'TUSD BF'!$P$68</f>
        <v>0</v>
      </c>
      <c r="Q25" s="12">
        <f>'TUSD BE'!$Q$25*'TUSD BF'!$Q$68</f>
        <v>0</v>
      </c>
      <c r="R25" s="12">
        <f>'TUSD BE'!$R$25*'TUSD BF'!$R$68</f>
        <v>0</v>
      </c>
      <c r="S25" s="12">
        <f>'TUSD BE'!$R$25*'TUSD BF'!$S$68</f>
        <v>0</v>
      </c>
      <c r="T25" s="12">
        <f ca="1">SUM($L$25:$S$25)</f>
        <v>0</v>
      </c>
      <c r="U25" s="12">
        <f>'TUSD BE'!$U$25*'TUSD BF'!$U$68</f>
        <v>0</v>
      </c>
      <c r="V25" s="12">
        <f>'TUSD BE'!$V$25*'TUSD BF'!$V$68</f>
        <v>0</v>
      </c>
      <c r="W25" s="12">
        <f>'TUSD BE'!$W$25*'TUSD BF'!$W$68</f>
        <v>0</v>
      </c>
      <c r="X25" s="12">
        <f>'TUSD BE'!$X$25*'TUSD BF'!$X$68</f>
        <v>0</v>
      </c>
      <c r="Y25" s="12">
        <f>'TUSD BE'!$Y$25*'TUSD BF'!$Y$68</f>
        <v>0</v>
      </c>
      <c r="Z25" s="12">
        <f>'TUSD BE'!$Z$25*'TUSD BF'!$Z$68</f>
        <v>0</v>
      </c>
      <c r="AA25" s="12">
        <f>'TUSD BE'!$AA$25*'TUSD BF'!$AA$68</f>
        <v>0</v>
      </c>
      <c r="AB25" s="12">
        <f>SUM($U$25:$AA$25)</f>
        <v>0</v>
      </c>
      <c r="AC25" s="12">
        <f>'TUSD BE'!$AC$25*'TUSD BF'!$AC$68</f>
        <v>0</v>
      </c>
      <c r="AD25" s="12">
        <f>SUM($AC$25:$AC$25)</f>
        <v>0</v>
      </c>
      <c r="AE25" s="12">
        <f ca="1">$AO$25*$AO$65</f>
        <v>0</v>
      </c>
      <c r="AF25" s="12">
        <f ca="1">$AP$25*$AP$65</f>
        <v>0</v>
      </c>
      <c r="AG25" s="12">
        <f ca="1">SUM($AE$25:$AF$25)</f>
        <v>0</v>
      </c>
      <c r="AH25" s="12">
        <f>'TUSD BE'!$AH$25*'TUSD BF'!$AH$68</f>
        <v>0</v>
      </c>
      <c r="AI25" s="12">
        <f>'TUSD BE'!$AI$25*'TUSD BF'!$AI$68</f>
        <v>0</v>
      </c>
      <c r="AJ25" s="12">
        <f ca="1">'TUSD BE'!$AJ$25*'TUSD BF'!$AJ$68</f>
        <v>0</v>
      </c>
      <c r="AK25" s="12">
        <f ca="1">'TUSD BE'!$AK$25*'TUSD BF'!$AK$68</f>
        <v>0</v>
      </c>
      <c r="AL25" s="12">
        <f ca="1">SUM($AH$25:$AK$25)</f>
        <v>0</v>
      </c>
      <c r="AM25" s="12">
        <f ca="1">SUMIF($L$4:$AL$4,"SUBTOTAL",$L$25:$AL$25)</f>
        <v>0</v>
      </c>
      <c r="AO25" s="20">
        <f ca="1">+'TUSD BE'!$T$25+'TUSD BE'!$AB$25+'TUSD BE'!$AD$25+'TUSD BE'!$AL$25</f>
        <v>10.604181547771105</v>
      </c>
      <c r="AP25" s="20">
        <f ca="1">+'TUSD BE'!$T$25+'TUSD BE'!$AB$25+'TUSD BE'!$AD$25+'TUSD BE'!$AL$25</f>
        <v>10.604181547771105</v>
      </c>
    </row>
    <row r="26" spans="1:42" ht="11.25" customHeight="1" x14ac:dyDescent="0.25">
      <c r="A26" s="106"/>
      <c r="B26" s="106"/>
      <c r="C26" s="106"/>
      <c r="D26" s="106"/>
      <c r="E26" s="18" t="s">
        <v>90</v>
      </c>
      <c r="F26" s="18" t="s">
        <v>25</v>
      </c>
      <c r="G26" s="17" t="s">
        <v>9</v>
      </c>
      <c r="H26" s="17" t="s">
        <v>81</v>
      </c>
      <c r="I26" s="17">
        <f>'MERCADO TUSD'!$U$23+0.00000001</f>
        <v>1E-8</v>
      </c>
      <c r="J26" s="15"/>
      <c r="L26" s="12">
        <f>'TUSD BE'!$L$26*'TUSD BF'!$L$68</f>
        <v>0</v>
      </c>
      <c r="M26" s="12">
        <f>'TUSD BE'!$M$26*'TUSD BF'!$M$68</f>
        <v>0</v>
      </c>
      <c r="N26" s="12">
        <f ca="1">'TUSD BE'!$N$26*'TUSD BF'!$N$68</f>
        <v>0</v>
      </c>
      <c r="O26" s="12">
        <f>'TUSD BE'!$O$26*'TUSD BF'!$O$68</f>
        <v>0</v>
      </c>
      <c r="P26" s="12">
        <f>'TUSD BE'!$P$26*'TUSD BF'!$P$68</f>
        <v>0</v>
      </c>
      <c r="Q26" s="12">
        <f>'TUSD BE'!$Q$26*'TUSD BF'!$Q$68</f>
        <v>0</v>
      </c>
      <c r="R26" s="12">
        <f>'TUSD BE'!$R$26*'TUSD BF'!$R$68</f>
        <v>0</v>
      </c>
      <c r="S26" s="12">
        <f>'TUSD BE'!$R$26*'TUSD BF'!$S$68</f>
        <v>0</v>
      </c>
      <c r="T26" s="12">
        <f ca="1">SUM($L$26:$S$26)</f>
        <v>0</v>
      </c>
      <c r="U26" s="12">
        <f>'TUSD BE'!$U$26*'TUSD BF'!$U$68</f>
        <v>0</v>
      </c>
      <c r="V26" s="12">
        <f>'TUSD BE'!$V$26*'TUSD BF'!$V$68</f>
        <v>0</v>
      </c>
      <c r="W26" s="12">
        <f>'TUSD BE'!$W$26*'TUSD BF'!$W$68</f>
        <v>0</v>
      </c>
      <c r="X26" s="12">
        <f>'TUSD BE'!$X$26*'TUSD BF'!$X$68</f>
        <v>0</v>
      </c>
      <c r="Y26" s="12">
        <f>'TUSD BE'!$Y$26*'TUSD BF'!$Y$68</f>
        <v>0</v>
      </c>
      <c r="Z26" s="12">
        <f>'TUSD BE'!$Z$26*'TUSD BF'!$Z$68</f>
        <v>0</v>
      </c>
      <c r="AA26" s="12">
        <f>'TUSD BE'!$AA$26*'TUSD BF'!$AA$68</f>
        <v>0</v>
      </c>
      <c r="AB26" s="12">
        <f>SUM($U$26:$AA$26)</f>
        <v>0</v>
      </c>
      <c r="AC26" s="12">
        <f>'TUSD BE'!$AC$26*'TUSD BF'!$AC$68</f>
        <v>0</v>
      </c>
      <c r="AD26" s="12">
        <f>SUM($AC$26:$AC$26)</f>
        <v>0</v>
      </c>
      <c r="AE26" s="12">
        <f ca="1">$AO$26*$AO$65</f>
        <v>0</v>
      </c>
      <c r="AF26" s="12">
        <f ca="1">$AP$26*$AP$65</f>
        <v>0</v>
      </c>
      <c r="AG26" s="12">
        <f ca="1">SUM($AE$26:$AF$26)</f>
        <v>0</v>
      </c>
      <c r="AH26" s="12">
        <f>'TUSD BE'!$AH$26*'TUSD BF'!$AH$68</f>
        <v>0</v>
      </c>
      <c r="AI26" s="12">
        <f>'TUSD BE'!$AI$26*'TUSD BF'!$AI$68</f>
        <v>0</v>
      </c>
      <c r="AJ26" s="12">
        <f ca="1">'TUSD BE'!$AJ$26*'TUSD BF'!$AJ$68</f>
        <v>0</v>
      </c>
      <c r="AK26" s="12">
        <f ca="1">'TUSD BE'!$AK$26*'TUSD BF'!$AK$68</f>
        <v>0</v>
      </c>
      <c r="AL26" s="12">
        <f ca="1">SUM($AH$26:$AK$26)</f>
        <v>0</v>
      </c>
      <c r="AM26" s="12">
        <f ca="1">SUMIF($L$4:$AL$4,"SUBTOTAL",$L$26:$AL$26)</f>
        <v>0</v>
      </c>
      <c r="AO26" s="20">
        <f ca="1">+'TUSD BE'!$T$26+'TUSD BE'!$AB$26+'TUSD BE'!$AD$26+'TUSD BE'!$AL$26</f>
        <v>18.27318658876267</v>
      </c>
      <c r="AP26" s="20">
        <f ca="1">+'TUSD BE'!$T$26+'TUSD BE'!$AB$26+'TUSD BE'!$AD$26+'TUSD BE'!$AL$26</f>
        <v>18.27318658876267</v>
      </c>
    </row>
    <row r="27" spans="1:42" ht="11.25" customHeight="1" x14ac:dyDescent="0.25">
      <c r="A27" s="106" t="s">
        <v>22</v>
      </c>
      <c r="B27" s="106" t="s">
        <v>33</v>
      </c>
      <c r="C27" s="106" t="s">
        <v>24</v>
      </c>
      <c r="D27" s="106" t="s">
        <v>24</v>
      </c>
      <c r="E27" s="106" t="s">
        <v>25</v>
      </c>
      <c r="F27" s="106" t="s">
        <v>25</v>
      </c>
      <c r="G27" s="17" t="s">
        <v>79</v>
      </c>
      <c r="H27" s="17" t="s">
        <v>78</v>
      </c>
      <c r="I27" s="17">
        <f>'MERCADO TUSD'!$U$24</f>
        <v>6.9259999999999993</v>
      </c>
      <c r="J27" s="15"/>
      <c r="L27" s="12">
        <f>'TUSD BE'!$L$27*'TUSD BF'!$L$68</f>
        <v>0.2092882013437494</v>
      </c>
      <c r="M27" s="12">
        <f>'TUSD BE'!$M$27*'TUSD BF'!$M$68</f>
        <v>0</v>
      </c>
      <c r="N27" s="12">
        <f ca="1">'TUSD BE'!$N$27*'TUSD BF'!$N$68</f>
        <v>0</v>
      </c>
      <c r="O27" s="12">
        <f>'TUSD BE'!$O$27*'TUSD BF'!$O$68</f>
        <v>0</v>
      </c>
      <c r="P27" s="12">
        <f>'TUSD BE'!$P$27*'TUSD BF'!$P$68</f>
        <v>0</v>
      </c>
      <c r="Q27" s="12">
        <f>'TUSD BE'!$Q$27*'TUSD BF'!$Q$68</f>
        <v>-1.6363977562404975E-2</v>
      </c>
      <c r="R27" s="12">
        <f>'TUSD BE'!$R$27*'TUSD BF'!$R$68</f>
        <v>0.46648905484000996</v>
      </c>
      <c r="S27" s="12">
        <f>'TUSD BE'!$R$27*'TUSD BF'!$S$68</f>
        <v>0</v>
      </c>
      <c r="T27" s="12">
        <f ca="1">SUM($L$27:$S$27)</f>
        <v>0.65941327862135435</v>
      </c>
      <c r="U27" s="12">
        <f>'TUSD BE'!$U$27*'TUSD BF'!$U$68</f>
        <v>3.0001508534815322</v>
      </c>
      <c r="V27" s="12">
        <f>'TUSD BE'!$V$27*'TUSD BF'!$V$68</f>
        <v>0.81991660417777745</v>
      </c>
      <c r="W27" s="12">
        <f>'TUSD BE'!$W$27*'TUSD BF'!$W$68</f>
        <v>0</v>
      </c>
      <c r="X27" s="12">
        <f>'TUSD BE'!$X$27*'TUSD BF'!$X$68</f>
        <v>0</v>
      </c>
      <c r="Y27" s="12">
        <f>'TUSD BE'!$Y$27*'TUSD BF'!$Y$68</f>
        <v>0</v>
      </c>
      <c r="Z27" s="12">
        <f>'TUSD BE'!$Z$27*'TUSD BF'!$Z$68</f>
        <v>0</v>
      </c>
      <c r="AA27" s="12">
        <f>'TUSD BE'!$AA$27*'TUSD BF'!$AA$68</f>
        <v>0</v>
      </c>
      <c r="AB27" s="12">
        <f>SUM($U$27:$AA$27)</f>
        <v>3.8200674576593094</v>
      </c>
      <c r="AC27" s="12">
        <f>'TUSD BE'!$AC$27*'TUSD BF'!$AC$68</f>
        <v>0</v>
      </c>
      <c r="AD27" s="12">
        <f>SUM($AC$27:$AC$27)</f>
        <v>0</v>
      </c>
      <c r="AE27" s="12">
        <f ca="1">$AO$27*$AO$65</f>
        <v>0</v>
      </c>
      <c r="AF27" s="12">
        <f ca="1">$AP$27*$AP$65</f>
        <v>0</v>
      </c>
      <c r="AG27" s="12">
        <f ca="1">SUM($AE$27:$AF$27)</f>
        <v>0</v>
      </c>
      <c r="AH27" s="12">
        <f>'TUSD BE'!$AH$27*'TUSD BF'!$AH$68</f>
        <v>2.770166831748508</v>
      </c>
      <c r="AI27" s="12">
        <f>'TUSD BE'!$AI$27*'TUSD BF'!$AI$68</f>
        <v>6.5312971978461157E-2</v>
      </c>
      <c r="AJ27" s="12">
        <f ca="1">'TUSD BE'!$AJ$27*'TUSD BF'!$AJ$68</f>
        <v>0.43430199204371195</v>
      </c>
      <c r="AK27" s="12">
        <f ca="1">'TUSD BE'!$AK$27*'TUSD BF'!$AK$68</f>
        <v>0</v>
      </c>
      <c r="AL27" s="12">
        <f ca="1">SUM($AH$27:$AK$27)</f>
        <v>3.2697817957706814</v>
      </c>
      <c r="AM27" s="12">
        <f ca="1">SUMIF($L$4:$AL$4,"SUBTOTAL",$L$27:$AL$27)</f>
        <v>7.7492625320513451</v>
      </c>
      <c r="AO27" s="20">
        <f ca="1">+'TUSD BE'!$T$27+'TUSD BE'!$AB$27+'TUSD BE'!$AD$27+'TUSD BE'!$AL$27</f>
        <v>834.56504175662951</v>
      </c>
      <c r="AP27" s="20">
        <f ca="1">+'TUSD BE'!$T$27+'TUSD BE'!$AB$27+'TUSD BE'!$AD$27+'TUSD BE'!$AL$27</f>
        <v>834.56504175662951</v>
      </c>
    </row>
    <row r="28" spans="1:42" ht="11.25" customHeight="1" x14ac:dyDescent="0.25">
      <c r="A28" s="106"/>
      <c r="B28" s="106"/>
      <c r="C28" s="106"/>
      <c r="D28" s="106"/>
      <c r="E28" s="106"/>
      <c r="F28" s="106"/>
      <c r="G28" s="17" t="s">
        <v>91</v>
      </c>
      <c r="H28" s="17" t="s">
        <v>78</v>
      </c>
      <c r="I28" s="17">
        <f>'MERCADO TUSD'!$U$25</f>
        <v>4.6099999999999994</v>
      </c>
      <c r="J28" s="15"/>
      <c r="L28" s="12">
        <f>'TUSD BE'!$L$28*'TUSD BF'!$L$68</f>
        <v>0.2092882013437494</v>
      </c>
      <c r="M28" s="12">
        <f>'TUSD BE'!$M$28*'TUSD BF'!$M$68</f>
        <v>0</v>
      </c>
      <c r="N28" s="12">
        <f ca="1">'TUSD BE'!$N$28*'TUSD BF'!$N$68</f>
        <v>0</v>
      </c>
      <c r="O28" s="12">
        <f>'TUSD BE'!$O$28*'TUSD BF'!$O$68</f>
        <v>0</v>
      </c>
      <c r="P28" s="12">
        <f>'TUSD BE'!$P$28*'TUSD BF'!$P$68</f>
        <v>0</v>
      </c>
      <c r="Q28" s="12">
        <f>'TUSD BE'!$Q$28*'TUSD BF'!$Q$68</f>
        <v>-1.6363977562404975E-2</v>
      </c>
      <c r="R28" s="12">
        <f>'TUSD BE'!$R$28*'TUSD BF'!$R$68</f>
        <v>0.46648905484000996</v>
      </c>
      <c r="S28" s="12">
        <f>'TUSD BE'!$R$28*'TUSD BF'!$S$68</f>
        <v>0</v>
      </c>
      <c r="T28" s="12">
        <f ca="1">SUM($L$28:$S$28)</f>
        <v>0.65941327862135435</v>
      </c>
      <c r="U28" s="12">
        <f>'TUSD BE'!$U$28*'TUSD BF'!$U$68</f>
        <v>1.8000905120889195</v>
      </c>
      <c r="V28" s="12">
        <f>'TUSD BE'!$V$28*'TUSD BF'!$V$68</f>
        <v>0.49195082417995839</v>
      </c>
      <c r="W28" s="12">
        <f>'TUSD BE'!$W$28*'TUSD BF'!$W$68</f>
        <v>0</v>
      </c>
      <c r="X28" s="12">
        <f>'TUSD BE'!$X$28*'TUSD BF'!$X$68</f>
        <v>0</v>
      </c>
      <c r="Y28" s="12">
        <f>'TUSD BE'!$Y$28*'TUSD BF'!$Y$68</f>
        <v>0</v>
      </c>
      <c r="Z28" s="12">
        <f>'TUSD BE'!$Z$28*'TUSD BF'!$Z$68</f>
        <v>0</v>
      </c>
      <c r="AA28" s="12">
        <f>'TUSD BE'!$AA$28*'TUSD BF'!$AA$68</f>
        <v>0</v>
      </c>
      <c r="AB28" s="12">
        <f>SUM($U$28:$AA$28)</f>
        <v>2.2920413362688778</v>
      </c>
      <c r="AC28" s="12">
        <f>'TUSD BE'!$AC$28*'TUSD BF'!$AC$68</f>
        <v>0</v>
      </c>
      <c r="AD28" s="12">
        <f>SUM($AC$28:$AC$28)</f>
        <v>0</v>
      </c>
      <c r="AE28" s="12">
        <f ca="1">$AO$28*$AO$65</f>
        <v>0</v>
      </c>
      <c r="AF28" s="12">
        <f ca="1">$AP$28*$AP$65</f>
        <v>0</v>
      </c>
      <c r="AG28" s="12">
        <f ca="1">SUM($AE$28:$AF$28)</f>
        <v>0</v>
      </c>
      <c r="AH28" s="12">
        <f>'TUSD BE'!$AH$28*'TUSD BF'!$AH$68</f>
        <v>2.770166831748508</v>
      </c>
      <c r="AI28" s="12">
        <f>'TUSD BE'!$AI$28*'TUSD BF'!$AI$68</f>
        <v>6.5312971978461157E-2</v>
      </c>
      <c r="AJ28" s="12">
        <f ca="1">'TUSD BE'!$AJ$28*'TUSD BF'!$AJ$68</f>
        <v>0.43430199204371195</v>
      </c>
      <c r="AK28" s="12">
        <f ca="1">'TUSD BE'!$AK$28*'TUSD BF'!$AK$68</f>
        <v>0</v>
      </c>
      <c r="AL28" s="12">
        <f ca="1">SUM($AH$28:$AK$28)</f>
        <v>3.2697817957706814</v>
      </c>
      <c r="AM28" s="12">
        <f ca="1">SUMIF($L$4:$AL$4,"SUBTOTAL",$L$28:$AL$28)</f>
        <v>6.2212364106609135</v>
      </c>
      <c r="AO28" s="20">
        <f ca="1">+'TUSD BE'!$T$28+'TUSD BE'!$AB$28+'TUSD BE'!$AD$28+'TUSD BE'!$AL$28</f>
        <v>530.01808594923034</v>
      </c>
      <c r="AP28" s="20">
        <f ca="1">+'TUSD BE'!$T$28+'TUSD BE'!$AB$28+'TUSD BE'!$AD$28+'TUSD BE'!$AL$28</f>
        <v>530.01808594923034</v>
      </c>
    </row>
    <row r="29" spans="1:42" ht="11.25" customHeight="1" x14ac:dyDescent="0.25">
      <c r="A29" s="106"/>
      <c r="B29" s="106"/>
      <c r="C29" s="106"/>
      <c r="D29" s="106"/>
      <c r="E29" s="106"/>
      <c r="F29" s="106"/>
      <c r="G29" s="17" t="s">
        <v>80</v>
      </c>
      <c r="H29" s="17" t="s">
        <v>78</v>
      </c>
      <c r="I29" s="17">
        <f>'MERCADO TUSD'!$U$26</f>
        <v>73.14200000000001</v>
      </c>
      <c r="J29" s="15"/>
      <c r="L29" s="12">
        <f>'TUSD BE'!$L$29*'TUSD BF'!$L$68</f>
        <v>0.2092882013437494</v>
      </c>
      <c r="M29" s="12">
        <f>'TUSD BE'!$M$29*'TUSD BF'!$M$68</f>
        <v>0</v>
      </c>
      <c r="N29" s="12">
        <f ca="1">'TUSD BE'!$N$29*'TUSD BF'!$N$68</f>
        <v>0</v>
      </c>
      <c r="O29" s="12">
        <f>'TUSD BE'!$O$29*'TUSD BF'!$O$68</f>
        <v>0</v>
      </c>
      <c r="P29" s="12">
        <f>'TUSD BE'!$P$29*'TUSD BF'!$P$68</f>
        <v>0</v>
      </c>
      <c r="Q29" s="12">
        <f>'TUSD BE'!$Q$29*'TUSD BF'!$Q$68</f>
        <v>-1.6363977562404975E-2</v>
      </c>
      <c r="R29" s="12">
        <f>'TUSD BE'!$R$29*'TUSD BF'!$R$68</f>
        <v>0.46648905484000996</v>
      </c>
      <c r="S29" s="12">
        <f>'TUSD BE'!$R$29*'TUSD BF'!$S$68</f>
        <v>0</v>
      </c>
      <c r="T29" s="12">
        <f ca="1">SUM($L$29:$S$29)</f>
        <v>0.65941327862135435</v>
      </c>
      <c r="U29" s="12">
        <f>'TUSD BE'!$U$29*'TUSD BF'!$U$68</f>
        <v>0.60003017069630638</v>
      </c>
      <c r="V29" s="12">
        <f>'TUSD BE'!$V$29*'TUSD BF'!$V$68</f>
        <v>0.1639850441821393</v>
      </c>
      <c r="W29" s="12">
        <f>'TUSD BE'!$W$29*'TUSD BF'!$W$68</f>
        <v>0</v>
      </c>
      <c r="X29" s="12">
        <f>'TUSD BE'!$X$29*'TUSD BF'!$X$68</f>
        <v>0</v>
      </c>
      <c r="Y29" s="12">
        <f>'TUSD BE'!$Y$29*'TUSD BF'!$Y$68</f>
        <v>0</v>
      </c>
      <c r="Z29" s="12">
        <f>'TUSD BE'!$Z$29*'TUSD BF'!$Z$68</f>
        <v>0</v>
      </c>
      <c r="AA29" s="12">
        <f>'TUSD BE'!$AA$29*'TUSD BF'!$AA$68</f>
        <v>0</v>
      </c>
      <c r="AB29" s="12">
        <f>SUM($U$29:$AA$29)</f>
        <v>0.7640152148784457</v>
      </c>
      <c r="AC29" s="12">
        <f>'TUSD BE'!$AC$29*'TUSD BF'!$AC$68</f>
        <v>0</v>
      </c>
      <c r="AD29" s="12">
        <f>SUM($AC$29:$AC$29)</f>
        <v>0</v>
      </c>
      <c r="AE29" s="12">
        <f ca="1">$AO$29*$AO$65</f>
        <v>0</v>
      </c>
      <c r="AF29" s="12">
        <f ca="1">$AP$29*$AP$65</f>
        <v>0</v>
      </c>
      <c r="AG29" s="12">
        <f ca="1">SUM($AE$29:$AF$29)</f>
        <v>0</v>
      </c>
      <c r="AH29" s="12">
        <f>'TUSD BE'!$AH$29*'TUSD BF'!$AH$68</f>
        <v>2.770166831748508</v>
      </c>
      <c r="AI29" s="12">
        <f>'TUSD BE'!$AI$29*'TUSD BF'!$AI$68</f>
        <v>6.5312971978461157E-2</v>
      </c>
      <c r="AJ29" s="12">
        <f ca="1">'TUSD BE'!$AJ$29*'TUSD BF'!$AJ$68</f>
        <v>0.43430199204371195</v>
      </c>
      <c r="AK29" s="12">
        <f ca="1">'TUSD BE'!$AK$29*'TUSD BF'!$AK$68</f>
        <v>0</v>
      </c>
      <c r="AL29" s="12">
        <f ca="1">SUM($AH$29:$AK$29)</f>
        <v>3.2697817957706814</v>
      </c>
      <c r="AM29" s="12">
        <f ca="1">SUMIF($L$4:$AL$4,"SUBTOTAL",$L$29:$AL$29)</f>
        <v>4.6932102892704819</v>
      </c>
      <c r="AO29" s="20">
        <f ca="1">+'TUSD BE'!$T$29+'TUSD BE'!$AB$29+'TUSD BE'!$AD$29+'TUSD BE'!$AL$29</f>
        <v>225.47133215468813</v>
      </c>
      <c r="AP29" s="20">
        <f ca="1">+'TUSD BE'!$T$29+'TUSD BE'!$AB$29+'TUSD BE'!$AD$29+'TUSD BE'!$AL$29</f>
        <v>225.47133215468813</v>
      </c>
    </row>
    <row r="30" spans="1:42" ht="11.25" customHeight="1" x14ac:dyDescent="0.25">
      <c r="A30" s="106"/>
      <c r="B30" s="106" t="s">
        <v>23</v>
      </c>
      <c r="C30" s="106" t="s">
        <v>24</v>
      </c>
      <c r="D30" s="18" t="s">
        <v>24</v>
      </c>
      <c r="E30" s="18" t="s">
        <v>25</v>
      </c>
      <c r="F30" s="18" t="s">
        <v>25</v>
      </c>
      <c r="G30" s="17" t="s">
        <v>84</v>
      </c>
      <c r="H30" s="17" t="s">
        <v>78</v>
      </c>
      <c r="I30" s="17">
        <f>'MERCADO TUSD'!$U$27</f>
        <v>216529.64400000003</v>
      </c>
      <c r="J30" s="15"/>
      <c r="L30" s="12">
        <f>'TUSD BE'!$L$30*'TUSD BF'!$L$68</f>
        <v>0.2092882013437494</v>
      </c>
      <c r="M30" s="12">
        <f>'TUSD BE'!$M$30*'TUSD BF'!$M$68</f>
        <v>0</v>
      </c>
      <c r="N30" s="12">
        <f ca="1">'TUSD BE'!$N$30*'TUSD BF'!$N$68</f>
        <v>0</v>
      </c>
      <c r="O30" s="12">
        <f>'TUSD BE'!$O$30*'TUSD BF'!$O$68</f>
        <v>0</v>
      </c>
      <c r="P30" s="12">
        <f>'TUSD BE'!$P$30*'TUSD BF'!$P$68</f>
        <v>0</v>
      </c>
      <c r="Q30" s="12">
        <f>'TUSD BE'!$Q$30*'TUSD BF'!$Q$68</f>
        <v>-1.6363977562404975E-2</v>
      </c>
      <c r="R30" s="12">
        <f>'TUSD BE'!$R$30*'TUSD BF'!$R$68</f>
        <v>0.46648905484000996</v>
      </c>
      <c r="S30" s="12">
        <f>'TUSD BE'!$R$30*'TUSD BF'!$S$68</f>
        <v>0</v>
      </c>
      <c r="T30" s="12">
        <f ca="1">SUM($L$30:$S$30)</f>
        <v>0.65941327862135435</v>
      </c>
      <c r="U30" s="12">
        <f>'TUSD BE'!$U$30*'TUSD BF'!$U$68</f>
        <v>0.93754372779530315</v>
      </c>
      <c r="V30" s="12">
        <f>'TUSD BE'!$V$30*'TUSD BF'!$V$68</f>
        <v>0.25622286171394054</v>
      </c>
      <c r="W30" s="12">
        <f>'TUSD BE'!$W$30*'TUSD BF'!$W$68</f>
        <v>0</v>
      </c>
      <c r="X30" s="12">
        <f>'TUSD BE'!$X$30*'TUSD BF'!$X$68</f>
        <v>0</v>
      </c>
      <c r="Y30" s="12">
        <f>'TUSD BE'!$Y$30*'TUSD BF'!$Y$68</f>
        <v>0</v>
      </c>
      <c r="Z30" s="12">
        <f>'TUSD BE'!$Z$30*'TUSD BF'!$Z$68</f>
        <v>0</v>
      </c>
      <c r="AA30" s="12">
        <f>'TUSD BE'!$AA$30*'TUSD BF'!$AA$68</f>
        <v>0</v>
      </c>
      <c r="AB30" s="12">
        <f>SUM($U$30:$AA$30)</f>
        <v>1.1937665895092437</v>
      </c>
      <c r="AC30" s="12">
        <f>'TUSD BE'!$AC$30*'TUSD BF'!$AC$68</f>
        <v>0</v>
      </c>
      <c r="AD30" s="12">
        <f>SUM($AC$30:$AC$30)</f>
        <v>0</v>
      </c>
      <c r="AE30" s="12">
        <f ca="1">$AO$30*$AO$65</f>
        <v>0</v>
      </c>
      <c r="AF30" s="12">
        <f ca="1">$AP$30*$AP$65</f>
        <v>0</v>
      </c>
      <c r="AG30" s="12">
        <f ca="1">SUM($AE$30:$AF$30)</f>
        <v>0</v>
      </c>
      <c r="AH30" s="12">
        <f>'TUSD BE'!$AH$30*'TUSD BF'!$AH$68</f>
        <v>2.770166831748508</v>
      </c>
      <c r="AI30" s="12">
        <f>'TUSD BE'!$AI$30*'TUSD BF'!$AI$68</f>
        <v>6.5312971978461157E-2</v>
      </c>
      <c r="AJ30" s="12">
        <f ca="1">'TUSD BE'!$AJ$30*'TUSD BF'!$AJ$68</f>
        <v>0.43430199204371195</v>
      </c>
      <c r="AK30" s="12">
        <f ca="1">'TUSD BE'!$AK$30*'TUSD BF'!$AK$68</f>
        <v>0</v>
      </c>
      <c r="AL30" s="12">
        <f ca="1">SUM($AH$30:$AK$30)</f>
        <v>3.2697817957706814</v>
      </c>
      <c r="AM30" s="12">
        <f ca="1">SUMIF($L$4:$AL$4,"SUBTOTAL",$L$30:$AL$30)</f>
        <v>5.1229616639012789</v>
      </c>
      <c r="AO30" s="20">
        <f ca="1">+'TUSD BE'!$T$30+'TUSD BE'!$AB$30+'TUSD BE'!$AD$30+'TUSD BE'!$AL$30</f>
        <v>311.12495554544228</v>
      </c>
      <c r="AP30" s="20">
        <f ca="1">+'TUSD BE'!$T$30+'TUSD BE'!$AB$30+'TUSD BE'!$AD$30+'TUSD BE'!$AL$30</f>
        <v>311.12495554544228</v>
      </c>
    </row>
    <row r="31" spans="1:42" ht="11.25" customHeight="1" x14ac:dyDescent="0.25">
      <c r="A31" s="106"/>
      <c r="B31" s="106"/>
      <c r="C31" s="106"/>
      <c r="D31" s="18" t="s">
        <v>29</v>
      </c>
      <c r="E31" s="18" t="s">
        <v>25</v>
      </c>
      <c r="F31" s="18" t="s">
        <v>25</v>
      </c>
      <c r="G31" s="17" t="s">
        <v>84</v>
      </c>
      <c r="H31" s="17" t="s">
        <v>78</v>
      </c>
      <c r="I31" s="17">
        <f>'MERCADO TUSD'!$U$28</f>
        <v>20401.981000000003</v>
      </c>
      <c r="J31" s="15"/>
      <c r="L31" s="12">
        <f>'TUSD BE'!$L$31*'TUSD BF'!$L$68</f>
        <v>0</v>
      </c>
      <c r="M31" s="12">
        <f>'TUSD BE'!$M$31*'TUSD BF'!$M$68</f>
        <v>0</v>
      </c>
      <c r="N31" s="12">
        <f ca="1">'TUSD BE'!$N$31*'TUSD BF'!$N$68</f>
        <v>0</v>
      </c>
      <c r="O31" s="12">
        <f>'TUSD BE'!$O$31*'TUSD BF'!$O$68</f>
        <v>0</v>
      </c>
      <c r="P31" s="12">
        <f>'TUSD BE'!$P$31*'TUSD BF'!$P$68</f>
        <v>0</v>
      </c>
      <c r="Q31" s="12">
        <f>'TUSD BE'!$Q$31*'TUSD BF'!$Q$68</f>
        <v>0</v>
      </c>
      <c r="R31" s="12">
        <f>'TUSD BE'!$R$31*'TUSD BF'!$R$68</f>
        <v>0</v>
      </c>
      <c r="S31" s="12">
        <f>'TUSD BE'!$R$31*'TUSD BF'!$S$68</f>
        <v>0</v>
      </c>
      <c r="T31" s="12">
        <f ca="1">SUM($L$31:$S$31)</f>
        <v>0</v>
      </c>
      <c r="U31" s="12">
        <f>'TUSD BE'!$U$31*'TUSD BF'!$U$68</f>
        <v>0.93754372779530315</v>
      </c>
      <c r="V31" s="12">
        <f>'TUSD BE'!$V$31*'TUSD BF'!$V$68</f>
        <v>0.25622286171394054</v>
      </c>
      <c r="W31" s="12">
        <f>'TUSD BE'!$W$31*'TUSD BF'!$W$68</f>
        <v>0</v>
      </c>
      <c r="X31" s="12">
        <f>'TUSD BE'!$X$31*'TUSD BF'!$X$68</f>
        <v>0</v>
      </c>
      <c r="Y31" s="12">
        <f>'TUSD BE'!$Y$31*'TUSD BF'!$Y$68</f>
        <v>0</v>
      </c>
      <c r="Z31" s="12">
        <f>'TUSD BE'!$Z$31*'TUSD BF'!$Z$68</f>
        <v>0</v>
      </c>
      <c r="AA31" s="12">
        <f>'TUSD BE'!$AA$31*'TUSD BF'!$AA$68</f>
        <v>0</v>
      </c>
      <c r="AB31" s="12">
        <f>SUM($U$31:$AA$31)</f>
        <v>1.1937665895092437</v>
      </c>
      <c r="AC31" s="12">
        <f>'TUSD BE'!$AC$31*'TUSD BF'!$AC$68</f>
        <v>0</v>
      </c>
      <c r="AD31" s="12">
        <f>SUM($AC$31:$AC$31)</f>
        <v>0</v>
      </c>
      <c r="AE31" s="12">
        <f ca="1">$AO$31*$AO$65</f>
        <v>0</v>
      </c>
      <c r="AF31" s="12">
        <f ca="1">$AP$31*$AP$65</f>
        <v>0</v>
      </c>
      <c r="AG31" s="12">
        <f ca="1">SUM($AE$31:$AF$31)</f>
        <v>0</v>
      </c>
      <c r="AH31" s="12">
        <f>'TUSD BE'!$AH$31*'TUSD BF'!$AH$68</f>
        <v>2.770166831748508</v>
      </c>
      <c r="AI31" s="12">
        <f>'TUSD BE'!$AI$31*'TUSD BF'!$AI$68</f>
        <v>6.5312971978461157E-2</v>
      </c>
      <c r="AJ31" s="12">
        <f ca="1">'TUSD BE'!$AJ$31*'TUSD BF'!$AJ$68</f>
        <v>0.43430199204371195</v>
      </c>
      <c r="AK31" s="12">
        <f ca="1">'TUSD BE'!$AK$31*'TUSD BF'!$AK$68</f>
        <v>0</v>
      </c>
      <c r="AL31" s="12">
        <f ca="1">SUM($AH$31:$AK$31)</f>
        <v>3.2697817957706814</v>
      </c>
      <c r="AM31" s="12">
        <f ca="1">SUMIF($L$4:$AL$4,"SUBTOTAL",$L$31:$AL$31)</f>
        <v>4.4635483852799247</v>
      </c>
      <c r="AO31" s="20">
        <f ca="1">+'TUSD BE'!$T$31+'TUSD BE'!$AB$31+'TUSD BE'!$AD$31+'TUSD BE'!$AL$31</f>
        <v>258.89859699291509</v>
      </c>
      <c r="AP31" s="20">
        <f ca="1">+'TUSD BE'!$T$31+'TUSD BE'!$AB$31+'TUSD BE'!$AD$31+'TUSD BE'!$AL$31</f>
        <v>258.89859699291509</v>
      </c>
    </row>
    <row r="32" spans="1:42" ht="11.25" customHeight="1" x14ac:dyDescent="0.25">
      <c r="A32" s="106"/>
      <c r="B32" s="106"/>
      <c r="C32" s="106"/>
      <c r="D32" s="18" t="s">
        <v>30</v>
      </c>
      <c r="E32" s="18" t="s">
        <v>25</v>
      </c>
      <c r="F32" s="18" t="s">
        <v>25</v>
      </c>
      <c r="G32" s="17" t="s">
        <v>84</v>
      </c>
      <c r="H32" s="17" t="s">
        <v>78</v>
      </c>
      <c r="I32" s="17">
        <f>'MERCADO TUSD'!$U$29</f>
        <v>32706.754000000004</v>
      </c>
      <c r="J32" s="15"/>
      <c r="L32" s="12">
        <f>'TUSD BE'!$L$32*'TUSD BF'!$L$68</f>
        <v>0</v>
      </c>
      <c r="M32" s="12">
        <f>'TUSD BE'!$M$32*'TUSD BF'!$M$68</f>
        <v>0</v>
      </c>
      <c r="N32" s="12">
        <f ca="1">'TUSD BE'!$N$32*'TUSD BF'!$N$68</f>
        <v>0</v>
      </c>
      <c r="O32" s="12">
        <f>'TUSD BE'!$O$32*'TUSD BF'!$O$68</f>
        <v>0</v>
      </c>
      <c r="P32" s="12">
        <f>'TUSD BE'!$P$32*'TUSD BF'!$P$68</f>
        <v>0</v>
      </c>
      <c r="Q32" s="12">
        <f>'TUSD BE'!$Q$32*'TUSD BF'!$Q$68</f>
        <v>0</v>
      </c>
      <c r="R32" s="12">
        <f>'TUSD BE'!$R$32*'TUSD BF'!$R$68</f>
        <v>0</v>
      </c>
      <c r="S32" s="12">
        <f>'TUSD BE'!$R$32*'TUSD BF'!$S$68</f>
        <v>0</v>
      </c>
      <c r="T32" s="12">
        <f ca="1">SUM($L$32:$S$32)</f>
        <v>0</v>
      </c>
      <c r="U32" s="12">
        <f>'TUSD BE'!$U$32*'TUSD BF'!$U$68</f>
        <v>0.93754372779530315</v>
      </c>
      <c r="V32" s="12">
        <f>'TUSD BE'!$V$32*'TUSD BF'!$V$68</f>
        <v>0.25622286171394054</v>
      </c>
      <c r="W32" s="12">
        <f>'TUSD BE'!$W$32*'TUSD BF'!$W$68</f>
        <v>0</v>
      </c>
      <c r="X32" s="12">
        <f>'TUSD BE'!$X$32*'TUSD BF'!$X$68</f>
        <v>0</v>
      </c>
      <c r="Y32" s="12">
        <f>'TUSD BE'!$Y$32*'TUSD BF'!$Y$68</f>
        <v>0</v>
      </c>
      <c r="Z32" s="12">
        <f>'TUSD BE'!$Z$32*'TUSD BF'!$Z$68</f>
        <v>0</v>
      </c>
      <c r="AA32" s="12">
        <f>'TUSD BE'!$AA$32*'TUSD BF'!$AA$68</f>
        <v>0</v>
      </c>
      <c r="AB32" s="12">
        <f>SUM($U$32:$AA$32)</f>
        <v>1.1937665895092437</v>
      </c>
      <c r="AC32" s="12">
        <f>'TUSD BE'!$AC$32*'TUSD BF'!$AC$68</f>
        <v>0</v>
      </c>
      <c r="AD32" s="12">
        <f>SUM($AC$32:$AC$32)</f>
        <v>0</v>
      </c>
      <c r="AE32" s="12">
        <f ca="1">$AO$32*$AO$65</f>
        <v>0</v>
      </c>
      <c r="AF32" s="12">
        <f ca="1">$AP$32*$AP$65</f>
        <v>0</v>
      </c>
      <c r="AG32" s="12">
        <f ca="1">SUM($AE$32:$AF$32)</f>
        <v>0</v>
      </c>
      <c r="AH32" s="12">
        <f>'TUSD BE'!$AH$32*'TUSD BF'!$AH$68</f>
        <v>2.770166831748508</v>
      </c>
      <c r="AI32" s="12">
        <f>'TUSD BE'!$AI$32*'TUSD BF'!$AI$68</f>
        <v>6.5312971978461157E-2</v>
      </c>
      <c r="AJ32" s="12">
        <f ca="1">'TUSD BE'!$AJ$32*'TUSD BF'!$AJ$68</f>
        <v>0.43430199204371195</v>
      </c>
      <c r="AK32" s="12">
        <f ca="1">'TUSD BE'!$AK$32*'TUSD BF'!$AK$68</f>
        <v>0</v>
      </c>
      <c r="AL32" s="12">
        <f ca="1">SUM($AH$32:$AK$32)</f>
        <v>3.2697817957706814</v>
      </c>
      <c r="AM32" s="12">
        <f ca="1">SUMIF($L$4:$AL$4,"SUBTOTAL",$L$32:$AL$32)</f>
        <v>4.4635483852799247</v>
      </c>
      <c r="AO32" s="20">
        <f ca="1">+'TUSD BE'!$T$32+'TUSD BE'!$AB$32+'TUSD BE'!$AD$32+'TUSD BE'!$AL$32</f>
        <v>258.89859699291509</v>
      </c>
      <c r="AP32" s="20">
        <f ca="1">+'TUSD BE'!$T$32+'TUSD BE'!$AB$32+'TUSD BE'!$AD$32+'TUSD BE'!$AL$32</f>
        <v>258.89859699291509</v>
      </c>
    </row>
    <row r="33" spans="1:42" ht="11.25" customHeight="1" x14ac:dyDescent="0.25">
      <c r="A33" s="106"/>
      <c r="B33" s="106"/>
      <c r="C33" s="106"/>
      <c r="D33" s="18" t="s">
        <v>31</v>
      </c>
      <c r="E33" s="18" t="s">
        <v>25</v>
      </c>
      <c r="F33" s="18" t="s">
        <v>25</v>
      </c>
      <c r="G33" s="17" t="s">
        <v>84</v>
      </c>
      <c r="H33" s="17" t="s">
        <v>78</v>
      </c>
      <c r="I33" s="17">
        <f>'MERCADO TUSD'!$U$30</f>
        <v>13213.162</v>
      </c>
      <c r="J33" s="15"/>
      <c r="L33" s="12">
        <f>'TUSD BE'!$L$33*'TUSD BF'!$L$68</f>
        <v>0</v>
      </c>
      <c r="M33" s="12">
        <f>'TUSD BE'!$M$33*'TUSD BF'!$M$68</f>
        <v>0</v>
      </c>
      <c r="N33" s="12">
        <f ca="1">'TUSD BE'!$N$33*'TUSD BF'!$N$68</f>
        <v>0</v>
      </c>
      <c r="O33" s="12">
        <f>'TUSD BE'!$O$33*'TUSD BF'!$O$68</f>
        <v>0</v>
      </c>
      <c r="P33" s="12">
        <f>'TUSD BE'!$P$33*'TUSD BF'!$P$68</f>
        <v>0</v>
      </c>
      <c r="Q33" s="12">
        <f>'TUSD BE'!$Q$33*'TUSD BF'!$Q$68</f>
        <v>0</v>
      </c>
      <c r="R33" s="12">
        <f>'TUSD BE'!$R$33*'TUSD BF'!$R$68</f>
        <v>0</v>
      </c>
      <c r="S33" s="12">
        <f>'TUSD BE'!$R$33*'TUSD BF'!$S$68</f>
        <v>0</v>
      </c>
      <c r="T33" s="12">
        <f ca="1">SUM($L$33:$S$33)</f>
        <v>0</v>
      </c>
      <c r="U33" s="12">
        <f>'TUSD BE'!$U$33*'TUSD BF'!$U$68</f>
        <v>0.93754372779530315</v>
      </c>
      <c r="V33" s="12">
        <f>'TUSD BE'!$V$33*'TUSD BF'!$V$68</f>
        <v>0.25622286171394054</v>
      </c>
      <c r="W33" s="12">
        <f>'TUSD BE'!$W$33*'TUSD BF'!$W$68</f>
        <v>0</v>
      </c>
      <c r="X33" s="12">
        <f>'TUSD BE'!$X$33*'TUSD BF'!$X$68</f>
        <v>0</v>
      </c>
      <c r="Y33" s="12">
        <f>'TUSD BE'!$Y$33*'TUSD BF'!$Y$68</f>
        <v>0</v>
      </c>
      <c r="Z33" s="12">
        <f>'TUSD BE'!$Z$33*'TUSD BF'!$Z$68</f>
        <v>0</v>
      </c>
      <c r="AA33" s="12">
        <f>'TUSD BE'!$AA$33*'TUSD BF'!$AA$68</f>
        <v>0</v>
      </c>
      <c r="AB33" s="12">
        <f>SUM($U$33:$AA$33)</f>
        <v>1.1937665895092437</v>
      </c>
      <c r="AC33" s="12">
        <f>'TUSD BE'!$AC$33*'TUSD BF'!$AC$68</f>
        <v>0</v>
      </c>
      <c r="AD33" s="12">
        <f>SUM($AC$33:$AC$33)</f>
        <v>0</v>
      </c>
      <c r="AE33" s="12">
        <f ca="1">$AO$33*$AO$65</f>
        <v>0</v>
      </c>
      <c r="AF33" s="12">
        <f ca="1">$AP$33*$AP$65</f>
        <v>0</v>
      </c>
      <c r="AG33" s="12">
        <f ca="1">SUM($AE$33:$AF$33)</f>
        <v>0</v>
      </c>
      <c r="AH33" s="12">
        <f>'TUSD BE'!$AH$33*'TUSD BF'!$AH$68</f>
        <v>2.770166831748508</v>
      </c>
      <c r="AI33" s="12">
        <f>'TUSD BE'!$AI$33*'TUSD BF'!$AI$68</f>
        <v>6.5312971978461157E-2</v>
      </c>
      <c r="AJ33" s="12">
        <f ca="1">'TUSD BE'!$AJ$33*'TUSD BF'!$AJ$68</f>
        <v>0.43430199204371195</v>
      </c>
      <c r="AK33" s="12">
        <f ca="1">'TUSD BE'!$AK$33*'TUSD BF'!$AK$68</f>
        <v>0</v>
      </c>
      <c r="AL33" s="12">
        <f ca="1">SUM($AH$33:$AK$33)</f>
        <v>3.2697817957706814</v>
      </c>
      <c r="AM33" s="12">
        <f ca="1">SUMIF($L$4:$AL$4,"SUBTOTAL",$L$33:$AL$33)</f>
        <v>4.4635483852799247</v>
      </c>
      <c r="AO33" s="20">
        <f ca="1">+'TUSD BE'!$T$33+'TUSD BE'!$AB$33+'TUSD BE'!$AD$33+'TUSD BE'!$AL$33</f>
        <v>258.89859699291509</v>
      </c>
      <c r="AP33" s="20">
        <f ca="1">+'TUSD BE'!$T$33+'TUSD BE'!$AB$33+'TUSD BE'!$AD$33+'TUSD BE'!$AL$33</f>
        <v>258.89859699291509</v>
      </c>
    </row>
    <row r="34" spans="1:42" ht="11.25" customHeight="1" x14ac:dyDescent="0.25">
      <c r="A34" s="106"/>
      <c r="B34" s="106"/>
      <c r="C34" s="106"/>
      <c r="D34" s="18" t="s">
        <v>32</v>
      </c>
      <c r="E34" s="18" t="s">
        <v>25</v>
      </c>
      <c r="F34" s="18" t="s">
        <v>25</v>
      </c>
      <c r="G34" s="17" t="s">
        <v>84</v>
      </c>
      <c r="H34" s="17" t="s">
        <v>78</v>
      </c>
      <c r="I34" s="17">
        <f>'MERCADO TUSD'!$U$31</f>
        <v>2931.0630000000001</v>
      </c>
      <c r="J34" s="15"/>
      <c r="L34" s="12">
        <f>'TUSD BE'!$L$34*'TUSD BF'!$L$68</f>
        <v>0</v>
      </c>
      <c r="M34" s="12">
        <f>'TUSD BE'!$M$34*'TUSD BF'!$M$68</f>
        <v>0</v>
      </c>
      <c r="N34" s="12">
        <f ca="1">'TUSD BE'!$N$34*'TUSD BF'!$N$68</f>
        <v>0</v>
      </c>
      <c r="O34" s="12">
        <f>'TUSD BE'!$O$34*'TUSD BF'!$O$68</f>
        <v>0</v>
      </c>
      <c r="P34" s="12">
        <f>'TUSD BE'!$P$34*'TUSD BF'!$P$68</f>
        <v>0</v>
      </c>
      <c r="Q34" s="12">
        <f>'TUSD BE'!$Q$34*'TUSD BF'!$Q$68</f>
        <v>0</v>
      </c>
      <c r="R34" s="12">
        <f>'TUSD BE'!$R$34*'TUSD BF'!$R$68</f>
        <v>0</v>
      </c>
      <c r="S34" s="12">
        <f>'TUSD BE'!$R$34*'TUSD BF'!$S$68</f>
        <v>0</v>
      </c>
      <c r="T34" s="12">
        <f ca="1">SUM($L$34:$S$34)</f>
        <v>0</v>
      </c>
      <c r="U34" s="12">
        <f>'TUSD BE'!$U$34*'TUSD BF'!$U$68</f>
        <v>0.93754372779530315</v>
      </c>
      <c r="V34" s="12">
        <f>'TUSD BE'!$V$34*'TUSD BF'!$V$68</f>
        <v>0.25622286171394054</v>
      </c>
      <c r="W34" s="12">
        <f>'TUSD BE'!$W$34*'TUSD BF'!$W$68</f>
        <v>0</v>
      </c>
      <c r="X34" s="12">
        <f>'TUSD BE'!$X$34*'TUSD BF'!$X$68</f>
        <v>0</v>
      </c>
      <c r="Y34" s="12">
        <f>'TUSD BE'!$Y$34*'TUSD BF'!$Y$68</f>
        <v>0</v>
      </c>
      <c r="Z34" s="12">
        <f>'TUSD BE'!$Z$34*'TUSD BF'!$Z$68</f>
        <v>0</v>
      </c>
      <c r="AA34" s="12">
        <f>'TUSD BE'!$AA$34*'TUSD BF'!$AA$68</f>
        <v>0</v>
      </c>
      <c r="AB34" s="12">
        <f>SUM($U$34:$AA$34)</f>
        <v>1.1937665895092437</v>
      </c>
      <c r="AC34" s="12">
        <f>'TUSD BE'!$AC$34*'TUSD BF'!$AC$68</f>
        <v>0</v>
      </c>
      <c r="AD34" s="12">
        <f>SUM($AC$34:$AC$34)</f>
        <v>0</v>
      </c>
      <c r="AE34" s="12">
        <f ca="1">$AO$34*$AO$65</f>
        <v>0</v>
      </c>
      <c r="AF34" s="12">
        <f ca="1">$AP$34*$AP$65</f>
        <v>0</v>
      </c>
      <c r="AG34" s="12">
        <f ca="1">SUM($AE$34:$AF$34)</f>
        <v>0</v>
      </c>
      <c r="AH34" s="12">
        <f>'TUSD BE'!$AH$34*'TUSD BF'!$AH$68</f>
        <v>2.770166831748508</v>
      </c>
      <c r="AI34" s="12">
        <f>'TUSD BE'!$AI$34*'TUSD BF'!$AI$68</f>
        <v>6.5312971978461157E-2</v>
      </c>
      <c r="AJ34" s="12">
        <f ca="1">'TUSD BE'!$AJ$34*'TUSD BF'!$AJ$68</f>
        <v>0.43430199204371195</v>
      </c>
      <c r="AK34" s="12">
        <f ca="1">'TUSD BE'!$AK$34*'TUSD BF'!$AK$68</f>
        <v>0</v>
      </c>
      <c r="AL34" s="12">
        <f ca="1">SUM($AH$34:$AK$34)</f>
        <v>3.2697817957706814</v>
      </c>
      <c r="AM34" s="12">
        <f ca="1">SUMIF($L$4:$AL$4,"SUBTOTAL",$L$34:$AL$34)</f>
        <v>4.4635483852799247</v>
      </c>
      <c r="AO34" s="20">
        <f ca="1">+'TUSD BE'!$T$34+'TUSD BE'!$AB$34+'TUSD BE'!$AD$34+'TUSD BE'!$AL$34</f>
        <v>258.89859699291509</v>
      </c>
      <c r="AP34" s="20">
        <f ca="1">+'TUSD BE'!$T$34+'TUSD BE'!$AB$34+'TUSD BE'!$AD$34+'TUSD BE'!$AL$34</f>
        <v>258.89859699291509</v>
      </c>
    </row>
    <row r="35" spans="1:42" ht="11.25" customHeight="1" x14ac:dyDescent="0.25">
      <c r="A35" s="106"/>
      <c r="B35" s="106" t="s">
        <v>93</v>
      </c>
      <c r="C35" s="106" t="s">
        <v>24</v>
      </c>
      <c r="D35" s="18" t="s">
        <v>24</v>
      </c>
      <c r="E35" s="18" t="s">
        <v>25</v>
      </c>
      <c r="F35" s="18" t="s">
        <v>25</v>
      </c>
      <c r="G35" s="17" t="s">
        <v>84</v>
      </c>
      <c r="H35" s="17" t="s">
        <v>78</v>
      </c>
      <c r="I35" s="17">
        <f>'MERCADO TUSD'!$U$32</f>
        <v>0</v>
      </c>
      <c r="J35" s="15"/>
      <c r="L35" s="12">
        <f>'TUSD BE'!$L$35*'TUSD BF'!$L$68</f>
        <v>0.2092882013437494</v>
      </c>
      <c r="M35" s="12">
        <f>'TUSD BE'!$M$35*'TUSD BF'!$M$68</f>
        <v>0</v>
      </c>
      <c r="N35" s="12">
        <f ca="1">'TUSD BE'!$N$35*'TUSD BF'!$N$68</f>
        <v>0</v>
      </c>
      <c r="O35" s="12">
        <f>'TUSD BE'!$O$35*'TUSD BF'!$O$68</f>
        <v>0</v>
      </c>
      <c r="P35" s="12">
        <f>'TUSD BE'!$P$35*'TUSD BF'!$P$68</f>
        <v>0</v>
      </c>
      <c r="Q35" s="12">
        <f>'TUSD BE'!$Q$35*'TUSD BF'!$Q$68</f>
        <v>-1.6363977562404975E-2</v>
      </c>
      <c r="R35" s="12">
        <f>'TUSD BE'!$R$35*'TUSD BF'!$R$68</f>
        <v>0.46648905484000996</v>
      </c>
      <c r="S35" s="12">
        <f>'TUSD BE'!$R$35*'TUSD BF'!$S$68</f>
        <v>0</v>
      </c>
      <c r="T35" s="12">
        <f ca="1">SUM($L$35:$S$35)</f>
        <v>0.65941327862135435</v>
      </c>
      <c r="U35" s="12">
        <f>'TUSD BE'!$U$35*'TUSD BF'!$U$68</f>
        <v>0.93754372779530315</v>
      </c>
      <c r="V35" s="12">
        <f>'TUSD BE'!$V$35*'TUSD BF'!$V$68</f>
        <v>0.25622286171394054</v>
      </c>
      <c r="W35" s="12">
        <f>'TUSD BE'!$W$35*'TUSD BF'!$W$68</f>
        <v>0</v>
      </c>
      <c r="X35" s="12">
        <f>'TUSD BE'!$X$35*'TUSD BF'!$X$68</f>
        <v>0</v>
      </c>
      <c r="Y35" s="12">
        <f>'TUSD BE'!$Y$35*'TUSD BF'!$Y$68</f>
        <v>0</v>
      </c>
      <c r="Z35" s="12">
        <f>'TUSD BE'!$Z$35*'TUSD BF'!$Z$68</f>
        <v>0</v>
      </c>
      <c r="AA35" s="12">
        <f>'TUSD BE'!$AA$35*'TUSD BF'!$AA$68</f>
        <v>0</v>
      </c>
      <c r="AB35" s="12">
        <f>SUM($U$35:$AA$35)</f>
        <v>1.1937665895092437</v>
      </c>
      <c r="AC35" s="12">
        <f>'TUSD BE'!$AC$35*'TUSD BF'!$AC$68</f>
        <v>0</v>
      </c>
      <c r="AD35" s="12">
        <f>SUM($AC$35:$AC$35)</f>
        <v>0</v>
      </c>
      <c r="AE35" s="12">
        <f ca="1">$AO$35*$AO$65</f>
        <v>0</v>
      </c>
      <c r="AF35" s="12">
        <f ca="1">$AP$35*$AP$65</f>
        <v>0</v>
      </c>
      <c r="AG35" s="12">
        <f ca="1">SUM($AE$35:$AF$35)</f>
        <v>0</v>
      </c>
      <c r="AH35" s="12">
        <f>'TUSD BE'!$AH$35*'TUSD BF'!$AH$68</f>
        <v>2.770166831748508</v>
      </c>
      <c r="AI35" s="12">
        <f>'TUSD BE'!$AI$35*'TUSD BF'!$AI$68</f>
        <v>6.5312971978461157E-2</v>
      </c>
      <c r="AJ35" s="12">
        <f ca="1">'TUSD BE'!$AJ$35*'TUSD BF'!$AJ$68</f>
        <v>0.43430199204371195</v>
      </c>
      <c r="AK35" s="12">
        <f ca="1">'TUSD BE'!$AK$35*'TUSD BF'!$AK$68</f>
        <v>0</v>
      </c>
      <c r="AL35" s="12">
        <f ca="1">SUM($AH$35:$AK$35)</f>
        <v>3.2697817957706814</v>
      </c>
      <c r="AM35" s="12">
        <f ca="1">SUMIF($L$4:$AL$4,"SUBTOTAL",$L$35:$AL$35)</f>
        <v>5.1229616639012789</v>
      </c>
      <c r="AO35" s="20">
        <f ca="1">+'TUSD BE'!$T$35+'TUSD BE'!$AB$35+'TUSD BE'!$AD$35+'TUSD BE'!$AL$35</f>
        <v>311.12495554544228</v>
      </c>
      <c r="AP35" s="20">
        <f ca="1">+'TUSD BE'!$T$35+'TUSD BE'!$AB$35+'TUSD BE'!$AD$35+'TUSD BE'!$AL$35</f>
        <v>311.12495554544228</v>
      </c>
    </row>
    <row r="36" spans="1:42" ht="11.25" customHeight="1" x14ac:dyDescent="0.25">
      <c r="A36" s="106"/>
      <c r="B36" s="106"/>
      <c r="C36" s="106"/>
      <c r="D36" s="18" t="s">
        <v>29</v>
      </c>
      <c r="E36" s="18" t="s">
        <v>25</v>
      </c>
      <c r="F36" s="18" t="s">
        <v>25</v>
      </c>
      <c r="G36" s="17" t="s">
        <v>84</v>
      </c>
      <c r="H36" s="17" t="s">
        <v>78</v>
      </c>
      <c r="I36" s="17">
        <f>'MERCADO TUSD'!$U$33</f>
        <v>0</v>
      </c>
      <c r="J36" s="15"/>
      <c r="L36" s="12">
        <f>'TUSD BE'!$L$36*'TUSD BF'!$L$68</f>
        <v>0</v>
      </c>
      <c r="M36" s="12">
        <f>'TUSD BE'!$M$36*'TUSD BF'!$M$68</f>
        <v>0</v>
      </c>
      <c r="N36" s="12">
        <f ca="1">'TUSD BE'!$N$36*'TUSD BF'!$N$68</f>
        <v>0</v>
      </c>
      <c r="O36" s="12">
        <f>'TUSD BE'!$O$36*'TUSD BF'!$O$68</f>
        <v>0</v>
      </c>
      <c r="P36" s="12">
        <f>'TUSD BE'!$P$36*'TUSD BF'!$P$68</f>
        <v>0</v>
      </c>
      <c r="Q36" s="12">
        <f>'TUSD BE'!$Q$36*'TUSD BF'!$Q$68</f>
        <v>0</v>
      </c>
      <c r="R36" s="12">
        <f>'TUSD BE'!$R$36*'TUSD BF'!$R$68</f>
        <v>0</v>
      </c>
      <c r="S36" s="12">
        <f>'TUSD BE'!$R$36*'TUSD BF'!$S$68</f>
        <v>0</v>
      </c>
      <c r="T36" s="12">
        <f ca="1">SUM($L$36:$S$36)</f>
        <v>0</v>
      </c>
      <c r="U36" s="12">
        <f>'TUSD BE'!$U$36*'TUSD BF'!$U$68</f>
        <v>0.93754372779530315</v>
      </c>
      <c r="V36" s="12">
        <f>'TUSD BE'!$V$36*'TUSD BF'!$V$68</f>
        <v>0.25622286171394054</v>
      </c>
      <c r="W36" s="12">
        <f>'TUSD BE'!$W$36*'TUSD BF'!$W$68</f>
        <v>0</v>
      </c>
      <c r="X36" s="12">
        <f>'TUSD BE'!$X$36*'TUSD BF'!$X$68</f>
        <v>0</v>
      </c>
      <c r="Y36" s="12">
        <f>'TUSD BE'!$Y$36*'TUSD BF'!$Y$68</f>
        <v>0</v>
      </c>
      <c r="Z36" s="12">
        <f>'TUSD BE'!$Z$36*'TUSD BF'!$Z$68</f>
        <v>0</v>
      </c>
      <c r="AA36" s="12">
        <f>'TUSD BE'!$AA$36*'TUSD BF'!$AA$68</f>
        <v>0</v>
      </c>
      <c r="AB36" s="12">
        <f>SUM($U$36:$AA$36)</f>
        <v>1.1937665895092437</v>
      </c>
      <c r="AC36" s="12">
        <f>'TUSD BE'!$AC$36*'TUSD BF'!$AC$68</f>
        <v>0</v>
      </c>
      <c r="AD36" s="12">
        <f>SUM($AC$36:$AC$36)</f>
        <v>0</v>
      </c>
      <c r="AE36" s="12">
        <f ca="1">$AO$36*$AO$65</f>
        <v>0</v>
      </c>
      <c r="AF36" s="12">
        <f ca="1">$AP$36*$AP$65</f>
        <v>0</v>
      </c>
      <c r="AG36" s="12">
        <f ca="1">SUM($AE$36:$AF$36)</f>
        <v>0</v>
      </c>
      <c r="AH36" s="12">
        <f>'TUSD BE'!$AH$36*'TUSD BF'!$AH$68</f>
        <v>2.770166831748508</v>
      </c>
      <c r="AI36" s="12">
        <f>'TUSD BE'!$AI$36*'TUSD BF'!$AI$68</f>
        <v>6.5312971978461157E-2</v>
      </c>
      <c r="AJ36" s="12">
        <f ca="1">'TUSD BE'!$AJ$36*'TUSD BF'!$AJ$68</f>
        <v>0.43430199204371195</v>
      </c>
      <c r="AK36" s="12">
        <f ca="1">'TUSD BE'!$AK$36*'TUSD BF'!$AK$68</f>
        <v>0</v>
      </c>
      <c r="AL36" s="12">
        <f ca="1">SUM($AH$36:$AK$36)</f>
        <v>3.2697817957706814</v>
      </c>
      <c r="AM36" s="12">
        <f ca="1">SUMIF($L$4:$AL$4,"SUBTOTAL",$L$36:$AL$36)</f>
        <v>4.4635483852799247</v>
      </c>
      <c r="AO36" s="20">
        <f ca="1">+'TUSD BE'!$T$36+'TUSD BE'!$AB$36+'TUSD BE'!$AD$36+'TUSD BE'!$AL$36</f>
        <v>258.89859699291509</v>
      </c>
      <c r="AP36" s="20">
        <f ca="1">+'TUSD BE'!$T$36+'TUSD BE'!$AB$36+'TUSD BE'!$AD$36+'TUSD BE'!$AL$36</f>
        <v>258.89859699291509</v>
      </c>
    </row>
    <row r="37" spans="1:42" ht="11.25" customHeight="1" x14ac:dyDescent="0.25">
      <c r="A37" s="106"/>
      <c r="B37" s="106"/>
      <c r="C37" s="106"/>
      <c r="D37" s="18" t="s">
        <v>30</v>
      </c>
      <c r="E37" s="18" t="s">
        <v>25</v>
      </c>
      <c r="F37" s="18" t="s">
        <v>25</v>
      </c>
      <c r="G37" s="17" t="s">
        <v>84</v>
      </c>
      <c r="H37" s="17" t="s">
        <v>78</v>
      </c>
      <c r="I37" s="17">
        <f>'MERCADO TUSD'!$U$34</f>
        <v>0</v>
      </c>
      <c r="J37" s="15"/>
      <c r="L37" s="12">
        <f>'TUSD BE'!$L$37*'TUSD BF'!$L$68</f>
        <v>0</v>
      </c>
      <c r="M37" s="12">
        <f>'TUSD BE'!$M$37*'TUSD BF'!$M$68</f>
        <v>0</v>
      </c>
      <c r="N37" s="12">
        <f ca="1">'TUSD BE'!$N$37*'TUSD BF'!$N$68</f>
        <v>0</v>
      </c>
      <c r="O37" s="12">
        <f>'TUSD BE'!$O$37*'TUSD BF'!$O$68</f>
        <v>0</v>
      </c>
      <c r="P37" s="12">
        <f>'TUSD BE'!$P$37*'TUSD BF'!$P$68</f>
        <v>0</v>
      </c>
      <c r="Q37" s="12">
        <f>'TUSD BE'!$Q$37*'TUSD BF'!$Q$68</f>
        <v>0</v>
      </c>
      <c r="R37" s="12">
        <f>'TUSD BE'!$R$37*'TUSD BF'!$R$68</f>
        <v>0</v>
      </c>
      <c r="S37" s="12">
        <f>'TUSD BE'!$R$37*'TUSD BF'!$S$68</f>
        <v>0</v>
      </c>
      <c r="T37" s="12">
        <f ca="1">SUM($L$37:$S$37)</f>
        <v>0</v>
      </c>
      <c r="U37" s="12">
        <f>'TUSD BE'!$U$37*'TUSD BF'!$U$68</f>
        <v>0.93754372779530315</v>
      </c>
      <c r="V37" s="12">
        <f>'TUSD BE'!$V$37*'TUSD BF'!$V$68</f>
        <v>0.25622286171394054</v>
      </c>
      <c r="W37" s="12">
        <f>'TUSD BE'!$W$37*'TUSD BF'!$W$68</f>
        <v>0</v>
      </c>
      <c r="X37" s="12">
        <f>'TUSD BE'!$X$37*'TUSD BF'!$X$68</f>
        <v>0</v>
      </c>
      <c r="Y37" s="12">
        <f>'TUSD BE'!$Y$37*'TUSD BF'!$Y$68</f>
        <v>0</v>
      </c>
      <c r="Z37" s="12">
        <f>'TUSD BE'!$Z$37*'TUSD BF'!$Z$68</f>
        <v>0</v>
      </c>
      <c r="AA37" s="12">
        <f>'TUSD BE'!$AA$37*'TUSD BF'!$AA$68</f>
        <v>0</v>
      </c>
      <c r="AB37" s="12">
        <f>SUM($U$37:$AA$37)</f>
        <v>1.1937665895092437</v>
      </c>
      <c r="AC37" s="12">
        <f>'TUSD BE'!$AC$37*'TUSD BF'!$AC$68</f>
        <v>0</v>
      </c>
      <c r="AD37" s="12">
        <f>SUM($AC$37:$AC$37)</f>
        <v>0</v>
      </c>
      <c r="AE37" s="12">
        <f ca="1">$AO$37*$AO$65</f>
        <v>0</v>
      </c>
      <c r="AF37" s="12">
        <f ca="1">$AP$37*$AP$65</f>
        <v>0</v>
      </c>
      <c r="AG37" s="12">
        <f ca="1">SUM($AE$37:$AF$37)</f>
        <v>0</v>
      </c>
      <c r="AH37" s="12">
        <f>'TUSD BE'!$AH$37*'TUSD BF'!$AH$68</f>
        <v>2.770166831748508</v>
      </c>
      <c r="AI37" s="12">
        <f>'TUSD BE'!$AI$37*'TUSD BF'!$AI$68</f>
        <v>6.5312971978461157E-2</v>
      </c>
      <c r="AJ37" s="12">
        <f ca="1">'TUSD BE'!$AJ$37*'TUSD BF'!$AJ$68</f>
        <v>0.43430199204371195</v>
      </c>
      <c r="AK37" s="12">
        <f ca="1">'TUSD BE'!$AK$37*'TUSD BF'!$AK$68</f>
        <v>0</v>
      </c>
      <c r="AL37" s="12">
        <f ca="1">SUM($AH$37:$AK$37)</f>
        <v>3.2697817957706814</v>
      </c>
      <c r="AM37" s="12">
        <f ca="1">SUMIF($L$4:$AL$4,"SUBTOTAL",$L$37:$AL$37)</f>
        <v>4.4635483852799247</v>
      </c>
      <c r="AO37" s="20">
        <f ca="1">+'TUSD BE'!$T$37+'TUSD BE'!$AB$37+'TUSD BE'!$AD$37+'TUSD BE'!$AL$37</f>
        <v>258.89859699291509</v>
      </c>
      <c r="AP37" s="20">
        <f ca="1">+'TUSD BE'!$T$37+'TUSD BE'!$AB$37+'TUSD BE'!$AD$37+'TUSD BE'!$AL$37</f>
        <v>258.89859699291509</v>
      </c>
    </row>
    <row r="38" spans="1:42" ht="11.25" customHeight="1" x14ac:dyDescent="0.25">
      <c r="A38" s="106"/>
      <c r="B38" s="106"/>
      <c r="C38" s="106"/>
      <c r="D38" s="18" t="s">
        <v>31</v>
      </c>
      <c r="E38" s="18" t="s">
        <v>25</v>
      </c>
      <c r="F38" s="18" t="s">
        <v>25</v>
      </c>
      <c r="G38" s="17" t="s">
        <v>84</v>
      </c>
      <c r="H38" s="17" t="s">
        <v>78</v>
      </c>
      <c r="I38" s="17">
        <f>'MERCADO TUSD'!$U$35</f>
        <v>0</v>
      </c>
      <c r="J38" s="15"/>
      <c r="L38" s="12">
        <f>'TUSD BE'!$L$38*'TUSD BF'!$L$68</f>
        <v>0</v>
      </c>
      <c r="M38" s="12">
        <f>'TUSD BE'!$M$38*'TUSD BF'!$M$68</f>
        <v>0</v>
      </c>
      <c r="N38" s="12">
        <f ca="1">'TUSD BE'!$N$38*'TUSD BF'!$N$68</f>
        <v>0</v>
      </c>
      <c r="O38" s="12">
        <f>'TUSD BE'!$O$38*'TUSD BF'!$O$68</f>
        <v>0</v>
      </c>
      <c r="P38" s="12">
        <f>'TUSD BE'!$P$38*'TUSD BF'!$P$68</f>
        <v>0</v>
      </c>
      <c r="Q38" s="12">
        <f>'TUSD BE'!$Q$38*'TUSD BF'!$Q$68</f>
        <v>0</v>
      </c>
      <c r="R38" s="12">
        <f>'TUSD BE'!$R$38*'TUSD BF'!$R$68</f>
        <v>0</v>
      </c>
      <c r="S38" s="12">
        <f>'TUSD BE'!$R$38*'TUSD BF'!$S$68</f>
        <v>0</v>
      </c>
      <c r="T38" s="12">
        <f ca="1">SUM($L$38:$S$38)</f>
        <v>0</v>
      </c>
      <c r="U38" s="12">
        <f>'TUSD BE'!$U$38*'TUSD BF'!$U$68</f>
        <v>0.93754372779530315</v>
      </c>
      <c r="V38" s="12">
        <f>'TUSD BE'!$V$38*'TUSD BF'!$V$68</f>
        <v>0.25622286171394054</v>
      </c>
      <c r="W38" s="12">
        <f>'TUSD BE'!$W$38*'TUSD BF'!$W$68</f>
        <v>0</v>
      </c>
      <c r="X38" s="12">
        <f>'TUSD BE'!$X$38*'TUSD BF'!$X$68</f>
        <v>0</v>
      </c>
      <c r="Y38" s="12">
        <f>'TUSD BE'!$Y$38*'TUSD BF'!$Y$68</f>
        <v>0</v>
      </c>
      <c r="Z38" s="12">
        <f>'TUSD BE'!$Z$38*'TUSD BF'!$Z$68</f>
        <v>0</v>
      </c>
      <c r="AA38" s="12">
        <f>'TUSD BE'!$AA$38*'TUSD BF'!$AA$68</f>
        <v>0</v>
      </c>
      <c r="AB38" s="12">
        <f>SUM($U$38:$AA$38)</f>
        <v>1.1937665895092437</v>
      </c>
      <c r="AC38" s="12">
        <f>'TUSD BE'!$AC$38*'TUSD BF'!$AC$68</f>
        <v>0</v>
      </c>
      <c r="AD38" s="12">
        <f>SUM($AC$38:$AC$38)</f>
        <v>0</v>
      </c>
      <c r="AE38" s="12">
        <f ca="1">$AO$38*$AO$65</f>
        <v>0</v>
      </c>
      <c r="AF38" s="12">
        <f ca="1">$AP$38*$AP$65</f>
        <v>0</v>
      </c>
      <c r="AG38" s="12">
        <f ca="1">SUM($AE$38:$AF$38)</f>
        <v>0</v>
      </c>
      <c r="AH38" s="12">
        <f>'TUSD BE'!$AH$38*'TUSD BF'!$AH$68</f>
        <v>2.770166831748508</v>
      </c>
      <c r="AI38" s="12">
        <f>'TUSD BE'!$AI$38*'TUSD BF'!$AI$68</f>
        <v>6.5312971978461157E-2</v>
      </c>
      <c r="AJ38" s="12">
        <f ca="1">'TUSD BE'!$AJ$38*'TUSD BF'!$AJ$68</f>
        <v>0.43430199204371195</v>
      </c>
      <c r="AK38" s="12">
        <f ca="1">'TUSD BE'!$AK$38*'TUSD BF'!$AK$68</f>
        <v>0</v>
      </c>
      <c r="AL38" s="12">
        <f ca="1">SUM($AH$38:$AK$38)</f>
        <v>3.2697817957706814</v>
      </c>
      <c r="AM38" s="12">
        <f ca="1">SUMIF($L$4:$AL$4,"SUBTOTAL",$L$38:$AL$38)</f>
        <v>4.4635483852799247</v>
      </c>
      <c r="AO38" s="20">
        <f ca="1">+'TUSD BE'!$T$38+'TUSD BE'!$AB$38+'TUSD BE'!$AD$38+'TUSD BE'!$AL$38</f>
        <v>258.89859699291509</v>
      </c>
      <c r="AP38" s="20">
        <f ca="1">+'TUSD BE'!$T$38+'TUSD BE'!$AB$38+'TUSD BE'!$AD$38+'TUSD BE'!$AL$38</f>
        <v>258.89859699291509</v>
      </c>
    </row>
    <row r="39" spans="1:42" ht="11.25" customHeight="1" x14ac:dyDescent="0.25">
      <c r="A39" s="106"/>
      <c r="B39" s="106"/>
      <c r="C39" s="106"/>
      <c r="D39" s="18" t="s">
        <v>32</v>
      </c>
      <c r="E39" s="18" t="s">
        <v>25</v>
      </c>
      <c r="F39" s="18" t="s">
        <v>25</v>
      </c>
      <c r="G39" s="17" t="s">
        <v>84</v>
      </c>
      <c r="H39" s="17" t="s">
        <v>78</v>
      </c>
      <c r="I39" s="17">
        <f>'MERCADO TUSD'!$U$36</f>
        <v>0</v>
      </c>
      <c r="J39" s="15"/>
      <c r="L39" s="12">
        <f>'TUSD BE'!$L$39*'TUSD BF'!$L$68</f>
        <v>0</v>
      </c>
      <c r="M39" s="12">
        <f>'TUSD BE'!$M$39*'TUSD BF'!$M$68</f>
        <v>0</v>
      </c>
      <c r="N39" s="12">
        <f ca="1">'TUSD BE'!$N$39*'TUSD BF'!$N$68</f>
        <v>0</v>
      </c>
      <c r="O39" s="12">
        <f>'TUSD BE'!$O$39*'TUSD BF'!$O$68</f>
        <v>0</v>
      </c>
      <c r="P39" s="12">
        <f>'TUSD BE'!$P$39*'TUSD BF'!$P$68</f>
        <v>0</v>
      </c>
      <c r="Q39" s="12">
        <f>'TUSD BE'!$Q$39*'TUSD BF'!$Q$68</f>
        <v>0</v>
      </c>
      <c r="R39" s="12">
        <f>'TUSD BE'!$R$39*'TUSD BF'!$R$68</f>
        <v>0</v>
      </c>
      <c r="S39" s="12">
        <f>'TUSD BE'!$R$39*'TUSD BF'!$S$68</f>
        <v>0</v>
      </c>
      <c r="T39" s="12">
        <f ca="1">SUM($L$39:$S$39)</f>
        <v>0</v>
      </c>
      <c r="U39" s="12">
        <f>'TUSD BE'!$U$39*'TUSD BF'!$U$68</f>
        <v>0.93754372779530315</v>
      </c>
      <c r="V39" s="12">
        <f>'TUSD BE'!$V$39*'TUSD BF'!$V$68</f>
        <v>0.25622286171394054</v>
      </c>
      <c r="W39" s="12">
        <f>'TUSD BE'!$W$39*'TUSD BF'!$W$68</f>
        <v>0</v>
      </c>
      <c r="X39" s="12">
        <f>'TUSD BE'!$X$39*'TUSD BF'!$X$68</f>
        <v>0</v>
      </c>
      <c r="Y39" s="12">
        <f>'TUSD BE'!$Y$39*'TUSD BF'!$Y$68</f>
        <v>0</v>
      </c>
      <c r="Z39" s="12">
        <f>'TUSD BE'!$Z$39*'TUSD BF'!$Z$68</f>
        <v>0</v>
      </c>
      <c r="AA39" s="12">
        <f>'TUSD BE'!$AA$39*'TUSD BF'!$AA$68</f>
        <v>0</v>
      </c>
      <c r="AB39" s="12">
        <f>SUM($U$39:$AA$39)</f>
        <v>1.1937665895092437</v>
      </c>
      <c r="AC39" s="12">
        <f>'TUSD BE'!$AC$39*'TUSD BF'!$AC$68</f>
        <v>0</v>
      </c>
      <c r="AD39" s="12">
        <f>SUM($AC$39:$AC$39)</f>
        <v>0</v>
      </c>
      <c r="AE39" s="12">
        <f ca="1">$AO$39*$AO$65</f>
        <v>0</v>
      </c>
      <c r="AF39" s="12">
        <f ca="1">$AP$39*$AP$65</f>
        <v>0</v>
      </c>
      <c r="AG39" s="12">
        <f ca="1">SUM($AE$39:$AF$39)</f>
        <v>0</v>
      </c>
      <c r="AH39" s="12">
        <f>'TUSD BE'!$AH$39*'TUSD BF'!$AH$68</f>
        <v>2.770166831748508</v>
      </c>
      <c r="AI39" s="12">
        <f>'TUSD BE'!$AI$39*'TUSD BF'!$AI$68</f>
        <v>6.5312971978461157E-2</v>
      </c>
      <c r="AJ39" s="12">
        <f ca="1">'TUSD BE'!$AJ$39*'TUSD BF'!$AJ$68</f>
        <v>0.43430199204371195</v>
      </c>
      <c r="AK39" s="12">
        <f ca="1">'TUSD BE'!$AK$39*'TUSD BF'!$AK$68</f>
        <v>0</v>
      </c>
      <c r="AL39" s="12">
        <f ca="1">SUM($AH$39:$AK$39)</f>
        <v>3.2697817957706814</v>
      </c>
      <c r="AM39" s="12">
        <f ca="1">SUMIF($L$4:$AL$4,"SUBTOTAL",$L$39:$AL$39)</f>
        <v>4.4635483852799247</v>
      </c>
      <c r="AO39" s="20">
        <f ca="1">+'TUSD BE'!$T$39+'TUSD BE'!$AB$39+'TUSD BE'!$AD$39+'TUSD BE'!$AL$39</f>
        <v>258.89859699291509</v>
      </c>
      <c r="AP39" s="20">
        <f ca="1">+'TUSD BE'!$T$39+'TUSD BE'!$AB$39+'TUSD BE'!$AD$39+'TUSD BE'!$AL$39</f>
        <v>258.89859699291509</v>
      </c>
    </row>
    <row r="40" spans="1:42" ht="11.25" customHeight="1" x14ac:dyDescent="0.25">
      <c r="A40" s="106" t="s">
        <v>43</v>
      </c>
      <c r="B40" s="106" t="s">
        <v>33</v>
      </c>
      <c r="C40" s="106" t="s">
        <v>44</v>
      </c>
      <c r="D40" s="106" t="s">
        <v>25</v>
      </c>
      <c r="E40" s="106" t="s">
        <v>25</v>
      </c>
      <c r="F40" s="106" t="s">
        <v>25</v>
      </c>
      <c r="G40" s="17" t="s">
        <v>79</v>
      </c>
      <c r="H40" s="17" t="s">
        <v>78</v>
      </c>
      <c r="I40" s="17">
        <f>'MERCADO TUSD'!$U$37</f>
        <v>0.16600000000000004</v>
      </c>
      <c r="J40" s="15"/>
      <c r="L40" s="12">
        <f>'TUSD BE'!$L$40*'TUSD BF'!$L$68</f>
        <v>0.2092882013437494</v>
      </c>
      <c r="M40" s="12">
        <f>'TUSD BE'!$M$40*'TUSD BF'!$M$68</f>
        <v>0</v>
      </c>
      <c r="N40" s="12">
        <f ca="1">'TUSD BE'!$N$40*'TUSD BF'!$N$68</f>
        <v>0</v>
      </c>
      <c r="O40" s="12">
        <f>'TUSD BE'!$O$40*'TUSD BF'!$O$68</f>
        <v>0</v>
      </c>
      <c r="P40" s="12">
        <f>'TUSD BE'!$P$40*'TUSD BF'!$P$68</f>
        <v>0</v>
      </c>
      <c r="Q40" s="12">
        <f>'TUSD BE'!$Q$40*'TUSD BF'!$Q$68</f>
        <v>-1.6363977562404975E-2</v>
      </c>
      <c r="R40" s="12">
        <f>'TUSD BE'!$R$40*'TUSD BF'!$R$68</f>
        <v>0.46648905484000996</v>
      </c>
      <c r="S40" s="12">
        <f>'TUSD BE'!$R$40*'TUSD BF'!$S$68</f>
        <v>0</v>
      </c>
      <c r="T40" s="12">
        <f ca="1">SUM($L$40:$S$40)</f>
        <v>0.65941327862135435</v>
      </c>
      <c r="U40" s="12">
        <f>'TUSD BE'!$U$40*'TUSD BF'!$U$68</f>
        <v>3.0001508534815322</v>
      </c>
      <c r="V40" s="12">
        <f>'TUSD BE'!$V$40*'TUSD BF'!$V$68</f>
        <v>0.81991660417777745</v>
      </c>
      <c r="W40" s="12">
        <f>'TUSD BE'!$W$40*'TUSD BF'!$W$68</f>
        <v>0</v>
      </c>
      <c r="X40" s="12">
        <f>'TUSD BE'!$X$40*'TUSD BF'!$X$68</f>
        <v>0</v>
      </c>
      <c r="Y40" s="12">
        <f>'TUSD BE'!$Y$40*'TUSD BF'!$Y$68</f>
        <v>0</v>
      </c>
      <c r="Z40" s="12">
        <f>'TUSD BE'!$Z$40*'TUSD BF'!$Z$68</f>
        <v>0</v>
      </c>
      <c r="AA40" s="12">
        <f>'TUSD BE'!$AA$40*'TUSD BF'!$AA$68</f>
        <v>0</v>
      </c>
      <c r="AB40" s="12">
        <f>SUM($U$40:$AA$40)</f>
        <v>3.8200674576593094</v>
      </c>
      <c r="AC40" s="12">
        <f>'TUSD BE'!$AC$40*'TUSD BF'!$AC$68</f>
        <v>0</v>
      </c>
      <c r="AD40" s="12">
        <f>SUM($AC$40:$AC$40)</f>
        <v>0</v>
      </c>
      <c r="AE40" s="12">
        <f ca="1">$AO$40*$AO$65</f>
        <v>0</v>
      </c>
      <c r="AF40" s="12">
        <f ca="1">$AP$40*$AP$65</f>
        <v>0</v>
      </c>
      <c r="AG40" s="12">
        <f ca="1">SUM($AE$40:$AF$40)</f>
        <v>0</v>
      </c>
      <c r="AH40" s="12">
        <f>'TUSD BE'!$AH$40*'TUSD BF'!$AH$68</f>
        <v>2.770166831748508</v>
      </c>
      <c r="AI40" s="12">
        <f>'TUSD BE'!$AI$40*'TUSD BF'!$AI$68</f>
        <v>6.5312971978461157E-2</v>
      </c>
      <c r="AJ40" s="12">
        <f ca="1">'TUSD BE'!$AJ$40*'TUSD BF'!$AJ$68</f>
        <v>0.43430199204371195</v>
      </c>
      <c r="AK40" s="12">
        <f ca="1">'TUSD BE'!$AK$40*'TUSD BF'!$AK$68</f>
        <v>0</v>
      </c>
      <c r="AL40" s="12">
        <f ca="1">SUM($AH$40:$AK$40)</f>
        <v>3.2697817957706814</v>
      </c>
      <c r="AM40" s="12">
        <f ca="1">SUMIF($L$4:$AL$4,"SUBTOTAL",$L$40:$AL$40)</f>
        <v>7.7492625320513451</v>
      </c>
      <c r="AO40" s="20">
        <f ca="1">+'TUSD BE'!$T$40+'TUSD BE'!$AB$40+'TUSD BE'!$AD$40+'TUSD BE'!$AL$40</f>
        <v>834.56504175662951</v>
      </c>
      <c r="AP40" s="20">
        <f ca="1">+'TUSD BE'!$T$40+'TUSD BE'!$AB$40+'TUSD BE'!$AD$40+'TUSD BE'!$AL$40</f>
        <v>834.56504175662951</v>
      </c>
    </row>
    <row r="41" spans="1:42" ht="11.25" customHeight="1" x14ac:dyDescent="0.25">
      <c r="A41" s="106"/>
      <c r="B41" s="106"/>
      <c r="C41" s="106"/>
      <c r="D41" s="106"/>
      <c r="E41" s="106"/>
      <c r="F41" s="106"/>
      <c r="G41" s="17" t="s">
        <v>91</v>
      </c>
      <c r="H41" s="17" t="s">
        <v>78</v>
      </c>
      <c r="I41" s="17">
        <f>'MERCADO TUSD'!$U$38</f>
        <v>0.14499999999999999</v>
      </c>
      <c r="J41" s="15"/>
      <c r="L41" s="12">
        <f>'TUSD BE'!$L$41*'TUSD BF'!$L$68</f>
        <v>0.2092882013437494</v>
      </c>
      <c r="M41" s="12">
        <f>'TUSD BE'!$M$41*'TUSD BF'!$M$68</f>
        <v>0</v>
      </c>
      <c r="N41" s="12">
        <f ca="1">'TUSD BE'!$N$41*'TUSD BF'!$N$68</f>
        <v>0</v>
      </c>
      <c r="O41" s="12">
        <f>'TUSD BE'!$O$41*'TUSD BF'!$O$68</f>
        <v>0</v>
      </c>
      <c r="P41" s="12">
        <f>'TUSD BE'!$P$41*'TUSD BF'!$P$68</f>
        <v>0</v>
      </c>
      <c r="Q41" s="12">
        <f>'TUSD BE'!$Q$41*'TUSD BF'!$Q$68</f>
        <v>-1.6363977562404975E-2</v>
      </c>
      <c r="R41" s="12">
        <f>'TUSD BE'!$R$41*'TUSD BF'!$R$68</f>
        <v>0.46648905484000996</v>
      </c>
      <c r="S41" s="12">
        <f>'TUSD BE'!$R$41*'TUSD BF'!$S$68</f>
        <v>0</v>
      </c>
      <c r="T41" s="12">
        <f ca="1">SUM($L$41:$S$41)</f>
        <v>0.65941327862135435</v>
      </c>
      <c r="U41" s="12">
        <f>'TUSD BE'!$U$41*'TUSD BF'!$U$68</f>
        <v>1.8000905120889195</v>
      </c>
      <c r="V41" s="12">
        <f>'TUSD BE'!$V$41*'TUSD BF'!$V$68</f>
        <v>0.49195082417995839</v>
      </c>
      <c r="W41" s="12">
        <f>'TUSD BE'!$W$41*'TUSD BF'!$W$68</f>
        <v>0</v>
      </c>
      <c r="X41" s="12">
        <f>'TUSD BE'!$X$41*'TUSD BF'!$X$68</f>
        <v>0</v>
      </c>
      <c r="Y41" s="12">
        <f>'TUSD BE'!$Y$41*'TUSD BF'!$Y$68</f>
        <v>0</v>
      </c>
      <c r="Z41" s="12">
        <f>'TUSD BE'!$Z$41*'TUSD BF'!$Z$68</f>
        <v>0</v>
      </c>
      <c r="AA41" s="12">
        <f>'TUSD BE'!$AA$41*'TUSD BF'!$AA$68</f>
        <v>0</v>
      </c>
      <c r="AB41" s="12">
        <f>SUM($U$41:$AA$41)</f>
        <v>2.2920413362688778</v>
      </c>
      <c r="AC41" s="12">
        <f>'TUSD BE'!$AC$41*'TUSD BF'!$AC$68</f>
        <v>0</v>
      </c>
      <c r="AD41" s="12">
        <f>SUM($AC$41:$AC$41)</f>
        <v>0</v>
      </c>
      <c r="AE41" s="12">
        <f ca="1">$AO$41*$AO$65</f>
        <v>0</v>
      </c>
      <c r="AF41" s="12">
        <f ca="1">$AP$41*$AP$65</f>
        <v>0</v>
      </c>
      <c r="AG41" s="12">
        <f ca="1">SUM($AE$41:$AF$41)</f>
        <v>0</v>
      </c>
      <c r="AH41" s="12">
        <f>'TUSD BE'!$AH$41*'TUSD BF'!$AH$68</f>
        <v>2.770166831748508</v>
      </c>
      <c r="AI41" s="12">
        <f>'TUSD BE'!$AI$41*'TUSD BF'!$AI$68</f>
        <v>6.5312971978461157E-2</v>
      </c>
      <c r="AJ41" s="12">
        <f ca="1">'TUSD BE'!$AJ$41*'TUSD BF'!$AJ$68</f>
        <v>0.43430199204371195</v>
      </c>
      <c r="AK41" s="12">
        <f ca="1">'TUSD BE'!$AK$41*'TUSD BF'!$AK$68</f>
        <v>0</v>
      </c>
      <c r="AL41" s="12">
        <f ca="1">SUM($AH$41:$AK$41)</f>
        <v>3.2697817957706814</v>
      </c>
      <c r="AM41" s="12">
        <f ca="1">SUMIF($L$4:$AL$4,"SUBTOTAL",$L$41:$AL$41)</f>
        <v>6.2212364106609135</v>
      </c>
      <c r="AO41" s="20">
        <f ca="1">+'TUSD BE'!$T$41+'TUSD BE'!$AB$41+'TUSD BE'!$AD$41+'TUSD BE'!$AL$41</f>
        <v>530.01808594923034</v>
      </c>
      <c r="AP41" s="20">
        <f ca="1">+'TUSD BE'!$T$41+'TUSD BE'!$AB$41+'TUSD BE'!$AD$41+'TUSD BE'!$AL$41</f>
        <v>530.01808594923034</v>
      </c>
    </row>
    <row r="42" spans="1:42" ht="11.25" customHeight="1" x14ac:dyDescent="0.25">
      <c r="A42" s="106"/>
      <c r="B42" s="106"/>
      <c r="C42" s="106"/>
      <c r="D42" s="106"/>
      <c r="E42" s="106"/>
      <c r="F42" s="106"/>
      <c r="G42" s="17" t="s">
        <v>80</v>
      </c>
      <c r="H42" s="17" t="s">
        <v>78</v>
      </c>
      <c r="I42" s="17">
        <f>'MERCADO TUSD'!$U$39</f>
        <v>3.37</v>
      </c>
      <c r="J42" s="15"/>
      <c r="L42" s="12">
        <f>'TUSD BE'!$L$42*'TUSD BF'!$L$68</f>
        <v>0.2092882013437494</v>
      </c>
      <c r="M42" s="12">
        <f>'TUSD BE'!$M$42*'TUSD BF'!$M$68</f>
        <v>0</v>
      </c>
      <c r="N42" s="12">
        <f ca="1">'TUSD BE'!$N$42*'TUSD BF'!$N$68</f>
        <v>0</v>
      </c>
      <c r="O42" s="12">
        <f>'TUSD BE'!$O$42*'TUSD BF'!$O$68</f>
        <v>0</v>
      </c>
      <c r="P42" s="12">
        <f>'TUSD BE'!$P$42*'TUSD BF'!$P$68</f>
        <v>0</v>
      </c>
      <c r="Q42" s="12">
        <f>'TUSD BE'!$Q$42*'TUSD BF'!$Q$68</f>
        <v>-1.6363977562404975E-2</v>
      </c>
      <c r="R42" s="12">
        <f>'TUSD BE'!$R$42*'TUSD BF'!$R$68</f>
        <v>0.46648905484000996</v>
      </c>
      <c r="S42" s="12">
        <f>'TUSD BE'!$R$42*'TUSD BF'!$S$68</f>
        <v>0</v>
      </c>
      <c r="T42" s="12">
        <f ca="1">SUM($L$42:$S$42)</f>
        <v>0.65941327862135435</v>
      </c>
      <c r="U42" s="12">
        <f>'TUSD BE'!$U$42*'TUSD BF'!$U$68</f>
        <v>0.60003017069630638</v>
      </c>
      <c r="V42" s="12">
        <f>'TUSD BE'!$V$42*'TUSD BF'!$V$68</f>
        <v>0.1639850441821393</v>
      </c>
      <c r="W42" s="12">
        <f>'TUSD BE'!$W$42*'TUSD BF'!$W$68</f>
        <v>0</v>
      </c>
      <c r="X42" s="12">
        <f>'TUSD BE'!$X$42*'TUSD BF'!$X$68</f>
        <v>0</v>
      </c>
      <c r="Y42" s="12">
        <f>'TUSD BE'!$Y$42*'TUSD BF'!$Y$68</f>
        <v>0</v>
      </c>
      <c r="Z42" s="12">
        <f>'TUSD BE'!$Z$42*'TUSD BF'!$Z$68</f>
        <v>0</v>
      </c>
      <c r="AA42" s="12">
        <f>'TUSD BE'!$AA$42*'TUSD BF'!$AA$68</f>
        <v>0</v>
      </c>
      <c r="AB42" s="12">
        <f>SUM($U$42:$AA$42)</f>
        <v>0.7640152148784457</v>
      </c>
      <c r="AC42" s="12">
        <f>'TUSD BE'!$AC$42*'TUSD BF'!$AC$68</f>
        <v>0</v>
      </c>
      <c r="AD42" s="12">
        <f>SUM($AC$42:$AC$42)</f>
        <v>0</v>
      </c>
      <c r="AE42" s="12">
        <f ca="1">$AO$42*$AO$65</f>
        <v>0</v>
      </c>
      <c r="AF42" s="12">
        <f ca="1">$AP$42*$AP$65</f>
        <v>0</v>
      </c>
      <c r="AG42" s="12">
        <f ca="1">SUM($AE$42:$AF$42)</f>
        <v>0</v>
      </c>
      <c r="AH42" s="12">
        <f>'TUSD BE'!$AH$42*'TUSD BF'!$AH$68</f>
        <v>2.770166831748508</v>
      </c>
      <c r="AI42" s="12">
        <f>'TUSD BE'!$AI$42*'TUSD BF'!$AI$68</f>
        <v>6.5312971978461157E-2</v>
      </c>
      <c r="AJ42" s="12">
        <f ca="1">'TUSD BE'!$AJ$42*'TUSD BF'!$AJ$68</f>
        <v>0.43430199204371195</v>
      </c>
      <c r="AK42" s="12">
        <f ca="1">'TUSD BE'!$AK$42*'TUSD BF'!$AK$68</f>
        <v>0</v>
      </c>
      <c r="AL42" s="12">
        <f ca="1">SUM($AH$42:$AK$42)</f>
        <v>3.2697817957706814</v>
      </c>
      <c r="AM42" s="12">
        <f ca="1">SUMIF($L$4:$AL$4,"SUBTOTAL",$L$42:$AL$42)</f>
        <v>4.6932102892704819</v>
      </c>
      <c r="AO42" s="20">
        <f ca="1">+'TUSD BE'!$T$42+'TUSD BE'!$AB$42+'TUSD BE'!$AD$42+'TUSD BE'!$AL$42</f>
        <v>225.47133215468813</v>
      </c>
      <c r="AP42" s="20">
        <f ca="1">+'TUSD BE'!$T$42+'TUSD BE'!$AB$42+'TUSD BE'!$AD$42+'TUSD BE'!$AL$42</f>
        <v>225.47133215468813</v>
      </c>
    </row>
    <row r="43" spans="1:42" ht="11.25" customHeight="1" x14ac:dyDescent="0.25">
      <c r="A43" s="106"/>
      <c r="B43" s="18" t="s">
        <v>23</v>
      </c>
      <c r="C43" s="18" t="s">
        <v>44</v>
      </c>
      <c r="D43" s="18" t="s">
        <v>25</v>
      </c>
      <c r="E43" s="18" t="s">
        <v>25</v>
      </c>
      <c r="F43" s="18" t="s">
        <v>25</v>
      </c>
      <c r="G43" s="17" t="s">
        <v>84</v>
      </c>
      <c r="H43" s="17" t="s">
        <v>78</v>
      </c>
      <c r="I43" s="17">
        <f>'MERCADO TUSD'!$U$40</f>
        <v>23741.584000000003</v>
      </c>
      <c r="J43" s="15"/>
      <c r="L43" s="12">
        <f>'TUSD BE'!$L$43*'TUSD BF'!$L$68</f>
        <v>0.2092882013437494</v>
      </c>
      <c r="M43" s="12">
        <f>'TUSD BE'!$M$43*'TUSD BF'!$M$68</f>
        <v>0</v>
      </c>
      <c r="N43" s="12">
        <f ca="1">'TUSD BE'!$N$43*'TUSD BF'!$N$68</f>
        <v>0</v>
      </c>
      <c r="O43" s="12">
        <f>'TUSD BE'!$O$43*'TUSD BF'!$O$68</f>
        <v>0</v>
      </c>
      <c r="P43" s="12">
        <f>'TUSD BE'!$P$43*'TUSD BF'!$P$68</f>
        <v>0</v>
      </c>
      <c r="Q43" s="12">
        <f>'TUSD BE'!$Q$43*'TUSD BF'!$Q$68</f>
        <v>-1.6363977562404975E-2</v>
      </c>
      <c r="R43" s="12">
        <f>'TUSD BE'!$R$43*'TUSD BF'!$R$68</f>
        <v>0.46648905484000996</v>
      </c>
      <c r="S43" s="12">
        <f>'TUSD BE'!$R$43*'TUSD BF'!$S$68</f>
        <v>0</v>
      </c>
      <c r="T43" s="12">
        <f ca="1">SUM($L$43:$S$43)</f>
        <v>0.65941327862135435</v>
      </c>
      <c r="U43" s="12">
        <f>'TUSD BE'!$U$43*'TUSD BF'!$U$68</f>
        <v>0.93754372779530315</v>
      </c>
      <c r="V43" s="12">
        <f>'TUSD BE'!$V$43*'TUSD BF'!$V$68</f>
        <v>0.25622286171394054</v>
      </c>
      <c r="W43" s="12">
        <f>'TUSD BE'!$W$43*'TUSD BF'!$W$68</f>
        <v>0</v>
      </c>
      <c r="X43" s="12">
        <f>'TUSD BE'!$X$43*'TUSD BF'!$X$68</f>
        <v>0</v>
      </c>
      <c r="Y43" s="12">
        <f>'TUSD BE'!$Y$43*'TUSD BF'!$Y$68</f>
        <v>0</v>
      </c>
      <c r="Z43" s="12">
        <f>'TUSD BE'!$Z$43*'TUSD BF'!$Z$68</f>
        <v>0</v>
      </c>
      <c r="AA43" s="12">
        <f>'TUSD BE'!$AA$43*'TUSD BF'!$AA$68</f>
        <v>0</v>
      </c>
      <c r="AB43" s="12">
        <f>SUM($U$43:$AA$43)</f>
        <v>1.1937665895092437</v>
      </c>
      <c r="AC43" s="12">
        <f>'TUSD BE'!$AC$43*'TUSD BF'!$AC$68</f>
        <v>0</v>
      </c>
      <c r="AD43" s="12">
        <f>SUM($AC$43:$AC$43)</f>
        <v>0</v>
      </c>
      <c r="AE43" s="12">
        <f ca="1">$AO$43*$AO$65</f>
        <v>0</v>
      </c>
      <c r="AF43" s="12">
        <f ca="1">$AP$43*$AP$65</f>
        <v>0</v>
      </c>
      <c r="AG43" s="12">
        <f ca="1">SUM($AE$43:$AF$43)</f>
        <v>0</v>
      </c>
      <c r="AH43" s="12">
        <f>'TUSD BE'!$AH$43*'TUSD BF'!$AH$68</f>
        <v>2.770166831748508</v>
      </c>
      <c r="AI43" s="12">
        <f>'TUSD BE'!$AI$43*'TUSD BF'!$AI$68</f>
        <v>6.5312971978461157E-2</v>
      </c>
      <c r="AJ43" s="12">
        <f ca="1">'TUSD BE'!$AJ$43*'TUSD BF'!$AJ$68</f>
        <v>0.43430199204371195</v>
      </c>
      <c r="AK43" s="12">
        <f ca="1">'TUSD BE'!$AK$43*'TUSD BF'!$AK$68</f>
        <v>0</v>
      </c>
      <c r="AL43" s="12">
        <f ca="1">SUM($AH$43:$AK$43)</f>
        <v>3.2697817957706814</v>
      </c>
      <c r="AM43" s="12">
        <f ca="1">SUMIF($L$4:$AL$4,"SUBTOTAL",$L$43:$AL$43)</f>
        <v>5.1229616639012789</v>
      </c>
      <c r="AO43" s="20">
        <f ca="1">+'TUSD BE'!$T$43+'TUSD BE'!$AB$43+'TUSD BE'!$AD$43+'TUSD BE'!$AL$43</f>
        <v>311.12495554544228</v>
      </c>
      <c r="AP43" s="20">
        <f ca="1">+'TUSD BE'!$T$43+'TUSD BE'!$AB$43+'TUSD BE'!$AD$43+'TUSD BE'!$AL$43</f>
        <v>311.12495554544228</v>
      </c>
    </row>
    <row r="44" spans="1:42" ht="11.25" customHeight="1" x14ac:dyDescent="0.25">
      <c r="A44" s="106"/>
      <c r="B44" s="106" t="s">
        <v>33</v>
      </c>
      <c r="C44" s="106" t="s">
        <v>44</v>
      </c>
      <c r="D44" s="106" t="s">
        <v>94</v>
      </c>
      <c r="E44" s="106" t="s">
        <v>25</v>
      </c>
      <c r="F44" s="106" t="s">
        <v>25</v>
      </c>
      <c r="G44" s="17" t="s">
        <v>79</v>
      </c>
      <c r="H44" s="17" t="s">
        <v>78</v>
      </c>
      <c r="I44" s="17">
        <f>'MERCADO TUSD'!$U$41</f>
        <v>0</v>
      </c>
      <c r="J44" s="15"/>
      <c r="L44" s="12">
        <f>'TUSD BE'!$L$44*'TUSD BF'!$L$68</f>
        <v>0.2092882013437494</v>
      </c>
      <c r="M44" s="12">
        <f>'TUSD BE'!$M$44*'TUSD BF'!$M$68</f>
        <v>0</v>
      </c>
      <c r="N44" s="12">
        <f ca="1">'TUSD BE'!$N$44*'TUSD BF'!$N$68</f>
        <v>0</v>
      </c>
      <c r="O44" s="12">
        <f>'TUSD BE'!$O$44*'TUSD BF'!$O$68</f>
        <v>0</v>
      </c>
      <c r="P44" s="12">
        <f>'TUSD BE'!$P$44*'TUSD BF'!$P$68</f>
        <v>0</v>
      </c>
      <c r="Q44" s="12">
        <f>'TUSD BE'!$Q$44*'TUSD BF'!$Q$68</f>
        <v>-1.6363977562404975E-2</v>
      </c>
      <c r="R44" s="12">
        <f>'TUSD BE'!$R$44*'TUSD BF'!$R$68</f>
        <v>0.46648905484000996</v>
      </c>
      <c r="S44" s="12">
        <f>'TUSD BE'!$R$44*'TUSD BF'!$S$68</f>
        <v>0</v>
      </c>
      <c r="T44" s="12">
        <f ca="1">SUM($L$44:$S$44)</f>
        <v>0.65941327862135435</v>
      </c>
      <c r="U44" s="12">
        <f>'TUSD BE'!$U$44*'TUSD BF'!$U$68</f>
        <v>3.0001508534815322</v>
      </c>
      <c r="V44" s="12">
        <f>'TUSD BE'!$V$44*'TUSD BF'!$V$68</f>
        <v>0.81991660417777745</v>
      </c>
      <c r="W44" s="12">
        <f>'TUSD BE'!$W$44*'TUSD BF'!$W$68</f>
        <v>0</v>
      </c>
      <c r="X44" s="12">
        <f>'TUSD BE'!$X$44*'TUSD BF'!$X$68</f>
        <v>0</v>
      </c>
      <c r="Y44" s="12">
        <f>'TUSD BE'!$Y$44*'TUSD BF'!$Y$68</f>
        <v>0</v>
      </c>
      <c r="Z44" s="12">
        <f>'TUSD BE'!$Z$44*'TUSD BF'!$Z$68</f>
        <v>0</v>
      </c>
      <c r="AA44" s="12">
        <f>'TUSD BE'!$AA$44*'TUSD BF'!$AA$68</f>
        <v>0</v>
      </c>
      <c r="AB44" s="12">
        <f>SUM($U$44:$AA$44)</f>
        <v>3.8200674576593094</v>
      </c>
      <c r="AC44" s="12">
        <f>'TUSD BE'!$AC$44*'TUSD BF'!$AC$68</f>
        <v>0</v>
      </c>
      <c r="AD44" s="12">
        <f>SUM($AC$44:$AC$44)</f>
        <v>0</v>
      </c>
      <c r="AE44" s="12">
        <f ca="1">$AO$44*$AO$65</f>
        <v>0</v>
      </c>
      <c r="AF44" s="12">
        <f ca="1">$AP$44*$AP$65</f>
        <v>0</v>
      </c>
      <c r="AG44" s="12">
        <f ca="1">SUM($AE$44:$AF$44)</f>
        <v>0</v>
      </c>
      <c r="AH44" s="12">
        <f>'TUSD BE'!$AH$44*'TUSD BF'!$AH$68</f>
        <v>2.770166831748508</v>
      </c>
      <c r="AI44" s="12">
        <f>'TUSD BE'!$AI$44*'TUSD BF'!$AI$68</f>
        <v>6.5312971978461157E-2</v>
      </c>
      <c r="AJ44" s="12">
        <f ca="1">'TUSD BE'!$AJ$44*'TUSD BF'!$AJ$68</f>
        <v>0.43430199204371195</v>
      </c>
      <c r="AK44" s="12">
        <f ca="1">'TUSD BE'!$AK$44*'TUSD BF'!$AK$68</f>
        <v>0</v>
      </c>
      <c r="AL44" s="12">
        <f ca="1">SUM($AH$44:$AK$44)</f>
        <v>3.2697817957706814</v>
      </c>
      <c r="AM44" s="12">
        <f ca="1">SUMIF($L$4:$AL$4,"SUBTOTAL",$L$44:$AL$44)</f>
        <v>7.7492625320513451</v>
      </c>
      <c r="AO44" s="20">
        <f ca="1">+'TUSD BE'!$T$44+'TUSD BE'!$AB$44+'TUSD BE'!$AD$44+'TUSD BE'!$AL$44</f>
        <v>834.56504175662951</v>
      </c>
      <c r="AP44" s="20">
        <f ca="1">+'TUSD BE'!$T$44+'TUSD BE'!$AB$44+'TUSD BE'!$AD$44+'TUSD BE'!$AL$44</f>
        <v>834.56504175662951</v>
      </c>
    </row>
    <row r="45" spans="1:42" ht="11.25" customHeight="1" x14ac:dyDescent="0.25">
      <c r="A45" s="106"/>
      <c r="B45" s="106"/>
      <c r="C45" s="106"/>
      <c r="D45" s="106"/>
      <c r="E45" s="106"/>
      <c r="F45" s="106"/>
      <c r="G45" s="17" t="s">
        <v>91</v>
      </c>
      <c r="H45" s="17" t="s">
        <v>78</v>
      </c>
      <c r="I45" s="17">
        <f>'MERCADO TUSD'!$U$42</f>
        <v>0</v>
      </c>
      <c r="J45" s="15"/>
      <c r="L45" s="12">
        <f>'TUSD BE'!$L$45*'TUSD BF'!$L$68</f>
        <v>0.2092882013437494</v>
      </c>
      <c r="M45" s="12">
        <f>'TUSD BE'!$M$45*'TUSD BF'!$M$68</f>
        <v>0</v>
      </c>
      <c r="N45" s="12">
        <f ca="1">'TUSD BE'!$N$45*'TUSD BF'!$N$68</f>
        <v>0</v>
      </c>
      <c r="O45" s="12">
        <f>'TUSD BE'!$O$45*'TUSD BF'!$O$68</f>
        <v>0</v>
      </c>
      <c r="P45" s="12">
        <f>'TUSD BE'!$P$45*'TUSD BF'!$P$68</f>
        <v>0</v>
      </c>
      <c r="Q45" s="12">
        <f>'TUSD BE'!$Q$45*'TUSD BF'!$Q$68</f>
        <v>-1.6363977562404975E-2</v>
      </c>
      <c r="R45" s="12">
        <f>'TUSD BE'!$R$45*'TUSD BF'!$R$68</f>
        <v>0.46648905484000996</v>
      </c>
      <c r="S45" s="12">
        <f>'TUSD BE'!$R$45*'TUSD BF'!$S$68</f>
        <v>0</v>
      </c>
      <c r="T45" s="12">
        <f ca="1">SUM($L$45:$S$45)</f>
        <v>0.65941327862135435</v>
      </c>
      <c r="U45" s="12">
        <f>'TUSD BE'!$U$45*'TUSD BF'!$U$68</f>
        <v>1.8000905120889195</v>
      </c>
      <c r="V45" s="12">
        <f>'TUSD BE'!$V$45*'TUSD BF'!$V$68</f>
        <v>0.49195082417995839</v>
      </c>
      <c r="W45" s="12">
        <f>'TUSD BE'!$W$45*'TUSD BF'!$W$68</f>
        <v>0</v>
      </c>
      <c r="X45" s="12">
        <f>'TUSD BE'!$X$45*'TUSD BF'!$X$68</f>
        <v>0</v>
      </c>
      <c r="Y45" s="12">
        <f>'TUSD BE'!$Y$45*'TUSD BF'!$Y$68</f>
        <v>0</v>
      </c>
      <c r="Z45" s="12">
        <f>'TUSD BE'!$Z$45*'TUSD BF'!$Z$68</f>
        <v>0</v>
      </c>
      <c r="AA45" s="12">
        <f>'TUSD BE'!$AA$45*'TUSD BF'!$AA$68</f>
        <v>0</v>
      </c>
      <c r="AB45" s="12">
        <f>SUM($U$45:$AA$45)</f>
        <v>2.2920413362688778</v>
      </c>
      <c r="AC45" s="12">
        <f>'TUSD BE'!$AC$45*'TUSD BF'!$AC$68</f>
        <v>0</v>
      </c>
      <c r="AD45" s="12">
        <f>SUM($AC$45:$AC$45)</f>
        <v>0</v>
      </c>
      <c r="AE45" s="12">
        <f ca="1">$AO$45*$AO$65</f>
        <v>0</v>
      </c>
      <c r="AF45" s="12">
        <f ca="1">$AP$45*$AP$65</f>
        <v>0</v>
      </c>
      <c r="AG45" s="12">
        <f ca="1">SUM($AE$45:$AF$45)</f>
        <v>0</v>
      </c>
      <c r="AH45" s="12">
        <f>'TUSD BE'!$AH$45*'TUSD BF'!$AH$68</f>
        <v>2.770166831748508</v>
      </c>
      <c r="AI45" s="12">
        <f>'TUSD BE'!$AI$45*'TUSD BF'!$AI$68</f>
        <v>6.5312971978461157E-2</v>
      </c>
      <c r="AJ45" s="12">
        <f ca="1">'TUSD BE'!$AJ$45*'TUSD BF'!$AJ$68</f>
        <v>0.43430199204371195</v>
      </c>
      <c r="AK45" s="12">
        <f ca="1">'TUSD BE'!$AK$45*'TUSD BF'!$AK$68</f>
        <v>0</v>
      </c>
      <c r="AL45" s="12">
        <f ca="1">SUM($AH$45:$AK$45)</f>
        <v>3.2697817957706814</v>
      </c>
      <c r="AM45" s="12">
        <f ca="1">SUMIF($L$4:$AL$4,"SUBTOTAL",$L$45:$AL$45)</f>
        <v>6.2212364106609135</v>
      </c>
      <c r="AO45" s="20">
        <f ca="1">+'TUSD BE'!$T$45+'TUSD BE'!$AB$45+'TUSD BE'!$AD$45+'TUSD BE'!$AL$45</f>
        <v>530.01808594923034</v>
      </c>
      <c r="AP45" s="20">
        <f ca="1">+'TUSD BE'!$T$45+'TUSD BE'!$AB$45+'TUSD BE'!$AD$45+'TUSD BE'!$AL$45</f>
        <v>530.01808594923034</v>
      </c>
    </row>
    <row r="46" spans="1:42" ht="11.25" customHeight="1" x14ac:dyDescent="0.25">
      <c r="A46" s="106"/>
      <c r="B46" s="106"/>
      <c r="C46" s="106"/>
      <c r="D46" s="106"/>
      <c r="E46" s="106"/>
      <c r="F46" s="106"/>
      <c r="G46" s="17" t="s">
        <v>80</v>
      </c>
      <c r="H46" s="17" t="s">
        <v>78</v>
      </c>
      <c r="I46" s="17">
        <f>'MERCADO TUSD'!$U$43</f>
        <v>0</v>
      </c>
      <c r="J46" s="15"/>
      <c r="L46" s="12">
        <f>'TUSD BE'!$L$46*'TUSD BF'!$L$68</f>
        <v>0.2092882013437494</v>
      </c>
      <c r="M46" s="12">
        <f>'TUSD BE'!$M$46*'TUSD BF'!$M$68</f>
        <v>0</v>
      </c>
      <c r="N46" s="12">
        <f ca="1">'TUSD BE'!$N$46*'TUSD BF'!$N$68</f>
        <v>0</v>
      </c>
      <c r="O46" s="12">
        <f>'TUSD BE'!$O$46*'TUSD BF'!$O$68</f>
        <v>0</v>
      </c>
      <c r="P46" s="12">
        <f>'TUSD BE'!$P$46*'TUSD BF'!$P$68</f>
        <v>0</v>
      </c>
      <c r="Q46" s="12">
        <f>'TUSD BE'!$Q$46*'TUSD BF'!$Q$68</f>
        <v>-1.6363977562404975E-2</v>
      </c>
      <c r="R46" s="12">
        <f>'TUSD BE'!$R$46*'TUSD BF'!$R$68</f>
        <v>0.46648905484000996</v>
      </c>
      <c r="S46" s="12">
        <f>'TUSD BE'!$R$46*'TUSD BF'!$S$68</f>
        <v>0</v>
      </c>
      <c r="T46" s="12">
        <f ca="1">SUM($L$46:$S$46)</f>
        <v>0.65941327862135435</v>
      </c>
      <c r="U46" s="12">
        <f>'TUSD BE'!$U$46*'TUSD BF'!$U$68</f>
        <v>0.60003017069630638</v>
      </c>
      <c r="V46" s="12">
        <f>'TUSD BE'!$V$46*'TUSD BF'!$V$68</f>
        <v>0.1639850441821393</v>
      </c>
      <c r="W46" s="12">
        <f>'TUSD BE'!$W$46*'TUSD BF'!$W$68</f>
        <v>0</v>
      </c>
      <c r="X46" s="12">
        <f>'TUSD BE'!$X$46*'TUSD BF'!$X$68</f>
        <v>0</v>
      </c>
      <c r="Y46" s="12">
        <f>'TUSD BE'!$Y$46*'TUSD BF'!$Y$68</f>
        <v>0</v>
      </c>
      <c r="Z46" s="12">
        <f>'TUSD BE'!$Z$46*'TUSD BF'!$Z$68</f>
        <v>0</v>
      </c>
      <c r="AA46" s="12">
        <f>'TUSD BE'!$AA$46*'TUSD BF'!$AA$68</f>
        <v>0</v>
      </c>
      <c r="AB46" s="12">
        <f>SUM($U$46:$AA$46)</f>
        <v>0.7640152148784457</v>
      </c>
      <c r="AC46" s="12">
        <f>'TUSD BE'!$AC$46*'TUSD BF'!$AC$68</f>
        <v>0</v>
      </c>
      <c r="AD46" s="12">
        <f>SUM($AC$46:$AC$46)</f>
        <v>0</v>
      </c>
      <c r="AE46" s="12">
        <f ca="1">$AO$46*$AO$65</f>
        <v>0</v>
      </c>
      <c r="AF46" s="12">
        <f ca="1">$AP$46*$AP$65</f>
        <v>0</v>
      </c>
      <c r="AG46" s="12">
        <f ca="1">SUM($AE$46:$AF$46)</f>
        <v>0</v>
      </c>
      <c r="AH46" s="12">
        <f>'TUSD BE'!$AH$46*'TUSD BF'!$AH$68</f>
        <v>2.770166831748508</v>
      </c>
      <c r="AI46" s="12">
        <f>'TUSD BE'!$AI$46*'TUSD BF'!$AI$68</f>
        <v>6.5312971978461157E-2</v>
      </c>
      <c r="AJ46" s="12">
        <f ca="1">'TUSD BE'!$AJ$46*'TUSD BF'!$AJ$68</f>
        <v>0.43430199204371195</v>
      </c>
      <c r="AK46" s="12">
        <f ca="1">'TUSD BE'!$AK$46*'TUSD BF'!$AK$68</f>
        <v>0</v>
      </c>
      <c r="AL46" s="12">
        <f ca="1">SUM($AH$46:$AK$46)</f>
        <v>3.2697817957706814</v>
      </c>
      <c r="AM46" s="12">
        <f ca="1">SUMIF($L$4:$AL$4,"SUBTOTAL",$L$46:$AL$46)</f>
        <v>4.6932102892704819</v>
      </c>
      <c r="AO46" s="20">
        <f ca="1">+'TUSD BE'!$T$46+'TUSD BE'!$AB$46+'TUSD BE'!$AD$46+'TUSD BE'!$AL$46</f>
        <v>225.47133215468813</v>
      </c>
      <c r="AP46" s="20">
        <f ca="1">+'TUSD BE'!$T$46+'TUSD BE'!$AB$46+'TUSD BE'!$AD$46+'TUSD BE'!$AL$46</f>
        <v>225.47133215468813</v>
      </c>
    </row>
    <row r="47" spans="1:42" ht="11.25" customHeight="1" x14ac:dyDescent="0.25">
      <c r="A47" s="106"/>
      <c r="B47" s="18" t="s">
        <v>23</v>
      </c>
      <c r="C47" s="18" t="s">
        <v>44</v>
      </c>
      <c r="D47" s="18" t="s">
        <v>94</v>
      </c>
      <c r="E47" s="18" t="s">
        <v>25</v>
      </c>
      <c r="F47" s="18" t="s">
        <v>25</v>
      </c>
      <c r="G47" s="17" t="s">
        <v>84</v>
      </c>
      <c r="H47" s="17" t="s">
        <v>78</v>
      </c>
      <c r="I47" s="17">
        <f>'MERCADO TUSD'!$U$44</f>
        <v>0</v>
      </c>
      <c r="J47" s="15"/>
      <c r="L47" s="12">
        <f>'TUSD BE'!$L$47*'TUSD BF'!$L$68</f>
        <v>0.2092882013437494</v>
      </c>
      <c r="M47" s="12">
        <f>'TUSD BE'!$M$47*'TUSD BF'!$M$68</f>
        <v>0</v>
      </c>
      <c r="N47" s="12">
        <f ca="1">'TUSD BE'!$N$47*'TUSD BF'!$N$68</f>
        <v>0</v>
      </c>
      <c r="O47" s="12">
        <f>'TUSD BE'!$O$47*'TUSD BF'!$O$68</f>
        <v>0</v>
      </c>
      <c r="P47" s="12">
        <f>'TUSD BE'!$P$47*'TUSD BF'!$P$68</f>
        <v>0</v>
      </c>
      <c r="Q47" s="12">
        <f>'TUSD BE'!$Q$47*'TUSD BF'!$Q$68</f>
        <v>-1.6363977562404975E-2</v>
      </c>
      <c r="R47" s="12">
        <f>'TUSD BE'!$R$47*'TUSD BF'!$R$68</f>
        <v>0.46648905484000996</v>
      </c>
      <c r="S47" s="12">
        <f>'TUSD BE'!$R$47*'TUSD BF'!$S$68</f>
        <v>0</v>
      </c>
      <c r="T47" s="12">
        <f ca="1">SUM($L$47:$S$47)</f>
        <v>0.65941327862135435</v>
      </c>
      <c r="U47" s="12">
        <f>'TUSD BE'!$U$47*'TUSD BF'!$U$68</f>
        <v>0.93754372779530315</v>
      </c>
      <c r="V47" s="12">
        <f>'TUSD BE'!$V$47*'TUSD BF'!$V$68</f>
        <v>0.25622286171394054</v>
      </c>
      <c r="W47" s="12">
        <f>'TUSD BE'!$W$47*'TUSD BF'!$W$68</f>
        <v>0</v>
      </c>
      <c r="X47" s="12">
        <f>'TUSD BE'!$X$47*'TUSD BF'!$X$68</f>
        <v>0</v>
      </c>
      <c r="Y47" s="12">
        <f>'TUSD BE'!$Y$47*'TUSD BF'!$Y$68</f>
        <v>0</v>
      </c>
      <c r="Z47" s="12">
        <f>'TUSD BE'!$Z$47*'TUSD BF'!$Z$68</f>
        <v>0</v>
      </c>
      <c r="AA47" s="12">
        <f>'TUSD BE'!$AA$47*'TUSD BF'!$AA$68</f>
        <v>0</v>
      </c>
      <c r="AB47" s="12">
        <f>SUM($U$47:$AA$47)</f>
        <v>1.1937665895092437</v>
      </c>
      <c r="AC47" s="12">
        <f>'TUSD BE'!$AC$47*'TUSD BF'!$AC$68</f>
        <v>0</v>
      </c>
      <c r="AD47" s="12">
        <f>SUM($AC$47:$AC$47)</f>
        <v>0</v>
      </c>
      <c r="AE47" s="12">
        <f ca="1">$AO$47*$AO$65</f>
        <v>0</v>
      </c>
      <c r="AF47" s="12">
        <f ca="1">$AP$47*$AP$65</f>
        <v>0</v>
      </c>
      <c r="AG47" s="12">
        <f ca="1">SUM($AE$47:$AF$47)</f>
        <v>0</v>
      </c>
      <c r="AH47" s="12">
        <f>'TUSD BE'!$AH$47*'TUSD BF'!$AH$68</f>
        <v>2.770166831748508</v>
      </c>
      <c r="AI47" s="12">
        <f>'TUSD BE'!$AI$47*'TUSD BF'!$AI$68</f>
        <v>6.5312971978461157E-2</v>
      </c>
      <c r="AJ47" s="12">
        <f ca="1">'TUSD BE'!$AJ$47*'TUSD BF'!$AJ$68</f>
        <v>0.43430199204371195</v>
      </c>
      <c r="AK47" s="12">
        <f ca="1">'TUSD BE'!$AK$47*'TUSD BF'!$AK$68</f>
        <v>0</v>
      </c>
      <c r="AL47" s="12">
        <f ca="1">SUM($AH$47:$AK$47)</f>
        <v>3.2697817957706814</v>
      </c>
      <c r="AM47" s="12">
        <f ca="1">SUMIF($L$4:$AL$4,"SUBTOTAL",$L$47:$AL$47)</f>
        <v>5.1229616639012789</v>
      </c>
      <c r="AO47" s="20">
        <f ca="1">+'TUSD BE'!$T$47+'TUSD BE'!$AB$47+'TUSD BE'!$AD$47+'TUSD BE'!$AL$47</f>
        <v>311.12495554544228</v>
      </c>
      <c r="AP47" s="20">
        <f ca="1">+'TUSD BE'!$T$47+'TUSD BE'!$AB$47+'TUSD BE'!$AD$47+'TUSD BE'!$AL$47</f>
        <v>311.12495554544228</v>
      </c>
    </row>
    <row r="48" spans="1:42" ht="11.25" customHeight="1" x14ac:dyDescent="0.25">
      <c r="A48" s="106"/>
      <c r="B48" s="106" t="s">
        <v>33</v>
      </c>
      <c r="C48" s="106" t="s">
        <v>44</v>
      </c>
      <c r="D48" s="106" t="s">
        <v>95</v>
      </c>
      <c r="E48" s="106" t="s">
        <v>25</v>
      </c>
      <c r="F48" s="106" t="s">
        <v>25</v>
      </c>
      <c r="G48" s="17" t="s">
        <v>79</v>
      </c>
      <c r="H48" s="17" t="s">
        <v>78</v>
      </c>
      <c r="I48" s="17">
        <f>'MERCADO TUSD'!$U$45</f>
        <v>0</v>
      </c>
      <c r="J48" s="15"/>
      <c r="L48" s="12">
        <f>'TUSD BE'!$L$48*'TUSD BF'!$L$68</f>
        <v>0.2092882013437494</v>
      </c>
      <c r="M48" s="12">
        <f>'TUSD BE'!$M$48*'TUSD BF'!$M$68</f>
        <v>0</v>
      </c>
      <c r="N48" s="12">
        <f ca="1">'TUSD BE'!$N$48*'TUSD BF'!$N$68</f>
        <v>0</v>
      </c>
      <c r="O48" s="12">
        <f>'TUSD BE'!$O$48*'TUSD BF'!$O$68</f>
        <v>0</v>
      </c>
      <c r="P48" s="12">
        <f>'TUSD BE'!$P$48*'TUSD BF'!$P$68</f>
        <v>0</v>
      </c>
      <c r="Q48" s="12">
        <f>'TUSD BE'!$Q$48*'TUSD BF'!$Q$68</f>
        <v>-1.6363977562404975E-2</v>
      </c>
      <c r="R48" s="12">
        <f>'TUSD BE'!$R$48*'TUSD BF'!$R$68</f>
        <v>0.46648905484000996</v>
      </c>
      <c r="S48" s="12">
        <f>'TUSD BE'!$R$48*'TUSD BF'!$S$68</f>
        <v>0</v>
      </c>
      <c r="T48" s="12">
        <f ca="1">SUM($L$48:$S$48)</f>
        <v>0.65941327862135435</v>
      </c>
      <c r="U48" s="12">
        <f>'TUSD BE'!$U$48*'TUSD BF'!$U$68</f>
        <v>3.0001508534815322</v>
      </c>
      <c r="V48" s="12">
        <f>'TUSD BE'!$V$48*'TUSD BF'!$V$68</f>
        <v>0.81991660417777745</v>
      </c>
      <c r="W48" s="12">
        <f>'TUSD BE'!$W$48*'TUSD BF'!$W$68</f>
        <v>0</v>
      </c>
      <c r="X48" s="12">
        <f>'TUSD BE'!$X$48*'TUSD BF'!$X$68</f>
        <v>0</v>
      </c>
      <c r="Y48" s="12">
        <f>'TUSD BE'!$Y$48*'TUSD BF'!$Y$68</f>
        <v>0</v>
      </c>
      <c r="Z48" s="12">
        <f>'TUSD BE'!$Z$48*'TUSD BF'!$Z$68</f>
        <v>0</v>
      </c>
      <c r="AA48" s="12">
        <f>'TUSD BE'!$AA$48*'TUSD BF'!$AA$68</f>
        <v>0</v>
      </c>
      <c r="AB48" s="12">
        <f>SUM($U$48:$AA$48)</f>
        <v>3.8200674576593094</v>
      </c>
      <c r="AC48" s="12">
        <f>'TUSD BE'!$AC$48*'TUSD BF'!$AC$68</f>
        <v>0</v>
      </c>
      <c r="AD48" s="12">
        <f>SUM($AC$48:$AC$48)</f>
        <v>0</v>
      </c>
      <c r="AE48" s="12">
        <f ca="1">$AO$48*$AO$65</f>
        <v>0</v>
      </c>
      <c r="AF48" s="12">
        <f ca="1">$AP$48*$AP$65</f>
        <v>0</v>
      </c>
      <c r="AG48" s="12">
        <f ca="1">SUM($AE$48:$AF$48)</f>
        <v>0</v>
      </c>
      <c r="AH48" s="12">
        <f>'TUSD BE'!$AH$48*'TUSD BF'!$AH$68</f>
        <v>2.770166831748508</v>
      </c>
      <c r="AI48" s="12">
        <f>'TUSD BE'!$AI$48*'TUSD BF'!$AI$68</f>
        <v>6.5312971978461157E-2</v>
      </c>
      <c r="AJ48" s="12">
        <f ca="1">'TUSD BE'!$AJ$48*'TUSD BF'!$AJ$68</f>
        <v>0.43430199204371195</v>
      </c>
      <c r="AK48" s="12">
        <f ca="1">'TUSD BE'!$AK$48*'TUSD BF'!$AK$68</f>
        <v>0</v>
      </c>
      <c r="AL48" s="12">
        <f ca="1">SUM($AH$48:$AK$48)</f>
        <v>3.2697817957706814</v>
      </c>
      <c r="AM48" s="12">
        <f ca="1">SUMIF($L$4:$AL$4,"SUBTOTAL",$L$48:$AL$48)</f>
        <v>7.7492625320513451</v>
      </c>
      <c r="AO48" s="20">
        <f ca="1">+'TUSD BE'!$T$48+'TUSD BE'!$AB$48+'TUSD BE'!$AD$48+'TUSD BE'!$AL$48</f>
        <v>834.56504175662951</v>
      </c>
      <c r="AP48" s="20">
        <f ca="1">+'TUSD BE'!$T$48+'TUSD BE'!$AB$48+'TUSD BE'!$AD$48+'TUSD BE'!$AL$48</f>
        <v>834.56504175662951</v>
      </c>
    </row>
    <row r="49" spans="1:42" ht="11.25" customHeight="1" x14ac:dyDescent="0.25">
      <c r="A49" s="106"/>
      <c r="B49" s="106"/>
      <c r="C49" s="106"/>
      <c r="D49" s="106"/>
      <c r="E49" s="106"/>
      <c r="F49" s="106"/>
      <c r="G49" s="17" t="s">
        <v>91</v>
      </c>
      <c r="H49" s="17" t="s">
        <v>78</v>
      </c>
      <c r="I49" s="17">
        <f>'MERCADO TUSD'!$U$46</f>
        <v>0</v>
      </c>
      <c r="J49" s="15"/>
      <c r="L49" s="12">
        <f>'TUSD BE'!$L$49*'TUSD BF'!$L$68</f>
        <v>0.2092882013437494</v>
      </c>
      <c r="M49" s="12">
        <f>'TUSD BE'!$M$49*'TUSD BF'!$M$68</f>
        <v>0</v>
      </c>
      <c r="N49" s="12">
        <f ca="1">'TUSD BE'!$N$49*'TUSD BF'!$N$68</f>
        <v>0</v>
      </c>
      <c r="O49" s="12">
        <f>'TUSD BE'!$O$49*'TUSD BF'!$O$68</f>
        <v>0</v>
      </c>
      <c r="P49" s="12">
        <f>'TUSD BE'!$P$49*'TUSD BF'!$P$68</f>
        <v>0</v>
      </c>
      <c r="Q49" s="12">
        <f>'TUSD BE'!$Q$49*'TUSD BF'!$Q$68</f>
        <v>-1.6363977562404975E-2</v>
      </c>
      <c r="R49" s="12">
        <f>'TUSD BE'!$R$49*'TUSD BF'!$R$68</f>
        <v>0.46648905484000996</v>
      </c>
      <c r="S49" s="12">
        <f>'TUSD BE'!$R$49*'TUSD BF'!$S$68</f>
        <v>0</v>
      </c>
      <c r="T49" s="12">
        <f ca="1">SUM($L$49:$S$49)</f>
        <v>0.65941327862135435</v>
      </c>
      <c r="U49" s="12">
        <f>'TUSD BE'!$U$49*'TUSD BF'!$U$68</f>
        <v>1.8000905120889195</v>
      </c>
      <c r="V49" s="12">
        <f>'TUSD BE'!$V$49*'TUSD BF'!$V$68</f>
        <v>0.49195082417995839</v>
      </c>
      <c r="W49" s="12">
        <f>'TUSD BE'!$W$49*'TUSD BF'!$W$68</f>
        <v>0</v>
      </c>
      <c r="X49" s="12">
        <f>'TUSD BE'!$X$49*'TUSD BF'!$X$68</f>
        <v>0</v>
      </c>
      <c r="Y49" s="12">
        <f>'TUSD BE'!$Y$49*'TUSD BF'!$Y$68</f>
        <v>0</v>
      </c>
      <c r="Z49" s="12">
        <f>'TUSD BE'!$Z$49*'TUSD BF'!$Z$68</f>
        <v>0</v>
      </c>
      <c r="AA49" s="12">
        <f>'TUSD BE'!$AA$49*'TUSD BF'!$AA$68</f>
        <v>0</v>
      </c>
      <c r="AB49" s="12">
        <f>SUM($U$49:$AA$49)</f>
        <v>2.2920413362688778</v>
      </c>
      <c r="AC49" s="12">
        <f>'TUSD BE'!$AC$49*'TUSD BF'!$AC$68</f>
        <v>0</v>
      </c>
      <c r="AD49" s="12">
        <f>SUM($AC$49:$AC$49)</f>
        <v>0</v>
      </c>
      <c r="AE49" s="12">
        <f ca="1">$AO$49*$AO$65</f>
        <v>0</v>
      </c>
      <c r="AF49" s="12">
        <f ca="1">$AP$49*$AP$65</f>
        <v>0</v>
      </c>
      <c r="AG49" s="12">
        <f ca="1">SUM($AE$49:$AF$49)</f>
        <v>0</v>
      </c>
      <c r="AH49" s="12">
        <f>'TUSD BE'!$AH$49*'TUSD BF'!$AH$68</f>
        <v>2.770166831748508</v>
      </c>
      <c r="AI49" s="12">
        <f>'TUSD BE'!$AI$49*'TUSD BF'!$AI$68</f>
        <v>6.5312971978461157E-2</v>
      </c>
      <c r="AJ49" s="12">
        <f ca="1">'TUSD BE'!$AJ$49*'TUSD BF'!$AJ$68</f>
        <v>0.43430199204371195</v>
      </c>
      <c r="AK49" s="12">
        <f ca="1">'TUSD BE'!$AK$49*'TUSD BF'!$AK$68</f>
        <v>0</v>
      </c>
      <c r="AL49" s="12">
        <f ca="1">SUM($AH$49:$AK$49)</f>
        <v>3.2697817957706814</v>
      </c>
      <c r="AM49" s="12">
        <f ca="1">SUMIF($L$4:$AL$4,"SUBTOTAL",$L$49:$AL$49)</f>
        <v>6.2212364106609135</v>
      </c>
      <c r="AO49" s="20">
        <f ca="1">+'TUSD BE'!$T$49+'TUSD BE'!$AB$49+'TUSD BE'!$AD$49+'TUSD BE'!$AL$49</f>
        <v>530.01808594923034</v>
      </c>
      <c r="AP49" s="20">
        <f ca="1">+'TUSD BE'!$T$49+'TUSD BE'!$AB$49+'TUSD BE'!$AD$49+'TUSD BE'!$AL$49</f>
        <v>530.01808594923034</v>
      </c>
    </row>
    <row r="50" spans="1:42" ht="11.25" customHeight="1" x14ac:dyDescent="0.25">
      <c r="A50" s="106"/>
      <c r="B50" s="106"/>
      <c r="C50" s="106"/>
      <c r="D50" s="106"/>
      <c r="E50" s="106"/>
      <c r="F50" s="106"/>
      <c r="G50" s="17" t="s">
        <v>80</v>
      </c>
      <c r="H50" s="17" t="s">
        <v>78</v>
      </c>
      <c r="I50" s="17">
        <f>'MERCADO TUSD'!$U$47</f>
        <v>0</v>
      </c>
      <c r="J50" s="15"/>
      <c r="L50" s="12">
        <f>'TUSD BE'!$L$50*'TUSD BF'!$L$68</f>
        <v>0.2092882013437494</v>
      </c>
      <c r="M50" s="12">
        <f>'TUSD BE'!$M$50*'TUSD BF'!$M$68</f>
        <v>0</v>
      </c>
      <c r="N50" s="12">
        <f ca="1">'TUSD BE'!$N$50*'TUSD BF'!$N$68</f>
        <v>0</v>
      </c>
      <c r="O50" s="12">
        <f>'TUSD BE'!$O$50*'TUSD BF'!$O$68</f>
        <v>0</v>
      </c>
      <c r="P50" s="12">
        <f>'TUSD BE'!$P$50*'TUSD BF'!$P$68</f>
        <v>0</v>
      </c>
      <c r="Q50" s="12">
        <f>'TUSD BE'!$Q$50*'TUSD BF'!$Q$68</f>
        <v>-1.6363977562404975E-2</v>
      </c>
      <c r="R50" s="12">
        <f>'TUSD BE'!$R$50*'TUSD BF'!$R$68</f>
        <v>0.46648905484000996</v>
      </c>
      <c r="S50" s="12">
        <f>'TUSD BE'!$R$50*'TUSD BF'!$S$68</f>
        <v>0</v>
      </c>
      <c r="T50" s="12">
        <f ca="1">SUM($L$50:$S$50)</f>
        <v>0.65941327862135435</v>
      </c>
      <c r="U50" s="12">
        <f>'TUSD BE'!$U$50*'TUSD BF'!$U$68</f>
        <v>0.60003017069630638</v>
      </c>
      <c r="V50" s="12">
        <f>'TUSD BE'!$V$50*'TUSD BF'!$V$68</f>
        <v>0.1639850441821393</v>
      </c>
      <c r="W50" s="12">
        <f>'TUSD BE'!$W$50*'TUSD BF'!$W$68</f>
        <v>0</v>
      </c>
      <c r="X50" s="12">
        <f>'TUSD BE'!$X$50*'TUSD BF'!$X$68</f>
        <v>0</v>
      </c>
      <c r="Y50" s="12">
        <f>'TUSD BE'!$Y$50*'TUSD BF'!$Y$68</f>
        <v>0</v>
      </c>
      <c r="Z50" s="12">
        <f>'TUSD BE'!$Z$50*'TUSD BF'!$Z$68</f>
        <v>0</v>
      </c>
      <c r="AA50" s="12">
        <f>'TUSD BE'!$AA$50*'TUSD BF'!$AA$68</f>
        <v>0</v>
      </c>
      <c r="AB50" s="12">
        <f>SUM($U$50:$AA$50)</f>
        <v>0.7640152148784457</v>
      </c>
      <c r="AC50" s="12">
        <f>'TUSD BE'!$AC$50*'TUSD BF'!$AC$68</f>
        <v>0</v>
      </c>
      <c r="AD50" s="12">
        <f>SUM($AC$50:$AC$50)</f>
        <v>0</v>
      </c>
      <c r="AE50" s="12">
        <f ca="1">$AO$50*$AO$65</f>
        <v>0</v>
      </c>
      <c r="AF50" s="12">
        <f ca="1">$AP$50*$AP$65</f>
        <v>0</v>
      </c>
      <c r="AG50" s="12">
        <f ca="1">SUM($AE$50:$AF$50)</f>
        <v>0</v>
      </c>
      <c r="AH50" s="12">
        <f>'TUSD BE'!$AH$50*'TUSD BF'!$AH$68</f>
        <v>2.770166831748508</v>
      </c>
      <c r="AI50" s="12">
        <f>'TUSD BE'!$AI$50*'TUSD BF'!$AI$68</f>
        <v>6.5312971978461157E-2</v>
      </c>
      <c r="AJ50" s="12">
        <f ca="1">'TUSD BE'!$AJ$50*'TUSD BF'!$AJ$68</f>
        <v>0.43430199204371195</v>
      </c>
      <c r="AK50" s="12">
        <f ca="1">'TUSD BE'!$AK$50*'TUSD BF'!$AK$68</f>
        <v>0</v>
      </c>
      <c r="AL50" s="12">
        <f ca="1">SUM($AH$50:$AK$50)</f>
        <v>3.2697817957706814</v>
      </c>
      <c r="AM50" s="12">
        <f ca="1">SUMIF($L$4:$AL$4,"SUBTOTAL",$L$50:$AL$50)</f>
        <v>4.6932102892704819</v>
      </c>
      <c r="AO50" s="20">
        <f ca="1">+'TUSD BE'!$T$50+'TUSD BE'!$AB$50+'TUSD BE'!$AD$50+'TUSD BE'!$AL$50</f>
        <v>225.47133215468813</v>
      </c>
      <c r="AP50" s="20">
        <f ca="1">+'TUSD BE'!$T$50+'TUSD BE'!$AB$50+'TUSD BE'!$AD$50+'TUSD BE'!$AL$50</f>
        <v>225.47133215468813</v>
      </c>
    </row>
    <row r="51" spans="1:42" ht="11.25" customHeight="1" x14ac:dyDescent="0.25">
      <c r="A51" s="106"/>
      <c r="B51" s="18" t="s">
        <v>23</v>
      </c>
      <c r="C51" s="18" t="s">
        <v>44</v>
      </c>
      <c r="D51" s="18" t="s">
        <v>95</v>
      </c>
      <c r="E51" s="18" t="s">
        <v>25</v>
      </c>
      <c r="F51" s="18" t="s">
        <v>25</v>
      </c>
      <c r="G51" s="17" t="s">
        <v>84</v>
      </c>
      <c r="H51" s="17" t="s">
        <v>78</v>
      </c>
      <c r="I51" s="17">
        <f>'MERCADO TUSD'!$U$48</f>
        <v>0</v>
      </c>
      <c r="J51" s="15"/>
      <c r="L51" s="12">
        <f>'TUSD BE'!$L$51*'TUSD BF'!$L$68</f>
        <v>0.2092882013437494</v>
      </c>
      <c r="M51" s="12">
        <f>'TUSD BE'!$M$51*'TUSD BF'!$M$68</f>
        <v>0</v>
      </c>
      <c r="N51" s="12">
        <f ca="1">'TUSD BE'!$N$51*'TUSD BF'!$N$68</f>
        <v>0</v>
      </c>
      <c r="O51" s="12">
        <f>'TUSD BE'!$O$51*'TUSD BF'!$O$68</f>
        <v>0</v>
      </c>
      <c r="P51" s="12">
        <f>'TUSD BE'!$P$51*'TUSD BF'!$P$68</f>
        <v>0</v>
      </c>
      <c r="Q51" s="12">
        <f>'TUSD BE'!$Q$51*'TUSD BF'!$Q$68</f>
        <v>-1.6363977562404975E-2</v>
      </c>
      <c r="R51" s="12">
        <f>'TUSD BE'!$R$51*'TUSD BF'!$R$68</f>
        <v>0.46648905484000996</v>
      </c>
      <c r="S51" s="12">
        <f>'TUSD BE'!$R$51*'TUSD BF'!$S$68</f>
        <v>0</v>
      </c>
      <c r="T51" s="12">
        <f ca="1">SUM($L$51:$S$51)</f>
        <v>0.65941327862135435</v>
      </c>
      <c r="U51" s="12">
        <f>'TUSD BE'!$U$51*'TUSD BF'!$U$68</f>
        <v>0.93754372779530315</v>
      </c>
      <c r="V51" s="12">
        <f>'TUSD BE'!$V$51*'TUSD BF'!$V$68</f>
        <v>0.25622286171394054</v>
      </c>
      <c r="W51" s="12">
        <f>'TUSD BE'!$W$51*'TUSD BF'!$W$68</f>
        <v>0</v>
      </c>
      <c r="X51" s="12">
        <f>'TUSD BE'!$X$51*'TUSD BF'!$X$68</f>
        <v>0</v>
      </c>
      <c r="Y51" s="12">
        <f>'TUSD BE'!$Y$51*'TUSD BF'!$Y$68</f>
        <v>0</v>
      </c>
      <c r="Z51" s="12">
        <f>'TUSD BE'!$Z$51*'TUSD BF'!$Z$68</f>
        <v>0</v>
      </c>
      <c r="AA51" s="12">
        <f>'TUSD BE'!$AA$51*'TUSD BF'!$AA$68</f>
        <v>0</v>
      </c>
      <c r="AB51" s="12">
        <f>SUM($U$51:$AA$51)</f>
        <v>1.1937665895092437</v>
      </c>
      <c r="AC51" s="12">
        <f>'TUSD BE'!$AC$51*'TUSD BF'!$AC$68</f>
        <v>0</v>
      </c>
      <c r="AD51" s="12">
        <f>SUM($AC$51:$AC$51)</f>
        <v>0</v>
      </c>
      <c r="AE51" s="12">
        <f ca="1">$AO$51*$AO$65</f>
        <v>0</v>
      </c>
      <c r="AF51" s="12">
        <f ca="1">$AP$51*$AP$65</f>
        <v>0</v>
      </c>
      <c r="AG51" s="12">
        <f ca="1">SUM($AE$51:$AF$51)</f>
        <v>0</v>
      </c>
      <c r="AH51" s="12">
        <f>'TUSD BE'!$AH$51*'TUSD BF'!$AH$68</f>
        <v>2.770166831748508</v>
      </c>
      <c r="AI51" s="12">
        <f>'TUSD BE'!$AI$51*'TUSD BF'!$AI$68</f>
        <v>6.5312971978461157E-2</v>
      </c>
      <c r="AJ51" s="12">
        <f ca="1">'TUSD BE'!$AJ$51*'TUSD BF'!$AJ$68</f>
        <v>0.43430199204371195</v>
      </c>
      <c r="AK51" s="12">
        <f ca="1">'TUSD BE'!$AK$51*'TUSD BF'!$AK$68</f>
        <v>0</v>
      </c>
      <c r="AL51" s="12">
        <f ca="1">SUM($AH$51:$AK$51)</f>
        <v>3.2697817957706814</v>
      </c>
      <c r="AM51" s="12">
        <f ca="1">SUMIF($L$4:$AL$4,"SUBTOTAL",$L$51:$AL$51)</f>
        <v>5.1229616639012789</v>
      </c>
      <c r="AO51" s="20">
        <f ca="1">+'TUSD BE'!$T$51+'TUSD BE'!$AB$51+'TUSD BE'!$AD$51+'TUSD BE'!$AL$51</f>
        <v>311.12495554544228</v>
      </c>
      <c r="AP51" s="20">
        <f ca="1">+'TUSD BE'!$T$51+'TUSD BE'!$AB$51+'TUSD BE'!$AD$51+'TUSD BE'!$AL$51</f>
        <v>311.12495554544228</v>
      </c>
    </row>
    <row r="52" spans="1:42" ht="11.25" customHeight="1" x14ac:dyDescent="0.25">
      <c r="A52" s="106"/>
      <c r="B52" s="106" t="s">
        <v>93</v>
      </c>
      <c r="C52" s="106" t="s">
        <v>44</v>
      </c>
      <c r="D52" s="18" t="s">
        <v>25</v>
      </c>
      <c r="E52" s="18" t="s">
        <v>25</v>
      </c>
      <c r="F52" s="18" t="s">
        <v>25</v>
      </c>
      <c r="G52" s="17" t="s">
        <v>84</v>
      </c>
      <c r="H52" s="17" t="s">
        <v>78</v>
      </c>
      <c r="I52" s="17">
        <f>'MERCADO TUSD'!$U$49</f>
        <v>0</v>
      </c>
      <c r="J52" s="15"/>
      <c r="L52" s="12">
        <f>'TUSD BE'!$L$52*'TUSD BF'!$L$68</f>
        <v>0.2092882013437494</v>
      </c>
      <c r="M52" s="12">
        <f>'TUSD BE'!$M$52*'TUSD BF'!$M$68</f>
        <v>0</v>
      </c>
      <c r="N52" s="12">
        <f ca="1">'TUSD BE'!$N$52*'TUSD BF'!$N$68</f>
        <v>0</v>
      </c>
      <c r="O52" s="12">
        <f>'TUSD BE'!$O$52*'TUSD BF'!$O$68</f>
        <v>0</v>
      </c>
      <c r="P52" s="12">
        <f>'TUSD BE'!$P$52*'TUSD BF'!$P$68</f>
        <v>0</v>
      </c>
      <c r="Q52" s="12">
        <f>'TUSD BE'!$Q$52*'TUSD BF'!$Q$68</f>
        <v>-1.6363977562404975E-2</v>
      </c>
      <c r="R52" s="12">
        <f>'TUSD BE'!$R$52*'TUSD BF'!$R$68</f>
        <v>0.46648905484000996</v>
      </c>
      <c r="S52" s="12">
        <f>'TUSD BE'!$R$52*'TUSD BF'!$S$68</f>
        <v>0</v>
      </c>
      <c r="T52" s="12">
        <f ca="1">SUM($L$52:$S$52)</f>
        <v>0.65941327862135435</v>
      </c>
      <c r="U52" s="12">
        <f>'TUSD BE'!$U$52*'TUSD BF'!$U$68</f>
        <v>0.93754372779530315</v>
      </c>
      <c r="V52" s="12">
        <f>'TUSD BE'!$V$52*'TUSD BF'!$V$68</f>
        <v>0.25622286171394054</v>
      </c>
      <c r="W52" s="12">
        <f>'TUSD BE'!$W$52*'TUSD BF'!$W$68</f>
        <v>0</v>
      </c>
      <c r="X52" s="12">
        <f>'TUSD BE'!$X$52*'TUSD BF'!$X$68</f>
        <v>0</v>
      </c>
      <c r="Y52" s="12">
        <f>'TUSD BE'!$Y$52*'TUSD BF'!$Y$68</f>
        <v>0</v>
      </c>
      <c r="Z52" s="12">
        <f>'TUSD BE'!$Z$52*'TUSD BF'!$Z$68</f>
        <v>0</v>
      </c>
      <c r="AA52" s="12">
        <f>'TUSD BE'!$AA$52*'TUSD BF'!$AA$68</f>
        <v>0</v>
      </c>
      <c r="AB52" s="12">
        <f>SUM($U$52:$AA$52)</f>
        <v>1.1937665895092437</v>
      </c>
      <c r="AC52" s="12">
        <f>'TUSD BE'!$AC$52*'TUSD BF'!$AC$68</f>
        <v>0</v>
      </c>
      <c r="AD52" s="12">
        <f>SUM($AC$52:$AC$52)</f>
        <v>0</v>
      </c>
      <c r="AE52" s="12">
        <f ca="1">$AO$52*$AO$65</f>
        <v>0</v>
      </c>
      <c r="AF52" s="12">
        <f ca="1">$AP$52*$AP$65</f>
        <v>0</v>
      </c>
      <c r="AG52" s="12">
        <f ca="1">SUM($AE$52:$AF$52)</f>
        <v>0</v>
      </c>
      <c r="AH52" s="12">
        <f>'TUSD BE'!$AH$52*'TUSD BF'!$AH$68</f>
        <v>2.770166831748508</v>
      </c>
      <c r="AI52" s="12">
        <f>'TUSD BE'!$AI$52*'TUSD BF'!$AI$68</f>
        <v>6.5312971978461157E-2</v>
      </c>
      <c r="AJ52" s="12">
        <f ca="1">'TUSD BE'!$AJ$52*'TUSD BF'!$AJ$68</f>
        <v>0.43430199204371195</v>
      </c>
      <c r="AK52" s="12">
        <f ca="1">'TUSD BE'!$AK$52*'TUSD BF'!$AK$68</f>
        <v>0</v>
      </c>
      <c r="AL52" s="12">
        <f ca="1">SUM($AH$52:$AK$52)</f>
        <v>3.2697817957706814</v>
      </c>
      <c r="AM52" s="12">
        <f ca="1">SUMIF($L$4:$AL$4,"SUBTOTAL",$L$52:$AL$52)</f>
        <v>5.1229616639012789</v>
      </c>
      <c r="AO52" s="20">
        <f ca="1">+'TUSD BE'!$T$52+'TUSD BE'!$AB$52+'TUSD BE'!$AD$52+'TUSD BE'!$AL$52</f>
        <v>311.12495554544228</v>
      </c>
      <c r="AP52" s="20">
        <f ca="1">+'TUSD BE'!$T$52+'TUSD BE'!$AB$52+'TUSD BE'!$AD$52+'TUSD BE'!$AL$52</f>
        <v>311.12495554544228</v>
      </c>
    </row>
    <row r="53" spans="1:42" ht="11.25" customHeight="1" x14ac:dyDescent="0.25">
      <c r="A53" s="106"/>
      <c r="B53" s="106"/>
      <c r="C53" s="106"/>
      <c r="D53" s="18" t="s">
        <v>94</v>
      </c>
      <c r="E53" s="18" t="s">
        <v>25</v>
      </c>
      <c r="F53" s="18" t="s">
        <v>25</v>
      </c>
      <c r="G53" s="17" t="s">
        <v>84</v>
      </c>
      <c r="H53" s="17" t="s">
        <v>78</v>
      </c>
      <c r="I53" s="17">
        <f>'MERCADO TUSD'!$U$50</f>
        <v>0</v>
      </c>
      <c r="J53" s="15"/>
      <c r="L53" s="12">
        <f>'TUSD BE'!$L$53*'TUSD BF'!$L$68</f>
        <v>0.2092882013437494</v>
      </c>
      <c r="M53" s="12">
        <f>'TUSD BE'!$M$53*'TUSD BF'!$M$68</f>
        <v>0</v>
      </c>
      <c r="N53" s="12">
        <f ca="1">'TUSD BE'!$N$53*'TUSD BF'!$N$68</f>
        <v>0</v>
      </c>
      <c r="O53" s="12">
        <f>'TUSD BE'!$O$53*'TUSD BF'!$O$68</f>
        <v>0</v>
      </c>
      <c r="P53" s="12">
        <f>'TUSD BE'!$P$53*'TUSD BF'!$P$68</f>
        <v>0</v>
      </c>
      <c r="Q53" s="12">
        <f>'TUSD BE'!$Q$53*'TUSD BF'!$Q$68</f>
        <v>-1.6363977562404975E-2</v>
      </c>
      <c r="R53" s="12">
        <f>'TUSD BE'!$R$53*'TUSD BF'!$R$68</f>
        <v>0.46648905484000996</v>
      </c>
      <c r="S53" s="12">
        <f>'TUSD BE'!$R$53*'TUSD BF'!$S$68</f>
        <v>0</v>
      </c>
      <c r="T53" s="12">
        <f ca="1">SUM($L$53:$S$53)</f>
        <v>0.65941327862135435</v>
      </c>
      <c r="U53" s="12">
        <f>'TUSD BE'!$U$53*'TUSD BF'!$U$68</f>
        <v>0.93754372779530315</v>
      </c>
      <c r="V53" s="12">
        <f>'TUSD BE'!$V$53*'TUSD BF'!$V$68</f>
        <v>0.25622286171394054</v>
      </c>
      <c r="W53" s="12">
        <f>'TUSD BE'!$W$53*'TUSD BF'!$W$68</f>
        <v>0</v>
      </c>
      <c r="X53" s="12">
        <f>'TUSD BE'!$X$53*'TUSD BF'!$X$68</f>
        <v>0</v>
      </c>
      <c r="Y53" s="12">
        <f>'TUSD BE'!$Y$53*'TUSD BF'!$Y$68</f>
        <v>0</v>
      </c>
      <c r="Z53" s="12">
        <f>'TUSD BE'!$Z$53*'TUSD BF'!$Z$68</f>
        <v>0</v>
      </c>
      <c r="AA53" s="12">
        <f>'TUSD BE'!$AA$53*'TUSD BF'!$AA$68</f>
        <v>0</v>
      </c>
      <c r="AB53" s="12">
        <f>SUM($U$53:$AA$53)</f>
        <v>1.1937665895092437</v>
      </c>
      <c r="AC53" s="12">
        <f>'TUSD BE'!$AC$53*'TUSD BF'!$AC$68</f>
        <v>0</v>
      </c>
      <c r="AD53" s="12">
        <f>SUM($AC$53:$AC$53)</f>
        <v>0</v>
      </c>
      <c r="AE53" s="12">
        <f ca="1">$AO$53*$AO$65</f>
        <v>0</v>
      </c>
      <c r="AF53" s="12">
        <f ca="1">$AP$53*$AP$65</f>
        <v>0</v>
      </c>
      <c r="AG53" s="12">
        <f ca="1">SUM($AE$53:$AF$53)</f>
        <v>0</v>
      </c>
      <c r="AH53" s="12">
        <f>'TUSD BE'!$AH$53*'TUSD BF'!$AH$68</f>
        <v>2.770166831748508</v>
      </c>
      <c r="AI53" s="12">
        <f>'TUSD BE'!$AI$53*'TUSD BF'!$AI$68</f>
        <v>6.5312971978461157E-2</v>
      </c>
      <c r="AJ53" s="12">
        <f ca="1">'TUSD BE'!$AJ$53*'TUSD BF'!$AJ$68</f>
        <v>0.43430199204371195</v>
      </c>
      <c r="AK53" s="12">
        <f ca="1">'TUSD BE'!$AK$53*'TUSD BF'!$AK$68</f>
        <v>0</v>
      </c>
      <c r="AL53" s="12">
        <f ca="1">SUM($AH$53:$AK$53)</f>
        <v>3.2697817957706814</v>
      </c>
      <c r="AM53" s="12">
        <f ca="1">SUMIF($L$4:$AL$4,"SUBTOTAL",$L$53:$AL$53)</f>
        <v>5.1229616639012789</v>
      </c>
      <c r="AO53" s="20">
        <f ca="1">+'TUSD BE'!$T$53+'TUSD BE'!$AB$53+'TUSD BE'!$AD$53+'TUSD BE'!$AL$53</f>
        <v>311.12495554544228</v>
      </c>
      <c r="AP53" s="20">
        <f ca="1">+'TUSD BE'!$T$53+'TUSD BE'!$AB$53+'TUSD BE'!$AD$53+'TUSD BE'!$AL$53</f>
        <v>311.12495554544228</v>
      </c>
    </row>
    <row r="54" spans="1:42" ht="11.25" customHeight="1" x14ac:dyDescent="0.25">
      <c r="A54" s="106"/>
      <c r="B54" s="106"/>
      <c r="C54" s="106"/>
      <c r="D54" s="18" t="s">
        <v>95</v>
      </c>
      <c r="E54" s="18" t="s">
        <v>25</v>
      </c>
      <c r="F54" s="18" t="s">
        <v>25</v>
      </c>
      <c r="G54" s="17" t="s">
        <v>84</v>
      </c>
      <c r="H54" s="17" t="s">
        <v>78</v>
      </c>
      <c r="I54" s="17">
        <f>'MERCADO TUSD'!$U$51</f>
        <v>0</v>
      </c>
      <c r="J54" s="15"/>
      <c r="L54" s="12">
        <f>'TUSD BE'!$L$54*'TUSD BF'!$L$68</f>
        <v>0.2092882013437494</v>
      </c>
      <c r="M54" s="12">
        <f>'TUSD BE'!$M$54*'TUSD BF'!$M$68</f>
        <v>0</v>
      </c>
      <c r="N54" s="12">
        <f ca="1">'TUSD BE'!$N$54*'TUSD BF'!$N$68</f>
        <v>0</v>
      </c>
      <c r="O54" s="12">
        <f>'TUSD BE'!$O$54*'TUSD BF'!$O$68</f>
        <v>0</v>
      </c>
      <c r="P54" s="12">
        <f>'TUSD BE'!$P$54*'TUSD BF'!$P$68</f>
        <v>0</v>
      </c>
      <c r="Q54" s="12">
        <f>'TUSD BE'!$Q$54*'TUSD BF'!$Q$68</f>
        <v>-1.6363977562404975E-2</v>
      </c>
      <c r="R54" s="12">
        <f>'TUSD BE'!$R$54*'TUSD BF'!$R$68</f>
        <v>0.46648905484000996</v>
      </c>
      <c r="S54" s="12">
        <f>'TUSD BE'!$R$54*'TUSD BF'!$S$68</f>
        <v>0</v>
      </c>
      <c r="T54" s="12">
        <f ca="1">SUM($L$54:$S$54)</f>
        <v>0.65941327862135435</v>
      </c>
      <c r="U54" s="12">
        <f>'TUSD BE'!$U$54*'TUSD BF'!$U$68</f>
        <v>0.93754372779530315</v>
      </c>
      <c r="V54" s="12">
        <f>'TUSD BE'!$V$54*'TUSD BF'!$V$68</f>
        <v>0.25622286171394054</v>
      </c>
      <c r="W54" s="12">
        <f>'TUSD BE'!$W$54*'TUSD BF'!$W$68</f>
        <v>0</v>
      </c>
      <c r="X54" s="12">
        <f>'TUSD BE'!$X$54*'TUSD BF'!$X$68</f>
        <v>0</v>
      </c>
      <c r="Y54" s="12">
        <f>'TUSD BE'!$Y$54*'TUSD BF'!$Y$68</f>
        <v>0</v>
      </c>
      <c r="Z54" s="12">
        <f>'TUSD BE'!$Z$54*'TUSD BF'!$Z$68</f>
        <v>0</v>
      </c>
      <c r="AA54" s="12">
        <f>'TUSD BE'!$AA$54*'TUSD BF'!$AA$68</f>
        <v>0</v>
      </c>
      <c r="AB54" s="12">
        <f>SUM($U$54:$AA$54)</f>
        <v>1.1937665895092437</v>
      </c>
      <c r="AC54" s="12">
        <f>'TUSD BE'!$AC$54*'TUSD BF'!$AC$68</f>
        <v>0</v>
      </c>
      <c r="AD54" s="12">
        <f>SUM($AC$54:$AC$54)</f>
        <v>0</v>
      </c>
      <c r="AE54" s="12">
        <f ca="1">$AO$54*$AO$65</f>
        <v>0</v>
      </c>
      <c r="AF54" s="12">
        <f ca="1">$AP$54*$AP$65</f>
        <v>0</v>
      </c>
      <c r="AG54" s="12">
        <f ca="1">SUM($AE$54:$AF$54)</f>
        <v>0</v>
      </c>
      <c r="AH54" s="12">
        <f>'TUSD BE'!$AH$54*'TUSD BF'!$AH$68</f>
        <v>2.770166831748508</v>
      </c>
      <c r="AI54" s="12">
        <f>'TUSD BE'!$AI$54*'TUSD BF'!$AI$68</f>
        <v>6.5312971978461157E-2</v>
      </c>
      <c r="AJ54" s="12">
        <f ca="1">'TUSD BE'!$AJ$54*'TUSD BF'!$AJ$68</f>
        <v>0.43430199204371195</v>
      </c>
      <c r="AK54" s="12">
        <f ca="1">'TUSD BE'!$AK$54*'TUSD BF'!$AK$68</f>
        <v>0</v>
      </c>
      <c r="AL54" s="12">
        <f ca="1">SUM($AH$54:$AK$54)</f>
        <v>3.2697817957706814</v>
      </c>
      <c r="AM54" s="12">
        <f ca="1">SUMIF($L$4:$AL$4,"SUBTOTAL",$L$54:$AL$54)</f>
        <v>5.1229616639012789</v>
      </c>
      <c r="AO54" s="20">
        <f ca="1">+'TUSD BE'!$T$54+'TUSD BE'!$AB$54+'TUSD BE'!$AD$54+'TUSD BE'!$AL$54</f>
        <v>311.12495554544228</v>
      </c>
      <c r="AP54" s="20">
        <f ca="1">+'TUSD BE'!$T$54+'TUSD BE'!$AB$54+'TUSD BE'!$AD$54+'TUSD BE'!$AL$54</f>
        <v>311.12495554544228</v>
      </c>
    </row>
    <row r="55" spans="1:42" ht="11.25" customHeight="1" x14ac:dyDescent="0.25">
      <c r="A55" s="106" t="s">
        <v>37</v>
      </c>
      <c r="B55" s="106" t="s">
        <v>33</v>
      </c>
      <c r="C55" s="106" t="s">
        <v>25</v>
      </c>
      <c r="D55" s="106" t="s">
        <v>25</v>
      </c>
      <c r="E55" s="106" t="s">
        <v>25</v>
      </c>
      <c r="F55" s="106" t="s">
        <v>25</v>
      </c>
      <c r="G55" s="17" t="s">
        <v>79</v>
      </c>
      <c r="H55" s="17" t="s">
        <v>78</v>
      </c>
      <c r="I55" s="17">
        <f>'MERCADO TUSD'!$U$52</f>
        <v>8.0860000000000003</v>
      </c>
      <c r="J55" s="15"/>
      <c r="L55" s="12">
        <f>'TUSD BE'!$L$55*'TUSD BF'!$L$68</f>
        <v>0.2092882013437494</v>
      </c>
      <c r="M55" s="12">
        <f>'TUSD BE'!$M$55*'TUSD BF'!$M$68</f>
        <v>0</v>
      </c>
      <c r="N55" s="12">
        <f ca="1">'TUSD BE'!$N$55*'TUSD BF'!$N$68</f>
        <v>0</v>
      </c>
      <c r="O55" s="12">
        <f>'TUSD BE'!$O$55*'TUSD BF'!$O$68</f>
        <v>0</v>
      </c>
      <c r="P55" s="12">
        <f>'TUSD BE'!$P$55*'TUSD BF'!$P$68</f>
        <v>0</v>
      </c>
      <c r="Q55" s="12">
        <f>'TUSD BE'!$Q$55*'TUSD BF'!$Q$68</f>
        <v>-1.6363977562404975E-2</v>
      </c>
      <c r="R55" s="12">
        <f>'TUSD BE'!$R$55*'TUSD BF'!$R$68</f>
        <v>0.46648905484000996</v>
      </c>
      <c r="S55" s="12">
        <f>'TUSD BE'!$R$55*'TUSD BF'!$S$68</f>
        <v>0</v>
      </c>
      <c r="T55" s="12">
        <f ca="1">SUM($L$55:$S$55)</f>
        <v>0.65941327862135435</v>
      </c>
      <c r="U55" s="12">
        <f>'TUSD BE'!$U$55*'TUSD BF'!$U$68</f>
        <v>3.0470280398712974</v>
      </c>
      <c r="V55" s="12">
        <f>'TUSD BE'!$V$55*'TUSD BF'!$V$68</f>
        <v>0.83272968602838116</v>
      </c>
      <c r="W55" s="12">
        <f>'TUSD BE'!$W$55*'TUSD BF'!$W$68</f>
        <v>0</v>
      </c>
      <c r="X55" s="12">
        <f>'TUSD BE'!$X$55*'TUSD BF'!$X$68</f>
        <v>0</v>
      </c>
      <c r="Y55" s="12">
        <f>'TUSD BE'!$Y$55*'TUSD BF'!$Y$68</f>
        <v>0</v>
      </c>
      <c r="Z55" s="12">
        <f>'TUSD BE'!$Z$55*'TUSD BF'!$Z$68</f>
        <v>0</v>
      </c>
      <c r="AA55" s="12">
        <f>'TUSD BE'!$AA$55*'TUSD BF'!$AA$68</f>
        <v>0</v>
      </c>
      <c r="AB55" s="12">
        <f>SUM($U$55:$AA$55)</f>
        <v>3.8797577258996787</v>
      </c>
      <c r="AC55" s="12">
        <f>'TUSD BE'!$AC$55*'TUSD BF'!$AC$68</f>
        <v>0</v>
      </c>
      <c r="AD55" s="12">
        <f>SUM($AC$55:$AC$55)</f>
        <v>0</v>
      </c>
      <c r="AE55" s="12">
        <f ca="1">$AO$55*$AO$65</f>
        <v>0</v>
      </c>
      <c r="AF55" s="12">
        <f ca="1">$AP$55*$AP$65</f>
        <v>0</v>
      </c>
      <c r="AG55" s="12">
        <f ca="1">SUM($AE$55:$AF$55)</f>
        <v>0</v>
      </c>
      <c r="AH55" s="12">
        <f>'TUSD BE'!$AH$55*'TUSD BF'!$AH$68</f>
        <v>2.770166831748508</v>
      </c>
      <c r="AI55" s="12">
        <f>'TUSD BE'!$AI$55*'TUSD BF'!$AI$68</f>
        <v>6.5312971978461157E-2</v>
      </c>
      <c r="AJ55" s="12">
        <f ca="1">'TUSD BE'!$AJ$55*'TUSD BF'!$AJ$68</f>
        <v>0.43430199204371195</v>
      </c>
      <c r="AK55" s="12">
        <f ca="1">'TUSD BE'!$AK$55*'TUSD BF'!$AK$68</f>
        <v>0</v>
      </c>
      <c r="AL55" s="12">
        <f ca="1">SUM($AH$55:$AK$55)</f>
        <v>3.2697817957706814</v>
      </c>
      <c r="AM55" s="12">
        <f ca="1">SUMIF($L$4:$AL$4,"SUBTOTAL",$L$55:$AL$55)</f>
        <v>7.8089528002917143</v>
      </c>
      <c r="AO55" s="20">
        <f ca="1">+'TUSD BE'!$T$55+'TUSD BE'!$AB$55+'TUSD BE'!$AD$55+'TUSD BE'!$AL$55</f>
        <v>846.46131610007728</v>
      </c>
      <c r="AP55" s="20">
        <f ca="1">+'TUSD BE'!$T$55+'TUSD BE'!$AB$55+'TUSD BE'!$AD$55+'TUSD BE'!$AL$55</f>
        <v>846.46131610007728</v>
      </c>
    </row>
    <row r="56" spans="1:42" ht="11.25" customHeight="1" x14ac:dyDescent="0.25">
      <c r="A56" s="106"/>
      <c r="B56" s="106"/>
      <c r="C56" s="106"/>
      <c r="D56" s="106"/>
      <c r="E56" s="106"/>
      <c r="F56" s="106"/>
      <c r="G56" s="17" t="s">
        <v>91</v>
      </c>
      <c r="H56" s="17" t="s">
        <v>78</v>
      </c>
      <c r="I56" s="17">
        <f>'MERCADO TUSD'!$U$53</f>
        <v>8.0350000000000001</v>
      </c>
      <c r="J56" s="15"/>
      <c r="L56" s="12">
        <f>'TUSD BE'!$L$56*'TUSD BF'!$L$68</f>
        <v>0.2092882013437494</v>
      </c>
      <c r="M56" s="12">
        <f>'TUSD BE'!$M$56*'TUSD BF'!$M$68</f>
        <v>0</v>
      </c>
      <c r="N56" s="12">
        <f ca="1">'TUSD BE'!$N$56*'TUSD BF'!$N$68</f>
        <v>0</v>
      </c>
      <c r="O56" s="12">
        <f>'TUSD BE'!$O$56*'TUSD BF'!$O$68</f>
        <v>0</v>
      </c>
      <c r="P56" s="12">
        <f>'TUSD BE'!$P$56*'TUSD BF'!$P$68</f>
        <v>0</v>
      </c>
      <c r="Q56" s="12">
        <f>'TUSD BE'!$Q$56*'TUSD BF'!$Q$68</f>
        <v>-1.6363977562404975E-2</v>
      </c>
      <c r="R56" s="12">
        <f>'TUSD BE'!$R$56*'TUSD BF'!$R$68</f>
        <v>0.46648905484000996</v>
      </c>
      <c r="S56" s="12">
        <f>'TUSD BE'!$R$56*'TUSD BF'!$S$68</f>
        <v>0</v>
      </c>
      <c r="T56" s="12">
        <f ca="1">SUM($L$56:$S$56)</f>
        <v>0.65941327862135435</v>
      </c>
      <c r="U56" s="12">
        <f>'TUSD BE'!$U$56*'TUSD BF'!$U$68</f>
        <v>1.8282157314691223</v>
      </c>
      <c r="V56" s="12">
        <f>'TUSD BE'!$V$56*'TUSD BF'!$V$68</f>
        <v>0.49963694994373686</v>
      </c>
      <c r="W56" s="12">
        <f>'TUSD BE'!$W$56*'TUSD BF'!$W$68</f>
        <v>0</v>
      </c>
      <c r="X56" s="12">
        <f>'TUSD BE'!$X$56*'TUSD BF'!$X$68</f>
        <v>0</v>
      </c>
      <c r="Y56" s="12">
        <f>'TUSD BE'!$Y$56*'TUSD BF'!$Y$68</f>
        <v>0</v>
      </c>
      <c r="Z56" s="12">
        <f>'TUSD BE'!$Z$56*'TUSD BF'!$Z$68</f>
        <v>0</v>
      </c>
      <c r="AA56" s="12">
        <f>'TUSD BE'!$AA$56*'TUSD BF'!$AA$68</f>
        <v>0</v>
      </c>
      <c r="AB56" s="12">
        <f>SUM($U$56:$AA$56)</f>
        <v>2.3278526814128591</v>
      </c>
      <c r="AC56" s="12">
        <f>'TUSD BE'!$AC$56*'TUSD BF'!$AC$68</f>
        <v>0</v>
      </c>
      <c r="AD56" s="12">
        <f>SUM($AC$56:$AC$56)</f>
        <v>0</v>
      </c>
      <c r="AE56" s="12">
        <f ca="1">$AO$56*$AO$65</f>
        <v>0</v>
      </c>
      <c r="AF56" s="12">
        <f ca="1">$AP$56*$AP$65</f>
        <v>0</v>
      </c>
      <c r="AG56" s="12">
        <f ca="1">SUM($AE$56:$AF$56)</f>
        <v>0</v>
      </c>
      <c r="AH56" s="12">
        <f>'TUSD BE'!$AH$56*'TUSD BF'!$AH$68</f>
        <v>2.770166831748508</v>
      </c>
      <c r="AI56" s="12">
        <f>'TUSD BE'!$AI$56*'TUSD BF'!$AI$68</f>
        <v>6.5312971978461157E-2</v>
      </c>
      <c r="AJ56" s="12">
        <f ca="1">'TUSD BE'!$AJ$56*'TUSD BF'!$AJ$68</f>
        <v>0.43430199204371195</v>
      </c>
      <c r="AK56" s="12">
        <f ca="1">'TUSD BE'!$AK$56*'TUSD BF'!$AK$68</f>
        <v>0</v>
      </c>
      <c r="AL56" s="12">
        <f ca="1">SUM($AH$56:$AK$56)</f>
        <v>3.2697817957706814</v>
      </c>
      <c r="AM56" s="12">
        <f ca="1">SUMIF($L$4:$AL$4,"SUBTOTAL",$L$56:$AL$56)</f>
        <v>6.2570477558048943</v>
      </c>
      <c r="AO56" s="20">
        <f ca="1">+'TUSD BE'!$T$56+'TUSD BE'!$AB$56+'TUSD BE'!$AD$56+'TUSD BE'!$AL$56</f>
        <v>537.15597678583686</v>
      </c>
      <c r="AP56" s="20">
        <f ca="1">+'TUSD BE'!$T$56+'TUSD BE'!$AB$56+'TUSD BE'!$AD$56+'TUSD BE'!$AL$56</f>
        <v>537.15597678583686</v>
      </c>
    </row>
    <row r="57" spans="1:42" ht="11.25" customHeight="1" x14ac:dyDescent="0.25">
      <c r="A57" s="106"/>
      <c r="B57" s="106"/>
      <c r="C57" s="106"/>
      <c r="D57" s="106"/>
      <c r="E57" s="106"/>
      <c r="F57" s="106"/>
      <c r="G57" s="17" t="s">
        <v>80</v>
      </c>
      <c r="H57" s="17" t="s">
        <v>78</v>
      </c>
      <c r="I57" s="17">
        <f>'MERCADO TUSD'!$U$54</f>
        <v>133.73599999999999</v>
      </c>
      <c r="J57" s="15"/>
      <c r="L57" s="12">
        <f>'TUSD BE'!$L$57*'TUSD BF'!$L$68</f>
        <v>0.2092882013437494</v>
      </c>
      <c r="M57" s="12">
        <f>'TUSD BE'!$M$57*'TUSD BF'!$M$68</f>
        <v>0</v>
      </c>
      <c r="N57" s="12">
        <f ca="1">'TUSD BE'!$N$57*'TUSD BF'!$N$68</f>
        <v>0</v>
      </c>
      <c r="O57" s="12">
        <f>'TUSD BE'!$O$57*'TUSD BF'!$O$68</f>
        <v>0</v>
      </c>
      <c r="P57" s="12">
        <f>'TUSD BE'!$P$57*'TUSD BF'!$P$68</f>
        <v>0</v>
      </c>
      <c r="Q57" s="12">
        <f>'TUSD BE'!$Q$57*'TUSD BF'!$Q$68</f>
        <v>-1.6363977562404975E-2</v>
      </c>
      <c r="R57" s="12">
        <f>'TUSD BE'!$R$57*'TUSD BF'!$R$68</f>
        <v>0.46648905484000996</v>
      </c>
      <c r="S57" s="12">
        <f>'TUSD BE'!$R$57*'TUSD BF'!$S$68</f>
        <v>0</v>
      </c>
      <c r="T57" s="12">
        <f ca="1">SUM($L$57:$S$57)</f>
        <v>0.65941327862135435</v>
      </c>
      <c r="U57" s="12">
        <f>'TUSD BE'!$U$57*'TUSD BF'!$U$68</f>
        <v>0.60940342306694695</v>
      </c>
      <c r="V57" s="12">
        <f>'TUSD BE'!$V$57*'TUSD BF'!$V$68</f>
        <v>0.16654421385909246</v>
      </c>
      <c r="W57" s="12">
        <f>'TUSD BE'!$W$57*'TUSD BF'!$W$68</f>
        <v>0</v>
      </c>
      <c r="X57" s="12">
        <f>'TUSD BE'!$X$57*'TUSD BF'!$X$68</f>
        <v>0</v>
      </c>
      <c r="Y57" s="12">
        <f>'TUSD BE'!$Y$57*'TUSD BF'!$Y$68</f>
        <v>0</v>
      </c>
      <c r="Z57" s="12">
        <f>'TUSD BE'!$Z$57*'TUSD BF'!$Z$68</f>
        <v>0</v>
      </c>
      <c r="AA57" s="12">
        <f>'TUSD BE'!$AA$57*'TUSD BF'!$AA$68</f>
        <v>0</v>
      </c>
      <c r="AB57" s="12">
        <f>SUM($U$57:$AA$57)</f>
        <v>0.77594763692603941</v>
      </c>
      <c r="AC57" s="12">
        <f>'TUSD BE'!$AC$57*'TUSD BF'!$AC$68</f>
        <v>0</v>
      </c>
      <c r="AD57" s="12">
        <f>SUM($AC$57:$AC$57)</f>
        <v>0</v>
      </c>
      <c r="AE57" s="12">
        <f ca="1">$AO$57*$AO$65</f>
        <v>0</v>
      </c>
      <c r="AF57" s="12">
        <f ca="1">$AP$57*$AP$65</f>
        <v>0</v>
      </c>
      <c r="AG57" s="12">
        <f ca="1">SUM($AE$57:$AF$57)</f>
        <v>0</v>
      </c>
      <c r="AH57" s="12">
        <f>'TUSD BE'!$AH$57*'TUSD BF'!$AH$68</f>
        <v>2.770166831748508</v>
      </c>
      <c r="AI57" s="12">
        <f>'TUSD BE'!$AI$57*'TUSD BF'!$AI$68</f>
        <v>6.5312971978461157E-2</v>
      </c>
      <c r="AJ57" s="12">
        <f ca="1">'TUSD BE'!$AJ$57*'TUSD BF'!$AJ$68</f>
        <v>0.43430199204371195</v>
      </c>
      <c r="AK57" s="12">
        <f ca="1">'TUSD BE'!$AK$57*'TUSD BF'!$AK$68</f>
        <v>0</v>
      </c>
      <c r="AL57" s="12">
        <f ca="1">SUM($AH$57:$AK$57)</f>
        <v>3.2697817957706814</v>
      </c>
      <c r="AM57" s="12">
        <f ca="1">SUMIF($L$4:$AL$4,"SUBTOTAL",$L$57:$AL$57)</f>
        <v>4.705142711318075</v>
      </c>
      <c r="AO57" s="20">
        <f ca="1">+'TUSD BE'!$T$57+'TUSD BE'!$AB$57+'TUSD BE'!$AD$57+'TUSD BE'!$AL$57</f>
        <v>227.85052541481741</v>
      </c>
      <c r="AP57" s="20">
        <f ca="1">+'TUSD BE'!$T$57+'TUSD BE'!$AB$57+'TUSD BE'!$AD$57+'TUSD BE'!$AL$57</f>
        <v>227.85052541481741</v>
      </c>
    </row>
    <row r="58" spans="1:42" ht="11.25" customHeight="1" x14ac:dyDescent="0.25">
      <c r="A58" s="106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84</v>
      </c>
      <c r="H58" s="17" t="s">
        <v>78</v>
      </c>
      <c r="I58" s="17">
        <f>'MERCADO TUSD'!$U$55</f>
        <v>94039.850999999995</v>
      </c>
      <c r="J58" s="15"/>
      <c r="L58" s="12">
        <f>'TUSD BE'!$L$58*'TUSD BF'!$L$68</f>
        <v>0.2092882013437494</v>
      </c>
      <c r="M58" s="12">
        <f>'TUSD BE'!$M$58*'TUSD BF'!$M$68</f>
        <v>0</v>
      </c>
      <c r="N58" s="12">
        <f ca="1">'TUSD BE'!$N$58*'TUSD BF'!$N$68</f>
        <v>0</v>
      </c>
      <c r="O58" s="12">
        <f>'TUSD BE'!$O$58*'TUSD BF'!$O$68</f>
        <v>0</v>
      </c>
      <c r="P58" s="12">
        <f>'TUSD BE'!$P$58*'TUSD BF'!$P$68</f>
        <v>0</v>
      </c>
      <c r="Q58" s="12">
        <f>'TUSD BE'!$Q$58*'TUSD BF'!$Q$68</f>
        <v>-1.6363977562404975E-2</v>
      </c>
      <c r="R58" s="12">
        <f>'TUSD BE'!$R$58*'TUSD BF'!$R$68</f>
        <v>0.46648905484000996</v>
      </c>
      <c r="S58" s="12">
        <f>'TUSD BE'!$R$58*'TUSD BF'!$S$68</f>
        <v>0</v>
      </c>
      <c r="T58" s="12">
        <f ca="1">SUM($L$58:$S$58)</f>
        <v>0.65941327862135435</v>
      </c>
      <c r="U58" s="12">
        <f>'TUSD BE'!$U$58*'TUSD BF'!$U$68</f>
        <v>0.93754372779530315</v>
      </c>
      <c r="V58" s="12">
        <f>'TUSD BE'!$V$58*'TUSD BF'!$V$68</f>
        <v>0.25622286171394054</v>
      </c>
      <c r="W58" s="12">
        <f>'TUSD BE'!$W$58*'TUSD BF'!$W$68</f>
        <v>0</v>
      </c>
      <c r="X58" s="12">
        <f>'TUSD BE'!$X$58*'TUSD BF'!$X$68</f>
        <v>0</v>
      </c>
      <c r="Y58" s="12">
        <f>'TUSD BE'!$Y$58*'TUSD BF'!$Y$68</f>
        <v>0</v>
      </c>
      <c r="Z58" s="12">
        <f>'TUSD BE'!$Z$58*'TUSD BF'!$Z$68</f>
        <v>0</v>
      </c>
      <c r="AA58" s="12">
        <f>'TUSD BE'!$AA$58*'TUSD BF'!$AA$68</f>
        <v>0</v>
      </c>
      <c r="AB58" s="12">
        <f>SUM($U$58:$AA$58)</f>
        <v>1.1937665895092437</v>
      </c>
      <c r="AC58" s="12">
        <f>'TUSD BE'!$AC$58*'TUSD BF'!$AC$68</f>
        <v>0</v>
      </c>
      <c r="AD58" s="12">
        <f>SUM($AC$58:$AC$58)</f>
        <v>0</v>
      </c>
      <c r="AE58" s="12">
        <f ca="1">$AO$58*$AO$65</f>
        <v>0</v>
      </c>
      <c r="AF58" s="12">
        <f ca="1">$AP$58*$AP$65</f>
        <v>0</v>
      </c>
      <c r="AG58" s="12">
        <f ca="1">SUM($AE$58:$AF$58)</f>
        <v>0</v>
      </c>
      <c r="AH58" s="12">
        <f>'TUSD BE'!$AH$58*'TUSD BF'!$AH$68</f>
        <v>2.770166831748508</v>
      </c>
      <c r="AI58" s="12">
        <f>'TUSD BE'!$AI$58*'TUSD BF'!$AI$68</f>
        <v>6.5312971978461157E-2</v>
      </c>
      <c r="AJ58" s="12">
        <f ca="1">'TUSD BE'!$AJ$58*'TUSD BF'!$AJ$68</f>
        <v>0.43430199204371195</v>
      </c>
      <c r="AK58" s="12">
        <f ca="1">'TUSD BE'!$AK$58*'TUSD BF'!$AK$68</f>
        <v>0</v>
      </c>
      <c r="AL58" s="12">
        <f ca="1">SUM($AH$58:$AK$58)</f>
        <v>3.2697817957706814</v>
      </c>
      <c r="AM58" s="12">
        <f ca="1">SUMIF($L$4:$AL$4,"SUBTOTAL",$L$58:$AL$58)</f>
        <v>5.1229616639012789</v>
      </c>
      <c r="AO58" s="20">
        <f ca="1">+'TUSD BE'!$T$58+'TUSD BE'!$AB$58+'TUSD BE'!$AD$58+'TUSD BE'!$AL$58</f>
        <v>311.12495554544228</v>
      </c>
      <c r="AP58" s="20">
        <f ca="1">+'TUSD BE'!$T$58+'TUSD BE'!$AB$58+'TUSD BE'!$AD$58+'TUSD BE'!$AL$58</f>
        <v>311.12495554544228</v>
      </c>
    </row>
    <row r="59" spans="1:42" ht="11.25" customHeight="1" x14ac:dyDescent="0.25">
      <c r="A59" s="106"/>
      <c r="B59" s="18" t="s">
        <v>93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84</v>
      </c>
      <c r="H59" s="17" t="s">
        <v>78</v>
      </c>
      <c r="I59" s="17">
        <f>'MERCADO TUSD'!$U$56</f>
        <v>0</v>
      </c>
      <c r="J59" s="15"/>
      <c r="L59" s="12">
        <f>'TUSD BE'!$L$59*'TUSD BF'!$L$68</f>
        <v>0.2092882013437494</v>
      </c>
      <c r="M59" s="12">
        <f>'TUSD BE'!$M$59*'TUSD BF'!$M$68</f>
        <v>0</v>
      </c>
      <c r="N59" s="12">
        <f ca="1">'TUSD BE'!$N$59*'TUSD BF'!$N$68</f>
        <v>0</v>
      </c>
      <c r="O59" s="12">
        <f>'TUSD BE'!$O$59*'TUSD BF'!$O$68</f>
        <v>0</v>
      </c>
      <c r="P59" s="12">
        <f>'TUSD BE'!$P$59*'TUSD BF'!$P$68</f>
        <v>0</v>
      </c>
      <c r="Q59" s="12">
        <f>'TUSD BE'!$Q$59*'TUSD BF'!$Q$68</f>
        <v>-1.6363977562404975E-2</v>
      </c>
      <c r="R59" s="12">
        <f>'TUSD BE'!$R$59*'TUSD BF'!$R$68</f>
        <v>0.46648905484000996</v>
      </c>
      <c r="S59" s="12">
        <f>'TUSD BE'!$R$59*'TUSD BF'!$S$68</f>
        <v>0</v>
      </c>
      <c r="T59" s="12">
        <f ca="1">SUM($L$59:$S$59)</f>
        <v>0.65941327862135435</v>
      </c>
      <c r="U59" s="12">
        <f>'TUSD BE'!$U$59*'TUSD BF'!$U$68</f>
        <v>0.93754372779530315</v>
      </c>
      <c r="V59" s="12">
        <f>'TUSD BE'!$V$59*'TUSD BF'!$V$68</f>
        <v>0.25622286171394054</v>
      </c>
      <c r="W59" s="12">
        <f>'TUSD BE'!$W$59*'TUSD BF'!$W$68</f>
        <v>0</v>
      </c>
      <c r="X59" s="12">
        <f>'TUSD BE'!$X$59*'TUSD BF'!$X$68</f>
        <v>0</v>
      </c>
      <c r="Y59" s="12">
        <f>'TUSD BE'!$Y$59*'TUSD BF'!$Y$68</f>
        <v>0</v>
      </c>
      <c r="Z59" s="12">
        <f>'TUSD BE'!$Z$59*'TUSD BF'!$Z$68</f>
        <v>0</v>
      </c>
      <c r="AA59" s="12">
        <f>'TUSD BE'!$AA$59*'TUSD BF'!$AA$68</f>
        <v>0</v>
      </c>
      <c r="AB59" s="12">
        <f>SUM($U$59:$AA$59)</f>
        <v>1.1937665895092437</v>
      </c>
      <c r="AC59" s="12">
        <f>'TUSD BE'!$AC$59*'TUSD BF'!$AC$68</f>
        <v>0</v>
      </c>
      <c r="AD59" s="12">
        <f>SUM($AC$59:$AC$59)</f>
        <v>0</v>
      </c>
      <c r="AE59" s="12">
        <f ca="1">$AO$59*$AO$65</f>
        <v>0</v>
      </c>
      <c r="AF59" s="12">
        <f ca="1">$AP$59*$AP$65</f>
        <v>0</v>
      </c>
      <c r="AG59" s="12">
        <f ca="1">SUM($AE$59:$AF$59)</f>
        <v>0</v>
      </c>
      <c r="AH59" s="12">
        <f>'TUSD BE'!$AH$59*'TUSD BF'!$AH$68</f>
        <v>2.770166831748508</v>
      </c>
      <c r="AI59" s="12">
        <f>'TUSD BE'!$AI$59*'TUSD BF'!$AI$68</f>
        <v>6.5312971978461157E-2</v>
      </c>
      <c r="AJ59" s="12">
        <f ca="1">'TUSD BE'!$AJ$59*'TUSD BF'!$AJ$68</f>
        <v>0.43430199204371195</v>
      </c>
      <c r="AK59" s="12">
        <f ca="1">'TUSD BE'!$AK$59*'TUSD BF'!$AK$68</f>
        <v>0</v>
      </c>
      <c r="AL59" s="12">
        <f ca="1">SUM($AH$59:$AK$59)</f>
        <v>3.2697817957706814</v>
      </c>
      <c r="AM59" s="12">
        <f ca="1">SUMIF($L$4:$AL$4,"SUBTOTAL",$L$59:$AL$59)</f>
        <v>5.1229616639012789</v>
      </c>
      <c r="AO59" s="20">
        <f ca="1">+'TUSD BE'!$T$59+'TUSD BE'!$AB$59+'TUSD BE'!$AD$59+'TUSD BE'!$AL$59</f>
        <v>311.12495554544228</v>
      </c>
      <c r="AP59" s="20">
        <f ca="1">+'TUSD BE'!$T$59+'TUSD BE'!$AB$59+'TUSD BE'!$AD$59+'TUSD BE'!$AL$59</f>
        <v>311.12495554544228</v>
      </c>
    </row>
    <row r="60" spans="1:42" ht="11.25" customHeight="1" x14ac:dyDescent="0.25">
      <c r="A60" s="106" t="s">
        <v>46</v>
      </c>
      <c r="B60" s="106" t="s">
        <v>23</v>
      </c>
      <c r="C60" s="106" t="s">
        <v>47</v>
      </c>
      <c r="D60" s="18" t="s">
        <v>48</v>
      </c>
      <c r="E60" s="18" t="s">
        <v>25</v>
      </c>
      <c r="F60" s="18" t="s">
        <v>25</v>
      </c>
      <c r="G60" s="17" t="s">
        <v>84</v>
      </c>
      <c r="H60" s="17" t="s">
        <v>78</v>
      </c>
      <c r="I60" s="17">
        <f>'MERCADO TUSD'!$U$57</f>
        <v>35555.334999999999</v>
      </c>
      <c r="J60" s="15"/>
      <c r="L60" s="12">
        <f>'TUSD BE'!$L$60*'TUSD BF'!$L$68</f>
        <v>0.11510851073906216</v>
      </c>
      <c r="M60" s="12">
        <f>'TUSD BE'!$M$60*'TUSD BF'!$M$68</f>
        <v>0</v>
      </c>
      <c r="N60" s="12">
        <f ca="1">'TUSD BE'!$N$60*'TUSD BF'!$N$68</f>
        <v>0</v>
      </c>
      <c r="O60" s="12">
        <f>'TUSD BE'!$O$60*'TUSD BF'!$O$68</f>
        <v>0</v>
      </c>
      <c r="P60" s="12">
        <f>'TUSD BE'!$P$60*'TUSD BF'!$P$68</f>
        <v>0</v>
      </c>
      <c r="Q60" s="12">
        <f>'TUSD BE'!$Q$60*'TUSD BF'!$Q$68</f>
        <v>-9.0001876593227385E-3</v>
      </c>
      <c r="R60" s="12">
        <f>'TUSD BE'!$R$60*'TUSD BF'!$R$68</f>
        <v>0.25656898016200552</v>
      </c>
      <c r="S60" s="12">
        <f>'TUSD BE'!$R$60*'TUSD BF'!$S$68</f>
        <v>0</v>
      </c>
      <c r="T60" s="12">
        <f ca="1">SUM($L$60:$S$60)</f>
        <v>0.36267730324174496</v>
      </c>
      <c r="U60" s="12">
        <f>'TUSD BE'!$U$60*'TUSD BF'!$U$68</f>
        <v>0.5156490502874167</v>
      </c>
      <c r="V60" s="12">
        <f>'TUSD BE'!$V$60*'TUSD BF'!$V$68</f>
        <v>0.1409225739426673</v>
      </c>
      <c r="W60" s="12">
        <f>'TUSD BE'!$W$60*'TUSD BF'!$W$68</f>
        <v>0</v>
      </c>
      <c r="X60" s="12">
        <f>'TUSD BE'!$X$60*'TUSD BF'!$X$68</f>
        <v>0</v>
      </c>
      <c r="Y60" s="12">
        <f>'TUSD BE'!$Y$60*'TUSD BF'!$Y$68</f>
        <v>0</v>
      </c>
      <c r="Z60" s="12">
        <f>'TUSD BE'!$Z$60*'TUSD BF'!$Z$68</f>
        <v>0</v>
      </c>
      <c r="AA60" s="12">
        <f>'TUSD BE'!$AA$60*'TUSD BF'!$AA$68</f>
        <v>0</v>
      </c>
      <c r="AB60" s="12">
        <f>SUM($U$60:$AA$60)</f>
        <v>0.65657162423008397</v>
      </c>
      <c r="AC60" s="12">
        <f>'TUSD BE'!$AC$60*'TUSD BF'!$AC$68</f>
        <v>0</v>
      </c>
      <c r="AD60" s="12">
        <f>SUM($AC$60:$AC$60)</f>
        <v>0</v>
      </c>
      <c r="AE60" s="12">
        <f ca="1">$AO$60*$AO$65</f>
        <v>0</v>
      </c>
      <c r="AF60" s="12">
        <f ca="1">$AP$60*$AP$65</f>
        <v>0</v>
      </c>
      <c r="AG60" s="12">
        <f ca="1">SUM($AE$60:$AF$60)</f>
        <v>0</v>
      </c>
      <c r="AH60" s="12">
        <f>'TUSD BE'!$AH$60*'TUSD BF'!$AH$68</f>
        <v>1.5235917574616793</v>
      </c>
      <c r="AI60" s="12">
        <f>'TUSD BE'!$AI$60*'TUSD BF'!$AI$68</f>
        <v>3.5922134588153638E-2</v>
      </c>
      <c r="AJ60" s="12">
        <f ca="1">'TUSD BE'!$AJ$60*'TUSD BF'!$AJ$68</f>
        <v>0.2388660956240416</v>
      </c>
      <c r="AK60" s="12">
        <f ca="1">'TUSD BE'!$AK$60*'TUSD BF'!$AK$68</f>
        <v>0</v>
      </c>
      <c r="AL60" s="12">
        <f ca="1">SUM($AH$60:$AK$60)</f>
        <v>1.7983799876738746</v>
      </c>
      <c r="AM60" s="12">
        <f ca="1">SUMIF($L$4:$AL$4,"SUBTOTAL",$L$60:$AL$60)</f>
        <v>2.8176289151457032</v>
      </c>
      <c r="AO60" s="20">
        <f ca="1">+'TUSD BE'!$T$60+'TUSD BE'!$AB$60+'TUSD BE'!$AD$60+'TUSD BE'!$AL$60</f>
        <v>171.11872554999326</v>
      </c>
      <c r="AP60" s="20">
        <f ca="1">+'TUSD BE'!$T$60+'TUSD BE'!$AB$60+'TUSD BE'!$AD$60+'TUSD BE'!$AL$60</f>
        <v>171.11872554999326</v>
      </c>
    </row>
    <row r="61" spans="1:42" ht="11.25" customHeight="1" x14ac:dyDescent="0.25">
      <c r="A61" s="106"/>
      <c r="B61" s="106"/>
      <c r="C61" s="106"/>
      <c r="D61" s="17" t="s">
        <v>96</v>
      </c>
      <c r="E61" s="17" t="s">
        <v>25</v>
      </c>
      <c r="F61" s="17" t="s">
        <v>25</v>
      </c>
      <c r="G61" s="17" t="s">
        <v>84</v>
      </c>
      <c r="H61" s="17" t="s">
        <v>78</v>
      </c>
      <c r="I61" s="17">
        <f>'MERCADO TUSD'!$U$58</f>
        <v>0</v>
      </c>
      <c r="J61" s="15"/>
      <c r="L61" s="12">
        <f>'TUSD BE'!$L$61*'TUSD BF'!$L$68</f>
        <v>0.12557292080624963</v>
      </c>
      <c r="M61" s="12">
        <f>'TUSD BE'!$M$61*'TUSD BF'!$M$68</f>
        <v>0</v>
      </c>
      <c r="N61" s="12">
        <f ca="1">'TUSD BE'!$N$61*'TUSD BF'!$N$68</f>
        <v>0</v>
      </c>
      <c r="O61" s="12">
        <f>'TUSD BE'!$O$61*'TUSD BF'!$O$68</f>
        <v>0</v>
      </c>
      <c r="P61" s="12">
        <f>'TUSD BE'!$P$61*'TUSD BF'!$P$68</f>
        <v>0</v>
      </c>
      <c r="Q61" s="12">
        <f>'TUSD BE'!$Q$61*'TUSD BF'!$Q$68</f>
        <v>-9.8183865374429843E-3</v>
      </c>
      <c r="R61" s="12">
        <f>'TUSD BE'!$R$61*'TUSD BF'!$R$68</f>
        <v>0.27989343290400598</v>
      </c>
      <c r="S61" s="12">
        <f>'TUSD BE'!$R$61*'TUSD BF'!$S$68</f>
        <v>0</v>
      </c>
      <c r="T61" s="12">
        <f ca="1">SUM($L$61:$S$61)</f>
        <v>0.39564796717281259</v>
      </c>
      <c r="U61" s="12">
        <f>'TUSD BE'!$U$61*'TUSD BF'!$U$68</f>
        <v>0.56252623667718193</v>
      </c>
      <c r="V61" s="12">
        <f>'TUSD BE'!$V$61*'TUSD BF'!$V$68</f>
        <v>0.15373371702836433</v>
      </c>
      <c r="W61" s="12">
        <f>'TUSD BE'!$W$61*'TUSD BF'!$W$68</f>
        <v>0</v>
      </c>
      <c r="X61" s="12">
        <f>'TUSD BE'!$X$61*'TUSD BF'!$X$68</f>
        <v>0</v>
      </c>
      <c r="Y61" s="12">
        <f>'TUSD BE'!$Y$61*'TUSD BF'!$Y$68</f>
        <v>0</v>
      </c>
      <c r="Z61" s="12">
        <f>'TUSD BE'!$Z$61*'TUSD BF'!$Z$68</f>
        <v>0</v>
      </c>
      <c r="AA61" s="12">
        <f>'TUSD BE'!$AA$61*'TUSD BF'!$AA$68</f>
        <v>0</v>
      </c>
      <c r="AB61" s="12">
        <f>SUM($U$61:$AA$61)</f>
        <v>0.71625995370554629</v>
      </c>
      <c r="AC61" s="12">
        <f>'TUSD BE'!$AC$61*'TUSD BF'!$AC$68</f>
        <v>0</v>
      </c>
      <c r="AD61" s="12">
        <f>SUM($AC$61:$AC$61)</f>
        <v>0</v>
      </c>
      <c r="AE61" s="12">
        <f ca="1">$AO$61*$AO$65</f>
        <v>0</v>
      </c>
      <c r="AF61" s="12">
        <f ca="1">$AP$61*$AP$65</f>
        <v>0</v>
      </c>
      <c r="AG61" s="12">
        <f ca="1">SUM($AE$61:$AF$61)</f>
        <v>0</v>
      </c>
      <c r="AH61" s="12">
        <f>'TUSD BE'!$AH$61*'TUSD BF'!$AH$68</f>
        <v>1.6621000990491048</v>
      </c>
      <c r="AI61" s="12">
        <f>'TUSD BE'!$AI$61*'TUSD BF'!$AI$68</f>
        <v>3.9187783187076698E-2</v>
      </c>
      <c r="AJ61" s="12">
        <f ca="1">'TUSD BE'!$AJ$61*'TUSD BF'!$AJ$68</f>
        <v>0.26058119522622714</v>
      </c>
      <c r="AK61" s="12">
        <f ca="1">'TUSD BE'!$AK$61*'TUSD BF'!$AK$68</f>
        <v>0</v>
      </c>
      <c r="AL61" s="12">
        <f ca="1">SUM($AH$61:$AK$61)</f>
        <v>1.9618690774624086</v>
      </c>
      <c r="AM61" s="12">
        <f ca="1">SUMIF($L$4:$AL$4,"SUBTOTAL",$L$61:$AL$61)</f>
        <v>3.0737769983407675</v>
      </c>
      <c r="AO61" s="20">
        <f ca="1">+'TUSD BE'!$T$61+'TUSD BE'!$AB$61+'TUSD BE'!$AD$61+'TUSD BE'!$AL$61</f>
        <v>186.67497332726538</v>
      </c>
      <c r="AP61" s="20">
        <f ca="1">+'TUSD BE'!$T$61+'TUSD BE'!$AB$61+'TUSD BE'!$AD$61+'TUSD BE'!$AL$61</f>
        <v>186.67497332726538</v>
      </c>
    </row>
    <row r="63" spans="1:42" ht="11.25" customHeight="1" x14ac:dyDescent="0.25">
      <c r="K63" s="16" t="s">
        <v>825</v>
      </c>
      <c r="L63" s="12">
        <f>SUMPRODUCT($I$5:$I61,$L$5:$L61)</f>
        <v>118299.57656469237</v>
      </c>
      <c r="M63" s="12">
        <f>SUMPRODUCT($I$5:$I61,$M$5:$M61)</f>
        <v>0</v>
      </c>
      <c r="N63" s="12">
        <f ca="1">SUMPRODUCT($I$5:$I61,$N$5:$N61)</f>
        <v>0</v>
      </c>
      <c r="O63" s="12">
        <f>SUMPRODUCT($I$5:$I61,$O$5:$O61)</f>
        <v>0</v>
      </c>
      <c r="P63" s="12">
        <f>SUMPRODUCT($I$5:$I61,$P$5:$P61)</f>
        <v>0</v>
      </c>
      <c r="Q63" s="12">
        <f>SUMPRODUCT($I$5:$I61,$Q$5:$Q61)</f>
        <v>-9249.6930267323532</v>
      </c>
      <c r="R63" s="12">
        <f>SUMPRODUCT($I$5:$I61,$R$5:$R61)</f>
        <v>290912.54638488876</v>
      </c>
      <c r="S63" s="12">
        <f>SUMPRODUCT($I$5:$I61,$S$5:$S61)</f>
        <v>0</v>
      </c>
      <c r="T63" s="12">
        <f ca="1">SUMPRODUCT($I$5:$I61,$T$5:$T61)</f>
        <v>399962.42992284882</v>
      </c>
      <c r="U63" s="12">
        <f>SUMPRODUCT($I$5:$I61,$U$5:$U61)</f>
        <v>797866.15633681556</v>
      </c>
      <c r="V63" s="12">
        <f>SUMPRODUCT($I$5:$I61,$V$5:$V61)</f>
        <v>218228.7233064255</v>
      </c>
      <c r="W63" s="12">
        <f>SUMPRODUCT($I$5:$I61,$W$5:$W61)</f>
        <v>0</v>
      </c>
      <c r="X63" s="12">
        <f>SUMPRODUCT($I$5:$I61,$X$5:$X61)</f>
        <v>0</v>
      </c>
      <c r="Y63" s="12">
        <f>SUMPRODUCT($I$5:$I61,$Y$5:$Y61)</f>
        <v>0</v>
      </c>
      <c r="Z63" s="12">
        <f>SUMPRODUCT($I$5:$I61,$Z$5:$Z61)</f>
        <v>0</v>
      </c>
      <c r="AA63" s="12">
        <f>SUMPRODUCT($I$5:$I61,$AA$5:$AA61)</f>
        <v>0</v>
      </c>
      <c r="AB63" s="12">
        <f>SUMPRODUCT($I$5:$I61,$AB$5:$AB61)</f>
        <v>1016094.8796432412</v>
      </c>
      <c r="AC63" s="12">
        <f>SUMPRODUCT($I$5:$I61,$AC$5:$AC61)</f>
        <v>0</v>
      </c>
      <c r="AD63" s="12">
        <f>SUMPRODUCT($I$5:$I61,$AD$5:$AD61)</f>
        <v>0</v>
      </c>
      <c r="AE63" s="12">
        <f ca="1">SUMPRODUCT($I$5:$I61,$AE$5:$AE61)</f>
        <v>0</v>
      </c>
      <c r="AF63" s="12">
        <f ca="1">SUMPRODUCT($I$5:$I61,$AF$5:$AF61)</f>
        <v>0</v>
      </c>
      <c r="AG63" s="12">
        <f ca="1">SUMPRODUCT($I$5:$I61,$AG$5:$AG61)</f>
        <v>0</v>
      </c>
      <c r="AH63" s="12">
        <f>SUMPRODUCT($I$5:$I61,$AH$5:$AH61)</f>
        <v>1408323.2380520746</v>
      </c>
      <c r="AI63" s="12">
        <f>SUMPRODUCT($I$5:$I61,$AI$5:$AI61)</f>
        <v>33204.417556848959</v>
      </c>
      <c r="AJ63" s="12">
        <f ca="1">SUMPRODUCT($I$5:$I61,$AJ$5:$AJ61)</f>
        <v>252839.24186119088</v>
      </c>
      <c r="AK63" s="12">
        <f ca="1">SUMPRODUCT($I$5:$I61,$AK$5:$AK61)</f>
        <v>0</v>
      </c>
      <c r="AL63" s="12">
        <f ca="1">SUMPRODUCT($I$5:$I61,$AL$5:$AL61)</f>
        <v>1694366.8974701138</v>
      </c>
      <c r="AM63" s="12">
        <f ca="1">SUMPRODUCT($I$5:$I61,$AM$5:$AM61)</f>
        <v>3110424.2070362032</v>
      </c>
      <c r="AO63" s="17">
        <f ca="1">SUMPRODUCT($I$5:$I61,$AO$5:$AO61)</f>
        <v>174411039.21718574</v>
      </c>
      <c r="AP63" s="17">
        <f ca="1">SUMPRODUCT($I$5:$I61,$AP$5:$AP61)</f>
        <v>178646882.15607572</v>
      </c>
    </row>
    <row r="64" spans="1:42" ht="11.25" customHeight="1" x14ac:dyDescent="0.25">
      <c r="K64" s="16" t="s">
        <v>757</v>
      </c>
      <c r="L64" s="12">
        <f>'TR TUSD'!$L$66</f>
        <v>1032973.8005780317</v>
      </c>
      <c r="M64" s="12">
        <f>'TR TUSD'!$M$66</f>
        <v>430118.8978672598</v>
      </c>
      <c r="N64" s="12">
        <f>'TR TUSD'!$N$66</f>
        <v>1351473.5832748055</v>
      </c>
      <c r="O64" s="12">
        <f>'TR TUSD'!$O$66</f>
        <v>27638.035714285714</v>
      </c>
      <c r="P64" s="12">
        <f>'TR TUSD'!$P$66</f>
        <v>0</v>
      </c>
      <c r="Q64" s="12">
        <f>'TR TUSD'!$Q$66</f>
        <v>20358520.190000001</v>
      </c>
      <c r="R64" s="12">
        <f>'TR TUSD'!$R$66</f>
        <v>8961536.0506794378</v>
      </c>
      <c r="S64" s="12">
        <f>'TR TUSD'!$S$66</f>
        <v>0</v>
      </c>
      <c r="T64" s="12">
        <f>'TR TUSD'!$T$66</f>
        <v>32162260.558113821</v>
      </c>
      <c r="U64" s="12">
        <f>'TR TUSD'!$U$66</f>
        <v>14520413.184000002</v>
      </c>
      <c r="V64" s="12">
        <f>'TR TUSD'!$V$66</f>
        <v>3971557.3920000005</v>
      </c>
      <c r="W64" s="12">
        <f>'TR TUSD'!$W$66</f>
        <v>352974.387435015</v>
      </c>
      <c r="X64" s="12">
        <f>'TR TUSD'!$X$66</f>
        <v>0</v>
      </c>
      <c r="Y64" s="12">
        <f>'TR TUSD'!$Y$66</f>
        <v>13975762.558050001</v>
      </c>
      <c r="Z64" s="12">
        <f>'TR TUSD'!$Z$66</f>
        <v>0</v>
      </c>
      <c r="AA64" s="12">
        <f>'TR TUSD'!$AA$66</f>
        <v>0</v>
      </c>
      <c r="AB64" s="12">
        <f>'TR TUSD'!$AB$66</f>
        <v>32820707.521485016</v>
      </c>
      <c r="AC64" s="12">
        <f>'TR TUSD'!$AC$66</f>
        <v>103471211.26502535</v>
      </c>
      <c r="AD64" s="12">
        <f>'TR TUSD'!$AD$66</f>
        <v>103471211.26502535</v>
      </c>
      <c r="AE64" s="12">
        <f>'TR TUSD'!$AE$66</f>
        <v>0</v>
      </c>
      <c r="AF64" s="12">
        <f>'TR TUSD'!$AF$66</f>
        <v>0</v>
      </c>
      <c r="AG64" s="12">
        <f>'TR TUSD'!$AG$66</f>
        <v>0</v>
      </c>
      <c r="AH64" s="12">
        <f>'TR TUSD'!$AH$66</f>
        <v>8471966.8740926012</v>
      </c>
      <c r="AI64" s="12">
        <f>'TR TUSD'!$AI$66</f>
        <v>199745.85238276212</v>
      </c>
      <c r="AJ64" s="12">
        <f>'TR TUSD'!$AJ$66</f>
        <v>1520990.084976139</v>
      </c>
      <c r="AK64" s="12">
        <f>'TR TUSD'!$AK$66</f>
        <v>0</v>
      </c>
      <c r="AL64" s="12">
        <f>'TR TUSD'!$AL$66</f>
        <v>10192702.811451502</v>
      </c>
      <c r="AM64" s="12">
        <f>CUSTOS!$D$29</f>
        <v>178646882.15607569</v>
      </c>
      <c r="AO64" s="17">
        <f>$AE$66</f>
        <v>0</v>
      </c>
      <c r="AP64" s="17">
        <f>$AF$66</f>
        <v>0</v>
      </c>
    </row>
    <row r="65" spans="11:42" ht="11.25" customHeight="1" x14ac:dyDescent="0.25">
      <c r="K65" s="16" t="s">
        <v>758</v>
      </c>
      <c r="L65" s="12">
        <f>CUSTOS!$E$2</f>
        <v>-45608.360377848061</v>
      </c>
      <c r="M65" s="12">
        <f>CUSTOS!$E$3</f>
        <v>-14166.531065114292</v>
      </c>
      <c r="N65" s="12">
        <f>CUSTOS!$E$4</f>
        <v>0</v>
      </c>
      <c r="O65" s="12">
        <f>CUSTOS!$E$5</f>
        <v>-1575.5005387090303</v>
      </c>
      <c r="P65" s="12">
        <f>CUSTOS!$E$6</f>
        <v>0</v>
      </c>
      <c r="Q65" s="12">
        <f>CUSTOS!$E$7</f>
        <v>-586670.68666997878</v>
      </c>
      <c r="R65" s="12">
        <f>CUSTOS!$E$8</f>
        <v>-255138.45347551774</v>
      </c>
      <c r="S65" s="12">
        <f>CUSTOS!$E$9</f>
        <v>0</v>
      </c>
      <c r="T65" s="12">
        <f>CUSTOS!$E$10</f>
        <v>-903159.5321271678</v>
      </c>
      <c r="U65" s="12">
        <f>CUSTOS!$E$11</f>
        <v>34307.246296391517</v>
      </c>
      <c r="V65" s="12">
        <f>CUSTOS!$E$12</f>
        <v>0</v>
      </c>
      <c r="W65" s="12">
        <f>CUSTOS!$E$13</f>
        <v>0</v>
      </c>
      <c r="X65" s="12">
        <f>CUSTOS!$E$14</f>
        <v>0</v>
      </c>
      <c r="Y65" s="12">
        <f>CUSTOS!$E$15</f>
        <v>-292431.97467562632</v>
      </c>
      <c r="Z65" s="12">
        <f>CUSTOS!$E$16</f>
        <v>0</v>
      </c>
      <c r="AA65" s="12">
        <f>CUSTOS!$E$17</f>
        <v>0</v>
      </c>
      <c r="AB65" s="12">
        <f>CUSTOS!$E$18</f>
        <v>-258124.72837923479</v>
      </c>
      <c r="AC65" s="12">
        <f>CUSTOS!$E$19</f>
        <v>-645021.98149003857</v>
      </c>
      <c r="AD65" s="12">
        <f>CUSTOS!$E$20</f>
        <v>-645021.98149003857</v>
      </c>
      <c r="AE65" s="12">
        <f>CUSTOS!$E$21</f>
        <v>-14783834.877586793</v>
      </c>
      <c r="AF65" s="12">
        <f>CUSTOS!$E$22</f>
        <v>0</v>
      </c>
      <c r="AG65" s="12">
        <f>CUSTOS!$E$23</f>
        <v>-14783834.877586793</v>
      </c>
      <c r="AH65" s="12">
        <f>CUSTOS!$E$24</f>
        <v>-483878.17770503578</v>
      </c>
      <c r="AI65" s="12">
        <f>CUSTOS!$E$25</f>
        <v>-11408.52655487538</v>
      </c>
      <c r="AJ65" s="12">
        <f>CUSTOS!$E$26</f>
        <v>-86871.670010455389</v>
      </c>
      <c r="AK65" s="12">
        <f>CUSTOS!$E$27</f>
        <v>0</v>
      </c>
      <c r="AL65" s="12">
        <f>CUSTOS!$E$28</f>
        <v>-582158.3742703665</v>
      </c>
      <c r="AM65" s="12">
        <f>CUSTOS!$E$29</f>
        <v>-17172299.493853599</v>
      </c>
      <c r="AO65" s="17">
        <f ca="1">IF(AO63&lt;&gt;0,AO64/AO63,0)</f>
        <v>0</v>
      </c>
      <c r="AP65" s="17">
        <f ca="1">IF(AP63&lt;&gt;0,AP64/AP63,0)</f>
        <v>0</v>
      </c>
    </row>
    <row r="66" spans="11:42" ht="11.25" customHeight="1" x14ac:dyDescent="0.25">
      <c r="K66" s="16" t="s">
        <v>759</v>
      </c>
      <c r="L66" s="12">
        <f>CUSTOS!$F$2</f>
        <v>118299.57656469238</v>
      </c>
      <c r="M66" s="12">
        <f>CUSTOS!$F$3</f>
        <v>0</v>
      </c>
      <c r="N66" s="12">
        <f>CUSTOS!$F$4</f>
        <v>0</v>
      </c>
      <c r="O66" s="12">
        <f>CUSTOS!$F$5</f>
        <v>0</v>
      </c>
      <c r="P66" s="12">
        <f>CUSTOS!$F$6</f>
        <v>0</v>
      </c>
      <c r="Q66" s="12">
        <f>CUSTOS!$F$7</f>
        <v>-9249.6930267323551</v>
      </c>
      <c r="R66" s="12">
        <f>CUSTOS!$F$8</f>
        <v>290912.54638488876</v>
      </c>
      <c r="S66" s="12">
        <f>CUSTOS!$F$9</f>
        <v>0</v>
      </c>
      <c r="T66" s="12">
        <f>CUSTOS!$F$10</f>
        <v>399962.42992284882</v>
      </c>
      <c r="U66" s="12">
        <f>CUSTOS!$F$11</f>
        <v>797866.15633681579</v>
      </c>
      <c r="V66" s="12">
        <f>CUSTOS!$F$12</f>
        <v>218228.72330642547</v>
      </c>
      <c r="W66" s="12">
        <f>CUSTOS!$F$13</f>
        <v>0</v>
      </c>
      <c r="X66" s="12">
        <f>CUSTOS!$F$14</f>
        <v>0</v>
      </c>
      <c r="Y66" s="12">
        <f>CUSTOS!$F$15</f>
        <v>0</v>
      </c>
      <c r="Z66" s="12">
        <f>CUSTOS!$F$16</f>
        <v>0</v>
      </c>
      <c r="AA66" s="12">
        <f>CUSTOS!$F$17</f>
        <v>0</v>
      </c>
      <c r="AB66" s="12">
        <f>CUSTOS!$F$18</f>
        <v>1016094.8796432413</v>
      </c>
      <c r="AC66" s="12">
        <f>CUSTOS!$F$19</f>
        <v>0</v>
      </c>
      <c r="AD66" s="12">
        <f>CUSTOS!$F$20</f>
        <v>0</v>
      </c>
      <c r="AE66" s="12">
        <f>CUSTOS!$F$21</f>
        <v>0</v>
      </c>
      <c r="AF66" s="12">
        <f>CUSTOS!$F$22</f>
        <v>0</v>
      </c>
      <c r="AG66" s="12">
        <f>CUSTOS!$F$23</f>
        <v>0</v>
      </c>
      <c r="AH66" s="12">
        <f>CUSTOS!$F$24</f>
        <v>1408323.2380520743</v>
      </c>
      <c r="AI66" s="12">
        <f>CUSTOS!$F$25</f>
        <v>33204.417556848966</v>
      </c>
      <c r="AJ66" s="12">
        <f>CUSTOS!$F$26</f>
        <v>252839.24186119085</v>
      </c>
      <c r="AK66" s="12">
        <f>CUSTOS!$F$27</f>
        <v>0</v>
      </c>
      <c r="AL66" s="12">
        <f>CUSTOS!$F$28</f>
        <v>1694366.8974701143</v>
      </c>
      <c r="AM66" s="12">
        <f>CUSTOS!$F$29</f>
        <v>3110424.2070362046</v>
      </c>
    </row>
    <row r="67" spans="11:42" ht="11.25" customHeight="1" x14ac:dyDescent="0.25">
      <c r="K67" s="16" t="s">
        <v>822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/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/>
      <c r="AC67" s="12">
        <v>0</v>
      </c>
      <c r="AD67" s="12"/>
      <c r="AE67" s="12">
        <v>0</v>
      </c>
      <c r="AF67" s="12">
        <v>0</v>
      </c>
      <c r="AG67" s="12"/>
      <c r="AH67" s="12">
        <v>0</v>
      </c>
      <c r="AI67" s="12">
        <v>0</v>
      </c>
      <c r="AJ67" s="12">
        <v>0</v>
      </c>
      <c r="AK67" s="12">
        <v>0</v>
      </c>
      <c r="AL67" s="12"/>
      <c r="AM67" s="12"/>
    </row>
  </sheetData>
  <mergeCells count="89">
    <mergeCell ref="E55:E57"/>
    <mergeCell ref="F55:F57"/>
    <mergeCell ref="A60:A61"/>
    <mergeCell ref="B60:B61"/>
    <mergeCell ref="C60:C61"/>
    <mergeCell ref="D55:D57"/>
    <mergeCell ref="B52:B54"/>
    <mergeCell ref="C52:C54"/>
    <mergeCell ref="A55:A59"/>
    <mergeCell ref="B55:B57"/>
    <mergeCell ref="C55:C57"/>
    <mergeCell ref="A40:A54"/>
    <mergeCell ref="B40:B42"/>
    <mergeCell ref="C40:C42"/>
    <mergeCell ref="B48:B50"/>
    <mergeCell ref="C48:C50"/>
    <mergeCell ref="B44:B46"/>
    <mergeCell ref="C44:C46"/>
    <mergeCell ref="D48:D50"/>
    <mergeCell ref="E48:E50"/>
    <mergeCell ref="F48:F50"/>
    <mergeCell ref="D40:D42"/>
    <mergeCell ref="E40:E42"/>
    <mergeCell ref="F40:F42"/>
    <mergeCell ref="D44:D46"/>
    <mergeCell ref="E44:E46"/>
    <mergeCell ref="F44:F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F23:F24"/>
    <mergeCell ref="A25:A26"/>
    <mergeCell ref="B25:B26"/>
    <mergeCell ref="C25:C26"/>
    <mergeCell ref="D25:D26"/>
    <mergeCell ref="B20:B24"/>
    <mergeCell ref="C20:C24"/>
    <mergeCell ref="D20:D24"/>
    <mergeCell ref="E20:E22"/>
    <mergeCell ref="F20:F22"/>
    <mergeCell ref="A12:A24"/>
    <mergeCell ref="E23:E24"/>
    <mergeCell ref="F12:F14"/>
    <mergeCell ref="B16:B18"/>
    <mergeCell ref="C16:C18"/>
    <mergeCell ref="D16:D18"/>
    <mergeCell ref="E16:E18"/>
    <mergeCell ref="F16:F18"/>
    <mergeCell ref="B12:B15"/>
    <mergeCell ref="C12:C15"/>
    <mergeCell ref="D12:D15"/>
    <mergeCell ref="E12:E14"/>
    <mergeCell ref="A1:A4"/>
    <mergeCell ref="C9:C11"/>
    <mergeCell ref="D9:D11"/>
    <mergeCell ref="E9:E11"/>
    <mergeCell ref="F9:F11"/>
    <mergeCell ref="F5:F7"/>
    <mergeCell ref="B9:B11"/>
    <mergeCell ref="A5:A11"/>
    <mergeCell ref="B5:B8"/>
    <mergeCell ref="C5:C8"/>
    <mergeCell ref="D5:D8"/>
    <mergeCell ref="E5:E7"/>
    <mergeCell ref="B1:B4"/>
    <mergeCell ref="C1:C4"/>
    <mergeCell ref="D1:D4"/>
    <mergeCell ref="E1:E4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conditionalFormatting sqref="L63">
    <cfRule type="cellIs" dxfId="1050" priority="55" operator="notEqual">
      <formula>$L$66</formula>
    </cfRule>
    <cfRule type="cellIs" dxfId="1049" priority="56" operator="equal">
      <formula>$L$66</formula>
    </cfRule>
  </conditionalFormatting>
  <conditionalFormatting sqref="M63">
    <cfRule type="cellIs" dxfId="1048" priority="53" operator="notEqual">
      <formula>$M$66</formula>
    </cfRule>
    <cfRule type="cellIs" dxfId="1047" priority="54" operator="equal">
      <formula>$M$66</formula>
    </cfRule>
  </conditionalFormatting>
  <conditionalFormatting sqref="N63">
    <cfRule type="cellIs" dxfId="1046" priority="51" operator="notEqual">
      <formula>$N$66</formula>
    </cfRule>
    <cfRule type="cellIs" dxfId="1045" priority="52" operator="equal">
      <formula>$N$66</formula>
    </cfRule>
  </conditionalFormatting>
  <conditionalFormatting sqref="O63">
    <cfRule type="cellIs" dxfId="1044" priority="49" operator="notEqual">
      <formula>$O$66</formula>
    </cfRule>
    <cfRule type="cellIs" dxfId="1043" priority="50" operator="equal">
      <formula>$O$66</formula>
    </cfRule>
  </conditionalFormatting>
  <conditionalFormatting sqref="P63">
    <cfRule type="cellIs" dxfId="1042" priority="47" operator="notEqual">
      <formula>$P$66</formula>
    </cfRule>
    <cfRule type="cellIs" dxfId="1041" priority="48" operator="equal">
      <formula>$P$66</formula>
    </cfRule>
  </conditionalFormatting>
  <conditionalFormatting sqref="Q63">
    <cfRule type="cellIs" dxfId="1040" priority="45" operator="notEqual">
      <formula>$Q$66</formula>
    </cfRule>
    <cfRule type="cellIs" dxfId="1039" priority="46" operator="equal">
      <formula>$Q$66</formula>
    </cfRule>
  </conditionalFormatting>
  <conditionalFormatting sqref="R63">
    <cfRule type="cellIs" dxfId="1038" priority="43" operator="notEqual">
      <formula>$R$66</formula>
    </cfRule>
    <cfRule type="cellIs" dxfId="1037" priority="44" operator="equal">
      <formula>$R$66</formula>
    </cfRule>
  </conditionalFormatting>
  <conditionalFormatting sqref="S63">
    <cfRule type="cellIs" dxfId="1036" priority="41" operator="notEqual">
      <formula>$S$66</formula>
    </cfRule>
    <cfRule type="cellIs" dxfId="1035" priority="42" operator="equal">
      <formula>$S$66</formula>
    </cfRule>
  </conditionalFormatting>
  <conditionalFormatting sqref="T63">
    <cfRule type="cellIs" dxfId="1034" priority="39" operator="notEqual">
      <formula>$T$66</formula>
    </cfRule>
    <cfRule type="cellIs" dxfId="1033" priority="40" operator="equal">
      <formula>$T$66</formula>
    </cfRule>
  </conditionalFormatting>
  <conditionalFormatting sqref="U63">
    <cfRule type="cellIs" dxfId="1032" priority="37" operator="notEqual">
      <formula>$U$66</formula>
    </cfRule>
    <cfRule type="cellIs" dxfId="1031" priority="38" operator="equal">
      <formula>$U$66</formula>
    </cfRule>
  </conditionalFormatting>
  <conditionalFormatting sqref="V63">
    <cfRule type="cellIs" dxfId="1030" priority="35" operator="notEqual">
      <formula>$V$66</formula>
    </cfRule>
    <cfRule type="cellIs" dxfId="1029" priority="36" operator="equal">
      <formula>$V$66</formula>
    </cfRule>
  </conditionalFormatting>
  <conditionalFormatting sqref="W63">
    <cfRule type="cellIs" dxfId="1028" priority="33" operator="notEqual">
      <formula>$W$66</formula>
    </cfRule>
    <cfRule type="cellIs" dxfId="1027" priority="34" operator="equal">
      <formula>$W$66</formula>
    </cfRule>
  </conditionalFormatting>
  <conditionalFormatting sqref="X63">
    <cfRule type="cellIs" dxfId="1026" priority="31" operator="notEqual">
      <formula>$X$66</formula>
    </cfRule>
    <cfRule type="cellIs" dxfId="1025" priority="32" operator="equal">
      <formula>$X$66</formula>
    </cfRule>
  </conditionalFormatting>
  <conditionalFormatting sqref="Y63">
    <cfRule type="cellIs" dxfId="1024" priority="29" operator="notEqual">
      <formula>$Y$66</formula>
    </cfRule>
    <cfRule type="cellIs" dxfId="1023" priority="30" operator="equal">
      <formula>$Y$66</formula>
    </cfRule>
  </conditionalFormatting>
  <conditionalFormatting sqref="Z63">
    <cfRule type="cellIs" dxfId="1022" priority="27" operator="notEqual">
      <formula>$Z$66</formula>
    </cfRule>
    <cfRule type="cellIs" dxfId="1021" priority="28" operator="equal">
      <formula>$Z$66</formula>
    </cfRule>
  </conditionalFormatting>
  <conditionalFormatting sqref="AA63">
    <cfRule type="cellIs" dxfId="1020" priority="25" operator="notEqual">
      <formula>$AA$66</formula>
    </cfRule>
    <cfRule type="cellIs" dxfId="1019" priority="26" operator="equal">
      <formula>$AA$66</formula>
    </cfRule>
  </conditionalFormatting>
  <conditionalFormatting sqref="AB63">
    <cfRule type="cellIs" dxfId="1018" priority="23" operator="notEqual">
      <formula>$AB$66</formula>
    </cfRule>
    <cfRule type="cellIs" dxfId="1017" priority="24" operator="equal">
      <formula>$AB$66</formula>
    </cfRule>
  </conditionalFormatting>
  <conditionalFormatting sqref="AC63">
    <cfRule type="cellIs" dxfId="1016" priority="21" operator="notEqual">
      <formula>$AC$66</formula>
    </cfRule>
    <cfRule type="cellIs" dxfId="1015" priority="22" operator="equal">
      <formula>$AC$66</formula>
    </cfRule>
  </conditionalFormatting>
  <conditionalFormatting sqref="AD63">
    <cfRule type="cellIs" dxfId="1014" priority="19" operator="notEqual">
      <formula>$AD$66</formula>
    </cfRule>
    <cfRule type="cellIs" dxfId="1013" priority="20" operator="equal">
      <formula>$AD$66</formula>
    </cfRule>
  </conditionalFormatting>
  <conditionalFormatting sqref="AE63">
    <cfRule type="cellIs" dxfId="1012" priority="17" operator="notEqual">
      <formula>$AE$66</formula>
    </cfRule>
    <cfRule type="cellIs" dxfId="1011" priority="18" operator="equal">
      <formula>$AE$66</formula>
    </cfRule>
  </conditionalFormatting>
  <conditionalFormatting sqref="AF63">
    <cfRule type="cellIs" dxfId="1010" priority="16" operator="equal">
      <formula>$AF$66</formula>
    </cfRule>
  </conditionalFormatting>
  <conditionalFormatting sqref="AF63">
    <cfRule type="cellIs" dxfId="1009" priority="15" operator="notEqual">
      <formula>$AF$66</formula>
    </cfRule>
  </conditionalFormatting>
  <conditionalFormatting sqref="AG63">
    <cfRule type="cellIs" dxfId="1008" priority="14" operator="equal">
      <formula>$AG$66</formula>
    </cfRule>
  </conditionalFormatting>
  <conditionalFormatting sqref="AG63">
    <cfRule type="cellIs" dxfId="1007" priority="13" operator="notEqual">
      <formula>$AG$66</formula>
    </cfRule>
  </conditionalFormatting>
  <conditionalFormatting sqref="AH63">
    <cfRule type="cellIs" dxfId="1006" priority="12" operator="equal">
      <formula>$AH$66</formula>
    </cfRule>
  </conditionalFormatting>
  <conditionalFormatting sqref="AH63">
    <cfRule type="cellIs" dxfId="1005" priority="11" operator="notEqual">
      <formula>$AH$66</formula>
    </cfRule>
  </conditionalFormatting>
  <conditionalFormatting sqref="AI63">
    <cfRule type="cellIs" dxfId="1004" priority="10" operator="equal">
      <formula>$AI$66</formula>
    </cfRule>
  </conditionalFormatting>
  <conditionalFormatting sqref="AI63">
    <cfRule type="cellIs" dxfId="1003" priority="9" operator="notEqual">
      <formula>$AI$66</formula>
    </cfRule>
  </conditionalFormatting>
  <conditionalFormatting sqref="AJ63">
    <cfRule type="cellIs" dxfId="1002" priority="8" operator="equal">
      <formula>$AJ$66</formula>
    </cfRule>
  </conditionalFormatting>
  <conditionalFormatting sqref="AJ63">
    <cfRule type="cellIs" dxfId="1001" priority="7" operator="notEqual">
      <formula>$AJ$66</formula>
    </cfRule>
  </conditionalFormatting>
  <conditionalFormatting sqref="AK63">
    <cfRule type="cellIs" dxfId="1000" priority="6" operator="equal">
      <formula>$AK$66</formula>
    </cfRule>
  </conditionalFormatting>
  <conditionalFormatting sqref="AK63">
    <cfRule type="cellIs" dxfId="999" priority="5" operator="notEqual">
      <formula>$AK$66</formula>
    </cfRule>
  </conditionalFormatting>
  <conditionalFormatting sqref="AL63">
    <cfRule type="cellIs" dxfId="998" priority="4" operator="equal">
      <formula>$AL$66</formula>
    </cfRule>
  </conditionalFormatting>
  <conditionalFormatting sqref="AL63">
    <cfRule type="cellIs" dxfId="997" priority="3" operator="notEqual">
      <formula>$AL$66</formula>
    </cfRule>
  </conditionalFormatting>
  <conditionalFormatting sqref="AM63">
    <cfRule type="cellIs" dxfId="996" priority="2" operator="equal">
      <formula>$AM$66</formula>
    </cfRule>
  </conditionalFormatting>
  <conditionalFormatting sqref="AM63">
    <cfRule type="cellIs" dxfId="995" priority="1" operator="notEqual">
      <formula>$AM$66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A6AFD-84BF-4D6A-883B-95D1272B00E8}">
  <dimension ref="A1:AA52"/>
  <sheetViews>
    <sheetView showGridLines="0" topLeftCell="A28" workbookViewId="0">
      <selection activeCell="K46" sqref="K46:AA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42578125" style="9" bestFit="1" customWidth="1"/>
    <col min="14" max="14" width="8.7109375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16" t="s">
        <v>68</v>
      </c>
      <c r="B1" s="116" t="s">
        <v>69</v>
      </c>
      <c r="C1" s="116" t="s">
        <v>70</v>
      </c>
      <c r="D1" s="116" t="s">
        <v>71</v>
      </c>
      <c r="E1" s="116" t="s">
        <v>72</v>
      </c>
      <c r="F1" s="116" t="s">
        <v>15</v>
      </c>
      <c r="G1" s="116" t="s">
        <v>74</v>
      </c>
      <c r="H1" s="116" t="s">
        <v>75</v>
      </c>
      <c r="I1" s="116" t="s">
        <v>816</v>
      </c>
      <c r="J1" s="95"/>
      <c r="L1" s="114" t="s">
        <v>837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6"/>
      <c r="B2" s="116"/>
      <c r="C2" s="116"/>
      <c r="D2" s="116"/>
      <c r="E2" s="116"/>
      <c r="F2" s="116"/>
      <c r="G2" s="116"/>
      <c r="H2" s="116"/>
      <c r="I2" s="116"/>
      <c r="J2" s="95"/>
      <c r="L2" s="114" t="s">
        <v>744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95"/>
      <c r="L3" s="114" t="s">
        <v>717</v>
      </c>
      <c r="M3" s="114"/>
      <c r="N3" s="114"/>
      <c r="O3" s="114"/>
      <c r="P3" s="114"/>
      <c r="Q3" s="114" t="s">
        <v>747</v>
      </c>
      <c r="R3" s="114"/>
      <c r="S3" s="114" t="s">
        <v>726</v>
      </c>
      <c r="T3" s="114"/>
      <c r="U3" s="114"/>
      <c r="V3" s="114"/>
      <c r="W3" s="114" t="s">
        <v>736</v>
      </c>
      <c r="X3" s="114"/>
      <c r="Y3" s="114" t="s">
        <v>739</v>
      </c>
      <c r="Z3" s="114"/>
      <c r="AA3" s="114" t="s">
        <v>725</v>
      </c>
    </row>
    <row r="4" spans="1:27" ht="11.25" customHeight="1" x14ac:dyDescent="0.25">
      <c r="A4" s="116"/>
      <c r="B4" s="116"/>
      <c r="C4" s="116"/>
      <c r="D4" s="116"/>
      <c r="E4" s="116"/>
      <c r="F4" s="116"/>
      <c r="G4" s="116"/>
      <c r="H4" s="116"/>
      <c r="I4" s="116"/>
      <c r="J4" s="95"/>
      <c r="L4" s="24" t="s">
        <v>719</v>
      </c>
      <c r="M4" s="24" t="s">
        <v>745</v>
      </c>
      <c r="N4" s="24" t="s">
        <v>746</v>
      </c>
      <c r="O4" s="24" t="s">
        <v>804</v>
      </c>
      <c r="P4" s="24" t="s">
        <v>725</v>
      </c>
      <c r="Q4" s="24" t="s">
        <v>748</v>
      </c>
      <c r="R4" s="24" t="s">
        <v>725</v>
      </c>
      <c r="S4" s="24" t="s">
        <v>749</v>
      </c>
      <c r="T4" s="24" t="s">
        <v>750</v>
      </c>
      <c r="U4" s="24" t="s">
        <v>751</v>
      </c>
      <c r="V4" s="24" t="s">
        <v>725</v>
      </c>
      <c r="W4" s="24" t="s">
        <v>737</v>
      </c>
      <c r="X4" s="24" t="s">
        <v>725</v>
      </c>
      <c r="Y4" s="24" t="s">
        <v>752</v>
      </c>
      <c r="Z4" s="24" t="s">
        <v>725</v>
      </c>
      <c r="AA4" s="115"/>
    </row>
    <row r="5" spans="1:27" ht="11.25" customHeight="1" x14ac:dyDescent="0.25">
      <c r="A5" s="117" t="s">
        <v>56</v>
      </c>
      <c r="B5" s="117" t="s">
        <v>77</v>
      </c>
      <c r="C5" s="117" t="s">
        <v>25</v>
      </c>
      <c r="D5" s="117" t="s">
        <v>25</v>
      </c>
      <c r="E5" s="117" t="s">
        <v>25</v>
      </c>
      <c r="F5" s="117" t="s">
        <v>25</v>
      </c>
      <c r="G5" s="22" t="s">
        <v>79</v>
      </c>
      <c r="H5" s="22" t="s">
        <v>78</v>
      </c>
      <c r="I5" s="22">
        <f>'MERCADO TE'!$U$2</f>
        <v>0</v>
      </c>
      <c r="J5" s="15"/>
      <c r="L5" s="20">
        <v>1</v>
      </c>
      <c r="M5" s="20">
        <v>1</v>
      </c>
      <c r="N5" s="20">
        <v>1</v>
      </c>
      <c r="O5" s="20">
        <v>1</v>
      </c>
      <c r="P5" s="20"/>
      <c r="Q5" s="20">
        <v>1.72</v>
      </c>
      <c r="R5" s="20"/>
      <c r="S5" s="20">
        <v>1</v>
      </c>
      <c r="T5" s="20">
        <v>1</v>
      </c>
      <c r="U5" s="20">
        <v>1</v>
      </c>
      <c r="V5" s="20"/>
      <c r="W5" s="20"/>
      <c r="X5" s="20"/>
      <c r="Y5" s="20">
        <v>1</v>
      </c>
      <c r="Z5" s="20"/>
      <c r="AA5" s="20"/>
    </row>
    <row r="6" spans="1:27" ht="11.25" customHeight="1" x14ac:dyDescent="0.25">
      <c r="A6" s="117"/>
      <c r="B6" s="117"/>
      <c r="C6" s="117"/>
      <c r="D6" s="117"/>
      <c r="E6" s="117"/>
      <c r="F6" s="117"/>
      <c r="G6" s="22" t="s">
        <v>80</v>
      </c>
      <c r="H6" s="22" t="s">
        <v>78</v>
      </c>
      <c r="I6" s="22">
        <f>'MERCADO TE'!$U$3</f>
        <v>0</v>
      </c>
      <c r="J6" s="15"/>
      <c r="L6" s="20">
        <v>1</v>
      </c>
      <c r="M6" s="20">
        <v>1</v>
      </c>
      <c r="N6" s="20">
        <v>1</v>
      </c>
      <c r="O6" s="20">
        <v>1</v>
      </c>
      <c r="P6" s="20"/>
      <c r="Q6" s="20">
        <v>1</v>
      </c>
      <c r="R6" s="20"/>
      <c r="S6" s="20">
        <v>1</v>
      </c>
      <c r="T6" s="20">
        <v>1</v>
      </c>
      <c r="U6" s="20">
        <v>1</v>
      </c>
      <c r="V6" s="20"/>
      <c r="W6" s="20"/>
      <c r="X6" s="20"/>
      <c r="Y6" s="20">
        <v>1</v>
      </c>
      <c r="Z6" s="20"/>
      <c r="AA6" s="20"/>
    </row>
    <row r="7" spans="1:27" ht="11.25" customHeight="1" x14ac:dyDescent="0.25">
      <c r="A7" s="117" t="s">
        <v>39</v>
      </c>
      <c r="B7" s="117" t="s">
        <v>77</v>
      </c>
      <c r="C7" s="117" t="s">
        <v>25</v>
      </c>
      <c r="D7" s="117" t="s">
        <v>25</v>
      </c>
      <c r="E7" s="117" t="s">
        <v>25</v>
      </c>
      <c r="F7" s="117" t="s">
        <v>25</v>
      </c>
      <c r="G7" s="22" t="s">
        <v>79</v>
      </c>
      <c r="H7" s="22" t="s">
        <v>78</v>
      </c>
      <c r="I7" s="22">
        <f>'MERCADO TE'!$U$4</f>
        <v>8115.134</v>
      </c>
      <c r="J7" s="15"/>
      <c r="L7" s="20">
        <v>1</v>
      </c>
      <c r="M7" s="20">
        <v>1</v>
      </c>
      <c r="N7" s="20">
        <v>1</v>
      </c>
      <c r="O7" s="20">
        <v>1</v>
      </c>
      <c r="P7" s="20"/>
      <c r="Q7" s="20">
        <v>1.72</v>
      </c>
      <c r="R7" s="20"/>
      <c r="S7" s="20">
        <v>1</v>
      </c>
      <c r="T7" s="20">
        <v>1</v>
      </c>
      <c r="U7" s="20">
        <v>1</v>
      </c>
      <c r="V7" s="20"/>
      <c r="W7" s="20"/>
      <c r="X7" s="20"/>
      <c r="Y7" s="20">
        <v>1</v>
      </c>
      <c r="Z7" s="20"/>
      <c r="AA7" s="20"/>
    </row>
    <row r="8" spans="1:27" ht="11.25" customHeight="1" x14ac:dyDescent="0.25">
      <c r="A8" s="117"/>
      <c r="B8" s="117"/>
      <c r="C8" s="117"/>
      <c r="D8" s="117"/>
      <c r="E8" s="117"/>
      <c r="F8" s="117"/>
      <c r="G8" s="22" t="s">
        <v>80</v>
      </c>
      <c r="H8" s="22" t="s">
        <v>78</v>
      </c>
      <c r="I8" s="22">
        <f>'MERCADO TE'!$U$5</f>
        <v>108682.38199999998</v>
      </c>
      <c r="J8" s="15"/>
      <c r="L8" s="20">
        <v>1</v>
      </c>
      <c r="M8" s="20">
        <v>1</v>
      </c>
      <c r="N8" s="20">
        <v>1</v>
      </c>
      <c r="O8" s="20">
        <v>1</v>
      </c>
      <c r="P8" s="20"/>
      <c r="Q8" s="20">
        <v>1</v>
      </c>
      <c r="R8" s="20"/>
      <c r="S8" s="20">
        <v>1</v>
      </c>
      <c r="T8" s="20">
        <v>1</v>
      </c>
      <c r="U8" s="20">
        <v>1</v>
      </c>
      <c r="V8" s="20"/>
      <c r="W8" s="20"/>
      <c r="X8" s="20"/>
      <c r="Y8" s="20">
        <v>1</v>
      </c>
      <c r="Z8" s="20"/>
      <c r="AA8" s="20"/>
    </row>
    <row r="9" spans="1:27" ht="11.25" customHeight="1" x14ac:dyDescent="0.25">
      <c r="A9" s="117"/>
      <c r="B9" s="23" t="s">
        <v>86</v>
      </c>
      <c r="C9" s="23" t="s">
        <v>25</v>
      </c>
      <c r="D9" s="23" t="s">
        <v>25</v>
      </c>
      <c r="E9" s="23" t="s">
        <v>25</v>
      </c>
      <c r="F9" s="23" t="s">
        <v>25</v>
      </c>
      <c r="G9" s="22" t="s">
        <v>84</v>
      </c>
      <c r="H9" s="22" t="s">
        <v>78</v>
      </c>
      <c r="I9" s="22">
        <f>'MERCADO TE'!$U$6</f>
        <v>0</v>
      </c>
      <c r="J9" s="15"/>
      <c r="L9" s="20">
        <v>1</v>
      </c>
      <c r="M9" s="20">
        <v>1</v>
      </c>
      <c r="N9" s="20">
        <v>1</v>
      </c>
      <c r="O9" s="20">
        <v>1</v>
      </c>
      <c r="P9" s="20"/>
      <c r="Q9" s="20">
        <v>1.06</v>
      </c>
      <c r="R9" s="20"/>
      <c r="S9" s="20">
        <v>1</v>
      </c>
      <c r="T9" s="20">
        <v>1</v>
      </c>
      <c r="U9" s="20">
        <v>1</v>
      </c>
      <c r="V9" s="20"/>
      <c r="W9" s="20"/>
      <c r="X9" s="20"/>
      <c r="Y9" s="20">
        <v>1</v>
      </c>
      <c r="Z9" s="20"/>
      <c r="AA9" s="20"/>
    </row>
    <row r="10" spans="1:27" ht="11.25" customHeight="1" x14ac:dyDescent="0.25">
      <c r="A10" s="117" t="s">
        <v>22</v>
      </c>
      <c r="B10" s="117" t="s">
        <v>77</v>
      </c>
      <c r="C10" s="117" t="s">
        <v>24</v>
      </c>
      <c r="D10" s="117" t="s">
        <v>24</v>
      </c>
      <c r="E10" s="117" t="s">
        <v>25</v>
      </c>
      <c r="F10" s="117" t="s">
        <v>25</v>
      </c>
      <c r="G10" s="22" t="s">
        <v>79</v>
      </c>
      <c r="H10" s="22" t="s">
        <v>78</v>
      </c>
      <c r="I10" s="22">
        <f>'MERCADO TE'!$U$7</f>
        <v>6.9259999999999993</v>
      </c>
      <c r="J10" s="15"/>
      <c r="L10" s="20">
        <v>1</v>
      </c>
      <c r="M10" s="20">
        <v>1</v>
      </c>
      <c r="N10" s="20">
        <v>1</v>
      </c>
      <c r="O10" s="20">
        <v>1</v>
      </c>
      <c r="P10" s="20"/>
      <c r="Q10" s="20">
        <v>1.72</v>
      </c>
      <c r="R10" s="20"/>
      <c r="S10" s="20">
        <v>1</v>
      </c>
      <c r="T10" s="20">
        <v>1</v>
      </c>
      <c r="U10" s="20">
        <v>1</v>
      </c>
      <c r="V10" s="20"/>
      <c r="W10" s="20"/>
      <c r="X10" s="20"/>
      <c r="Y10" s="20">
        <v>1</v>
      </c>
      <c r="Z10" s="20"/>
      <c r="AA10" s="20"/>
    </row>
    <row r="11" spans="1:27" ht="11.25" customHeight="1" x14ac:dyDescent="0.25">
      <c r="A11" s="117"/>
      <c r="B11" s="117"/>
      <c r="C11" s="117"/>
      <c r="D11" s="117"/>
      <c r="E11" s="117"/>
      <c r="F11" s="117"/>
      <c r="G11" s="22" t="s">
        <v>91</v>
      </c>
      <c r="H11" s="22" t="s">
        <v>78</v>
      </c>
      <c r="I11" s="22">
        <f>'MERCADO TE'!$U$8</f>
        <v>4.6099999999999994</v>
      </c>
      <c r="J11" s="15"/>
      <c r="L11" s="20">
        <v>1</v>
      </c>
      <c r="M11" s="20">
        <v>1</v>
      </c>
      <c r="N11" s="20">
        <v>1</v>
      </c>
      <c r="O11" s="20">
        <v>1</v>
      </c>
      <c r="P11" s="20"/>
      <c r="Q11" s="20">
        <v>1</v>
      </c>
      <c r="R11" s="20"/>
      <c r="S11" s="20">
        <v>1</v>
      </c>
      <c r="T11" s="20">
        <v>1</v>
      </c>
      <c r="U11" s="20">
        <v>1</v>
      </c>
      <c r="V11" s="20"/>
      <c r="W11" s="20"/>
      <c r="X11" s="20"/>
      <c r="Y11" s="20">
        <v>1</v>
      </c>
      <c r="Z11" s="20"/>
      <c r="AA11" s="20"/>
    </row>
    <row r="12" spans="1:27" ht="11.25" customHeight="1" x14ac:dyDescent="0.25">
      <c r="A12" s="117"/>
      <c r="B12" s="117"/>
      <c r="C12" s="117"/>
      <c r="D12" s="117"/>
      <c r="E12" s="117"/>
      <c r="F12" s="117"/>
      <c r="G12" s="22" t="s">
        <v>80</v>
      </c>
      <c r="H12" s="22" t="s">
        <v>78</v>
      </c>
      <c r="I12" s="22">
        <f>'MERCADO TE'!$U$9</f>
        <v>73.14200000000001</v>
      </c>
      <c r="J12" s="15"/>
      <c r="L12" s="20">
        <v>1</v>
      </c>
      <c r="M12" s="20">
        <v>1</v>
      </c>
      <c r="N12" s="20">
        <v>1</v>
      </c>
      <c r="O12" s="20">
        <v>1</v>
      </c>
      <c r="P12" s="20"/>
      <c r="Q12" s="20">
        <v>1</v>
      </c>
      <c r="R12" s="20"/>
      <c r="S12" s="20">
        <v>1</v>
      </c>
      <c r="T12" s="20">
        <v>1</v>
      </c>
      <c r="U12" s="20">
        <v>1</v>
      </c>
      <c r="V12" s="20"/>
      <c r="W12" s="20"/>
      <c r="X12" s="20"/>
      <c r="Y12" s="20">
        <v>1</v>
      </c>
      <c r="Z12" s="20"/>
      <c r="AA12" s="20"/>
    </row>
    <row r="13" spans="1:27" ht="11.25" customHeight="1" x14ac:dyDescent="0.25">
      <c r="A13" s="117"/>
      <c r="B13" s="117" t="s">
        <v>86</v>
      </c>
      <c r="C13" s="117" t="s">
        <v>24</v>
      </c>
      <c r="D13" s="23" t="s">
        <v>24</v>
      </c>
      <c r="E13" s="23" t="s">
        <v>25</v>
      </c>
      <c r="F13" s="23" t="s">
        <v>25</v>
      </c>
      <c r="G13" s="22" t="s">
        <v>84</v>
      </c>
      <c r="H13" s="22" t="s">
        <v>78</v>
      </c>
      <c r="I13" s="22">
        <f>'MERCADO TE'!$U$10</f>
        <v>216529.64400000003</v>
      </c>
      <c r="J13" s="15"/>
      <c r="L13" s="20">
        <v>1</v>
      </c>
      <c r="M13" s="20">
        <v>1</v>
      </c>
      <c r="N13" s="20">
        <v>1</v>
      </c>
      <c r="O13" s="20">
        <v>1</v>
      </c>
      <c r="P13" s="20"/>
      <c r="Q13" s="20">
        <v>1.06</v>
      </c>
      <c r="R13" s="20"/>
      <c r="S13" s="20">
        <v>1</v>
      </c>
      <c r="T13" s="20">
        <v>1</v>
      </c>
      <c r="U13" s="20">
        <v>1</v>
      </c>
      <c r="V13" s="20"/>
      <c r="W13" s="20"/>
      <c r="X13" s="20"/>
      <c r="Y13" s="20">
        <v>1</v>
      </c>
      <c r="Z13" s="20"/>
      <c r="AA13" s="20"/>
    </row>
    <row r="14" spans="1:27" ht="11.25" customHeight="1" x14ac:dyDescent="0.25">
      <c r="A14" s="117"/>
      <c r="B14" s="117"/>
      <c r="C14" s="117"/>
      <c r="D14" s="23" t="s">
        <v>29</v>
      </c>
      <c r="E14" s="23" t="s">
        <v>25</v>
      </c>
      <c r="F14" s="23" t="s">
        <v>25</v>
      </c>
      <c r="G14" s="22" t="s">
        <v>84</v>
      </c>
      <c r="H14" s="22" t="s">
        <v>78</v>
      </c>
      <c r="I14" s="22">
        <f>'MERCADO TE'!$U$11</f>
        <v>20401.981000000003</v>
      </c>
      <c r="J14" s="15"/>
      <c r="L14" s="20">
        <f>1 - CUSTOS!$M$24</f>
        <v>1</v>
      </c>
      <c r="M14" s="20">
        <f>1 - CUSTOS!$M$24</f>
        <v>1</v>
      </c>
      <c r="N14" s="20">
        <f>1 - CUSTOS!$M$24</f>
        <v>1</v>
      </c>
      <c r="O14" s="20">
        <f>1 - CUSTOS!$M$24</f>
        <v>1</v>
      </c>
      <c r="P14" s="20"/>
      <c r="Q14" s="20">
        <f>(1 - CUSTOS!$M$24)*1.06</f>
        <v>1.06</v>
      </c>
      <c r="R14" s="20"/>
      <c r="S14" s="20">
        <f>1 - CUSTOS!$M$24</f>
        <v>1</v>
      </c>
      <c r="T14" s="20">
        <f>1 - CUSTOS!$M$24</f>
        <v>1</v>
      </c>
      <c r="U14" s="20">
        <f>1 - CUSTOS!$M$24</f>
        <v>1</v>
      </c>
      <c r="V14" s="20"/>
      <c r="W14" s="20"/>
      <c r="X14" s="20"/>
      <c r="Y14" s="20">
        <f>1 - CUSTOS!$M$24</f>
        <v>1</v>
      </c>
      <c r="Z14" s="20"/>
      <c r="AA14" s="20"/>
    </row>
    <row r="15" spans="1:27" ht="11.25" customHeight="1" x14ac:dyDescent="0.25">
      <c r="A15" s="117"/>
      <c r="B15" s="117"/>
      <c r="C15" s="117"/>
      <c r="D15" s="23" t="s">
        <v>30</v>
      </c>
      <c r="E15" s="23" t="s">
        <v>25</v>
      </c>
      <c r="F15" s="23" t="s">
        <v>25</v>
      </c>
      <c r="G15" s="22" t="s">
        <v>84</v>
      </c>
      <c r="H15" s="22" t="s">
        <v>78</v>
      </c>
      <c r="I15" s="22">
        <f>'MERCADO TE'!$U$12</f>
        <v>32706.754000000004</v>
      </c>
      <c r="J15" s="15"/>
      <c r="L15" s="20">
        <f>1 - CUSTOS!$M$25</f>
        <v>1</v>
      </c>
      <c r="M15" s="20">
        <f>1 - CUSTOS!$M$25</f>
        <v>1</v>
      </c>
      <c r="N15" s="20">
        <f>1 - CUSTOS!$M$25</f>
        <v>1</v>
      </c>
      <c r="O15" s="20">
        <f>1 - CUSTOS!$M$25</f>
        <v>1</v>
      </c>
      <c r="P15" s="20"/>
      <c r="Q15" s="20">
        <f>(1 - CUSTOS!$M$25)*1.06</f>
        <v>1.06</v>
      </c>
      <c r="R15" s="20"/>
      <c r="S15" s="20">
        <f>1 - CUSTOS!$M$25</f>
        <v>1</v>
      </c>
      <c r="T15" s="20">
        <f>1 - CUSTOS!$M$25</f>
        <v>1</v>
      </c>
      <c r="U15" s="20">
        <f>1 - CUSTOS!$M$25</f>
        <v>1</v>
      </c>
      <c r="V15" s="20"/>
      <c r="W15" s="20"/>
      <c r="X15" s="20"/>
      <c r="Y15" s="20">
        <f>1 - CUSTOS!$M$25</f>
        <v>1</v>
      </c>
      <c r="Z15" s="20"/>
      <c r="AA15" s="20"/>
    </row>
    <row r="16" spans="1:27" ht="11.25" customHeight="1" x14ac:dyDescent="0.25">
      <c r="A16" s="117"/>
      <c r="B16" s="117"/>
      <c r="C16" s="117"/>
      <c r="D16" s="23" t="s">
        <v>31</v>
      </c>
      <c r="E16" s="23" t="s">
        <v>25</v>
      </c>
      <c r="F16" s="23" t="s">
        <v>25</v>
      </c>
      <c r="G16" s="22" t="s">
        <v>84</v>
      </c>
      <c r="H16" s="22" t="s">
        <v>78</v>
      </c>
      <c r="I16" s="22">
        <f>'MERCADO TE'!$U$13</f>
        <v>13213.162</v>
      </c>
      <c r="J16" s="15"/>
      <c r="L16" s="20">
        <f>1 - CUSTOS!$M$26</f>
        <v>1</v>
      </c>
      <c r="M16" s="20">
        <f>1 - CUSTOS!$M$26</f>
        <v>1</v>
      </c>
      <c r="N16" s="20">
        <f>1 - CUSTOS!$M$26</f>
        <v>1</v>
      </c>
      <c r="O16" s="20">
        <f>1 - CUSTOS!$M$26</f>
        <v>1</v>
      </c>
      <c r="P16" s="20"/>
      <c r="Q16" s="20">
        <f>(1 - CUSTOS!$M$26)*1.06</f>
        <v>1.06</v>
      </c>
      <c r="R16" s="20"/>
      <c r="S16" s="20">
        <f>1 - CUSTOS!$M$26</f>
        <v>1</v>
      </c>
      <c r="T16" s="20">
        <f>1 - CUSTOS!$M$26</f>
        <v>1</v>
      </c>
      <c r="U16" s="20">
        <f>1 - CUSTOS!$M$26</f>
        <v>1</v>
      </c>
      <c r="V16" s="20"/>
      <c r="W16" s="20"/>
      <c r="X16" s="20"/>
      <c r="Y16" s="20">
        <f>1 - CUSTOS!$M$26</f>
        <v>1</v>
      </c>
      <c r="Z16" s="20"/>
      <c r="AA16" s="20"/>
    </row>
    <row r="17" spans="1:27" ht="11.25" customHeight="1" x14ac:dyDescent="0.25">
      <c r="A17" s="117"/>
      <c r="B17" s="117"/>
      <c r="C17" s="117"/>
      <c r="D17" s="23" t="s">
        <v>32</v>
      </c>
      <c r="E17" s="23" t="s">
        <v>25</v>
      </c>
      <c r="F17" s="23" t="s">
        <v>25</v>
      </c>
      <c r="G17" s="22" t="s">
        <v>84</v>
      </c>
      <c r="H17" s="22" t="s">
        <v>78</v>
      </c>
      <c r="I17" s="22">
        <f>'MERCADO TE'!$U$14</f>
        <v>2931.0630000000001</v>
      </c>
      <c r="J17" s="15"/>
      <c r="L17" s="20">
        <f>1 - CUSTOS!$M$27</f>
        <v>1</v>
      </c>
      <c r="M17" s="20">
        <f>1 - CUSTOS!$M$27</f>
        <v>1</v>
      </c>
      <c r="N17" s="20">
        <f>1 - CUSTOS!$M$27</f>
        <v>1</v>
      </c>
      <c r="O17" s="20">
        <f>1 - CUSTOS!$M$27</f>
        <v>1</v>
      </c>
      <c r="P17" s="20"/>
      <c r="Q17" s="20">
        <f>(1 - CUSTOS!$M$27)*1.06</f>
        <v>1.06</v>
      </c>
      <c r="R17" s="20"/>
      <c r="S17" s="20">
        <f>1 - CUSTOS!$M$27</f>
        <v>1</v>
      </c>
      <c r="T17" s="20">
        <f>1 - CUSTOS!$M$27</f>
        <v>1</v>
      </c>
      <c r="U17" s="20">
        <f>1 - CUSTOS!$M$27</f>
        <v>1</v>
      </c>
      <c r="V17" s="20"/>
      <c r="W17" s="20"/>
      <c r="X17" s="20"/>
      <c r="Y17" s="20">
        <f>1 - CUSTOS!$M$27</f>
        <v>1</v>
      </c>
      <c r="Z17" s="20"/>
      <c r="AA17" s="20"/>
    </row>
    <row r="18" spans="1:27" ht="11.25" customHeight="1" x14ac:dyDescent="0.25">
      <c r="A18" s="117"/>
      <c r="B18" s="117" t="s">
        <v>92</v>
      </c>
      <c r="C18" s="117" t="s">
        <v>24</v>
      </c>
      <c r="D18" s="23" t="s">
        <v>24</v>
      </c>
      <c r="E18" s="23" t="s">
        <v>25</v>
      </c>
      <c r="F18" s="23" t="s">
        <v>25</v>
      </c>
      <c r="G18" s="22" t="s">
        <v>84</v>
      </c>
      <c r="H18" s="22" t="s">
        <v>78</v>
      </c>
      <c r="I18" s="22">
        <f>'MERCADO TE'!$U$15</f>
        <v>0</v>
      </c>
      <c r="J18" s="15"/>
      <c r="L18" s="20">
        <v>1</v>
      </c>
      <c r="M18" s="20">
        <v>1</v>
      </c>
      <c r="N18" s="20">
        <v>1</v>
      </c>
      <c r="O18" s="20">
        <v>1</v>
      </c>
      <c r="P18" s="20"/>
      <c r="Q18" s="20">
        <v>1.06</v>
      </c>
      <c r="R18" s="20"/>
      <c r="S18" s="20">
        <v>1</v>
      </c>
      <c r="T18" s="20">
        <v>1</v>
      </c>
      <c r="U18" s="20">
        <v>1</v>
      </c>
      <c r="V18" s="20"/>
      <c r="W18" s="20"/>
      <c r="X18" s="20"/>
      <c r="Y18" s="20">
        <v>1</v>
      </c>
      <c r="Z18" s="20"/>
      <c r="AA18" s="20"/>
    </row>
    <row r="19" spans="1:27" ht="11.25" customHeight="1" x14ac:dyDescent="0.25">
      <c r="A19" s="117"/>
      <c r="B19" s="117"/>
      <c r="C19" s="117"/>
      <c r="D19" s="23" t="s">
        <v>29</v>
      </c>
      <c r="E19" s="23" t="s">
        <v>25</v>
      </c>
      <c r="F19" s="23" t="s">
        <v>25</v>
      </c>
      <c r="G19" s="22" t="s">
        <v>84</v>
      </c>
      <c r="H19" s="22" t="s">
        <v>78</v>
      </c>
      <c r="I19" s="22">
        <f>'MERCADO TE'!$U$16</f>
        <v>0</v>
      </c>
      <c r="J19" s="15"/>
      <c r="L19" s="20">
        <f>1 - CUSTOS!$M$24</f>
        <v>1</v>
      </c>
      <c r="M19" s="20">
        <f>1 - CUSTOS!$M$24</f>
        <v>1</v>
      </c>
      <c r="N19" s="20">
        <f>1 - CUSTOS!$M$24</f>
        <v>1</v>
      </c>
      <c r="O19" s="20">
        <f>1 - CUSTOS!$M$24</f>
        <v>1</v>
      </c>
      <c r="P19" s="20"/>
      <c r="Q19" s="20">
        <f>(1 - CUSTOS!$M$24)*1.06</f>
        <v>1.06</v>
      </c>
      <c r="R19" s="20"/>
      <c r="S19" s="20">
        <f>1 - CUSTOS!$M$24</f>
        <v>1</v>
      </c>
      <c r="T19" s="20">
        <f>1 - CUSTOS!$M$24</f>
        <v>1</v>
      </c>
      <c r="U19" s="20">
        <f>1 - CUSTOS!$M$24</f>
        <v>1</v>
      </c>
      <c r="V19" s="20"/>
      <c r="W19" s="20"/>
      <c r="X19" s="20"/>
      <c r="Y19" s="20">
        <f>1 - CUSTOS!$M$24</f>
        <v>1</v>
      </c>
      <c r="Z19" s="20"/>
      <c r="AA19" s="20"/>
    </row>
    <row r="20" spans="1:27" ht="11.25" customHeight="1" x14ac:dyDescent="0.25">
      <c r="A20" s="117"/>
      <c r="B20" s="117"/>
      <c r="C20" s="117"/>
      <c r="D20" s="23" t="s">
        <v>30</v>
      </c>
      <c r="E20" s="23" t="s">
        <v>25</v>
      </c>
      <c r="F20" s="23" t="s">
        <v>25</v>
      </c>
      <c r="G20" s="22" t="s">
        <v>84</v>
      </c>
      <c r="H20" s="22" t="s">
        <v>78</v>
      </c>
      <c r="I20" s="22">
        <f>'MERCADO TE'!$U$17</f>
        <v>0</v>
      </c>
      <c r="J20" s="15"/>
      <c r="L20" s="20">
        <f>1 - CUSTOS!$M$25</f>
        <v>1</v>
      </c>
      <c r="M20" s="20">
        <f>1 - CUSTOS!$M$25</f>
        <v>1</v>
      </c>
      <c r="N20" s="20">
        <f>1 - CUSTOS!$M$25</f>
        <v>1</v>
      </c>
      <c r="O20" s="20">
        <f>1 - CUSTOS!$M$25</f>
        <v>1</v>
      </c>
      <c r="P20" s="20"/>
      <c r="Q20" s="20">
        <f>(1 - CUSTOS!$M$25)*1.06</f>
        <v>1.06</v>
      </c>
      <c r="R20" s="20"/>
      <c r="S20" s="20">
        <f>1 - CUSTOS!$M$25</f>
        <v>1</v>
      </c>
      <c r="T20" s="20">
        <f>1 - CUSTOS!$M$25</f>
        <v>1</v>
      </c>
      <c r="U20" s="20">
        <f>1 - CUSTOS!$M$25</f>
        <v>1</v>
      </c>
      <c r="V20" s="20"/>
      <c r="W20" s="20"/>
      <c r="X20" s="20"/>
      <c r="Y20" s="20">
        <f>1 - CUSTOS!$M$25</f>
        <v>1</v>
      </c>
      <c r="Z20" s="20"/>
      <c r="AA20" s="20"/>
    </row>
    <row r="21" spans="1:27" ht="11.25" customHeight="1" x14ac:dyDescent="0.25">
      <c r="A21" s="117"/>
      <c r="B21" s="117"/>
      <c r="C21" s="117"/>
      <c r="D21" s="23" t="s">
        <v>31</v>
      </c>
      <c r="E21" s="23" t="s">
        <v>25</v>
      </c>
      <c r="F21" s="23" t="s">
        <v>25</v>
      </c>
      <c r="G21" s="22" t="s">
        <v>84</v>
      </c>
      <c r="H21" s="22" t="s">
        <v>78</v>
      </c>
      <c r="I21" s="22">
        <f>'MERCADO TE'!$U$18</f>
        <v>0</v>
      </c>
      <c r="J21" s="15"/>
      <c r="L21" s="20">
        <f>1 - CUSTOS!$M$26</f>
        <v>1</v>
      </c>
      <c r="M21" s="20">
        <f>1 - CUSTOS!$M$26</f>
        <v>1</v>
      </c>
      <c r="N21" s="20">
        <f>1 - CUSTOS!$M$26</f>
        <v>1</v>
      </c>
      <c r="O21" s="20">
        <f>1 - CUSTOS!$M$26</f>
        <v>1</v>
      </c>
      <c r="P21" s="20"/>
      <c r="Q21" s="20">
        <f>(1 - CUSTOS!$M$26)*1.06</f>
        <v>1.06</v>
      </c>
      <c r="R21" s="20"/>
      <c r="S21" s="20">
        <f>1 - CUSTOS!$M$26</f>
        <v>1</v>
      </c>
      <c r="T21" s="20">
        <f>1 - CUSTOS!$M$26</f>
        <v>1</v>
      </c>
      <c r="U21" s="20">
        <f>1 - CUSTOS!$M$26</f>
        <v>1</v>
      </c>
      <c r="V21" s="20"/>
      <c r="W21" s="20"/>
      <c r="X21" s="20"/>
      <c r="Y21" s="20">
        <f>1 - CUSTOS!$M$26</f>
        <v>1</v>
      </c>
      <c r="Z21" s="20"/>
      <c r="AA21" s="20"/>
    </row>
    <row r="22" spans="1:27" ht="11.25" customHeight="1" x14ac:dyDescent="0.25">
      <c r="A22" s="117"/>
      <c r="B22" s="117"/>
      <c r="C22" s="117"/>
      <c r="D22" s="23" t="s">
        <v>32</v>
      </c>
      <c r="E22" s="23" t="s">
        <v>25</v>
      </c>
      <c r="F22" s="23" t="s">
        <v>25</v>
      </c>
      <c r="G22" s="22" t="s">
        <v>84</v>
      </c>
      <c r="H22" s="22" t="s">
        <v>78</v>
      </c>
      <c r="I22" s="22">
        <f>'MERCADO TE'!$U$19</f>
        <v>0</v>
      </c>
      <c r="J22" s="15"/>
      <c r="L22" s="20">
        <f>1 - CUSTOS!$M$27</f>
        <v>1</v>
      </c>
      <c r="M22" s="20">
        <f>1 - CUSTOS!$M$27</f>
        <v>1</v>
      </c>
      <c r="N22" s="20">
        <f>1 - CUSTOS!$M$27</f>
        <v>1</v>
      </c>
      <c r="O22" s="20">
        <f>1 - CUSTOS!$M$27</f>
        <v>1</v>
      </c>
      <c r="P22" s="20"/>
      <c r="Q22" s="20">
        <f>(1 - CUSTOS!$M$27)*1.06</f>
        <v>1.06</v>
      </c>
      <c r="R22" s="20"/>
      <c r="S22" s="20">
        <f>1 - CUSTOS!$M$27</f>
        <v>1</v>
      </c>
      <c r="T22" s="20">
        <f>1 - CUSTOS!$M$27</f>
        <v>1</v>
      </c>
      <c r="U22" s="20">
        <f>1 - CUSTOS!$M$27</f>
        <v>1</v>
      </c>
      <c r="V22" s="20"/>
      <c r="W22" s="20"/>
      <c r="X22" s="20"/>
      <c r="Y22" s="20">
        <f>1 - CUSTOS!$M$27</f>
        <v>1</v>
      </c>
      <c r="Z22" s="20"/>
      <c r="AA22" s="20"/>
    </row>
    <row r="23" spans="1:27" ht="11.25" customHeight="1" x14ac:dyDescent="0.25">
      <c r="A23" s="117" t="s">
        <v>43</v>
      </c>
      <c r="B23" s="117" t="s">
        <v>77</v>
      </c>
      <c r="C23" s="117" t="s">
        <v>44</v>
      </c>
      <c r="D23" s="117" t="s">
        <v>25</v>
      </c>
      <c r="E23" s="117" t="s">
        <v>25</v>
      </c>
      <c r="F23" s="117" t="s">
        <v>25</v>
      </c>
      <c r="G23" s="22" t="s">
        <v>79</v>
      </c>
      <c r="H23" s="22" t="s">
        <v>78</v>
      </c>
      <c r="I23" s="22">
        <f>'MERCADO TE'!$U$20</f>
        <v>0.16600000000000004</v>
      </c>
      <c r="J23" s="15"/>
      <c r="L23" s="20">
        <f>1 - CUSTOS!$M$28</f>
        <v>1</v>
      </c>
      <c r="M23" s="20">
        <f>1 - CUSTOS!$M$28</f>
        <v>1</v>
      </c>
      <c r="N23" s="20">
        <f>1 - CUSTOS!$M$28</f>
        <v>1</v>
      </c>
      <c r="O23" s="20">
        <f>1 - CUSTOS!$M$28</f>
        <v>1</v>
      </c>
      <c r="P23" s="20"/>
      <c r="Q23" s="20">
        <f>(1 - CUSTOS!$M$28)*1.72</f>
        <v>1.72</v>
      </c>
      <c r="R23" s="20"/>
      <c r="S23" s="20">
        <f>1 - CUSTOS!$M$28</f>
        <v>1</v>
      </c>
      <c r="T23" s="20">
        <f>1 - CUSTOS!$M$28</f>
        <v>1</v>
      </c>
      <c r="U23" s="20">
        <f>1 - CUSTOS!$M$28</f>
        <v>1</v>
      </c>
      <c r="V23" s="20"/>
      <c r="W23" s="20"/>
      <c r="X23" s="20"/>
      <c r="Y23" s="20">
        <f>1 - CUSTOS!$M$28</f>
        <v>1</v>
      </c>
      <c r="Z23" s="20"/>
      <c r="AA23" s="20"/>
    </row>
    <row r="24" spans="1:27" ht="11.25" customHeight="1" x14ac:dyDescent="0.25">
      <c r="A24" s="117"/>
      <c r="B24" s="117"/>
      <c r="C24" s="117"/>
      <c r="D24" s="117"/>
      <c r="E24" s="117"/>
      <c r="F24" s="117"/>
      <c r="G24" s="22" t="s">
        <v>91</v>
      </c>
      <c r="H24" s="22" t="s">
        <v>78</v>
      </c>
      <c r="I24" s="22">
        <f>'MERCADO TE'!$U$21</f>
        <v>0.14499999999999999</v>
      </c>
      <c r="J24" s="15"/>
      <c r="L24" s="20">
        <f>1 - CUSTOS!$M$28</f>
        <v>1</v>
      </c>
      <c r="M24" s="20">
        <f>1 - CUSTOS!$M$28</f>
        <v>1</v>
      </c>
      <c r="N24" s="20">
        <f>1 - CUSTOS!$M$28</f>
        <v>1</v>
      </c>
      <c r="O24" s="20">
        <f>1 - CUSTOS!$M$28</f>
        <v>1</v>
      </c>
      <c r="P24" s="20"/>
      <c r="Q24" s="20">
        <f>(1 - CUSTOS!$M$28)*1</f>
        <v>1</v>
      </c>
      <c r="R24" s="20"/>
      <c r="S24" s="20">
        <f>1 - CUSTOS!$M$28</f>
        <v>1</v>
      </c>
      <c r="T24" s="20">
        <f>1 - CUSTOS!$M$28</f>
        <v>1</v>
      </c>
      <c r="U24" s="20">
        <f>1 - CUSTOS!$M$28</f>
        <v>1</v>
      </c>
      <c r="V24" s="20"/>
      <c r="W24" s="20"/>
      <c r="X24" s="20"/>
      <c r="Y24" s="20">
        <f>1 - CUSTOS!$M$28</f>
        <v>1</v>
      </c>
      <c r="Z24" s="20"/>
      <c r="AA24" s="20"/>
    </row>
    <row r="25" spans="1:27" ht="11.25" customHeight="1" x14ac:dyDescent="0.25">
      <c r="A25" s="117"/>
      <c r="B25" s="117"/>
      <c r="C25" s="117"/>
      <c r="D25" s="117"/>
      <c r="E25" s="117"/>
      <c r="F25" s="117"/>
      <c r="G25" s="22" t="s">
        <v>80</v>
      </c>
      <c r="H25" s="22" t="s">
        <v>78</v>
      </c>
      <c r="I25" s="22">
        <f>'MERCADO TE'!$U$22</f>
        <v>3.37</v>
      </c>
      <c r="J25" s="15"/>
      <c r="L25" s="20">
        <f>1 - CUSTOS!$M$28</f>
        <v>1</v>
      </c>
      <c r="M25" s="20">
        <f>1 - CUSTOS!$M$28</f>
        <v>1</v>
      </c>
      <c r="N25" s="20">
        <f>1 - CUSTOS!$M$28</f>
        <v>1</v>
      </c>
      <c r="O25" s="20">
        <f>1 - CUSTOS!$M$28</f>
        <v>1</v>
      </c>
      <c r="P25" s="20"/>
      <c r="Q25" s="20">
        <f>(1 - CUSTOS!$M$28)*1</f>
        <v>1</v>
      </c>
      <c r="R25" s="20"/>
      <c r="S25" s="20">
        <f>1 - CUSTOS!$M$28</f>
        <v>1</v>
      </c>
      <c r="T25" s="20">
        <f>1 - CUSTOS!$M$28</f>
        <v>1</v>
      </c>
      <c r="U25" s="20">
        <f>1 - CUSTOS!$M$28</f>
        <v>1</v>
      </c>
      <c r="V25" s="20"/>
      <c r="W25" s="20"/>
      <c r="X25" s="20"/>
      <c r="Y25" s="20">
        <f>1 - CUSTOS!$M$28</f>
        <v>1</v>
      </c>
      <c r="Z25" s="20"/>
      <c r="AA25" s="20"/>
    </row>
    <row r="26" spans="1:27" ht="11.25" customHeight="1" x14ac:dyDescent="0.25">
      <c r="A26" s="117"/>
      <c r="B26" s="23" t="s">
        <v>86</v>
      </c>
      <c r="C26" s="23" t="s">
        <v>44</v>
      </c>
      <c r="D26" s="23" t="s">
        <v>25</v>
      </c>
      <c r="E26" s="23" t="s">
        <v>25</v>
      </c>
      <c r="F26" s="23" t="s">
        <v>25</v>
      </c>
      <c r="G26" s="22" t="s">
        <v>84</v>
      </c>
      <c r="H26" s="22" t="s">
        <v>78</v>
      </c>
      <c r="I26" s="22">
        <f>'MERCADO TE'!$U$23</f>
        <v>23741.584000000003</v>
      </c>
      <c r="J26" s="15"/>
      <c r="L26" s="20">
        <f>1 - CUSTOS!$M$28</f>
        <v>1</v>
      </c>
      <c r="M26" s="20">
        <f>1 - CUSTOS!$M$28</f>
        <v>1</v>
      </c>
      <c r="N26" s="20">
        <f>1 - CUSTOS!$M$28</f>
        <v>1</v>
      </c>
      <c r="O26" s="20">
        <f>1 - CUSTOS!$M$28</f>
        <v>1</v>
      </c>
      <c r="P26" s="20"/>
      <c r="Q26" s="20">
        <f>(1 - CUSTOS!$M$28)*1.06</f>
        <v>1.06</v>
      </c>
      <c r="R26" s="20"/>
      <c r="S26" s="20">
        <f>1 - CUSTOS!$M$28</f>
        <v>1</v>
      </c>
      <c r="T26" s="20">
        <f>1 - CUSTOS!$M$28</f>
        <v>1</v>
      </c>
      <c r="U26" s="20">
        <f>1 - CUSTOS!$M$28</f>
        <v>1</v>
      </c>
      <c r="V26" s="20"/>
      <c r="W26" s="20"/>
      <c r="X26" s="20"/>
      <c r="Y26" s="20">
        <f>1 - CUSTOS!$M$28</f>
        <v>1</v>
      </c>
      <c r="Z26" s="20"/>
      <c r="AA26" s="20"/>
    </row>
    <row r="27" spans="1:27" ht="11.25" customHeight="1" x14ac:dyDescent="0.25">
      <c r="A27" s="117"/>
      <c r="B27" s="117" t="s">
        <v>77</v>
      </c>
      <c r="C27" s="117" t="s">
        <v>44</v>
      </c>
      <c r="D27" s="117" t="s">
        <v>94</v>
      </c>
      <c r="E27" s="117" t="s">
        <v>25</v>
      </c>
      <c r="F27" s="117" t="s">
        <v>25</v>
      </c>
      <c r="G27" s="22" t="s">
        <v>79</v>
      </c>
      <c r="H27" s="22" t="s">
        <v>78</v>
      </c>
      <c r="I27" s="22">
        <f>'MERCADO TE'!$U$24</f>
        <v>0</v>
      </c>
      <c r="J27" s="15"/>
      <c r="L27" s="20">
        <f>1 - CUSTOS!$M$29</f>
        <v>1</v>
      </c>
      <c r="M27" s="20">
        <f>1 - CUSTOS!$M$29</f>
        <v>1</v>
      </c>
      <c r="N27" s="20">
        <f>1 - CUSTOS!$M$29</f>
        <v>1</v>
      </c>
      <c r="O27" s="20">
        <f>1 - CUSTOS!$M$29</f>
        <v>1</v>
      </c>
      <c r="P27" s="20"/>
      <c r="Q27" s="20">
        <f>(1 - CUSTOS!$M$29)*1.72</f>
        <v>1.72</v>
      </c>
      <c r="R27" s="20"/>
      <c r="S27" s="20">
        <f>1 - CUSTOS!$M$29</f>
        <v>1</v>
      </c>
      <c r="T27" s="20">
        <f>1 - CUSTOS!$M$29</f>
        <v>1</v>
      </c>
      <c r="U27" s="20">
        <f>1 - CUSTOS!$M$29</f>
        <v>1</v>
      </c>
      <c r="V27" s="20"/>
      <c r="W27" s="20"/>
      <c r="X27" s="20"/>
      <c r="Y27" s="20">
        <f>1 - CUSTOS!$M$29</f>
        <v>1</v>
      </c>
      <c r="Z27" s="20"/>
      <c r="AA27" s="20"/>
    </row>
    <row r="28" spans="1:27" ht="11.25" customHeight="1" x14ac:dyDescent="0.25">
      <c r="A28" s="117"/>
      <c r="B28" s="117"/>
      <c r="C28" s="117"/>
      <c r="D28" s="117"/>
      <c r="E28" s="117"/>
      <c r="F28" s="117"/>
      <c r="G28" s="22" t="s">
        <v>91</v>
      </c>
      <c r="H28" s="22" t="s">
        <v>78</v>
      </c>
      <c r="I28" s="22">
        <f>'MERCADO TE'!$U$25</f>
        <v>0</v>
      </c>
      <c r="J28" s="15"/>
      <c r="L28" s="20">
        <f>1 - CUSTOS!$M$29</f>
        <v>1</v>
      </c>
      <c r="M28" s="20">
        <f>1 - CUSTOS!$M$29</f>
        <v>1</v>
      </c>
      <c r="N28" s="20">
        <f>1 - CUSTOS!$M$29</f>
        <v>1</v>
      </c>
      <c r="O28" s="20">
        <f>1 - CUSTOS!$M$29</f>
        <v>1</v>
      </c>
      <c r="P28" s="20"/>
      <c r="Q28" s="20">
        <f>(1 - CUSTOS!$M$29)*1</f>
        <v>1</v>
      </c>
      <c r="R28" s="20"/>
      <c r="S28" s="20">
        <f>1 - CUSTOS!$M$29</f>
        <v>1</v>
      </c>
      <c r="T28" s="20">
        <f>1 - CUSTOS!$M$29</f>
        <v>1</v>
      </c>
      <c r="U28" s="20">
        <f>1 - CUSTOS!$M$29</f>
        <v>1</v>
      </c>
      <c r="V28" s="20"/>
      <c r="W28" s="20"/>
      <c r="X28" s="20"/>
      <c r="Y28" s="20">
        <f>1 - CUSTOS!$M$29</f>
        <v>1</v>
      </c>
      <c r="Z28" s="20"/>
      <c r="AA28" s="20"/>
    </row>
    <row r="29" spans="1:27" ht="11.25" customHeight="1" x14ac:dyDescent="0.25">
      <c r="A29" s="117"/>
      <c r="B29" s="117"/>
      <c r="C29" s="117"/>
      <c r="D29" s="117"/>
      <c r="E29" s="117"/>
      <c r="F29" s="117"/>
      <c r="G29" s="22" t="s">
        <v>80</v>
      </c>
      <c r="H29" s="22" t="s">
        <v>78</v>
      </c>
      <c r="I29" s="22">
        <f>'MERCADO TE'!$U$26</f>
        <v>0</v>
      </c>
      <c r="J29" s="15"/>
      <c r="L29" s="20">
        <f>1 - CUSTOS!$M$29</f>
        <v>1</v>
      </c>
      <c r="M29" s="20">
        <f>1 - CUSTOS!$M$29</f>
        <v>1</v>
      </c>
      <c r="N29" s="20">
        <f>1 - CUSTOS!$M$29</f>
        <v>1</v>
      </c>
      <c r="O29" s="20">
        <f>1 - CUSTOS!$M$29</f>
        <v>1</v>
      </c>
      <c r="P29" s="20"/>
      <c r="Q29" s="20">
        <f>(1 - CUSTOS!$M$29)*1</f>
        <v>1</v>
      </c>
      <c r="R29" s="20"/>
      <c r="S29" s="20">
        <f>1 - CUSTOS!$M$29</f>
        <v>1</v>
      </c>
      <c r="T29" s="20">
        <f>1 - CUSTOS!$M$29</f>
        <v>1</v>
      </c>
      <c r="U29" s="20">
        <f>1 - CUSTOS!$M$29</f>
        <v>1</v>
      </c>
      <c r="V29" s="20"/>
      <c r="W29" s="20"/>
      <c r="X29" s="20"/>
      <c r="Y29" s="20">
        <f>1 - CUSTOS!$M$29</f>
        <v>1</v>
      </c>
      <c r="Z29" s="20"/>
      <c r="AA29" s="20"/>
    </row>
    <row r="30" spans="1:27" ht="11.25" customHeight="1" x14ac:dyDescent="0.25">
      <c r="A30" s="117"/>
      <c r="B30" s="23" t="s">
        <v>86</v>
      </c>
      <c r="C30" s="23" t="s">
        <v>44</v>
      </c>
      <c r="D30" s="23" t="s">
        <v>94</v>
      </c>
      <c r="E30" s="23" t="s">
        <v>25</v>
      </c>
      <c r="F30" s="23" t="s">
        <v>25</v>
      </c>
      <c r="G30" s="22" t="s">
        <v>84</v>
      </c>
      <c r="H30" s="22" t="s">
        <v>78</v>
      </c>
      <c r="I30" s="22">
        <f>'MERCADO TE'!$U$27</f>
        <v>0</v>
      </c>
      <c r="J30" s="15"/>
      <c r="L30" s="20">
        <f>1 - CUSTOS!$M$29</f>
        <v>1</v>
      </c>
      <c r="M30" s="20">
        <f>1 - CUSTOS!$M$29</f>
        <v>1</v>
      </c>
      <c r="N30" s="20">
        <f>1 - CUSTOS!$M$29</f>
        <v>1</v>
      </c>
      <c r="O30" s="20">
        <f>1 - CUSTOS!$M$29</f>
        <v>1</v>
      </c>
      <c r="P30" s="20"/>
      <c r="Q30" s="20">
        <f>(1 - CUSTOS!$M$29)*1.06</f>
        <v>1.06</v>
      </c>
      <c r="R30" s="20"/>
      <c r="S30" s="20">
        <f>1 - CUSTOS!$M$29</f>
        <v>1</v>
      </c>
      <c r="T30" s="20">
        <f>1 - CUSTOS!$M$29</f>
        <v>1</v>
      </c>
      <c r="U30" s="20">
        <f>1 - CUSTOS!$M$29</f>
        <v>1</v>
      </c>
      <c r="V30" s="20"/>
      <c r="W30" s="20"/>
      <c r="X30" s="20"/>
      <c r="Y30" s="20">
        <f>1 - CUSTOS!$M$29</f>
        <v>1</v>
      </c>
      <c r="Z30" s="20"/>
      <c r="AA30" s="20"/>
    </row>
    <row r="31" spans="1:27" ht="11.25" customHeight="1" x14ac:dyDescent="0.25">
      <c r="A31" s="117"/>
      <c r="B31" s="117" t="s">
        <v>77</v>
      </c>
      <c r="C31" s="117" t="s">
        <v>44</v>
      </c>
      <c r="D31" s="117" t="s">
        <v>95</v>
      </c>
      <c r="E31" s="117" t="s">
        <v>25</v>
      </c>
      <c r="F31" s="117" t="s">
        <v>25</v>
      </c>
      <c r="G31" s="22" t="s">
        <v>79</v>
      </c>
      <c r="H31" s="22" t="s">
        <v>78</v>
      </c>
      <c r="I31" s="22">
        <f>'MERCADO TE'!$U$28</f>
        <v>0</v>
      </c>
      <c r="J31" s="15"/>
      <c r="L31" s="20">
        <f>1 - CUSTOS!$M$30</f>
        <v>1</v>
      </c>
      <c r="M31" s="20">
        <f>1 - CUSTOS!$M$30</f>
        <v>1</v>
      </c>
      <c r="N31" s="20">
        <f>1 - CUSTOS!$M$30</f>
        <v>1</v>
      </c>
      <c r="O31" s="20">
        <f>1 - CUSTOS!$M$30</f>
        <v>1</v>
      </c>
      <c r="P31" s="20"/>
      <c r="Q31" s="20">
        <f>(1 - CUSTOS!$M$30)*1.72</f>
        <v>1.72</v>
      </c>
      <c r="R31" s="20"/>
      <c r="S31" s="20">
        <f>1 - CUSTOS!$M$30</f>
        <v>1</v>
      </c>
      <c r="T31" s="20">
        <f>1 - CUSTOS!$M$30</f>
        <v>1</v>
      </c>
      <c r="U31" s="20">
        <f>1 - CUSTOS!$M$30</f>
        <v>1</v>
      </c>
      <c r="V31" s="20"/>
      <c r="W31" s="20"/>
      <c r="X31" s="20"/>
      <c r="Y31" s="20">
        <f>1 - CUSTOS!$M$30</f>
        <v>1</v>
      </c>
      <c r="Z31" s="20"/>
      <c r="AA31" s="20"/>
    </row>
    <row r="32" spans="1:27" ht="11.25" customHeight="1" x14ac:dyDescent="0.25">
      <c r="A32" s="117"/>
      <c r="B32" s="117"/>
      <c r="C32" s="117"/>
      <c r="D32" s="117"/>
      <c r="E32" s="117"/>
      <c r="F32" s="117"/>
      <c r="G32" s="22" t="s">
        <v>91</v>
      </c>
      <c r="H32" s="22" t="s">
        <v>78</v>
      </c>
      <c r="I32" s="22">
        <f>'MERCADO TE'!$U$29</f>
        <v>0</v>
      </c>
      <c r="J32" s="15"/>
      <c r="L32" s="20">
        <f>1 - CUSTOS!$M$30</f>
        <v>1</v>
      </c>
      <c r="M32" s="20">
        <f>1 - CUSTOS!$M$30</f>
        <v>1</v>
      </c>
      <c r="N32" s="20">
        <f>1 - CUSTOS!$M$30</f>
        <v>1</v>
      </c>
      <c r="O32" s="20">
        <f>1 - CUSTOS!$M$30</f>
        <v>1</v>
      </c>
      <c r="P32" s="20"/>
      <c r="Q32" s="20">
        <f>(1 - CUSTOS!$M$30)*1</f>
        <v>1</v>
      </c>
      <c r="R32" s="20"/>
      <c r="S32" s="20">
        <f>1 - CUSTOS!$M$30</f>
        <v>1</v>
      </c>
      <c r="T32" s="20">
        <f>1 - CUSTOS!$M$30</f>
        <v>1</v>
      </c>
      <c r="U32" s="20">
        <f>1 - CUSTOS!$M$30</f>
        <v>1</v>
      </c>
      <c r="V32" s="20"/>
      <c r="W32" s="20"/>
      <c r="X32" s="20"/>
      <c r="Y32" s="20">
        <f>1 - CUSTOS!$M$30</f>
        <v>1</v>
      </c>
      <c r="Z32" s="20"/>
      <c r="AA32" s="20"/>
    </row>
    <row r="33" spans="1:27" ht="11.25" customHeight="1" x14ac:dyDescent="0.25">
      <c r="A33" s="117"/>
      <c r="B33" s="117"/>
      <c r="C33" s="117"/>
      <c r="D33" s="117"/>
      <c r="E33" s="117"/>
      <c r="F33" s="117"/>
      <c r="G33" s="22" t="s">
        <v>80</v>
      </c>
      <c r="H33" s="22" t="s">
        <v>78</v>
      </c>
      <c r="I33" s="22">
        <f>'MERCADO TE'!$U$30</f>
        <v>0</v>
      </c>
      <c r="J33" s="15"/>
      <c r="L33" s="20">
        <f>1 - CUSTOS!$M$30</f>
        <v>1</v>
      </c>
      <c r="M33" s="20">
        <f>1 - CUSTOS!$M$30</f>
        <v>1</v>
      </c>
      <c r="N33" s="20">
        <f>1 - CUSTOS!$M$30</f>
        <v>1</v>
      </c>
      <c r="O33" s="20">
        <f>1 - CUSTOS!$M$30</f>
        <v>1</v>
      </c>
      <c r="P33" s="20"/>
      <c r="Q33" s="20">
        <f>(1 - CUSTOS!$M$30)*1</f>
        <v>1</v>
      </c>
      <c r="R33" s="20"/>
      <c r="S33" s="20">
        <f>1 - CUSTOS!$M$30</f>
        <v>1</v>
      </c>
      <c r="T33" s="20">
        <f>1 - CUSTOS!$M$30</f>
        <v>1</v>
      </c>
      <c r="U33" s="20">
        <f>1 - CUSTOS!$M$30</f>
        <v>1</v>
      </c>
      <c r="V33" s="20"/>
      <c r="W33" s="20"/>
      <c r="X33" s="20"/>
      <c r="Y33" s="20">
        <f>1 - CUSTOS!$M$30</f>
        <v>1</v>
      </c>
      <c r="Z33" s="20"/>
      <c r="AA33" s="20"/>
    </row>
    <row r="34" spans="1:27" ht="11.25" customHeight="1" x14ac:dyDescent="0.25">
      <c r="A34" s="117"/>
      <c r="B34" s="23" t="s">
        <v>86</v>
      </c>
      <c r="C34" s="23" t="s">
        <v>44</v>
      </c>
      <c r="D34" s="23" t="s">
        <v>95</v>
      </c>
      <c r="E34" s="23" t="s">
        <v>25</v>
      </c>
      <c r="F34" s="23" t="s">
        <v>25</v>
      </c>
      <c r="G34" s="22" t="s">
        <v>84</v>
      </c>
      <c r="H34" s="22" t="s">
        <v>78</v>
      </c>
      <c r="I34" s="22">
        <f>'MERCADO TE'!$U$31</f>
        <v>0</v>
      </c>
      <c r="J34" s="15"/>
      <c r="L34" s="20">
        <f>1 - CUSTOS!$M$30</f>
        <v>1</v>
      </c>
      <c r="M34" s="20">
        <f>1 - CUSTOS!$M$30</f>
        <v>1</v>
      </c>
      <c r="N34" s="20">
        <f>1 - CUSTOS!$M$30</f>
        <v>1</v>
      </c>
      <c r="O34" s="20">
        <f>1 - CUSTOS!$M$30</f>
        <v>1</v>
      </c>
      <c r="P34" s="20"/>
      <c r="Q34" s="20">
        <f>(1 - CUSTOS!$M$30)*1.06</f>
        <v>1.06</v>
      </c>
      <c r="R34" s="20"/>
      <c r="S34" s="20">
        <f>1 - CUSTOS!$M$30</f>
        <v>1</v>
      </c>
      <c r="T34" s="20">
        <f>1 - CUSTOS!$M$30</f>
        <v>1</v>
      </c>
      <c r="U34" s="20">
        <f>1 - CUSTOS!$M$30</f>
        <v>1</v>
      </c>
      <c r="V34" s="20"/>
      <c r="W34" s="20"/>
      <c r="X34" s="20"/>
      <c r="Y34" s="20">
        <f>1 - CUSTOS!$M$30</f>
        <v>1</v>
      </c>
      <c r="Z34" s="20"/>
      <c r="AA34" s="20"/>
    </row>
    <row r="35" spans="1:27" ht="11.25" customHeight="1" x14ac:dyDescent="0.25">
      <c r="A35" s="117"/>
      <c r="B35" s="117" t="s">
        <v>92</v>
      </c>
      <c r="C35" s="117" t="s">
        <v>44</v>
      </c>
      <c r="D35" s="23" t="s">
        <v>25</v>
      </c>
      <c r="E35" s="23" t="s">
        <v>25</v>
      </c>
      <c r="F35" s="23" t="s">
        <v>25</v>
      </c>
      <c r="G35" s="22" t="s">
        <v>84</v>
      </c>
      <c r="H35" s="22" t="s">
        <v>78</v>
      </c>
      <c r="I35" s="22">
        <f>'MERCADO TE'!$U$32</f>
        <v>0</v>
      </c>
      <c r="J35" s="15"/>
      <c r="L35" s="20">
        <f>1 - CUSTOS!$M$28</f>
        <v>1</v>
      </c>
      <c r="M35" s="20">
        <f>1 - CUSTOS!$M$28</f>
        <v>1</v>
      </c>
      <c r="N35" s="20">
        <f>1 - CUSTOS!$M$28</f>
        <v>1</v>
      </c>
      <c r="O35" s="20">
        <f>1 - CUSTOS!$M$28</f>
        <v>1</v>
      </c>
      <c r="P35" s="20"/>
      <c r="Q35" s="20">
        <f>(1 - CUSTOS!$M$28)*1.06</f>
        <v>1.06</v>
      </c>
      <c r="R35" s="20"/>
      <c r="S35" s="20">
        <f>1 - CUSTOS!$M$28</f>
        <v>1</v>
      </c>
      <c r="T35" s="20">
        <f>1 - CUSTOS!$M$28</f>
        <v>1</v>
      </c>
      <c r="U35" s="20">
        <f>1 - CUSTOS!$M$28</f>
        <v>1</v>
      </c>
      <c r="V35" s="20"/>
      <c r="W35" s="20"/>
      <c r="X35" s="20"/>
      <c r="Y35" s="20">
        <f>1 - CUSTOS!$M$28</f>
        <v>1</v>
      </c>
      <c r="Z35" s="20"/>
      <c r="AA35" s="20"/>
    </row>
    <row r="36" spans="1:27" ht="11.25" customHeight="1" x14ac:dyDescent="0.25">
      <c r="A36" s="117"/>
      <c r="B36" s="117"/>
      <c r="C36" s="117"/>
      <c r="D36" s="23" t="s">
        <v>94</v>
      </c>
      <c r="E36" s="23" t="s">
        <v>25</v>
      </c>
      <c r="F36" s="23" t="s">
        <v>25</v>
      </c>
      <c r="G36" s="22" t="s">
        <v>84</v>
      </c>
      <c r="H36" s="22" t="s">
        <v>78</v>
      </c>
      <c r="I36" s="22">
        <f>'MERCADO TE'!$U$33</f>
        <v>0</v>
      </c>
      <c r="J36" s="15"/>
      <c r="L36" s="20">
        <f>1 - CUSTOS!$M$29</f>
        <v>1</v>
      </c>
      <c r="M36" s="20">
        <f>1 - CUSTOS!$M$29</f>
        <v>1</v>
      </c>
      <c r="N36" s="20">
        <f>1 - CUSTOS!$M$29</f>
        <v>1</v>
      </c>
      <c r="O36" s="20">
        <f>1 - CUSTOS!$M$29</f>
        <v>1</v>
      </c>
      <c r="P36" s="20"/>
      <c r="Q36" s="20">
        <f>(1 - CUSTOS!$M$29)*1.06</f>
        <v>1.06</v>
      </c>
      <c r="R36" s="20"/>
      <c r="S36" s="20">
        <f>1 - CUSTOS!$M$29</f>
        <v>1</v>
      </c>
      <c r="T36" s="20">
        <f>1 - CUSTOS!$M$29</f>
        <v>1</v>
      </c>
      <c r="U36" s="20">
        <f>1 - CUSTOS!$M$29</f>
        <v>1</v>
      </c>
      <c r="V36" s="20"/>
      <c r="W36" s="20"/>
      <c r="X36" s="20"/>
      <c r="Y36" s="20">
        <f>1 - CUSTOS!$M$29</f>
        <v>1</v>
      </c>
      <c r="Z36" s="20"/>
      <c r="AA36" s="20"/>
    </row>
    <row r="37" spans="1:27" ht="11.25" customHeight="1" x14ac:dyDescent="0.25">
      <c r="A37" s="117"/>
      <c r="B37" s="117"/>
      <c r="C37" s="117"/>
      <c r="D37" s="23" t="s">
        <v>95</v>
      </c>
      <c r="E37" s="23" t="s">
        <v>25</v>
      </c>
      <c r="F37" s="23" t="s">
        <v>25</v>
      </c>
      <c r="G37" s="22" t="s">
        <v>84</v>
      </c>
      <c r="H37" s="22" t="s">
        <v>78</v>
      </c>
      <c r="I37" s="22">
        <f>'MERCADO TE'!$U$34</f>
        <v>0</v>
      </c>
      <c r="J37" s="15"/>
      <c r="L37" s="20">
        <f>1 - CUSTOS!$M$30</f>
        <v>1</v>
      </c>
      <c r="M37" s="20">
        <f>1 - CUSTOS!$M$30</f>
        <v>1</v>
      </c>
      <c r="N37" s="20">
        <f>1 - CUSTOS!$M$30</f>
        <v>1</v>
      </c>
      <c r="O37" s="20">
        <f>1 - CUSTOS!$M$30</f>
        <v>1</v>
      </c>
      <c r="P37" s="20"/>
      <c r="Q37" s="20">
        <f>(1 - CUSTOS!$M$30)*1.06</f>
        <v>1.06</v>
      </c>
      <c r="R37" s="20"/>
      <c r="S37" s="20">
        <f>1 - CUSTOS!$M$30</f>
        <v>1</v>
      </c>
      <c r="T37" s="20">
        <f>1 - CUSTOS!$M$30</f>
        <v>1</v>
      </c>
      <c r="U37" s="20">
        <f>1 - CUSTOS!$M$30</f>
        <v>1</v>
      </c>
      <c r="V37" s="20"/>
      <c r="W37" s="20"/>
      <c r="X37" s="20"/>
      <c r="Y37" s="20">
        <f>1 - CUSTOS!$M$30</f>
        <v>1</v>
      </c>
      <c r="Z37" s="20"/>
      <c r="AA37" s="20"/>
    </row>
    <row r="38" spans="1:27" ht="11.25" customHeight="1" x14ac:dyDescent="0.25">
      <c r="A38" s="117" t="s">
        <v>37</v>
      </c>
      <c r="B38" s="117" t="s">
        <v>77</v>
      </c>
      <c r="C38" s="117" t="s">
        <v>25</v>
      </c>
      <c r="D38" s="117" t="s">
        <v>25</v>
      </c>
      <c r="E38" s="117" t="s">
        <v>25</v>
      </c>
      <c r="F38" s="117" t="s">
        <v>25</v>
      </c>
      <c r="G38" s="22" t="s">
        <v>79</v>
      </c>
      <c r="H38" s="22" t="s">
        <v>78</v>
      </c>
      <c r="I38" s="22">
        <f>'MERCADO TE'!$U$35</f>
        <v>8.0860000000000003</v>
      </c>
      <c r="J38" s="15"/>
      <c r="L38" s="20">
        <f>1 - CUSTOS!$M$31</f>
        <v>1</v>
      </c>
      <c r="M38" s="20">
        <f>1 - CUSTOS!$M$31</f>
        <v>1</v>
      </c>
      <c r="N38" s="20">
        <f>1 - CUSTOS!$M$31</f>
        <v>1</v>
      </c>
      <c r="O38" s="20">
        <f>1 - CUSTOS!$M$31</f>
        <v>1</v>
      </c>
      <c r="P38" s="20"/>
      <c r="Q38" s="20">
        <f>(1 - CUSTOS!$M$31)*1.72</f>
        <v>1.72</v>
      </c>
      <c r="R38" s="20"/>
      <c r="S38" s="20">
        <f>1 - CUSTOS!$M$31</f>
        <v>1</v>
      </c>
      <c r="T38" s="20">
        <f>1 - CUSTOS!$M$31</f>
        <v>1</v>
      </c>
      <c r="U38" s="20">
        <f>1 - CUSTOS!$M$31</f>
        <v>1</v>
      </c>
      <c r="V38" s="20"/>
      <c r="W38" s="20"/>
      <c r="X38" s="20"/>
      <c r="Y38" s="20">
        <f>1 - CUSTOS!$M$31</f>
        <v>1</v>
      </c>
      <c r="Z38" s="20"/>
      <c r="AA38" s="20"/>
    </row>
    <row r="39" spans="1:27" ht="11.25" customHeight="1" x14ac:dyDescent="0.25">
      <c r="A39" s="117"/>
      <c r="B39" s="117"/>
      <c r="C39" s="117"/>
      <c r="D39" s="117"/>
      <c r="E39" s="117"/>
      <c r="F39" s="117"/>
      <c r="G39" s="22" t="s">
        <v>91</v>
      </c>
      <c r="H39" s="22" t="s">
        <v>78</v>
      </c>
      <c r="I39" s="22">
        <f>'MERCADO TE'!$U$36</f>
        <v>8.0350000000000001</v>
      </c>
      <c r="J39" s="15"/>
      <c r="L39" s="20">
        <f>1 - CUSTOS!$M$31</f>
        <v>1</v>
      </c>
      <c r="M39" s="20">
        <f>1 - CUSTOS!$M$31</f>
        <v>1</v>
      </c>
      <c r="N39" s="20">
        <f>1 - CUSTOS!$M$31</f>
        <v>1</v>
      </c>
      <c r="O39" s="20">
        <f>1 - CUSTOS!$M$31</f>
        <v>1</v>
      </c>
      <c r="P39" s="20"/>
      <c r="Q39" s="20">
        <f>(1 - CUSTOS!$M$31)*1</f>
        <v>1</v>
      </c>
      <c r="R39" s="20"/>
      <c r="S39" s="20">
        <f>1 - CUSTOS!$M$31</f>
        <v>1</v>
      </c>
      <c r="T39" s="20">
        <f>1 - CUSTOS!$M$31</f>
        <v>1</v>
      </c>
      <c r="U39" s="20">
        <f>1 - CUSTOS!$M$31</f>
        <v>1</v>
      </c>
      <c r="V39" s="20"/>
      <c r="W39" s="20"/>
      <c r="X39" s="20"/>
      <c r="Y39" s="20">
        <f>1 - CUSTOS!$M$31</f>
        <v>1</v>
      </c>
      <c r="Z39" s="20"/>
      <c r="AA39" s="20"/>
    </row>
    <row r="40" spans="1:27" ht="11.25" customHeight="1" x14ac:dyDescent="0.25">
      <c r="A40" s="117"/>
      <c r="B40" s="117"/>
      <c r="C40" s="117"/>
      <c r="D40" s="117"/>
      <c r="E40" s="117"/>
      <c r="F40" s="117"/>
      <c r="G40" s="22" t="s">
        <v>80</v>
      </c>
      <c r="H40" s="22" t="s">
        <v>78</v>
      </c>
      <c r="I40" s="22">
        <f>'MERCADO TE'!$U$37</f>
        <v>133.73599999999999</v>
      </c>
      <c r="J40" s="15"/>
      <c r="L40" s="20">
        <f>1 - CUSTOS!$M$31</f>
        <v>1</v>
      </c>
      <c r="M40" s="20">
        <f>1 - CUSTOS!$M$31</f>
        <v>1</v>
      </c>
      <c r="N40" s="20">
        <f>1 - CUSTOS!$M$31</f>
        <v>1</v>
      </c>
      <c r="O40" s="20">
        <f>1 - CUSTOS!$M$31</f>
        <v>1</v>
      </c>
      <c r="P40" s="20"/>
      <c r="Q40" s="20">
        <f>(1 - CUSTOS!$M$31)*1</f>
        <v>1</v>
      </c>
      <c r="R40" s="20"/>
      <c r="S40" s="20">
        <f>1 - CUSTOS!$M$31</f>
        <v>1</v>
      </c>
      <c r="T40" s="20">
        <f>1 - CUSTOS!$M$31</f>
        <v>1</v>
      </c>
      <c r="U40" s="20">
        <f>1 - CUSTOS!$M$31</f>
        <v>1</v>
      </c>
      <c r="V40" s="20"/>
      <c r="W40" s="20"/>
      <c r="X40" s="20"/>
      <c r="Y40" s="20">
        <f>1 - CUSTOS!$M$31</f>
        <v>1</v>
      </c>
      <c r="Z40" s="20"/>
      <c r="AA40" s="20"/>
    </row>
    <row r="41" spans="1:27" ht="11.25" customHeight="1" x14ac:dyDescent="0.25">
      <c r="A41" s="117"/>
      <c r="B41" s="23" t="s">
        <v>86</v>
      </c>
      <c r="C41" s="23" t="s">
        <v>25</v>
      </c>
      <c r="D41" s="23" t="s">
        <v>25</v>
      </c>
      <c r="E41" s="23" t="s">
        <v>25</v>
      </c>
      <c r="F41" s="23" t="s">
        <v>25</v>
      </c>
      <c r="G41" s="22" t="s">
        <v>84</v>
      </c>
      <c r="H41" s="22" t="s">
        <v>78</v>
      </c>
      <c r="I41" s="22">
        <f>'MERCADO TE'!$U$38</f>
        <v>94039.850999999995</v>
      </c>
      <c r="J41" s="15"/>
      <c r="L41" s="20">
        <f>1 - CUSTOS!$M$31</f>
        <v>1</v>
      </c>
      <c r="M41" s="20">
        <f>1 - CUSTOS!$M$31</f>
        <v>1</v>
      </c>
      <c r="N41" s="20">
        <f>1 - CUSTOS!$M$31</f>
        <v>1</v>
      </c>
      <c r="O41" s="20">
        <f>1 - CUSTOS!$M$31</f>
        <v>1</v>
      </c>
      <c r="P41" s="20"/>
      <c r="Q41" s="20">
        <f>(1 - CUSTOS!$M$31)*1.06</f>
        <v>1.06</v>
      </c>
      <c r="R41" s="20"/>
      <c r="S41" s="20">
        <f>1 - CUSTOS!$M$31</f>
        <v>1</v>
      </c>
      <c r="T41" s="20">
        <f>1 - CUSTOS!$M$31</f>
        <v>1</v>
      </c>
      <c r="U41" s="20">
        <f>1 - CUSTOS!$M$31</f>
        <v>1</v>
      </c>
      <c r="V41" s="20"/>
      <c r="W41" s="20"/>
      <c r="X41" s="20"/>
      <c r="Y41" s="20">
        <f>1 - CUSTOS!$M$31</f>
        <v>1</v>
      </c>
      <c r="Z41" s="20"/>
      <c r="AA41" s="20"/>
    </row>
    <row r="42" spans="1:27" ht="11.25" customHeight="1" x14ac:dyDescent="0.25">
      <c r="A42" s="117"/>
      <c r="B42" s="23" t="s">
        <v>92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84</v>
      </c>
      <c r="H42" s="22" t="s">
        <v>78</v>
      </c>
      <c r="I42" s="22">
        <f>'MERCADO TE'!$U$39</f>
        <v>0</v>
      </c>
      <c r="J42" s="15"/>
      <c r="L42" s="20">
        <f>1 - CUSTOS!$M$31</f>
        <v>1</v>
      </c>
      <c r="M42" s="20">
        <f>1 - CUSTOS!$M$31</f>
        <v>1</v>
      </c>
      <c r="N42" s="20">
        <f>1 - CUSTOS!$M$31</f>
        <v>1</v>
      </c>
      <c r="O42" s="20">
        <f>1 - CUSTOS!$M$31</f>
        <v>1</v>
      </c>
      <c r="P42" s="20"/>
      <c r="Q42" s="20">
        <f>(1 - CUSTOS!$M$31)*1.06</f>
        <v>1.06</v>
      </c>
      <c r="R42" s="20"/>
      <c r="S42" s="20">
        <f>1 - CUSTOS!$M$31</f>
        <v>1</v>
      </c>
      <c r="T42" s="20">
        <f>1 - CUSTOS!$M$31</f>
        <v>1</v>
      </c>
      <c r="U42" s="20">
        <f>1 - CUSTOS!$M$31</f>
        <v>1</v>
      </c>
      <c r="V42" s="20"/>
      <c r="W42" s="20"/>
      <c r="X42" s="20"/>
      <c r="Y42" s="20">
        <f>1 - CUSTOS!$M$31</f>
        <v>1</v>
      </c>
      <c r="Z42" s="20"/>
      <c r="AA42" s="20"/>
    </row>
    <row r="43" spans="1:27" ht="11.25" customHeight="1" x14ac:dyDescent="0.25">
      <c r="A43" s="117" t="s">
        <v>46</v>
      </c>
      <c r="B43" s="117" t="s">
        <v>86</v>
      </c>
      <c r="C43" s="117" t="s">
        <v>47</v>
      </c>
      <c r="D43" s="23" t="s">
        <v>48</v>
      </c>
      <c r="E43" s="23" t="s">
        <v>25</v>
      </c>
      <c r="F43" s="23" t="s">
        <v>25</v>
      </c>
      <c r="G43" s="22" t="s">
        <v>84</v>
      </c>
      <c r="H43" s="22" t="s">
        <v>78</v>
      </c>
      <c r="I43" s="22">
        <f>'MERCADO TE'!$U$40</f>
        <v>35555.334999999999</v>
      </c>
      <c r="J43" s="15"/>
      <c r="L43" s="20">
        <f>1 - CUSTOS!$M$32</f>
        <v>0.55000000000000004</v>
      </c>
      <c r="M43" s="20">
        <f>1 - CUSTOS!$M$32</f>
        <v>0.55000000000000004</v>
      </c>
      <c r="N43" s="20">
        <f>1 - CUSTOS!$M$32</f>
        <v>0.55000000000000004</v>
      </c>
      <c r="O43" s="20">
        <f>1 - CUSTOS!$M$32</f>
        <v>0.55000000000000004</v>
      </c>
      <c r="P43" s="20"/>
      <c r="Q43" s="20">
        <f>(1 - CUSTOS!$M$32)*1.06</f>
        <v>0.58300000000000007</v>
      </c>
      <c r="R43" s="20"/>
      <c r="S43" s="20">
        <f>1 - CUSTOS!$M$32</f>
        <v>0.55000000000000004</v>
      </c>
      <c r="T43" s="20">
        <f>1 - CUSTOS!$M$32</f>
        <v>0.55000000000000004</v>
      </c>
      <c r="U43" s="20">
        <f>1 - CUSTOS!$M$32</f>
        <v>0.55000000000000004</v>
      </c>
      <c r="V43" s="20"/>
      <c r="W43" s="20"/>
      <c r="X43" s="20"/>
      <c r="Y43" s="20">
        <f>1 - CUSTOS!$M$32</f>
        <v>0.55000000000000004</v>
      </c>
      <c r="Z43" s="20"/>
      <c r="AA43" s="20"/>
    </row>
    <row r="44" spans="1:27" ht="11.25" customHeight="1" x14ac:dyDescent="0.25">
      <c r="A44" s="117"/>
      <c r="B44" s="117"/>
      <c r="C44" s="117"/>
      <c r="D44" s="22" t="s">
        <v>96</v>
      </c>
      <c r="E44" s="22" t="s">
        <v>25</v>
      </c>
      <c r="F44" s="22" t="s">
        <v>25</v>
      </c>
      <c r="G44" s="22" t="s">
        <v>84</v>
      </c>
      <c r="H44" s="22" t="s">
        <v>78</v>
      </c>
      <c r="I44" s="22">
        <f>'MERCADO TE'!$U$41</f>
        <v>0</v>
      </c>
      <c r="J44" s="15"/>
      <c r="L44" s="20">
        <f>1 - CUSTOS!$M$33</f>
        <v>0.6</v>
      </c>
      <c r="M44" s="20">
        <f>1 - CUSTOS!$M$33</f>
        <v>0.6</v>
      </c>
      <c r="N44" s="20">
        <f>1 - CUSTOS!$M$33</f>
        <v>0.6</v>
      </c>
      <c r="O44" s="20">
        <f>1 - CUSTOS!$M$33</f>
        <v>0.6</v>
      </c>
      <c r="P44" s="20"/>
      <c r="Q44" s="20">
        <f>(1 - CUSTOS!$M$33)*1.06</f>
        <v>0.63600000000000001</v>
      </c>
      <c r="R44" s="20"/>
      <c r="S44" s="20">
        <f>1 - CUSTOS!$M$33</f>
        <v>0.6</v>
      </c>
      <c r="T44" s="20">
        <f>1 - CUSTOS!$M$33</f>
        <v>0.6</v>
      </c>
      <c r="U44" s="20">
        <f>1 - CUSTOS!$M$33</f>
        <v>0.6</v>
      </c>
      <c r="V44" s="20"/>
      <c r="W44" s="20"/>
      <c r="X44" s="20"/>
      <c r="Y44" s="20">
        <f>1 - CUSTOS!$M$33</f>
        <v>0.6</v>
      </c>
      <c r="Z44" s="20"/>
      <c r="AA44" s="20"/>
    </row>
    <row r="46" spans="1:27" ht="11.25" customHeight="1" x14ac:dyDescent="0.25">
      <c r="K46" s="25" t="s">
        <v>838</v>
      </c>
      <c r="L46" s="20">
        <f t="shared" ref="L46:AA46" si="0">SUMPRODUCT($I$5:$I$44,L$5:L$44)</f>
        <v>540155.20525000023</v>
      </c>
      <c r="M46" s="20">
        <f t="shared" si="0"/>
        <v>540155.20525000023</v>
      </c>
      <c r="N46" s="20">
        <f t="shared" si="0"/>
        <v>540155.20525000023</v>
      </c>
      <c r="O46" s="20">
        <f t="shared" si="0"/>
        <v>540155.20525000023</v>
      </c>
      <c r="P46" s="20">
        <f t="shared" si="0"/>
        <v>0</v>
      </c>
      <c r="Q46" s="20">
        <f t="shared" si="0"/>
        <v>571396.19828499993</v>
      </c>
      <c r="R46" s="20">
        <f t="shared" si="0"/>
        <v>0</v>
      </c>
      <c r="S46" s="20">
        <f t="shared" si="0"/>
        <v>540155.20525000023</v>
      </c>
      <c r="T46" s="20">
        <f t="shared" si="0"/>
        <v>540155.20525000023</v>
      </c>
      <c r="U46" s="20">
        <f t="shared" si="0"/>
        <v>540155.20525000023</v>
      </c>
      <c r="V46" s="20">
        <f t="shared" si="0"/>
        <v>0</v>
      </c>
      <c r="W46" s="20">
        <f t="shared" si="0"/>
        <v>0</v>
      </c>
      <c r="X46" s="20">
        <f t="shared" si="0"/>
        <v>0</v>
      </c>
      <c r="Y46" s="20">
        <f t="shared" si="0"/>
        <v>540155.20525000023</v>
      </c>
      <c r="Z46" s="20">
        <f t="shared" si="0"/>
        <v>0</v>
      </c>
      <c r="AA46" s="20">
        <f t="shared" si="0"/>
        <v>0</v>
      </c>
    </row>
    <row r="47" spans="1:27" ht="11.25" customHeight="1" x14ac:dyDescent="0.25">
      <c r="K47" s="25" t="s">
        <v>757</v>
      </c>
      <c r="L47" s="20">
        <f>CUSTOS!$D$30</f>
        <v>1361907.2732086293</v>
      </c>
      <c r="M47" s="20">
        <f>CUSTOS!$D$31</f>
        <v>7600610.5099999998</v>
      </c>
      <c r="N47" s="20">
        <f>CUSTOS!$D$32</f>
        <v>0</v>
      </c>
      <c r="O47" s="20">
        <f>CUSTOS!$D$33</f>
        <v>4137875.6562601286</v>
      </c>
      <c r="P47" s="20">
        <f>CUSTOS!$D$34</f>
        <v>13100393.439468758</v>
      </c>
      <c r="Q47" s="20">
        <f>CUSTOS!$D$35</f>
        <v>113597589.71507731</v>
      </c>
      <c r="R47" s="20">
        <f>CUSTOS!$D$36</f>
        <v>113597589.71507731</v>
      </c>
      <c r="S47" s="20">
        <f>CUSTOS!$D$37</f>
        <v>0</v>
      </c>
      <c r="T47" s="20">
        <f>CUSTOS!$D$38</f>
        <v>0</v>
      </c>
      <c r="U47" s="20">
        <f>CUSTOS!$D$39</f>
        <v>9.9999999999999995E-7</v>
      </c>
      <c r="V47" s="20">
        <f>CUSTOS!$D$40</f>
        <v>9.9999999999999995E-7</v>
      </c>
      <c r="W47" s="20">
        <f>CUSTOS!$D$41</f>
        <v>0</v>
      </c>
      <c r="X47" s="20">
        <f>CUSTOS!$D$42</f>
        <v>0</v>
      </c>
      <c r="Y47" s="20">
        <f>CUSTOS!$D$43</f>
        <v>2270663.9765593451</v>
      </c>
      <c r="Z47" s="20">
        <f>CUSTOS!$D$44</f>
        <v>2270663.9765593451</v>
      </c>
      <c r="AA47" s="20">
        <f>CUSTOS!$D$45</f>
        <v>128968647.13110641</v>
      </c>
    </row>
    <row r="48" spans="1:27" ht="11.25" customHeight="1" x14ac:dyDescent="0.25">
      <c r="K48" s="25" t="s">
        <v>758</v>
      </c>
      <c r="L48" s="20">
        <f>CUSTOS!$E$30</f>
        <v>0</v>
      </c>
      <c r="M48" s="20">
        <f>CUSTOS!$E$31</f>
        <v>-10311704.379364343</v>
      </c>
      <c r="N48" s="20">
        <f>CUSTOS!$E$32</f>
        <v>0</v>
      </c>
      <c r="O48" s="20">
        <f>CUSTOS!$E$33</f>
        <v>-128313.97875302432</v>
      </c>
      <c r="P48" s="20">
        <f>CUSTOS!$E$34</f>
        <v>-10440018.358117368</v>
      </c>
      <c r="Q48" s="20">
        <f>CUSTOS!$E$35</f>
        <v>-6488150.3339097109</v>
      </c>
      <c r="R48" s="20">
        <f>CUSTOS!$E$36</f>
        <v>-6488150.3339097109</v>
      </c>
      <c r="S48" s="20">
        <f>CUSTOS!$E$37</f>
        <v>0</v>
      </c>
      <c r="T48" s="20">
        <f>CUSTOS!$E$38</f>
        <v>0</v>
      </c>
      <c r="U48" s="20">
        <f>CUSTOS!$E$39</f>
        <v>0</v>
      </c>
      <c r="V48" s="20">
        <f>CUSTOS!$E$40</f>
        <v>0</v>
      </c>
      <c r="W48" s="20">
        <f>CUSTOS!$E$41</f>
        <v>-10672736.968934506</v>
      </c>
      <c r="X48" s="20">
        <f>CUSTOS!$E$42</f>
        <v>-10672736.968934506</v>
      </c>
      <c r="Y48" s="20">
        <f>CUSTOS!$E$43</f>
        <v>-129689.4526957987</v>
      </c>
      <c r="Z48" s="20">
        <f>CUSTOS!$E$44</f>
        <v>-129689.4526957987</v>
      </c>
      <c r="AA48" s="20">
        <f>CUSTOS!$E$45</f>
        <v>-27730595.113657381</v>
      </c>
    </row>
    <row r="49" spans="11:27" ht="11.25" customHeight="1" x14ac:dyDescent="0.25">
      <c r="K49" s="25" t="s">
        <v>759</v>
      </c>
      <c r="L49" s="20">
        <f>CUSTOS!$F$30</f>
        <v>0</v>
      </c>
      <c r="M49" s="20">
        <f>CUSTOS!$F$31</f>
        <v>14248386.378264379</v>
      </c>
      <c r="N49" s="20">
        <f>CUSTOS!$F$32</f>
        <v>0</v>
      </c>
      <c r="O49" s="20">
        <f>CUSTOS!$F$33</f>
        <v>481513.27886582719</v>
      </c>
      <c r="P49" s="20">
        <f>CUSTOS!$F$34</f>
        <v>14729899.657130206</v>
      </c>
      <c r="Q49" s="20">
        <f>CUSTOS!$F$35</f>
        <v>18883705.255231388</v>
      </c>
      <c r="R49" s="20">
        <f>CUSTOS!$F$36</f>
        <v>18883705.255231388</v>
      </c>
      <c r="S49" s="20">
        <f>CUSTOS!$F$37</f>
        <v>0</v>
      </c>
      <c r="T49" s="20">
        <f>CUSTOS!$F$38</f>
        <v>0</v>
      </c>
      <c r="U49" s="20">
        <f>CUSTOS!$F$39</f>
        <v>0</v>
      </c>
      <c r="V49" s="20">
        <f>CUSTOS!$F$40</f>
        <v>0</v>
      </c>
      <c r="W49" s="20">
        <f>CUSTOS!$F$41</f>
        <v>0</v>
      </c>
      <c r="X49" s="20">
        <f>CUSTOS!$F$42</f>
        <v>0</v>
      </c>
      <c r="Y49" s="20">
        <f>CUSTOS!$F$43</f>
        <v>377460.02687702473</v>
      </c>
      <c r="Z49" s="20">
        <f>CUSTOS!$F$44</f>
        <v>377460.02687702473</v>
      </c>
      <c r="AA49" s="20">
        <f>CUSTOS!$F$45</f>
        <v>33991064.939238615</v>
      </c>
    </row>
    <row r="50" spans="11:27" ht="11.25" customHeight="1" x14ac:dyDescent="0.25">
      <c r="K50" s="25" t="s">
        <v>839</v>
      </c>
      <c r="L50" s="20">
        <f>IF(SUMPRODUCT($I$5:$I$44,$L$5:$L$44)&lt;&gt;0,L47/SUMPRODUCT($I$5:$I$44,$L$5:$L$44),0)</f>
        <v>2.5213258337079196</v>
      </c>
      <c r="M50" s="20">
        <f>IF(SUMPRODUCT($I$5:$I$44,$M$5:$M$44)&lt;&gt;0,M47/SUMPRODUCT($I$5:$I$44,$M$5:$M$44),0)</f>
        <v>14.071160355628169</v>
      </c>
      <c r="N50" s="20">
        <f>IF(SUMPRODUCT($I$5:$I$44,$N$5:$N$44)&lt;&gt;0,N47/SUMPRODUCT($I$5:$I$44,$N$5:$N$44),0)</f>
        <v>0</v>
      </c>
      <c r="O50" s="20">
        <f>IF(SUMPRODUCT($I$5:$I$44,$O$5:$O$44)&lt;&gt;0,O47/SUMPRODUCT($I$5:$I$44,$O$5:$O$44),0)</f>
        <v>7.6605309289669696</v>
      </c>
      <c r="P50" s="20"/>
      <c r="Q50" s="20">
        <f>IF((CUSTOS!$M$12-CUSTOS!$M$13)&lt;&gt;0,(CUSTOS!$M$12*CUSTOS!$M$14)/(CUSTOS!$M$12-CUSTOS!$M$13),0)</f>
        <v>208.68633004934193</v>
      </c>
      <c r="R50" s="20"/>
      <c r="S50" s="20">
        <f>IF(SUMPRODUCT($I$5:$I$44,$S$5:$S$44)&lt;&gt;0,S47/SUMPRODUCT($I$5:$I$44,$S$5:$S$44),0)</f>
        <v>0</v>
      </c>
      <c r="T50" s="20">
        <f>IF(SUMPRODUCT($I$5:$I$44,$T$5:$T$44)&lt;&gt;0,T47/SUMPRODUCT($I$5:$I$44,$T$5:$T$44),0)</f>
        <v>0</v>
      </c>
      <c r="U50" s="20">
        <f>IF(SUMPRODUCT($I$5:$I$44,$U$5:$U$44)&lt;&gt;0,U47/SUMPRODUCT($I$5:$I$44,$U$5:$U$44),0)</f>
        <v>1.8513197508430369E-12</v>
      </c>
      <c r="V50" s="20"/>
      <c r="W50" s="20">
        <f>IF(SUMPRODUCT($I$5:$I$44,$W$5:$W$44)&lt;&gt;0,W47/SUMPRODUCT($I$5:$I$44,$W$5:$W$44),0)</f>
        <v>0</v>
      </c>
      <c r="X50" s="20"/>
      <c r="Y50" s="20">
        <f>IF(SUMPRODUCT($I$5:$I$44,$Y$5:$Y$44)&lt;&gt;0,Y47/SUMPRODUCT($I$5:$I$44,$Y$5:$Y$44),0)</f>
        <v>4.2037250673321065</v>
      </c>
      <c r="Z50" s="20"/>
      <c r="AA50" s="20"/>
    </row>
    <row r="51" spans="11:27" ht="11.25" customHeight="1" x14ac:dyDescent="0.25">
      <c r="K51" s="25" t="s">
        <v>840</v>
      </c>
      <c r="L51" s="20">
        <f>IF(L46&lt;&gt;0,(L47-L50*0)/(L46-0),0)</f>
        <v>2.5213258337079196</v>
      </c>
      <c r="M51" s="20">
        <f>IF(M46&lt;&gt;0,(M47-M50*0)/(M46-0),0)</f>
        <v>14.071160355628169</v>
      </c>
      <c r="N51" s="20">
        <f>IF(N46&lt;&gt;0,(N47-N50*0)/(N46-0),0)</f>
        <v>0</v>
      </c>
      <c r="O51" s="20">
        <f>IF(O46&lt;&gt;0,(O47-O50*0)/(O46-0),0)</f>
        <v>7.6605309289669696</v>
      </c>
      <c r="P51" s="20"/>
      <c r="Q51" s="20">
        <f>IF(Q46&lt;&gt;0,(Q47-Q50*0)/(Q46-0),0)</f>
        <v>198.80704501715519</v>
      </c>
      <c r="R51" s="20"/>
      <c r="S51" s="20">
        <f>IF(S46&lt;&gt;0,(S47-S50*0)/(S46-0),0)</f>
        <v>0</v>
      </c>
      <c r="T51" s="20">
        <f>IF(T46&lt;&gt;0,(T47-T50*0)/(T46-0),0)</f>
        <v>0</v>
      </c>
      <c r="U51" s="20">
        <f>IF(U46&lt;&gt;0,(U47-U50*0)/(U46-0),0)</f>
        <v>1.8513197508430369E-12</v>
      </c>
      <c r="V51" s="20"/>
      <c r="W51" s="20">
        <f>IF(W46&lt;&gt;0,(W47-W50*0)/(W46-0),0)</f>
        <v>0</v>
      </c>
      <c r="X51" s="20"/>
      <c r="Y51" s="20">
        <f>IF(Y46&lt;&gt;0,(Y47-Y50*0)/(Y46-0),0)</f>
        <v>4.2037250673321065</v>
      </c>
      <c r="Z51" s="20"/>
      <c r="AA51" s="20"/>
    </row>
    <row r="52" spans="11:27" ht="11.25" customHeight="1" x14ac:dyDescent="0.25">
      <c r="K52" s="25" t="s">
        <v>841</v>
      </c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</sheetData>
  <mergeCells count="67"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F1:F4"/>
    <mergeCell ref="E38:E40"/>
    <mergeCell ref="F38:F40"/>
    <mergeCell ref="A43:A44"/>
    <mergeCell ref="B43:B44"/>
    <mergeCell ref="C43:C4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2F68-24F7-404D-893F-21ACA19B33C7}">
  <dimension ref="A1:AA52"/>
  <sheetViews>
    <sheetView showGridLines="0" topLeftCell="L28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42578125" style="9" bestFit="1" customWidth="1"/>
    <col min="14" max="14" width="8.7109375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16" t="s">
        <v>68</v>
      </c>
      <c r="B1" s="116" t="s">
        <v>69</v>
      </c>
      <c r="C1" s="116" t="s">
        <v>70</v>
      </c>
      <c r="D1" s="116" t="s">
        <v>71</v>
      </c>
      <c r="E1" s="116" t="s">
        <v>72</v>
      </c>
      <c r="F1" s="116" t="s">
        <v>15</v>
      </c>
      <c r="G1" s="116" t="s">
        <v>74</v>
      </c>
      <c r="H1" s="116" t="s">
        <v>75</v>
      </c>
      <c r="I1" s="116" t="s">
        <v>816</v>
      </c>
      <c r="J1" s="95"/>
      <c r="L1" s="114" t="s">
        <v>842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6"/>
      <c r="B2" s="116"/>
      <c r="C2" s="116"/>
      <c r="D2" s="116"/>
      <c r="E2" s="116"/>
      <c r="F2" s="116"/>
      <c r="G2" s="116"/>
      <c r="H2" s="116"/>
      <c r="I2" s="116"/>
      <c r="J2" s="95"/>
      <c r="L2" s="114" t="s">
        <v>744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95"/>
      <c r="L3" s="114" t="s">
        <v>717</v>
      </c>
      <c r="M3" s="114"/>
      <c r="N3" s="114"/>
      <c r="O3" s="114"/>
      <c r="P3" s="114"/>
      <c r="Q3" s="114" t="s">
        <v>747</v>
      </c>
      <c r="R3" s="114"/>
      <c r="S3" s="114" t="s">
        <v>726</v>
      </c>
      <c r="T3" s="114"/>
      <c r="U3" s="114"/>
      <c r="V3" s="114"/>
      <c r="W3" s="114" t="s">
        <v>736</v>
      </c>
      <c r="X3" s="114"/>
      <c r="Y3" s="114" t="s">
        <v>739</v>
      </c>
      <c r="Z3" s="114"/>
      <c r="AA3" s="114" t="s">
        <v>725</v>
      </c>
    </row>
    <row r="4" spans="1:27" ht="11.25" customHeight="1" x14ac:dyDescent="0.25">
      <c r="A4" s="116"/>
      <c r="B4" s="116"/>
      <c r="C4" s="116"/>
      <c r="D4" s="116"/>
      <c r="E4" s="116"/>
      <c r="F4" s="116"/>
      <c r="G4" s="116"/>
      <c r="H4" s="116"/>
      <c r="I4" s="116"/>
      <c r="J4" s="95"/>
      <c r="L4" s="24" t="s">
        <v>719</v>
      </c>
      <c r="M4" s="24" t="s">
        <v>745</v>
      </c>
      <c r="N4" s="24" t="s">
        <v>746</v>
      </c>
      <c r="O4" s="24" t="s">
        <v>804</v>
      </c>
      <c r="P4" s="24" t="s">
        <v>725</v>
      </c>
      <c r="Q4" s="24" t="s">
        <v>748</v>
      </c>
      <c r="R4" s="24" t="s">
        <v>725</v>
      </c>
      <c r="S4" s="24" t="s">
        <v>749</v>
      </c>
      <c r="T4" s="24" t="s">
        <v>750</v>
      </c>
      <c r="U4" s="24" t="s">
        <v>751</v>
      </c>
      <c r="V4" s="24" t="s">
        <v>725</v>
      </c>
      <c r="W4" s="24" t="s">
        <v>737</v>
      </c>
      <c r="X4" s="24" t="s">
        <v>725</v>
      </c>
      <c r="Y4" s="24" t="s">
        <v>752</v>
      </c>
      <c r="Z4" s="24" t="s">
        <v>725</v>
      </c>
      <c r="AA4" s="115"/>
    </row>
    <row r="5" spans="1:27" ht="11.25" customHeight="1" x14ac:dyDescent="0.25">
      <c r="A5" s="117" t="s">
        <v>56</v>
      </c>
      <c r="B5" s="117" t="s">
        <v>77</v>
      </c>
      <c r="C5" s="117" t="s">
        <v>25</v>
      </c>
      <c r="D5" s="117" t="s">
        <v>25</v>
      </c>
      <c r="E5" s="117" t="s">
        <v>25</v>
      </c>
      <c r="F5" s="117" t="s">
        <v>25</v>
      </c>
      <c r="G5" s="22" t="s">
        <v>79</v>
      </c>
      <c r="H5" s="22" t="s">
        <v>78</v>
      </c>
      <c r="I5" s="22">
        <f>'MERCADO TE'!$U$2</f>
        <v>0</v>
      </c>
      <c r="J5" s="15"/>
      <c r="L5" s="20">
        <f>'TR TE'!$L$5*'TR TE'!$L$51</f>
        <v>2.5213258337079196</v>
      </c>
      <c r="M5" s="20">
        <f>'TR TE'!$M$5*'TR TE'!$M$51</f>
        <v>14.071160355628169</v>
      </c>
      <c r="N5" s="20">
        <f>'TR TE'!$N$5*'TR TE'!$N$51</f>
        <v>0</v>
      </c>
      <c r="O5" s="20">
        <f>'TR TE'!$O$5*'TR TE'!$O$51</f>
        <v>7.6605309289669696</v>
      </c>
      <c r="P5" s="20">
        <f>SUM($L$5:$O$5)</f>
        <v>24.25301711830306</v>
      </c>
      <c r="Q5" s="20">
        <f>'TR TE'!$Q$5*'TR TE'!$Q$51</f>
        <v>341.94811742950691</v>
      </c>
      <c r="R5" s="20">
        <f>SUM($Q$5:$Q$5)</f>
        <v>341.94811742950691</v>
      </c>
      <c r="S5" s="20">
        <f>'TR TE'!$S$5*'TR TE'!$S$51</f>
        <v>0</v>
      </c>
      <c r="T5" s="20">
        <f>'TR TE'!$T$5*'TR TE'!$T$51</f>
        <v>0</v>
      </c>
      <c r="U5" s="20">
        <f>'TR TE'!$U$5*'TR TE'!$U$51</f>
        <v>1.8513197508430369E-12</v>
      </c>
      <c r="V5" s="20">
        <f>SUM($S$5:$U$5)</f>
        <v>1.8513197508430369E-12</v>
      </c>
      <c r="W5" s="20"/>
      <c r="X5" s="20">
        <f>SUM($W$5:$W$5)</f>
        <v>0</v>
      </c>
      <c r="Y5" s="20">
        <f>'TR TE'!$Y$5*'TR TE'!$Y$51</f>
        <v>4.2037250673321065</v>
      </c>
      <c r="Z5" s="20">
        <f>SUM($Y$5:$Y$5)</f>
        <v>4.2037250673321065</v>
      </c>
      <c r="AA5" s="20">
        <f>SUMIF($L$4:$Z$4,"SUBTOTAL",$L$5:$Z$5)</f>
        <v>370.40485961514395</v>
      </c>
    </row>
    <row r="6" spans="1:27" ht="11.25" customHeight="1" x14ac:dyDescent="0.25">
      <c r="A6" s="117"/>
      <c r="B6" s="117"/>
      <c r="C6" s="117"/>
      <c r="D6" s="117"/>
      <c r="E6" s="117"/>
      <c r="F6" s="117"/>
      <c r="G6" s="22" t="s">
        <v>80</v>
      </c>
      <c r="H6" s="22" t="s">
        <v>78</v>
      </c>
      <c r="I6" s="22">
        <f>'MERCADO TE'!$U$3</f>
        <v>0</v>
      </c>
      <c r="J6" s="15"/>
      <c r="L6" s="20">
        <f>'TR TE'!$L$6*'TR TE'!$L$51</f>
        <v>2.5213258337079196</v>
      </c>
      <c r="M6" s="20">
        <f>'TR TE'!$M$6*'TR TE'!$M$51</f>
        <v>14.071160355628169</v>
      </c>
      <c r="N6" s="20">
        <f>'TR TE'!$N$6*'TR TE'!$N$51</f>
        <v>0</v>
      </c>
      <c r="O6" s="20">
        <f>'TR TE'!$O$6*'TR TE'!$O$51</f>
        <v>7.6605309289669696</v>
      </c>
      <c r="P6" s="20">
        <f>SUM($L$6:$O$6)</f>
        <v>24.25301711830306</v>
      </c>
      <c r="Q6" s="20">
        <f>'TR TE'!$Q$6*'TR TE'!$Q$51</f>
        <v>198.80704501715519</v>
      </c>
      <c r="R6" s="20">
        <f>SUM($Q$6:$Q$6)</f>
        <v>198.80704501715519</v>
      </c>
      <c r="S6" s="20">
        <f>'TR TE'!$S$6*'TR TE'!$S$51</f>
        <v>0</v>
      </c>
      <c r="T6" s="20">
        <f>'TR TE'!$T$6*'TR TE'!$T$51</f>
        <v>0</v>
      </c>
      <c r="U6" s="20">
        <f>'TR TE'!$U$6*'TR TE'!$U$51</f>
        <v>1.8513197508430369E-12</v>
      </c>
      <c r="V6" s="20">
        <f>SUM($S$6:$U$6)</f>
        <v>1.8513197508430369E-12</v>
      </c>
      <c r="W6" s="20"/>
      <c r="X6" s="20">
        <f>SUM($W$6:$W$6)</f>
        <v>0</v>
      </c>
      <c r="Y6" s="20">
        <f>'TR TE'!$Y$6*'TR TE'!$Y$51</f>
        <v>4.2037250673321065</v>
      </c>
      <c r="Z6" s="20">
        <f>SUM($Y$6:$Y$6)</f>
        <v>4.2037250673321065</v>
      </c>
      <c r="AA6" s="20">
        <f>SUMIF($L$4:$Z$4,"SUBTOTAL",$L$6:$Z$6)</f>
        <v>227.2637872027922</v>
      </c>
    </row>
    <row r="7" spans="1:27" ht="11.25" customHeight="1" x14ac:dyDescent="0.25">
      <c r="A7" s="117" t="s">
        <v>39</v>
      </c>
      <c r="B7" s="117" t="s">
        <v>77</v>
      </c>
      <c r="C7" s="117" t="s">
        <v>25</v>
      </c>
      <c r="D7" s="117" t="s">
        <v>25</v>
      </c>
      <c r="E7" s="117" t="s">
        <v>25</v>
      </c>
      <c r="F7" s="117" t="s">
        <v>25</v>
      </c>
      <c r="G7" s="22" t="s">
        <v>79</v>
      </c>
      <c r="H7" s="22" t="s">
        <v>78</v>
      </c>
      <c r="I7" s="22">
        <f>'MERCADO TE'!$U$4</f>
        <v>8115.134</v>
      </c>
      <c r="J7" s="15"/>
      <c r="L7" s="20">
        <f>'TR TE'!$L$7*'TR TE'!$L$51</f>
        <v>2.5213258337079196</v>
      </c>
      <c r="M7" s="20">
        <f>'TR TE'!$M$7*'TR TE'!$M$51</f>
        <v>14.071160355628169</v>
      </c>
      <c r="N7" s="20">
        <f>'TR TE'!$N$7*'TR TE'!$N$51</f>
        <v>0</v>
      </c>
      <c r="O7" s="20">
        <f>'TR TE'!$O$7*'TR TE'!$O$51</f>
        <v>7.6605309289669696</v>
      </c>
      <c r="P7" s="20">
        <f>SUM($L$7:$O$7)</f>
        <v>24.25301711830306</v>
      </c>
      <c r="Q7" s="20">
        <f>'TR TE'!$Q$7*'TR TE'!$Q$51</f>
        <v>341.94811742950691</v>
      </c>
      <c r="R7" s="20">
        <f>SUM($Q$7:$Q$7)</f>
        <v>341.94811742950691</v>
      </c>
      <c r="S7" s="20">
        <f>'TR TE'!$S$7*'TR TE'!$S$51</f>
        <v>0</v>
      </c>
      <c r="T7" s="20">
        <f>'TR TE'!$T$7*'TR TE'!$T$51</f>
        <v>0</v>
      </c>
      <c r="U7" s="20">
        <f>'TR TE'!$U$7*'TR TE'!$U$51</f>
        <v>1.8513197508430369E-12</v>
      </c>
      <c r="V7" s="20">
        <f>SUM($S$7:$U$7)</f>
        <v>1.8513197508430369E-12</v>
      </c>
      <c r="W7" s="20"/>
      <c r="X7" s="20">
        <f>SUM($W$7:$W$7)</f>
        <v>0</v>
      </c>
      <c r="Y7" s="20">
        <f>'TR TE'!$Y$7*'TR TE'!$Y$51</f>
        <v>4.2037250673321065</v>
      </c>
      <c r="Z7" s="20">
        <f>SUM($Y$7:$Y$7)</f>
        <v>4.2037250673321065</v>
      </c>
      <c r="AA7" s="20">
        <f>SUMIF($L$4:$Z$4,"SUBTOTAL",$L$7:$Z$7)</f>
        <v>370.40485961514395</v>
      </c>
    </row>
    <row r="8" spans="1:27" ht="11.25" customHeight="1" x14ac:dyDescent="0.25">
      <c r="A8" s="117"/>
      <c r="B8" s="117"/>
      <c r="C8" s="117"/>
      <c r="D8" s="117"/>
      <c r="E8" s="117"/>
      <c r="F8" s="117"/>
      <c r="G8" s="22" t="s">
        <v>80</v>
      </c>
      <c r="H8" s="22" t="s">
        <v>78</v>
      </c>
      <c r="I8" s="22">
        <f>'MERCADO TE'!$U$5</f>
        <v>108682.38199999998</v>
      </c>
      <c r="J8" s="15"/>
      <c r="L8" s="20">
        <f>'TR TE'!$L$8*'TR TE'!$L$51</f>
        <v>2.5213258337079196</v>
      </c>
      <c r="M8" s="20">
        <f>'TR TE'!$M$8*'TR TE'!$M$51</f>
        <v>14.071160355628169</v>
      </c>
      <c r="N8" s="20">
        <f>'TR TE'!$N$8*'TR TE'!$N$51</f>
        <v>0</v>
      </c>
      <c r="O8" s="20">
        <f>'TR TE'!$O$8*'TR TE'!$O$51</f>
        <v>7.6605309289669696</v>
      </c>
      <c r="P8" s="20">
        <f>SUM($L$8:$O$8)</f>
        <v>24.25301711830306</v>
      </c>
      <c r="Q8" s="20">
        <f>'TR TE'!$Q$8*'TR TE'!$Q$51</f>
        <v>198.80704501715519</v>
      </c>
      <c r="R8" s="20">
        <f>SUM($Q$8:$Q$8)</f>
        <v>198.80704501715519</v>
      </c>
      <c r="S8" s="20">
        <f>'TR TE'!$S$8*'TR TE'!$S$51</f>
        <v>0</v>
      </c>
      <c r="T8" s="20">
        <f>'TR TE'!$T$8*'TR TE'!$T$51</f>
        <v>0</v>
      </c>
      <c r="U8" s="20">
        <f>'TR TE'!$U$8*'TR TE'!$U$51</f>
        <v>1.8513197508430369E-12</v>
      </c>
      <c r="V8" s="20">
        <f>SUM($S$8:$U$8)</f>
        <v>1.8513197508430369E-12</v>
      </c>
      <c r="W8" s="20"/>
      <c r="X8" s="20">
        <f>SUM($W$8:$W$8)</f>
        <v>0</v>
      </c>
      <c r="Y8" s="20">
        <f>'TR TE'!$Y$8*'TR TE'!$Y$51</f>
        <v>4.2037250673321065</v>
      </c>
      <c r="Z8" s="20">
        <f>SUM($Y$8:$Y$8)</f>
        <v>4.2037250673321065</v>
      </c>
      <c r="AA8" s="20">
        <f>SUMIF($L$4:$Z$4,"SUBTOTAL",$L$8:$Z$8)</f>
        <v>227.2637872027922</v>
      </c>
    </row>
    <row r="9" spans="1:27" ht="11.25" customHeight="1" x14ac:dyDescent="0.25">
      <c r="A9" s="117"/>
      <c r="B9" s="23" t="s">
        <v>86</v>
      </c>
      <c r="C9" s="23" t="s">
        <v>25</v>
      </c>
      <c r="D9" s="23" t="s">
        <v>25</v>
      </c>
      <c r="E9" s="23" t="s">
        <v>25</v>
      </c>
      <c r="F9" s="23" t="s">
        <v>25</v>
      </c>
      <c r="G9" s="22" t="s">
        <v>84</v>
      </c>
      <c r="H9" s="22" t="s">
        <v>78</v>
      </c>
      <c r="I9" s="22">
        <f>'MERCADO TE'!$U$6</f>
        <v>0</v>
      </c>
      <c r="J9" s="15"/>
      <c r="L9" s="20">
        <f>'TR TE'!$L$9*'TR TE'!$L$51</f>
        <v>2.5213258337079196</v>
      </c>
      <c r="M9" s="20">
        <f>'TR TE'!$M$9*'TR TE'!$M$51</f>
        <v>14.071160355628169</v>
      </c>
      <c r="N9" s="20">
        <f>'TR TE'!$N$9*'TR TE'!$N$51</f>
        <v>0</v>
      </c>
      <c r="O9" s="20">
        <f>'TR TE'!$O$9*'TR TE'!$O$51</f>
        <v>7.6605309289669696</v>
      </c>
      <c r="P9" s="20">
        <f>SUM($L$9:$O$9)</f>
        <v>24.25301711830306</v>
      </c>
      <c r="Q9" s="20">
        <f>'TR TE'!$Q$9*'TR TE'!$Q$51</f>
        <v>210.73546771818451</v>
      </c>
      <c r="R9" s="20">
        <f>SUM($Q$9:$Q$9)</f>
        <v>210.73546771818451</v>
      </c>
      <c r="S9" s="20">
        <f>'TR TE'!$S$9*'TR TE'!$S$51</f>
        <v>0</v>
      </c>
      <c r="T9" s="20">
        <f>'TR TE'!$T$9*'TR TE'!$T$51</f>
        <v>0</v>
      </c>
      <c r="U9" s="20">
        <f>'TR TE'!$U$9*'TR TE'!$U$51</f>
        <v>1.8513197508430369E-12</v>
      </c>
      <c r="V9" s="20">
        <f>SUM($S$9:$U$9)</f>
        <v>1.8513197508430369E-12</v>
      </c>
      <c r="W9" s="20"/>
      <c r="X9" s="20">
        <f>SUM($W$9:$W$9)</f>
        <v>0</v>
      </c>
      <c r="Y9" s="20">
        <f>'TR TE'!$Y$9*'TR TE'!$Y$51</f>
        <v>4.2037250673321065</v>
      </c>
      <c r="Z9" s="20">
        <f>SUM($Y$9:$Y$9)</f>
        <v>4.2037250673321065</v>
      </c>
      <c r="AA9" s="20">
        <f>SUMIF($L$4:$Z$4,"SUBTOTAL",$L$9:$Z$9)</f>
        <v>239.19220990382152</v>
      </c>
    </row>
    <row r="10" spans="1:27" ht="11.25" customHeight="1" x14ac:dyDescent="0.25">
      <c r="A10" s="117" t="s">
        <v>22</v>
      </c>
      <c r="B10" s="117" t="s">
        <v>77</v>
      </c>
      <c r="C10" s="117" t="s">
        <v>24</v>
      </c>
      <c r="D10" s="117" t="s">
        <v>24</v>
      </c>
      <c r="E10" s="117" t="s">
        <v>25</v>
      </c>
      <c r="F10" s="117" t="s">
        <v>25</v>
      </c>
      <c r="G10" s="22" t="s">
        <v>79</v>
      </c>
      <c r="H10" s="22" t="s">
        <v>78</v>
      </c>
      <c r="I10" s="22">
        <f>'MERCADO TE'!$U$7</f>
        <v>6.9259999999999993</v>
      </c>
      <c r="J10" s="15"/>
      <c r="L10" s="20">
        <f>'TR TE'!$L$10*'TR TE'!$L$51</f>
        <v>2.5213258337079196</v>
      </c>
      <c r="M10" s="20">
        <f>'TR TE'!$M$10*'TR TE'!$M$51</f>
        <v>14.071160355628169</v>
      </c>
      <c r="N10" s="20">
        <f>'TR TE'!$N$10*'TR TE'!$N$51</f>
        <v>0</v>
      </c>
      <c r="O10" s="20">
        <f>'TR TE'!$O$10*'TR TE'!$O$51</f>
        <v>7.6605309289669696</v>
      </c>
      <c r="P10" s="20">
        <f>SUM($L$10:$O$10)</f>
        <v>24.25301711830306</v>
      </c>
      <c r="Q10" s="20">
        <f>'TR TE'!$Q$10*'TR TE'!$Q$51</f>
        <v>341.94811742950691</v>
      </c>
      <c r="R10" s="20">
        <f>SUM($Q$10:$Q$10)</f>
        <v>341.94811742950691</v>
      </c>
      <c r="S10" s="20">
        <f>'TR TE'!$S$10*'TR TE'!$S$51</f>
        <v>0</v>
      </c>
      <c r="T10" s="20">
        <f>'TR TE'!$T$10*'TR TE'!$T$51</f>
        <v>0</v>
      </c>
      <c r="U10" s="20">
        <f>'TR TE'!$U$10*'TR TE'!$U$51</f>
        <v>1.8513197508430369E-12</v>
      </c>
      <c r="V10" s="20">
        <f>SUM($S$10:$U$10)</f>
        <v>1.8513197508430369E-12</v>
      </c>
      <c r="W10" s="20"/>
      <c r="X10" s="20">
        <f>SUM($W$10:$W$10)</f>
        <v>0</v>
      </c>
      <c r="Y10" s="20">
        <f>'TR TE'!$Y$10*'TR TE'!$Y$51</f>
        <v>4.2037250673321065</v>
      </c>
      <c r="Z10" s="20">
        <f>SUM($Y$10:$Y$10)</f>
        <v>4.2037250673321065</v>
      </c>
      <c r="AA10" s="20">
        <f>SUMIF($L$4:$Z$4,"SUBTOTAL",$L$10:$Z$10)</f>
        <v>370.40485961514395</v>
      </c>
    </row>
    <row r="11" spans="1:27" ht="11.25" customHeight="1" x14ac:dyDescent="0.25">
      <c r="A11" s="117"/>
      <c r="B11" s="117"/>
      <c r="C11" s="117"/>
      <c r="D11" s="117"/>
      <c r="E11" s="117"/>
      <c r="F11" s="117"/>
      <c r="G11" s="22" t="s">
        <v>91</v>
      </c>
      <c r="H11" s="22" t="s">
        <v>78</v>
      </c>
      <c r="I11" s="22">
        <f>'MERCADO TE'!$U$8</f>
        <v>4.6099999999999994</v>
      </c>
      <c r="J11" s="15"/>
      <c r="L11" s="20">
        <f>'TR TE'!$L$11*'TR TE'!$L$51</f>
        <v>2.5213258337079196</v>
      </c>
      <c r="M11" s="20">
        <f>'TR TE'!$M$11*'TR TE'!$M$51</f>
        <v>14.071160355628169</v>
      </c>
      <c r="N11" s="20">
        <f>'TR TE'!$N$11*'TR TE'!$N$51</f>
        <v>0</v>
      </c>
      <c r="O11" s="20">
        <f>'TR TE'!$O$11*'TR TE'!$O$51</f>
        <v>7.6605309289669696</v>
      </c>
      <c r="P11" s="20">
        <f>SUM($L$11:$O$11)</f>
        <v>24.25301711830306</v>
      </c>
      <c r="Q11" s="20">
        <f>'TR TE'!$Q$11*'TR TE'!$Q$51</f>
        <v>198.80704501715519</v>
      </c>
      <c r="R11" s="20">
        <f>SUM($Q$11:$Q$11)</f>
        <v>198.80704501715519</v>
      </c>
      <c r="S11" s="20">
        <f>'TR TE'!$S$11*'TR TE'!$S$51</f>
        <v>0</v>
      </c>
      <c r="T11" s="20">
        <f>'TR TE'!$T$11*'TR TE'!$T$51</f>
        <v>0</v>
      </c>
      <c r="U11" s="20">
        <f>'TR TE'!$U$11*'TR TE'!$U$51</f>
        <v>1.8513197508430369E-12</v>
      </c>
      <c r="V11" s="20">
        <f>SUM($S$11:$U$11)</f>
        <v>1.8513197508430369E-12</v>
      </c>
      <c r="W11" s="20"/>
      <c r="X11" s="20">
        <f>SUM($W$11:$W$11)</f>
        <v>0</v>
      </c>
      <c r="Y11" s="20">
        <f>'TR TE'!$Y$11*'TR TE'!$Y$51</f>
        <v>4.2037250673321065</v>
      </c>
      <c r="Z11" s="20">
        <f>SUM($Y$11:$Y$11)</f>
        <v>4.2037250673321065</v>
      </c>
      <c r="AA11" s="20">
        <f>SUMIF($L$4:$Z$4,"SUBTOTAL",$L$11:$Z$11)</f>
        <v>227.2637872027922</v>
      </c>
    </row>
    <row r="12" spans="1:27" ht="11.25" customHeight="1" x14ac:dyDescent="0.25">
      <c r="A12" s="117"/>
      <c r="B12" s="117"/>
      <c r="C12" s="117"/>
      <c r="D12" s="117"/>
      <c r="E12" s="117"/>
      <c r="F12" s="117"/>
      <c r="G12" s="22" t="s">
        <v>80</v>
      </c>
      <c r="H12" s="22" t="s">
        <v>78</v>
      </c>
      <c r="I12" s="22">
        <f>'MERCADO TE'!$U$9</f>
        <v>73.14200000000001</v>
      </c>
      <c r="J12" s="15"/>
      <c r="L12" s="20">
        <f>'TR TE'!$L$12*'TR TE'!$L$51</f>
        <v>2.5213258337079196</v>
      </c>
      <c r="M12" s="20">
        <f>'TR TE'!$M$12*'TR TE'!$M$51</f>
        <v>14.071160355628169</v>
      </c>
      <c r="N12" s="20">
        <f>'TR TE'!$N$12*'TR TE'!$N$51</f>
        <v>0</v>
      </c>
      <c r="O12" s="20">
        <f>'TR TE'!$O$12*'TR TE'!$O$51</f>
        <v>7.6605309289669696</v>
      </c>
      <c r="P12" s="20">
        <f>SUM($L$12:$O$12)</f>
        <v>24.25301711830306</v>
      </c>
      <c r="Q12" s="20">
        <f>'TR TE'!$Q$12*'TR TE'!$Q$51</f>
        <v>198.80704501715519</v>
      </c>
      <c r="R12" s="20">
        <f>SUM($Q$12:$Q$12)</f>
        <v>198.80704501715519</v>
      </c>
      <c r="S12" s="20">
        <f>'TR TE'!$S$12*'TR TE'!$S$51</f>
        <v>0</v>
      </c>
      <c r="T12" s="20">
        <f>'TR TE'!$T$12*'TR TE'!$T$51</f>
        <v>0</v>
      </c>
      <c r="U12" s="20">
        <f>'TR TE'!$U$12*'TR TE'!$U$51</f>
        <v>1.8513197508430369E-12</v>
      </c>
      <c r="V12" s="20">
        <f>SUM($S$12:$U$12)</f>
        <v>1.8513197508430369E-12</v>
      </c>
      <c r="W12" s="20"/>
      <c r="X12" s="20">
        <f>SUM($W$12:$W$12)</f>
        <v>0</v>
      </c>
      <c r="Y12" s="20">
        <f>'TR TE'!$Y$12*'TR TE'!$Y$51</f>
        <v>4.2037250673321065</v>
      </c>
      <c r="Z12" s="20">
        <f>SUM($Y$12:$Y$12)</f>
        <v>4.2037250673321065</v>
      </c>
      <c r="AA12" s="20">
        <f>SUMIF($L$4:$Z$4,"SUBTOTAL",$L$12:$Z$12)</f>
        <v>227.2637872027922</v>
      </c>
    </row>
    <row r="13" spans="1:27" ht="11.25" customHeight="1" x14ac:dyDescent="0.25">
      <c r="A13" s="117"/>
      <c r="B13" s="117" t="s">
        <v>86</v>
      </c>
      <c r="C13" s="117" t="s">
        <v>24</v>
      </c>
      <c r="D13" s="23" t="s">
        <v>24</v>
      </c>
      <c r="E13" s="23" t="s">
        <v>25</v>
      </c>
      <c r="F13" s="23" t="s">
        <v>25</v>
      </c>
      <c r="G13" s="22" t="s">
        <v>84</v>
      </c>
      <c r="H13" s="22" t="s">
        <v>78</v>
      </c>
      <c r="I13" s="22">
        <f>'MERCADO TE'!$U$10</f>
        <v>216529.64400000003</v>
      </c>
      <c r="J13" s="15"/>
      <c r="L13" s="20">
        <f>'TR TE'!$L$13*'TR TE'!$L$51</f>
        <v>2.5213258337079196</v>
      </c>
      <c r="M13" s="20">
        <f>'TR TE'!$M$13*'TR TE'!$M$51</f>
        <v>14.071160355628169</v>
      </c>
      <c r="N13" s="20">
        <f>'TR TE'!$N$13*'TR TE'!$N$51</f>
        <v>0</v>
      </c>
      <c r="O13" s="20">
        <f>'TR TE'!$O$13*'TR TE'!$O$51</f>
        <v>7.6605309289669696</v>
      </c>
      <c r="P13" s="20">
        <f>SUM($L$13:$O$13)</f>
        <v>24.25301711830306</v>
      </c>
      <c r="Q13" s="20">
        <f>'TR TE'!$Q$13*'TR TE'!$Q$51</f>
        <v>210.73546771818451</v>
      </c>
      <c r="R13" s="20">
        <f>SUM($Q$13:$Q$13)</f>
        <v>210.73546771818451</v>
      </c>
      <c r="S13" s="20">
        <f>'TR TE'!$S$13*'TR TE'!$S$51</f>
        <v>0</v>
      </c>
      <c r="T13" s="20">
        <f>'TR TE'!$T$13*'TR TE'!$T$51</f>
        <v>0</v>
      </c>
      <c r="U13" s="20">
        <f>'TR TE'!$U$13*'TR TE'!$U$51</f>
        <v>1.8513197508430369E-12</v>
      </c>
      <c r="V13" s="20">
        <f>SUM($S$13:$U$13)</f>
        <v>1.8513197508430369E-12</v>
      </c>
      <c r="W13" s="20"/>
      <c r="X13" s="20">
        <f>SUM($W$13:$W$13)</f>
        <v>0</v>
      </c>
      <c r="Y13" s="20">
        <f>'TR TE'!$Y$13*'TR TE'!$Y$51</f>
        <v>4.2037250673321065</v>
      </c>
      <c r="Z13" s="20">
        <f>SUM($Y$13:$Y$13)</f>
        <v>4.2037250673321065</v>
      </c>
      <c r="AA13" s="20">
        <f>SUMIF($L$4:$Z$4,"SUBTOTAL",$L$13:$Z$13)</f>
        <v>239.19220990382152</v>
      </c>
    </row>
    <row r="14" spans="1:27" ht="11.25" customHeight="1" x14ac:dyDescent="0.25">
      <c r="A14" s="117"/>
      <c r="B14" s="117"/>
      <c r="C14" s="117"/>
      <c r="D14" s="23" t="s">
        <v>29</v>
      </c>
      <c r="E14" s="23" t="s">
        <v>25</v>
      </c>
      <c r="F14" s="23" t="s">
        <v>25</v>
      </c>
      <c r="G14" s="22" t="s">
        <v>84</v>
      </c>
      <c r="H14" s="22" t="s">
        <v>78</v>
      </c>
      <c r="I14" s="22">
        <f>'MERCADO TE'!$U$11</f>
        <v>20401.981000000003</v>
      </c>
      <c r="J14" s="15"/>
      <c r="L14" s="20">
        <f>'TR TE'!$L$14*'TR TE'!$L$51</f>
        <v>2.5213258337079196</v>
      </c>
      <c r="M14" s="20">
        <f>'TR TE'!$M$14*'TR TE'!$M$51</f>
        <v>14.071160355628169</v>
      </c>
      <c r="N14" s="20">
        <f>'TR TE'!$N$14*'TR TE'!$N$51</f>
        <v>0</v>
      </c>
      <c r="O14" s="20">
        <f>'TR TE'!$O$14*'TR TE'!$O$51</f>
        <v>7.6605309289669696</v>
      </c>
      <c r="P14" s="20">
        <f>SUM($L$14:$O$14)</f>
        <v>24.25301711830306</v>
      </c>
      <c r="Q14" s="20">
        <f>'TR TE'!$Q$14*'TR TE'!$Q$51</f>
        <v>210.73546771818451</v>
      </c>
      <c r="R14" s="20">
        <f>SUM($Q$14:$Q$14)</f>
        <v>210.73546771818451</v>
      </c>
      <c r="S14" s="20">
        <f>'TR TE'!$S$14*'TR TE'!$S$51</f>
        <v>0</v>
      </c>
      <c r="T14" s="20">
        <f>'TR TE'!$T$14*'TR TE'!$T$51</f>
        <v>0</v>
      </c>
      <c r="U14" s="20">
        <f>'TR TE'!$U$14*'TR TE'!$U$51</f>
        <v>1.8513197508430369E-12</v>
      </c>
      <c r="V14" s="20">
        <f>SUM($S$14:$U$14)</f>
        <v>1.8513197508430369E-12</v>
      </c>
      <c r="W14" s="20"/>
      <c r="X14" s="20">
        <f>SUM($W$14:$W$14)</f>
        <v>0</v>
      </c>
      <c r="Y14" s="20">
        <f>'TR TE'!$Y$14*'TR TE'!$Y$51</f>
        <v>4.2037250673321065</v>
      </c>
      <c r="Z14" s="20">
        <f>SUM($Y$14:$Y$14)</f>
        <v>4.2037250673321065</v>
      </c>
      <c r="AA14" s="20">
        <f>SUMIF($L$4:$Z$4,"SUBTOTAL",$L$14:$Z$14)</f>
        <v>239.19220990382152</v>
      </c>
    </row>
    <row r="15" spans="1:27" ht="11.25" customHeight="1" x14ac:dyDescent="0.25">
      <c r="A15" s="117"/>
      <c r="B15" s="117"/>
      <c r="C15" s="117"/>
      <c r="D15" s="23" t="s">
        <v>30</v>
      </c>
      <c r="E15" s="23" t="s">
        <v>25</v>
      </c>
      <c r="F15" s="23" t="s">
        <v>25</v>
      </c>
      <c r="G15" s="22" t="s">
        <v>84</v>
      </c>
      <c r="H15" s="22" t="s">
        <v>78</v>
      </c>
      <c r="I15" s="22">
        <f>'MERCADO TE'!$U$12</f>
        <v>32706.754000000004</v>
      </c>
      <c r="J15" s="15"/>
      <c r="L15" s="20">
        <f>'TR TE'!$L$15*'TR TE'!$L$51</f>
        <v>2.5213258337079196</v>
      </c>
      <c r="M15" s="20">
        <f>'TR TE'!$M$15*'TR TE'!$M$51</f>
        <v>14.071160355628169</v>
      </c>
      <c r="N15" s="20">
        <f>'TR TE'!$N$15*'TR TE'!$N$51</f>
        <v>0</v>
      </c>
      <c r="O15" s="20">
        <f>'TR TE'!$O$15*'TR TE'!$O$51</f>
        <v>7.6605309289669696</v>
      </c>
      <c r="P15" s="20">
        <f>SUM($L$15:$O$15)</f>
        <v>24.25301711830306</v>
      </c>
      <c r="Q15" s="20">
        <f>'TR TE'!$Q$15*'TR TE'!$Q$51</f>
        <v>210.73546771818451</v>
      </c>
      <c r="R15" s="20">
        <f>SUM($Q$15:$Q$15)</f>
        <v>210.73546771818451</v>
      </c>
      <c r="S15" s="20">
        <f>'TR TE'!$S$15*'TR TE'!$S$51</f>
        <v>0</v>
      </c>
      <c r="T15" s="20">
        <f>'TR TE'!$T$15*'TR TE'!$T$51</f>
        <v>0</v>
      </c>
      <c r="U15" s="20">
        <f>'TR TE'!$U$15*'TR TE'!$U$51</f>
        <v>1.8513197508430369E-12</v>
      </c>
      <c r="V15" s="20">
        <f>SUM($S$15:$U$15)</f>
        <v>1.8513197508430369E-12</v>
      </c>
      <c r="W15" s="20"/>
      <c r="X15" s="20">
        <f>SUM($W$15:$W$15)</f>
        <v>0</v>
      </c>
      <c r="Y15" s="20">
        <f>'TR TE'!$Y$15*'TR TE'!$Y$51</f>
        <v>4.2037250673321065</v>
      </c>
      <c r="Z15" s="20">
        <f>SUM($Y$15:$Y$15)</f>
        <v>4.2037250673321065</v>
      </c>
      <c r="AA15" s="20">
        <f>SUMIF($L$4:$Z$4,"SUBTOTAL",$L$15:$Z$15)</f>
        <v>239.19220990382152</v>
      </c>
    </row>
    <row r="16" spans="1:27" ht="11.25" customHeight="1" x14ac:dyDescent="0.25">
      <c r="A16" s="117"/>
      <c r="B16" s="117"/>
      <c r="C16" s="117"/>
      <c r="D16" s="23" t="s">
        <v>31</v>
      </c>
      <c r="E16" s="23" t="s">
        <v>25</v>
      </c>
      <c r="F16" s="23" t="s">
        <v>25</v>
      </c>
      <c r="G16" s="22" t="s">
        <v>84</v>
      </c>
      <c r="H16" s="22" t="s">
        <v>78</v>
      </c>
      <c r="I16" s="22">
        <f>'MERCADO TE'!$U$13</f>
        <v>13213.162</v>
      </c>
      <c r="J16" s="15"/>
      <c r="L16" s="20">
        <f>'TR TE'!$L$16*'TR TE'!$L$51</f>
        <v>2.5213258337079196</v>
      </c>
      <c r="M16" s="20">
        <f>'TR TE'!$M$16*'TR TE'!$M$51</f>
        <v>14.071160355628169</v>
      </c>
      <c r="N16" s="20">
        <f>'TR TE'!$N$16*'TR TE'!$N$51</f>
        <v>0</v>
      </c>
      <c r="O16" s="20">
        <f>'TR TE'!$O$16*'TR TE'!$O$51</f>
        <v>7.6605309289669696</v>
      </c>
      <c r="P16" s="20">
        <f>SUM($L$16:$O$16)</f>
        <v>24.25301711830306</v>
      </c>
      <c r="Q16" s="20">
        <f>'TR TE'!$Q$16*'TR TE'!$Q$51</f>
        <v>210.73546771818451</v>
      </c>
      <c r="R16" s="20">
        <f>SUM($Q$16:$Q$16)</f>
        <v>210.73546771818451</v>
      </c>
      <c r="S16" s="20">
        <f>'TR TE'!$S$16*'TR TE'!$S$51</f>
        <v>0</v>
      </c>
      <c r="T16" s="20">
        <f>'TR TE'!$T$16*'TR TE'!$T$51</f>
        <v>0</v>
      </c>
      <c r="U16" s="20">
        <f>'TR TE'!$U$16*'TR TE'!$U$51</f>
        <v>1.8513197508430369E-12</v>
      </c>
      <c r="V16" s="20">
        <f>SUM($S$16:$U$16)</f>
        <v>1.8513197508430369E-12</v>
      </c>
      <c r="W16" s="20"/>
      <c r="X16" s="20">
        <f>SUM($W$16:$W$16)</f>
        <v>0</v>
      </c>
      <c r="Y16" s="20">
        <f>'TR TE'!$Y$16*'TR TE'!$Y$51</f>
        <v>4.2037250673321065</v>
      </c>
      <c r="Z16" s="20">
        <f>SUM($Y$16:$Y$16)</f>
        <v>4.2037250673321065</v>
      </c>
      <c r="AA16" s="20">
        <f>SUMIF($L$4:$Z$4,"SUBTOTAL",$L$16:$Z$16)</f>
        <v>239.19220990382152</v>
      </c>
    </row>
    <row r="17" spans="1:27" ht="11.25" customHeight="1" x14ac:dyDescent="0.25">
      <c r="A17" s="117"/>
      <c r="B17" s="117"/>
      <c r="C17" s="117"/>
      <c r="D17" s="23" t="s">
        <v>32</v>
      </c>
      <c r="E17" s="23" t="s">
        <v>25</v>
      </c>
      <c r="F17" s="23" t="s">
        <v>25</v>
      </c>
      <c r="G17" s="22" t="s">
        <v>84</v>
      </c>
      <c r="H17" s="22" t="s">
        <v>78</v>
      </c>
      <c r="I17" s="22">
        <f>'MERCADO TE'!$U$14</f>
        <v>2931.0630000000001</v>
      </c>
      <c r="J17" s="15"/>
      <c r="L17" s="20">
        <f>'TR TE'!$L$17*'TR TE'!$L$51</f>
        <v>2.5213258337079196</v>
      </c>
      <c r="M17" s="20">
        <f>'TR TE'!$M$17*'TR TE'!$M$51</f>
        <v>14.071160355628169</v>
      </c>
      <c r="N17" s="20">
        <f>'TR TE'!$N$17*'TR TE'!$N$51</f>
        <v>0</v>
      </c>
      <c r="O17" s="20">
        <f>'TR TE'!$O$17*'TR TE'!$O$51</f>
        <v>7.6605309289669696</v>
      </c>
      <c r="P17" s="20">
        <f>SUM($L$17:$O$17)</f>
        <v>24.25301711830306</v>
      </c>
      <c r="Q17" s="20">
        <f>'TR TE'!$Q$17*'TR TE'!$Q$51</f>
        <v>210.73546771818451</v>
      </c>
      <c r="R17" s="20">
        <f>SUM($Q$17:$Q$17)</f>
        <v>210.73546771818451</v>
      </c>
      <c r="S17" s="20">
        <f>'TR TE'!$S$17*'TR TE'!$S$51</f>
        <v>0</v>
      </c>
      <c r="T17" s="20">
        <f>'TR TE'!$T$17*'TR TE'!$T$51</f>
        <v>0</v>
      </c>
      <c r="U17" s="20">
        <f>'TR TE'!$U$17*'TR TE'!$U$51</f>
        <v>1.8513197508430369E-12</v>
      </c>
      <c r="V17" s="20">
        <f>SUM($S$17:$U$17)</f>
        <v>1.8513197508430369E-12</v>
      </c>
      <c r="W17" s="20"/>
      <c r="X17" s="20">
        <f>SUM($W$17:$W$17)</f>
        <v>0</v>
      </c>
      <c r="Y17" s="20">
        <f>'TR TE'!$Y$17*'TR TE'!$Y$51</f>
        <v>4.2037250673321065</v>
      </c>
      <c r="Z17" s="20">
        <f>SUM($Y$17:$Y$17)</f>
        <v>4.2037250673321065</v>
      </c>
      <c r="AA17" s="20">
        <f>SUMIF($L$4:$Z$4,"SUBTOTAL",$L$17:$Z$17)</f>
        <v>239.19220990382152</v>
      </c>
    </row>
    <row r="18" spans="1:27" ht="11.25" customHeight="1" x14ac:dyDescent="0.25">
      <c r="A18" s="117"/>
      <c r="B18" s="117" t="s">
        <v>92</v>
      </c>
      <c r="C18" s="117" t="s">
        <v>24</v>
      </c>
      <c r="D18" s="23" t="s">
        <v>24</v>
      </c>
      <c r="E18" s="23" t="s">
        <v>25</v>
      </c>
      <c r="F18" s="23" t="s">
        <v>25</v>
      </c>
      <c r="G18" s="22" t="s">
        <v>84</v>
      </c>
      <c r="H18" s="22" t="s">
        <v>78</v>
      </c>
      <c r="I18" s="22">
        <f>'MERCADO TE'!$U$15</f>
        <v>0</v>
      </c>
      <c r="J18" s="15"/>
      <c r="L18" s="20">
        <f>'TR TE'!$L$18*'TR TE'!$L$51</f>
        <v>2.5213258337079196</v>
      </c>
      <c r="M18" s="20">
        <f>'TR TE'!$M$18*'TR TE'!$M$51</f>
        <v>14.071160355628169</v>
      </c>
      <c r="N18" s="20">
        <f>'TR TE'!$N$18*'TR TE'!$N$51</f>
        <v>0</v>
      </c>
      <c r="O18" s="20">
        <f>'TR TE'!$O$18*'TR TE'!$O$51</f>
        <v>7.6605309289669696</v>
      </c>
      <c r="P18" s="20">
        <f>SUM($L$18:$O$18)</f>
        <v>24.25301711830306</v>
      </c>
      <c r="Q18" s="20">
        <f>'TR TE'!$Q$18*'TR TE'!$Q$51</f>
        <v>210.73546771818451</v>
      </c>
      <c r="R18" s="20">
        <f>SUM($Q$18:$Q$18)</f>
        <v>210.73546771818451</v>
      </c>
      <c r="S18" s="20">
        <f>'TR TE'!$S$18*'TR TE'!$S$51</f>
        <v>0</v>
      </c>
      <c r="T18" s="20">
        <f>'TR TE'!$T$18*'TR TE'!$T$51</f>
        <v>0</v>
      </c>
      <c r="U18" s="20">
        <f>'TR TE'!$U$18*'TR TE'!$U$51</f>
        <v>1.8513197508430369E-12</v>
      </c>
      <c r="V18" s="20">
        <f>SUM($S$18:$U$18)</f>
        <v>1.8513197508430369E-12</v>
      </c>
      <c r="W18" s="20"/>
      <c r="X18" s="20">
        <f>SUM($W$18:$W$18)</f>
        <v>0</v>
      </c>
      <c r="Y18" s="20">
        <f>'TR TE'!$Y$18*'TR TE'!$Y$51</f>
        <v>4.2037250673321065</v>
      </c>
      <c r="Z18" s="20">
        <f>SUM($Y$18:$Y$18)</f>
        <v>4.2037250673321065</v>
      </c>
      <c r="AA18" s="20">
        <f>SUMIF($L$4:$Z$4,"SUBTOTAL",$L$18:$Z$18)</f>
        <v>239.19220990382152</v>
      </c>
    </row>
    <row r="19" spans="1:27" ht="11.25" customHeight="1" x14ac:dyDescent="0.25">
      <c r="A19" s="117"/>
      <c r="B19" s="117"/>
      <c r="C19" s="117"/>
      <c r="D19" s="23" t="s">
        <v>29</v>
      </c>
      <c r="E19" s="23" t="s">
        <v>25</v>
      </c>
      <c r="F19" s="23" t="s">
        <v>25</v>
      </c>
      <c r="G19" s="22" t="s">
        <v>84</v>
      </c>
      <c r="H19" s="22" t="s">
        <v>78</v>
      </c>
      <c r="I19" s="22">
        <f>'MERCADO TE'!$U$16</f>
        <v>0</v>
      </c>
      <c r="J19" s="15"/>
      <c r="L19" s="20">
        <f>'TR TE'!$L$19*'TR TE'!$L$51</f>
        <v>2.5213258337079196</v>
      </c>
      <c r="M19" s="20">
        <f>'TR TE'!$M$19*'TR TE'!$M$51</f>
        <v>14.071160355628169</v>
      </c>
      <c r="N19" s="20">
        <f>'TR TE'!$N$19*'TR TE'!$N$51</f>
        <v>0</v>
      </c>
      <c r="O19" s="20">
        <f>'TR TE'!$O$19*'TR TE'!$O$51</f>
        <v>7.6605309289669696</v>
      </c>
      <c r="P19" s="20">
        <f>SUM($L$19:$O$19)</f>
        <v>24.25301711830306</v>
      </c>
      <c r="Q19" s="20">
        <f>'TR TE'!$Q$19*'TR TE'!$Q$51</f>
        <v>210.73546771818451</v>
      </c>
      <c r="R19" s="20">
        <f>SUM($Q$19:$Q$19)</f>
        <v>210.73546771818451</v>
      </c>
      <c r="S19" s="20">
        <f>'TR TE'!$S$19*'TR TE'!$S$51</f>
        <v>0</v>
      </c>
      <c r="T19" s="20">
        <f>'TR TE'!$T$19*'TR TE'!$T$51</f>
        <v>0</v>
      </c>
      <c r="U19" s="20">
        <f>'TR TE'!$U$19*'TR TE'!$U$51</f>
        <v>1.8513197508430369E-12</v>
      </c>
      <c r="V19" s="20">
        <f>SUM($S$19:$U$19)</f>
        <v>1.8513197508430369E-12</v>
      </c>
      <c r="W19" s="20"/>
      <c r="X19" s="20">
        <f>SUM($W$19:$W$19)</f>
        <v>0</v>
      </c>
      <c r="Y19" s="20">
        <f>'TR TE'!$Y$19*'TR TE'!$Y$51</f>
        <v>4.2037250673321065</v>
      </c>
      <c r="Z19" s="20">
        <f>SUM($Y$19:$Y$19)</f>
        <v>4.2037250673321065</v>
      </c>
      <c r="AA19" s="20">
        <f>SUMIF($L$4:$Z$4,"SUBTOTAL",$L$19:$Z$19)</f>
        <v>239.19220990382152</v>
      </c>
    </row>
    <row r="20" spans="1:27" ht="11.25" customHeight="1" x14ac:dyDescent="0.25">
      <c r="A20" s="117"/>
      <c r="B20" s="117"/>
      <c r="C20" s="117"/>
      <c r="D20" s="23" t="s">
        <v>30</v>
      </c>
      <c r="E20" s="23" t="s">
        <v>25</v>
      </c>
      <c r="F20" s="23" t="s">
        <v>25</v>
      </c>
      <c r="G20" s="22" t="s">
        <v>84</v>
      </c>
      <c r="H20" s="22" t="s">
        <v>78</v>
      </c>
      <c r="I20" s="22">
        <f>'MERCADO TE'!$U$17</f>
        <v>0</v>
      </c>
      <c r="J20" s="15"/>
      <c r="L20" s="20">
        <f>'TR TE'!$L$20*'TR TE'!$L$51</f>
        <v>2.5213258337079196</v>
      </c>
      <c r="M20" s="20">
        <f>'TR TE'!$M$20*'TR TE'!$M$51</f>
        <v>14.071160355628169</v>
      </c>
      <c r="N20" s="20">
        <f>'TR TE'!$N$20*'TR TE'!$N$51</f>
        <v>0</v>
      </c>
      <c r="O20" s="20">
        <f>'TR TE'!$O$20*'TR TE'!$O$51</f>
        <v>7.6605309289669696</v>
      </c>
      <c r="P20" s="20">
        <f>SUM($L$20:$O$20)</f>
        <v>24.25301711830306</v>
      </c>
      <c r="Q20" s="20">
        <f>'TR TE'!$Q$20*'TR TE'!$Q$51</f>
        <v>210.73546771818451</v>
      </c>
      <c r="R20" s="20">
        <f>SUM($Q$20:$Q$20)</f>
        <v>210.73546771818451</v>
      </c>
      <c r="S20" s="20">
        <f>'TR TE'!$S$20*'TR TE'!$S$51</f>
        <v>0</v>
      </c>
      <c r="T20" s="20">
        <f>'TR TE'!$T$20*'TR TE'!$T$51</f>
        <v>0</v>
      </c>
      <c r="U20" s="20">
        <f>'TR TE'!$U$20*'TR TE'!$U$51</f>
        <v>1.8513197508430369E-12</v>
      </c>
      <c r="V20" s="20">
        <f>SUM($S$20:$U$20)</f>
        <v>1.8513197508430369E-12</v>
      </c>
      <c r="W20" s="20"/>
      <c r="X20" s="20">
        <f>SUM($W$20:$W$20)</f>
        <v>0</v>
      </c>
      <c r="Y20" s="20">
        <f>'TR TE'!$Y$20*'TR TE'!$Y$51</f>
        <v>4.2037250673321065</v>
      </c>
      <c r="Z20" s="20">
        <f>SUM($Y$20:$Y$20)</f>
        <v>4.2037250673321065</v>
      </c>
      <c r="AA20" s="20">
        <f>SUMIF($L$4:$Z$4,"SUBTOTAL",$L$20:$Z$20)</f>
        <v>239.19220990382152</v>
      </c>
    </row>
    <row r="21" spans="1:27" ht="11.25" customHeight="1" x14ac:dyDescent="0.25">
      <c r="A21" s="117"/>
      <c r="B21" s="117"/>
      <c r="C21" s="117"/>
      <c r="D21" s="23" t="s">
        <v>31</v>
      </c>
      <c r="E21" s="23" t="s">
        <v>25</v>
      </c>
      <c r="F21" s="23" t="s">
        <v>25</v>
      </c>
      <c r="G21" s="22" t="s">
        <v>84</v>
      </c>
      <c r="H21" s="22" t="s">
        <v>78</v>
      </c>
      <c r="I21" s="22">
        <f>'MERCADO TE'!$U$18</f>
        <v>0</v>
      </c>
      <c r="J21" s="15"/>
      <c r="L21" s="20">
        <f>'TR TE'!$L$21*'TR TE'!$L$51</f>
        <v>2.5213258337079196</v>
      </c>
      <c r="M21" s="20">
        <f>'TR TE'!$M$21*'TR TE'!$M$51</f>
        <v>14.071160355628169</v>
      </c>
      <c r="N21" s="20">
        <f>'TR TE'!$N$21*'TR TE'!$N$51</f>
        <v>0</v>
      </c>
      <c r="O21" s="20">
        <f>'TR TE'!$O$21*'TR TE'!$O$51</f>
        <v>7.6605309289669696</v>
      </c>
      <c r="P21" s="20">
        <f>SUM($L$21:$O$21)</f>
        <v>24.25301711830306</v>
      </c>
      <c r="Q21" s="20">
        <f>'TR TE'!$Q$21*'TR TE'!$Q$51</f>
        <v>210.73546771818451</v>
      </c>
      <c r="R21" s="20">
        <f>SUM($Q$21:$Q$21)</f>
        <v>210.73546771818451</v>
      </c>
      <c r="S21" s="20">
        <f>'TR TE'!$S$21*'TR TE'!$S$51</f>
        <v>0</v>
      </c>
      <c r="T21" s="20">
        <f>'TR TE'!$T$21*'TR TE'!$T$51</f>
        <v>0</v>
      </c>
      <c r="U21" s="20">
        <f>'TR TE'!$U$21*'TR TE'!$U$51</f>
        <v>1.8513197508430369E-12</v>
      </c>
      <c r="V21" s="20">
        <f>SUM($S$21:$U$21)</f>
        <v>1.8513197508430369E-12</v>
      </c>
      <c r="W21" s="20"/>
      <c r="X21" s="20">
        <f>SUM($W$21:$W$21)</f>
        <v>0</v>
      </c>
      <c r="Y21" s="20">
        <f>'TR TE'!$Y$21*'TR TE'!$Y$51</f>
        <v>4.2037250673321065</v>
      </c>
      <c r="Z21" s="20">
        <f>SUM($Y$21:$Y$21)</f>
        <v>4.2037250673321065</v>
      </c>
      <c r="AA21" s="20">
        <f>SUMIF($L$4:$Z$4,"SUBTOTAL",$L$21:$Z$21)</f>
        <v>239.19220990382152</v>
      </c>
    </row>
    <row r="22" spans="1:27" ht="11.25" customHeight="1" x14ac:dyDescent="0.25">
      <c r="A22" s="117"/>
      <c r="B22" s="117"/>
      <c r="C22" s="117"/>
      <c r="D22" s="23" t="s">
        <v>32</v>
      </c>
      <c r="E22" s="23" t="s">
        <v>25</v>
      </c>
      <c r="F22" s="23" t="s">
        <v>25</v>
      </c>
      <c r="G22" s="22" t="s">
        <v>84</v>
      </c>
      <c r="H22" s="22" t="s">
        <v>78</v>
      </c>
      <c r="I22" s="22">
        <f>'MERCADO TE'!$U$19</f>
        <v>0</v>
      </c>
      <c r="J22" s="15"/>
      <c r="L22" s="20">
        <f>'TR TE'!$L$22*'TR TE'!$L$51</f>
        <v>2.5213258337079196</v>
      </c>
      <c r="M22" s="20">
        <f>'TR TE'!$M$22*'TR TE'!$M$51</f>
        <v>14.071160355628169</v>
      </c>
      <c r="N22" s="20">
        <f>'TR TE'!$N$22*'TR TE'!$N$51</f>
        <v>0</v>
      </c>
      <c r="O22" s="20">
        <f>'TR TE'!$O$22*'TR TE'!$O$51</f>
        <v>7.6605309289669696</v>
      </c>
      <c r="P22" s="20">
        <f>SUM($L$22:$O$22)</f>
        <v>24.25301711830306</v>
      </c>
      <c r="Q22" s="20">
        <f>'TR TE'!$Q$22*'TR TE'!$Q$51</f>
        <v>210.73546771818451</v>
      </c>
      <c r="R22" s="20">
        <f>SUM($Q$22:$Q$22)</f>
        <v>210.73546771818451</v>
      </c>
      <c r="S22" s="20">
        <f>'TR TE'!$S$22*'TR TE'!$S$51</f>
        <v>0</v>
      </c>
      <c r="T22" s="20">
        <f>'TR TE'!$T$22*'TR TE'!$T$51</f>
        <v>0</v>
      </c>
      <c r="U22" s="20">
        <f>'TR TE'!$U$22*'TR TE'!$U$51</f>
        <v>1.8513197508430369E-12</v>
      </c>
      <c r="V22" s="20">
        <f>SUM($S$22:$U$22)</f>
        <v>1.8513197508430369E-12</v>
      </c>
      <c r="W22" s="20"/>
      <c r="X22" s="20">
        <f>SUM($W$22:$W$22)</f>
        <v>0</v>
      </c>
      <c r="Y22" s="20">
        <f>'TR TE'!$Y$22*'TR TE'!$Y$51</f>
        <v>4.2037250673321065</v>
      </c>
      <c r="Z22" s="20">
        <f>SUM($Y$22:$Y$22)</f>
        <v>4.2037250673321065</v>
      </c>
      <c r="AA22" s="20">
        <f>SUMIF($L$4:$Z$4,"SUBTOTAL",$L$22:$Z$22)</f>
        <v>239.19220990382152</v>
      </c>
    </row>
    <row r="23" spans="1:27" ht="11.25" customHeight="1" x14ac:dyDescent="0.25">
      <c r="A23" s="117" t="s">
        <v>43</v>
      </c>
      <c r="B23" s="117" t="s">
        <v>77</v>
      </c>
      <c r="C23" s="117" t="s">
        <v>44</v>
      </c>
      <c r="D23" s="117" t="s">
        <v>25</v>
      </c>
      <c r="E23" s="117" t="s">
        <v>25</v>
      </c>
      <c r="F23" s="117" t="s">
        <v>25</v>
      </c>
      <c r="G23" s="22" t="s">
        <v>79</v>
      </c>
      <c r="H23" s="22" t="s">
        <v>78</v>
      </c>
      <c r="I23" s="22">
        <f>'MERCADO TE'!$U$20</f>
        <v>0.16600000000000004</v>
      </c>
      <c r="J23" s="15"/>
      <c r="L23" s="20">
        <f>'TR TE'!$L$23*'TR TE'!$L$51</f>
        <v>2.5213258337079196</v>
      </c>
      <c r="M23" s="20">
        <f>'TR TE'!$M$23*'TR TE'!$M$51</f>
        <v>14.071160355628169</v>
      </c>
      <c r="N23" s="20">
        <f>'TR TE'!$N$23*'TR TE'!$N$51</f>
        <v>0</v>
      </c>
      <c r="O23" s="20">
        <f>'TR TE'!$O$23*'TR TE'!$O$51</f>
        <v>7.6605309289669696</v>
      </c>
      <c r="P23" s="20">
        <f>SUM($L$23:$O$23)</f>
        <v>24.25301711830306</v>
      </c>
      <c r="Q23" s="20">
        <f>'TR TE'!$Q$23*'TR TE'!$Q$51</f>
        <v>341.94811742950691</v>
      </c>
      <c r="R23" s="20">
        <f>SUM($Q$23:$Q$23)</f>
        <v>341.94811742950691</v>
      </c>
      <c r="S23" s="20">
        <f>'TR TE'!$S$23*'TR TE'!$S$51</f>
        <v>0</v>
      </c>
      <c r="T23" s="20">
        <f>'TR TE'!$T$23*'TR TE'!$T$51</f>
        <v>0</v>
      </c>
      <c r="U23" s="20">
        <f>'TR TE'!$U$23*'TR TE'!$U$51</f>
        <v>1.8513197508430369E-12</v>
      </c>
      <c r="V23" s="20">
        <f>SUM($S$23:$U$23)</f>
        <v>1.8513197508430369E-12</v>
      </c>
      <c r="W23" s="20"/>
      <c r="X23" s="20">
        <f>SUM($W$23:$W$23)</f>
        <v>0</v>
      </c>
      <c r="Y23" s="20">
        <f>'TR TE'!$Y$23*'TR TE'!$Y$51</f>
        <v>4.2037250673321065</v>
      </c>
      <c r="Z23" s="20">
        <f>SUM($Y$23:$Y$23)</f>
        <v>4.2037250673321065</v>
      </c>
      <c r="AA23" s="20">
        <f>SUMIF($L$4:$Z$4,"SUBTOTAL",$L$23:$Z$23)</f>
        <v>370.40485961514395</v>
      </c>
    </row>
    <row r="24" spans="1:27" ht="11.25" customHeight="1" x14ac:dyDescent="0.25">
      <c r="A24" s="117"/>
      <c r="B24" s="117"/>
      <c r="C24" s="117"/>
      <c r="D24" s="117"/>
      <c r="E24" s="117"/>
      <c r="F24" s="117"/>
      <c r="G24" s="22" t="s">
        <v>91</v>
      </c>
      <c r="H24" s="22" t="s">
        <v>78</v>
      </c>
      <c r="I24" s="22">
        <f>'MERCADO TE'!$U$21</f>
        <v>0.14499999999999999</v>
      </c>
      <c r="J24" s="15"/>
      <c r="L24" s="20">
        <f>'TR TE'!$L$24*'TR TE'!$L$51</f>
        <v>2.5213258337079196</v>
      </c>
      <c r="M24" s="20">
        <f>'TR TE'!$M$24*'TR TE'!$M$51</f>
        <v>14.071160355628169</v>
      </c>
      <c r="N24" s="20">
        <f>'TR TE'!$N$24*'TR TE'!$N$51</f>
        <v>0</v>
      </c>
      <c r="O24" s="20">
        <f>'TR TE'!$O$24*'TR TE'!$O$51</f>
        <v>7.6605309289669696</v>
      </c>
      <c r="P24" s="20">
        <f>SUM($L$24:$O$24)</f>
        <v>24.25301711830306</v>
      </c>
      <c r="Q24" s="20">
        <f>'TR TE'!$Q$24*'TR TE'!$Q$51</f>
        <v>198.80704501715519</v>
      </c>
      <c r="R24" s="20">
        <f>SUM($Q$24:$Q$24)</f>
        <v>198.80704501715519</v>
      </c>
      <c r="S24" s="20">
        <f>'TR TE'!$S$24*'TR TE'!$S$51</f>
        <v>0</v>
      </c>
      <c r="T24" s="20">
        <f>'TR TE'!$T$24*'TR TE'!$T$51</f>
        <v>0</v>
      </c>
      <c r="U24" s="20">
        <f>'TR TE'!$U$24*'TR TE'!$U$51</f>
        <v>1.8513197508430369E-12</v>
      </c>
      <c r="V24" s="20">
        <f>SUM($S$24:$U$24)</f>
        <v>1.8513197508430369E-12</v>
      </c>
      <c r="W24" s="20"/>
      <c r="X24" s="20">
        <f>SUM($W$24:$W$24)</f>
        <v>0</v>
      </c>
      <c r="Y24" s="20">
        <f>'TR TE'!$Y$24*'TR TE'!$Y$51</f>
        <v>4.2037250673321065</v>
      </c>
      <c r="Z24" s="20">
        <f>SUM($Y$24:$Y$24)</f>
        <v>4.2037250673321065</v>
      </c>
      <c r="AA24" s="20">
        <f>SUMIF($L$4:$Z$4,"SUBTOTAL",$L$24:$Z$24)</f>
        <v>227.2637872027922</v>
      </c>
    </row>
    <row r="25" spans="1:27" ht="11.25" customHeight="1" x14ac:dyDescent="0.25">
      <c r="A25" s="117"/>
      <c r="B25" s="117"/>
      <c r="C25" s="117"/>
      <c r="D25" s="117"/>
      <c r="E25" s="117"/>
      <c r="F25" s="117"/>
      <c r="G25" s="22" t="s">
        <v>80</v>
      </c>
      <c r="H25" s="22" t="s">
        <v>78</v>
      </c>
      <c r="I25" s="22">
        <f>'MERCADO TE'!$U$22</f>
        <v>3.37</v>
      </c>
      <c r="J25" s="15"/>
      <c r="L25" s="20">
        <f>'TR TE'!$L$25*'TR TE'!$L$51</f>
        <v>2.5213258337079196</v>
      </c>
      <c r="M25" s="20">
        <f>'TR TE'!$M$25*'TR TE'!$M$51</f>
        <v>14.071160355628169</v>
      </c>
      <c r="N25" s="20">
        <f>'TR TE'!$N$25*'TR TE'!$N$51</f>
        <v>0</v>
      </c>
      <c r="O25" s="20">
        <f>'TR TE'!$O$25*'TR TE'!$O$51</f>
        <v>7.6605309289669696</v>
      </c>
      <c r="P25" s="20">
        <f>SUM($L$25:$O$25)</f>
        <v>24.25301711830306</v>
      </c>
      <c r="Q25" s="20">
        <f>'TR TE'!$Q$25*'TR TE'!$Q$51</f>
        <v>198.80704501715519</v>
      </c>
      <c r="R25" s="20">
        <f>SUM($Q$25:$Q$25)</f>
        <v>198.80704501715519</v>
      </c>
      <c r="S25" s="20">
        <f>'TR TE'!$S$25*'TR TE'!$S$51</f>
        <v>0</v>
      </c>
      <c r="T25" s="20">
        <f>'TR TE'!$T$25*'TR TE'!$T$51</f>
        <v>0</v>
      </c>
      <c r="U25" s="20">
        <f>'TR TE'!$U$25*'TR TE'!$U$51</f>
        <v>1.8513197508430369E-12</v>
      </c>
      <c r="V25" s="20">
        <f>SUM($S$25:$U$25)</f>
        <v>1.8513197508430369E-12</v>
      </c>
      <c r="W25" s="20"/>
      <c r="X25" s="20">
        <f>SUM($W$25:$W$25)</f>
        <v>0</v>
      </c>
      <c r="Y25" s="20">
        <f>'TR TE'!$Y$25*'TR TE'!$Y$51</f>
        <v>4.2037250673321065</v>
      </c>
      <c r="Z25" s="20">
        <f>SUM($Y$25:$Y$25)</f>
        <v>4.2037250673321065</v>
      </c>
      <c r="AA25" s="20">
        <f>SUMIF($L$4:$Z$4,"SUBTOTAL",$L$25:$Z$25)</f>
        <v>227.2637872027922</v>
      </c>
    </row>
    <row r="26" spans="1:27" ht="11.25" customHeight="1" x14ac:dyDescent="0.25">
      <c r="A26" s="117"/>
      <c r="B26" s="23" t="s">
        <v>86</v>
      </c>
      <c r="C26" s="23" t="s">
        <v>44</v>
      </c>
      <c r="D26" s="23" t="s">
        <v>25</v>
      </c>
      <c r="E26" s="23" t="s">
        <v>25</v>
      </c>
      <c r="F26" s="23" t="s">
        <v>25</v>
      </c>
      <c r="G26" s="22" t="s">
        <v>84</v>
      </c>
      <c r="H26" s="22" t="s">
        <v>78</v>
      </c>
      <c r="I26" s="22">
        <f>'MERCADO TE'!$U$23</f>
        <v>23741.584000000003</v>
      </c>
      <c r="J26" s="15"/>
      <c r="L26" s="20">
        <f>'TR TE'!$L$26*'TR TE'!$L$51</f>
        <v>2.5213258337079196</v>
      </c>
      <c r="M26" s="20">
        <f>'TR TE'!$M$26*'TR TE'!$M$51</f>
        <v>14.071160355628169</v>
      </c>
      <c r="N26" s="20">
        <f>'TR TE'!$N$26*'TR TE'!$N$51</f>
        <v>0</v>
      </c>
      <c r="O26" s="20">
        <f>'TR TE'!$O$26*'TR TE'!$O$51</f>
        <v>7.6605309289669696</v>
      </c>
      <c r="P26" s="20">
        <f>SUM($L$26:$O$26)</f>
        <v>24.25301711830306</v>
      </c>
      <c r="Q26" s="20">
        <f>'TR TE'!$Q$26*'TR TE'!$Q$51</f>
        <v>210.73546771818451</v>
      </c>
      <c r="R26" s="20">
        <f>SUM($Q$26:$Q$26)</f>
        <v>210.73546771818451</v>
      </c>
      <c r="S26" s="20">
        <f>'TR TE'!$S$26*'TR TE'!$S$51</f>
        <v>0</v>
      </c>
      <c r="T26" s="20">
        <f>'TR TE'!$T$26*'TR TE'!$T$51</f>
        <v>0</v>
      </c>
      <c r="U26" s="20">
        <f>'TR TE'!$U$26*'TR TE'!$U$51</f>
        <v>1.8513197508430369E-12</v>
      </c>
      <c r="V26" s="20">
        <f>SUM($S$26:$U$26)</f>
        <v>1.8513197508430369E-12</v>
      </c>
      <c r="W26" s="20"/>
      <c r="X26" s="20">
        <f>SUM($W$26:$W$26)</f>
        <v>0</v>
      </c>
      <c r="Y26" s="20">
        <f>'TR TE'!$Y$26*'TR TE'!$Y$51</f>
        <v>4.2037250673321065</v>
      </c>
      <c r="Z26" s="20">
        <f>SUM($Y$26:$Y$26)</f>
        <v>4.2037250673321065</v>
      </c>
      <c r="AA26" s="20">
        <f>SUMIF($L$4:$Z$4,"SUBTOTAL",$L$26:$Z$26)</f>
        <v>239.19220990382152</v>
      </c>
    </row>
    <row r="27" spans="1:27" ht="11.25" customHeight="1" x14ac:dyDescent="0.25">
      <c r="A27" s="117"/>
      <c r="B27" s="117" t="s">
        <v>77</v>
      </c>
      <c r="C27" s="117" t="s">
        <v>44</v>
      </c>
      <c r="D27" s="117" t="s">
        <v>94</v>
      </c>
      <c r="E27" s="117" t="s">
        <v>25</v>
      </c>
      <c r="F27" s="117" t="s">
        <v>25</v>
      </c>
      <c r="G27" s="22" t="s">
        <v>79</v>
      </c>
      <c r="H27" s="22" t="s">
        <v>78</v>
      </c>
      <c r="I27" s="22">
        <f>'MERCADO TE'!$U$24</f>
        <v>0</v>
      </c>
      <c r="J27" s="15"/>
      <c r="L27" s="20">
        <f>'TR TE'!$L$27*'TR TE'!$L$51</f>
        <v>2.5213258337079196</v>
      </c>
      <c r="M27" s="20">
        <f>'TR TE'!$M$27*'TR TE'!$M$51</f>
        <v>14.071160355628169</v>
      </c>
      <c r="N27" s="20">
        <f>'TR TE'!$N$27*'TR TE'!$N$51</f>
        <v>0</v>
      </c>
      <c r="O27" s="20">
        <f>'TR TE'!$O$27*'TR TE'!$O$51</f>
        <v>7.6605309289669696</v>
      </c>
      <c r="P27" s="20">
        <f>SUM($L$27:$O$27)</f>
        <v>24.25301711830306</v>
      </c>
      <c r="Q27" s="20">
        <f>'TR TE'!$Q$27*'TR TE'!$Q$51</f>
        <v>341.94811742950691</v>
      </c>
      <c r="R27" s="20">
        <f>SUM($Q$27:$Q$27)</f>
        <v>341.94811742950691</v>
      </c>
      <c r="S27" s="20">
        <f>'TR TE'!$S$27*'TR TE'!$S$51</f>
        <v>0</v>
      </c>
      <c r="T27" s="20">
        <f>'TR TE'!$T$27*'TR TE'!$T$51</f>
        <v>0</v>
      </c>
      <c r="U27" s="20">
        <f>'TR TE'!$U$27*'TR TE'!$U$51</f>
        <v>1.8513197508430369E-12</v>
      </c>
      <c r="V27" s="20">
        <f>SUM($S$27:$U$27)</f>
        <v>1.8513197508430369E-12</v>
      </c>
      <c r="W27" s="20"/>
      <c r="X27" s="20">
        <f>SUM($W$27:$W$27)</f>
        <v>0</v>
      </c>
      <c r="Y27" s="20">
        <f>'TR TE'!$Y$27*'TR TE'!$Y$51</f>
        <v>4.2037250673321065</v>
      </c>
      <c r="Z27" s="20">
        <f>SUM($Y$27:$Y$27)</f>
        <v>4.2037250673321065</v>
      </c>
      <c r="AA27" s="20">
        <f>SUMIF($L$4:$Z$4,"SUBTOTAL",$L$27:$Z$27)</f>
        <v>370.40485961514395</v>
      </c>
    </row>
    <row r="28" spans="1:27" ht="11.25" customHeight="1" x14ac:dyDescent="0.25">
      <c r="A28" s="117"/>
      <c r="B28" s="117"/>
      <c r="C28" s="117"/>
      <c r="D28" s="117"/>
      <c r="E28" s="117"/>
      <c r="F28" s="117"/>
      <c r="G28" s="22" t="s">
        <v>91</v>
      </c>
      <c r="H28" s="22" t="s">
        <v>78</v>
      </c>
      <c r="I28" s="22">
        <f>'MERCADO TE'!$U$25</f>
        <v>0</v>
      </c>
      <c r="J28" s="15"/>
      <c r="L28" s="20">
        <f>'TR TE'!$L$28*'TR TE'!$L$51</f>
        <v>2.5213258337079196</v>
      </c>
      <c r="M28" s="20">
        <f>'TR TE'!$M$28*'TR TE'!$M$51</f>
        <v>14.071160355628169</v>
      </c>
      <c r="N28" s="20">
        <f>'TR TE'!$N$28*'TR TE'!$N$51</f>
        <v>0</v>
      </c>
      <c r="O28" s="20">
        <f>'TR TE'!$O$28*'TR TE'!$O$51</f>
        <v>7.6605309289669696</v>
      </c>
      <c r="P28" s="20">
        <f>SUM($L$28:$O$28)</f>
        <v>24.25301711830306</v>
      </c>
      <c r="Q28" s="20">
        <f>'TR TE'!$Q$28*'TR TE'!$Q$51</f>
        <v>198.80704501715519</v>
      </c>
      <c r="R28" s="20">
        <f>SUM($Q$28:$Q$28)</f>
        <v>198.80704501715519</v>
      </c>
      <c r="S28" s="20">
        <f>'TR TE'!$S$28*'TR TE'!$S$51</f>
        <v>0</v>
      </c>
      <c r="T28" s="20">
        <f>'TR TE'!$T$28*'TR TE'!$T$51</f>
        <v>0</v>
      </c>
      <c r="U28" s="20">
        <f>'TR TE'!$U$28*'TR TE'!$U$51</f>
        <v>1.8513197508430369E-12</v>
      </c>
      <c r="V28" s="20">
        <f>SUM($S$28:$U$28)</f>
        <v>1.8513197508430369E-12</v>
      </c>
      <c r="W28" s="20"/>
      <c r="X28" s="20">
        <f>SUM($W$28:$W$28)</f>
        <v>0</v>
      </c>
      <c r="Y28" s="20">
        <f>'TR TE'!$Y$28*'TR TE'!$Y$51</f>
        <v>4.2037250673321065</v>
      </c>
      <c r="Z28" s="20">
        <f>SUM($Y$28:$Y$28)</f>
        <v>4.2037250673321065</v>
      </c>
      <c r="AA28" s="20">
        <f>SUMIF($L$4:$Z$4,"SUBTOTAL",$L$28:$Z$28)</f>
        <v>227.2637872027922</v>
      </c>
    </row>
    <row r="29" spans="1:27" ht="11.25" customHeight="1" x14ac:dyDescent="0.25">
      <c r="A29" s="117"/>
      <c r="B29" s="117"/>
      <c r="C29" s="117"/>
      <c r="D29" s="117"/>
      <c r="E29" s="117"/>
      <c r="F29" s="117"/>
      <c r="G29" s="22" t="s">
        <v>80</v>
      </c>
      <c r="H29" s="22" t="s">
        <v>78</v>
      </c>
      <c r="I29" s="22">
        <f>'MERCADO TE'!$U$26</f>
        <v>0</v>
      </c>
      <c r="J29" s="15"/>
      <c r="L29" s="20">
        <f>'TR TE'!$L$29*'TR TE'!$L$51</f>
        <v>2.5213258337079196</v>
      </c>
      <c r="M29" s="20">
        <f>'TR TE'!$M$29*'TR TE'!$M$51</f>
        <v>14.071160355628169</v>
      </c>
      <c r="N29" s="20">
        <f>'TR TE'!$N$29*'TR TE'!$N$51</f>
        <v>0</v>
      </c>
      <c r="O29" s="20">
        <f>'TR TE'!$O$29*'TR TE'!$O$51</f>
        <v>7.6605309289669696</v>
      </c>
      <c r="P29" s="20">
        <f>SUM($L$29:$O$29)</f>
        <v>24.25301711830306</v>
      </c>
      <c r="Q29" s="20">
        <f>'TR TE'!$Q$29*'TR TE'!$Q$51</f>
        <v>198.80704501715519</v>
      </c>
      <c r="R29" s="20">
        <f>SUM($Q$29:$Q$29)</f>
        <v>198.80704501715519</v>
      </c>
      <c r="S29" s="20">
        <f>'TR TE'!$S$29*'TR TE'!$S$51</f>
        <v>0</v>
      </c>
      <c r="T29" s="20">
        <f>'TR TE'!$T$29*'TR TE'!$T$51</f>
        <v>0</v>
      </c>
      <c r="U29" s="20">
        <f>'TR TE'!$U$29*'TR TE'!$U$51</f>
        <v>1.8513197508430369E-12</v>
      </c>
      <c r="V29" s="20">
        <f>SUM($S$29:$U$29)</f>
        <v>1.8513197508430369E-12</v>
      </c>
      <c r="W29" s="20"/>
      <c r="X29" s="20">
        <f>SUM($W$29:$W$29)</f>
        <v>0</v>
      </c>
      <c r="Y29" s="20">
        <f>'TR TE'!$Y$29*'TR TE'!$Y$51</f>
        <v>4.2037250673321065</v>
      </c>
      <c r="Z29" s="20">
        <f>SUM($Y$29:$Y$29)</f>
        <v>4.2037250673321065</v>
      </c>
      <c r="AA29" s="20">
        <f>SUMIF($L$4:$Z$4,"SUBTOTAL",$L$29:$Z$29)</f>
        <v>227.2637872027922</v>
      </c>
    </row>
    <row r="30" spans="1:27" ht="11.25" customHeight="1" x14ac:dyDescent="0.25">
      <c r="A30" s="117"/>
      <c r="B30" s="23" t="s">
        <v>86</v>
      </c>
      <c r="C30" s="23" t="s">
        <v>44</v>
      </c>
      <c r="D30" s="23" t="s">
        <v>94</v>
      </c>
      <c r="E30" s="23" t="s">
        <v>25</v>
      </c>
      <c r="F30" s="23" t="s">
        <v>25</v>
      </c>
      <c r="G30" s="22" t="s">
        <v>84</v>
      </c>
      <c r="H30" s="22" t="s">
        <v>78</v>
      </c>
      <c r="I30" s="22">
        <f>'MERCADO TE'!$U$27</f>
        <v>0</v>
      </c>
      <c r="J30" s="15"/>
      <c r="L30" s="20">
        <f>'TR TE'!$L$30*'TR TE'!$L$51</f>
        <v>2.5213258337079196</v>
      </c>
      <c r="M30" s="20">
        <f>'TR TE'!$M$30*'TR TE'!$M$51</f>
        <v>14.071160355628169</v>
      </c>
      <c r="N30" s="20">
        <f>'TR TE'!$N$30*'TR TE'!$N$51</f>
        <v>0</v>
      </c>
      <c r="O30" s="20">
        <f>'TR TE'!$O$30*'TR TE'!$O$51</f>
        <v>7.6605309289669696</v>
      </c>
      <c r="P30" s="20">
        <f>SUM($L$30:$O$30)</f>
        <v>24.25301711830306</v>
      </c>
      <c r="Q30" s="20">
        <f>'TR TE'!$Q$30*'TR TE'!$Q$51</f>
        <v>210.73546771818451</v>
      </c>
      <c r="R30" s="20">
        <f>SUM($Q$30:$Q$30)</f>
        <v>210.73546771818451</v>
      </c>
      <c r="S30" s="20">
        <f>'TR TE'!$S$30*'TR TE'!$S$51</f>
        <v>0</v>
      </c>
      <c r="T30" s="20">
        <f>'TR TE'!$T$30*'TR TE'!$T$51</f>
        <v>0</v>
      </c>
      <c r="U30" s="20">
        <f>'TR TE'!$U$30*'TR TE'!$U$51</f>
        <v>1.8513197508430369E-12</v>
      </c>
      <c r="V30" s="20">
        <f>SUM($S$30:$U$30)</f>
        <v>1.8513197508430369E-12</v>
      </c>
      <c r="W30" s="20"/>
      <c r="X30" s="20">
        <f>SUM($W$30:$W$30)</f>
        <v>0</v>
      </c>
      <c r="Y30" s="20">
        <f>'TR TE'!$Y$30*'TR TE'!$Y$51</f>
        <v>4.2037250673321065</v>
      </c>
      <c r="Z30" s="20">
        <f>SUM($Y$30:$Y$30)</f>
        <v>4.2037250673321065</v>
      </c>
      <c r="AA30" s="20">
        <f>SUMIF($L$4:$Z$4,"SUBTOTAL",$L$30:$Z$30)</f>
        <v>239.19220990382152</v>
      </c>
    </row>
    <row r="31" spans="1:27" ht="11.25" customHeight="1" x14ac:dyDescent="0.25">
      <c r="A31" s="117"/>
      <c r="B31" s="117" t="s">
        <v>77</v>
      </c>
      <c r="C31" s="117" t="s">
        <v>44</v>
      </c>
      <c r="D31" s="117" t="s">
        <v>95</v>
      </c>
      <c r="E31" s="117" t="s">
        <v>25</v>
      </c>
      <c r="F31" s="117" t="s">
        <v>25</v>
      </c>
      <c r="G31" s="22" t="s">
        <v>79</v>
      </c>
      <c r="H31" s="22" t="s">
        <v>78</v>
      </c>
      <c r="I31" s="22">
        <f>'MERCADO TE'!$U$28</f>
        <v>0</v>
      </c>
      <c r="J31" s="15"/>
      <c r="L31" s="20">
        <f>'TR TE'!$L$31*'TR TE'!$L$51</f>
        <v>2.5213258337079196</v>
      </c>
      <c r="M31" s="20">
        <f>'TR TE'!$M$31*'TR TE'!$M$51</f>
        <v>14.071160355628169</v>
      </c>
      <c r="N31" s="20">
        <f>'TR TE'!$N$31*'TR TE'!$N$51</f>
        <v>0</v>
      </c>
      <c r="O31" s="20">
        <f>'TR TE'!$O$31*'TR TE'!$O$51</f>
        <v>7.6605309289669696</v>
      </c>
      <c r="P31" s="20">
        <f>SUM($L$31:$O$31)</f>
        <v>24.25301711830306</v>
      </c>
      <c r="Q31" s="20">
        <f>'TR TE'!$Q$31*'TR TE'!$Q$51</f>
        <v>341.94811742950691</v>
      </c>
      <c r="R31" s="20">
        <f>SUM($Q$31:$Q$31)</f>
        <v>341.94811742950691</v>
      </c>
      <c r="S31" s="20">
        <f>'TR TE'!$S$31*'TR TE'!$S$51</f>
        <v>0</v>
      </c>
      <c r="T31" s="20">
        <f>'TR TE'!$T$31*'TR TE'!$T$51</f>
        <v>0</v>
      </c>
      <c r="U31" s="20">
        <f>'TR TE'!$U$31*'TR TE'!$U$51</f>
        <v>1.8513197508430369E-12</v>
      </c>
      <c r="V31" s="20">
        <f>SUM($S$31:$U$31)</f>
        <v>1.8513197508430369E-12</v>
      </c>
      <c r="W31" s="20"/>
      <c r="X31" s="20">
        <f>SUM($W$31:$W$31)</f>
        <v>0</v>
      </c>
      <c r="Y31" s="20">
        <f>'TR TE'!$Y$31*'TR TE'!$Y$51</f>
        <v>4.2037250673321065</v>
      </c>
      <c r="Z31" s="20">
        <f>SUM($Y$31:$Y$31)</f>
        <v>4.2037250673321065</v>
      </c>
      <c r="AA31" s="20">
        <f>SUMIF($L$4:$Z$4,"SUBTOTAL",$L$31:$Z$31)</f>
        <v>370.40485961514395</v>
      </c>
    </row>
    <row r="32" spans="1:27" ht="11.25" customHeight="1" x14ac:dyDescent="0.25">
      <c r="A32" s="117"/>
      <c r="B32" s="117"/>
      <c r="C32" s="117"/>
      <c r="D32" s="117"/>
      <c r="E32" s="117"/>
      <c r="F32" s="117"/>
      <c r="G32" s="22" t="s">
        <v>91</v>
      </c>
      <c r="H32" s="22" t="s">
        <v>78</v>
      </c>
      <c r="I32" s="22">
        <f>'MERCADO TE'!$U$29</f>
        <v>0</v>
      </c>
      <c r="J32" s="15"/>
      <c r="L32" s="20">
        <f>'TR TE'!$L$32*'TR TE'!$L$51</f>
        <v>2.5213258337079196</v>
      </c>
      <c r="M32" s="20">
        <f>'TR TE'!$M$32*'TR TE'!$M$51</f>
        <v>14.071160355628169</v>
      </c>
      <c r="N32" s="20">
        <f>'TR TE'!$N$32*'TR TE'!$N$51</f>
        <v>0</v>
      </c>
      <c r="O32" s="20">
        <f>'TR TE'!$O$32*'TR TE'!$O$51</f>
        <v>7.6605309289669696</v>
      </c>
      <c r="P32" s="20">
        <f>SUM($L$32:$O$32)</f>
        <v>24.25301711830306</v>
      </c>
      <c r="Q32" s="20">
        <f>'TR TE'!$Q$32*'TR TE'!$Q$51</f>
        <v>198.80704501715519</v>
      </c>
      <c r="R32" s="20">
        <f>SUM($Q$32:$Q$32)</f>
        <v>198.80704501715519</v>
      </c>
      <c r="S32" s="20">
        <f>'TR TE'!$S$32*'TR TE'!$S$51</f>
        <v>0</v>
      </c>
      <c r="T32" s="20">
        <f>'TR TE'!$T$32*'TR TE'!$T$51</f>
        <v>0</v>
      </c>
      <c r="U32" s="20">
        <f>'TR TE'!$U$32*'TR TE'!$U$51</f>
        <v>1.8513197508430369E-12</v>
      </c>
      <c r="V32" s="20">
        <f>SUM($S$32:$U$32)</f>
        <v>1.8513197508430369E-12</v>
      </c>
      <c r="W32" s="20"/>
      <c r="X32" s="20">
        <f>SUM($W$32:$W$32)</f>
        <v>0</v>
      </c>
      <c r="Y32" s="20">
        <f>'TR TE'!$Y$32*'TR TE'!$Y$51</f>
        <v>4.2037250673321065</v>
      </c>
      <c r="Z32" s="20">
        <f>SUM($Y$32:$Y$32)</f>
        <v>4.2037250673321065</v>
      </c>
      <c r="AA32" s="20">
        <f>SUMIF($L$4:$Z$4,"SUBTOTAL",$L$32:$Z$32)</f>
        <v>227.2637872027922</v>
      </c>
    </row>
    <row r="33" spans="1:27" ht="11.25" customHeight="1" x14ac:dyDescent="0.25">
      <c r="A33" s="117"/>
      <c r="B33" s="117"/>
      <c r="C33" s="117"/>
      <c r="D33" s="117"/>
      <c r="E33" s="117"/>
      <c r="F33" s="117"/>
      <c r="G33" s="22" t="s">
        <v>80</v>
      </c>
      <c r="H33" s="22" t="s">
        <v>78</v>
      </c>
      <c r="I33" s="22">
        <f>'MERCADO TE'!$U$30</f>
        <v>0</v>
      </c>
      <c r="J33" s="15"/>
      <c r="L33" s="20">
        <f>'TR TE'!$L$33*'TR TE'!$L$51</f>
        <v>2.5213258337079196</v>
      </c>
      <c r="M33" s="20">
        <f>'TR TE'!$M$33*'TR TE'!$M$51</f>
        <v>14.071160355628169</v>
      </c>
      <c r="N33" s="20">
        <f>'TR TE'!$N$33*'TR TE'!$N$51</f>
        <v>0</v>
      </c>
      <c r="O33" s="20">
        <f>'TR TE'!$O$33*'TR TE'!$O$51</f>
        <v>7.6605309289669696</v>
      </c>
      <c r="P33" s="20">
        <f>SUM($L$33:$O$33)</f>
        <v>24.25301711830306</v>
      </c>
      <c r="Q33" s="20">
        <f>'TR TE'!$Q$33*'TR TE'!$Q$51</f>
        <v>198.80704501715519</v>
      </c>
      <c r="R33" s="20">
        <f>SUM($Q$33:$Q$33)</f>
        <v>198.80704501715519</v>
      </c>
      <c r="S33" s="20">
        <f>'TR TE'!$S$33*'TR TE'!$S$51</f>
        <v>0</v>
      </c>
      <c r="T33" s="20">
        <f>'TR TE'!$T$33*'TR TE'!$T$51</f>
        <v>0</v>
      </c>
      <c r="U33" s="20">
        <f>'TR TE'!$U$33*'TR TE'!$U$51</f>
        <v>1.8513197508430369E-12</v>
      </c>
      <c r="V33" s="20">
        <f>SUM($S$33:$U$33)</f>
        <v>1.8513197508430369E-12</v>
      </c>
      <c r="W33" s="20"/>
      <c r="X33" s="20">
        <f>SUM($W$33:$W$33)</f>
        <v>0</v>
      </c>
      <c r="Y33" s="20">
        <f>'TR TE'!$Y$33*'TR TE'!$Y$51</f>
        <v>4.2037250673321065</v>
      </c>
      <c r="Z33" s="20">
        <f>SUM($Y$33:$Y$33)</f>
        <v>4.2037250673321065</v>
      </c>
      <c r="AA33" s="20">
        <f>SUMIF($L$4:$Z$4,"SUBTOTAL",$L$33:$Z$33)</f>
        <v>227.2637872027922</v>
      </c>
    </row>
    <row r="34" spans="1:27" ht="11.25" customHeight="1" x14ac:dyDescent="0.25">
      <c r="A34" s="117"/>
      <c r="B34" s="23" t="s">
        <v>86</v>
      </c>
      <c r="C34" s="23" t="s">
        <v>44</v>
      </c>
      <c r="D34" s="23" t="s">
        <v>95</v>
      </c>
      <c r="E34" s="23" t="s">
        <v>25</v>
      </c>
      <c r="F34" s="23" t="s">
        <v>25</v>
      </c>
      <c r="G34" s="22" t="s">
        <v>84</v>
      </c>
      <c r="H34" s="22" t="s">
        <v>78</v>
      </c>
      <c r="I34" s="22">
        <f>'MERCADO TE'!$U$31</f>
        <v>0</v>
      </c>
      <c r="J34" s="15"/>
      <c r="L34" s="20">
        <f>'TR TE'!$L$34*'TR TE'!$L$51</f>
        <v>2.5213258337079196</v>
      </c>
      <c r="M34" s="20">
        <f>'TR TE'!$M$34*'TR TE'!$M$51</f>
        <v>14.071160355628169</v>
      </c>
      <c r="N34" s="20">
        <f>'TR TE'!$N$34*'TR TE'!$N$51</f>
        <v>0</v>
      </c>
      <c r="O34" s="20">
        <f>'TR TE'!$O$34*'TR TE'!$O$51</f>
        <v>7.6605309289669696</v>
      </c>
      <c r="P34" s="20">
        <f>SUM($L$34:$O$34)</f>
        <v>24.25301711830306</v>
      </c>
      <c r="Q34" s="20">
        <f>'TR TE'!$Q$34*'TR TE'!$Q$51</f>
        <v>210.73546771818451</v>
      </c>
      <c r="R34" s="20">
        <f>SUM($Q$34:$Q$34)</f>
        <v>210.73546771818451</v>
      </c>
      <c r="S34" s="20">
        <f>'TR TE'!$S$34*'TR TE'!$S$51</f>
        <v>0</v>
      </c>
      <c r="T34" s="20">
        <f>'TR TE'!$T$34*'TR TE'!$T$51</f>
        <v>0</v>
      </c>
      <c r="U34" s="20">
        <f>'TR TE'!$U$34*'TR TE'!$U$51</f>
        <v>1.8513197508430369E-12</v>
      </c>
      <c r="V34" s="20">
        <f>SUM($S$34:$U$34)</f>
        <v>1.8513197508430369E-12</v>
      </c>
      <c r="W34" s="20"/>
      <c r="X34" s="20">
        <f>SUM($W$34:$W$34)</f>
        <v>0</v>
      </c>
      <c r="Y34" s="20">
        <f>'TR TE'!$Y$34*'TR TE'!$Y$51</f>
        <v>4.2037250673321065</v>
      </c>
      <c r="Z34" s="20">
        <f>SUM($Y$34:$Y$34)</f>
        <v>4.2037250673321065</v>
      </c>
      <c r="AA34" s="20">
        <f>SUMIF($L$4:$Z$4,"SUBTOTAL",$L$34:$Z$34)</f>
        <v>239.19220990382152</v>
      </c>
    </row>
    <row r="35" spans="1:27" ht="11.25" customHeight="1" x14ac:dyDescent="0.25">
      <c r="A35" s="117"/>
      <c r="B35" s="117" t="s">
        <v>92</v>
      </c>
      <c r="C35" s="117" t="s">
        <v>44</v>
      </c>
      <c r="D35" s="23" t="s">
        <v>25</v>
      </c>
      <c r="E35" s="23" t="s">
        <v>25</v>
      </c>
      <c r="F35" s="23" t="s">
        <v>25</v>
      </c>
      <c r="G35" s="22" t="s">
        <v>84</v>
      </c>
      <c r="H35" s="22" t="s">
        <v>78</v>
      </c>
      <c r="I35" s="22">
        <f>'MERCADO TE'!$U$32</f>
        <v>0</v>
      </c>
      <c r="J35" s="15"/>
      <c r="L35" s="20">
        <f>'TR TE'!$L$35*'TR TE'!$L$51</f>
        <v>2.5213258337079196</v>
      </c>
      <c r="M35" s="20">
        <f>'TR TE'!$M$35*'TR TE'!$M$51</f>
        <v>14.071160355628169</v>
      </c>
      <c r="N35" s="20">
        <f>'TR TE'!$N$35*'TR TE'!$N$51</f>
        <v>0</v>
      </c>
      <c r="O35" s="20">
        <f>'TR TE'!$O$35*'TR TE'!$O$51</f>
        <v>7.6605309289669696</v>
      </c>
      <c r="P35" s="20">
        <f>SUM($L$35:$O$35)</f>
        <v>24.25301711830306</v>
      </c>
      <c r="Q35" s="20">
        <f>'TR TE'!$Q$35*'TR TE'!$Q$51</f>
        <v>210.73546771818451</v>
      </c>
      <c r="R35" s="20">
        <f>SUM($Q$35:$Q$35)</f>
        <v>210.73546771818451</v>
      </c>
      <c r="S35" s="20">
        <f>'TR TE'!$S$35*'TR TE'!$S$51</f>
        <v>0</v>
      </c>
      <c r="T35" s="20">
        <f>'TR TE'!$T$35*'TR TE'!$T$51</f>
        <v>0</v>
      </c>
      <c r="U35" s="20">
        <f>'TR TE'!$U$35*'TR TE'!$U$51</f>
        <v>1.8513197508430369E-12</v>
      </c>
      <c r="V35" s="20">
        <f>SUM($S$35:$U$35)</f>
        <v>1.8513197508430369E-12</v>
      </c>
      <c r="W35" s="20"/>
      <c r="X35" s="20">
        <f>SUM($W$35:$W$35)</f>
        <v>0</v>
      </c>
      <c r="Y35" s="20">
        <f>'TR TE'!$Y$35*'TR TE'!$Y$51</f>
        <v>4.2037250673321065</v>
      </c>
      <c r="Z35" s="20">
        <f>SUM($Y$35:$Y$35)</f>
        <v>4.2037250673321065</v>
      </c>
      <c r="AA35" s="20">
        <f>SUMIF($L$4:$Z$4,"SUBTOTAL",$L$35:$Z$35)</f>
        <v>239.19220990382152</v>
      </c>
    </row>
    <row r="36" spans="1:27" ht="11.25" customHeight="1" x14ac:dyDescent="0.25">
      <c r="A36" s="117"/>
      <c r="B36" s="117"/>
      <c r="C36" s="117"/>
      <c r="D36" s="23" t="s">
        <v>94</v>
      </c>
      <c r="E36" s="23" t="s">
        <v>25</v>
      </c>
      <c r="F36" s="23" t="s">
        <v>25</v>
      </c>
      <c r="G36" s="22" t="s">
        <v>84</v>
      </c>
      <c r="H36" s="22" t="s">
        <v>78</v>
      </c>
      <c r="I36" s="22">
        <f>'MERCADO TE'!$U$33</f>
        <v>0</v>
      </c>
      <c r="J36" s="15"/>
      <c r="L36" s="20">
        <f>'TR TE'!$L$36*'TR TE'!$L$51</f>
        <v>2.5213258337079196</v>
      </c>
      <c r="M36" s="20">
        <f>'TR TE'!$M$36*'TR TE'!$M$51</f>
        <v>14.071160355628169</v>
      </c>
      <c r="N36" s="20">
        <f>'TR TE'!$N$36*'TR TE'!$N$51</f>
        <v>0</v>
      </c>
      <c r="O36" s="20">
        <f>'TR TE'!$O$36*'TR TE'!$O$51</f>
        <v>7.6605309289669696</v>
      </c>
      <c r="P36" s="20">
        <f>SUM($L$36:$O$36)</f>
        <v>24.25301711830306</v>
      </c>
      <c r="Q36" s="20">
        <f>'TR TE'!$Q$36*'TR TE'!$Q$51</f>
        <v>210.73546771818451</v>
      </c>
      <c r="R36" s="20">
        <f>SUM($Q$36:$Q$36)</f>
        <v>210.73546771818451</v>
      </c>
      <c r="S36" s="20">
        <f>'TR TE'!$S$36*'TR TE'!$S$51</f>
        <v>0</v>
      </c>
      <c r="T36" s="20">
        <f>'TR TE'!$T$36*'TR TE'!$T$51</f>
        <v>0</v>
      </c>
      <c r="U36" s="20">
        <f>'TR TE'!$U$36*'TR TE'!$U$51</f>
        <v>1.8513197508430369E-12</v>
      </c>
      <c r="V36" s="20">
        <f>SUM($S$36:$U$36)</f>
        <v>1.8513197508430369E-12</v>
      </c>
      <c r="W36" s="20"/>
      <c r="X36" s="20">
        <f>SUM($W$36:$W$36)</f>
        <v>0</v>
      </c>
      <c r="Y36" s="20">
        <f>'TR TE'!$Y$36*'TR TE'!$Y$51</f>
        <v>4.2037250673321065</v>
      </c>
      <c r="Z36" s="20">
        <f>SUM($Y$36:$Y$36)</f>
        <v>4.2037250673321065</v>
      </c>
      <c r="AA36" s="20">
        <f>SUMIF($L$4:$Z$4,"SUBTOTAL",$L$36:$Z$36)</f>
        <v>239.19220990382152</v>
      </c>
    </row>
    <row r="37" spans="1:27" ht="11.25" customHeight="1" x14ac:dyDescent="0.25">
      <c r="A37" s="117"/>
      <c r="B37" s="117"/>
      <c r="C37" s="117"/>
      <c r="D37" s="23" t="s">
        <v>95</v>
      </c>
      <c r="E37" s="23" t="s">
        <v>25</v>
      </c>
      <c r="F37" s="23" t="s">
        <v>25</v>
      </c>
      <c r="G37" s="22" t="s">
        <v>84</v>
      </c>
      <c r="H37" s="22" t="s">
        <v>78</v>
      </c>
      <c r="I37" s="22">
        <f>'MERCADO TE'!$U$34</f>
        <v>0</v>
      </c>
      <c r="J37" s="15"/>
      <c r="L37" s="20">
        <f>'TR TE'!$L$37*'TR TE'!$L$51</f>
        <v>2.5213258337079196</v>
      </c>
      <c r="M37" s="20">
        <f>'TR TE'!$M$37*'TR TE'!$M$51</f>
        <v>14.071160355628169</v>
      </c>
      <c r="N37" s="20">
        <f>'TR TE'!$N$37*'TR TE'!$N$51</f>
        <v>0</v>
      </c>
      <c r="O37" s="20">
        <f>'TR TE'!$O$37*'TR TE'!$O$51</f>
        <v>7.6605309289669696</v>
      </c>
      <c r="P37" s="20">
        <f>SUM($L$37:$O$37)</f>
        <v>24.25301711830306</v>
      </c>
      <c r="Q37" s="20">
        <f>'TR TE'!$Q$37*'TR TE'!$Q$51</f>
        <v>210.73546771818451</v>
      </c>
      <c r="R37" s="20">
        <f>SUM($Q$37:$Q$37)</f>
        <v>210.73546771818451</v>
      </c>
      <c r="S37" s="20">
        <f>'TR TE'!$S$37*'TR TE'!$S$51</f>
        <v>0</v>
      </c>
      <c r="T37" s="20">
        <f>'TR TE'!$T$37*'TR TE'!$T$51</f>
        <v>0</v>
      </c>
      <c r="U37" s="20">
        <f>'TR TE'!$U$37*'TR TE'!$U$51</f>
        <v>1.8513197508430369E-12</v>
      </c>
      <c r="V37" s="20">
        <f>SUM($S$37:$U$37)</f>
        <v>1.8513197508430369E-12</v>
      </c>
      <c r="W37" s="20"/>
      <c r="X37" s="20">
        <f>SUM($W$37:$W$37)</f>
        <v>0</v>
      </c>
      <c r="Y37" s="20">
        <f>'TR TE'!$Y$37*'TR TE'!$Y$51</f>
        <v>4.2037250673321065</v>
      </c>
      <c r="Z37" s="20">
        <f>SUM($Y$37:$Y$37)</f>
        <v>4.2037250673321065</v>
      </c>
      <c r="AA37" s="20">
        <f>SUMIF($L$4:$Z$4,"SUBTOTAL",$L$37:$Z$37)</f>
        <v>239.19220990382152</v>
      </c>
    </row>
    <row r="38" spans="1:27" ht="11.25" customHeight="1" x14ac:dyDescent="0.25">
      <c r="A38" s="117" t="s">
        <v>37</v>
      </c>
      <c r="B38" s="117" t="s">
        <v>77</v>
      </c>
      <c r="C38" s="117" t="s">
        <v>25</v>
      </c>
      <c r="D38" s="117" t="s">
        <v>25</v>
      </c>
      <c r="E38" s="117" t="s">
        <v>25</v>
      </c>
      <c r="F38" s="117" t="s">
        <v>25</v>
      </c>
      <c r="G38" s="22" t="s">
        <v>79</v>
      </c>
      <c r="H38" s="22" t="s">
        <v>78</v>
      </c>
      <c r="I38" s="22">
        <f>'MERCADO TE'!$U$35</f>
        <v>8.0860000000000003</v>
      </c>
      <c r="J38" s="15"/>
      <c r="L38" s="20">
        <f>'TR TE'!$L$38*'TR TE'!$L$51</f>
        <v>2.5213258337079196</v>
      </c>
      <c r="M38" s="20">
        <f>'TR TE'!$M$38*'TR TE'!$M$51</f>
        <v>14.071160355628169</v>
      </c>
      <c r="N38" s="20">
        <f>'TR TE'!$N$38*'TR TE'!$N$51</f>
        <v>0</v>
      </c>
      <c r="O38" s="20">
        <f>'TR TE'!$O$38*'TR TE'!$O$51</f>
        <v>7.6605309289669696</v>
      </c>
      <c r="P38" s="20">
        <f>SUM($L$38:$O$38)</f>
        <v>24.25301711830306</v>
      </c>
      <c r="Q38" s="20">
        <f>'TR TE'!$Q$38*'TR TE'!$Q$51</f>
        <v>341.94811742950691</v>
      </c>
      <c r="R38" s="20">
        <f>SUM($Q$38:$Q$38)</f>
        <v>341.94811742950691</v>
      </c>
      <c r="S38" s="20">
        <f>'TR TE'!$S$38*'TR TE'!$S$51</f>
        <v>0</v>
      </c>
      <c r="T38" s="20">
        <f>'TR TE'!$T$38*'TR TE'!$T$51</f>
        <v>0</v>
      </c>
      <c r="U38" s="20">
        <f>'TR TE'!$U$38*'TR TE'!$U$51</f>
        <v>1.8513197508430369E-12</v>
      </c>
      <c r="V38" s="20">
        <f>SUM($S$38:$U$38)</f>
        <v>1.8513197508430369E-12</v>
      </c>
      <c r="W38" s="20"/>
      <c r="X38" s="20">
        <f>SUM($W$38:$W$38)</f>
        <v>0</v>
      </c>
      <c r="Y38" s="20">
        <f>'TR TE'!$Y$38*'TR TE'!$Y$51</f>
        <v>4.2037250673321065</v>
      </c>
      <c r="Z38" s="20">
        <f>SUM($Y$38:$Y$38)</f>
        <v>4.2037250673321065</v>
      </c>
      <c r="AA38" s="20">
        <f>SUMIF($L$4:$Z$4,"SUBTOTAL",$L$38:$Z$38)</f>
        <v>370.40485961514395</v>
      </c>
    </row>
    <row r="39" spans="1:27" ht="11.25" customHeight="1" x14ac:dyDescent="0.25">
      <c r="A39" s="117"/>
      <c r="B39" s="117"/>
      <c r="C39" s="117"/>
      <c r="D39" s="117"/>
      <c r="E39" s="117"/>
      <c r="F39" s="117"/>
      <c r="G39" s="22" t="s">
        <v>91</v>
      </c>
      <c r="H39" s="22" t="s">
        <v>78</v>
      </c>
      <c r="I39" s="22">
        <f>'MERCADO TE'!$U$36</f>
        <v>8.0350000000000001</v>
      </c>
      <c r="J39" s="15"/>
      <c r="L39" s="20">
        <f>'TR TE'!$L$39*'TR TE'!$L$51</f>
        <v>2.5213258337079196</v>
      </c>
      <c r="M39" s="20">
        <f>'TR TE'!$M$39*'TR TE'!$M$51</f>
        <v>14.071160355628169</v>
      </c>
      <c r="N39" s="20">
        <f>'TR TE'!$N$39*'TR TE'!$N$51</f>
        <v>0</v>
      </c>
      <c r="O39" s="20">
        <f>'TR TE'!$O$39*'TR TE'!$O$51</f>
        <v>7.6605309289669696</v>
      </c>
      <c r="P39" s="20">
        <f>SUM($L$39:$O$39)</f>
        <v>24.25301711830306</v>
      </c>
      <c r="Q39" s="20">
        <f>'TR TE'!$Q$39*'TR TE'!$Q$51</f>
        <v>198.80704501715519</v>
      </c>
      <c r="R39" s="20">
        <f>SUM($Q$39:$Q$39)</f>
        <v>198.80704501715519</v>
      </c>
      <c r="S39" s="20">
        <f>'TR TE'!$S$39*'TR TE'!$S$51</f>
        <v>0</v>
      </c>
      <c r="T39" s="20">
        <f>'TR TE'!$T$39*'TR TE'!$T$51</f>
        <v>0</v>
      </c>
      <c r="U39" s="20">
        <f>'TR TE'!$U$39*'TR TE'!$U$51</f>
        <v>1.8513197508430369E-12</v>
      </c>
      <c r="V39" s="20">
        <f>SUM($S$39:$U$39)</f>
        <v>1.8513197508430369E-12</v>
      </c>
      <c r="W39" s="20"/>
      <c r="X39" s="20">
        <f>SUM($W$39:$W$39)</f>
        <v>0</v>
      </c>
      <c r="Y39" s="20">
        <f>'TR TE'!$Y$39*'TR TE'!$Y$51</f>
        <v>4.2037250673321065</v>
      </c>
      <c r="Z39" s="20">
        <f>SUM($Y$39:$Y$39)</f>
        <v>4.2037250673321065</v>
      </c>
      <c r="AA39" s="20">
        <f>SUMIF($L$4:$Z$4,"SUBTOTAL",$L$39:$Z$39)</f>
        <v>227.2637872027922</v>
      </c>
    </row>
    <row r="40" spans="1:27" ht="11.25" customHeight="1" x14ac:dyDescent="0.25">
      <c r="A40" s="117"/>
      <c r="B40" s="117"/>
      <c r="C40" s="117"/>
      <c r="D40" s="117"/>
      <c r="E40" s="117"/>
      <c r="F40" s="117"/>
      <c r="G40" s="22" t="s">
        <v>80</v>
      </c>
      <c r="H40" s="22" t="s">
        <v>78</v>
      </c>
      <c r="I40" s="22">
        <f>'MERCADO TE'!$U$37</f>
        <v>133.73599999999999</v>
      </c>
      <c r="J40" s="15"/>
      <c r="L40" s="20">
        <f>'TR TE'!$L$40*'TR TE'!$L$51</f>
        <v>2.5213258337079196</v>
      </c>
      <c r="M40" s="20">
        <f>'TR TE'!$M$40*'TR TE'!$M$51</f>
        <v>14.071160355628169</v>
      </c>
      <c r="N40" s="20">
        <f>'TR TE'!$N$40*'TR TE'!$N$51</f>
        <v>0</v>
      </c>
      <c r="O40" s="20">
        <f>'TR TE'!$O$40*'TR TE'!$O$51</f>
        <v>7.6605309289669696</v>
      </c>
      <c r="P40" s="20">
        <f>SUM($L$40:$O$40)</f>
        <v>24.25301711830306</v>
      </c>
      <c r="Q40" s="20">
        <f>'TR TE'!$Q$40*'TR TE'!$Q$51</f>
        <v>198.80704501715519</v>
      </c>
      <c r="R40" s="20">
        <f>SUM($Q$40:$Q$40)</f>
        <v>198.80704501715519</v>
      </c>
      <c r="S40" s="20">
        <f>'TR TE'!$S$40*'TR TE'!$S$51</f>
        <v>0</v>
      </c>
      <c r="T40" s="20">
        <f>'TR TE'!$T$40*'TR TE'!$T$51</f>
        <v>0</v>
      </c>
      <c r="U40" s="20">
        <f>'TR TE'!$U$40*'TR TE'!$U$51</f>
        <v>1.8513197508430369E-12</v>
      </c>
      <c r="V40" s="20">
        <f>SUM($S$40:$U$40)</f>
        <v>1.8513197508430369E-12</v>
      </c>
      <c r="W40" s="20"/>
      <c r="X40" s="20">
        <f>SUM($W$40:$W$40)</f>
        <v>0</v>
      </c>
      <c r="Y40" s="20">
        <f>'TR TE'!$Y$40*'TR TE'!$Y$51</f>
        <v>4.2037250673321065</v>
      </c>
      <c r="Z40" s="20">
        <f>SUM($Y$40:$Y$40)</f>
        <v>4.2037250673321065</v>
      </c>
      <c r="AA40" s="20">
        <f>SUMIF($L$4:$Z$4,"SUBTOTAL",$L$40:$Z$40)</f>
        <v>227.2637872027922</v>
      </c>
    </row>
    <row r="41" spans="1:27" ht="11.25" customHeight="1" x14ac:dyDescent="0.25">
      <c r="A41" s="117"/>
      <c r="B41" s="23" t="s">
        <v>86</v>
      </c>
      <c r="C41" s="23" t="s">
        <v>25</v>
      </c>
      <c r="D41" s="23" t="s">
        <v>25</v>
      </c>
      <c r="E41" s="23" t="s">
        <v>25</v>
      </c>
      <c r="F41" s="23" t="s">
        <v>25</v>
      </c>
      <c r="G41" s="22" t="s">
        <v>84</v>
      </c>
      <c r="H41" s="22" t="s">
        <v>78</v>
      </c>
      <c r="I41" s="22">
        <f>'MERCADO TE'!$U$38</f>
        <v>94039.850999999995</v>
      </c>
      <c r="J41" s="15"/>
      <c r="L41" s="20">
        <f>'TR TE'!$L$41*'TR TE'!$L$51</f>
        <v>2.5213258337079196</v>
      </c>
      <c r="M41" s="20">
        <f>'TR TE'!$M$41*'TR TE'!$M$51</f>
        <v>14.071160355628169</v>
      </c>
      <c r="N41" s="20">
        <f>'TR TE'!$N$41*'TR TE'!$N$51</f>
        <v>0</v>
      </c>
      <c r="O41" s="20">
        <f>'TR TE'!$O$41*'TR TE'!$O$51</f>
        <v>7.6605309289669696</v>
      </c>
      <c r="P41" s="20">
        <f>SUM($L$41:$O$41)</f>
        <v>24.25301711830306</v>
      </c>
      <c r="Q41" s="20">
        <f>'TR TE'!$Q$41*'TR TE'!$Q$51</f>
        <v>210.73546771818451</v>
      </c>
      <c r="R41" s="20">
        <f>SUM($Q$41:$Q$41)</f>
        <v>210.73546771818451</v>
      </c>
      <c r="S41" s="20">
        <f>'TR TE'!$S$41*'TR TE'!$S$51</f>
        <v>0</v>
      </c>
      <c r="T41" s="20">
        <f>'TR TE'!$T$41*'TR TE'!$T$51</f>
        <v>0</v>
      </c>
      <c r="U41" s="20">
        <f>'TR TE'!$U$41*'TR TE'!$U$51</f>
        <v>1.8513197508430369E-12</v>
      </c>
      <c r="V41" s="20">
        <f>SUM($S$41:$U$41)</f>
        <v>1.8513197508430369E-12</v>
      </c>
      <c r="W41" s="20"/>
      <c r="X41" s="20">
        <f>SUM($W$41:$W$41)</f>
        <v>0</v>
      </c>
      <c r="Y41" s="20">
        <f>'TR TE'!$Y$41*'TR TE'!$Y$51</f>
        <v>4.2037250673321065</v>
      </c>
      <c r="Z41" s="20">
        <f>SUM($Y$41:$Y$41)</f>
        <v>4.2037250673321065</v>
      </c>
      <c r="AA41" s="20">
        <f>SUMIF($L$4:$Z$4,"SUBTOTAL",$L$41:$Z$41)</f>
        <v>239.19220990382152</v>
      </c>
    </row>
    <row r="42" spans="1:27" ht="11.25" customHeight="1" x14ac:dyDescent="0.25">
      <c r="A42" s="117"/>
      <c r="B42" s="23" t="s">
        <v>92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84</v>
      </c>
      <c r="H42" s="22" t="s">
        <v>78</v>
      </c>
      <c r="I42" s="22">
        <f>'MERCADO TE'!$U$39</f>
        <v>0</v>
      </c>
      <c r="J42" s="15"/>
      <c r="L42" s="20">
        <f>'TR TE'!$L$42*'TR TE'!$L$51</f>
        <v>2.5213258337079196</v>
      </c>
      <c r="M42" s="20">
        <f>'TR TE'!$M$42*'TR TE'!$M$51</f>
        <v>14.071160355628169</v>
      </c>
      <c r="N42" s="20">
        <f>'TR TE'!$N$42*'TR TE'!$N$51</f>
        <v>0</v>
      </c>
      <c r="O42" s="20">
        <f>'TR TE'!$O$42*'TR TE'!$O$51</f>
        <v>7.6605309289669696</v>
      </c>
      <c r="P42" s="20">
        <f>SUM($L$42:$O$42)</f>
        <v>24.25301711830306</v>
      </c>
      <c r="Q42" s="20">
        <f>'TR TE'!$Q$42*'TR TE'!$Q$51</f>
        <v>210.73546771818451</v>
      </c>
      <c r="R42" s="20">
        <f>SUM($Q$42:$Q$42)</f>
        <v>210.73546771818451</v>
      </c>
      <c r="S42" s="20">
        <f>'TR TE'!$S$42*'TR TE'!$S$51</f>
        <v>0</v>
      </c>
      <c r="T42" s="20">
        <f>'TR TE'!$T$42*'TR TE'!$T$51</f>
        <v>0</v>
      </c>
      <c r="U42" s="20">
        <f>'TR TE'!$U$42*'TR TE'!$U$51</f>
        <v>1.8513197508430369E-12</v>
      </c>
      <c r="V42" s="20">
        <f>SUM($S$42:$U$42)</f>
        <v>1.8513197508430369E-12</v>
      </c>
      <c r="W42" s="20"/>
      <c r="X42" s="20">
        <f>SUM($W$42:$W$42)</f>
        <v>0</v>
      </c>
      <c r="Y42" s="20">
        <f>'TR TE'!$Y$42*'TR TE'!$Y$51</f>
        <v>4.2037250673321065</v>
      </c>
      <c r="Z42" s="20">
        <f>SUM($Y$42:$Y$42)</f>
        <v>4.2037250673321065</v>
      </c>
      <c r="AA42" s="20">
        <f>SUMIF($L$4:$Z$4,"SUBTOTAL",$L$42:$Z$42)</f>
        <v>239.19220990382152</v>
      </c>
    </row>
    <row r="43" spans="1:27" ht="11.25" customHeight="1" x14ac:dyDescent="0.25">
      <c r="A43" s="117" t="s">
        <v>46</v>
      </c>
      <c r="B43" s="117" t="s">
        <v>86</v>
      </c>
      <c r="C43" s="117" t="s">
        <v>47</v>
      </c>
      <c r="D43" s="23" t="s">
        <v>48</v>
      </c>
      <c r="E43" s="23" t="s">
        <v>25</v>
      </c>
      <c r="F43" s="23" t="s">
        <v>25</v>
      </c>
      <c r="G43" s="22" t="s">
        <v>84</v>
      </c>
      <c r="H43" s="22" t="s">
        <v>78</v>
      </c>
      <c r="I43" s="22">
        <f>'MERCADO TE'!$U$40</f>
        <v>35555.334999999999</v>
      </c>
      <c r="J43" s="15"/>
      <c r="L43" s="20">
        <f>'TR TE'!$L$43*'TR TE'!$L$51</f>
        <v>1.3867292085393559</v>
      </c>
      <c r="M43" s="20">
        <f>'TR TE'!$M$43*'TR TE'!$M$51</f>
        <v>7.7391381955954941</v>
      </c>
      <c r="N43" s="20">
        <f>'TR TE'!$N$43*'TR TE'!$N$51</f>
        <v>0</v>
      </c>
      <c r="O43" s="20">
        <f>'TR TE'!$O$43*'TR TE'!$O$51</f>
        <v>4.2132920109318333</v>
      </c>
      <c r="P43" s="20">
        <f>SUM($L$43:$O$43)</f>
        <v>13.339159415066682</v>
      </c>
      <c r="Q43" s="20">
        <f>'TR TE'!$Q$43*'TR TE'!$Q$51</f>
        <v>115.9045072450015</v>
      </c>
      <c r="R43" s="20">
        <f>SUM($Q$43:$Q$43)</f>
        <v>115.9045072450015</v>
      </c>
      <c r="S43" s="20">
        <f>'TR TE'!$S$43*'TR TE'!$S$51</f>
        <v>0</v>
      </c>
      <c r="T43" s="20">
        <f>'TR TE'!$T$43*'TR TE'!$T$51</f>
        <v>0</v>
      </c>
      <c r="U43" s="20">
        <f>'TR TE'!$U$43*'TR TE'!$U$51</f>
        <v>1.0182258629636703E-12</v>
      </c>
      <c r="V43" s="20">
        <f>SUM($S$43:$U$43)</f>
        <v>1.0182258629636703E-12</v>
      </c>
      <c r="W43" s="20"/>
      <c r="X43" s="20">
        <f>SUM($W$43:$W$43)</f>
        <v>0</v>
      </c>
      <c r="Y43" s="20">
        <f>'TR TE'!$Y$43*'TR TE'!$Y$51</f>
        <v>2.3120487870326589</v>
      </c>
      <c r="Z43" s="20">
        <f>SUM($Y$43:$Y$43)</f>
        <v>2.3120487870326589</v>
      </c>
      <c r="AA43" s="20">
        <f>SUMIF($L$4:$Z$4,"SUBTOTAL",$L$43:$Z$43)</f>
        <v>131.55571544710187</v>
      </c>
    </row>
    <row r="44" spans="1:27" ht="11.25" customHeight="1" x14ac:dyDescent="0.25">
      <c r="A44" s="117"/>
      <c r="B44" s="117"/>
      <c r="C44" s="117"/>
      <c r="D44" s="22" t="s">
        <v>96</v>
      </c>
      <c r="E44" s="22" t="s">
        <v>25</v>
      </c>
      <c r="F44" s="22" t="s">
        <v>25</v>
      </c>
      <c r="G44" s="22" t="s">
        <v>84</v>
      </c>
      <c r="H44" s="22" t="s">
        <v>78</v>
      </c>
      <c r="I44" s="22">
        <f>'MERCADO TE'!$U$41</f>
        <v>0</v>
      </c>
      <c r="J44" s="15"/>
      <c r="L44" s="20">
        <f>'TR TE'!$L$44*'TR TE'!$L$51</f>
        <v>1.5127955002247517</v>
      </c>
      <c r="M44" s="20">
        <f>'TR TE'!$M$44*'TR TE'!$M$51</f>
        <v>8.4426962133769017</v>
      </c>
      <c r="N44" s="20">
        <f>'TR TE'!$N$44*'TR TE'!$N$51</f>
        <v>0</v>
      </c>
      <c r="O44" s="20">
        <f>'TR TE'!$O$44*'TR TE'!$O$51</f>
        <v>4.5963185573801812</v>
      </c>
      <c r="P44" s="20">
        <f>SUM($L$44:$O$44)</f>
        <v>14.551810270981834</v>
      </c>
      <c r="Q44" s="20">
        <f>'TR TE'!$Q$44*'TR TE'!$Q$51</f>
        <v>126.4412806309107</v>
      </c>
      <c r="R44" s="20">
        <f>SUM($Q$44:$Q$44)</f>
        <v>126.4412806309107</v>
      </c>
      <c r="S44" s="20">
        <f>'TR TE'!$S$44*'TR TE'!$S$51</f>
        <v>0</v>
      </c>
      <c r="T44" s="20">
        <f>'TR TE'!$T$44*'TR TE'!$T$51</f>
        <v>0</v>
      </c>
      <c r="U44" s="20">
        <f>'TR TE'!$U$44*'TR TE'!$U$51</f>
        <v>1.1107918505058222E-12</v>
      </c>
      <c r="V44" s="20">
        <f>SUM($S$44:$U$44)</f>
        <v>1.1107918505058222E-12</v>
      </c>
      <c r="W44" s="20"/>
      <c r="X44" s="20">
        <f>SUM($W$44:$W$44)</f>
        <v>0</v>
      </c>
      <c r="Y44" s="20">
        <f>'TR TE'!$Y$44*'TR TE'!$Y$51</f>
        <v>2.5222350403992637</v>
      </c>
      <c r="Z44" s="20">
        <f>SUM($Y$44:$Y$44)</f>
        <v>2.5222350403992637</v>
      </c>
      <c r="AA44" s="20">
        <f>SUMIF($L$4:$Z$4,"SUBTOTAL",$L$44:$Z$44)</f>
        <v>143.51532594229292</v>
      </c>
    </row>
    <row r="46" spans="1:27" ht="11.25" customHeight="1" x14ac:dyDescent="0.25">
      <c r="K46" s="25" t="s">
        <v>838</v>
      </c>
      <c r="L46" s="20">
        <f t="shared" ref="L46:AA46" si="0">SUMPRODUCT($I$5:$I$44,L$5:L$44)</f>
        <v>1361907.2732086289</v>
      </c>
      <c r="M46" s="20">
        <f t="shared" si="0"/>
        <v>7600610.5099999979</v>
      </c>
      <c r="N46" s="20">
        <f t="shared" si="0"/>
        <v>0</v>
      </c>
      <c r="O46" s="20">
        <f t="shared" si="0"/>
        <v>4137875.6562601267</v>
      </c>
      <c r="P46" s="20">
        <f t="shared" si="0"/>
        <v>13100393.439468754</v>
      </c>
      <c r="Q46" s="20">
        <f t="shared" si="0"/>
        <v>113597589.71507734</v>
      </c>
      <c r="R46" s="20">
        <f t="shared" si="0"/>
        <v>113597589.71507734</v>
      </c>
      <c r="S46" s="20">
        <f t="shared" si="0"/>
        <v>0</v>
      </c>
      <c r="T46" s="20">
        <f t="shared" si="0"/>
        <v>0</v>
      </c>
      <c r="U46" s="20">
        <f t="shared" si="0"/>
        <v>9.9999999999999932E-7</v>
      </c>
      <c r="V46" s="20">
        <f t="shared" si="0"/>
        <v>9.9999999999999932E-7</v>
      </c>
      <c r="W46" s="20">
        <f t="shared" si="0"/>
        <v>0</v>
      </c>
      <c r="X46" s="20">
        <f t="shared" si="0"/>
        <v>0</v>
      </c>
      <c r="Y46" s="20">
        <f t="shared" si="0"/>
        <v>2270663.9765593442</v>
      </c>
      <c r="Z46" s="20">
        <f t="shared" si="0"/>
        <v>2270663.9765593442</v>
      </c>
      <c r="AA46" s="20">
        <f t="shared" si="0"/>
        <v>128968647.13110645</v>
      </c>
    </row>
    <row r="47" spans="1:27" ht="11.25" customHeight="1" x14ac:dyDescent="0.25">
      <c r="K47" s="25" t="s">
        <v>757</v>
      </c>
      <c r="L47" s="20">
        <f>CUSTOS!$D$30</f>
        <v>1361907.2732086293</v>
      </c>
      <c r="M47" s="20">
        <f>CUSTOS!$D$31</f>
        <v>7600610.5099999998</v>
      </c>
      <c r="N47" s="20">
        <f>CUSTOS!$D$32</f>
        <v>0</v>
      </c>
      <c r="O47" s="20">
        <f>CUSTOS!$D$33</f>
        <v>4137875.6562601286</v>
      </c>
      <c r="P47" s="20">
        <f>CUSTOS!$D$34</f>
        <v>13100393.439468758</v>
      </c>
      <c r="Q47" s="20">
        <f>CUSTOS!$D$35</f>
        <v>113597589.71507731</v>
      </c>
      <c r="R47" s="20">
        <f>CUSTOS!$D$36</f>
        <v>113597589.71507731</v>
      </c>
      <c r="S47" s="20">
        <f>CUSTOS!$D$37</f>
        <v>0</v>
      </c>
      <c r="T47" s="20">
        <f>CUSTOS!$D$38</f>
        <v>0</v>
      </c>
      <c r="U47" s="20">
        <f>CUSTOS!$D$39</f>
        <v>9.9999999999999995E-7</v>
      </c>
      <c r="V47" s="20">
        <f>CUSTOS!$D$40</f>
        <v>9.9999999999999995E-7</v>
      </c>
      <c r="W47" s="20">
        <f>CUSTOS!$D$41</f>
        <v>0</v>
      </c>
      <c r="X47" s="20">
        <f>CUSTOS!$D$42</f>
        <v>0</v>
      </c>
      <c r="Y47" s="20">
        <f>CUSTOS!$D$43</f>
        <v>2270663.9765593451</v>
      </c>
      <c r="Z47" s="20">
        <f>CUSTOS!$D$44</f>
        <v>2270663.9765593451</v>
      </c>
      <c r="AA47" s="20">
        <f>CUSTOS!$D$45</f>
        <v>128968647.13110641</v>
      </c>
    </row>
    <row r="48" spans="1:27" ht="11.25" customHeight="1" x14ac:dyDescent="0.25">
      <c r="K48" s="25" t="s">
        <v>758</v>
      </c>
      <c r="L48" s="20">
        <f>CUSTOS!$E$30</f>
        <v>0</v>
      </c>
      <c r="M48" s="20">
        <f>CUSTOS!$E$31</f>
        <v>-10311704.379364343</v>
      </c>
      <c r="N48" s="20">
        <f>CUSTOS!$E$32</f>
        <v>0</v>
      </c>
      <c r="O48" s="20">
        <f>CUSTOS!$E$33</f>
        <v>-128313.97875302432</v>
      </c>
      <c r="P48" s="20">
        <f>CUSTOS!$E$34</f>
        <v>-10440018.358117368</v>
      </c>
      <c r="Q48" s="20">
        <f>CUSTOS!$E$35</f>
        <v>-6488150.3339097109</v>
      </c>
      <c r="R48" s="20">
        <f>CUSTOS!$E$36</f>
        <v>-6488150.3339097109</v>
      </c>
      <c r="S48" s="20">
        <f>CUSTOS!$E$37</f>
        <v>0</v>
      </c>
      <c r="T48" s="20">
        <f>CUSTOS!$E$38</f>
        <v>0</v>
      </c>
      <c r="U48" s="20">
        <f>CUSTOS!$E$39</f>
        <v>0</v>
      </c>
      <c r="V48" s="20">
        <f>CUSTOS!$E$40</f>
        <v>0</v>
      </c>
      <c r="W48" s="20">
        <f>CUSTOS!$E$41</f>
        <v>-10672736.968934506</v>
      </c>
      <c r="X48" s="20">
        <f>CUSTOS!$E$42</f>
        <v>-10672736.968934506</v>
      </c>
      <c r="Y48" s="20">
        <f>CUSTOS!$E$43</f>
        <v>-129689.4526957987</v>
      </c>
      <c r="Z48" s="20">
        <f>CUSTOS!$E$44</f>
        <v>-129689.4526957987</v>
      </c>
      <c r="AA48" s="20">
        <f>CUSTOS!$E$45</f>
        <v>-27730595.113657381</v>
      </c>
    </row>
    <row r="49" spans="11:27" ht="11.25" customHeight="1" x14ac:dyDescent="0.25">
      <c r="K49" s="25" t="s">
        <v>759</v>
      </c>
      <c r="L49" s="20">
        <f>CUSTOS!$F$30</f>
        <v>0</v>
      </c>
      <c r="M49" s="20">
        <f>CUSTOS!$F$31</f>
        <v>14248386.378264379</v>
      </c>
      <c r="N49" s="20">
        <f>CUSTOS!$F$32</f>
        <v>0</v>
      </c>
      <c r="O49" s="20">
        <f>CUSTOS!$F$33</f>
        <v>481513.27886582719</v>
      </c>
      <c r="P49" s="20">
        <f>CUSTOS!$F$34</f>
        <v>14729899.657130206</v>
      </c>
      <c r="Q49" s="20">
        <f>CUSTOS!$F$35</f>
        <v>18883705.255231388</v>
      </c>
      <c r="R49" s="20">
        <f>CUSTOS!$F$36</f>
        <v>18883705.255231388</v>
      </c>
      <c r="S49" s="20">
        <f>CUSTOS!$F$37</f>
        <v>0</v>
      </c>
      <c r="T49" s="20">
        <f>CUSTOS!$F$38</f>
        <v>0</v>
      </c>
      <c r="U49" s="20">
        <f>CUSTOS!$F$39</f>
        <v>0</v>
      </c>
      <c r="V49" s="20">
        <f>CUSTOS!$F$40</f>
        <v>0</v>
      </c>
      <c r="W49" s="20">
        <f>CUSTOS!$F$41</f>
        <v>0</v>
      </c>
      <c r="X49" s="20">
        <f>CUSTOS!$F$42</f>
        <v>0</v>
      </c>
      <c r="Y49" s="20">
        <f>CUSTOS!$F$43</f>
        <v>377460.02687702473</v>
      </c>
      <c r="Z49" s="20">
        <f>CUSTOS!$F$44</f>
        <v>377460.02687702473</v>
      </c>
      <c r="AA49" s="20">
        <f>CUSTOS!$F$45</f>
        <v>33991064.939238615</v>
      </c>
    </row>
    <row r="50" spans="11:27" ht="11.25" customHeight="1" x14ac:dyDescent="0.25">
      <c r="K50" s="25" t="s">
        <v>839</v>
      </c>
      <c r="L50" s="20">
        <f>'TR TE'!$L$50*L51</f>
        <v>0</v>
      </c>
      <c r="M50" s="20">
        <f>'TR TE'!$M$50*M51</f>
        <v>-19.090261982371853</v>
      </c>
      <c r="N50" s="20">
        <f>'TR TE'!$N$50*N51</f>
        <v>0</v>
      </c>
      <c r="O50" s="20">
        <f>'TR TE'!$O$50*O51</f>
        <v>-0.23755020317472772</v>
      </c>
      <c r="P50" s="20"/>
      <c r="Q50" s="20">
        <f>'TR TE'!$Q$50*Q51</f>
        <v>-11.919163825465576</v>
      </c>
      <c r="R50" s="20"/>
      <c r="S50" s="20">
        <f>'TR TE'!$S$50*S51</f>
        <v>0</v>
      </c>
      <c r="T50" s="20">
        <f>'TR TE'!$T$50*T51</f>
        <v>0</v>
      </c>
      <c r="U50" s="20">
        <f>'TR TE'!$U$50*U51</f>
        <v>0</v>
      </c>
      <c r="V50" s="20"/>
      <c r="W50" s="20"/>
      <c r="X50" s="20"/>
      <c r="Y50" s="20">
        <f>'TR TE'!$Y$50*Y51</f>
        <v>-0.24009664525175586</v>
      </c>
      <c r="Z50" s="20"/>
      <c r="AA50" s="20"/>
    </row>
    <row r="51" spans="11:27" ht="11.25" customHeight="1" x14ac:dyDescent="0.25">
      <c r="K51" s="25" t="s">
        <v>826</v>
      </c>
      <c r="L51" s="20">
        <f>IF(L47&lt;&gt;0,L48/L47,0)</f>
        <v>0</v>
      </c>
      <c r="M51" s="20">
        <f>IF(M47&lt;&gt;0,M48/M47,0)</f>
        <v>-1.3566942242070426</v>
      </c>
      <c r="N51" s="20">
        <f>IF(N47&lt;&gt;0,N48/N47,0)</f>
        <v>0</v>
      </c>
      <c r="O51" s="20">
        <f>IF(O47&lt;&gt;0,O48/O47,0)</f>
        <v>-3.1009626535998022E-2</v>
      </c>
      <c r="P51" s="20"/>
      <c r="Q51" s="20">
        <f>IF(Q47&lt;&gt;0,Q48/Q47,0)</f>
        <v>-5.7115211248611263E-2</v>
      </c>
      <c r="R51" s="20"/>
      <c r="S51" s="20">
        <f>IF(S47&lt;&gt;0,S48/S47,0)</f>
        <v>0</v>
      </c>
      <c r="T51" s="20">
        <f>IF(T47&lt;&gt;0,T48/T47,0)</f>
        <v>0</v>
      </c>
      <c r="U51" s="20">
        <f>IF(U47&lt;&gt;0,U48/U47,0)</f>
        <v>0</v>
      </c>
      <c r="V51" s="20"/>
      <c r="W51" s="20">
        <f>IF(($AA47-0)&lt;&gt;0,W48/($AA47-0),0)</f>
        <v>-8.2754508218457618E-2</v>
      </c>
      <c r="X51" s="20"/>
      <c r="Y51" s="20">
        <f>IF(Y47&lt;&gt;0,Y48/Y47,0)</f>
        <v>-5.7115211248611263E-2</v>
      </c>
      <c r="Z51" s="20"/>
      <c r="AA51" s="20"/>
    </row>
    <row r="52" spans="11:27" ht="11.25" customHeight="1" x14ac:dyDescent="0.25">
      <c r="K52" s="25" t="s">
        <v>841</v>
      </c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6">
    <cfRule type="cellIs" dxfId="994" priority="31" operator="notEqual">
      <formula>$L$47</formula>
    </cfRule>
    <cfRule type="cellIs" dxfId="993" priority="32" operator="equal">
      <formula>$L$47</formula>
    </cfRule>
  </conditionalFormatting>
  <conditionalFormatting sqref="M46">
    <cfRule type="cellIs" dxfId="992" priority="29" operator="notEqual">
      <formula>$M$47</formula>
    </cfRule>
    <cfRule type="cellIs" dxfId="991" priority="30" operator="equal">
      <formula>$M$47</formula>
    </cfRule>
  </conditionalFormatting>
  <conditionalFormatting sqref="N46">
    <cfRule type="cellIs" dxfId="990" priority="27" operator="notEqual">
      <formula>$N$47</formula>
    </cfRule>
    <cfRule type="cellIs" dxfId="989" priority="28" operator="equal">
      <formula>$N$47</formula>
    </cfRule>
  </conditionalFormatting>
  <conditionalFormatting sqref="O46">
    <cfRule type="cellIs" dxfId="988" priority="25" operator="notEqual">
      <formula>$O$47</formula>
    </cfRule>
    <cfRule type="cellIs" dxfId="987" priority="26" operator="equal">
      <formula>$O$47</formula>
    </cfRule>
  </conditionalFormatting>
  <conditionalFormatting sqref="P46">
    <cfRule type="cellIs" dxfId="986" priority="23" operator="notEqual">
      <formula>$P$47</formula>
    </cfRule>
    <cfRule type="cellIs" dxfId="985" priority="24" operator="equal">
      <formula>$P$47</formula>
    </cfRule>
  </conditionalFormatting>
  <conditionalFormatting sqref="Q46">
    <cfRule type="cellIs" dxfId="984" priority="21" operator="notEqual">
      <formula>$Q$47</formula>
    </cfRule>
    <cfRule type="cellIs" dxfId="983" priority="22" operator="equal">
      <formula>$Q$47</formula>
    </cfRule>
  </conditionalFormatting>
  <conditionalFormatting sqref="R46">
    <cfRule type="cellIs" dxfId="982" priority="19" operator="notEqual">
      <formula>$R$47</formula>
    </cfRule>
    <cfRule type="cellIs" dxfId="981" priority="20" operator="equal">
      <formula>$R$47</formula>
    </cfRule>
  </conditionalFormatting>
  <conditionalFormatting sqref="S46">
    <cfRule type="cellIs" dxfId="980" priority="17" operator="notEqual">
      <formula>$S$47</formula>
    </cfRule>
    <cfRule type="cellIs" dxfId="979" priority="18" operator="equal">
      <formula>$S$47</formula>
    </cfRule>
  </conditionalFormatting>
  <conditionalFormatting sqref="T46">
    <cfRule type="cellIs" dxfId="978" priority="15" operator="notEqual">
      <formula>$T$47</formula>
    </cfRule>
    <cfRule type="cellIs" dxfId="977" priority="16" operator="equal">
      <formula>$T$47</formula>
    </cfRule>
  </conditionalFormatting>
  <conditionalFormatting sqref="U46">
    <cfRule type="cellIs" dxfId="976" priority="13" operator="notEqual">
      <formula>$U$47</formula>
    </cfRule>
    <cfRule type="cellIs" dxfId="975" priority="14" operator="equal">
      <formula>$U$47</formula>
    </cfRule>
  </conditionalFormatting>
  <conditionalFormatting sqref="V46">
    <cfRule type="cellIs" dxfId="974" priority="11" operator="notEqual">
      <formula>$V$47</formula>
    </cfRule>
    <cfRule type="cellIs" dxfId="973" priority="12" operator="equal">
      <formula>$V$47</formula>
    </cfRule>
  </conditionalFormatting>
  <conditionalFormatting sqref="W46">
    <cfRule type="cellIs" dxfId="972" priority="9" operator="notEqual">
      <formula>$W$47</formula>
    </cfRule>
    <cfRule type="cellIs" dxfId="971" priority="10" operator="equal">
      <formula>$W$47</formula>
    </cfRule>
  </conditionalFormatting>
  <conditionalFormatting sqref="X46">
    <cfRule type="cellIs" dxfId="970" priority="7" operator="notEqual">
      <formula>$X$47</formula>
    </cfRule>
    <cfRule type="cellIs" dxfId="969" priority="8" operator="equal">
      <formula>$X$47</formula>
    </cfRule>
  </conditionalFormatting>
  <conditionalFormatting sqref="Y46">
    <cfRule type="cellIs" dxfId="968" priority="5" operator="notEqual">
      <formula>$Y$47</formula>
    </cfRule>
    <cfRule type="cellIs" dxfId="967" priority="6" operator="equal">
      <formula>$Y$47</formula>
    </cfRule>
  </conditionalFormatting>
  <conditionalFormatting sqref="Z46">
    <cfRule type="cellIs" dxfId="966" priority="3" operator="notEqual">
      <formula>$Z$47</formula>
    </cfRule>
    <cfRule type="cellIs" dxfId="965" priority="4" operator="equal">
      <formula>$Z$47</formula>
    </cfRule>
  </conditionalFormatting>
  <conditionalFormatting sqref="AA46">
    <cfRule type="cellIs" dxfId="964" priority="1" operator="notEqual">
      <formula>$AA$47</formula>
    </cfRule>
    <cfRule type="cellIs" dxfId="963" priority="2" operator="equal">
      <formula>$AA$47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A89A-9A41-40FC-9351-D2430C20C109}">
  <dimension ref="A1:AA52"/>
  <sheetViews>
    <sheetView showGridLines="0" topLeftCell="L28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42578125" style="9" bestFit="1" customWidth="1"/>
    <col min="14" max="14" width="8.7109375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16" t="s">
        <v>68</v>
      </c>
      <c r="B1" s="116" t="s">
        <v>69</v>
      </c>
      <c r="C1" s="116" t="s">
        <v>70</v>
      </c>
      <c r="D1" s="116" t="s">
        <v>71</v>
      </c>
      <c r="E1" s="116" t="s">
        <v>72</v>
      </c>
      <c r="F1" s="116" t="s">
        <v>15</v>
      </c>
      <c r="G1" s="116" t="s">
        <v>74</v>
      </c>
      <c r="H1" s="116" t="s">
        <v>75</v>
      </c>
      <c r="I1" s="116" t="s">
        <v>816</v>
      </c>
      <c r="J1" s="95"/>
      <c r="L1" s="114" t="s">
        <v>843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6"/>
      <c r="B2" s="116"/>
      <c r="C2" s="116"/>
      <c r="D2" s="116"/>
      <c r="E2" s="116"/>
      <c r="F2" s="116"/>
      <c r="G2" s="116"/>
      <c r="H2" s="116"/>
      <c r="I2" s="116"/>
      <c r="J2" s="95"/>
      <c r="L2" s="114" t="s">
        <v>744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95"/>
      <c r="L3" s="114" t="s">
        <v>717</v>
      </c>
      <c r="M3" s="114"/>
      <c r="N3" s="114"/>
      <c r="O3" s="114"/>
      <c r="P3" s="114"/>
      <c r="Q3" s="114" t="s">
        <v>747</v>
      </c>
      <c r="R3" s="114"/>
      <c r="S3" s="114" t="s">
        <v>726</v>
      </c>
      <c r="T3" s="114"/>
      <c r="U3" s="114"/>
      <c r="V3" s="114"/>
      <c r="W3" s="114" t="s">
        <v>736</v>
      </c>
      <c r="X3" s="114"/>
      <c r="Y3" s="114" t="s">
        <v>739</v>
      </c>
      <c r="Z3" s="114"/>
      <c r="AA3" s="114" t="s">
        <v>725</v>
      </c>
    </row>
    <row r="4" spans="1:27" ht="11.25" customHeight="1" x14ac:dyDescent="0.25">
      <c r="A4" s="116"/>
      <c r="B4" s="116"/>
      <c r="C4" s="116"/>
      <c r="D4" s="116"/>
      <c r="E4" s="116"/>
      <c r="F4" s="116"/>
      <c r="G4" s="116"/>
      <c r="H4" s="116"/>
      <c r="I4" s="116"/>
      <c r="J4" s="95"/>
      <c r="L4" s="24" t="s">
        <v>719</v>
      </c>
      <c r="M4" s="24" t="s">
        <v>745</v>
      </c>
      <c r="N4" s="24" t="s">
        <v>746</v>
      </c>
      <c r="O4" s="24" t="s">
        <v>804</v>
      </c>
      <c r="P4" s="24" t="s">
        <v>725</v>
      </c>
      <c r="Q4" s="24" t="s">
        <v>748</v>
      </c>
      <c r="R4" s="24" t="s">
        <v>725</v>
      </c>
      <c r="S4" s="24" t="s">
        <v>749</v>
      </c>
      <c r="T4" s="24" t="s">
        <v>750</v>
      </c>
      <c r="U4" s="24" t="s">
        <v>751</v>
      </c>
      <c r="V4" s="24" t="s">
        <v>725</v>
      </c>
      <c r="W4" s="24" t="s">
        <v>737</v>
      </c>
      <c r="X4" s="24" t="s">
        <v>725</v>
      </c>
      <c r="Y4" s="24" t="s">
        <v>752</v>
      </c>
      <c r="Z4" s="24" t="s">
        <v>725</v>
      </c>
      <c r="AA4" s="115"/>
    </row>
    <row r="5" spans="1:27" ht="11.25" customHeight="1" x14ac:dyDescent="0.25">
      <c r="A5" s="117" t="s">
        <v>56</v>
      </c>
      <c r="B5" s="117" t="s">
        <v>77</v>
      </c>
      <c r="C5" s="117" t="s">
        <v>25</v>
      </c>
      <c r="D5" s="117" t="s">
        <v>25</v>
      </c>
      <c r="E5" s="117" t="s">
        <v>25</v>
      </c>
      <c r="F5" s="117" t="s">
        <v>25</v>
      </c>
      <c r="G5" s="22" t="s">
        <v>79</v>
      </c>
      <c r="H5" s="22" t="s">
        <v>78</v>
      </c>
      <c r="I5" s="22">
        <f>'MERCADO TE'!$U$2</f>
        <v>0</v>
      </c>
      <c r="J5" s="15"/>
      <c r="L5" s="20">
        <f>'TE BE'!$L$5*'TE BE'!$L$51</f>
        <v>0</v>
      </c>
      <c r="M5" s="20">
        <f>'TE BE'!$M$5*'TE BE'!$M$51</f>
        <v>-19.090261982371853</v>
      </c>
      <c r="N5" s="20">
        <f>'TE BE'!$N$5*'TE BE'!$N$51</f>
        <v>0</v>
      </c>
      <c r="O5" s="20">
        <f>'TE BE'!$O$5*'TE BE'!$O$51</f>
        <v>-0.23755020317472772</v>
      </c>
      <c r="P5" s="20">
        <f>SUM($L$5:$O$5)</f>
        <v>-19.327812185546581</v>
      </c>
      <c r="Q5" s="20">
        <f>'TE BE'!$Q$5*'TE BE'!$Q$51</f>
        <v>-19.530438963051218</v>
      </c>
      <c r="R5" s="20">
        <f>SUM($Q$5:$Q$5)</f>
        <v>-19.530438963051218</v>
      </c>
      <c r="S5" s="20">
        <f>'TE BE'!$S$5*'TE BE'!$S$51</f>
        <v>0</v>
      </c>
      <c r="T5" s="20">
        <f>'TE BE'!$T$5*'TE BE'!$T$51</f>
        <v>0</v>
      </c>
      <c r="U5" s="20">
        <f>'TE BE'!$U$5*'TE BE'!$U$51</f>
        <v>0</v>
      </c>
      <c r="V5" s="20">
        <f>SUM($S$5:$U$5)</f>
        <v>0</v>
      </c>
      <c r="W5" s="20">
        <f>'TE BE'!$AA$5*'TE BE'!$W$51</f>
        <v>-30.652671999178072</v>
      </c>
      <c r="X5" s="20">
        <f>SUM($W$5:$W$5)</f>
        <v>-30.652671999178072</v>
      </c>
      <c r="Y5" s="20">
        <f>'TE BE'!$Y$5*'TE BE'!$Y$51</f>
        <v>-0.24009664525175586</v>
      </c>
      <c r="Z5" s="20">
        <f>SUM($Y$5:$Y$5)</f>
        <v>-0.24009664525175586</v>
      </c>
      <c r="AA5" s="20">
        <f>SUMIF($L$4:$Z$4,"SUBTOTAL",$L$5:$Z$5)</f>
        <v>-69.751019793027623</v>
      </c>
    </row>
    <row r="6" spans="1:27" ht="11.25" customHeight="1" x14ac:dyDescent="0.25">
      <c r="A6" s="117"/>
      <c r="B6" s="117"/>
      <c r="C6" s="117"/>
      <c r="D6" s="117"/>
      <c r="E6" s="117"/>
      <c r="F6" s="117"/>
      <c r="G6" s="22" t="s">
        <v>80</v>
      </c>
      <c r="H6" s="22" t="s">
        <v>78</v>
      </c>
      <c r="I6" s="22">
        <f>'MERCADO TE'!$U$3</f>
        <v>0</v>
      </c>
      <c r="J6" s="15"/>
      <c r="L6" s="20">
        <f>'TE BE'!$L$6*'TE BE'!$L$51</f>
        <v>0</v>
      </c>
      <c r="M6" s="20">
        <f>'TE BE'!$M$6*'TE BE'!$M$51</f>
        <v>-19.090261982371853</v>
      </c>
      <c r="N6" s="20">
        <f>'TE BE'!$N$6*'TE BE'!$N$51</f>
        <v>0</v>
      </c>
      <c r="O6" s="20">
        <f>'TE BE'!$O$6*'TE BE'!$O$51</f>
        <v>-0.23755020317472772</v>
      </c>
      <c r="P6" s="20">
        <f>SUM($L$6:$O$6)</f>
        <v>-19.327812185546581</v>
      </c>
      <c r="Q6" s="20">
        <f>'TE BE'!$Q$6*'TE BE'!$Q$51</f>
        <v>-11.354906373866987</v>
      </c>
      <c r="R6" s="20">
        <f>SUM($Q$6:$Q$6)</f>
        <v>-11.354906373866987</v>
      </c>
      <c r="S6" s="20">
        <f>'TE BE'!$S$6*'TE BE'!$S$51</f>
        <v>0</v>
      </c>
      <c r="T6" s="20">
        <f>'TE BE'!$T$6*'TE BE'!$T$51</f>
        <v>0</v>
      </c>
      <c r="U6" s="20">
        <f>'TE BE'!$U$6*'TE BE'!$U$51</f>
        <v>0</v>
      </c>
      <c r="V6" s="20">
        <f>SUM($S$6:$U$6)</f>
        <v>0</v>
      </c>
      <c r="W6" s="20">
        <f>'TE BE'!$AA$6*'TE BE'!$W$51</f>
        <v>-18.807102945831272</v>
      </c>
      <c r="X6" s="20">
        <f>SUM($W$6:$W$6)</f>
        <v>-18.807102945831272</v>
      </c>
      <c r="Y6" s="20">
        <f>'TE BE'!$Y$6*'TE BE'!$Y$51</f>
        <v>-0.24009664525175586</v>
      </c>
      <c r="Z6" s="20">
        <f>SUM($Y$6:$Y$6)</f>
        <v>-0.24009664525175586</v>
      </c>
      <c r="AA6" s="20">
        <f>SUMIF($L$4:$Z$4,"SUBTOTAL",$L$6:$Z$6)</f>
        <v>-49.729918150496587</v>
      </c>
    </row>
    <row r="7" spans="1:27" ht="11.25" customHeight="1" x14ac:dyDescent="0.25">
      <c r="A7" s="117" t="s">
        <v>39</v>
      </c>
      <c r="B7" s="117" t="s">
        <v>77</v>
      </c>
      <c r="C7" s="117" t="s">
        <v>25</v>
      </c>
      <c r="D7" s="117" t="s">
        <v>25</v>
      </c>
      <c r="E7" s="117" t="s">
        <v>25</v>
      </c>
      <c r="F7" s="117" t="s">
        <v>25</v>
      </c>
      <c r="G7" s="22" t="s">
        <v>79</v>
      </c>
      <c r="H7" s="22" t="s">
        <v>78</v>
      </c>
      <c r="I7" s="22">
        <f>'MERCADO TE'!$U$4</f>
        <v>8115.134</v>
      </c>
      <c r="J7" s="15"/>
      <c r="L7" s="20">
        <f>'TE BE'!$L$7*'TE BE'!$L$51</f>
        <v>0</v>
      </c>
      <c r="M7" s="20">
        <f>'TE BE'!$M$7*'TE BE'!$M$51</f>
        <v>-19.090261982371853</v>
      </c>
      <c r="N7" s="20">
        <f>'TE BE'!$N$7*'TE BE'!$N$51</f>
        <v>0</v>
      </c>
      <c r="O7" s="20">
        <f>'TE BE'!$O$7*'TE BE'!$O$51</f>
        <v>-0.23755020317472772</v>
      </c>
      <c r="P7" s="20">
        <f>SUM($L$7:$O$7)</f>
        <v>-19.327812185546581</v>
      </c>
      <c r="Q7" s="20">
        <f>'TE BE'!$Q$7*'TE BE'!$Q$51</f>
        <v>-19.530438963051218</v>
      </c>
      <c r="R7" s="20">
        <f>SUM($Q$7:$Q$7)</f>
        <v>-19.530438963051218</v>
      </c>
      <c r="S7" s="20">
        <f>'TE BE'!$S$7*'TE BE'!$S$51</f>
        <v>0</v>
      </c>
      <c r="T7" s="20">
        <f>'TE BE'!$T$7*'TE BE'!$T$51</f>
        <v>0</v>
      </c>
      <c r="U7" s="20">
        <f>'TE BE'!$U$7*'TE BE'!$U$51</f>
        <v>0</v>
      </c>
      <c r="V7" s="20">
        <f>SUM($S$7:$U$7)</f>
        <v>0</v>
      </c>
      <c r="W7" s="20">
        <f>'TE BE'!$AA$7*'TE BE'!$W$51</f>
        <v>-30.652671999178072</v>
      </c>
      <c r="X7" s="20">
        <f>SUM($W$7:$W$7)</f>
        <v>-30.652671999178072</v>
      </c>
      <c r="Y7" s="20">
        <f>'TE BE'!$Y$7*'TE BE'!$Y$51</f>
        <v>-0.24009664525175586</v>
      </c>
      <c r="Z7" s="20">
        <f>SUM($Y$7:$Y$7)</f>
        <v>-0.24009664525175586</v>
      </c>
      <c r="AA7" s="20">
        <f>SUMIF($L$4:$Z$4,"SUBTOTAL",$L$7:$Z$7)</f>
        <v>-69.751019793027623</v>
      </c>
    </row>
    <row r="8" spans="1:27" ht="11.25" customHeight="1" x14ac:dyDescent="0.25">
      <c r="A8" s="117"/>
      <c r="B8" s="117"/>
      <c r="C8" s="117"/>
      <c r="D8" s="117"/>
      <c r="E8" s="117"/>
      <c r="F8" s="117"/>
      <c r="G8" s="22" t="s">
        <v>80</v>
      </c>
      <c r="H8" s="22" t="s">
        <v>78</v>
      </c>
      <c r="I8" s="22">
        <f>'MERCADO TE'!$U$5</f>
        <v>108682.38199999998</v>
      </c>
      <c r="J8" s="15"/>
      <c r="L8" s="20">
        <f>'TE BE'!$L$8*'TE BE'!$L$51</f>
        <v>0</v>
      </c>
      <c r="M8" s="20">
        <f>'TE BE'!$M$8*'TE BE'!$M$51</f>
        <v>-19.090261982371853</v>
      </c>
      <c r="N8" s="20">
        <f>'TE BE'!$N$8*'TE BE'!$N$51</f>
        <v>0</v>
      </c>
      <c r="O8" s="20">
        <f>'TE BE'!$O$8*'TE BE'!$O$51</f>
        <v>-0.23755020317472772</v>
      </c>
      <c r="P8" s="20">
        <f>SUM($L$8:$O$8)</f>
        <v>-19.327812185546581</v>
      </c>
      <c r="Q8" s="20">
        <f>'TE BE'!$Q$8*'TE BE'!$Q$51</f>
        <v>-11.354906373866987</v>
      </c>
      <c r="R8" s="20">
        <f>SUM($Q$8:$Q$8)</f>
        <v>-11.354906373866987</v>
      </c>
      <c r="S8" s="20">
        <f>'TE BE'!$S$8*'TE BE'!$S$51</f>
        <v>0</v>
      </c>
      <c r="T8" s="20">
        <f>'TE BE'!$T$8*'TE BE'!$T$51</f>
        <v>0</v>
      </c>
      <c r="U8" s="20">
        <f>'TE BE'!$U$8*'TE BE'!$U$51</f>
        <v>0</v>
      </c>
      <c r="V8" s="20">
        <f>SUM($S$8:$U$8)</f>
        <v>0</v>
      </c>
      <c r="W8" s="20">
        <f>'TE BE'!$AA$8*'TE BE'!$W$51</f>
        <v>-18.807102945831272</v>
      </c>
      <c r="X8" s="20">
        <f>SUM($W$8:$W$8)</f>
        <v>-18.807102945831272</v>
      </c>
      <c r="Y8" s="20">
        <f>'TE BE'!$Y$8*'TE BE'!$Y$51</f>
        <v>-0.24009664525175586</v>
      </c>
      <c r="Z8" s="20">
        <f>SUM($Y$8:$Y$8)</f>
        <v>-0.24009664525175586</v>
      </c>
      <c r="AA8" s="20">
        <f>SUMIF($L$4:$Z$4,"SUBTOTAL",$L$8:$Z$8)</f>
        <v>-49.729918150496587</v>
      </c>
    </row>
    <row r="9" spans="1:27" ht="11.25" customHeight="1" x14ac:dyDescent="0.25">
      <c r="A9" s="117"/>
      <c r="B9" s="23" t="s">
        <v>86</v>
      </c>
      <c r="C9" s="23" t="s">
        <v>25</v>
      </c>
      <c r="D9" s="23" t="s">
        <v>25</v>
      </c>
      <c r="E9" s="23" t="s">
        <v>25</v>
      </c>
      <c r="F9" s="23" t="s">
        <v>25</v>
      </c>
      <c r="G9" s="22" t="s">
        <v>84</v>
      </c>
      <c r="H9" s="22" t="s">
        <v>78</v>
      </c>
      <c r="I9" s="22">
        <f>'MERCADO TE'!$U$6</f>
        <v>0</v>
      </c>
      <c r="J9" s="15"/>
      <c r="L9" s="20">
        <f>'TE BE'!$L$9*'TE BE'!$L$51</f>
        <v>0</v>
      </c>
      <c r="M9" s="20">
        <f>'TE BE'!$M$9*'TE BE'!$M$51</f>
        <v>-19.090261982371853</v>
      </c>
      <c r="N9" s="20">
        <f>'TE BE'!$N$9*'TE BE'!$N$51</f>
        <v>0</v>
      </c>
      <c r="O9" s="20">
        <f>'TE BE'!$O$9*'TE BE'!$O$51</f>
        <v>-0.23755020317472772</v>
      </c>
      <c r="P9" s="20">
        <f>SUM($L$9:$O$9)</f>
        <v>-19.327812185546581</v>
      </c>
      <c r="Q9" s="20">
        <f>'TE BE'!$Q$9*'TE BE'!$Q$51</f>
        <v>-12.036200756299008</v>
      </c>
      <c r="R9" s="20">
        <f>SUM($Q$9:$Q$9)</f>
        <v>-12.036200756299008</v>
      </c>
      <c r="S9" s="20">
        <f>'TE BE'!$S$9*'TE BE'!$S$51</f>
        <v>0</v>
      </c>
      <c r="T9" s="20">
        <f>'TE BE'!$T$9*'TE BE'!$T$51</f>
        <v>0</v>
      </c>
      <c r="U9" s="20">
        <f>'TE BE'!$U$9*'TE BE'!$U$51</f>
        <v>0</v>
      </c>
      <c r="V9" s="20">
        <f>SUM($S$9:$U$9)</f>
        <v>0</v>
      </c>
      <c r="W9" s="20">
        <f>'TE BE'!$AA$9*'TE BE'!$W$51</f>
        <v>-19.794233700276838</v>
      </c>
      <c r="X9" s="20">
        <f>SUM($W$9:$W$9)</f>
        <v>-19.794233700276838</v>
      </c>
      <c r="Y9" s="20">
        <f>'TE BE'!$Y$9*'TE BE'!$Y$51</f>
        <v>-0.24009664525175586</v>
      </c>
      <c r="Z9" s="20">
        <f>SUM($Y$9:$Y$9)</f>
        <v>-0.24009664525175586</v>
      </c>
      <c r="AA9" s="20">
        <f>SUMIF($L$4:$Z$4,"SUBTOTAL",$L$9:$Z$9)</f>
        <v>-51.398343287374175</v>
      </c>
    </row>
    <row r="10" spans="1:27" ht="11.25" customHeight="1" x14ac:dyDescent="0.25">
      <c r="A10" s="117" t="s">
        <v>22</v>
      </c>
      <c r="B10" s="117" t="s">
        <v>77</v>
      </c>
      <c r="C10" s="117" t="s">
        <v>24</v>
      </c>
      <c r="D10" s="117" t="s">
        <v>24</v>
      </c>
      <c r="E10" s="117" t="s">
        <v>25</v>
      </c>
      <c r="F10" s="117" t="s">
        <v>25</v>
      </c>
      <c r="G10" s="22" t="s">
        <v>79</v>
      </c>
      <c r="H10" s="22" t="s">
        <v>78</v>
      </c>
      <c r="I10" s="22">
        <f>'MERCADO TE'!$U$7</f>
        <v>6.9259999999999993</v>
      </c>
      <c r="J10" s="15"/>
      <c r="L10" s="20">
        <f>'TE BE'!$L$10*'TE BE'!$L$51</f>
        <v>0</v>
      </c>
      <c r="M10" s="20">
        <f>'TE BE'!$M$10*'TE BE'!$M$51</f>
        <v>-19.090261982371853</v>
      </c>
      <c r="N10" s="20">
        <f>'TE BE'!$N$10*'TE BE'!$N$51</f>
        <v>0</v>
      </c>
      <c r="O10" s="20">
        <f>'TE BE'!$O$10*'TE BE'!$O$51</f>
        <v>-0.23755020317472772</v>
      </c>
      <c r="P10" s="20">
        <f>SUM($L$10:$O$10)</f>
        <v>-19.327812185546581</v>
      </c>
      <c r="Q10" s="20">
        <f>'TE BE'!$Q$10*'TE BE'!$Q$51</f>
        <v>-19.530438963051218</v>
      </c>
      <c r="R10" s="20">
        <f>SUM($Q$10:$Q$10)</f>
        <v>-19.530438963051218</v>
      </c>
      <c r="S10" s="20">
        <f>'TE BE'!$S$10*'TE BE'!$S$51</f>
        <v>0</v>
      </c>
      <c r="T10" s="20">
        <f>'TE BE'!$T$10*'TE BE'!$T$51</f>
        <v>0</v>
      </c>
      <c r="U10" s="20">
        <f>'TE BE'!$U$10*'TE BE'!$U$51</f>
        <v>0</v>
      </c>
      <c r="V10" s="20">
        <f>SUM($S$10:$U$10)</f>
        <v>0</v>
      </c>
      <c r="W10" s="20">
        <f>'TE BE'!$AA$10*'TE BE'!$W$51</f>
        <v>-30.652671999178072</v>
      </c>
      <c r="X10" s="20">
        <f>SUM($W$10:$W$10)</f>
        <v>-30.652671999178072</v>
      </c>
      <c r="Y10" s="20">
        <f>'TE BE'!$Y$10*'TE BE'!$Y$51</f>
        <v>-0.24009664525175586</v>
      </c>
      <c r="Z10" s="20">
        <f>SUM($Y$10:$Y$10)</f>
        <v>-0.24009664525175586</v>
      </c>
      <c r="AA10" s="20">
        <f>SUMIF($L$4:$Z$4,"SUBTOTAL",$L$10:$Z$10)</f>
        <v>-69.751019793027623</v>
      </c>
    </row>
    <row r="11" spans="1:27" ht="11.25" customHeight="1" x14ac:dyDescent="0.25">
      <c r="A11" s="117"/>
      <c r="B11" s="117"/>
      <c r="C11" s="117"/>
      <c r="D11" s="117"/>
      <c r="E11" s="117"/>
      <c r="F11" s="117"/>
      <c r="G11" s="22" t="s">
        <v>91</v>
      </c>
      <c r="H11" s="22" t="s">
        <v>78</v>
      </c>
      <c r="I11" s="22">
        <f>'MERCADO TE'!$U$8</f>
        <v>4.6099999999999994</v>
      </c>
      <c r="J11" s="15"/>
      <c r="L11" s="20">
        <f>'TE BE'!$L$11*'TE BE'!$L$51</f>
        <v>0</v>
      </c>
      <c r="M11" s="20">
        <f>'TE BE'!$M$11*'TE BE'!$M$51</f>
        <v>-19.090261982371853</v>
      </c>
      <c r="N11" s="20">
        <f>'TE BE'!$N$11*'TE BE'!$N$51</f>
        <v>0</v>
      </c>
      <c r="O11" s="20">
        <f>'TE BE'!$O$11*'TE BE'!$O$51</f>
        <v>-0.23755020317472772</v>
      </c>
      <c r="P11" s="20">
        <f>SUM($L$11:$O$11)</f>
        <v>-19.327812185546581</v>
      </c>
      <c r="Q11" s="20">
        <f>'TE BE'!$Q$11*'TE BE'!$Q$51</f>
        <v>-11.354906373866987</v>
      </c>
      <c r="R11" s="20">
        <f>SUM($Q$11:$Q$11)</f>
        <v>-11.354906373866987</v>
      </c>
      <c r="S11" s="20">
        <f>'TE BE'!$S$11*'TE BE'!$S$51</f>
        <v>0</v>
      </c>
      <c r="T11" s="20">
        <f>'TE BE'!$T$11*'TE BE'!$T$51</f>
        <v>0</v>
      </c>
      <c r="U11" s="20">
        <f>'TE BE'!$U$11*'TE BE'!$U$51</f>
        <v>0</v>
      </c>
      <c r="V11" s="20">
        <f>SUM($S$11:$U$11)</f>
        <v>0</v>
      </c>
      <c r="W11" s="20">
        <f>'TE BE'!$AA$11*'TE BE'!$W$51</f>
        <v>-18.807102945831272</v>
      </c>
      <c r="X11" s="20">
        <f>SUM($W$11:$W$11)</f>
        <v>-18.807102945831272</v>
      </c>
      <c r="Y11" s="20">
        <f>'TE BE'!$Y$11*'TE BE'!$Y$51</f>
        <v>-0.24009664525175586</v>
      </c>
      <c r="Z11" s="20">
        <f>SUM($Y$11:$Y$11)</f>
        <v>-0.24009664525175586</v>
      </c>
      <c r="AA11" s="20">
        <f>SUMIF($L$4:$Z$4,"SUBTOTAL",$L$11:$Z$11)</f>
        <v>-49.729918150496587</v>
      </c>
    </row>
    <row r="12" spans="1:27" ht="11.25" customHeight="1" x14ac:dyDescent="0.25">
      <c r="A12" s="117"/>
      <c r="B12" s="117"/>
      <c r="C12" s="117"/>
      <c r="D12" s="117"/>
      <c r="E12" s="117"/>
      <c r="F12" s="117"/>
      <c r="G12" s="22" t="s">
        <v>80</v>
      </c>
      <c r="H12" s="22" t="s">
        <v>78</v>
      </c>
      <c r="I12" s="22">
        <f>'MERCADO TE'!$U$9</f>
        <v>73.14200000000001</v>
      </c>
      <c r="J12" s="15"/>
      <c r="L12" s="20">
        <f>'TE BE'!$L$12*'TE BE'!$L$51</f>
        <v>0</v>
      </c>
      <c r="M12" s="20">
        <f>'TE BE'!$M$12*'TE BE'!$M$51</f>
        <v>-19.090261982371853</v>
      </c>
      <c r="N12" s="20">
        <f>'TE BE'!$N$12*'TE BE'!$N$51</f>
        <v>0</v>
      </c>
      <c r="O12" s="20">
        <f>'TE BE'!$O$12*'TE BE'!$O$51</f>
        <v>-0.23755020317472772</v>
      </c>
      <c r="P12" s="20">
        <f>SUM($L$12:$O$12)</f>
        <v>-19.327812185546581</v>
      </c>
      <c r="Q12" s="20">
        <f>'TE BE'!$Q$12*'TE BE'!$Q$51</f>
        <v>-11.354906373866987</v>
      </c>
      <c r="R12" s="20">
        <f>SUM($Q$12:$Q$12)</f>
        <v>-11.354906373866987</v>
      </c>
      <c r="S12" s="20">
        <f>'TE BE'!$S$12*'TE BE'!$S$51</f>
        <v>0</v>
      </c>
      <c r="T12" s="20">
        <f>'TE BE'!$T$12*'TE BE'!$T$51</f>
        <v>0</v>
      </c>
      <c r="U12" s="20">
        <f>'TE BE'!$U$12*'TE BE'!$U$51</f>
        <v>0</v>
      </c>
      <c r="V12" s="20">
        <f>SUM($S$12:$U$12)</f>
        <v>0</v>
      </c>
      <c r="W12" s="20">
        <f>'TE BE'!$AA$12*'TE BE'!$W$51</f>
        <v>-18.807102945831272</v>
      </c>
      <c r="X12" s="20">
        <f>SUM($W$12:$W$12)</f>
        <v>-18.807102945831272</v>
      </c>
      <c r="Y12" s="20">
        <f>'TE BE'!$Y$12*'TE BE'!$Y$51</f>
        <v>-0.24009664525175586</v>
      </c>
      <c r="Z12" s="20">
        <f>SUM($Y$12:$Y$12)</f>
        <v>-0.24009664525175586</v>
      </c>
      <c r="AA12" s="20">
        <f>SUMIF($L$4:$Z$4,"SUBTOTAL",$L$12:$Z$12)</f>
        <v>-49.729918150496587</v>
      </c>
    </row>
    <row r="13" spans="1:27" ht="11.25" customHeight="1" x14ac:dyDescent="0.25">
      <c r="A13" s="117"/>
      <c r="B13" s="117" t="s">
        <v>86</v>
      </c>
      <c r="C13" s="117" t="s">
        <v>24</v>
      </c>
      <c r="D13" s="23" t="s">
        <v>24</v>
      </c>
      <c r="E13" s="23" t="s">
        <v>25</v>
      </c>
      <c r="F13" s="23" t="s">
        <v>25</v>
      </c>
      <c r="G13" s="22" t="s">
        <v>84</v>
      </c>
      <c r="H13" s="22" t="s">
        <v>78</v>
      </c>
      <c r="I13" s="22">
        <f>'MERCADO TE'!$U$10</f>
        <v>216529.64400000003</v>
      </c>
      <c r="J13" s="15"/>
      <c r="L13" s="20">
        <f>'TE BE'!$L$13*'TE BE'!$L$51</f>
        <v>0</v>
      </c>
      <c r="M13" s="20">
        <f>'TE BE'!$M$13*'TE BE'!$M$51</f>
        <v>-19.090261982371853</v>
      </c>
      <c r="N13" s="20">
        <f>'TE BE'!$N$13*'TE BE'!$N$51</f>
        <v>0</v>
      </c>
      <c r="O13" s="20">
        <f>'TE BE'!$O$13*'TE BE'!$O$51</f>
        <v>-0.23755020317472772</v>
      </c>
      <c r="P13" s="20">
        <f>SUM($L$13:$O$13)</f>
        <v>-19.327812185546581</v>
      </c>
      <c r="Q13" s="20">
        <f>'TE BE'!$Q$13*'TE BE'!$Q$51</f>
        <v>-12.036200756299008</v>
      </c>
      <c r="R13" s="20">
        <f>SUM($Q$13:$Q$13)</f>
        <v>-12.036200756299008</v>
      </c>
      <c r="S13" s="20">
        <f>'TE BE'!$S$13*'TE BE'!$S$51</f>
        <v>0</v>
      </c>
      <c r="T13" s="20">
        <f>'TE BE'!$T$13*'TE BE'!$T$51</f>
        <v>0</v>
      </c>
      <c r="U13" s="20">
        <f>'TE BE'!$U$13*'TE BE'!$U$51</f>
        <v>0</v>
      </c>
      <c r="V13" s="20">
        <f>SUM($S$13:$U$13)</f>
        <v>0</v>
      </c>
      <c r="W13" s="20">
        <f>'TE BE'!$AA$13*'TE BE'!$W$51</f>
        <v>-19.794233700276838</v>
      </c>
      <c r="X13" s="20">
        <f>SUM($W$13:$W$13)</f>
        <v>-19.794233700276838</v>
      </c>
      <c r="Y13" s="20">
        <f>'TE BE'!$Y$13*'TE BE'!$Y$51</f>
        <v>-0.24009664525175586</v>
      </c>
      <c r="Z13" s="20">
        <f>SUM($Y$13:$Y$13)</f>
        <v>-0.24009664525175586</v>
      </c>
      <c r="AA13" s="20">
        <f>SUMIF($L$4:$Z$4,"SUBTOTAL",$L$13:$Z$13)</f>
        <v>-51.398343287374175</v>
      </c>
    </row>
    <row r="14" spans="1:27" ht="11.25" customHeight="1" x14ac:dyDescent="0.25">
      <c r="A14" s="117"/>
      <c r="B14" s="117"/>
      <c r="C14" s="117"/>
      <c r="D14" s="23" t="s">
        <v>29</v>
      </c>
      <c r="E14" s="23" t="s">
        <v>25</v>
      </c>
      <c r="F14" s="23" t="s">
        <v>25</v>
      </c>
      <c r="G14" s="22" t="s">
        <v>84</v>
      </c>
      <c r="H14" s="22" t="s">
        <v>78</v>
      </c>
      <c r="I14" s="22">
        <f>'MERCADO TE'!$U$11</f>
        <v>20401.981000000003</v>
      </c>
      <c r="J14" s="15"/>
      <c r="L14" s="20">
        <f>'TE BE'!$L$14*'TE BE'!$L$51</f>
        <v>0</v>
      </c>
      <c r="M14" s="20">
        <f>'TE BE'!$M$14*'TE BE'!$M$51</f>
        <v>-19.090261982371853</v>
      </c>
      <c r="N14" s="20">
        <f>'TE BE'!$N$14*'TE BE'!$N$51</f>
        <v>0</v>
      </c>
      <c r="O14" s="20">
        <f>'TE BE'!$O$14*'TE BE'!$O$51</f>
        <v>-0.23755020317472772</v>
      </c>
      <c r="P14" s="20">
        <f>SUM($L$14:$O$14)</f>
        <v>-19.327812185546581</v>
      </c>
      <c r="Q14" s="20">
        <f>'TE BE'!$Q$14*'TE BE'!$Q$51</f>
        <v>-12.036200756299008</v>
      </c>
      <c r="R14" s="20">
        <f>SUM($Q$14:$Q$14)</f>
        <v>-12.036200756299008</v>
      </c>
      <c r="S14" s="20">
        <f>'TE BE'!$S$14*'TE BE'!$S$51</f>
        <v>0</v>
      </c>
      <c r="T14" s="20">
        <f>'TE BE'!$T$14*'TE BE'!$T$51</f>
        <v>0</v>
      </c>
      <c r="U14" s="20">
        <f>'TE BE'!$U$14*'TE BE'!$U$51</f>
        <v>0</v>
      </c>
      <c r="V14" s="20">
        <f>SUM($S$14:$U$14)</f>
        <v>0</v>
      </c>
      <c r="W14" s="20">
        <f>'TE BE'!$AA$14*'TE BE'!$W$51</f>
        <v>-19.794233700276838</v>
      </c>
      <c r="X14" s="20">
        <f>SUM($W$14:$W$14)</f>
        <v>-19.794233700276838</v>
      </c>
      <c r="Y14" s="20">
        <f>'TE BE'!$Y$14*'TE BE'!$Y$51</f>
        <v>-0.24009664525175586</v>
      </c>
      <c r="Z14" s="20">
        <f>SUM($Y$14:$Y$14)</f>
        <v>-0.24009664525175586</v>
      </c>
      <c r="AA14" s="20">
        <f>SUMIF($L$4:$Z$4,"SUBTOTAL",$L$14:$Z$14)</f>
        <v>-51.398343287374175</v>
      </c>
    </row>
    <row r="15" spans="1:27" ht="11.25" customHeight="1" x14ac:dyDescent="0.25">
      <c r="A15" s="117"/>
      <c r="B15" s="117"/>
      <c r="C15" s="117"/>
      <c r="D15" s="23" t="s">
        <v>30</v>
      </c>
      <c r="E15" s="23" t="s">
        <v>25</v>
      </c>
      <c r="F15" s="23" t="s">
        <v>25</v>
      </c>
      <c r="G15" s="22" t="s">
        <v>84</v>
      </c>
      <c r="H15" s="22" t="s">
        <v>78</v>
      </c>
      <c r="I15" s="22">
        <f>'MERCADO TE'!$U$12</f>
        <v>32706.754000000004</v>
      </c>
      <c r="J15" s="15"/>
      <c r="L15" s="20">
        <f>'TE BE'!$L$15*'TE BE'!$L$51</f>
        <v>0</v>
      </c>
      <c r="M15" s="20">
        <f>'TE BE'!$M$15*'TE BE'!$M$51</f>
        <v>-19.090261982371853</v>
      </c>
      <c r="N15" s="20">
        <f>'TE BE'!$N$15*'TE BE'!$N$51</f>
        <v>0</v>
      </c>
      <c r="O15" s="20">
        <f>'TE BE'!$O$15*'TE BE'!$O$51</f>
        <v>-0.23755020317472772</v>
      </c>
      <c r="P15" s="20">
        <f>SUM($L$15:$O$15)</f>
        <v>-19.327812185546581</v>
      </c>
      <c r="Q15" s="20">
        <f>'TE BE'!$Q$15*'TE BE'!$Q$51</f>
        <v>-12.036200756299008</v>
      </c>
      <c r="R15" s="20">
        <f>SUM($Q$15:$Q$15)</f>
        <v>-12.036200756299008</v>
      </c>
      <c r="S15" s="20">
        <f>'TE BE'!$S$15*'TE BE'!$S$51</f>
        <v>0</v>
      </c>
      <c r="T15" s="20">
        <f>'TE BE'!$T$15*'TE BE'!$T$51</f>
        <v>0</v>
      </c>
      <c r="U15" s="20">
        <f>'TE BE'!$U$15*'TE BE'!$U$51</f>
        <v>0</v>
      </c>
      <c r="V15" s="20">
        <f>SUM($S$15:$U$15)</f>
        <v>0</v>
      </c>
      <c r="W15" s="20">
        <f>'TE BE'!$AA$15*'TE BE'!$W$51</f>
        <v>-19.794233700276838</v>
      </c>
      <c r="X15" s="20">
        <f>SUM($W$15:$W$15)</f>
        <v>-19.794233700276838</v>
      </c>
      <c r="Y15" s="20">
        <f>'TE BE'!$Y$15*'TE BE'!$Y$51</f>
        <v>-0.24009664525175586</v>
      </c>
      <c r="Z15" s="20">
        <f>SUM($Y$15:$Y$15)</f>
        <v>-0.24009664525175586</v>
      </c>
      <c r="AA15" s="20">
        <f>SUMIF($L$4:$Z$4,"SUBTOTAL",$L$15:$Z$15)</f>
        <v>-51.398343287374175</v>
      </c>
    </row>
    <row r="16" spans="1:27" ht="11.25" customHeight="1" x14ac:dyDescent="0.25">
      <c r="A16" s="117"/>
      <c r="B16" s="117"/>
      <c r="C16" s="117"/>
      <c r="D16" s="23" t="s">
        <v>31</v>
      </c>
      <c r="E16" s="23" t="s">
        <v>25</v>
      </c>
      <c r="F16" s="23" t="s">
        <v>25</v>
      </c>
      <c r="G16" s="22" t="s">
        <v>84</v>
      </c>
      <c r="H16" s="22" t="s">
        <v>78</v>
      </c>
      <c r="I16" s="22">
        <f>'MERCADO TE'!$U$13</f>
        <v>13213.162</v>
      </c>
      <c r="J16" s="15"/>
      <c r="L16" s="20">
        <f>'TE BE'!$L$16*'TE BE'!$L$51</f>
        <v>0</v>
      </c>
      <c r="M16" s="20">
        <f>'TE BE'!$M$16*'TE BE'!$M$51</f>
        <v>-19.090261982371853</v>
      </c>
      <c r="N16" s="20">
        <f>'TE BE'!$N$16*'TE BE'!$N$51</f>
        <v>0</v>
      </c>
      <c r="O16" s="20">
        <f>'TE BE'!$O$16*'TE BE'!$O$51</f>
        <v>-0.23755020317472772</v>
      </c>
      <c r="P16" s="20">
        <f>SUM($L$16:$O$16)</f>
        <v>-19.327812185546581</v>
      </c>
      <c r="Q16" s="20">
        <f>'TE BE'!$Q$16*'TE BE'!$Q$51</f>
        <v>-12.036200756299008</v>
      </c>
      <c r="R16" s="20">
        <f>SUM($Q$16:$Q$16)</f>
        <v>-12.036200756299008</v>
      </c>
      <c r="S16" s="20">
        <f>'TE BE'!$S$16*'TE BE'!$S$51</f>
        <v>0</v>
      </c>
      <c r="T16" s="20">
        <f>'TE BE'!$T$16*'TE BE'!$T$51</f>
        <v>0</v>
      </c>
      <c r="U16" s="20">
        <f>'TE BE'!$U$16*'TE BE'!$U$51</f>
        <v>0</v>
      </c>
      <c r="V16" s="20">
        <f>SUM($S$16:$U$16)</f>
        <v>0</v>
      </c>
      <c r="W16" s="20">
        <f>'TE BE'!$AA$16*'TE BE'!$W$51</f>
        <v>-19.794233700276838</v>
      </c>
      <c r="X16" s="20">
        <f>SUM($W$16:$W$16)</f>
        <v>-19.794233700276838</v>
      </c>
      <c r="Y16" s="20">
        <f>'TE BE'!$Y$16*'TE BE'!$Y$51</f>
        <v>-0.24009664525175586</v>
      </c>
      <c r="Z16" s="20">
        <f>SUM($Y$16:$Y$16)</f>
        <v>-0.24009664525175586</v>
      </c>
      <c r="AA16" s="20">
        <f>SUMIF($L$4:$Z$4,"SUBTOTAL",$L$16:$Z$16)</f>
        <v>-51.398343287374175</v>
      </c>
    </row>
    <row r="17" spans="1:27" ht="11.25" customHeight="1" x14ac:dyDescent="0.25">
      <c r="A17" s="117"/>
      <c r="B17" s="117"/>
      <c r="C17" s="117"/>
      <c r="D17" s="23" t="s">
        <v>32</v>
      </c>
      <c r="E17" s="23" t="s">
        <v>25</v>
      </c>
      <c r="F17" s="23" t="s">
        <v>25</v>
      </c>
      <c r="G17" s="22" t="s">
        <v>84</v>
      </c>
      <c r="H17" s="22" t="s">
        <v>78</v>
      </c>
      <c r="I17" s="22">
        <f>'MERCADO TE'!$U$14</f>
        <v>2931.0630000000001</v>
      </c>
      <c r="J17" s="15"/>
      <c r="L17" s="20">
        <f>'TE BE'!$L$17*'TE BE'!$L$51</f>
        <v>0</v>
      </c>
      <c r="M17" s="20">
        <f>'TE BE'!$M$17*'TE BE'!$M$51</f>
        <v>-19.090261982371853</v>
      </c>
      <c r="N17" s="20">
        <f>'TE BE'!$N$17*'TE BE'!$N$51</f>
        <v>0</v>
      </c>
      <c r="O17" s="20">
        <f>'TE BE'!$O$17*'TE BE'!$O$51</f>
        <v>-0.23755020317472772</v>
      </c>
      <c r="P17" s="20">
        <f>SUM($L$17:$O$17)</f>
        <v>-19.327812185546581</v>
      </c>
      <c r="Q17" s="20">
        <f>'TE BE'!$Q$17*'TE BE'!$Q$51</f>
        <v>-12.036200756299008</v>
      </c>
      <c r="R17" s="20">
        <f>SUM($Q$17:$Q$17)</f>
        <v>-12.036200756299008</v>
      </c>
      <c r="S17" s="20">
        <f>'TE BE'!$S$17*'TE BE'!$S$51</f>
        <v>0</v>
      </c>
      <c r="T17" s="20">
        <f>'TE BE'!$T$17*'TE BE'!$T$51</f>
        <v>0</v>
      </c>
      <c r="U17" s="20">
        <f>'TE BE'!$U$17*'TE BE'!$U$51</f>
        <v>0</v>
      </c>
      <c r="V17" s="20">
        <f>SUM($S$17:$U$17)</f>
        <v>0</v>
      </c>
      <c r="W17" s="20">
        <f>'TE BE'!$AA$17*'TE BE'!$W$51</f>
        <v>-19.794233700276838</v>
      </c>
      <c r="X17" s="20">
        <f>SUM($W$17:$W$17)</f>
        <v>-19.794233700276838</v>
      </c>
      <c r="Y17" s="20">
        <f>'TE BE'!$Y$17*'TE BE'!$Y$51</f>
        <v>-0.24009664525175586</v>
      </c>
      <c r="Z17" s="20">
        <f>SUM($Y$17:$Y$17)</f>
        <v>-0.24009664525175586</v>
      </c>
      <c r="AA17" s="20">
        <f>SUMIF($L$4:$Z$4,"SUBTOTAL",$L$17:$Z$17)</f>
        <v>-51.398343287374175</v>
      </c>
    </row>
    <row r="18" spans="1:27" ht="11.25" customHeight="1" x14ac:dyDescent="0.25">
      <c r="A18" s="117"/>
      <c r="B18" s="117" t="s">
        <v>92</v>
      </c>
      <c r="C18" s="117" t="s">
        <v>24</v>
      </c>
      <c r="D18" s="23" t="s">
        <v>24</v>
      </c>
      <c r="E18" s="23" t="s">
        <v>25</v>
      </c>
      <c r="F18" s="23" t="s">
        <v>25</v>
      </c>
      <c r="G18" s="22" t="s">
        <v>84</v>
      </c>
      <c r="H18" s="22" t="s">
        <v>78</v>
      </c>
      <c r="I18" s="22">
        <f>'MERCADO TE'!$U$15</f>
        <v>0</v>
      </c>
      <c r="J18" s="15"/>
      <c r="L18" s="20">
        <f>'TE BE'!$L$18*'TE BE'!$L$51</f>
        <v>0</v>
      </c>
      <c r="M18" s="20">
        <f>'TE BE'!$M$18*'TE BE'!$M$51</f>
        <v>-19.090261982371853</v>
      </c>
      <c r="N18" s="20">
        <f>'TE BE'!$N$18*'TE BE'!$N$51</f>
        <v>0</v>
      </c>
      <c r="O18" s="20">
        <f>'TE BE'!$O$18*'TE BE'!$O$51</f>
        <v>-0.23755020317472772</v>
      </c>
      <c r="P18" s="20">
        <f>SUM($L$18:$O$18)</f>
        <v>-19.327812185546581</v>
      </c>
      <c r="Q18" s="20">
        <f>'TE BE'!$Q$18*'TE BE'!$Q$51</f>
        <v>-12.036200756299008</v>
      </c>
      <c r="R18" s="20">
        <f>SUM($Q$18:$Q$18)</f>
        <v>-12.036200756299008</v>
      </c>
      <c r="S18" s="20">
        <f>'TE BE'!$S$18*'TE BE'!$S$51</f>
        <v>0</v>
      </c>
      <c r="T18" s="20">
        <f>'TE BE'!$T$18*'TE BE'!$T$51</f>
        <v>0</v>
      </c>
      <c r="U18" s="20">
        <f>'TE BE'!$U$18*'TE BE'!$U$51</f>
        <v>0</v>
      </c>
      <c r="V18" s="20">
        <f>SUM($S$18:$U$18)</f>
        <v>0</v>
      </c>
      <c r="W18" s="20">
        <f>'TE BE'!$AA$18*'TE BE'!$W$51</f>
        <v>-19.794233700276838</v>
      </c>
      <c r="X18" s="20">
        <f>SUM($W$18:$W$18)</f>
        <v>-19.794233700276838</v>
      </c>
      <c r="Y18" s="20">
        <f>'TE BE'!$Y$18*'TE BE'!$Y$51</f>
        <v>-0.24009664525175586</v>
      </c>
      <c r="Z18" s="20">
        <f>SUM($Y$18:$Y$18)</f>
        <v>-0.24009664525175586</v>
      </c>
      <c r="AA18" s="20">
        <f>SUMIF($L$4:$Z$4,"SUBTOTAL",$L$18:$Z$18)</f>
        <v>-51.398343287374175</v>
      </c>
    </row>
    <row r="19" spans="1:27" ht="11.25" customHeight="1" x14ac:dyDescent="0.25">
      <c r="A19" s="117"/>
      <c r="B19" s="117"/>
      <c r="C19" s="117"/>
      <c r="D19" s="23" t="s">
        <v>29</v>
      </c>
      <c r="E19" s="23" t="s">
        <v>25</v>
      </c>
      <c r="F19" s="23" t="s">
        <v>25</v>
      </c>
      <c r="G19" s="22" t="s">
        <v>84</v>
      </c>
      <c r="H19" s="22" t="s">
        <v>78</v>
      </c>
      <c r="I19" s="22">
        <f>'MERCADO TE'!$U$16</f>
        <v>0</v>
      </c>
      <c r="J19" s="15"/>
      <c r="L19" s="20">
        <f>'TE BE'!$L$19*'TE BE'!$L$51</f>
        <v>0</v>
      </c>
      <c r="M19" s="20">
        <f>'TE BE'!$M$19*'TE BE'!$M$51</f>
        <v>-19.090261982371853</v>
      </c>
      <c r="N19" s="20">
        <f>'TE BE'!$N$19*'TE BE'!$N$51</f>
        <v>0</v>
      </c>
      <c r="O19" s="20">
        <f>'TE BE'!$O$19*'TE BE'!$O$51</f>
        <v>-0.23755020317472772</v>
      </c>
      <c r="P19" s="20">
        <f>SUM($L$19:$O$19)</f>
        <v>-19.327812185546581</v>
      </c>
      <c r="Q19" s="20">
        <f>'TE BE'!$Q$19*'TE BE'!$Q$51</f>
        <v>-12.036200756299008</v>
      </c>
      <c r="R19" s="20">
        <f>SUM($Q$19:$Q$19)</f>
        <v>-12.036200756299008</v>
      </c>
      <c r="S19" s="20">
        <f>'TE BE'!$S$19*'TE BE'!$S$51</f>
        <v>0</v>
      </c>
      <c r="T19" s="20">
        <f>'TE BE'!$T$19*'TE BE'!$T$51</f>
        <v>0</v>
      </c>
      <c r="U19" s="20">
        <f>'TE BE'!$U$19*'TE BE'!$U$51</f>
        <v>0</v>
      </c>
      <c r="V19" s="20">
        <f>SUM($S$19:$U$19)</f>
        <v>0</v>
      </c>
      <c r="W19" s="20">
        <f>'TE BE'!$AA$19*'TE BE'!$W$51</f>
        <v>-19.794233700276838</v>
      </c>
      <c r="X19" s="20">
        <f>SUM($W$19:$W$19)</f>
        <v>-19.794233700276838</v>
      </c>
      <c r="Y19" s="20">
        <f>'TE BE'!$Y$19*'TE BE'!$Y$51</f>
        <v>-0.24009664525175586</v>
      </c>
      <c r="Z19" s="20">
        <f>SUM($Y$19:$Y$19)</f>
        <v>-0.24009664525175586</v>
      </c>
      <c r="AA19" s="20">
        <f>SUMIF($L$4:$Z$4,"SUBTOTAL",$L$19:$Z$19)</f>
        <v>-51.398343287374175</v>
      </c>
    </row>
    <row r="20" spans="1:27" ht="11.25" customHeight="1" x14ac:dyDescent="0.25">
      <c r="A20" s="117"/>
      <c r="B20" s="117"/>
      <c r="C20" s="117"/>
      <c r="D20" s="23" t="s">
        <v>30</v>
      </c>
      <c r="E20" s="23" t="s">
        <v>25</v>
      </c>
      <c r="F20" s="23" t="s">
        <v>25</v>
      </c>
      <c r="G20" s="22" t="s">
        <v>84</v>
      </c>
      <c r="H20" s="22" t="s">
        <v>78</v>
      </c>
      <c r="I20" s="22">
        <f>'MERCADO TE'!$U$17</f>
        <v>0</v>
      </c>
      <c r="J20" s="15"/>
      <c r="L20" s="20">
        <f>'TE BE'!$L$20*'TE BE'!$L$51</f>
        <v>0</v>
      </c>
      <c r="M20" s="20">
        <f>'TE BE'!$M$20*'TE BE'!$M$51</f>
        <v>-19.090261982371853</v>
      </c>
      <c r="N20" s="20">
        <f>'TE BE'!$N$20*'TE BE'!$N$51</f>
        <v>0</v>
      </c>
      <c r="O20" s="20">
        <f>'TE BE'!$O$20*'TE BE'!$O$51</f>
        <v>-0.23755020317472772</v>
      </c>
      <c r="P20" s="20">
        <f>SUM($L$20:$O$20)</f>
        <v>-19.327812185546581</v>
      </c>
      <c r="Q20" s="20">
        <f>'TE BE'!$Q$20*'TE BE'!$Q$51</f>
        <v>-12.036200756299008</v>
      </c>
      <c r="R20" s="20">
        <f>SUM($Q$20:$Q$20)</f>
        <v>-12.036200756299008</v>
      </c>
      <c r="S20" s="20">
        <f>'TE BE'!$S$20*'TE BE'!$S$51</f>
        <v>0</v>
      </c>
      <c r="T20" s="20">
        <f>'TE BE'!$T$20*'TE BE'!$T$51</f>
        <v>0</v>
      </c>
      <c r="U20" s="20">
        <f>'TE BE'!$U$20*'TE BE'!$U$51</f>
        <v>0</v>
      </c>
      <c r="V20" s="20">
        <f>SUM($S$20:$U$20)</f>
        <v>0</v>
      </c>
      <c r="W20" s="20">
        <f>'TE BE'!$AA$20*'TE BE'!$W$51</f>
        <v>-19.794233700276838</v>
      </c>
      <c r="X20" s="20">
        <f>SUM($W$20:$W$20)</f>
        <v>-19.794233700276838</v>
      </c>
      <c r="Y20" s="20">
        <f>'TE BE'!$Y$20*'TE BE'!$Y$51</f>
        <v>-0.24009664525175586</v>
      </c>
      <c r="Z20" s="20">
        <f>SUM($Y$20:$Y$20)</f>
        <v>-0.24009664525175586</v>
      </c>
      <c r="AA20" s="20">
        <f>SUMIF($L$4:$Z$4,"SUBTOTAL",$L$20:$Z$20)</f>
        <v>-51.398343287374175</v>
      </c>
    </row>
    <row r="21" spans="1:27" ht="11.25" customHeight="1" x14ac:dyDescent="0.25">
      <c r="A21" s="117"/>
      <c r="B21" s="117"/>
      <c r="C21" s="117"/>
      <c r="D21" s="23" t="s">
        <v>31</v>
      </c>
      <c r="E21" s="23" t="s">
        <v>25</v>
      </c>
      <c r="F21" s="23" t="s">
        <v>25</v>
      </c>
      <c r="G21" s="22" t="s">
        <v>84</v>
      </c>
      <c r="H21" s="22" t="s">
        <v>78</v>
      </c>
      <c r="I21" s="22">
        <f>'MERCADO TE'!$U$18</f>
        <v>0</v>
      </c>
      <c r="J21" s="15"/>
      <c r="L21" s="20">
        <f>'TE BE'!$L$21*'TE BE'!$L$51</f>
        <v>0</v>
      </c>
      <c r="M21" s="20">
        <f>'TE BE'!$M$21*'TE BE'!$M$51</f>
        <v>-19.090261982371853</v>
      </c>
      <c r="N21" s="20">
        <f>'TE BE'!$N$21*'TE BE'!$N$51</f>
        <v>0</v>
      </c>
      <c r="O21" s="20">
        <f>'TE BE'!$O$21*'TE BE'!$O$51</f>
        <v>-0.23755020317472772</v>
      </c>
      <c r="P21" s="20">
        <f>SUM($L$21:$O$21)</f>
        <v>-19.327812185546581</v>
      </c>
      <c r="Q21" s="20">
        <f>'TE BE'!$Q$21*'TE BE'!$Q$51</f>
        <v>-12.036200756299008</v>
      </c>
      <c r="R21" s="20">
        <f>SUM($Q$21:$Q$21)</f>
        <v>-12.036200756299008</v>
      </c>
      <c r="S21" s="20">
        <f>'TE BE'!$S$21*'TE BE'!$S$51</f>
        <v>0</v>
      </c>
      <c r="T21" s="20">
        <f>'TE BE'!$T$21*'TE BE'!$T$51</f>
        <v>0</v>
      </c>
      <c r="U21" s="20">
        <f>'TE BE'!$U$21*'TE BE'!$U$51</f>
        <v>0</v>
      </c>
      <c r="V21" s="20">
        <f>SUM($S$21:$U$21)</f>
        <v>0</v>
      </c>
      <c r="W21" s="20">
        <f>'TE BE'!$AA$21*'TE BE'!$W$51</f>
        <v>-19.794233700276838</v>
      </c>
      <c r="X21" s="20">
        <f>SUM($W$21:$W$21)</f>
        <v>-19.794233700276838</v>
      </c>
      <c r="Y21" s="20">
        <f>'TE BE'!$Y$21*'TE BE'!$Y$51</f>
        <v>-0.24009664525175586</v>
      </c>
      <c r="Z21" s="20">
        <f>SUM($Y$21:$Y$21)</f>
        <v>-0.24009664525175586</v>
      </c>
      <c r="AA21" s="20">
        <f>SUMIF($L$4:$Z$4,"SUBTOTAL",$L$21:$Z$21)</f>
        <v>-51.398343287374175</v>
      </c>
    </row>
    <row r="22" spans="1:27" ht="11.25" customHeight="1" x14ac:dyDescent="0.25">
      <c r="A22" s="117"/>
      <c r="B22" s="117"/>
      <c r="C22" s="117"/>
      <c r="D22" s="23" t="s">
        <v>32</v>
      </c>
      <c r="E22" s="23" t="s">
        <v>25</v>
      </c>
      <c r="F22" s="23" t="s">
        <v>25</v>
      </c>
      <c r="G22" s="22" t="s">
        <v>84</v>
      </c>
      <c r="H22" s="22" t="s">
        <v>78</v>
      </c>
      <c r="I22" s="22">
        <f>'MERCADO TE'!$U$19</f>
        <v>0</v>
      </c>
      <c r="J22" s="15"/>
      <c r="L22" s="20">
        <f>'TE BE'!$L$22*'TE BE'!$L$51</f>
        <v>0</v>
      </c>
      <c r="M22" s="20">
        <f>'TE BE'!$M$22*'TE BE'!$M$51</f>
        <v>-19.090261982371853</v>
      </c>
      <c r="N22" s="20">
        <f>'TE BE'!$N$22*'TE BE'!$N$51</f>
        <v>0</v>
      </c>
      <c r="O22" s="20">
        <f>'TE BE'!$O$22*'TE BE'!$O$51</f>
        <v>-0.23755020317472772</v>
      </c>
      <c r="P22" s="20">
        <f>SUM($L$22:$O$22)</f>
        <v>-19.327812185546581</v>
      </c>
      <c r="Q22" s="20">
        <f>'TE BE'!$Q$22*'TE BE'!$Q$51</f>
        <v>-12.036200756299008</v>
      </c>
      <c r="R22" s="20">
        <f>SUM($Q$22:$Q$22)</f>
        <v>-12.036200756299008</v>
      </c>
      <c r="S22" s="20">
        <f>'TE BE'!$S$22*'TE BE'!$S$51</f>
        <v>0</v>
      </c>
      <c r="T22" s="20">
        <f>'TE BE'!$T$22*'TE BE'!$T$51</f>
        <v>0</v>
      </c>
      <c r="U22" s="20">
        <f>'TE BE'!$U$22*'TE BE'!$U$51</f>
        <v>0</v>
      </c>
      <c r="V22" s="20">
        <f>SUM($S$22:$U$22)</f>
        <v>0</v>
      </c>
      <c r="W22" s="20">
        <f>'TE BE'!$AA$22*'TE BE'!$W$51</f>
        <v>-19.794233700276838</v>
      </c>
      <c r="X22" s="20">
        <f>SUM($W$22:$W$22)</f>
        <v>-19.794233700276838</v>
      </c>
      <c r="Y22" s="20">
        <f>'TE BE'!$Y$22*'TE BE'!$Y$51</f>
        <v>-0.24009664525175586</v>
      </c>
      <c r="Z22" s="20">
        <f>SUM($Y$22:$Y$22)</f>
        <v>-0.24009664525175586</v>
      </c>
      <c r="AA22" s="20">
        <f>SUMIF($L$4:$Z$4,"SUBTOTAL",$L$22:$Z$22)</f>
        <v>-51.398343287374175</v>
      </c>
    </row>
    <row r="23" spans="1:27" ht="11.25" customHeight="1" x14ac:dyDescent="0.25">
      <c r="A23" s="117" t="s">
        <v>43</v>
      </c>
      <c r="B23" s="117" t="s">
        <v>77</v>
      </c>
      <c r="C23" s="117" t="s">
        <v>44</v>
      </c>
      <c r="D23" s="117" t="s">
        <v>25</v>
      </c>
      <c r="E23" s="117" t="s">
        <v>25</v>
      </c>
      <c r="F23" s="117" t="s">
        <v>25</v>
      </c>
      <c r="G23" s="22" t="s">
        <v>79</v>
      </c>
      <c r="H23" s="22" t="s">
        <v>78</v>
      </c>
      <c r="I23" s="22">
        <f>'MERCADO TE'!$U$20</f>
        <v>0.16600000000000004</v>
      </c>
      <c r="J23" s="15"/>
      <c r="L23" s="20">
        <f>'TE BE'!$L$23*'TE BE'!$L$51</f>
        <v>0</v>
      </c>
      <c r="M23" s="20">
        <f>'TE BE'!$M$23*'TE BE'!$M$51</f>
        <v>-19.090261982371853</v>
      </c>
      <c r="N23" s="20">
        <f>'TE BE'!$N$23*'TE BE'!$N$51</f>
        <v>0</v>
      </c>
      <c r="O23" s="20">
        <f>'TE BE'!$O$23*'TE BE'!$O$51</f>
        <v>-0.23755020317472772</v>
      </c>
      <c r="P23" s="20">
        <f>SUM($L$23:$O$23)</f>
        <v>-19.327812185546581</v>
      </c>
      <c r="Q23" s="20">
        <f>'TE BE'!$Q$23*'TE BE'!$Q$51</f>
        <v>-19.530438963051218</v>
      </c>
      <c r="R23" s="20">
        <f>SUM($Q$23:$Q$23)</f>
        <v>-19.530438963051218</v>
      </c>
      <c r="S23" s="20">
        <f>'TE BE'!$S$23*'TE BE'!$S$51</f>
        <v>0</v>
      </c>
      <c r="T23" s="20">
        <f>'TE BE'!$T$23*'TE BE'!$T$51</f>
        <v>0</v>
      </c>
      <c r="U23" s="20">
        <f>'TE BE'!$U$23*'TE BE'!$U$51</f>
        <v>0</v>
      </c>
      <c r="V23" s="20">
        <f>SUM($S$23:$U$23)</f>
        <v>0</v>
      </c>
      <c r="W23" s="20">
        <f>'TE BE'!$AA$23*'TE BE'!$W$51</f>
        <v>-30.652671999178072</v>
      </c>
      <c r="X23" s="20">
        <f>SUM($W$23:$W$23)</f>
        <v>-30.652671999178072</v>
      </c>
      <c r="Y23" s="20">
        <f>'TE BE'!$Y$23*'TE BE'!$Y$51</f>
        <v>-0.24009664525175586</v>
      </c>
      <c r="Z23" s="20">
        <f>SUM($Y$23:$Y$23)</f>
        <v>-0.24009664525175586</v>
      </c>
      <c r="AA23" s="20">
        <f>SUMIF($L$4:$Z$4,"SUBTOTAL",$L$23:$Z$23)</f>
        <v>-69.751019793027623</v>
      </c>
    </row>
    <row r="24" spans="1:27" ht="11.25" customHeight="1" x14ac:dyDescent="0.25">
      <c r="A24" s="117"/>
      <c r="B24" s="117"/>
      <c r="C24" s="117"/>
      <c r="D24" s="117"/>
      <c r="E24" s="117"/>
      <c r="F24" s="117"/>
      <c r="G24" s="22" t="s">
        <v>91</v>
      </c>
      <c r="H24" s="22" t="s">
        <v>78</v>
      </c>
      <c r="I24" s="22">
        <f>'MERCADO TE'!$U$21</f>
        <v>0.14499999999999999</v>
      </c>
      <c r="J24" s="15"/>
      <c r="L24" s="20">
        <f>'TE BE'!$L$24*'TE BE'!$L$51</f>
        <v>0</v>
      </c>
      <c r="M24" s="20">
        <f>'TE BE'!$M$24*'TE BE'!$M$51</f>
        <v>-19.090261982371853</v>
      </c>
      <c r="N24" s="20">
        <f>'TE BE'!$N$24*'TE BE'!$N$51</f>
        <v>0</v>
      </c>
      <c r="O24" s="20">
        <f>'TE BE'!$O$24*'TE BE'!$O$51</f>
        <v>-0.23755020317472772</v>
      </c>
      <c r="P24" s="20">
        <f>SUM($L$24:$O$24)</f>
        <v>-19.327812185546581</v>
      </c>
      <c r="Q24" s="20">
        <f>'TE BE'!$Q$24*'TE BE'!$Q$51</f>
        <v>-11.354906373866987</v>
      </c>
      <c r="R24" s="20">
        <f>SUM($Q$24:$Q$24)</f>
        <v>-11.354906373866987</v>
      </c>
      <c r="S24" s="20">
        <f>'TE BE'!$S$24*'TE BE'!$S$51</f>
        <v>0</v>
      </c>
      <c r="T24" s="20">
        <f>'TE BE'!$T$24*'TE BE'!$T$51</f>
        <v>0</v>
      </c>
      <c r="U24" s="20">
        <f>'TE BE'!$U$24*'TE BE'!$U$51</f>
        <v>0</v>
      </c>
      <c r="V24" s="20">
        <f>SUM($S$24:$U$24)</f>
        <v>0</v>
      </c>
      <c r="W24" s="20">
        <f>'TE BE'!$AA$24*'TE BE'!$W$51</f>
        <v>-18.807102945831272</v>
      </c>
      <c r="X24" s="20">
        <f>SUM($W$24:$W$24)</f>
        <v>-18.807102945831272</v>
      </c>
      <c r="Y24" s="20">
        <f>'TE BE'!$Y$24*'TE BE'!$Y$51</f>
        <v>-0.24009664525175586</v>
      </c>
      <c r="Z24" s="20">
        <f>SUM($Y$24:$Y$24)</f>
        <v>-0.24009664525175586</v>
      </c>
      <c r="AA24" s="20">
        <f>SUMIF($L$4:$Z$4,"SUBTOTAL",$L$24:$Z$24)</f>
        <v>-49.729918150496587</v>
      </c>
    </row>
    <row r="25" spans="1:27" ht="11.25" customHeight="1" x14ac:dyDescent="0.25">
      <c r="A25" s="117"/>
      <c r="B25" s="117"/>
      <c r="C25" s="117"/>
      <c r="D25" s="117"/>
      <c r="E25" s="117"/>
      <c r="F25" s="117"/>
      <c r="G25" s="22" t="s">
        <v>80</v>
      </c>
      <c r="H25" s="22" t="s">
        <v>78</v>
      </c>
      <c r="I25" s="22">
        <f>'MERCADO TE'!$U$22</f>
        <v>3.37</v>
      </c>
      <c r="J25" s="15"/>
      <c r="L25" s="20">
        <f>'TE BE'!$L$25*'TE BE'!$L$51</f>
        <v>0</v>
      </c>
      <c r="M25" s="20">
        <f>'TE BE'!$M$25*'TE BE'!$M$51</f>
        <v>-19.090261982371853</v>
      </c>
      <c r="N25" s="20">
        <f>'TE BE'!$N$25*'TE BE'!$N$51</f>
        <v>0</v>
      </c>
      <c r="O25" s="20">
        <f>'TE BE'!$O$25*'TE BE'!$O$51</f>
        <v>-0.23755020317472772</v>
      </c>
      <c r="P25" s="20">
        <f>SUM($L$25:$O$25)</f>
        <v>-19.327812185546581</v>
      </c>
      <c r="Q25" s="20">
        <f>'TE BE'!$Q$25*'TE BE'!$Q$51</f>
        <v>-11.354906373866987</v>
      </c>
      <c r="R25" s="20">
        <f>SUM($Q$25:$Q$25)</f>
        <v>-11.354906373866987</v>
      </c>
      <c r="S25" s="20">
        <f>'TE BE'!$S$25*'TE BE'!$S$51</f>
        <v>0</v>
      </c>
      <c r="T25" s="20">
        <f>'TE BE'!$T$25*'TE BE'!$T$51</f>
        <v>0</v>
      </c>
      <c r="U25" s="20">
        <f>'TE BE'!$U$25*'TE BE'!$U$51</f>
        <v>0</v>
      </c>
      <c r="V25" s="20">
        <f>SUM($S$25:$U$25)</f>
        <v>0</v>
      </c>
      <c r="W25" s="20">
        <f>'TE BE'!$AA$25*'TE BE'!$W$51</f>
        <v>-18.807102945831272</v>
      </c>
      <c r="X25" s="20">
        <f>SUM($W$25:$W$25)</f>
        <v>-18.807102945831272</v>
      </c>
      <c r="Y25" s="20">
        <f>'TE BE'!$Y$25*'TE BE'!$Y$51</f>
        <v>-0.24009664525175586</v>
      </c>
      <c r="Z25" s="20">
        <f>SUM($Y$25:$Y$25)</f>
        <v>-0.24009664525175586</v>
      </c>
      <c r="AA25" s="20">
        <f>SUMIF($L$4:$Z$4,"SUBTOTAL",$L$25:$Z$25)</f>
        <v>-49.729918150496587</v>
      </c>
    </row>
    <row r="26" spans="1:27" ht="11.25" customHeight="1" x14ac:dyDescent="0.25">
      <c r="A26" s="117"/>
      <c r="B26" s="23" t="s">
        <v>86</v>
      </c>
      <c r="C26" s="23" t="s">
        <v>44</v>
      </c>
      <c r="D26" s="23" t="s">
        <v>25</v>
      </c>
      <c r="E26" s="23" t="s">
        <v>25</v>
      </c>
      <c r="F26" s="23" t="s">
        <v>25</v>
      </c>
      <c r="G26" s="22" t="s">
        <v>84</v>
      </c>
      <c r="H26" s="22" t="s">
        <v>78</v>
      </c>
      <c r="I26" s="22">
        <f>'MERCADO TE'!$U$23</f>
        <v>23741.584000000003</v>
      </c>
      <c r="J26" s="15"/>
      <c r="L26" s="20">
        <f>'TE BE'!$L$26*'TE BE'!$L$51</f>
        <v>0</v>
      </c>
      <c r="M26" s="20">
        <f>'TE BE'!$M$26*'TE BE'!$M$51</f>
        <v>-19.090261982371853</v>
      </c>
      <c r="N26" s="20">
        <f>'TE BE'!$N$26*'TE BE'!$N$51</f>
        <v>0</v>
      </c>
      <c r="O26" s="20">
        <f>'TE BE'!$O$26*'TE BE'!$O$51</f>
        <v>-0.23755020317472772</v>
      </c>
      <c r="P26" s="20">
        <f>SUM($L$26:$O$26)</f>
        <v>-19.327812185546581</v>
      </c>
      <c r="Q26" s="20">
        <f>'TE BE'!$Q$26*'TE BE'!$Q$51</f>
        <v>-12.036200756299008</v>
      </c>
      <c r="R26" s="20">
        <f>SUM($Q$26:$Q$26)</f>
        <v>-12.036200756299008</v>
      </c>
      <c r="S26" s="20">
        <f>'TE BE'!$S$26*'TE BE'!$S$51</f>
        <v>0</v>
      </c>
      <c r="T26" s="20">
        <f>'TE BE'!$T$26*'TE BE'!$T$51</f>
        <v>0</v>
      </c>
      <c r="U26" s="20">
        <f>'TE BE'!$U$26*'TE BE'!$U$51</f>
        <v>0</v>
      </c>
      <c r="V26" s="20">
        <f>SUM($S$26:$U$26)</f>
        <v>0</v>
      </c>
      <c r="W26" s="20">
        <f>'TE BE'!$AA$26*'TE BE'!$W$51</f>
        <v>-19.794233700276838</v>
      </c>
      <c r="X26" s="20">
        <f>SUM($W$26:$W$26)</f>
        <v>-19.794233700276838</v>
      </c>
      <c r="Y26" s="20">
        <f>'TE BE'!$Y$26*'TE BE'!$Y$51</f>
        <v>-0.24009664525175586</v>
      </c>
      <c r="Z26" s="20">
        <f>SUM($Y$26:$Y$26)</f>
        <v>-0.24009664525175586</v>
      </c>
      <c r="AA26" s="20">
        <f>SUMIF($L$4:$Z$4,"SUBTOTAL",$L$26:$Z$26)</f>
        <v>-51.398343287374175</v>
      </c>
    </row>
    <row r="27" spans="1:27" ht="11.25" customHeight="1" x14ac:dyDescent="0.25">
      <c r="A27" s="117"/>
      <c r="B27" s="117" t="s">
        <v>77</v>
      </c>
      <c r="C27" s="117" t="s">
        <v>44</v>
      </c>
      <c r="D27" s="117" t="s">
        <v>94</v>
      </c>
      <c r="E27" s="117" t="s">
        <v>25</v>
      </c>
      <c r="F27" s="117" t="s">
        <v>25</v>
      </c>
      <c r="G27" s="22" t="s">
        <v>79</v>
      </c>
      <c r="H27" s="22" t="s">
        <v>78</v>
      </c>
      <c r="I27" s="22">
        <f>'MERCADO TE'!$U$24</f>
        <v>0</v>
      </c>
      <c r="J27" s="15"/>
      <c r="L27" s="20">
        <f>'TE BE'!$L$27*'TE BE'!$L$51</f>
        <v>0</v>
      </c>
      <c r="M27" s="20">
        <f>'TE BE'!$M$27*'TE BE'!$M$51</f>
        <v>-19.090261982371853</v>
      </c>
      <c r="N27" s="20">
        <f>'TE BE'!$N$27*'TE BE'!$N$51</f>
        <v>0</v>
      </c>
      <c r="O27" s="20">
        <f>'TE BE'!$O$27*'TE BE'!$O$51</f>
        <v>-0.23755020317472772</v>
      </c>
      <c r="P27" s="20">
        <f>SUM($L$27:$O$27)</f>
        <v>-19.327812185546581</v>
      </c>
      <c r="Q27" s="20">
        <f>'TE BE'!$Q$27*'TE BE'!$Q$51</f>
        <v>-19.530438963051218</v>
      </c>
      <c r="R27" s="20">
        <f>SUM($Q$27:$Q$27)</f>
        <v>-19.530438963051218</v>
      </c>
      <c r="S27" s="20">
        <f>'TE BE'!$S$27*'TE BE'!$S$51</f>
        <v>0</v>
      </c>
      <c r="T27" s="20">
        <f>'TE BE'!$T$27*'TE BE'!$T$51</f>
        <v>0</v>
      </c>
      <c r="U27" s="20">
        <f>'TE BE'!$U$27*'TE BE'!$U$51</f>
        <v>0</v>
      </c>
      <c r="V27" s="20">
        <f>SUM($S$27:$U$27)</f>
        <v>0</v>
      </c>
      <c r="W27" s="20">
        <f>'TE BE'!$AA$27*'TE BE'!$W$51</f>
        <v>-30.652671999178072</v>
      </c>
      <c r="X27" s="20">
        <f>SUM($W$27:$W$27)</f>
        <v>-30.652671999178072</v>
      </c>
      <c r="Y27" s="20">
        <f>'TE BE'!$Y$27*'TE BE'!$Y$51</f>
        <v>-0.24009664525175586</v>
      </c>
      <c r="Z27" s="20">
        <f>SUM($Y$27:$Y$27)</f>
        <v>-0.24009664525175586</v>
      </c>
      <c r="AA27" s="20">
        <f>SUMIF($L$4:$Z$4,"SUBTOTAL",$L$27:$Z$27)</f>
        <v>-69.751019793027623</v>
      </c>
    </row>
    <row r="28" spans="1:27" ht="11.25" customHeight="1" x14ac:dyDescent="0.25">
      <c r="A28" s="117"/>
      <c r="B28" s="117"/>
      <c r="C28" s="117"/>
      <c r="D28" s="117"/>
      <c r="E28" s="117"/>
      <c r="F28" s="117"/>
      <c r="G28" s="22" t="s">
        <v>91</v>
      </c>
      <c r="H28" s="22" t="s">
        <v>78</v>
      </c>
      <c r="I28" s="22">
        <f>'MERCADO TE'!$U$25</f>
        <v>0</v>
      </c>
      <c r="J28" s="15"/>
      <c r="L28" s="20">
        <f>'TE BE'!$L$28*'TE BE'!$L$51</f>
        <v>0</v>
      </c>
      <c r="M28" s="20">
        <f>'TE BE'!$M$28*'TE BE'!$M$51</f>
        <v>-19.090261982371853</v>
      </c>
      <c r="N28" s="20">
        <f>'TE BE'!$N$28*'TE BE'!$N$51</f>
        <v>0</v>
      </c>
      <c r="O28" s="20">
        <f>'TE BE'!$O$28*'TE BE'!$O$51</f>
        <v>-0.23755020317472772</v>
      </c>
      <c r="P28" s="20">
        <f>SUM($L$28:$O$28)</f>
        <v>-19.327812185546581</v>
      </c>
      <c r="Q28" s="20">
        <f>'TE BE'!$Q$28*'TE BE'!$Q$51</f>
        <v>-11.354906373866987</v>
      </c>
      <c r="R28" s="20">
        <f>SUM($Q$28:$Q$28)</f>
        <v>-11.354906373866987</v>
      </c>
      <c r="S28" s="20">
        <f>'TE BE'!$S$28*'TE BE'!$S$51</f>
        <v>0</v>
      </c>
      <c r="T28" s="20">
        <f>'TE BE'!$T$28*'TE BE'!$T$51</f>
        <v>0</v>
      </c>
      <c r="U28" s="20">
        <f>'TE BE'!$U$28*'TE BE'!$U$51</f>
        <v>0</v>
      </c>
      <c r="V28" s="20">
        <f>SUM($S$28:$U$28)</f>
        <v>0</v>
      </c>
      <c r="W28" s="20">
        <f>'TE BE'!$AA$28*'TE BE'!$W$51</f>
        <v>-18.807102945831272</v>
      </c>
      <c r="X28" s="20">
        <f>SUM($W$28:$W$28)</f>
        <v>-18.807102945831272</v>
      </c>
      <c r="Y28" s="20">
        <f>'TE BE'!$Y$28*'TE BE'!$Y$51</f>
        <v>-0.24009664525175586</v>
      </c>
      <c r="Z28" s="20">
        <f>SUM($Y$28:$Y$28)</f>
        <v>-0.24009664525175586</v>
      </c>
      <c r="AA28" s="20">
        <f>SUMIF($L$4:$Z$4,"SUBTOTAL",$L$28:$Z$28)</f>
        <v>-49.729918150496587</v>
      </c>
    </row>
    <row r="29" spans="1:27" ht="11.25" customHeight="1" x14ac:dyDescent="0.25">
      <c r="A29" s="117"/>
      <c r="B29" s="117"/>
      <c r="C29" s="117"/>
      <c r="D29" s="117"/>
      <c r="E29" s="117"/>
      <c r="F29" s="117"/>
      <c r="G29" s="22" t="s">
        <v>80</v>
      </c>
      <c r="H29" s="22" t="s">
        <v>78</v>
      </c>
      <c r="I29" s="22">
        <f>'MERCADO TE'!$U$26</f>
        <v>0</v>
      </c>
      <c r="J29" s="15"/>
      <c r="L29" s="20">
        <f>'TE BE'!$L$29*'TE BE'!$L$51</f>
        <v>0</v>
      </c>
      <c r="M29" s="20">
        <f>'TE BE'!$M$29*'TE BE'!$M$51</f>
        <v>-19.090261982371853</v>
      </c>
      <c r="N29" s="20">
        <f>'TE BE'!$N$29*'TE BE'!$N$51</f>
        <v>0</v>
      </c>
      <c r="O29" s="20">
        <f>'TE BE'!$O$29*'TE BE'!$O$51</f>
        <v>-0.23755020317472772</v>
      </c>
      <c r="P29" s="20">
        <f>SUM($L$29:$O$29)</f>
        <v>-19.327812185546581</v>
      </c>
      <c r="Q29" s="20">
        <f>'TE BE'!$Q$29*'TE BE'!$Q$51</f>
        <v>-11.354906373866987</v>
      </c>
      <c r="R29" s="20">
        <f>SUM($Q$29:$Q$29)</f>
        <v>-11.354906373866987</v>
      </c>
      <c r="S29" s="20">
        <f>'TE BE'!$S$29*'TE BE'!$S$51</f>
        <v>0</v>
      </c>
      <c r="T29" s="20">
        <f>'TE BE'!$T$29*'TE BE'!$T$51</f>
        <v>0</v>
      </c>
      <c r="U29" s="20">
        <f>'TE BE'!$U$29*'TE BE'!$U$51</f>
        <v>0</v>
      </c>
      <c r="V29" s="20">
        <f>SUM($S$29:$U$29)</f>
        <v>0</v>
      </c>
      <c r="W29" s="20">
        <f>'TE BE'!$AA$29*'TE BE'!$W$51</f>
        <v>-18.807102945831272</v>
      </c>
      <c r="X29" s="20">
        <f>SUM($W$29:$W$29)</f>
        <v>-18.807102945831272</v>
      </c>
      <c r="Y29" s="20">
        <f>'TE BE'!$Y$29*'TE BE'!$Y$51</f>
        <v>-0.24009664525175586</v>
      </c>
      <c r="Z29" s="20">
        <f>SUM($Y$29:$Y$29)</f>
        <v>-0.24009664525175586</v>
      </c>
      <c r="AA29" s="20">
        <f>SUMIF($L$4:$Z$4,"SUBTOTAL",$L$29:$Z$29)</f>
        <v>-49.729918150496587</v>
      </c>
    </row>
    <row r="30" spans="1:27" ht="11.25" customHeight="1" x14ac:dyDescent="0.25">
      <c r="A30" s="117"/>
      <c r="B30" s="23" t="s">
        <v>86</v>
      </c>
      <c r="C30" s="23" t="s">
        <v>44</v>
      </c>
      <c r="D30" s="23" t="s">
        <v>94</v>
      </c>
      <c r="E30" s="23" t="s">
        <v>25</v>
      </c>
      <c r="F30" s="23" t="s">
        <v>25</v>
      </c>
      <c r="G30" s="22" t="s">
        <v>84</v>
      </c>
      <c r="H30" s="22" t="s">
        <v>78</v>
      </c>
      <c r="I30" s="22">
        <f>'MERCADO TE'!$U$27</f>
        <v>0</v>
      </c>
      <c r="J30" s="15"/>
      <c r="L30" s="20">
        <f>'TE BE'!$L$30*'TE BE'!$L$51</f>
        <v>0</v>
      </c>
      <c r="M30" s="20">
        <f>'TE BE'!$M$30*'TE BE'!$M$51</f>
        <v>-19.090261982371853</v>
      </c>
      <c r="N30" s="20">
        <f>'TE BE'!$N$30*'TE BE'!$N$51</f>
        <v>0</v>
      </c>
      <c r="O30" s="20">
        <f>'TE BE'!$O$30*'TE BE'!$O$51</f>
        <v>-0.23755020317472772</v>
      </c>
      <c r="P30" s="20">
        <f>SUM($L$30:$O$30)</f>
        <v>-19.327812185546581</v>
      </c>
      <c r="Q30" s="20">
        <f>'TE BE'!$Q$30*'TE BE'!$Q$51</f>
        <v>-12.036200756299008</v>
      </c>
      <c r="R30" s="20">
        <f>SUM($Q$30:$Q$30)</f>
        <v>-12.036200756299008</v>
      </c>
      <c r="S30" s="20">
        <f>'TE BE'!$S$30*'TE BE'!$S$51</f>
        <v>0</v>
      </c>
      <c r="T30" s="20">
        <f>'TE BE'!$T$30*'TE BE'!$T$51</f>
        <v>0</v>
      </c>
      <c r="U30" s="20">
        <f>'TE BE'!$U$30*'TE BE'!$U$51</f>
        <v>0</v>
      </c>
      <c r="V30" s="20">
        <f>SUM($S$30:$U$30)</f>
        <v>0</v>
      </c>
      <c r="W30" s="20">
        <f>'TE BE'!$AA$30*'TE BE'!$W$51</f>
        <v>-19.794233700276838</v>
      </c>
      <c r="X30" s="20">
        <f>SUM($W$30:$W$30)</f>
        <v>-19.794233700276838</v>
      </c>
      <c r="Y30" s="20">
        <f>'TE BE'!$Y$30*'TE BE'!$Y$51</f>
        <v>-0.24009664525175586</v>
      </c>
      <c r="Z30" s="20">
        <f>SUM($Y$30:$Y$30)</f>
        <v>-0.24009664525175586</v>
      </c>
      <c r="AA30" s="20">
        <f>SUMIF($L$4:$Z$4,"SUBTOTAL",$L$30:$Z$30)</f>
        <v>-51.398343287374175</v>
      </c>
    </row>
    <row r="31" spans="1:27" ht="11.25" customHeight="1" x14ac:dyDescent="0.25">
      <c r="A31" s="117"/>
      <c r="B31" s="117" t="s">
        <v>77</v>
      </c>
      <c r="C31" s="117" t="s">
        <v>44</v>
      </c>
      <c r="D31" s="117" t="s">
        <v>95</v>
      </c>
      <c r="E31" s="117" t="s">
        <v>25</v>
      </c>
      <c r="F31" s="117" t="s">
        <v>25</v>
      </c>
      <c r="G31" s="22" t="s">
        <v>79</v>
      </c>
      <c r="H31" s="22" t="s">
        <v>78</v>
      </c>
      <c r="I31" s="22">
        <f>'MERCADO TE'!$U$28</f>
        <v>0</v>
      </c>
      <c r="J31" s="15"/>
      <c r="L31" s="20">
        <f>'TE BE'!$L$31*'TE BE'!$L$51</f>
        <v>0</v>
      </c>
      <c r="M31" s="20">
        <f>'TE BE'!$M$31*'TE BE'!$M$51</f>
        <v>-19.090261982371853</v>
      </c>
      <c r="N31" s="20">
        <f>'TE BE'!$N$31*'TE BE'!$N$51</f>
        <v>0</v>
      </c>
      <c r="O31" s="20">
        <f>'TE BE'!$O$31*'TE BE'!$O$51</f>
        <v>-0.23755020317472772</v>
      </c>
      <c r="P31" s="20">
        <f>SUM($L$31:$O$31)</f>
        <v>-19.327812185546581</v>
      </c>
      <c r="Q31" s="20">
        <f>'TE BE'!$Q$31*'TE BE'!$Q$51</f>
        <v>-19.530438963051218</v>
      </c>
      <c r="R31" s="20">
        <f>SUM($Q$31:$Q$31)</f>
        <v>-19.530438963051218</v>
      </c>
      <c r="S31" s="20">
        <f>'TE BE'!$S$31*'TE BE'!$S$51</f>
        <v>0</v>
      </c>
      <c r="T31" s="20">
        <f>'TE BE'!$T$31*'TE BE'!$T$51</f>
        <v>0</v>
      </c>
      <c r="U31" s="20">
        <f>'TE BE'!$U$31*'TE BE'!$U$51</f>
        <v>0</v>
      </c>
      <c r="V31" s="20">
        <f>SUM($S$31:$U$31)</f>
        <v>0</v>
      </c>
      <c r="W31" s="20">
        <f>'TE BE'!$AA$31*'TE BE'!$W$51</f>
        <v>-30.652671999178072</v>
      </c>
      <c r="X31" s="20">
        <f>SUM($W$31:$W$31)</f>
        <v>-30.652671999178072</v>
      </c>
      <c r="Y31" s="20">
        <f>'TE BE'!$Y$31*'TE BE'!$Y$51</f>
        <v>-0.24009664525175586</v>
      </c>
      <c r="Z31" s="20">
        <f>SUM($Y$31:$Y$31)</f>
        <v>-0.24009664525175586</v>
      </c>
      <c r="AA31" s="20">
        <f>SUMIF($L$4:$Z$4,"SUBTOTAL",$L$31:$Z$31)</f>
        <v>-69.751019793027623</v>
      </c>
    </row>
    <row r="32" spans="1:27" ht="11.25" customHeight="1" x14ac:dyDescent="0.25">
      <c r="A32" s="117"/>
      <c r="B32" s="117"/>
      <c r="C32" s="117"/>
      <c r="D32" s="117"/>
      <c r="E32" s="117"/>
      <c r="F32" s="117"/>
      <c r="G32" s="22" t="s">
        <v>91</v>
      </c>
      <c r="H32" s="22" t="s">
        <v>78</v>
      </c>
      <c r="I32" s="22">
        <f>'MERCADO TE'!$U$29</f>
        <v>0</v>
      </c>
      <c r="J32" s="15"/>
      <c r="L32" s="20">
        <f>'TE BE'!$L$32*'TE BE'!$L$51</f>
        <v>0</v>
      </c>
      <c r="M32" s="20">
        <f>'TE BE'!$M$32*'TE BE'!$M$51</f>
        <v>-19.090261982371853</v>
      </c>
      <c r="N32" s="20">
        <f>'TE BE'!$N$32*'TE BE'!$N$51</f>
        <v>0</v>
      </c>
      <c r="O32" s="20">
        <f>'TE BE'!$O$32*'TE BE'!$O$51</f>
        <v>-0.23755020317472772</v>
      </c>
      <c r="P32" s="20">
        <f>SUM($L$32:$O$32)</f>
        <v>-19.327812185546581</v>
      </c>
      <c r="Q32" s="20">
        <f>'TE BE'!$Q$32*'TE BE'!$Q$51</f>
        <v>-11.354906373866987</v>
      </c>
      <c r="R32" s="20">
        <f>SUM($Q$32:$Q$32)</f>
        <v>-11.354906373866987</v>
      </c>
      <c r="S32" s="20">
        <f>'TE BE'!$S$32*'TE BE'!$S$51</f>
        <v>0</v>
      </c>
      <c r="T32" s="20">
        <f>'TE BE'!$T$32*'TE BE'!$T$51</f>
        <v>0</v>
      </c>
      <c r="U32" s="20">
        <f>'TE BE'!$U$32*'TE BE'!$U$51</f>
        <v>0</v>
      </c>
      <c r="V32" s="20">
        <f>SUM($S$32:$U$32)</f>
        <v>0</v>
      </c>
      <c r="W32" s="20">
        <f>'TE BE'!$AA$32*'TE BE'!$W$51</f>
        <v>-18.807102945831272</v>
      </c>
      <c r="X32" s="20">
        <f>SUM($W$32:$W$32)</f>
        <v>-18.807102945831272</v>
      </c>
      <c r="Y32" s="20">
        <f>'TE BE'!$Y$32*'TE BE'!$Y$51</f>
        <v>-0.24009664525175586</v>
      </c>
      <c r="Z32" s="20">
        <f>SUM($Y$32:$Y$32)</f>
        <v>-0.24009664525175586</v>
      </c>
      <c r="AA32" s="20">
        <f>SUMIF($L$4:$Z$4,"SUBTOTAL",$L$32:$Z$32)</f>
        <v>-49.729918150496587</v>
      </c>
    </row>
    <row r="33" spans="1:27" ht="11.25" customHeight="1" x14ac:dyDescent="0.25">
      <c r="A33" s="117"/>
      <c r="B33" s="117"/>
      <c r="C33" s="117"/>
      <c r="D33" s="117"/>
      <c r="E33" s="117"/>
      <c r="F33" s="117"/>
      <c r="G33" s="22" t="s">
        <v>80</v>
      </c>
      <c r="H33" s="22" t="s">
        <v>78</v>
      </c>
      <c r="I33" s="22">
        <f>'MERCADO TE'!$U$30</f>
        <v>0</v>
      </c>
      <c r="J33" s="15"/>
      <c r="L33" s="20">
        <f>'TE BE'!$L$33*'TE BE'!$L$51</f>
        <v>0</v>
      </c>
      <c r="M33" s="20">
        <f>'TE BE'!$M$33*'TE BE'!$M$51</f>
        <v>-19.090261982371853</v>
      </c>
      <c r="N33" s="20">
        <f>'TE BE'!$N$33*'TE BE'!$N$51</f>
        <v>0</v>
      </c>
      <c r="O33" s="20">
        <f>'TE BE'!$O$33*'TE BE'!$O$51</f>
        <v>-0.23755020317472772</v>
      </c>
      <c r="P33" s="20">
        <f>SUM($L$33:$O$33)</f>
        <v>-19.327812185546581</v>
      </c>
      <c r="Q33" s="20">
        <f>'TE BE'!$Q$33*'TE BE'!$Q$51</f>
        <v>-11.354906373866987</v>
      </c>
      <c r="R33" s="20">
        <f>SUM($Q$33:$Q$33)</f>
        <v>-11.354906373866987</v>
      </c>
      <c r="S33" s="20">
        <f>'TE BE'!$S$33*'TE BE'!$S$51</f>
        <v>0</v>
      </c>
      <c r="T33" s="20">
        <f>'TE BE'!$T$33*'TE BE'!$T$51</f>
        <v>0</v>
      </c>
      <c r="U33" s="20">
        <f>'TE BE'!$U$33*'TE BE'!$U$51</f>
        <v>0</v>
      </c>
      <c r="V33" s="20">
        <f>SUM($S$33:$U$33)</f>
        <v>0</v>
      </c>
      <c r="W33" s="20">
        <f>'TE BE'!$AA$33*'TE BE'!$W$51</f>
        <v>-18.807102945831272</v>
      </c>
      <c r="X33" s="20">
        <f>SUM($W$33:$W$33)</f>
        <v>-18.807102945831272</v>
      </c>
      <c r="Y33" s="20">
        <f>'TE BE'!$Y$33*'TE BE'!$Y$51</f>
        <v>-0.24009664525175586</v>
      </c>
      <c r="Z33" s="20">
        <f>SUM($Y$33:$Y$33)</f>
        <v>-0.24009664525175586</v>
      </c>
      <c r="AA33" s="20">
        <f>SUMIF($L$4:$Z$4,"SUBTOTAL",$L$33:$Z$33)</f>
        <v>-49.729918150496587</v>
      </c>
    </row>
    <row r="34" spans="1:27" ht="11.25" customHeight="1" x14ac:dyDescent="0.25">
      <c r="A34" s="117"/>
      <c r="B34" s="23" t="s">
        <v>86</v>
      </c>
      <c r="C34" s="23" t="s">
        <v>44</v>
      </c>
      <c r="D34" s="23" t="s">
        <v>95</v>
      </c>
      <c r="E34" s="23" t="s">
        <v>25</v>
      </c>
      <c r="F34" s="23" t="s">
        <v>25</v>
      </c>
      <c r="G34" s="22" t="s">
        <v>84</v>
      </c>
      <c r="H34" s="22" t="s">
        <v>78</v>
      </c>
      <c r="I34" s="22">
        <f>'MERCADO TE'!$U$31</f>
        <v>0</v>
      </c>
      <c r="J34" s="15"/>
      <c r="L34" s="20">
        <f>'TE BE'!$L$34*'TE BE'!$L$51</f>
        <v>0</v>
      </c>
      <c r="M34" s="20">
        <f>'TE BE'!$M$34*'TE BE'!$M$51</f>
        <v>-19.090261982371853</v>
      </c>
      <c r="N34" s="20">
        <f>'TE BE'!$N$34*'TE BE'!$N$51</f>
        <v>0</v>
      </c>
      <c r="O34" s="20">
        <f>'TE BE'!$O$34*'TE BE'!$O$51</f>
        <v>-0.23755020317472772</v>
      </c>
      <c r="P34" s="20">
        <f>SUM($L$34:$O$34)</f>
        <v>-19.327812185546581</v>
      </c>
      <c r="Q34" s="20">
        <f>'TE BE'!$Q$34*'TE BE'!$Q$51</f>
        <v>-12.036200756299008</v>
      </c>
      <c r="R34" s="20">
        <f>SUM($Q$34:$Q$34)</f>
        <v>-12.036200756299008</v>
      </c>
      <c r="S34" s="20">
        <f>'TE BE'!$S$34*'TE BE'!$S$51</f>
        <v>0</v>
      </c>
      <c r="T34" s="20">
        <f>'TE BE'!$T$34*'TE BE'!$T$51</f>
        <v>0</v>
      </c>
      <c r="U34" s="20">
        <f>'TE BE'!$U$34*'TE BE'!$U$51</f>
        <v>0</v>
      </c>
      <c r="V34" s="20">
        <f>SUM($S$34:$U$34)</f>
        <v>0</v>
      </c>
      <c r="W34" s="20">
        <f>'TE BE'!$AA$34*'TE BE'!$W$51</f>
        <v>-19.794233700276838</v>
      </c>
      <c r="X34" s="20">
        <f>SUM($W$34:$W$34)</f>
        <v>-19.794233700276838</v>
      </c>
      <c r="Y34" s="20">
        <f>'TE BE'!$Y$34*'TE BE'!$Y$51</f>
        <v>-0.24009664525175586</v>
      </c>
      <c r="Z34" s="20">
        <f>SUM($Y$34:$Y$34)</f>
        <v>-0.24009664525175586</v>
      </c>
      <c r="AA34" s="20">
        <f>SUMIF($L$4:$Z$4,"SUBTOTAL",$L$34:$Z$34)</f>
        <v>-51.398343287374175</v>
      </c>
    </row>
    <row r="35" spans="1:27" ht="11.25" customHeight="1" x14ac:dyDescent="0.25">
      <c r="A35" s="117"/>
      <c r="B35" s="117" t="s">
        <v>92</v>
      </c>
      <c r="C35" s="117" t="s">
        <v>44</v>
      </c>
      <c r="D35" s="23" t="s">
        <v>25</v>
      </c>
      <c r="E35" s="23" t="s">
        <v>25</v>
      </c>
      <c r="F35" s="23" t="s">
        <v>25</v>
      </c>
      <c r="G35" s="22" t="s">
        <v>84</v>
      </c>
      <c r="H35" s="22" t="s">
        <v>78</v>
      </c>
      <c r="I35" s="22">
        <f>'MERCADO TE'!$U$32</f>
        <v>0</v>
      </c>
      <c r="J35" s="15"/>
      <c r="L35" s="20">
        <f>'TE BE'!$L$35*'TE BE'!$L$51</f>
        <v>0</v>
      </c>
      <c r="M35" s="20">
        <f>'TE BE'!$M$35*'TE BE'!$M$51</f>
        <v>-19.090261982371853</v>
      </c>
      <c r="N35" s="20">
        <f>'TE BE'!$N$35*'TE BE'!$N$51</f>
        <v>0</v>
      </c>
      <c r="O35" s="20">
        <f>'TE BE'!$O$35*'TE BE'!$O$51</f>
        <v>-0.23755020317472772</v>
      </c>
      <c r="P35" s="20">
        <f>SUM($L$35:$O$35)</f>
        <v>-19.327812185546581</v>
      </c>
      <c r="Q35" s="20">
        <f>'TE BE'!$Q$35*'TE BE'!$Q$51</f>
        <v>-12.036200756299008</v>
      </c>
      <c r="R35" s="20">
        <f>SUM($Q$35:$Q$35)</f>
        <v>-12.036200756299008</v>
      </c>
      <c r="S35" s="20">
        <f>'TE BE'!$S$35*'TE BE'!$S$51</f>
        <v>0</v>
      </c>
      <c r="T35" s="20">
        <f>'TE BE'!$T$35*'TE BE'!$T$51</f>
        <v>0</v>
      </c>
      <c r="U35" s="20">
        <f>'TE BE'!$U$35*'TE BE'!$U$51</f>
        <v>0</v>
      </c>
      <c r="V35" s="20">
        <f>SUM($S$35:$U$35)</f>
        <v>0</v>
      </c>
      <c r="W35" s="20">
        <f>'TE BE'!$AA$35*'TE BE'!$W$51</f>
        <v>-19.794233700276838</v>
      </c>
      <c r="X35" s="20">
        <f>SUM($W$35:$W$35)</f>
        <v>-19.794233700276838</v>
      </c>
      <c r="Y35" s="20">
        <f>'TE BE'!$Y$35*'TE BE'!$Y$51</f>
        <v>-0.24009664525175586</v>
      </c>
      <c r="Z35" s="20">
        <f>SUM($Y$35:$Y$35)</f>
        <v>-0.24009664525175586</v>
      </c>
      <c r="AA35" s="20">
        <f>SUMIF($L$4:$Z$4,"SUBTOTAL",$L$35:$Z$35)</f>
        <v>-51.398343287374175</v>
      </c>
    </row>
    <row r="36" spans="1:27" ht="11.25" customHeight="1" x14ac:dyDescent="0.25">
      <c r="A36" s="117"/>
      <c r="B36" s="117"/>
      <c r="C36" s="117"/>
      <c r="D36" s="23" t="s">
        <v>94</v>
      </c>
      <c r="E36" s="23" t="s">
        <v>25</v>
      </c>
      <c r="F36" s="23" t="s">
        <v>25</v>
      </c>
      <c r="G36" s="22" t="s">
        <v>84</v>
      </c>
      <c r="H36" s="22" t="s">
        <v>78</v>
      </c>
      <c r="I36" s="22">
        <f>'MERCADO TE'!$U$33</f>
        <v>0</v>
      </c>
      <c r="J36" s="15"/>
      <c r="L36" s="20">
        <f>'TE BE'!$L$36*'TE BE'!$L$51</f>
        <v>0</v>
      </c>
      <c r="M36" s="20">
        <f>'TE BE'!$M$36*'TE BE'!$M$51</f>
        <v>-19.090261982371853</v>
      </c>
      <c r="N36" s="20">
        <f>'TE BE'!$N$36*'TE BE'!$N$51</f>
        <v>0</v>
      </c>
      <c r="O36" s="20">
        <f>'TE BE'!$O$36*'TE BE'!$O$51</f>
        <v>-0.23755020317472772</v>
      </c>
      <c r="P36" s="20">
        <f>SUM($L$36:$O$36)</f>
        <v>-19.327812185546581</v>
      </c>
      <c r="Q36" s="20">
        <f>'TE BE'!$Q$36*'TE BE'!$Q$51</f>
        <v>-12.036200756299008</v>
      </c>
      <c r="R36" s="20">
        <f>SUM($Q$36:$Q$36)</f>
        <v>-12.036200756299008</v>
      </c>
      <c r="S36" s="20">
        <f>'TE BE'!$S$36*'TE BE'!$S$51</f>
        <v>0</v>
      </c>
      <c r="T36" s="20">
        <f>'TE BE'!$T$36*'TE BE'!$T$51</f>
        <v>0</v>
      </c>
      <c r="U36" s="20">
        <f>'TE BE'!$U$36*'TE BE'!$U$51</f>
        <v>0</v>
      </c>
      <c r="V36" s="20">
        <f>SUM($S$36:$U$36)</f>
        <v>0</v>
      </c>
      <c r="W36" s="20">
        <f>'TE BE'!$AA$36*'TE BE'!$W$51</f>
        <v>-19.794233700276838</v>
      </c>
      <c r="X36" s="20">
        <f>SUM($W$36:$W$36)</f>
        <v>-19.794233700276838</v>
      </c>
      <c r="Y36" s="20">
        <f>'TE BE'!$Y$36*'TE BE'!$Y$51</f>
        <v>-0.24009664525175586</v>
      </c>
      <c r="Z36" s="20">
        <f>SUM($Y$36:$Y$36)</f>
        <v>-0.24009664525175586</v>
      </c>
      <c r="AA36" s="20">
        <f>SUMIF($L$4:$Z$4,"SUBTOTAL",$L$36:$Z$36)</f>
        <v>-51.398343287374175</v>
      </c>
    </row>
    <row r="37" spans="1:27" ht="11.25" customHeight="1" x14ac:dyDescent="0.25">
      <c r="A37" s="117"/>
      <c r="B37" s="117"/>
      <c r="C37" s="117"/>
      <c r="D37" s="23" t="s">
        <v>95</v>
      </c>
      <c r="E37" s="23" t="s">
        <v>25</v>
      </c>
      <c r="F37" s="23" t="s">
        <v>25</v>
      </c>
      <c r="G37" s="22" t="s">
        <v>84</v>
      </c>
      <c r="H37" s="22" t="s">
        <v>78</v>
      </c>
      <c r="I37" s="22">
        <f>'MERCADO TE'!$U$34</f>
        <v>0</v>
      </c>
      <c r="J37" s="15"/>
      <c r="L37" s="20">
        <f>'TE BE'!$L$37*'TE BE'!$L$51</f>
        <v>0</v>
      </c>
      <c r="M37" s="20">
        <f>'TE BE'!$M$37*'TE BE'!$M$51</f>
        <v>-19.090261982371853</v>
      </c>
      <c r="N37" s="20">
        <f>'TE BE'!$N$37*'TE BE'!$N$51</f>
        <v>0</v>
      </c>
      <c r="O37" s="20">
        <f>'TE BE'!$O$37*'TE BE'!$O$51</f>
        <v>-0.23755020317472772</v>
      </c>
      <c r="P37" s="20">
        <f>SUM($L$37:$O$37)</f>
        <v>-19.327812185546581</v>
      </c>
      <c r="Q37" s="20">
        <f>'TE BE'!$Q$37*'TE BE'!$Q$51</f>
        <v>-12.036200756299008</v>
      </c>
      <c r="R37" s="20">
        <f>SUM($Q$37:$Q$37)</f>
        <v>-12.036200756299008</v>
      </c>
      <c r="S37" s="20">
        <f>'TE BE'!$S$37*'TE BE'!$S$51</f>
        <v>0</v>
      </c>
      <c r="T37" s="20">
        <f>'TE BE'!$T$37*'TE BE'!$T$51</f>
        <v>0</v>
      </c>
      <c r="U37" s="20">
        <f>'TE BE'!$U$37*'TE BE'!$U$51</f>
        <v>0</v>
      </c>
      <c r="V37" s="20">
        <f>SUM($S$37:$U$37)</f>
        <v>0</v>
      </c>
      <c r="W37" s="20">
        <f>'TE BE'!$AA$37*'TE BE'!$W$51</f>
        <v>-19.794233700276838</v>
      </c>
      <c r="X37" s="20">
        <f>SUM($W$37:$W$37)</f>
        <v>-19.794233700276838</v>
      </c>
      <c r="Y37" s="20">
        <f>'TE BE'!$Y$37*'TE BE'!$Y$51</f>
        <v>-0.24009664525175586</v>
      </c>
      <c r="Z37" s="20">
        <f>SUM($Y$37:$Y$37)</f>
        <v>-0.24009664525175586</v>
      </c>
      <c r="AA37" s="20">
        <f>SUMIF($L$4:$Z$4,"SUBTOTAL",$L$37:$Z$37)</f>
        <v>-51.398343287374175</v>
      </c>
    </row>
    <row r="38" spans="1:27" ht="11.25" customHeight="1" x14ac:dyDescent="0.25">
      <c r="A38" s="117" t="s">
        <v>37</v>
      </c>
      <c r="B38" s="117" t="s">
        <v>77</v>
      </c>
      <c r="C38" s="117" t="s">
        <v>25</v>
      </c>
      <c r="D38" s="117" t="s">
        <v>25</v>
      </c>
      <c r="E38" s="117" t="s">
        <v>25</v>
      </c>
      <c r="F38" s="117" t="s">
        <v>25</v>
      </c>
      <c r="G38" s="22" t="s">
        <v>79</v>
      </c>
      <c r="H38" s="22" t="s">
        <v>78</v>
      </c>
      <c r="I38" s="22">
        <f>'MERCADO TE'!$U$35</f>
        <v>8.0860000000000003</v>
      </c>
      <c r="J38" s="15"/>
      <c r="L38" s="20">
        <f>'TE BE'!$L$38*'TE BE'!$L$51</f>
        <v>0</v>
      </c>
      <c r="M38" s="20">
        <f>'TE BE'!$M$38*'TE BE'!$M$51</f>
        <v>-19.090261982371853</v>
      </c>
      <c r="N38" s="20">
        <f>'TE BE'!$N$38*'TE BE'!$N$51</f>
        <v>0</v>
      </c>
      <c r="O38" s="20">
        <f>'TE BE'!$O$38*'TE BE'!$O$51</f>
        <v>-0.23755020317472772</v>
      </c>
      <c r="P38" s="20">
        <f>SUM($L$38:$O$38)</f>
        <v>-19.327812185546581</v>
      </c>
      <c r="Q38" s="20">
        <f>'TE BE'!$Q$38*'TE BE'!$Q$51</f>
        <v>-19.530438963051218</v>
      </c>
      <c r="R38" s="20">
        <f>SUM($Q$38:$Q$38)</f>
        <v>-19.530438963051218</v>
      </c>
      <c r="S38" s="20">
        <f>'TE BE'!$S$38*'TE BE'!$S$51</f>
        <v>0</v>
      </c>
      <c r="T38" s="20">
        <f>'TE BE'!$T$38*'TE BE'!$T$51</f>
        <v>0</v>
      </c>
      <c r="U38" s="20">
        <f>'TE BE'!$U$38*'TE BE'!$U$51</f>
        <v>0</v>
      </c>
      <c r="V38" s="20">
        <f>SUM($S$38:$U$38)</f>
        <v>0</v>
      </c>
      <c r="W38" s="20">
        <f>'TE BE'!$AA$38*'TE BE'!$W$51</f>
        <v>-30.652671999178072</v>
      </c>
      <c r="X38" s="20">
        <f>SUM($W$38:$W$38)</f>
        <v>-30.652671999178072</v>
      </c>
      <c r="Y38" s="20">
        <f>'TE BE'!$Y$38*'TE BE'!$Y$51</f>
        <v>-0.24009664525175586</v>
      </c>
      <c r="Z38" s="20">
        <f>SUM($Y$38:$Y$38)</f>
        <v>-0.24009664525175586</v>
      </c>
      <c r="AA38" s="20">
        <f>SUMIF($L$4:$Z$4,"SUBTOTAL",$L$38:$Z$38)</f>
        <v>-69.751019793027623</v>
      </c>
    </row>
    <row r="39" spans="1:27" ht="11.25" customHeight="1" x14ac:dyDescent="0.25">
      <c r="A39" s="117"/>
      <c r="B39" s="117"/>
      <c r="C39" s="117"/>
      <c r="D39" s="117"/>
      <c r="E39" s="117"/>
      <c r="F39" s="117"/>
      <c r="G39" s="22" t="s">
        <v>91</v>
      </c>
      <c r="H39" s="22" t="s">
        <v>78</v>
      </c>
      <c r="I39" s="22">
        <f>'MERCADO TE'!$U$36</f>
        <v>8.0350000000000001</v>
      </c>
      <c r="J39" s="15"/>
      <c r="L39" s="20">
        <f>'TE BE'!$L$39*'TE BE'!$L$51</f>
        <v>0</v>
      </c>
      <c r="M39" s="20">
        <f>'TE BE'!$M$39*'TE BE'!$M$51</f>
        <v>-19.090261982371853</v>
      </c>
      <c r="N39" s="20">
        <f>'TE BE'!$N$39*'TE BE'!$N$51</f>
        <v>0</v>
      </c>
      <c r="O39" s="20">
        <f>'TE BE'!$O$39*'TE BE'!$O$51</f>
        <v>-0.23755020317472772</v>
      </c>
      <c r="P39" s="20">
        <f>SUM($L$39:$O$39)</f>
        <v>-19.327812185546581</v>
      </c>
      <c r="Q39" s="20">
        <f>'TE BE'!$Q$39*'TE BE'!$Q$51</f>
        <v>-11.354906373866987</v>
      </c>
      <c r="R39" s="20">
        <f>SUM($Q$39:$Q$39)</f>
        <v>-11.354906373866987</v>
      </c>
      <c r="S39" s="20">
        <f>'TE BE'!$S$39*'TE BE'!$S$51</f>
        <v>0</v>
      </c>
      <c r="T39" s="20">
        <f>'TE BE'!$T$39*'TE BE'!$T$51</f>
        <v>0</v>
      </c>
      <c r="U39" s="20">
        <f>'TE BE'!$U$39*'TE BE'!$U$51</f>
        <v>0</v>
      </c>
      <c r="V39" s="20">
        <f>SUM($S$39:$U$39)</f>
        <v>0</v>
      </c>
      <c r="W39" s="20">
        <f>'TE BE'!$AA$39*'TE BE'!$W$51</f>
        <v>-18.807102945831272</v>
      </c>
      <c r="X39" s="20">
        <f>SUM($W$39:$W$39)</f>
        <v>-18.807102945831272</v>
      </c>
      <c r="Y39" s="20">
        <f>'TE BE'!$Y$39*'TE BE'!$Y$51</f>
        <v>-0.24009664525175586</v>
      </c>
      <c r="Z39" s="20">
        <f>SUM($Y$39:$Y$39)</f>
        <v>-0.24009664525175586</v>
      </c>
      <c r="AA39" s="20">
        <f>SUMIF($L$4:$Z$4,"SUBTOTAL",$L$39:$Z$39)</f>
        <v>-49.729918150496587</v>
      </c>
    </row>
    <row r="40" spans="1:27" ht="11.25" customHeight="1" x14ac:dyDescent="0.25">
      <c r="A40" s="117"/>
      <c r="B40" s="117"/>
      <c r="C40" s="117"/>
      <c r="D40" s="117"/>
      <c r="E40" s="117"/>
      <c r="F40" s="117"/>
      <c r="G40" s="22" t="s">
        <v>80</v>
      </c>
      <c r="H40" s="22" t="s">
        <v>78</v>
      </c>
      <c r="I40" s="22">
        <f>'MERCADO TE'!$U$37</f>
        <v>133.73599999999999</v>
      </c>
      <c r="J40" s="15"/>
      <c r="L40" s="20">
        <f>'TE BE'!$L$40*'TE BE'!$L$51</f>
        <v>0</v>
      </c>
      <c r="M40" s="20">
        <f>'TE BE'!$M$40*'TE BE'!$M$51</f>
        <v>-19.090261982371853</v>
      </c>
      <c r="N40" s="20">
        <f>'TE BE'!$N$40*'TE BE'!$N$51</f>
        <v>0</v>
      </c>
      <c r="O40" s="20">
        <f>'TE BE'!$O$40*'TE BE'!$O$51</f>
        <v>-0.23755020317472772</v>
      </c>
      <c r="P40" s="20">
        <f>SUM($L$40:$O$40)</f>
        <v>-19.327812185546581</v>
      </c>
      <c r="Q40" s="20">
        <f>'TE BE'!$Q$40*'TE BE'!$Q$51</f>
        <v>-11.354906373866987</v>
      </c>
      <c r="R40" s="20">
        <f>SUM($Q$40:$Q$40)</f>
        <v>-11.354906373866987</v>
      </c>
      <c r="S40" s="20">
        <f>'TE BE'!$S$40*'TE BE'!$S$51</f>
        <v>0</v>
      </c>
      <c r="T40" s="20">
        <f>'TE BE'!$T$40*'TE BE'!$T$51</f>
        <v>0</v>
      </c>
      <c r="U40" s="20">
        <f>'TE BE'!$U$40*'TE BE'!$U$51</f>
        <v>0</v>
      </c>
      <c r="V40" s="20">
        <f>SUM($S$40:$U$40)</f>
        <v>0</v>
      </c>
      <c r="W40" s="20">
        <f>'TE BE'!$AA$40*'TE BE'!$W$51</f>
        <v>-18.807102945831272</v>
      </c>
      <c r="X40" s="20">
        <f>SUM($W$40:$W$40)</f>
        <v>-18.807102945831272</v>
      </c>
      <c r="Y40" s="20">
        <f>'TE BE'!$Y$40*'TE BE'!$Y$51</f>
        <v>-0.24009664525175586</v>
      </c>
      <c r="Z40" s="20">
        <f>SUM($Y$40:$Y$40)</f>
        <v>-0.24009664525175586</v>
      </c>
      <c r="AA40" s="20">
        <f>SUMIF($L$4:$Z$4,"SUBTOTAL",$L$40:$Z$40)</f>
        <v>-49.729918150496587</v>
      </c>
    </row>
    <row r="41" spans="1:27" ht="11.25" customHeight="1" x14ac:dyDescent="0.25">
      <c r="A41" s="117"/>
      <c r="B41" s="23" t="s">
        <v>86</v>
      </c>
      <c r="C41" s="23" t="s">
        <v>25</v>
      </c>
      <c r="D41" s="23" t="s">
        <v>25</v>
      </c>
      <c r="E41" s="23" t="s">
        <v>25</v>
      </c>
      <c r="F41" s="23" t="s">
        <v>25</v>
      </c>
      <c r="G41" s="22" t="s">
        <v>84</v>
      </c>
      <c r="H41" s="22" t="s">
        <v>78</v>
      </c>
      <c r="I41" s="22">
        <f>'MERCADO TE'!$U$38</f>
        <v>94039.850999999995</v>
      </c>
      <c r="J41" s="15"/>
      <c r="L41" s="20">
        <f>'TE BE'!$L$41*'TE BE'!$L$51</f>
        <v>0</v>
      </c>
      <c r="M41" s="20">
        <f>'TE BE'!$M$41*'TE BE'!$M$51</f>
        <v>-19.090261982371853</v>
      </c>
      <c r="N41" s="20">
        <f>'TE BE'!$N$41*'TE BE'!$N$51</f>
        <v>0</v>
      </c>
      <c r="O41" s="20">
        <f>'TE BE'!$O$41*'TE BE'!$O$51</f>
        <v>-0.23755020317472772</v>
      </c>
      <c r="P41" s="20">
        <f>SUM($L$41:$O$41)</f>
        <v>-19.327812185546581</v>
      </c>
      <c r="Q41" s="20">
        <f>'TE BE'!$Q$41*'TE BE'!$Q$51</f>
        <v>-12.036200756299008</v>
      </c>
      <c r="R41" s="20">
        <f>SUM($Q$41:$Q$41)</f>
        <v>-12.036200756299008</v>
      </c>
      <c r="S41" s="20">
        <f>'TE BE'!$S$41*'TE BE'!$S$51</f>
        <v>0</v>
      </c>
      <c r="T41" s="20">
        <f>'TE BE'!$T$41*'TE BE'!$T$51</f>
        <v>0</v>
      </c>
      <c r="U41" s="20">
        <f>'TE BE'!$U$41*'TE BE'!$U$51</f>
        <v>0</v>
      </c>
      <c r="V41" s="20">
        <f>SUM($S$41:$U$41)</f>
        <v>0</v>
      </c>
      <c r="W41" s="20">
        <f>'TE BE'!$AA$41*'TE BE'!$W$51</f>
        <v>-19.794233700276838</v>
      </c>
      <c r="X41" s="20">
        <f>SUM($W$41:$W$41)</f>
        <v>-19.794233700276838</v>
      </c>
      <c r="Y41" s="20">
        <f>'TE BE'!$Y$41*'TE BE'!$Y$51</f>
        <v>-0.24009664525175586</v>
      </c>
      <c r="Z41" s="20">
        <f>SUM($Y$41:$Y$41)</f>
        <v>-0.24009664525175586</v>
      </c>
      <c r="AA41" s="20">
        <f>SUMIF($L$4:$Z$4,"SUBTOTAL",$L$41:$Z$41)</f>
        <v>-51.398343287374175</v>
      </c>
    </row>
    <row r="42" spans="1:27" ht="11.25" customHeight="1" x14ac:dyDescent="0.25">
      <c r="A42" s="117"/>
      <c r="B42" s="23" t="s">
        <v>92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84</v>
      </c>
      <c r="H42" s="22" t="s">
        <v>78</v>
      </c>
      <c r="I42" s="22">
        <f>'MERCADO TE'!$U$39</f>
        <v>0</v>
      </c>
      <c r="J42" s="15"/>
      <c r="L42" s="20">
        <f>'TE BE'!$L$42*'TE BE'!$L$51</f>
        <v>0</v>
      </c>
      <c r="M42" s="20">
        <f>'TE BE'!$M$42*'TE BE'!$M$51</f>
        <v>-19.090261982371853</v>
      </c>
      <c r="N42" s="20">
        <f>'TE BE'!$N$42*'TE BE'!$N$51</f>
        <v>0</v>
      </c>
      <c r="O42" s="20">
        <f>'TE BE'!$O$42*'TE BE'!$O$51</f>
        <v>-0.23755020317472772</v>
      </c>
      <c r="P42" s="20">
        <f>SUM($L$42:$O$42)</f>
        <v>-19.327812185546581</v>
      </c>
      <c r="Q42" s="20">
        <f>'TE BE'!$Q$42*'TE BE'!$Q$51</f>
        <v>-12.036200756299008</v>
      </c>
      <c r="R42" s="20">
        <f>SUM($Q$42:$Q$42)</f>
        <v>-12.036200756299008</v>
      </c>
      <c r="S42" s="20">
        <f>'TE BE'!$S$42*'TE BE'!$S$51</f>
        <v>0</v>
      </c>
      <c r="T42" s="20">
        <f>'TE BE'!$T$42*'TE BE'!$T$51</f>
        <v>0</v>
      </c>
      <c r="U42" s="20">
        <f>'TE BE'!$U$42*'TE BE'!$U$51</f>
        <v>0</v>
      </c>
      <c r="V42" s="20">
        <f>SUM($S$42:$U$42)</f>
        <v>0</v>
      </c>
      <c r="W42" s="20">
        <f>'TE BE'!$AA$42*'TE BE'!$W$51</f>
        <v>-19.794233700276838</v>
      </c>
      <c r="X42" s="20">
        <f>SUM($W$42:$W$42)</f>
        <v>-19.794233700276838</v>
      </c>
      <c r="Y42" s="20">
        <f>'TE BE'!$Y$42*'TE BE'!$Y$51</f>
        <v>-0.24009664525175586</v>
      </c>
      <c r="Z42" s="20">
        <f>SUM($Y$42:$Y$42)</f>
        <v>-0.24009664525175586</v>
      </c>
      <c r="AA42" s="20">
        <f>SUMIF($L$4:$Z$4,"SUBTOTAL",$L$42:$Z$42)</f>
        <v>-51.398343287374175</v>
      </c>
    </row>
    <row r="43" spans="1:27" ht="11.25" customHeight="1" x14ac:dyDescent="0.25">
      <c r="A43" s="117" t="s">
        <v>46</v>
      </c>
      <c r="B43" s="117" t="s">
        <v>86</v>
      </c>
      <c r="C43" s="117" t="s">
        <v>47</v>
      </c>
      <c r="D43" s="23" t="s">
        <v>48</v>
      </c>
      <c r="E43" s="23" t="s">
        <v>25</v>
      </c>
      <c r="F43" s="23" t="s">
        <v>25</v>
      </c>
      <c r="G43" s="22" t="s">
        <v>84</v>
      </c>
      <c r="H43" s="22" t="s">
        <v>78</v>
      </c>
      <c r="I43" s="22">
        <f>'MERCADO TE'!$U$40</f>
        <v>35555.334999999999</v>
      </c>
      <c r="J43" s="15"/>
      <c r="L43" s="20">
        <f>'TE BE'!$L$43*'TE BE'!$L$51</f>
        <v>0</v>
      </c>
      <c r="M43" s="20">
        <f>'TE BE'!$M$43*'TE BE'!$M$51</f>
        <v>-10.499644090304519</v>
      </c>
      <c r="N43" s="20">
        <f>'TE BE'!$N$43*'TE BE'!$N$51</f>
        <v>0</v>
      </c>
      <c r="O43" s="20">
        <f>'TE BE'!$O$43*'TE BE'!$O$51</f>
        <v>-0.13065261174610024</v>
      </c>
      <c r="P43" s="20">
        <f>SUM($L$43:$O$43)</f>
        <v>-10.63029670205062</v>
      </c>
      <c r="Q43" s="20">
        <f>'TE BE'!$Q$43*'TE BE'!$Q$51</f>
        <v>-6.6199104159644548</v>
      </c>
      <c r="R43" s="20">
        <f>SUM($Q$43:$Q$43)</f>
        <v>-6.6199104159644548</v>
      </c>
      <c r="S43" s="20">
        <f>'TE BE'!$S$43*'TE BE'!$S$51</f>
        <v>0</v>
      </c>
      <c r="T43" s="20">
        <f>'TE BE'!$T$43*'TE BE'!$T$51</f>
        <v>0</v>
      </c>
      <c r="U43" s="20">
        <f>'TE BE'!$U$43*'TE BE'!$U$51</f>
        <v>0</v>
      </c>
      <c r="V43" s="20">
        <f>SUM($S$43:$U$43)</f>
        <v>0</v>
      </c>
      <c r="W43" s="20">
        <f>'TE BE'!$AA$43*'TE BE'!$W$51</f>
        <v>-10.886828535152263</v>
      </c>
      <c r="X43" s="20">
        <f>SUM($W$43:$W$43)</f>
        <v>-10.886828535152263</v>
      </c>
      <c r="Y43" s="20">
        <f>'TE BE'!$Y$43*'TE BE'!$Y$51</f>
        <v>-0.13205315488846575</v>
      </c>
      <c r="Z43" s="20">
        <f>SUM($Y$43:$Y$43)</f>
        <v>-0.13205315488846575</v>
      </c>
      <c r="AA43" s="20">
        <f>SUMIF($L$4:$Z$4,"SUBTOTAL",$L$43:$Z$43)</f>
        <v>-28.269088808055805</v>
      </c>
    </row>
    <row r="44" spans="1:27" ht="11.25" customHeight="1" x14ac:dyDescent="0.25">
      <c r="A44" s="117"/>
      <c r="B44" s="117"/>
      <c r="C44" s="117"/>
      <c r="D44" s="22" t="s">
        <v>96</v>
      </c>
      <c r="E44" s="22" t="s">
        <v>25</v>
      </c>
      <c r="F44" s="22" t="s">
        <v>25</v>
      </c>
      <c r="G44" s="22" t="s">
        <v>84</v>
      </c>
      <c r="H44" s="22" t="s">
        <v>78</v>
      </c>
      <c r="I44" s="22">
        <f>'MERCADO TE'!$U$41</f>
        <v>0</v>
      </c>
      <c r="J44" s="15"/>
      <c r="L44" s="20">
        <f>'TE BE'!$L$44*'TE BE'!$L$51</f>
        <v>0</v>
      </c>
      <c r="M44" s="20">
        <f>'TE BE'!$M$44*'TE BE'!$M$51</f>
        <v>-11.454157189423112</v>
      </c>
      <c r="N44" s="20">
        <f>'TE BE'!$N$44*'TE BE'!$N$51</f>
        <v>0</v>
      </c>
      <c r="O44" s="20">
        <f>'TE BE'!$O$44*'TE BE'!$O$51</f>
        <v>-0.1425301219048366</v>
      </c>
      <c r="P44" s="20">
        <f>SUM($L$44:$O$44)</f>
        <v>-11.596687311327949</v>
      </c>
      <c r="Q44" s="20">
        <f>'TE BE'!$Q$44*'TE BE'!$Q$51</f>
        <v>-7.2217204537794037</v>
      </c>
      <c r="R44" s="20">
        <f>SUM($Q$44:$Q$44)</f>
        <v>-7.2217204537794037</v>
      </c>
      <c r="S44" s="20">
        <f>'TE BE'!$S$44*'TE BE'!$S$51</f>
        <v>0</v>
      </c>
      <c r="T44" s="20">
        <f>'TE BE'!$T$44*'TE BE'!$T$51</f>
        <v>0</v>
      </c>
      <c r="U44" s="20">
        <f>'TE BE'!$U$44*'TE BE'!$U$51</f>
        <v>0</v>
      </c>
      <c r="V44" s="20">
        <f>SUM($S$44:$U$44)</f>
        <v>0</v>
      </c>
      <c r="W44" s="20">
        <f>'TE BE'!$AA$44*'TE BE'!$W$51</f>
        <v>-11.876540220166103</v>
      </c>
      <c r="X44" s="20">
        <f>SUM($W$44:$W$44)</f>
        <v>-11.876540220166103</v>
      </c>
      <c r="Y44" s="20">
        <f>'TE BE'!$Y$44*'TE BE'!$Y$51</f>
        <v>-0.1440579871510535</v>
      </c>
      <c r="Z44" s="20">
        <f>SUM($Y$44:$Y$44)</f>
        <v>-0.1440579871510535</v>
      </c>
      <c r="AA44" s="20">
        <f>SUMIF($L$4:$Z$4,"SUBTOTAL",$L$44:$Z$44)</f>
        <v>-30.839005972424509</v>
      </c>
    </row>
    <row r="46" spans="1:27" ht="11.25" customHeight="1" x14ac:dyDescent="0.25">
      <c r="K46" s="25" t="s">
        <v>838</v>
      </c>
      <c r="L46" s="20">
        <f t="shared" ref="L46:AA46" si="0">SUMPRODUCT($I$5:$I$44,L$5:L$44)</f>
        <v>0</v>
      </c>
      <c r="M46" s="20">
        <f t="shared" si="0"/>
        <v>-10311704.379364341</v>
      </c>
      <c r="N46" s="20">
        <f t="shared" si="0"/>
        <v>0</v>
      </c>
      <c r="O46" s="20">
        <f t="shared" si="0"/>
        <v>-128313.97875302428</v>
      </c>
      <c r="P46" s="20">
        <f t="shared" si="0"/>
        <v>-10440018.358117364</v>
      </c>
      <c r="Q46" s="20">
        <f t="shared" si="0"/>
        <v>-6488150.3339097146</v>
      </c>
      <c r="R46" s="20">
        <f t="shared" si="0"/>
        <v>-6488150.3339097146</v>
      </c>
      <c r="S46" s="20">
        <f t="shared" si="0"/>
        <v>0</v>
      </c>
      <c r="T46" s="20">
        <f t="shared" si="0"/>
        <v>0</v>
      </c>
      <c r="U46" s="20">
        <f t="shared" si="0"/>
        <v>0</v>
      </c>
      <c r="V46" s="20">
        <f t="shared" si="0"/>
        <v>0</v>
      </c>
      <c r="W46" s="20">
        <f t="shared" si="0"/>
        <v>-10672736.968934506</v>
      </c>
      <c r="X46" s="20">
        <f t="shared" si="0"/>
        <v>-10672736.968934506</v>
      </c>
      <c r="Y46" s="20">
        <f t="shared" si="0"/>
        <v>-129689.45269579862</v>
      </c>
      <c r="Z46" s="20">
        <f t="shared" si="0"/>
        <v>-129689.45269579862</v>
      </c>
      <c r="AA46" s="20">
        <f t="shared" si="0"/>
        <v>-27730595.113657381</v>
      </c>
    </row>
    <row r="47" spans="1:27" ht="11.25" customHeight="1" x14ac:dyDescent="0.25">
      <c r="K47" s="25" t="s">
        <v>757</v>
      </c>
      <c r="L47" s="20">
        <f>CUSTOS!$D$30</f>
        <v>1361907.2732086293</v>
      </c>
      <c r="M47" s="20">
        <f>CUSTOS!$D$31</f>
        <v>7600610.5099999998</v>
      </c>
      <c r="N47" s="20">
        <f>CUSTOS!$D$32</f>
        <v>0</v>
      </c>
      <c r="O47" s="20">
        <f>CUSTOS!$D$33</f>
        <v>4137875.6562601286</v>
      </c>
      <c r="P47" s="20">
        <f>CUSTOS!$D$34</f>
        <v>13100393.439468758</v>
      </c>
      <c r="Q47" s="20">
        <f>CUSTOS!$D$35</f>
        <v>113597589.71507731</v>
      </c>
      <c r="R47" s="20">
        <f>CUSTOS!$D$36</f>
        <v>113597589.71507731</v>
      </c>
      <c r="S47" s="20">
        <f>CUSTOS!$D$37</f>
        <v>0</v>
      </c>
      <c r="T47" s="20">
        <f>CUSTOS!$D$38</f>
        <v>0</v>
      </c>
      <c r="U47" s="20">
        <f>CUSTOS!$D$39</f>
        <v>9.9999999999999995E-7</v>
      </c>
      <c r="V47" s="20">
        <f>CUSTOS!$D$40</f>
        <v>9.9999999999999995E-7</v>
      </c>
      <c r="W47" s="20">
        <f>CUSTOS!$D$41</f>
        <v>0</v>
      </c>
      <c r="X47" s="20">
        <f>CUSTOS!$D$42</f>
        <v>0</v>
      </c>
      <c r="Y47" s="20">
        <f>CUSTOS!$D$43</f>
        <v>2270663.9765593451</v>
      </c>
      <c r="Z47" s="20">
        <f>CUSTOS!$D$44</f>
        <v>2270663.9765593451</v>
      </c>
      <c r="AA47" s="20">
        <f>CUSTOS!$D$45</f>
        <v>128968647.13110641</v>
      </c>
    </row>
    <row r="48" spans="1:27" ht="11.25" customHeight="1" x14ac:dyDescent="0.25">
      <c r="K48" s="25" t="s">
        <v>758</v>
      </c>
      <c r="L48" s="20">
        <f>CUSTOS!$E$30</f>
        <v>0</v>
      </c>
      <c r="M48" s="20">
        <f>CUSTOS!$E$31</f>
        <v>-10311704.379364343</v>
      </c>
      <c r="N48" s="20">
        <f>CUSTOS!$E$32</f>
        <v>0</v>
      </c>
      <c r="O48" s="20">
        <f>CUSTOS!$E$33</f>
        <v>-128313.97875302432</v>
      </c>
      <c r="P48" s="20">
        <f>CUSTOS!$E$34</f>
        <v>-10440018.358117368</v>
      </c>
      <c r="Q48" s="20">
        <f>CUSTOS!$E$35</f>
        <v>-6488150.3339097109</v>
      </c>
      <c r="R48" s="20">
        <f>CUSTOS!$E$36</f>
        <v>-6488150.3339097109</v>
      </c>
      <c r="S48" s="20">
        <f>CUSTOS!$E$37</f>
        <v>0</v>
      </c>
      <c r="T48" s="20">
        <f>CUSTOS!$E$38</f>
        <v>0</v>
      </c>
      <c r="U48" s="20">
        <f>CUSTOS!$E$39</f>
        <v>0</v>
      </c>
      <c r="V48" s="20">
        <f>CUSTOS!$E$40</f>
        <v>0</v>
      </c>
      <c r="W48" s="20">
        <f>CUSTOS!$E$41</f>
        <v>-10672736.968934506</v>
      </c>
      <c r="X48" s="20">
        <f>CUSTOS!$E$42</f>
        <v>-10672736.968934506</v>
      </c>
      <c r="Y48" s="20">
        <f>CUSTOS!$E$43</f>
        <v>-129689.4526957987</v>
      </c>
      <c r="Z48" s="20">
        <f>CUSTOS!$E$44</f>
        <v>-129689.4526957987</v>
      </c>
      <c r="AA48" s="20">
        <f>CUSTOS!$E$45</f>
        <v>-27730595.113657381</v>
      </c>
    </row>
    <row r="49" spans="11:27" ht="11.25" customHeight="1" x14ac:dyDescent="0.25">
      <c r="K49" s="25" t="s">
        <v>759</v>
      </c>
      <c r="L49" s="20">
        <f>CUSTOS!$F$30</f>
        <v>0</v>
      </c>
      <c r="M49" s="20">
        <f>CUSTOS!$F$31</f>
        <v>14248386.378264379</v>
      </c>
      <c r="N49" s="20">
        <f>CUSTOS!$F$32</f>
        <v>0</v>
      </c>
      <c r="O49" s="20">
        <f>CUSTOS!$F$33</f>
        <v>481513.27886582719</v>
      </c>
      <c r="P49" s="20">
        <f>CUSTOS!$F$34</f>
        <v>14729899.657130206</v>
      </c>
      <c r="Q49" s="20">
        <f>CUSTOS!$F$35</f>
        <v>18883705.255231388</v>
      </c>
      <c r="R49" s="20">
        <f>CUSTOS!$F$36</f>
        <v>18883705.255231388</v>
      </c>
      <c r="S49" s="20">
        <f>CUSTOS!$F$37</f>
        <v>0</v>
      </c>
      <c r="T49" s="20">
        <f>CUSTOS!$F$38</f>
        <v>0</v>
      </c>
      <c r="U49" s="20">
        <f>CUSTOS!$F$39</f>
        <v>0</v>
      </c>
      <c r="V49" s="20">
        <f>CUSTOS!$F$40</f>
        <v>0</v>
      </c>
      <c r="W49" s="20">
        <f>CUSTOS!$F$41</f>
        <v>0</v>
      </c>
      <c r="X49" s="20">
        <f>CUSTOS!$F$42</f>
        <v>0</v>
      </c>
      <c r="Y49" s="20">
        <f>CUSTOS!$F$43</f>
        <v>377460.02687702473</v>
      </c>
      <c r="Z49" s="20">
        <f>CUSTOS!$F$44</f>
        <v>377460.02687702473</v>
      </c>
      <c r="AA49" s="20">
        <f>CUSTOS!$F$45</f>
        <v>33991064.939238615</v>
      </c>
    </row>
    <row r="50" spans="11:27" ht="11.25" customHeight="1" x14ac:dyDescent="0.25">
      <c r="K50" s="25" t="s">
        <v>839</v>
      </c>
      <c r="L50" s="20">
        <f>'TR TE'!$L$50*L51</f>
        <v>0</v>
      </c>
      <c r="M50" s="20">
        <f>'TR TE'!$M$50*M51</f>
        <v>26.378319119723734</v>
      </c>
      <c r="N50" s="20">
        <f>'TR TE'!$N$50*N51</f>
        <v>0</v>
      </c>
      <c r="O50" s="20">
        <f>'TR TE'!$O$50*O51</f>
        <v>0.89143504345749702</v>
      </c>
      <c r="P50" s="20"/>
      <c r="Q50" s="20">
        <f>'TR TE'!$Q$50*Q51</f>
        <v>34.690622902579669</v>
      </c>
      <c r="R50" s="20"/>
      <c r="S50" s="20">
        <f>'TR TE'!$S$50*S51</f>
        <v>0</v>
      </c>
      <c r="T50" s="20">
        <f>'TR TE'!$T$50*T51</f>
        <v>0</v>
      </c>
      <c r="U50" s="20">
        <f>'TR TE'!$U$50*U51</f>
        <v>0</v>
      </c>
      <c r="V50" s="20"/>
      <c r="W50" s="20"/>
      <c r="X50" s="20"/>
      <c r="Y50" s="20">
        <f>'TR TE'!$Y$50*Y51</f>
        <v>0.69879920291117947</v>
      </c>
      <c r="Z50" s="20"/>
      <c r="AA50" s="20"/>
    </row>
    <row r="51" spans="11:27" ht="11.25" customHeight="1" x14ac:dyDescent="0.25">
      <c r="K51" s="25" t="s">
        <v>834</v>
      </c>
      <c r="L51" s="20">
        <f>IF(L47&lt;&gt;0,L49/L47,0)</f>
        <v>0</v>
      </c>
      <c r="M51" s="20">
        <f>IF(M47&lt;&gt;0,M49/M47,0)</f>
        <v>1.8746370912597097</v>
      </c>
      <c r="N51" s="20">
        <f>IF(N47&lt;&gt;0,N49/N47,0)</f>
        <v>0</v>
      </c>
      <c r="O51" s="20">
        <f>IF(O47&lt;&gt;0,O49/O47,0)</f>
        <v>0.11636726641056822</v>
      </c>
      <c r="P51" s="20"/>
      <c r="Q51" s="20">
        <f>IF(Q47&lt;&gt;0,Q49/Q47,0)</f>
        <v>0.16623332680380837</v>
      </c>
      <c r="R51" s="20"/>
      <c r="S51" s="20">
        <f>IF(S47&lt;&gt;0,S49/S47,0)</f>
        <v>0</v>
      </c>
      <c r="T51" s="20">
        <f>IF(T47&lt;&gt;0,T49/T47,0)</f>
        <v>0</v>
      </c>
      <c r="U51" s="20">
        <f>IF(U47&lt;&gt;0,U49/U47,0)</f>
        <v>0</v>
      </c>
      <c r="V51" s="20"/>
      <c r="W51" s="20">
        <f>IF($AA47&lt;&gt;0,W49/($AA47-SUM('TR TE'!$L50:'TR TE'!$Z50)*0),0)</f>
        <v>0</v>
      </c>
      <c r="X51" s="20"/>
      <c r="Y51" s="20">
        <f>IF(Y47&lt;&gt;0,Y49/Y47,0)</f>
        <v>0.1662333268038084</v>
      </c>
      <c r="Z51" s="20"/>
      <c r="AA51" s="20"/>
    </row>
    <row r="52" spans="11:27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</sheetData>
  <mergeCells count="67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962" priority="31" operator="notEqual">
      <formula>$L$48</formula>
    </cfRule>
    <cfRule type="cellIs" dxfId="961" priority="32" operator="equal">
      <formula>$L$48</formula>
    </cfRule>
  </conditionalFormatting>
  <conditionalFormatting sqref="M46">
    <cfRule type="cellIs" dxfId="960" priority="29" operator="notEqual">
      <formula>$M$48</formula>
    </cfRule>
    <cfRule type="cellIs" dxfId="959" priority="30" operator="equal">
      <formula>$M$48</formula>
    </cfRule>
  </conditionalFormatting>
  <conditionalFormatting sqref="N46">
    <cfRule type="cellIs" dxfId="958" priority="27" operator="notEqual">
      <formula>$N$48</formula>
    </cfRule>
    <cfRule type="cellIs" dxfId="957" priority="28" operator="equal">
      <formula>$N$48</formula>
    </cfRule>
  </conditionalFormatting>
  <conditionalFormatting sqref="O46">
    <cfRule type="cellIs" dxfId="956" priority="25" operator="notEqual">
      <formula>$O$48</formula>
    </cfRule>
    <cfRule type="cellIs" dxfId="955" priority="26" operator="equal">
      <formula>$O$48</formula>
    </cfRule>
  </conditionalFormatting>
  <conditionalFormatting sqref="P46">
    <cfRule type="cellIs" dxfId="954" priority="23" operator="notEqual">
      <formula>$P$48</formula>
    </cfRule>
    <cfRule type="cellIs" dxfId="953" priority="24" operator="equal">
      <formula>$P$48</formula>
    </cfRule>
  </conditionalFormatting>
  <conditionalFormatting sqref="Q46">
    <cfRule type="cellIs" dxfId="952" priority="21" operator="notEqual">
      <formula>$Q$48</formula>
    </cfRule>
    <cfRule type="cellIs" dxfId="951" priority="22" operator="equal">
      <formula>$Q$48</formula>
    </cfRule>
  </conditionalFormatting>
  <conditionalFormatting sqref="R46">
    <cfRule type="cellIs" dxfId="950" priority="19" operator="notEqual">
      <formula>$R$48</formula>
    </cfRule>
    <cfRule type="cellIs" dxfId="949" priority="20" operator="equal">
      <formula>$R$48</formula>
    </cfRule>
  </conditionalFormatting>
  <conditionalFormatting sqref="S46">
    <cfRule type="cellIs" dxfId="948" priority="17" operator="notEqual">
      <formula>$S$48</formula>
    </cfRule>
    <cfRule type="cellIs" dxfId="947" priority="18" operator="equal">
      <formula>$S$48</formula>
    </cfRule>
  </conditionalFormatting>
  <conditionalFormatting sqref="T46">
    <cfRule type="cellIs" dxfId="946" priority="15" operator="notEqual">
      <formula>$T$48</formula>
    </cfRule>
    <cfRule type="cellIs" dxfId="945" priority="16" operator="equal">
      <formula>$T$48</formula>
    </cfRule>
  </conditionalFormatting>
  <conditionalFormatting sqref="U46">
    <cfRule type="cellIs" dxfId="944" priority="13" operator="notEqual">
      <formula>$U$48</formula>
    </cfRule>
    <cfRule type="cellIs" dxfId="943" priority="14" operator="equal">
      <formula>$U$48</formula>
    </cfRule>
  </conditionalFormatting>
  <conditionalFormatting sqref="V46">
    <cfRule type="cellIs" dxfId="942" priority="11" operator="notEqual">
      <formula>$V$48</formula>
    </cfRule>
    <cfRule type="cellIs" dxfId="941" priority="12" operator="equal">
      <formula>$V$48</formula>
    </cfRule>
  </conditionalFormatting>
  <conditionalFormatting sqref="W46">
    <cfRule type="cellIs" dxfId="940" priority="9" operator="notEqual">
      <formula>$W$48</formula>
    </cfRule>
    <cfRule type="cellIs" dxfId="939" priority="10" operator="equal">
      <formula>$W$48</formula>
    </cfRule>
  </conditionalFormatting>
  <conditionalFormatting sqref="X46">
    <cfRule type="cellIs" dxfId="938" priority="7" operator="notEqual">
      <formula>$X$48</formula>
    </cfRule>
    <cfRule type="cellIs" dxfId="937" priority="8" operator="equal">
      <formula>$X$48</formula>
    </cfRule>
  </conditionalFormatting>
  <conditionalFormatting sqref="Y46">
    <cfRule type="cellIs" dxfId="936" priority="5" operator="notEqual">
      <formula>$Y$48</formula>
    </cfRule>
    <cfRule type="cellIs" dxfId="935" priority="6" operator="equal">
      <formula>$Y$48</formula>
    </cfRule>
  </conditionalFormatting>
  <conditionalFormatting sqref="Z46">
    <cfRule type="cellIs" dxfId="934" priority="3" operator="notEqual">
      <formula>$Z$48</formula>
    </cfRule>
    <cfRule type="cellIs" dxfId="933" priority="4" operator="equal">
      <formula>$Z$48</formula>
    </cfRule>
  </conditionalFormatting>
  <conditionalFormatting sqref="AA46">
    <cfRule type="cellIs" dxfId="932" priority="1" operator="notEqual">
      <formula>$AA$48</formula>
    </cfRule>
    <cfRule type="cellIs" dxfId="931" priority="2" operator="equal">
      <formula>$AA$48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F1A50-A0AC-4CDE-9AC4-8D3B9797D6E2}">
  <dimension ref="A1:AA52"/>
  <sheetViews>
    <sheetView showGridLines="0" topLeftCell="L28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1.42578125" style="9" bestFit="1" customWidth="1"/>
    <col min="14" max="14" width="8.7109375" style="9" bestFit="1" customWidth="1"/>
    <col min="15" max="15" width="11.140625" style="9" bestFit="1" customWidth="1"/>
    <col min="16" max="16" width="11.42578125" style="9" bestFit="1" customWidth="1"/>
    <col min="17" max="17" width="15" style="9" bestFit="1" customWidth="1"/>
    <col min="18" max="18" width="11.7109375" style="9" bestFit="1" customWidth="1"/>
    <col min="19" max="19" width="8.7109375" style="9" bestFit="1" customWidth="1"/>
    <col min="20" max="20" width="10.42578125" style="9" bestFit="1" customWidth="1"/>
    <col min="21" max="21" width="8.7109375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16" t="s">
        <v>68</v>
      </c>
      <c r="B1" s="116" t="s">
        <v>69</v>
      </c>
      <c r="C1" s="116" t="s">
        <v>70</v>
      </c>
      <c r="D1" s="116" t="s">
        <v>71</v>
      </c>
      <c r="E1" s="116" t="s">
        <v>72</v>
      </c>
      <c r="F1" s="116" t="s">
        <v>15</v>
      </c>
      <c r="G1" s="116" t="s">
        <v>74</v>
      </c>
      <c r="H1" s="116" t="s">
        <v>75</v>
      </c>
      <c r="I1" s="116" t="s">
        <v>816</v>
      </c>
      <c r="J1" s="95"/>
      <c r="L1" s="114" t="s">
        <v>844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</row>
    <row r="2" spans="1:27" ht="11.25" customHeight="1" x14ac:dyDescent="0.25">
      <c r="A2" s="116"/>
      <c r="B2" s="116"/>
      <c r="C2" s="116"/>
      <c r="D2" s="116"/>
      <c r="E2" s="116"/>
      <c r="F2" s="116"/>
      <c r="G2" s="116"/>
      <c r="H2" s="116"/>
      <c r="I2" s="116"/>
      <c r="J2" s="95"/>
      <c r="L2" s="114" t="s">
        <v>744</v>
      </c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</row>
    <row r="3" spans="1:27" ht="11.2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95"/>
      <c r="L3" s="114" t="s">
        <v>717</v>
      </c>
      <c r="M3" s="114"/>
      <c r="N3" s="114"/>
      <c r="O3" s="114"/>
      <c r="P3" s="114"/>
      <c r="Q3" s="114" t="s">
        <v>747</v>
      </c>
      <c r="R3" s="114"/>
      <c r="S3" s="114" t="s">
        <v>726</v>
      </c>
      <c r="T3" s="114"/>
      <c r="U3" s="114"/>
      <c r="V3" s="114"/>
      <c r="W3" s="114" t="s">
        <v>736</v>
      </c>
      <c r="X3" s="114"/>
      <c r="Y3" s="114" t="s">
        <v>739</v>
      </c>
      <c r="Z3" s="114"/>
      <c r="AA3" s="114" t="s">
        <v>725</v>
      </c>
    </row>
    <row r="4" spans="1:27" ht="11.25" customHeight="1" x14ac:dyDescent="0.25">
      <c r="A4" s="116"/>
      <c r="B4" s="116"/>
      <c r="C4" s="116"/>
      <c r="D4" s="116"/>
      <c r="E4" s="116"/>
      <c r="F4" s="116"/>
      <c r="G4" s="116"/>
      <c r="H4" s="116"/>
      <c r="I4" s="116"/>
      <c r="J4" s="95"/>
      <c r="L4" s="24" t="s">
        <v>719</v>
      </c>
      <c r="M4" s="24" t="s">
        <v>745</v>
      </c>
      <c r="N4" s="24" t="s">
        <v>746</v>
      </c>
      <c r="O4" s="24" t="s">
        <v>804</v>
      </c>
      <c r="P4" s="24" t="s">
        <v>725</v>
      </c>
      <c r="Q4" s="24" t="s">
        <v>748</v>
      </c>
      <c r="R4" s="24" t="s">
        <v>725</v>
      </c>
      <c r="S4" s="24" t="s">
        <v>749</v>
      </c>
      <c r="T4" s="24" t="s">
        <v>750</v>
      </c>
      <c r="U4" s="24" t="s">
        <v>751</v>
      </c>
      <c r="V4" s="24" t="s">
        <v>725</v>
      </c>
      <c r="W4" s="24" t="s">
        <v>737</v>
      </c>
      <c r="X4" s="24" t="s">
        <v>725</v>
      </c>
      <c r="Y4" s="24" t="s">
        <v>752</v>
      </c>
      <c r="Z4" s="24" t="s">
        <v>725</v>
      </c>
      <c r="AA4" s="115"/>
    </row>
    <row r="5" spans="1:27" ht="11.25" customHeight="1" x14ac:dyDescent="0.25">
      <c r="A5" s="117" t="s">
        <v>56</v>
      </c>
      <c r="B5" s="117" t="s">
        <v>77</v>
      </c>
      <c r="C5" s="117" t="s">
        <v>25</v>
      </c>
      <c r="D5" s="117" t="s">
        <v>25</v>
      </c>
      <c r="E5" s="117" t="s">
        <v>25</v>
      </c>
      <c r="F5" s="117" t="s">
        <v>25</v>
      </c>
      <c r="G5" s="22" t="s">
        <v>79</v>
      </c>
      <c r="H5" s="22" t="s">
        <v>78</v>
      </c>
      <c r="I5" s="22">
        <f>'MERCADO TE'!$U$2</f>
        <v>0</v>
      </c>
      <c r="J5" s="15"/>
      <c r="L5" s="20">
        <f>'TE BE'!$L$5*'TE BF'!$L$51</f>
        <v>0</v>
      </c>
      <c r="M5" s="20">
        <f>'TE BE'!$M$5*'TE BF'!$M$51</f>
        <v>26.378319119723734</v>
      </c>
      <c r="N5" s="20">
        <f>'TE BE'!$N$5*'TE BF'!$N$51</f>
        <v>0</v>
      </c>
      <c r="O5" s="20">
        <f>'TE BE'!$O$5*'TE BF'!$O$51</f>
        <v>0.89143504345749702</v>
      </c>
      <c r="P5" s="20">
        <f>SUM($L$5:$O$5)</f>
        <v>27.269754163181233</v>
      </c>
      <c r="Q5" s="20">
        <f>'TE BE'!$Q$5*'TE BF'!$Q$51</f>
        <v>56.843173154606262</v>
      </c>
      <c r="R5" s="20">
        <f>SUM($Q$5:$Q$5)</f>
        <v>56.843173154606262</v>
      </c>
      <c r="S5" s="20">
        <f>'TE BE'!$S$5*'TE BF'!$S$51</f>
        <v>0</v>
      </c>
      <c r="T5" s="20">
        <f>'TE BE'!$T$5*'TE BF'!$T$51</f>
        <v>0</v>
      </c>
      <c r="U5" s="20">
        <f>'TE BE'!$U$5*'TE BF'!$U$51</f>
        <v>0</v>
      </c>
      <c r="V5" s="20">
        <f>SUM($S$5:$U$5)</f>
        <v>0</v>
      </c>
      <c r="W5" s="20">
        <f>'TE BE'!$AA$5*'TE BF'!$W$51</f>
        <v>0</v>
      </c>
      <c r="X5" s="20">
        <f>SUM($W$5:$W$5)</f>
        <v>0</v>
      </c>
      <c r="Y5" s="20">
        <f>'TE BE'!$Y$5*'TE BF'!$Y$51</f>
        <v>0.69879920291117947</v>
      </c>
      <c r="Z5" s="20">
        <f>SUM($Y$5:$Y$5)</f>
        <v>0.69879920291117947</v>
      </c>
      <c r="AA5" s="20">
        <f>SUMIF($L$4:$Z$4,"SUBTOTAL",$L$5:$Z$5)</f>
        <v>84.81172652069867</v>
      </c>
    </row>
    <row r="6" spans="1:27" ht="11.25" customHeight="1" x14ac:dyDescent="0.25">
      <c r="A6" s="117"/>
      <c r="B6" s="117"/>
      <c r="C6" s="117"/>
      <c r="D6" s="117"/>
      <c r="E6" s="117"/>
      <c r="F6" s="117"/>
      <c r="G6" s="22" t="s">
        <v>80</v>
      </c>
      <c r="H6" s="22" t="s">
        <v>78</v>
      </c>
      <c r="I6" s="22">
        <f>'MERCADO TE'!$U$3</f>
        <v>0</v>
      </c>
      <c r="J6" s="15"/>
      <c r="L6" s="20">
        <f>'TE BE'!$L$6*'TE BF'!$L$51</f>
        <v>0</v>
      </c>
      <c r="M6" s="20">
        <f>'TE BE'!$M$6*'TE BF'!$M$51</f>
        <v>26.378319119723734</v>
      </c>
      <c r="N6" s="20">
        <f>'TE BE'!$N$6*'TE BF'!$N$51</f>
        <v>0</v>
      </c>
      <c r="O6" s="20">
        <f>'TE BE'!$O$6*'TE BF'!$O$51</f>
        <v>0.89143504345749702</v>
      </c>
      <c r="P6" s="20">
        <f>SUM($L$6:$O$6)</f>
        <v>27.269754163181233</v>
      </c>
      <c r="Q6" s="20">
        <f>'TE BE'!$Q$6*'TE BF'!$Q$51</f>
        <v>33.048356485236198</v>
      </c>
      <c r="R6" s="20">
        <f>SUM($Q$6:$Q$6)</f>
        <v>33.048356485236198</v>
      </c>
      <c r="S6" s="20">
        <f>'TE BE'!$S$6*'TE BF'!$S$51</f>
        <v>0</v>
      </c>
      <c r="T6" s="20">
        <f>'TE BE'!$T$6*'TE BF'!$T$51</f>
        <v>0</v>
      </c>
      <c r="U6" s="20">
        <f>'TE BE'!$U$6*'TE BF'!$U$51</f>
        <v>0</v>
      </c>
      <c r="V6" s="20">
        <f>SUM($S$6:$U$6)</f>
        <v>0</v>
      </c>
      <c r="W6" s="20">
        <f>'TE BE'!$AA$6*'TE BF'!$W$51</f>
        <v>0</v>
      </c>
      <c r="X6" s="20">
        <f>SUM($W$6:$W$6)</f>
        <v>0</v>
      </c>
      <c r="Y6" s="20">
        <f>'TE BE'!$Y$6*'TE BF'!$Y$51</f>
        <v>0.69879920291117947</v>
      </c>
      <c r="Z6" s="20">
        <f>SUM($Y$6:$Y$6)</f>
        <v>0.69879920291117947</v>
      </c>
      <c r="AA6" s="20">
        <f>SUMIF($L$4:$Z$4,"SUBTOTAL",$L$6:$Z$6)</f>
        <v>61.016909851328613</v>
      </c>
    </row>
    <row r="7" spans="1:27" ht="11.25" customHeight="1" x14ac:dyDescent="0.25">
      <c r="A7" s="117" t="s">
        <v>39</v>
      </c>
      <c r="B7" s="117" t="s">
        <v>77</v>
      </c>
      <c r="C7" s="117" t="s">
        <v>25</v>
      </c>
      <c r="D7" s="117" t="s">
        <v>25</v>
      </c>
      <c r="E7" s="117" t="s">
        <v>25</v>
      </c>
      <c r="F7" s="117" t="s">
        <v>25</v>
      </c>
      <c r="G7" s="22" t="s">
        <v>79</v>
      </c>
      <c r="H7" s="22" t="s">
        <v>78</v>
      </c>
      <c r="I7" s="22">
        <f>'MERCADO TE'!$U$4</f>
        <v>8115.134</v>
      </c>
      <c r="J7" s="15"/>
      <c r="L7" s="20">
        <f>'TE BE'!$L$7*'TE BF'!$L$51</f>
        <v>0</v>
      </c>
      <c r="M7" s="20">
        <f>'TE BE'!$M$7*'TE BF'!$M$51</f>
        <v>26.378319119723734</v>
      </c>
      <c r="N7" s="20">
        <f>'TE BE'!$N$7*'TE BF'!$N$51</f>
        <v>0</v>
      </c>
      <c r="O7" s="20">
        <f>'TE BE'!$O$7*'TE BF'!$O$51</f>
        <v>0.89143504345749702</v>
      </c>
      <c r="P7" s="20">
        <f>SUM($L$7:$O$7)</f>
        <v>27.269754163181233</v>
      </c>
      <c r="Q7" s="20">
        <f>'TE BE'!$Q$7*'TE BF'!$Q$51</f>
        <v>56.843173154606262</v>
      </c>
      <c r="R7" s="20">
        <f>SUM($Q$7:$Q$7)</f>
        <v>56.843173154606262</v>
      </c>
      <c r="S7" s="20">
        <f>'TE BE'!$S$7*'TE BF'!$S$51</f>
        <v>0</v>
      </c>
      <c r="T7" s="20">
        <f>'TE BE'!$T$7*'TE BF'!$T$51</f>
        <v>0</v>
      </c>
      <c r="U7" s="20">
        <f>'TE BE'!$U$7*'TE BF'!$U$51</f>
        <v>0</v>
      </c>
      <c r="V7" s="20">
        <f>SUM($S$7:$U$7)</f>
        <v>0</v>
      </c>
      <c r="W7" s="20">
        <f>'TE BE'!$AA$7*'TE BF'!$W$51</f>
        <v>0</v>
      </c>
      <c r="X7" s="20">
        <f>SUM($W$7:$W$7)</f>
        <v>0</v>
      </c>
      <c r="Y7" s="20">
        <f>'TE BE'!$Y$7*'TE BF'!$Y$51</f>
        <v>0.69879920291117947</v>
      </c>
      <c r="Z7" s="20">
        <f>SUM($Y$7:$Y$7)</f>
        <v>0.69879920291117947</v>
      </c>
      <c r="AA7" s="20">
        <f>SUMIF($L$4:$Z$4,"SUBTOTAL",$L$7:$Z$7)</f>
        <v>84.81172652069867</v>
      </c>
    </row>
    <row r="8" spans="1:27" ht="11.25" customHeight="1" x14ac:dyDescent="0.25">
      <c r="A8" s="117"/>
      <c r="B8" s="117"/>
      <c r="C8" s="117"/>
      <c r="D8" s="117"/>
      <c r="E8" s="117"/>
      <c r="F8" s="117"/>
      <c r="G8" s="22" t="s">
        <v>80</v>
      </c>
      <c r="H8" s="22" t="s">
        <v>78</v>
      </c>
      <c r="I8" s="22">
        <f>'MERCADO TE'!$U$5</f>
        <v>108682.38199999998</v>
      </c>
      <c r="J8" s="15"/>
      <c r="L8" s="20">
        <f>'TE BE'!$L$8*'TE BF'!$L$51</f>
        <v>0</v>
      </c>
      <c r="M8" s="20">
        <f>'TE BE'!$M$8*'TE BF'!$M$51</f>
        <v>26.378319119723734</v>
      </c>
      <c r="N8" s="20">
        <f>'TE BE'!$N$8*'TE BF'!$N$51</f>
        <v>0</v>
      </c>
      <c r="O8" s="20">
        <f>'TE BE'!$O$8*'TE BF'!$O$51</f>
        <v>0.89143504345749702</v>
      </c>
      <c r="P8" s="20">
        <f>SUM($L$8:$O$8)</f>
        <v>27.269754163181233</v>
      </c>
      <c r="Q8" s="20">
        <f>'TE BE'!$Q$8*'TE BF'!$Q$51</f>
        <v>33.048356485236198</v>
      </c>
      <c r="R8" s="20">
        <f>SUM($Q$8:$Q$8)</f>
        <v>33.048356485236198</v>
      </c>
      <c r="S8" s="20">
        <f>'TE BE'!$S$8*'TE BF'!$S$51</f>
        <v>0</v>
      </c>
      <c r="T8" s="20">
        <f>'TE BE'!$T$8*'TE BF'!$T$51</f>
        <v>0</v>
      </c>
      <c r="U8" s="20">
        <f>'TE BE'!$U$8*'TE BF'!$U$51</f>
        <v>0</v>
      </c>
      <c r="V8" s="20">
        <f>SUM($S$8:$U$8)</f>
        <v>0</v>
      </c>
      <c r="W8" s="20">
        <f>'TE BE'!$AA$8*'TE BF'!$W$51</f>
        <v>0</v>
      </c>
      <c r="X8" s="20">
        <f>SUM($W$8:$W$8)</f>
        <v>0</v>
      </c>
      <c r="Y8" s="20">
        <f>'TE BE'!$Y$8*'TE BF'!$Y$51</f>
        <v>0.69879920291117947</v>
      </c>
      <c r="Z8" s="20">
        <f>SUM($Y$8:$Y$8)</f>
        <v>0.69879920291117947</v>
      </c>
      <c r="AA8" s="20">
        <f>SUMIF($L$4:$Z$4,"SUBTOTAL",$L$8:$Z$8)</f>
        <v>61.016909851328613</v>
      </c>
    </row>
    <row r="9" spans="1:27" ht="11.25" customHeight="1" x14ac:dyDescent="0.25">
      <c r="A9" s="117"/>
      <c r="B9" s="23" t="s">
        <v>86</v>
      </c>
      <c r="C9" s="23" t="s">
        <v>25</v>
      </c>
      <c r="D9" s="23" t="s">
        <v>25</v>
      </c>
      <c r="E9" s="23" t="s">
        <v>25</v>
      </c>
      <c r="F9" s="23" t="s">
        <v>25</v>
      </c>
      <c r="G9" s="22" t="s">
        <v>84</v>
      </c>
      <c r="H9" s="22" t="s">
        <v>78</v>
      </c>
      <c r="I9" s="22">
        <f>'MERCADO TE'!$U$6</f>
        <v>0</v>
      </c>
      <c r="J9" s="15"/>
      <c r="L9" s="20">
        <f>'TE BE'!$L$9*'TE BF'!$L$51</f>
        <v>0</v>
      </c>
      <c r="M9" s="20">
        <f>'TE BE'!$M$9*'TE BF'!$M$51</f>
        <v>26.378319119723734</v>
      </c>
      <c r="N9" s="20">
        <f>'TE BE'!$N$9*'TE BF'!$N$51</f>
        <v>0</v>
      </c>
      <c r="O9" s="20">
        <f>'TE BE'!$O$9*'TE BF'!$O$51</f>
        <v>0.89143504345749702</v>
      </c>
      <c r="P9" s="20">
        <f>SUM($L$9:$O$9)</f>
        <v>27.269754163181233</v>
      </c>
      <c r="Q9" s="20">
        <f>'TE BE'!$Q$9*'TE BF'!$Q$51</f>
        <v>35.031257874350374</v>
      </c>
      <c r="R9" s="20">
        <f>SUM($Q$9:$Q$9)</f>
        <v>35.031257874350374</v>
      </c>
      <c r="S9" s="20">
        <f>'TE BE'!$S$9*'TE BF'!$S$51</f>
        <v>0</v>
      </c>
      <c r="T9" s="20">
        <f>'TE BE'!$T$9*'TE BF'!$T$51</f>
        <v>0</v>
      </c>
      <c r="U9" s="20">
        <f>'TE BE'!$U$9*'TE BF'!$U$51</f>
        <v>0</v>
      </c>
      <c r="V9" s="20">
        <f>SUM($S$9:$U$9)</f>
        <v>0</v>
      </c>
      <c r="W9" s="20">
        <f>'TE BE'!$AA$9*'TE BF'!$W$51</f>
        <v>0</v>
      </c>
      <c r="X9" s="20">
        <f>SUM($W$9:$W$9)</f>
        <v>0</v>
      </c>
      <c r="Y9" s="20">
        <f>'TE BE'!$Y$9*'TE BF'!$Y$51</f>
        <v>0.69879920291117947</v>
      </c>
      <c r="Z9" s="20">
        <f>SUM($Y$9:$Y$9)</f>
        <v>0.69879920291117947</v>
      </c>
      <c r="AA9" s="20">
        <f>SUMIF($L$4:$Z$4,"SUBTOTAL",$L$9:$Z$9)</f>
        <v>62.999811240442789</v>
      </c>
    </row>
    <row r="10" spans="1:27" ht="11.25" customHeight="1" x14ac:dyDescent="0.25">
      <c r="A10" s="117" t="s">
        <v>22</v>
      </c>
      <c r="B10" s="117" t="s">
        <v>77</v>
      </c>
      <c r="C10" s="117" t="s">
        <v>24</v>
      </c>
      <c r="D10" s="117" t="s">
        <v>24</v>
      </c>
      <c r="E10" s="117" t="s">
        <v>25</v>
      </c>
      <c r="F10" s="117" t="s">
        <v>25</v>
      </c>
      <c r="G10" s="22" t="s">
        <v>79</v>
      </c>
      <c r="H10" s="22" t="s">
        <v>78</v>
      </c>
      <c r="I10" s="22">
        <f>'MERCADO TE'!$U$7</f>
        <v>6.9259999999999993</v>
      </c>
      <c r="J10" s="15"/>
      <c r="L10" s="20">
        <f>'TE BE'!$L$10*'TE BF'!$L$51</f>
        <v>0</v>
      </c>
      <c r="M10" s="20">
        <f>'TE BE'!$M$10*'TE BF'!$M$51</f>
        <v>26.378319119723734</v>
      </c>
      <c r="N10" s="20">
        <f>'TE BE'!$N$10*'TE BF'!$N$51</f>
        <v>0</v>
      </c>
      <c r="O10" s="20">
        <f>'TE BE'!$O$10*'TE BF'!$O$51</f>
        <v>0.89143504345749702</v>
      </c>
      <c r="P10" s="20">
        <f>SUM($L$10:$O$10)</f>
        <v>27.269754163181233</v>
      </c>
      <c r="Q10" s="20">
        <f>'TE BE'!$Q$10*'TE BF'!$Q$51</f>
        <v>56.843173154606262</v>
      </c>
      <c r="R10" s="20">
        <f>SUM($Q$10:$Q$10)</f>
        <v>56.843173154606262</v>
      </c>
      <c r="S10" s="20">
        <f>'TE BE'!$S$10*'TE BF'!$S$51</f>
        <v>0</v>
      </c>
      <c r="T10" s="20">
        <f>'TE BE'!$T$10*'TE BF'!$T$51</f>
        <v>0</v>
      </c>
      <c r="U10" s="20">
        <f>'TE BE'!$U$10*'TE BF'!$U$51</f>
        <v>0</v>
      </c>
      <c r="V10" s="20">
        <f>SUM($S$10:$U$10)</f>
        <v>0</v>
      </c>
      <c r="W10" s="20">
        <f>'TE BE'!$AA$10*'TE BF'!$W$51</f>
        <v>0</v>
      </c>
      <c r="X10" s="20">
        <f>SUM($W$10:$W$10)</f>
        <v>0</v>
      </c>
      <c r="Y10" s="20">
        <f>'TE BE'!$Y$10*'TE BF'!$Y$51</f>
        <v>0.69879920291117947</v>
      </c>
      <c r="Z10" s="20">
        <f>SUM($Y$10:$Y$10)</f>
        <v>0.69879920291117947</v>
      </c>
      <c r="AA10" s="20">
        <f>SUMIF($L$4:$Z$4,"SUBTOTAL",$L$10:$Z$10)</f>
        <v>84.81172652069867</v>
      </c>
    </row>
    <row r="11" spans="1:27" ht="11.25" customHeight="1" x14ac:dyDescent="0.25">
      <c r="A11" s="117"/>
      <c r="B11" s="117"/>
      <c r="C11" s="117"/>
      <c r="D11" s="117"/>
      <c r="E11" s="117"/>
      <c r="F11" s="117"/>
      <c r="G11" s="22" t="s">
        <v>91</v>
      </c>
      <c r="H11" s="22" t="s">
        <v>78</v>
      </c>
      <c r="I11" s="22">
        <f>'MERCADO TE'!$U$8</f>
        <v>4.6099999999999994</v>
      </c>
      <c r="J11" s="15"/>
      <c r="L11" s="20">
        <f>'TE BE'!$L$11*'TE BF'!$L$51</f>
        <v>0</v>
      </c>
      <c r="M11" s="20">
        <f>'TE BE'!$M$11*'TE BF'!$M$51</f>
        <v>26.378319119723734</v>
      </c>
      <c r="N11" s="20">
        <f>'TE BE'!$N$11*'TE BF'!$N$51</f>
        <v>0</v>
      </c>
      <c r="O11" s="20">
        <f>'TE BE'!$O$11*'TE BF'!$O$51</f>
        <v>0.89143504345749702</v>
      </c>
      <c r="P11" s="20">
        <f>SUM($L$11:$O$11)</f>
        <v>27.269754163181233</v>
      </c>
      <c r="Q11" s="20">
        <f>'TE BE'!$Q$11*'TE BF'!$Q$51</f>
        <v>33.048356485236198</v>
      </c>
      <c r="R11" s="20">
        <f>SUM($Q$11:$Q$11)</f>
        <v>33.048356485236198</v>
      </c>
      <c r="S11" s="20">
        <f>'TE BE'!$S$11*'TE BF'!$S$51</f>
        <v>0</v>
      </c>
      <c r="T11" s="20">
        <f>'TE BE'!$T$11*'TE BF'!$T$51</f>
        <v>0</v>
      </c>
      <c r="U11" s="20">
        <f>'TE BE'!$U$11*'TE BF'!$U$51</f>
        <v>0</v>
      </c>
      <c r="V11" s="20">
        <f>SUM($S$11:$U$11)</f>
        <v>0</v>
      </c>
      <c r="W11" s="20">
        <f>'TE BE'!$AA$11*'TE BF'!$W$51</f>
        <v>0</v>
      </c>
      <c r="X11" s="20">
        <f>SUM($W$11:$W$11)</f>
        <v>0</v>
      </c>
      <c r="Y11" s="20">
        <f>'TE BE'!$Y$11*'TE BF'!$Y$51</f>
        <v>0.69879920291117947</v>
      </c>
      <c r="Z11" s="20">
        <f>SUM($Y$11:$Y$11)</f>
        <v>0.69879920291117947</v>
      </c>
      <c r="AA11" s="20">
        <f>SUMIF($L$4:$Z$4,"SUBTOTAL",$L$11:$Z$11)</f>
        <v>61.016909851328613</v>
      </c>
    </row>
    <row r="12" spans="1:27" ht="11.25" customHeight="1" x14ac:dyDescent="0.25">
      <c r="A12" s="117"/>
      <c r="B12" s="117"/>
      <c r="C12" s="117"/>
      <c r="D12" s="117"/>
      <c r="E12" s="117"/>
      <c r="F12" s="117"/>
      <c r="G12" s="22" t="s">
        <v>80</v>
      </c>
      <c r="H12" s="22" t="s">
        <v>78</v>
      </c>
      <c r="I12" s="22">
        <f>'MERCADO TE'!$U$9</f>
        <v>73.14200000000001</v>
      </c>
      <c r="J12" s="15"/>
      <c r="L12" s="20">
        <f>'TE BE'!$L$12*'TE BF'!$L$51</f>
        <v>0</v>
      </c>
      <c r="M12" s="20">
        <f>'TE BE'!$M$12*'TE BF'!$M$51</f>
        <v>26.378319119723734</v>
      </c>
      <c r="N12" s="20">
        <f>'TE BE'!$N$12*'TE BF'!$N$51</f>
        <v>0</v>
      </c>
      <c r="O12" s="20">
        <f>'TE BE'!$O$12*'TE BF'!$O$51</f>
        <v>0.89143504345749702</v>
      </c>
      <c r="P12" s="20">
        <f>SUM($L$12:$O$12)</f>
        <v>27.269754163181233</v>
      </c>
      <c r="Q12" s="20">
        <f>'TE BE'!$Q$12*'TE BF'!$Q$51</f>
        <v>33.048356485236198</v>
      </c>
      <c r="R12" s="20">
        <f>SUM($Q$12:$Q$12)</f>
        <v>33.048356485236198</v>
      </c>
      <c r="S12" s="20">
        <f>'TE BE'!$S$12*'TE BF'!$S$51</f>
        <v>0</v>
      </c>
      <c r="T12" s="20">
        <f>'TE BE'!$T$12*'TE BF'!$T$51</f>
        <v>0</v>
      </c>
      <c r="U12" s="20">
        <f>'TE BE'!$U$12*'TE BF'!$U$51</f>
        <v>0</v>
      </c>
      <c r="V12" s="20">
        <f>SUM($S$12:$U$12)</f>
        <v>0</v>
      </c>
      <c r="W12" s="20">
        <f>'TE BE'!$AA$12*'TE BF'!$W$51</f>
        <v>0</v>
      </c>
      <c r="X12" s="20">
        <f>SUM($W$12:$W$12)</f>
        <v>0</v>
      </c>
      <c r="Y12" s="20">
        <f>'TE BE'!$Y$12*'TE BF'!$Y$51</f>
        <v>0.69879920291117947</v>
      </c>
      <c r="Z12" s="20">
        <f>SUM($Y$12:$Y$12)</f>
        <v>0.69879920291117947</v>
      </c>
      <c r="AA12" s="20">
        <f>SUMIF($L$4:$Z$4,"SUBTOTAL",$L$12:$Z$12)</f>
        <v>61.016909851328613</v>
      </c>
    </row>
    <row r="13" spans="1:27" ht="11.25" customHeight="1" x14ac:dyDescent="0.25">
      <c r="A13" s="117"/>
      <c r="B13" s="117" t="s">
        <v>86</v>
      </c>
      <c r="C13" s="117" t="s">
        <v>24</v>
      </c>
      <c r="D13" s="23" t="s">
        <v>24</v>
      </c>
      <c r="E13" s="23" t="s">
        <v>25</v>
      </c>
      <c r="F13" s="23" t="s">
        <v>25</v>
      </c>
      <c r="G13" s="22" t="s">
        <v>84</v>
      </c>
      <c r="H13" s="22" t="s">
        <v>78</v>
      </c>
      <c r="I13" s="22">
        <f>'MERCADO TE'!$U$10</f>
        <v>216529.64400000003</v>
      </c>
      <c r="J13" s="15"/>
      <c r="L13" s="20">
        <f>'TE BE'!$L$13*'TE BF'!$L$51</f>
        <v>0</v>
      </c>
      <c r="M13" s="20">
        <f>'TE BE'!$M$13*'TE BF'!$M$51</f>
        <v>26.378319119723734</v>
      </c>
      <c r="N13" s="20">
        <f>'TE BE'!$N$13*'TE BF'!$N$51</f>
        <v>0</v>
      </c>
      <c r="O13" s="20">
        <f>'TE BE'!$O$13*'TE BF'!$O$51</f>
        <v>0.89143504345749702</v>
      </c>
      <c r="P13" s="20">
        <f>SUM($L$13:$O$13)</f>
        <v>27.269754163181233</v>
      </c>
      <c r="Q13" s="20">
        <f>'TE BE'!$Q$13*'TE BF'!$Q$51</f>
        <v>35.031257874350374</v>
      </c>
      <c r="R13" s="20">
        <f>SUM($Q$13:$Q$13)</f>
        <v>35.031257874350374</v>
      </c>
      <c r="S13" s="20">
        <f>'TE BE'!$S$13*'TE BF'!$S$51</f>
        <v>0</v>
      </c>
      <c r="T13" s="20">
        <f>'TE BE'!$T$13*'TE BF'!$T$51</f>
        <v>0</v>
      </c>
      <c r="U13" s="20">
        <f>'TE BE'!$U$13*'TE BF'!$U$51</f>
        <v>0</v>
      </c>
      <c r="V13" s="20">
        <f>SUM($S$13:$U$13)</f>
        <v>0</v>
      </c>
      <c r="W13" s="20">
        <f>'TE BE'!$AA$13*'TE BF'!$W$51</f>
        <v>0</v>
      </c>
      <c r="X13" s="20">
        <f>SUM($W$13:$W$13)</f>
        <v>0</v>
      </c>
      <c r="Y13" s="20">
        <f>'TE BE'!$Y$13*'TE BF'!$Y$51</f>
        <v>0.69879920291117947</v>
      </c>
      <c r="Z13" s="20">
        <f>SUM($Y$13:$Y$13)</f>
        <v>0.69879920291117947</v>
      </c>
      <c r="AA13" s="20">
        <f>SUMIF($L$4:$Z$4,"SUBTOTAL",$L$13:$Z$13)</f>
        <v>62.999811240442789</v>
      </c>
    </row>
    <row r="14" spans="1:27" ht="11.25" customHeight="1" x14ac:dyDescent="0.25">
      <c r="A14" s="117"/>
      <c r="B14" s="117"/>
      <c r="C14" s="117"/>
      <c r="D14" s="23" t="s">
        <v>29</v>
      </c>
      <c r="E14" s="23" t="s">
        <v>25</v>
      </c>
      <c r="F14" s="23" t="s">
        <v>25</v>
      </c>
      <c r="G14" s="22" t="s">
        <v>84</v>
      </c>
      <c r="H14" s="22" t="s">
        <v>78</v>
      </c>
      <c r="I14" s="22">
        <f>'MERCADO TE'!$U$11</f>
        <v>20401.981000000003</v>
      </c>
      <c r="J14" s="15"/>
      <c r="L14" s="20">
        <f>'TE BE'!$L$14*'TE BF'!$L$51</f>
        <v>0</v>
      </c>
      <c r="M14" s="20">
        <f>'TE BE'!$M$14*'TE BF'!$M$51</f>
        <v>26.378319119723734</v>
      </c>
      <c r="N14" s="20">
        <f>'TE BE'!$N$14*'TE BF'!$N$51</f>
        <v>0</v>
      </c>
      <c r="O14" s="20">
        <f>'TE BE'!$O$14*'TE BF'!$O$51</f>
        <v>0.89143504345749702</v>
      </c>
      <c r="P14" s="20">
        <f>SUM($L$14:$O$14)</f>
        <v>27.269754163181233</v>
      </c>
      <c r="Q14" s="20">
        <f>'TE BE'!$Q$14*'TE BF'!$Q$51</f>
        <v>35.031257874350374</v>
      </c>
      <c r="R14" s="20">
        <f>SUM($Q$14:$Q$14)</f>
        <v>35.031257874350374</v>
      </c>
      <c r="S14" s="20">
        <f>'TE BE'!$S$14*'TE BF'!$S$51</f>
        <v>0</v>
      </c>
      <c r="T14" s="20">
        <f>'TE BE'!$T$14*'TE BF'!$T$51</f>
        <v>0</v>
      </c>
      <c r="U14" s="20">
        <f>'TE BE'!$U$14*'TE BF'!$U$51</f>
        <v>0</v>
      </c>
      <c r="V14" s="20">
        <f>SUM($S$14:$U$14)</f>
        <v>0</v>
      </c>
      <c r="W14" s="20">
        <f>'TE BE'!$AA$14*'TE BF'!$W$51</f>
        <v>0</v>
      </c>
      <c r="X14" s="20">
        <f>SUM($W$14:$W$14)</f>
        <v>0</v>
      </c>
      <c r="Y14" s="20">
        <f>'TE BE'!$Y$14*'TE BF'!$Y$51</f>
        <v>0.69879920291117947</v>
      </c>
      <c r="Z14" s="20">
        <f>SUM($Y$14:$Y$14)</f>
        <v>0.69879920291117947</v>
      </c>
      <c r="AA14" s="20">
        <f>SUMIF($L$4:$Z$4,"SUBTOTAL",$L$14:$Z$14)</f>
        <v>62.999811240442789</v>
      </c>
    </row>
    <row r="15" spans="1:27" ht="11.25" customHeight="1" x14ac:dyDescent="0.25">
      <c r="A15" s="117"/>
      <c r="B15" s="117"/>
      <c r="C15" s="117"/>
      <c r="D15" s="23" t="s">
        <v>30</v>
      </c>
      <c r="E15" s="23" t="s">
        <v>25</v>
      </c>
      <c r="F15" s="23" t="s">
        <v>25</v>
      </c>
      <c r="G15" s="22" t="s">
        <v>84</v>
      </c>
      <c r="H15" s="22" t="s">
        <v>78</v>
      </c>
      <c r="I15" s="22">
        <f>'MERCADO TE'!$U$12</f>
        <v>32706.754000000004</v>
      </c>
      <c r="J15" s="15"/>
      <c r="L15" s="20">
        <f>'TE BE'!$L$15*'TE BF'!$L$51</f>
        <v>0</v>
      </c>
      <c r="M15" s="20">
        <f>'TE BE'!$M$15*'TE BF'!$M$51</f>
        <v>26.378319119723734</v>
      </c>
      <c r="N15" s="20">
        <f>'TE BE'!$N$15*'TE BF'!$N$51</f>
        <v>0</v>
      </c>
      <c r="O15" s="20">
        <f>'TE BE'!$O$15*'TE BF'!$O$51</f>
        <v>0.89143504345749702</v>
      </c>
      <c r="P15" s="20">
        <f>SUM($L$15:$O$15)</f>
        <v>27.269754163181233</v>
      </c>
      <c r="Q15" s="20">
        <f>'TE BE'!$Q$15*'TE BF'!$Q$51</f>
        <v>35.031257874350374</v>
      </c>
      <c r="R15" s="20">
        <f>SUM($Q$15:$Q$15)</f>
        <v>35.031257874350374</v>
      </c>
      <c r="S15" s="20">
        <f>'TE BE'!$S$15*'TE BF'!$S$51</f>
        <v>0</v>
      </c>
      <c r="T15" s="20">
        <f>'TE BE'!$T$15*'TE BF'!$T$51</f>
        <v>0</v>
      </c>
      <c r="U15" s="20">
        <f>'TE BE'!$U$15*'TE BF'!$U$51</f>
        <v>0</v>
      </c>
      <c r="V15" s="20">
        <f>SUM($S$15:$U$15)</f>
        <v>0</v>
      </c>
      <c r="W15" s="20">
        <f>'TE BE'!$AA$15*'TE BF'!$W$51</f>
        <v>0</v>
      </c>
      <c r="X15" s="20">
        <f>SUM($W$15:$W$15)</f>
        <v>0</v>
      </c>
      <c r="Y15" s="20">
        <f>'TE BE'!$Y$15*'TE BF'!$Y$51</f>
        <v>0.69879920291117947</v>
      </c>
      <c r="Z15" s="20">
        <f>SUM($Y$15:$Y$15)</f>
        <v>0.69879920291117947</v>
      </c>
      <c r="AA15" s="20">
        <f>SUMIF($L$4:$Z$4,"SUBTOTAL",$L$15:$Z$15)</f>
        <v>62.999811240442789</v>
      </c>
    </row>
    <row r="16" spans="1:27" ht="11.25" customHeight="1" x14ac:dyDescent="0.25">
      <c r="A16" s="117"/>
      <c r="B16" s="117"/>
      <c r="C16" s="117"/>
      <c r="D16" s="23" t="s">
        <v>31</v>
      </c>
      <c r="E16" s="23" t="s">
        <v>25</v>
      </c>
      <c r="F16" s="23" t="s">
        <v>25</v>
      </c>
      <c r="G16" s="22" t="s">
        <v>84</v>
      </c>
      <c r="H16" s="22" t="s">
        <v>78</v>
      </c>
      <c r="I16" s="22">
        <f>'MERCADO TE'!$U$13</f>
        <v>13213.162</v>
      </c>
      <c r="J16" s="15"/>
      <c r="L16" s="20">
        <f>'TE BE'!$L$16*'TE BF'!$L$51</f>
        <v>0</v>
      </c>
      <c r="M16" s="20">
        <f>'TE BE'!$M$16*'TE BF'!$M$51</f>
        <v>26.378319119723734</v>
      </c>
      <c r="N16" s="20">
        <f>'TE BE'!$N$16*'TE BF'!$N$51</f>
        <v>0</v>
      </c>
      <c r="O16" s="20">
        <f>'TE BE'!$O$16*'TE BF'!$O$51</f>
        <v>0.89143504345749702</v>
      </c>
      <c r="P16" s="20">
        <f>SUM($L$16:$O$16)</f>
        <v>27.269754163181233</v>
      </c>
      <c r="Q16" s="20">
        <f>'TE BE'!$Q$16*'TE BF'!$Q$51</f>
        <v>35.031257874350374</v>
      </c>
      <c r="R16" s="20">
        <f>SUM($Q$16:$Q$16)</f>
        <v>35.031257874350374</v>
      </c>
      <c r="S16" s="20">
        <f>'TE BE'!$S$16*'TE BF'!$S$51</f>
        <v>0</v>
      </c>
      <c r="T16" s="20">
        <f>'TE BE'!$T$16*'TE BF'!$T$51</f>
        <v>0</v>
      </c>
      <c r="U16" s="20">
        <f>'TE BE'!$U$16*'TE BF'!$U$51</f>
        <v>0</v>
      </c>
      <c r="V16" s="20">
        <f>SUM($S$16:$U$16)</f>
        <v>0</v>
      </c>
      <c r="W16" s="20">
        <f>'TE BE'!$AA$16*'TE BF'!$W$51</f>
        <v>0</v>
      </c>
      <c r="X16" s="20">
        <f>SUM($W$16:$W$16)</f>
        <v>0</v>
      </c>
      <c r="Y16" s="20">
        <f>'TE BE'!$Y$16*'TE BF'!$Y$51</f>
        <v>0.69879920291117947</v>
      </c>
      <c r="Z16" s="20">
        <f>SUM($Y$16:$Y$16)</f>
        <v>0.69879920291117947</v>
      </c>
      <c r="AA16" s="20">
        <f>SUMIF($L$4:$Z$4,"SUBTOTAL",$L$16:$Z$16)</f>
        <v>62.999811240442789</v>
      </c>
    </row>
    <row r="17" spans="1:27" ht="11.25" customHeight="1" x14ac:dyDescent="0.25">
      <c r="A17" s="117"/>
      <c r="B17" s="117"/>
      <c r="C17" s="117"/>
      <c r="D17" s="23" t="s">
        <v>32</v>
      </c>
      <c r="E17" s="23" t="s">
        <v>25</v>
      </c>
      <c r="F17" s="23" t="s">
        <v>25</v>
      </c>
      <c r="G17" s="22" t="s">
        <v>84</v>
      </c>
      <c r="H17" s="22" t="s">
        <v>78</v>
      </c>
      <c r="I17" s="22">
        <f>'MERCADO TE'!$U$14</f>
        <v>2931.0630000000001</v>
      </c>
      <c r="J17" s="15"/>
      <c r="L17" s="20">
        <f>'TE BE'!$L$17*'TE BF'!$L$51</f>
        <v>0</v>
      </c>
      <c r="M17" s="20">
        <f>'TE BE'!$M$17*'TE BF'!$M$51</f>
        <v>26.378319119723734</v>
      </c>
      <c r="N17" s="20">
        <f>'TE BE'!$N$17*'TE BF'!$N$51</f>
        <v>0</v>
      </c>
      <c r="O17" s="20">
        <f>'TE BE'!$O$17*'TE BF'!$O$51</f>
        <v>0.89143504345749702</v>
      </c>
      <c r="P17" s="20">
        <f>SUM($L$17:$O$17)</f>
        <v>27.269754163181233</v>
      </c>
      <c r="Q17" s="20">
        <f>'TE BE'!$Q$17*'TE BF'!$Q$51</f>
        <v>35.031257874350374</v>
      </c>
      <c r="R17" s="20">
        <f>SUM($Q$17:$Q$17)</f>
        <v>35.031257874350374</v>
      </c>
      <c r="S17" s="20">
        <f>'TE BE'!$S$17*'TE BF'!$S$51</f>
        <v>0</v>
      </c>
      <c r="T17" s="20">
        <f>'TE BE'!$T$17*'TE BF'!$T$51</f>
        <v>0</v>
      </c>
      <c r="U17" s="20">
        <f>'TE BE'!$U$17*'TE BF'!$U$51</f>
        <v>0</v>
      </c>
      <c r="V17" s="20">
        <f>SUM($S$17:$U$17)</f>
        <v>0</v>
      </c>
      <c r="W17" s="20">
        <f>'TE BE'!$AA$17*'TE BF'!$W$51</f>
        <v>0</v>
      </c>
      <c r="X17" s="20">
        <f>SUM($W$17:$W$17)</f>
        <v>0</v>
      </c>
      <c r="Y17" s="20">
        <f>'TE BE'!$Y$17*'TE BF'!$Y$51</f>
        <v>0.69879920291117947</v>
      </c>
      <c r="Z17" s="20">
        <f>SUM($Y$17:$Y$17)</f>
        <v>0.69879920291117947</v>
      </c>
      <c r="AA17" s="20">
        <f>SUMIF($L$4:$Z$4,"SUBTOTAL",$L$17:$Z$17)</f>
        <v>62.999811240442789</v>
      </c>
    </row>
    <row r="18" spans="1:27" ht="11.25" customHeight="1" x14ac:dyDescent="0.25">
      <c r="A18" s="117"/>
      <c r="B18" s="117" t="s">
        <v>92</v>
      </c>
      <c r="C18" s="117" t="s">
        <v>24</v>
      </c>
      <c r="D18" s="23" t="s">
        <v>24</v>
      </c>
      <c r="E18" s="23" t="s">
        <v>25</v>
      </c>
      <c r="F18" s="23" t="s">
        <v>25</v>
      </c>
      <c r="G18" s="22" t="s">
        <v>84</v>
      </c>
      <c r="H18" s="22" t="s">
        <v>78</v>
      </c>
      <c r="I18" s="22">
        <f>'MERCADO TE'!$U$15</f>
        <v>0</v>
      </c>
      <c r="J18" s="15"/>
      <c r="L18" s="20">
        <f>'TE BE'!$L$18*'TE BF'!$L$51</f>
        <v>0</v>
      </c>
      <c r="M18" s="20">
        <f>'TE BE'!$M$18*'TE BF'!$M$51</f>
        <v>26.378319119723734</v>
      </c>
      <c r="N18" s="20">
        <f>'TE BE'!$N$18*'TE BF'!$N$51</f>
        <v>0</v>
      </c>
      <c r="O18" s="20">
        <f>'TE BE'!$O$18*'TE BF'!$O$51</f>
        <v>0.89143504345749702</v>
      </c>
      <c r="P18" s="20">
        <f>SUM($L$18:$O$18)</f>
        <v>27.269754163181233</v>
      </c>
      <c r="Q18" s="20">
        <f>'TE BE'!$Q$18*'TE BF'!$Q$51</f>
        <v>35.031257874350374</v>
      </c>
      <c r="R18" s="20">
        <f>SUM($Q$18:$Q$18)</f>
        <v>35.031257874350374</v>
      </c>
      <c r="S18" s="20">
        <f>'TE BE'!$S$18*'TE BF'!$S$51</f>
        <v>0</v>
      </c>
      <c r="T18" s="20">
        <f>'TE BE'!$T$18*'TE BF'!$T$51</f>
        <v>0</v>
      </c>
      <c r="U18" s="20">
        <f>'TE BE'!$U$18*'TE BF'!$U$51</f>
        <v>0</v>
      </c>
      <c r="V18" s="20">
        <f>SUM($S$18:$U$18)</f>
        <v>0</v>
      </c>
      <c r="W18" s="20">
        <f>'TE BE'!$AA$18*'TE BF'!$W$51</f>
        <v>0</v>
      </c>
      <c r="X18" s="20">
        <f>SUM($W$18:$W$18)</f>
        <v>0</v>
      </c>
      <c r="Y18" s="20">
        <f>'TE BE'!$Y$18*'TE BF'!$Y$51</f>
        <v>0.69879920291117947</v>
      </c>
      <c r="Z18" s="20">
        <f>SUM($Y$18:$Y$18)</f>
        <v>0.69879920291117947</v>
      </c>
      <c r="AA18" s="20">
        <f>SUMIF($L$4:$Z$4,"SUBTOTAL",$L$18:$Z$18)</f>
        <v>62.999811240442789</v>
      </c>
    </row>
    <row r="19" spans="1:27" ht="11.25" customHeight="1" x14ac:dyDescent="0.25">
      <c r="A19" s="117"/>
      <c r="B19" s="117"/>
      <c r="C19" s="117"/>
      <c r="D19" s="23" t="s">
        <v>29</v>
      </c>
      <c r="E19" s="23" t="s">
        <v>25</v>
      </c>
      <c r="F19" s="23" t="s">
        <v>25</v>
      </c>
      <c r="G19" s="22" t="s">
        <v>84</v>
      </c>
      <c r="H19" s="22" t="s">
        <v>78</v>
      </c>
      <c r="I19" s="22">
        <f>'MERCADO TE'!$U$16</f>
        <v>0</v>
      </c>
      <c r="J19" s="15"/>
      <c r="L19" s="20">
        <f>'TE BE'!$L$19*'TE BF'!$L$51</f>
        <v>0</v>
      </c>
      <c r="M19" s="20">
        <f>'TE BE'!$M$19*'TE BF'!$M$51</f>
        <v>26.378319119723734</v>
      </c>
      <c r="N19" s="20">
        <f>'TE BE'!$N$19*'TE BF'!$N$51</f>
        <v>0</v>
      </c>
      <c r="O19" s="20">
        <f>'TE BE'!$O$19*'TE BF'!$O$51</f>
        <v>0.89143504345749702</v>
      </c>
      <c r="P19" s="20">
        <f>SUM($L$19:$O$19)</f>
        <v>27.269754163181233</v>
      </c>
      <c r="Q19" s="20">
        <f>'TE BE'!$Q$19*'TE BF'!$Q$51</f>
        <v>35.031257874350374</v>
      </c>
      <c r="R19" s="20">
        <f>SUM($Q$19:$Q$19)</f>
        <v>35.031257874350374</v>
      </c>
      <c r="S19" s="20">
        <f>'TE BE'!$S$19*'TE BF'!$S$51</f>
        <v>0</v>
      </c>
      <c r="T19" s="20">
        <f>'TE BE'!$T$19*'TE BF'!$T$51</f>
        <v>0</v>
      </c>
      <c r="U19" s="20">
        <f>'TE BE'!$U$19*'TE BF'!$U$51</f>
        <v>0</v>
      </c>
      <c r="V19" s="20">
        <f>SUM($S$19:$U$19)</f>
        <v>0</v>
      </c>
      <c r="W19" s="20">
        <f>'TE BE'!$AA$19*'TE BF'!$W$51</f>
        <v>0</v>
      </c>
      <c r="X19" s="20">
        <f>SUM($W$19:$W$19)</f>
        <v>0</v>
      </c>
      <c r="Y19" s="20">
        <f>'TE BE'!$Y$19*'TE BF'!$Y$51</f>
        <v>0.69879920291117947</v>
      </c>
      <c r="Z19" s="20">
        <f>SUM($Y$19:$Y$19)</f>
        <v>0.69879920291117947</v>
      </c>
      <c r="AA19" s="20">
        <f>SUMIF($L$4:$Z$4,"SUBTOTAL",$L$19:$Z$19)</f>
        <v>62.999811240442789</v>
      </c>
    </row>
    <row r="20" spans="1:27" ht="11.25" customHeight="1" x14ac:dyDescent="0.25">
      <c r="A20" s="117"/>
      <c r="B20" s="117"/>
      <c r="C20" s="117"/>
      <c r="D20" s="23" t="s">
        <v>30</v>
      </c>
      <c r="E20" s="23" t="s">
        <v>25</v>
      </c>
      <c r="F20" s="23" t="s">
        <v>25</v>
      </c>
      <c r="G20" s="22" t="s">
        <v>84</v>
      </c>
      <c r="H20" s="22" t="s">
        <v>78</v>
      </c>
      <c r="I20" s="22">
        <f>'MERCADO TE'!$U$17</f>
        <v>0</v>
      </c>
      <c r="J20" s="15"/>
      <c r="L20" s="20">
        <f>'TE BE'!$L$20*'TE BF'!$L$51</f>
        <v>0</v>
      </c>
      <c r="M20" s="20">
        <f>'TE BE'!$M$20*'TE BF'!$M$51</f>
        <v>26.378319119723734</v>
      </c>
      <c r="N20" s="20">
        <f>'TE BE'!$N$20*'TE BF'!$N$51</f>
        <v>0</v>
      </c>
      <c r="O20" s="20">
        <f>'TE BE'!$O$20*'TE BF'!$O$51</f>
        <v>0.89143504345749702</v>
      </c>
      <c r="P20" s="20">
        <f>SUM($L$20:$O$20)</f>
        <v>27.269754163181233</v>
      </c>
      <c r="Q20" s="20">
        <f>'TE BE'!$Q$20*'TE BF'!$Q$51</f>
        <v>35.031257874350374</v>
      </c>
      <c r="R20" s="20">
        <f>SUM($Q$20:$Q$20)</f>
        <v>35.031257874350374</v>
      </c>
      <c r="S20" s="20">
        <f>'TE BE'!$S$20*'TE BF'!$S$51</f>
        <v>0</v>
      </c>
      <c r="T20" s="20">
        <f>'TE BE'!$T$20*'TE BF'!$T$51</f>
        <v>0</v>
      </c>
      <c r="U20" s="20">
        <f>'TE BE'!$U$20*'TE BF'!$U$51</f>
        <v>0</v>
      </c>
      <c r="V20" s="20">
        <f>SUM($S$20:$U$20)</f>
        <v>0</v>
      </c>
      <c r="W20" s="20">
        <f>'TE BE'!$AA$20*'TE BF'!$W$51</f>
        <v>0</v>
      </c>
      <c r="X20" s="20">
        <f>SUM($W$20:$W$20)</f>
        <v>0</v>
      </c>
      <c r="Y20" s="20">
        <f>'TE BE'!$Y$20*'TE BF'!$Y$51</f>
        <v>0.69879920291117947</v>
      </c>
      <c r="Z20" s="20">
        <f>SUM($Y$20:$Y$20)</f>
        <v>0.69879920291117947</v>
      </c>
      <c r="AA20" s="20">
        <f>SUMIF($L$4:$Z$4,"SUBTOTAL",$L$20:$Z$20)</f>
        <v>62.999811240442789</v>
      </c>
    </row>
    <row r="21" spans="1:27" ht="11.25" customHeight="1" x14ac:dyDescent="0.25">
      <c r="A21" s="117"/>
      <c r="B21" s="117"/>
      <c r="C21" s="117"/>
      <c r="D21" s="23" t="s">
        <v>31</v>
      </c>
      <c r="E21" s="23" t="s">
        <v>25</v>
      </c>
      <c r="F21" s="23" t="s">
        <v>25</v>
      </c>
      <c r="G21" s="22" t="s">
        <v>84</v>
      </c>
      <c r="H21" s="22" t="s">
        <v>78</v>
      </c>
      <c r="I21" s="22">
        <f>'MERCADO TE'!$U$18</f>
        <v>0</v>
      </c>
      <c r="J21" s="15"/>
      <c r="L21" s="20">
        <f>'TE BE'!$L$21*'TE BF'!$L$51</f>
        <v>0</v>
      </c>
      <c r="M21" s="20">
        <f>'TE BE'!$M$21*'TE BF'!$M$51</f>
        <v>26.378319119723734</v>
      </c>
      <c r="N21" s="20">
        <f>'TE BE'!$N$21*'TE BF'!$N$51</f>
        <v>0</v>
      </c>
      <c r="O21" s="20">
        <f>'TE BE'!$O$21*'TE BF'!$O$51</f>
        <v>0.89143504345749702</v>
      </c>
      <c r="P21" s="20">
        <f>SUM($L$21:$O$21)</f>
        <v>27.269754163181233</v>
      </c>
      <c r="Q21" s="20">
        <f>'TE BE'!$Q$21*'TE BF'!$Q$51</f>
        <v>35.031257874350374</v>
      </c>
      <c r="R21" s="20">
        <f>SUM($Q$21:$Q$21)</f>
        <v>35.031257874350374</v>
      </c>
      <c r="S21" s="20">
        <f>'TE BE'!$S$21*'TE BF'!$S$51</f>
        <v>0</v>
      </c>
      <c r="T21" s="20">
        <f>'TE BE'!$T$21*'TE BF'!$T$51</f>
        <v>0</v>
      </c>
      <c r="U21" s="20">
        <f>'TE BE'!$U$21*'TE BF'!$U$51</f>
        <v>0</v>
      </c>
      <c r="V21" s="20">
        <f>SUM($S$21:$U$21)</f>
        <v>0</v>
      </c>
      <c r="W21" s="20">
        <f>'TE BE'!$AA$21*'TE BF'!$W$51</f>
        <v>0</v>
      </c>
      <c r="X21" s="20">
        <f>SUM($W$21:$W$21)</f>
        <v>0</v>
      </c>
      <c r="Y21" s="20">
        <f>'TE BE'!$Y$21*'TE BF'!$Y$51</f>
        <v>0.69879920291117947</v>
      </c>
      <c r="Z21" s="20">
        <f>SUM($Y$21:$Y$21)</f>
        <v>0.69879920291117947</v>
      </c>
      <c r="AA21" s="20">
        <f>SUMIF($L$4:$Z$4,"SUBTOTAL",$L$21:$Z$21)</f>
        <v>62.999811240442789</v>
      </c>
    </row>
    <row r="22" spans="1:27" ht="11.25" customHeight="1" x14ac:dyDescent="0.25">
      <c r="A22" s="117"/>
      <c r="B22" s="117"/>
      <c r="C22" s="117"/>
      <c r="D22" s="23" t="s">
        <v>32</v>
      </c>
      <c r="E22" s="23" t="s">
        <v>25</v>
      </c>
      <c r="F22" s="23" t="s">
        <v>25</v>
      </c>
      <c r="G22" s="22" t="s">
        <v>84</v>
      </c>
      <c r="H22" s="22" t="s">
        <v>78</v>
      </c>
      <c r="I22" s="22">
        <f>'MERCADO TE'!$U$19</f>
        <v>0</v>
      </c>
      <c r="J22" s="15"/>
      <c r="L22" s="20">
        <f>'TE BE'!$L$22*'TE BF'!$L$51</f>
        <v>0</v>
      </c>
      <c r="M22" s="20">
        <f>'TE BE'!$M$22*'TE BF'!$M$51</f>
        <v>26.378319119723734</v>
      </c>
      <c r="N22" s="20">
        <f>'TE BE'!$N$22*'TE BF'!$N$51</f>
        <v>0</v>
      </c>
      <c r="O22" s="20">
        <f>'TE BE'!$O$22*'TE BF'!$O$51</f>
        <v>0.89143504345749702</v>
      </c>
      <c r="P22" s="20">
        <f>SUM($L$22:$O$22)</f>
        <v>27.269754163181233</v>
      </c>
      <c r="Q22" s="20">
        <f>'TE BE'!$Q$22*'TE BF'!$Q$51</f>
        <v>35.031257874350374</v>
      </c>
      <c r="R22" s="20">
        <f>SUM($Q$22:$Q$22)</f>
        <v>35.031257874350374</v>
      </c>
      <c r="S22" s="20">
        <f>'TE BE'!$S$22*'TE BF'!$S$51</f>
        <v>0</v>
      </c>
      <c r="T22" s="20">
        <f>'TE BE'!$T$22*'TE BF'!$T$51</f>
        <v>0</v>
      </c>
      <c r="U22" s="20">
        <f>'TE BE'!$U$22*'TE BF'!$U$51</f>
        <v>0</v>
      </c>
      <c r="V22" s="20">
        <f>SUM($S$22:$U$22)</f>
        <v>0</v>
      </c>
      <c r="W22" s="20">
        <f>'TE BE'!$AA$22*'TE BF'!$W$51</f>
        <v>0</v>
      </c>
      <c r="X22" s="20">
        <f>SUM($W$22:$W$22)</f>
        <v>0</v>
      </c>
      <c r="Y22" s="20">
        <f>'TE BE'!$Y$22*'TE BF'!$Y$51</f>
        <v>0.69879920291117947</v>
      </c>
      <c r="Z22" s="20">
        <f>SUM($Y$22:$Y$22)</f>
        <v>0.69879920291117947</v>
      </c>
      <c r="AA22" s="20">
        <f>SUMIF($L$4:$Z$4,"SUBTOTAL",$L$22:$Z$22)</f>
        <v>62.999811240442789</v>
      </c>
    </row>
    <row r="23" spans="1:27" ht="11.25" customHeight="1" x14ac:dyDescent="0.25">
      <c r="A23" s="117" t="s">
        <v>43</v>
      </c>
      <c r="B23" s="117" t="s">
        <v>77</v>
      </c>
      <c r="C23" s="117" t="s">
        <v>44</v>
      </c>
      <c r="D23" s="117" t="s">
        <v>25</v>
      </c>
      <c r="E23" s="117" t="s">
        <v>25</v>
      </c>
      <c r="F23" s="117" t="s">
        <v>25</v>
      </c>
      <c r="G23" s="22" t="s">
        <v>79</v>
      </c>
      <c r="H23" s="22" t="s">
        <v>78</v>
      </c>
      <c r="I23" s="22">
        <f>'MERCADO TE'!$U$20</f>
        <v>0.16600000000000004</v>
      </c>
      <c r="J23" s="15"/>
      <c r="L23" s="20">
        <f>'TE BE'!$L$23*'TE BF'!$L$51</f>
        <v>0</v>
      </c>
      <c r="M23" s="20">
        <f>'TE BE'!$M$23*'TE BF'!$M$51</f>
        <v>26.378319119723734</v>
      </c>
      <c r="N23" s="20">
        <f>'TE BE'!$N$23*'TE BF'!$N$51</f>
        <v>0</v>
      </c>
      <c r="O23" s="20">
        <f>'TE BE'!$O$23*'TE BF'!$O$51</f>
        <v>0.89143504345749702</v>
      </c>
      <c r="P23" s="20">
        <f>SUM($L$23:$O$23)</f>
        <v>27.269754163181233</v>
      </c>
      <c r="Q23" s="20">
        <f>'TE BE'!$Q$23*'TE BF'!$Q$51</f>
        <v>56.843173154606262</v>
      </c>
      <c r="R23" s="20">
        <f>SUM($Q$23:$Q$23)</f>
        <v>56.843173154606262</v>
      </c>
      <c r="S23" s="20">
        <f>'TE BE'!$S$23*'TE BF'!$S$51</f>
        <v>0</v>
      </c>
      <c r="T23" s="20">
        <f>'TE BE'!$T$23*'TE BF'!$T$51</f>
        <v>0</v>
      </c>
      <c r="U23" s="20">
        <f>'TE BE'!$U$23*'TE BF'!$U$51</f>
        <v>0</v>
      </c>
      <c r="V23" s="20">
        <f>SUM($S$23:$U$23)</f>
        <v>0</v>
      </c>
      <c r="W23" s="20">
        <f>'TE BE'!$AA$23*'TE BF'!$W$51</f>
        <v>0</v>
      </c>
      <c r="X23" s="20">
        <f>SUM($W$23:$W$23)</f>
        <v>0</v>
      </c>
      <c r="Y23" s="20">
        <f>'TE BE'!$Y$23*'TE BF'!$Y$51</f>
        <v>0.69879920291117947</v>
      </c>
      <c r="Z23" s="20">
        <f>SUM($Y$23:$Y$23)</f>
        <v>0.69879920291117947</v>
      </c>
      <c r="AA23" s="20">
        <f>SUMIF($L$4:$Z$4,"SUBTOTAL",$L$23:$Z$23)</f>
        <v>84.81172652069867</v>
      </c>
    </row>
    <row r="24" spans="1:27" ht="11.25" customHeight="1" x14ac:dyDescent="0.25">
      <c r="A24" s="117"/>
      <c r="B24" s="117"/>
      <c r="C24" s="117"/>
      <c r="D24" s="117"/>
      <c r="E24" s="117"/>
      <c r="F24" s="117"/>
      <c r="G24" s="22" t="s">
        <v>91</v>
      </c>
      <c r="H24" s="22" t="s">
        <v>78</v>
      </c>
      <c r="I24" s="22">
        <f>'MERCADO TE'!$U$21</f>
        <v>0.14499999999999999</v>
      </c>
      <c r="J24" s="15"/>
      <c r="L24" s="20">
        <f>'TE BE'!$L$24*'TE BF'!$L$51</f>
        <v>0</v>
      </c>
      <c r="M24" s="20">
        <f>'TE BE'!$M$24*'TE BF'!$M$51</f>
        <v>26.378319119723734</v>
      </c>
      <c r="N24" s="20">
        <f>'TE BE'!$N$24*'TE BF'!$N$51</f>
        <v>0</v>
      </c>
      <c r="O24" s="20">
        <f>'TE BE'!$O$24*'TE BF'!$O$51</f>
        <v>0.89143504345749702</v>
      </c>
      <c r="P24" s="20">
        <f>SUM($L$24:$O$24)</f>
        <v>27.269754163181233</v>
      </c>
      <c r="Q24" s="20">
        <f>'TE BE'!$Q$24*'TE BF'!$Q$51</f>
        <v>33.048356485236198</v>
      </c>
      <c r="R24" s="20">
        <f>SUM($Q$24:$Q$24)</f>
        <v>33.048356485236198</v>
      </c>
      <c r="S24" s="20">
        <f>'TE BE'!$S$24*'TE BF'!$S$51</f>
        <v>0</v>
      </c>
      <c r="T24" s="20">
        <f>'TE BE'!$T$24*'TE BF'!$T$51</f>
        <v>0</v>
      </c>
      <c r="U24" s="20">
        <f>'TE BE'!$U$24*'TE BF'!$U$51</f>
        <v>0</v>
      </c>
      <c r="V24" s="20">
        <f>SUM($S$24:$U$24)</f>
        <v>0</v>
      </c>
      <c r="W24" s="20">
        <f>'TE BE'!$AA$24*'TE BF'!$W$51</f>
        <v>0</v>
      </c>
      <c r="X24" s="20">
        <f>SUM($W$24:$W$24)</f>
        <v>0</v>
      </c>
      <c r="Y24" s="20">
        <f>'TE BE'!$Y$24*'TE BF'!$Y$51</f>
        <v>0.69879920291117947</v>
      </c>
      <c r="Z24" s="20">
        <f>SUM($Y$24:$Y$24)</f>
        <v>0.69879920291117947</v>
      </c>
      <c r="AA24" s="20">
        <f>SUMIF($L$4:$Z$4,"SUBTOTAL",$L$24:$Z$24)</f>
        <v>61.016909851328613</v>
      </c>
    </row>
    <row r="25" spans="1:27" ht="11.25" customHeight="1" x14ac:dyDescent="0.25">
      <c r="A25" s="117"/>
      <c r="B25" s="117"/>
      <c r="C25" s="117"/>
      <c r="D25" s="117"/>
      <c r="E25" s="117"/>
      <c r="F25" s="117"/>
      <c r="G25" s="22" t="s">
        <v>80</v>
      </c>
      <c r="H25" s="22" t="s">
        <v>78</v>
      </c>
      <c r="I25" s="22">
        <f>'MERCADO TE'!$U$22</f>
        <v>3.37</v>
      </c>
      <c r="J25" s="15"/>
      <c r="L25" s="20">
        <f>'TE BE'!$L$25*'TE BF'!$L$51</f>
        <v>0</v>
      </c>
      <c r="M25" s="20">
        <f>'TE BE'!$M$25*'TE BF'!$M$51</f>
        <v>26.378319119723734</v>
      </c>
      <c r="N25" s="20">
        <f>'TE BE'!$N$25*'TE BF'!$N$51</f>
        <v>0</v>
      </c>
      <c r="O25" s="20">
        <f>'TE BE'!$O$25*'TE BF'!$O$51</f>
        <v>0.89143504345749702</v>
      </c>
      <c r="P25" s="20">
        <f>SUM($L$25:$O$25)</f>
        <v>27.269754163181233</v>
      </c>
      <c r="Q25" s="20">
        <f>'TE BE'!$Q$25*'TE BF'!$Q$51</f>
        <v>33.048356485236198</v>
      </c>
      <c r="R25" s="20">
        <f>SUM($Q$25:$Q$25)</f>
        <v>33.048356485236198</v>
      </c>
      <c r="S25" s="20">
        <f>'TE BE'!$S$25*'TE BF'!$S$51</f>
        <v>0</v>
      </c>
      <c r="T25" s="20">
        <f>'TE BE'!$T$25*'TE BF'!$T$51</f>
        <v>0</v>
      </c>
      <c r="U25" s="20">
        <f>'TE BE'!$U$25*'TE BF'!$U$51</f>
        <v>0</v>
      </c>
      <c r="V25" s="20">
        <f>SUM($S$25:$U$25)</f>
        <v>0</v>
      </c>
      <c r="W25" s="20">
        <f>'TE BE'!$AA$25*'TE BF'!$W$51</f>
        <v>0</v>
      </c>
      <c r="X25" s="20">
        <f>SUM($W$25:$W$25)</f>
        <v>0</v>
      </c>
      <c r="Y25" s="20">
        <f>'TE BE'!$Y$25*'TE BF'!$Y$51</f>
        <v>0.69879920291117947</v>
      </c>
      <c r="Z25" s="20">
        <f>SUM($Y$25:$Y$25)</f>
        <v>0.69879920291117947</v>
      </c>
      <c r="AA25" s="20">
        <f>SUMIF($L$4:$Z$4,"SUBTOTAL",$L$25:$Z$25)</f>
        <v>61.016909851328613</v>
      </c>
    </row>
    <row r="26" spans="1:27" ht="11.25" customHeight="1" x14ac:dyDescent="0.25">
      <c r="A26" s="117"/>
      <c r="B26" s="23" t="s">
        <v>86</v>
      </c>
      <c r="C26" s="23" t="s">
        <v>44</v>
      </c>
      <c r="D26" s="23" t="s">
        <v>25</v>
      </c>
      <c r="E26" s="23" t="s">
        <v>25</v>
      </c>
      <c r="F26" s="23" t="s">
        <v>25</v>
      </c>
      <c r="G26" s="22" t="s">
        <v>84</v>
      </c>
      <c r="H26" s="22" t="s">
        <v>78</v>
      </c>
      <c r="I26" s="22">
        <f>'MERCADO TE'!$U$23</f>
        <v>23741.584000000003</v>
      </c>
      <c r="J26" s="15"/>
      <c r="L26" s="20">
        <f>'TE BE'!$L$26*'TE BF'!$L$51</f>
        <v>0</v>
      </c>
      <c r="M26" s="20">
        <f>'TE BE'!$M$26*'TE BF'!$M$51</f>
        <v>26.378319119723734</v>
      </c>
      <c r="N26" s="20">
        <f>'TE BE'!$N$26*'TE BF'!$N$51</f>
        <v>0</v>
      </c>
      <c r="O26" s="20">
        <f>'TE BE'!$O$26*'TE BF'!$O$51</f>
        <v>0.89143504345749702</v>
      </c>
      <c r="P26" s="20">
        <f>SUM($L$26:$O$26)</f>
        <v>27.269754163181233</v>
      </c>
      <c r="Q26" s="20">
        <f>'TE BE'!$Q$26*'TE BF'!$Q$51</f>
        <v>35.031257874350374</v>
      </c>
      <c r="R26" s="20">
        <f>SUM($Q$26:$Q$26)</f>
        <v>35.031257874350374</v>
      </c>
      <c r="S26" s="20">
        <f>'TE BE'!$S$26*'TE BF'!$S$51</f>
        <v>0</v>
      </c>
      <c r="T26" s="20">
        <f>'TE BE'!$T$26*'TE BF'!$T$51</f>
        <v>0</v>
      </c>
      <c r="U26" s="20">
        <f>'TE BE'!$U$26*'TE BF'!$U$51</f>
        <v>0</v>
      </c>
      <c r="V26" s="20">
        <f>SUM($S$26:$U$26)</f>
        <v>0</v>
      </c>
      <c r="W26" s="20">
        <f>'TE BE'!$AA$26*'TE BF'!$W$51</f>
        <v>0</v>
      </c>
      <c r="X26" s="20">
        <f>SUM($W$26:$W$26)</f>
        <v>0</v>
      </c>
      <c r="Y26" s="20">
        <f>'TE BE'!$Y$26*'TE BF'!$Y$51</f>
        <v>0.69879920291117947</v>
      </c>
      <c r="Z26" s="20">
        <f>SUM($Y$26:$Y$26)</f>
        <v>0.69879920291117947</v>
      </c>
      <c r="AA26" s="20">
        <f>SUMIF($L$4:$Z$4,"SUBTOTAL",$L$26:$Z$26)</f>
        <v>62.999811240442789</v>
      </c>
    </row>
    <row r="27" spans="1:27" ht="11.25" customHeight="1" x14ac:dyDescent="0.25">
      <c r="A27" s="117"/>
      <c r="B27" s="117" t="s">
        <v>77</v>
      </c>
      <c r="C27" s="117" t="s">
        <v>44</v>
      </c>
      <c r="D27" s="117" t="s">
        <v>94</v>
      </c>
      <c r="E27" s="117" t="s">
        <v>25</v>
      </c>
      <c r="F27" s="117" t="s">
        <v>25</v>
      </c>
      <c r="G27" s="22" t="s">
        <v>79</v>
      </c>
      <c r="H27" s="22" t="s">
        <v>78</v>
      </c>
      <c r="I27" s="22">
        <f>'MERCADO TE'!$U$24</f>
        <v>0</v>
      </c>
      <c r="J27" s="15"/>
      <c r="L27" s="20">
        <f>'TE BE'!$L$27*'TE BF'!$L$51</f>
        <v>0</v>
      </c>
      <c r="M27" s="20">
        <f>'TE BE'!$M$27*'TE BF'!$M$51</f>
        <v>26.378319119723734</v>
      </c>
      <c r="N27" s="20">
        <f>'TE BE'!$N$27*'TE BF'!$N$51</f>
        <v>0</v>
      </c>
      <c r="O27" s="20">
        <f>'TE BE'!$O$27*'TE BF'!$O$51</f>
        <v>0.89143504345749702</v>
      </c>
      <c r="P27" s="20">
        <f>SUM($L$27:$O$27)</f>
        <v>27.269754163181233</v>
      </c>
      <c r="Q27" s="20">
        <f>'TE BE'!$Q$27*'TE BF'!$Q$51</f>
        <v>56.843173154606262</v>
      </c>
      <c r="R27" s="20">
        <f>SUM($Q$27:$Q$27)</f>
        <v>56.843173154606262</v>
      </c>
      <c r="S27" s="20">
        <f>'TE BE'!$S$27*'TE BF'!$S$51</f>
        <v>0</v>
      </c>
      <c r="T27" s="20">
        <f>'TE BE'!$T$27*'TE BF'!$T$51</f>
        <v>0</v>
      </c>
      <c r="U27" s="20">
        <f>'TE BE'!$U$27*'TE BF'!$U$51</f>
        <v>0</v>
      </c>
      <c r="V27" s="20">
        <f>SUM($S$27:$U$27)</f>
        <v>0</v>
      </c>
      <c r="W27" s="20">
        <f>'TE BE'!$AA$27*'TE BF'!$W$51</f>
        <v>0</v>
      </c>
      <c r="X27" s="20">
        <f>SUM($W$27:$W$27)</f>
        <v>0</v>
      </c>
      <c r="Y27" s="20">
        <f>'TE BE'!$Y$27*'TE BF'!$Y$51</f>
        <v>0.69879920291117947</v>
      </c>
      <c r="Z27" s="20">
        <f>SUM($Y$27:$Y$27)</f>
        <v>0.69879920291117947</v>
      </c>
      <c r="AA27" s="20">
        <f>SUMIF($L$4:$Z$4,"SUBTOTAL",$L$27:$Z$27)</f>
        <v>84.81172652069867</v>
      </c>
    </row>
    <row r="28" spans="1:27" ht="11.25" customHeight="1" x14ac:dyDescent="0.25">
      <c r="A28" s="117"/>
      <c r="B28" s="117"/>
      <c r="C28" s="117"/>
      <c r="D28" s="117"/>
      <c r="E28" s="117"/>
      <c r="F28" s="117"/>
      <c r="G28" s="22" t="s">
        <v>91</v>
      </c>
      <c r="H28" s="22" t="s">
        <v>78</v>
      </c>
      <c r="I28" s="22">
        <f>'MERCADO TE'!$U$25</f>
        <v>0</v>
      </c>
      <c r="J28" s="15"/>
      <c r="L28" s="20">
        <f>'TE BE'!$L$28*'TE BF'!$L$51</f>
        <v>0</v>
      </c>
      <c r="M28" s="20">
        <f>'TE BE'!$M$28*'TE BF'!$M$51</f>
        <v>26.378319119723734</v>
      </c>
      <c r="N28" s="20">
        <f>'TE BE'!$N$28*'TE BF'!$N$51</f>
        <v>0</v>
      </c>
      <c r="O28" s="20">
        <f>'TE BE'!$O$28*'TE BF'!$O$51</f>
        <v>0.89143504345749702</v>
      </c>
      <c r="P28" s="20">
        <f>SUM($L$28:$O$28)</f>
        <v>27.269754163181233</v>
      </c>
      <c r="Q28" s="20">
        <f>'TE BE'!$Q$28*'TE BF'!$Q$51</f>
        <v>33.048356485236198</v>
      </c>
      <c r="R28" s="20">
        <f>SUM($Q$28:$Q$28)</f>
        <v>33.048356485236198</v>
      </c>
      <c r="S28" s="20">
        <f>'TE BE'!$S$28*'TE BF'!$S$51</f>
        <v>0</v>
      </c>
      <c r="T28" s="20">
        <f>'TE BE'!$T$28*'TE BF'!$T$51</f>
        <v>0</v>
      </c>
      <c r="U28" s="20">
        <f>'TE BE'!$U$28*'TE BF'!$U$51</f>
        <v>0</v>
      </c>
      <c r="V28" s="20">
        <f>SUM($S$28:$U$28)</f>
        <v>0</v>
      </c>
      <c r="W28" s="20">
        <f>'TE BE'!$AA$28*'TE BF'!$W$51</f>
        <v>0</v>
      </c>
      <c r="X28" s="20">
        <f>SUM($W$28:$W$28)</f>
        <v>0</v>
      </c>
      <c r="Y28" s="20">
        <f>'TE BE'!$Y$28*'TE BF'!$Y$51</f>
        <v>0.69879920291117947</v>
      </c>
      <c r="Z28" s="20">
        <f>SUM($Y$28:$Y$28)</f>
        <v>0.69879920291117947</v>
      </c>
      <c r="AA28" s="20">
        <f>SUMIF($L$4:$Z$4,"SUBTOTAL",$L$28:$Z$28)</f>
        <v>61.016909851328613</v>
      </c>
    </row>
    <row r="29" spans="1:27" ht="11.25" customHeight="1" x14ac:dyDescent="0.25">
      <c r="A29" s="117"/>
      <c r="B29" s="117"/>
      <c r="C29" s="117"/>
      <c r="D29" s="117"/>
      <c r="E29" s="117"/>
      <c r="F29" s="117"/>
      <c r="G29" s="22" t="s">
        <v>80</v>
      </c>
      <c r="H29" s="22" t="s">
        <v>78</v>
      </c>
      <c r="I29" s="22">
        <f>'MERCADO TE'!$U$26</f>
        <v>0</v>
      </c>
      <c r="J29" s="15"/>
      <c r="L29" s="20">
        <f>'TE BE'!$L$29*'TE BF'!$L$51</f>
        <v>0</v>
      </c>
      <c r="M29" s="20">
        <f>'TE BE'!$M$29*'TE BF'!$M$51</f>
        <v>26.378319119723734</v>
      </c>
      <c r="N29" s="20">
        <f>'TE BE'!$N$29*'TE BF'!$N$51</f>
        <v>0</v>
      </c>
      <c r="O29" s="20">
        <f>'TE BE'!$O$29*'TE BF'!$O$51</f>
        <v>0.89143504345749702</v>
      </c>
      <c r="P29" s="20">
        <f>SUM($L$29:$O$29)</f>
        <v>27.269754163181233</v>
      </c>
      <c r="Q29" s="20">
        <f>'TE BE'!$Q$29*'TE BF'!$Q$51</f>
        <v>33.048356485236198</v>
      </c>
      <c r="R29" s="20">
        <f>SUM($Q$29:$Q$29)</f>
        <v>33.048356485236198</v>
      </c>
      <c r="S29" s="20">
        <f>'TE BE'!$S$29*'TE BF'!$S$51</f>
        <v>0</v>
      </c>
      <c r="T29" s="20">
        <f>'TE BE'!$T$29*'TE BF'!$T$51</f>
        <v>0</v>
      </c>
      <c r="U29" s="20">
        <f>'TE BE'!$U$29*'TE BF'!$U$51</f>
        <v>0</v>
      </c>
      <c r="V29" s="20">
        <f>SUM($S$29:$U$29)</f>
        <v>0</v>
      </c>
      <c r="W29" s="20">
        <f>'TE BE'!$AA$29*'TE BF'!$W$51</f>
        <v>0</v>
      </c>
      <c r="X29" s="20">
        <f>SUM($W$29:$W$29)</f>
        <v>0</v>
      </c>
      <c r="Y29" s="20">
        <f>'TE BE'!$Y$29*'TE BF'!$Y$51</f>
        <v>0.69879920291117947</v>
      </c>
      <c r="Z29" s="20">
        <f>SUM($Y$29:$Y$29)</f>
        <v>0.69879920291117947</v>
      </c>
      <c r="AA29" s="20">
        <f>SUMIF($L$4:$Z$4,"SUBTOTAL",$L$29:$Z$29)</f>
        <v>61.016909851328613</v>
      </c>
    </row>
    <row r="30" spans="1:27" ht="11.25" customHeight="1" x14ac:dyDescent="0.25">
      <c r="A30" s="117"/>
      <c r="B30" s="23" t="s">
        <v>86</v>
      </c>
      <c r="C30" s="23" t="s">
        <v>44</v>
      </c>
      <c r="D30" s="23" t="s">
        <v>94</v>
      </c>
      <c r="E30" s="23" t="s">
        <v>25</v>
      </c>
      <c r="F30" s="23" t="s">
        <v>25</v>
      </c>
      <c r="G30" s="22" t="s">
        <v>84</v>
      </c>
      <c r="H30" s="22" t="s">
        <v>78</v>
      </c>
      <c r="I30" s="22">
        <f>'MERCADO TE'!$U$27</f>
        <v>0</v>
      </c>
      <c r="J30" s="15"/>
      <c r="L30" s="20">
        <f>'TE BE'!$L$30*'TE BF'!$L$51</f>
        <v>0</v>
      </c>
      <c r="M30" s="20">
        <f>'TE BE'!$M$30*'TE BF'!$M$51</f>
        <v>26.378319119723734</v>
      </c>
      <c r="N30" s="20">
        <f>'TE BE'!$N$30*'TE BF'!$N$51</f>
        <v>0</v>
      </c>
      <c r="O30" s="20">
        <f>'TE BE'!$O$30*'TE BF'!$O$51</f>
        <v>0.89143504345749702</v>
      </c>
      <c r="P30" s="20">
        <f>SUM($L$30:$O$30)</f>
        <v>27.269754163181233</v>
      </c>
      <c r="Q30" s="20">
        <f>'TE BE'!$Q$30*'TE BF'!$Q$51</f>
        <v>35.031257874350374</v>
      </c>
      <c r="R30" s="20">
        <f>SUM($Q$30:$Q$30)</f>
        <v>35.031257874350374</v>
      </c>
      <c r="S30" s="20">
        <f>'TE BE'!$S$30*'TE BF'!$S$51</f>
        <v>0</v>
      </c>
      <c r="T30" s="20">
        <f>'TE BE'!$T$30*'TE BF'!$T$51</f>
        <v>0</v>
      </c>
      <c r="U30" s="20">
        <f>'TE BE'!$U$30*'TE BF'!$U$51</f>
        <v>0</v>
      </c>
      <c r="V30" s="20">
        <f>SUM($S$30:$U$30)</f>
        <v>0</v>
      </c>
      <c r="W30" s="20">
        <f>'TE BE'!$AA$30*'TE BF'!$W$51</f>
        <v>0</v>
      </c>
      <c r="X30" s="20">
        <f>SUM($W$30:$W$30)</f>
        <v>0</v>
      </c>
      <c r="Y30" s="20">
        <f>'TE BE'!$Y$30*'TE BF'!$Y$51</f>
        <v>0.69879920291117947</v>
      </c>
      <c r="Z30" s="20">
        <f>SUM($Y$30:$Y$30)</f>
        <v>0.69879920291117947</v>
      </c>
      <c r="AA30" s="20">
        <f>SUMIF($L$4:$Z$4,"SUBTOTAL",$L$30:$Z$30)</f>
        <v>62.999811240442789</v>
      </c>
    </row>
    <row r="31" spans="1:27" ht="11.25" customHeight="1" x14ac:dyDescent="0.25">
      <c r="A31" s="117"/>
      <c r="B31" s="117" t="s">
        <v>77</v>
      </c>
      <c r="C31" s="117" t="s">
        <v>44</v>
      </c>
      <c r="D31" s="117" t="s">
        <v>95</v>
      </c>
      <c r="E31" s="117" t="s">
        <v>25</v>
      </c>
      <c r="F31" s="117" t="s">
        <v>25</v>
      </c>
      <c r="G31" s="22" t="s">
        <v>79</v>
      </c>
      <c r="H31" s="22" t="s">
        <v>78</v>
      </c>
      <c r="I31" s="22">
        <f>'MERCADO TE'!$U$28</f>
        <v>0</v>
      </c>
      <c r="J31" s="15"/>
      <c r="L31" s="20">
        <f>'TE BE'!$L$31*'TE BF'!$L$51</f>
        <v>0</v>
      </c>
      <c r="M31" s="20">
        <f>'TE BE'!$M$31*'TE BF'!$M$51</f>
        <v>26.378319119723734</v>
      </c>
      <c r="N31" s="20">
        <f>'TE BE'!$N$31*'TE BF'!$N$51</f>
        <v>0</v>
      </c>
      <c r="O31" s="20">
        <f>'TE BE'!$O$31*'TE BF'!$O$51</f>
        <v>0.89143504345749702</v>
      </c>
      <c r="P31" s="20">
        <f>SUM($L$31:$O$31)</f>
        <v>27.269754163181233</v>
      </c>
      <c r="Q31" s="20">
        <f>'TE BE'!$Q$31*'TE BF'!$Q$51</f>
        <v>56.843173154606262</v>
      </c>
      <c r="R31" s="20">
        <f>SUM($Q$31:$Q$31)</f>
        <v>56.843173154606262</v>
      </c>
      <c r="S31" s="20">
        <f>'TE BE'!$S$31*'TE BF'!$S$51</f>
        <v>0</v>
      </c>
      <c r="T31" s="20">
        <f>'TE BE'!$T$31*'TE BF'!$T$51</f>
        <v>0</v>
      </c>
      <c r="U31" s="20">
        <f>'TE BE'!$U$31*'TE BF'!$U$51</f>
        <v>0</v>
      </c>
      <c r="V31" s="20">
        <f>SUM($S$31:$U$31)</f>
        <v>0</v>
      </c>
      <c r="W31" s="20">
        <f>'TE BE'!$AA$31*'TE BF'!$W$51</f>
        <v>0</v>
      </c>
      <c r="X31" s="20">
        <f>SUM($W$31:$W$31)</f>
        <v>0</v>
      </c>
      <c r="Y31" s="20">
        <f>'TE BE'!$Y$31*'TE BF'!$Y$51</f>
        <v>0.69879920291117947</v>
      </c>
      <c r="Z31" s="20">
        <f>SUM($Y$31:$Y$31)</f>
        <v>0.69879920291117947</v>
      </c>
      <c r="AA31" s="20">
        <f>SUMIF($L$4:$Z$4,"SUBTOTAL",$L$31:$Z$31)</f>
        <v>84.81172652069867</v>
      </c>
    </row>
    <row r="32" spans="1:27" ht="11.25" customHeight="1" x14ac:dyDescent="0.25">
      <c r="A32" s="117"/>
      <c r="B32" s="117"/>
      <c r="C32" s="117"/>
      <c r="D32" s="117"/>
      <c r="E32" s="117"/>
      <c r="F32" s="117"/>
      <c r="G32" s="22" t="s">
        <v>91</v>
      </c>
      <c r="H32" s="22" t="s">
        <v>78</v>
      </c>
      <c r="I32" s="22">
        <f>'MERCADO TE'!$U$29</f>
        <v>0</v>
      </c>
      <c r="J32" s="15"/>
      <c r="L32" s="20">
        <f>'TE BE'!$L$32*'TE BF'!$L$51</f>
        <v>0</v>
      </c>
      <c r="M32" s="20">
        <f>'TE BE'!$M$32*'TE BF'!$M$51</f>
        <v>26.378319119723734</v>
      </c>
      <c r="N32" s="20">
        <f>'TE BE'!$N$32*'TE BF'!$N$51</f>
        <v>0</v>
      </c>
      <c r="O32" s="20">
        <f>'TE BE'!$O$32*'TE BF'!$O$51</f>
        <v>0.89143504345749702</v>
      </c>
      <c r="P32" s="20">
        <f>SUM($L$32:$O$32)</f>
        <v>27.269754163181233</v>
      </c>
      <c r="Q32" s="20">
        <f>'TE BE'!$Q$32*'TE BF'!$Q$51</f>
        <v>33.048356485236198</v>
      </c>
      <c r="R32" s="20">
        <f>SUM($Q$32:$Q$32)</f>
        <v>33.048356485236198</v>
      </c>
      <c r="S32" s="20">
        <f>'TE BE'!$S$32*'TE BF'!$S$51</f>
        <v>0</v>
      </c>
      <c r="T32" s="20">
        <f>'TE BE'!$T$32*'TE BF'!$T$51</f>
        <v>0</v>
      </c>
      <c r="U32" s="20">
        <f>'TE BE'!$U$32*'TE BF'!$U$51</f>
        <v>0</v>
      </c>
      <c r="V32" s="20">
        <f>SUM($S$32:$U$32)</f>
        <v>0</v>
      </c>
      <c r="W32" s="20">
        <f>'TE BE'!$AA$32*'TE BF'!$W$51</f>
        <v>0</v>
      </c>
      <c r="X32" s="20">
        <f>SUM($W$32:$W$32)</f>
        <v>0</v>
      </c>
      <c r="Y32" s="20">
        <f>'TE BE'!$Y$32*'TE BF'!$Y$51</f>
        <v>0.69879920291117947</v>
      </c>
      <c r="Z32" s="20">
        <f>SUM($Y$32:$Y$32)</f>
        <v>0.69879920291117947</v>
      </c>
      <c r="AA32" s="20">
        <f>SUMIF($L$4:$Z$4,"SUBTOTAL",$L$32:$Z$32)</f>
        <v>61.016909851328613</v>
      </c>
    </row>
    <row r="33" spans="1:27" ht="11.25" customHeight="1" x14ac:dyDescent="0.25">
      <c r="A33" s="117"/>
      <c r="B33" s="117"/>
      <c r="C33" s="117"/>
      <c r="D33" s="117"/>
      <c r="E33" s="117"/>
      <c r="F33" s="117"/>
      <c r="G33" s="22" t="s">
        <v>80</v>
      </c>
      <c r="H33" s="22" t="s">
        <v>78</v>
      </c>
      <c r="I33" s="22">
        <f>'MERCADO TE'!$U$30</f>
        <v>0</v>
      </c>
      <c r="J33" s="15"/>
      <c r="L33" s="20">
        <f>'TE BE'!$L$33*'TE BF'!$L$51</f>
        <v>0</v>
      </c>
      <c r="M33" s="20">
        <f>'TE BE'!$M$33*'TE BF'!$M$51</f>
        <v>26.378319119723734</v>
      </c>
      <c r="N33" s="20">
        <f>'TE BE'!$N$33*'TE BF'!$N$51</f>
        <v>0</v>
      </c>
      <c r="O33" s="20">
        <f>'TE BE'!$O$33*'TE BF'!$O$51</f>
        <v>0.89143504345749702</v>
      </c>
      <c r="P33" s="20">
        <f>SUM($L$33:$O$33)</f>
        <v>27.269754163181233</v>
      </c>
      <c r="Q33" s="20">
        <f>'TE BE'!$Q$33*'TE BF'!$Q$51</f>
        <v>33.048356485236198</v>
      </c>
      <c r="R33" s="20">
        <f>SUM($Q$33:$Q$33)</f>
        <v>33.048356485236198</v>
      </c>
      <c r="S33" s="20">
        <f>'TE BE'!$S$33*'TE BF'!$S$51</f>
        <v>0</v>
      </c>
      <c r="T33" s="20">
        <f>'TE BE'!$T$33*'TE BF'!$T$51</f>
        <v>0</v>
      </c>
      <c r="U33" s="20">
        <f>'TE BE'!$U$33*'TE BF'!$U$51</f>
        <v>0</v>
      </c>
      <c r="V33" s="20">
        <f>SUM($S$33:$U$33)</f>
        <v>0</v>
      </c>
      <c r="W33" s="20">
        <f>'TE BE'!$AA$33*'TE BF'!$W$51</f>
        <v>0</v>
      </c>
      <c r="X33" s="20">
        <f>SUM($W$33:$W$33)</f>
        <v>0</v>
      </c>
      <c r="Y33" s="20">
        <f>'TE BE'!$Y$33*'TE BF'!$Y$51</f>
        <v>0.69879920291117947</v>
      </c>
      <c r="Z33" s="20">
        <f>SUM($Y$33:$Y$33)</f>
        <v>0.69879920291117947</v>
      </c>
      <c r="AA33" s="20">
        <f>SUMIF($L$4:$Z$4,"SUBTOTAL",$L$33:$Z$33)</f>
        <v>61.016909851328613</v>
      </c>
    </row>
    <row r="34" spans="1:27" ht="11.25" customHeight="1" x14ac:dyDescent="0.25">
      <c r="A34" s="117"/>
      <c r="B34" s="23" t="s">
        <v>86</v>
      </c>
      <c r="C34" s="23" t="s">
        <v>44</v>
      </c>
      <c r="D34" s="23" t="s">
        <v>95</v>
      </c>
      <c r="E34" s="23" t="s">
        <v>25</v>
      </c>
      <c r="F34" s="23" t="s">
        <v>25</v>
      </c>
      <c r="G34" s="22" t="s">
        <v>84</v>
      </c>
      <c r="H34" s="22" t="s">
        <v>78</v>
      </c>
      <c r="I34" s="22">
        <f>'MERCADO TE'!$U$31</f>
        <v>0</v>
      </c>
      <c r="J34" s="15"/>
      <c r="L34" s="20">
        <f>'TE BE'!$L$34*'TE BF'!$L$51</f>
        <v>0</v>
      </c>
      <c r="M34" s="20">
        <f>'TE BE'!$M$34*'TE BF'!$M$51</f>
        <v>26.378319119723734</v>
      </c>
      <c r="N34" s="20">
        <f>'TE BE'!$N$34*'TE BF'!$N$51</f>
        <v>0</v>
      </c>
      <c r="O34" s="20">
        <f>'TE BE'!$O$34*'TE BF'!$O$51</f>
        <v>0.89143504345749702</v>
      </c>
      <c r="P34" s="20">
        <f>SUM($L$34:$O$34)</f>
        <v>27.269754163181233</v>
      </c>
      <c r="Q34" s="20">
        <f>'TE BE'!$Q$34*'TE BF'!$Q$51</f>
        <v>35.031257874350374</v>
      </c>
      <c r="R34" s="20">
        <f>SUM($Q$34:$Q$34)</f>
        <v>35.031257874350374</v>
      </c>
      <c r="S34" s="20">
        <f>'TE BE'!$S$34*'TE BF'!$S$51</f>
        <v>0</v>
      </c>
      <c r="T34" s="20">
        <f>'TE BE'!$T$34*'TE BF'!$T$51</f>
        <v>0</v>
      </c>
      <c r="U34" s="20">
        <f>'TE BE'!$U$34*'TE BF'!$U$51</f>
        <v>0</v>
      </c>
      <c r="V34" s="20">
        <f>SUM($S$34:$U$34)</f>
        <v>0</v>
      </c>
      <c r="W34" s="20">
        <f>'TE BE'!$AA$34*'TE BF'!$W$51</f>
        <v>0</v>
      </c>
      <c r="X34" s="20">
        <f>SUM($W$34:$W$34)</f>
        <v>0</v>
      </c>
      <c r="Y34" s="20">
        <f>'TE BE'!$Y$34*'TE BF'!$Y$51</f>
        <v>0.69879920291117947</v>
      </c>
      <c r="Z34" s="20">
        <f>SUM($Y$34:$Y$34)</f>
        <v>0.69879920291117947</v>
      </c>
      <c r="AA34" s="20">
        <f>SUMIF($L$4:$Z$4,"SUBTOTAL",$L$34:$Z$34)</f>
        <v>62.999811240442789</v>
      </c>
    </row>
    <row r="35" spans="1:27" ht="11.25" customHeight="1" x14ac:dyDescent="0.25">
      <c r="A35" s="117"/>
      <c r="B35" s="117" t="s">
        <v>92</v>
      </c>
      <c r="C35" s="117" t="s">
        <v>44</v>
      </c>
      <c r="D35" s="23" t="s">
        <v>25</v>
      </c>
      <c r="E35" s="23" t="s">
        <v>25</v>
      </c>
      <c r="F35" s="23" t="s">
        <v>25</v>
      </c>
      <c r="G35" s="22" t="s">
        <v>84</v>
      </c>
      <c r="H35" s="22" t="s">
        <v>78</v>
      </c>
      <c r="I35" s="22">
        <f>'MERCADO TE'!$U$32</f>
        <v>0</v>
      </c>
      <c r="J35" s="15"/>
      <c r="L35" s="20">
        <f>'TE BE'!$L$35*'TE BF'!$L$51</f>
        <v>0</v>
      </c>
      <c r="M35" s="20">
        <f>'TE BE'!$M$35*'TE BF'!$M$51</f>
        <v>26.378319119723734</v>
      </c>
      <c r="N35" s="20">
        <f>'TE BE'!$N$35*'TE BF'!$N$51</f>
        <v>0</v>
      </c>
      <c r="O35" s="20">
        <f>'TE BE'!$O$35*'TE BF'!$O$51</f>
        <v>0.89143504345749702</v>
      </c>
      <c r="P35" s="20">
        <f>SUM($L$35:$O$35)</f>
        <v>27.269754163181233</v>
      </c>
      <c r="Q35" s="20">
        <f>'TE BE'!$Q$35*'TE BF'!$Q$51</f>
        <v>35.031257874350374</v>
      </c>
      <c r="R35" s="20">
        <f>SUM($Q$35:$Q$35)</f>
        <v>35.031257874350374</v>
      </c>
      <c r="S35" s="20">
        <f>'TE BE'!$S$35*'TE BF'!$S$51</f>
        <v>0</v>
      </c>
      <c r="T35" s="20">
        <f>'TE BE'!$T$35*'TE BF'!$T$51</f>
        <v>0</v>
      </c>
      <c r="U35" s="20">
        <f>'TE BE'!$U$35*'TE BF'!$U$51</f>
        <v>0</v>
      </c>
      <c r="V35" s="20">
        <f>SUM($S$35:$U$35)</f>
        <v>0</v>
      </c>
      <c r="W35" s="20">
        <f>'TE BE'!$AA$35*'TE BF'!$W$51</f>
        <v>0</v>
      </c>
      <c r="X35" s="20">
        <f>SUM($W$35:$W$35)</f>
        <v>0</v>
      </c>
      <c r="Y35" s="20">
        <f>'TE BE'!$Y$35*'TE BF'!$Y$51</f>
        <v>0.69879920291117947</v>
      </c>
      <c r="Z35" s="20">
        <f>SUM($Y$35:$Y$35)</f>
        <v>0.69879920291117947</v>
      </c>
      <c r="AA35" s="20">
        <f>SUMIF($L$4:$Z$4,"SUBTOTAL",$L$35:$Z$35)</f>
        <v>62.999811240442789</v>
      </c>
    </row>
    <row r="36" spans="1:27" ht="11.25" customHeight="1" x14ac:dyDescent="0.25">
      <c r="A36" s="117"/>
      <c r="B36" s="117"/>
      <c r="C36" s="117"/>
      <c r="D36" s="23" t="s">
        <v>94</v>
      </c>
      <c r="E36" s="23" t="s">
        <v>25</v>
      </c>
      <c r="F36" s="23" t="s">
        <v>25</v>
      </c>
      <c r="G36" s="22" t="s">
        <v>84</v>
      </c>
      <c r="H36" s="22" t="s">
        <v>78</v>
      </c>
      <c r="I36" s="22">
        <f>'MERCADO TE'!$U$33</f>
        <v>0</v>
      </c>
      <c r="J36" s="15"/>
      <c r="L36" s="20">
        <f>'TE BE'!$L$36*'TE BF'!$L$51</f>
        <v>0</v>
      </c>
      <c r="M36" s="20">
        <f>'TE BE'!$M$36*'TE BF'!$M$51</f>
        <v>26.378319119723734</v>
      </c>
      <c r="N36" s="20">
        <f>'TE BE'!$N$36*'TE BF'!$N$51</f>
        <v>0</v>
      </c>
      <c r="O36" s="20">
        <f>'TE BE'!$O$36*'TE BF'!$O$51</f>
        <v>0.89143504345749702</v>
      </c>
      <c r="P36" s="20">
        <f>SUM($L$36:$O$36)</f>
        <v>27.269754163181233</v>
      </c>
      <c r="Q36" s="20">
        <f>'TE BE'!$Q$36*'TE BF'!$Q$51</f>
        <v>35.031257874350374</v>
      </c>
      <c r="R36" s="20">
        <f>SUM($Q$36:$Q$36)</f>
        <v>35.031257874350374</v>
      </c>
      <c r="S36" s="20">
        <f>'TE BE'!$S$36*'TE BF'!$S$51</f>
        <v>0</v>
      </c>
      <c r="T36" s="20">
        <f>'TE BE'!$T$36*'TE BF'!$T$51</f>
        <v>0</v>
      </c>
      <c r="U36" s="20">
        <f>'TE BE'!$U$36*'TE BF'!$U$51</f>
        <v>0</v>
      </c>
      <c r="V36" s="20">
        <f>SUM($S$36:$U$36)</f>
        <v>0</v>
      </c>
      <c r="W36" s="20">
        <f>'TE BE'!$AA$36*'TE BF'!$W$51</f>
        <v>0</v>
      </c>
      <c r="X36" s="20">
        <f>SUM($W$36:$W$36)</f>
        <v>0</v>
      </c>
      <c r="Y36" s="20">
        <f>'TE BE'!$Y$36*'TE BF'!$Y$51</f>
        <v>0.69879920291117947</v>
      </c>
      <c r="Z36" s="20">
        <f>SUM($Y$36:$Y$36)</f>
        <v>0.69879920291117947</v>
      </c>
      <c r="AA36" s="20">
        <f>SUMIF($L$4:$Z$4,"SUBTOTAL",$L$36:$Z$36)</f>
        <v>62.999811240442789</v>
      </c>
    </row>
    <row r="37" spans="1:27" ht="11.25" customHeight="1" x14ac:dyDescent="0.25">
      <c r="A37" s="117"/>
      <c r="B37" s="117"/>
      <c r="C37" s="117"/>
      <c r="D37" s="23" t="s">
        <v>95</v>
      </c>
      <c r="E37" s="23" t="s">
        <v>25</v>
      </c>
      <c r="F37" s="23" t="s">
        <v>25</v>
      </c>
      <c r="G37" s="22" t="s">
        <v>84</v>
      </c>
      <c r="H37" s="22" t="s">
        <v>78</v>
      </c>
      <c r="I37" s="22">
        <f>'MERCADO TE'!$U$34</f>
        <v>0</v>
      </c>
      <c r="J37" s="15"/>
      <c r="L37" s="20">
        <f>'TE BE'!$L$37*'TE BF'!$L$51</f>
        <v>0</v>
      </c>
      <c r="M37" s="20">
        <f>'TE BE'!$M$37*'TE BF'!$M$51</f>
        <v>26.378319119723734</v>
      </c>
      <c r="N37" s="20">
        <f>'TE BE'!$N$37*'TE BF'!$N$51</f>
        <v>0</v>
      </c>
      <c r="O37" s="20">
        <f>'TE BE'!$O$37*'TE BF'!$O$51</f>
        <v>0.89143504345749702</v>
      </c>
      <c r="P37" s="20">
        <f>SUM($L$37:$O$37)</f>
        <v>27.269754163181233</v>
      </c>
      <c r="Q37" s="20">
        <f>'TE BE'!$Q$37*'TE BF'!$Q$51</f>
        <v>35.031257874350374</v>
      </c>
      <c r="R37" s="20">
        <f>SUM($Q$37:$Q$37)</f>
        <v>35.031257874350374</v>
      </c>
      <c r="S37" s="20">
        <f>'TE BE'!$S$37*'TE BF'!$S$51</f>
        <v>0</v>
      </c>
      <c r="T37" s="20">
        <f>'TE BE'!$T$37*'TE BF'!$T$51</f>
        <v>0</v>
      </c>
      <c r="U37" s="20">
        <f>'TE BE'!$U$37*'TE BF'!$U$51</f>
        <v>0</v>
      </c>
      <c r="V37" s="20">
        <f>SUM($S$37:$U$37)</f>
        <v>0</v>
      </c>
      <c r="W37" s="20">
        <f>'TE BE'!$AA$37*'TE BF'!$W$51</f>
        <v>0</v>
      </c>
      <c r="X37" s="20">
        <f>SUM($W$37:$W$37)</f>
        <v>0</v>
      </c>
      <c r="Y37" s="20">
        <f>'TE BE'!$Y$37*'TE BF'!$Y$51</f>
        <v>0.69879920291117947</v>
      </c>
      <c r="Z37" s="20">
        <f>SUM($Y$37:$Y$37)</f>
        <v>0.69879920291117947</v>
      </c>
      <c r="AA37" s="20">
        <f>SUMIF($L$4:$Z$4,"SUBTOTAL",$L$37:$Z$37)</f>
        <v>62.999811240442789</v>
      </c>
    </row>
    <row r="38" spans="1:27" ht="11.25" customHeight="1" x14ac:dyDescent="0.25">
      <c r="A38" s="117" t="s">
        <v>37</v>
      </c>
      <c r="B38" s="117" t="s">
        <v>77</v>
      </c>
      <c r="C38" s="117" t="s">
        <v>25</v>
      </c>
      <c r="D38" s="117" t="s">
        <v>25</v>
      </c>
      <c r="E38" s="117" t="s">
        <v>25</v>
      </c>
      <c r="F38" s="117" t="s">
        <v>25</v>
      </c>
      <c r="G38" s="22" t="s">
        <v>79</v>
      </c>
      <c r="H38" s="22" t="s">
        <v>78</v>
      </c>
      <c r="I38" s="22">
        <f>'MERCADO TE'!$U$35</f>
        <v>8.0860000000000003</v>
      </c>
      <c r="J38" s="15"/>
      <c r="L38" s="20">
        <f>'TE BE'!$L$38*'TE BF'!$L$51</f>
        <v>0</v>
      </c>
      <c r="M38" s="20">
        <f>'TE BE'!$M$38*'TE BF'!$M$51</f>
        <v>26.378319119723734</v>
      </c>
      <c r="N38" s="20">
        <f>'TE BE'!$N$38*'TE BF'!$N$51</f>
        <v>0</v>
      </c>
      <c r="O38" s="20">
        <f>'TE BE'!$O$38*'TE BF'!$O$51</f>
        <v>0.89143504345749702</v>
      </c>
      <c r="P38" s="20">
        <f>SUM($L$38:$O$38)</f>
        <v>27.269754163181233</v>
      </c>
      <c r="Q38" s="20">
        <f>'TE BE'!$Q$38*'TE BF'!$Q$51</f>
        <v>56.843173154606262</v>
      </c>
      <c r="R38" s="20">
        <f>SUM($Q$38:$Q$38)</f>
        <v>56.843173154606262</v>
      </c>
      <c r="S38" s="20">
        <f>'TE BE'!$S$38*'TE BF'!$S$51</f>
        <v>0</v>
      </c>
      <c r="T38" s="20">
        <f>'TE BE'!$T$38*'TE BF'!$T$51</f>
        <v>0</v>
      </c>
      <c r="U38" s="20">
        <f>'TE BE'!$U$38*'TE BF'!$U$51</f>
        <v>0</v>
      </c>
      <c r="V38" s="20">
        <f>SUM($S$38:$U$38)</f>
        <v>0</v>
      </c>
      <c r="W38" s="20">
        <f>'TE BE'!$AA$38*'TE BF'!$W$51</f>
        <v>0</v>
      </c>
      <c r="X38" s="20">
        <f>SUM($W$38:$W$38)</f>
        <v>0</v>
      </c>
      <c r="Y38" s="20">
        <f>'TE BE'!$Y$38*'TE BF'!$Y$51</f>
        <v>0.69879920291117947</v>
      </c>
      <c r="Z38" s="20">
        <f>SUM($Y$38:$Y$38)</f>
        <v>0.69879920291117947</v>
      </c>
      <c r="AA38" s="20">
        <f>SUMIF($L$4:$Z$4,"SUBTOTAL",$L$38:$Z$38)</f>
        <v>84.81172652069867</v>
      </c>
    </row>
    <row r="39" spans="1:27" ht="11.25" customHeight="1" x14ac:dyDescent="0.25">
      <c r="A39" s="117"/>
      <c r="B39" s="117"/>
      <c r="C39" s="117"/>
      <c r="D39" s="117"/>
      <c r="E39" s="117"/>
      <c r="F39" s="117"/>
      <c r="G39" s="22" t="s">
        <v>91</v>
      </c>
      <c r="H39" s="22" t="s">
        <v>78</v>
      </c>
      <c r="I39" s="22">
        <f>'MERCADO TE'!$U$36</f>
        <v>8.0350000000000001</v>
      </c>
      <c r="J39" s="15"/>
      <c r="L39" s="20">
        <f>'TE BE'!$L$39*'TE BF'!$L$51</f>
        <v>0</v>
      </c>
      <c r="M39" s="20">
        <f>'TE BE'!$M$39*'TE BF'!$M$51</f>
        <v>26.378319119723734</v>
      </c>
      <c r="N39" s="20">
        <f>'TE BE'!$N$39*'TE BF'!$N$51</f>
        <v>0</v>
      </c>
      <c r="O39" s="20">
        <f>'TE BE'!$O$39*'TE BF'!$O$51</f>
        <v>0.89143504345749702</v>
      </c>
      <c r="P39" s="20">
        <f>SUM($L$39:$O$39)</f>
        <v>27.269754163181233</v>
      </c>
      <c r="Q39" s="20">
        <f>'TE BE'!$Q$39*'TE BF'!$Q$51</f>
        <v>33.048356485236198</v>
      </c>
      <c r="R39" s="20">
        <f>SUM($Q$39:$Q$39)</f>
        <v>33.048356485236198</v>
      </c>
      <c r="S39" s="20">
        <f>'TE BE'!$S$39*'TE BF'!$S$51</f>
        <v>0</v>
      </c>
      <c r="T39" s="20">
        <f>'TE BE'!$T$39*'TE BF'!$T$51</f>
        <v>0</v>
      </c>
      <c r="U39" s="20">
        <f>'TE BE'!$U$39*'TE BF'!$U$51</f>
        <v>0</v>
      </c>
      <c r="V39" s="20">
        <f>SUM($S$39:$U$39)</f>
        <v>0</v>
      </c>
      <c r="W39" s="20">
        <f>'TE BE'!$AA$39*'TE BF'!$W$51</f>
        <v>0</v>
      </c>
      <c r="X39" s="20">
        <f>SUM($W$39:$W$39)</f>
        <v>0</v>
      </c>
      <c r="Y39" s="20">
        <f>'TE BE'!$Y$39*'TE BF'!$Y$51</f>
        <v>0.69879920291117947</v>
      </c>
      <c r="Z39" s="20">
        <f>SUM($Y$39:$Y$39)</f>
        <v>0.69879920291117947</v>
      </c>
      <c r="AA39" s="20">
        <f>SUMIF($L$4:$Z$4,"SUBTOTAL",$L$39:$Z$39)</f>
        <v>61.016909851328613</v>
      </c>
    </row>
    <row r="40" spans="1:27" ht="11.25" customHeight="1" x14ac:dyDescent="0.25">
      <c r="A40" s="117"/>
      <c r="B40" s="117"/>
      <c r="C40" s="117"/>
      <c r="D40" s="117"/>
      <c r="E40" s="117"/>
      <c r="F40" s="117"/>
      <c r="G40" s="22" t="s">
        <v>80</v>
      </c>
      <c r="H40" s="22" t="s">
        <v>78</v>
      </c>
      <c r="I40" s="22">
        <f>'MERCADO TE'!$U$37</f>
        <v>133.73599999999999</v>
      </c>
      <c r="J40" s="15"/>
      <c r="L40" s="20">
        <f>'TE BE'!$L$40*'TE BF'!$L$51</f>
        <v>0</v>
      </c>
      <c r="M40" s="20">
        <f>'TE BE'!$M$40*'TE BF'!$M$51</f>
        <v>26.378319119723734</v>
      </c>
      <c r="N40" s="20">
        <f>'TE BE'!$N$40*'TE BF'!$N$51</f>
        <v>0</v>
      </c>
      <c r="O40" s="20">
        <f>'TE BE'!$O$40*'TE BF'!$O$51</f>
        <v>0.89143504345749702</v>
      </c>
      <c r="P40" s="20">
        <f>SUM($L$40:$O$40)</f>
        <v>27.269754163181233</v>
      </c>
      <c r="Q40" s="20">
        <f>'TE BE'!$Q$40*'TE BF'!$Q$51</f>
        <v>33.048356485236198</v>
      </c>
      <c r="R40" s="20">
        <f>SUM($Q$40:$Q$40)</f>
        <v>33.048356485236198</v>
      </c>
      <c r="S40" s="20">
        <f>'TE BE'!$S$40*'TE BF'!$S$51</f>
        <v>0</v>
      </c>
      <c r="T40" s="20">
        <f>'TE BE'!$T$40*'TE BF'!$T$51</f>
        <v>0</v>
      </c>
      <c r="U40" s="20">
        <f>'TE BE'!$U$40*'TE BF'!$U$51</f>
        <v>0</v>
      </c>
      <c r="V40" s="20">
        <f>SUM($S$40:$U$40)</f>
        <v>0</v>
      </c>
      <c r="W40" s="20">
        <f>'TE BE'!$AA$40*'TE BF'!$W$51</f>
        <v>0</v>
      </c>
      <c r="X40" s="20">
        <f>SUM($W$40:$W$40)</f>
        <v>0</v>
      </c>
      <c r="Y40" s="20">
        <f>'TE BE'!$Y$40*'TE BF'!$Y$51</f>
        <v>0.69879920291117947</v>
      </c>
      <c r="Z40" s="20">
        <f>SUM($Y$40:$Y$40)</f>
        <v>0.69879920291117947</v>
      </c>
      <c r="AA40" s="20">
        <f>SUMIF($L$4:$Z$4,"SUBTOTAL",$L$40:$Z$40)</f>
        <v>61.016909851328613</v>
      </c>
    </row>
    <row r="41" spans="1:27" ht="11.25" customHeight="1" x14ac:dyDescent="0.25">
      <c r="A41" s="117"/>
      <c r="B41" s="23" t="s">
        <v>86</v>
      </c>
      <c r="C41" s="23" t="s">
        <v>25</v>
      </c>
      <c r="D41" s="23" t="s">
        <v>25</v>
      </c>
      <c r="E41" s="23" t="s">
        <v>25</v>
      </c>
      <c r="F41" s="23" t="s">
        <v>25</v>
      </c>
      <c r="G41" s="22" t="s">
        <v>84</v>
      </c>
      <c r="H41" s="22" t="s">
        <v>78</v>
      </c>
      <c r="I41" s="22">
        <f>'MERCADO TE'!$U$38</f>
        <v>94039.850999999995</v>
      </c>
      <c r="J41" s="15"/>
      <c r="L41" s="20">
        <f>'TE BE'!$L$41*'TE BF'!$L$51</f>
        <v>0</v>
      </c>
      <c r="M41" s="20">
        <f>'TE BE'!$M$41*'TE BF'!$M$51</f>
        <v>26.378319119723734</v>
      </c>
      <c r="N41" s="20">
        <f>'TE BE'!$N$41*'TE BF'!$N$51</f>
        <v>0</v>
      </c>
      <c r="O41" s="20">
        <f>'TE BE'!$O$41*'TE BF'!$O$51</f>
        <v>0.89143504345749702</v>
      </c>
      <c r="P41" s="20">
        <f>SUM($L$41:$O$41)</f>
        <v>27.269754163181233</v>
      </c>
      <c r="Q41" s="20">
        <f>'TE BE'!$Q$41*'TE BF'!$Q$51</f>
        <v>35.031257874350374</v>
      </c>
      <c r="R41" s="20">
        <f>SUM($Q$41:$Q$41)</f>
        <v>35.031257874350374</v>
      </c>
      <c r="S41" s="20">
        <f>'TE BE'!$S$41*'TE BF'!$S$51</f>
        <v>0</v>
      </c>
      <c r="T41" s="20">
        <f>'TE BE'!$T$41*'TE BF'!$T$51</f>
        <v>0</v>
      </c>
      <c r="U41" s="20">
        <f>'TE BE'!$U$41*'TE BF'!$U$51</f>
        <v>0</v>
      </c>
      <c r="V41" s="20">
        <f>SUM($S$41:$U$41)</f>
        <v>0</v>
      </c>
      <c r="W41" s="20">
        <f>'TE BE'!$AA$41*'TE BF'!$W$51</f>
        <v>0</v>
      </c>
      <c r="X41" s="20">
        <f>SUM($W$41:$W$41)</f>
        <v>0</v>
      </c>
      <c r="Y41" s="20">
        <f>'TE BE'!$Y$41*'TE BF'!$Y$51</f>
        <v>0.69879920291117947</v>
      </c>
      <c r="Z41" s="20">
        <f>SUM($Y$41:$Y$41)</f>
        <v>0.69879920291117947</v>
      </c>
      <c r="AA41" s="20">
        <f>SUMIF($L$4:$Z$4,"SUBTOTAL",$L$41:$Z$41)</f>
        <v>62.999811240442789</v>
      </c>
    </row>
    <row r="42" spans="1:27" ht="11.25" customHeight="1" x14ac:dyDescent="0.25">
      <c r="A42" s="117"/>
      <c r="B42" s="23" t="s">
        <v>92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84</v>
      </c>
      <c r="H42" s="22" t="s">
        <v>78</v>
      </c>
      <c r="I42" s="22">
        <f>'MERCADO TE'!$U$39</f>
        <v>0</v>
      </c>
      <c r="J42" s="15"/>
      <c r="L42" s="20">
        <f>'TE BE'!$L$42*'TE BF'!$L$51</f>
        <v>0</v>
      </c>
      <c r="M42" s="20">
        <f>'TE BE'!$M$42*'TE BF'!$M$51</f>
        <v>26.378319119723734</v>
      </c>
      <c r="N42" s="20">
        <f>'TE BE'!$N$42*'TE BF'!$N$51</f>
        <v>0</v>
      </c>
      <c r="O42" s="20">
        <f>'TE BE'!$O$42*'TE BF'!$O$51</f>
        <v>0.89143504345749702</v>
      </c>
      <c r="P42" s="20">
        <f>SUM($L$42:$O$42)</f>
        <v>27.269754163181233</v>
      </c>
      <c r="Q42" s="20">
        <f>'TE BE'!$Q$42*'TE BF'!$Q$51</f>
        <v>35.031257874350374</v>
      </c>
      <c r="R42" s="20">
        <f>SUM($Q$42:$Q$42)</f>
        <v>35.031257874350374</v>
      </c>
      <c r="S42" s="20">
        <f>'TE BE'!$S$42*'TE BF'!$S$51</f>
        <v>0</v>
      </c>
      <c r="T42" s="20">
        <f>'TE BE'!$T$42*'TE BF'!$T$51</f>
        <v>0</v>
      </c>
      <c r="U42" s="20">
        <f>'TE BE'!$U$42*'TE BF'!$U$51</f>
        <v>0</v>
      </c>
      <c r="V42" s="20">
        <f>SUM($S$42:$U$42)</f>
        <v>0</v>
      </c>
      <c r="W42" s="20">
        <f>'TE BE'!$AA$42*'TE BF'!$W$51</f>
        <v>0</v>
      </c>
      <c r="X42" s="20">
        <f>SUM($W$42:$W$42)</f>
        <v>0</v>
      </c>
      <c r="Y42" s="20">
        <f>'TE BE'!$Y$42*'TE BF'!$Y$51</f>
        <v>0.69879920291117947</v>
      </c>
      <c r="Z42" s="20">
        <f>SUM($Y$42:$Y$42)</f>
        <v>0.69879920291117947</v>
      </c>
      <c r="AA42" s="20">
        <f>SUMIF($L$4:$Z$4,"SUBTOTAL",$L$42:$Z$42)</f>
        <v>62.999811240442789</v>
      </c>
    </row>
    <row r="43" spans="1:27" ht="11.25" customHeight="1" x14ac:dyDescent="0.25">
      <c r="A43" s="117" t="s">
        <v>46</v>
      </c>
      <c r="B43" s="117" t="s">
        <v>86</v>
      </c>
      <c r="C43" s="117" t="s">
        <v>47</v>
      </c>
      <c r="D43" s="23" t="s">
        <v>48</v>
      </c>
      <c r="E43" s="23" t="s">
        <v>25</v>
      </c>
      <c r="F43" s="23" t="s">
        <v>25</v>
      </c>
      <c r="G43" s="22" t="s">
        <v>84</v>
      </c>
      <c r="H43" s="22" t="s">
        <v>78</v>
      </c>
      <c r="I43" s="22">
        <f>'MERCADO TE'!$U$40</f>
        <v>35555.334999999999</v>
      </c>
      <c r="J43" s="15"/>
      <c r="L43" s="20">
        <f>'TE BE'!$L$43*'TE BF'!$L$51</f>
        <v>0</v>
      </c>
      <c r="M43" s="20">
        <f>'TE BE'!$M$43*'TE BF'!$M$51</f>
        <v>14.508075515848056</v>
      </c>
      <c r="N43" s="20">
        <f>'TE BE'!$N$43*'TE BF'!$N$51</f>
        <v>0</v>
      </c>
      <c r="O43" s="20">
        <f>'TE BE'!$O$43*'TE BF'!$O$51</f>
        <v>0.49028927390162336</v>
      </c>
      <c r="P43" s="20">
        <f>SUM($L$43:$O$43)</f>
        <v>14.998364789749679</v>
      </c>
      <c r="Q43" s="20">
        <f>'TE BE'!$Q$43*'TE BF'!$Q$51</f>
        <v>19.26719183089271</v>
      </c>
      <c r="R43" s="20">
        <f>SUM($Q$43:$Q$43)</f>
        <v>19.26719183089271</v>
      </c>
      <c r="S43" s="20">
        <f>'TE BE'!$S$43*'TE BF'!$S$51</f>
        <v>0</v>
      </c>
      <c r="T43" s="20">
        <f>'TE BE'!$T$43*'TE BF'!$T$51</f>
        <v>0</v>
      </c>
      <c r="U43" s="20">
        <f>'TE BE'!$U$43*'TE BF'!$U$51</f>
        <v>0</v>
      </c>
      <c r="V43" s="20">
        <f>SUM($S$43:$U$43)</f>
        <v>0</v>
      </c>
      <c r="W43" s="20">
        <f>'TE BE'!$AA$43*'TE BF'!$W$51</f>
        <v>0</v>
      </c>
      <c r="X43" s="20">
        <f>SUM($W$43:$W$43)</f>
        <v>0</v>
      </c>
      <c r="Y43" s="20">
        <f>'TE BE'!$Y$43*'TE BF'!$Y$51</f>
        <v>0.38433956160114879</v>
      </c>
      <c r="Z43" s="20">
        <f>SUM($Y$43:$Y$43)</f>
        <v>0.38433956160114879</v>
      </c>
      <c r="AA43" s="20">
        <f>SUMIF($L$4:$Z$4,"SUBTOTAL",$L$43:$Z$43)</f>
        <v>34.649896182243538</v>
      </c>
    </row>
    <row r="44" spans="1:27" ht="11.25" customHeight="1" x14ac:dyDescent="0.25">
      <c r="A44" s="117"/>
      <c r="B44" s="117"/>
      <c r="C44" s="117"/>
      <c r="D44" s="22" t="s">
        <v>96</v>
      </c>
      <c r="E44" s="22" t="s">
        <v>25</v>
      </c>
      <c r="F44" s="22" t="s">
        <v>25</v>
      </c>
      <c r="G44" s="22" t="s">
        <v>84</v>
      </c>
      <c r="H44" s="22" t="s">
        <v>78</v>
      </c>
      <c r="I44" s="22">
        <f>'MERCADO TE'!$U$41</f>
        <v>0</v>
      </c>
      <c r="J44" s="15"/>
      <c r="L44" s="20">
        <f>'TE BE'!$L$44*'TE BF'!$L$51</f>
        <v>0</v>
      </c>
      <c r="M44" s="20">
        <f>'TE BE'!$M$44*'TE BF'!$M$51</f>
        <v>15.826991471834241</v>
      </c>
      <c r="N44" s="20">
        <f>'TE BE'!$N$44*'TE BF'!$N$51</f>
        <v>0</v>
      </c>
      <c r="O44" s="20">
        <f>'TE BE'!$O$44*'TE BF'!$O$51</f>
        <v>0.53486102607449815</v>
      </c>
      <c r="P44" s="20">
        <f>SUM($L$44:$O$44)</f>
        <v>16.361852497908739</v>
      </c>
      <c r="Q44" s="20">
        <f>'TE BE'!$Q$44*'TE BF'!$Q$51</f>
        <v>21.018754724610222</v>
      </c>
      <c r="R44" s="20">
        <f>SUM($Q$44:$Q$44)</f>
        <v>21.018754724610222</v>
      </c>
      <c r="S44" s="20">
        <f>'TE BE'!$S$44*'TE BF'!$S$51</f>
        <v>0</v>
      </c>
      <c r="T44" s="20">
        <f>'TE BE'!$T$44*'TE BF'!$T$51</f>
        <v>0</v>
      </c>
      <c r="U44" s="20">
        <f>'TE BE'!$U$44*'TE BF'!$U$51</f>
        <v>0</v>
      </c>
      <c r="V44" s="20">
        <f>SUM($S$44:$U$44)</f>
        <v>0</v>
      </c>
      <c r="W44" s="20">
        <f>'TE BE'!$AA$44*'TE BF'!$W$51</f>
        <v>0</v>
      </c>
      <c r="X44" s="20">
        <f>SUM($W$44:$W$44)</f>
        <v>0</v>
      </c>
      <c r="Y44" s="20">
        <f>'TE BE'!$Y$44*'TE BF'!$Y$51</f>
        <v>0.41927952174670768</v>
      </c>
      <c r="Z44" s="20">
        <f>SUM($Y$44:$Y$44)</f>
        <v>0.41927952174670768</v>
      </c>
      <c r="AA44" s="20">
        <f>SUMIF($L$4:$Z$4,"SUBTOTAL",$L$44:$Z$44)</f>
        <v>37.79988674426567</v>
      </c>
    </row>
    <row r="46" spans="1:27" ht="11.25" customHeight="1" x14ac:dyDescent="0.25">
      <c r="K46" s="25" t="s">
        <v>838</v>
      </c>
      <c r="L46" s="20">
        <f t="shared" ref="L46:AA46" si="0">SUMPRODUCT($I$5:$I$44,L$5:L$44)</f>
        <v>0</v>
      </c>
      <c r="M46" s="20">
        <f t="shared" si="0"/>
        <v>14248386.378264371</v>
      </c>
      <c r="N46" s="20">
        <f t="shared" si="0"/>
        <v>0</v>
      </c>
      <c r="O46" s="20">
        <f t="shared" si="0"/>
        <v>481513.2788658269</v>
      </c>
      <c r="P46" s="20">
        <f t="shared" si="0"/>
        <v>14729899.657130204</v>
      </c>
      <c r="Q46" s="20">
        <f t="shared" si="0"/>
        <v>18883705.255231392</v>
      </c>
      <c r="R46" s="20">
        <f t="shared" si="0"/>
        <v>18883705.255231392</v>
      </c>
      <c r="S46" s="20">
        <f t="shared" si="0"/>
        <v>0</v>
      </c>
      <c r="T46" s="20">
        <f t="shared" si="0"/>
        <v>0</v>
      </c>
      <c r="U46" s="20">
        <f t="shared" si="0"/>
        <v>0</v>
      </c>
      <c r="V46" s="20">
        <f t="shared" si="0"/>
        <v>0</v>
      </c>
      <c r="W46" s="20">
        <f t="shared" si="0"/>
        <v>0</v>
      </c>
      <c r="X46" s="20">
        <f t="shared" si="0"/>
        <v>0</v>
      </c>
      <c r="Y46" s="20">
        <f t="shared" si="0"/>
        <v>377460.02687702456</v>
      </c>
      <c r="Z46" s="20">
        <f t="shared" si="0"/>
        <v>377460.02687702456</v>
      </c>
      <c r="AA46" s="20">
        <f t="shared" si="0"/>
        <v>33991064.939238615</v>
      </c>
    </row>
    <row r="47" spans="1:27" ht="11.25" customHeight="1" x14ac:dyDescent="0.25">
      <c r="K47" s="25" t="s">
        <v>757</v>
      </c>
      <c r="L47" s="20">
        <f>CUSTOS!$D$30</f>
        <v>1361907.2732086293</v>
      </c>
      <c r="M47" s="20">
        <f>CUSTOS!$D$31</f>
        <v>7600610.5099999998</v>
      </c>
      <c r="N47" s="20">
        <f>CUSTOS!$D$32</f>
        <v>0</v>
      </c>
      <c r="O47" s="20">
        <f>CUSTOS!$D$33</f>
        <v>4137875.6562601286</v>
      </c>
      <c r="P47" s="20">
        <f>CUSTOS!$D$34</f>
        <v>13100393.439468758</v>
      </c>
      <c r="Q47" s="20">
        <f>CUSTOS!$D$35</f>
        <v>113597589.71507731</v>
      </c>
      <c r="R47" s="20">
        <f>CUSTOS!$D$36</f>
        <v>113597589.71507731</v>
      </c>
      <c r="S47" s="20">
        <f>CUSTOS!$D$37</f>
        <v>0</v>
      </c>
      <c r="T47" s="20">
        <f>CUSTOS!$D$38</f>
        <v>0</v>
      </c>
      <c r="U47" s="20">
        <f>CUSTOS!$D$39</f>
        <v>9.9999999999999995E-7</v>
      </c>
      <c r="V47" s="20">
        <f>CUSTOS!$D$40</f>
        <v>9.9999999999999995E-7</v>
      </c>
      <c r="W47" s="20">
        <f>CUSTOS!$D$41</f>
        <v>0</v>
      </c>
      <c r="X47" s="20">
        <f>CUSTOS!$D$42</f>
        <v>0</v>
      </c>
      <c r="Y47" s="20">
        <f>CUSTOS!$D$43</f>
        <v>2270663.9765593451</v>
      </c>
      <c r="Z47" s="20">
        <f>CUSTOS!$D$44</f>
        <v>2270663.9765593451</v>
      </c>
      <c r="AA47" s="20">
        <f>CUSTOS!$D$45</f>
        <v>128968647.13110641</v>
      </c>
    </row>
    <row r="48" spans="1:27" ht="11.25" customHeight="1" x14ac:dyDescent="0.25">
      <c r="K48" s="25" t="s">
        <v>758</v>
      </c>
      <c r="L48" s="20">
        <f>CUSTOS!$E$30</f>
        <v>0</v>
      </c>
      <c r="M48" s="20">
        <f>CUSTOS!$E$31</f>
        <v>-10311704.379364343</v>
      </c>
      <c r="N48" s="20">
        <f>CUSTOS!$E$32</f>
        <v>0</v>
      </c>
      <c r="O48" s="20">
        <f>CUSTOS!$E$33</f>
        <v>-128313.97875302432</v>
      </c>
      <c r="P48" s="20">
        <f>CUSTOS!$E$34</f>
        <v>-10440018.358117368</v>
      </c>
      <c r="Q48" s="20">
        <f>CUSTOS!$E$35</f>
        <v>-6488150.3339097109</v>
      </c>
      <c r="R48" s="20">
        <f>CUSTOS!$E$36</f>
        <v>-6488150.3339097109</v>
      </c>
      <c r="S48" s="20">
        <f>CUSTOS!$E$37</f>
        <v>0</v>
      </c>
      <c r="T48" s="20">
        <f>CUSTOS!$E$38</f>
        <v>0</v>
      </c>
      <c r="U48" s="20">
        <f>CUSTOS!$E$39</f>
        <v>0</v>
      </c>
      <c r="V48" s="20">
        <f>CUSTOS!$E$40</f>
        <v>0</v>
      </c>
      <c r="W48" s="20">
        <f>CUSTOS!$E$41</f>
        <v>-10672736.968934506</v>
      </c>
      <c r="X48" s="20">
        <f>CUSTOS!$E$42</f>
        <v>-10672736.968934506</v>
      </c>
      <c r="Y48" s="20">
        <f>CUSTOS!$E$43</f>
        <v>-129689.4526957987</v>
      </c>
      <c r="Z48" s="20">
        <f>CUSTOS!$E$44</f>
        <v>-129689.4526957987</v>
      </c>
      <c r="AA48" s="20">
        <f>CUSTOS!$E$45</f>
        <v>-27730595.113657381</v>
      </c>
    </row>
    <row r="49" spans="11:27" ht="11.25" customHeight="1" x14ac:dyDescent="0.25">
      <c r="K49" s="25" t="s">
        <v>759</v>
      </c>
      <c r="L49" s="20">
        <f>CUSTOS!$F$30</f>
        <v>0</v>
      </c>
      <c r="M49" s="20">
        <f>CUSTOS!$F$31</f>
        <v>14248386.378264379</v>
      </c>
      <c r="N49" s="20">
        <f>CUSTOS!$F$32</f>
        <v>0</v>
      </c>
      <c r="O49" s="20">
        <f>CUSTOS!$F$33</f>
        <v>481513.27886582719</v>
      </c>
      <c r="P49" s="20">
        <f>CUSTOS!$F$34</f>
        <v>14729899.657130206</v>
      </c>
      <c r="Q49" s="20">
        <f>CUSTOS!$F$35</f>
        <v>18883705.255231388</v>
      </c>
      <c r="R49" s="20">
        <f>CUSTOS!$F$36</f>
        <v>18883705.255231388</v>
      </c>
      <c r="S49" s="20">
        <f>CUSTOS!$F$37</f>
        <v>0</v>
      </c>
      <c r="T49" s="20">
        <f>CUSTOS!$F$38</f>
        <v>0</v>
      </c>
      <c r="U49" s="20">
        <f>CUSTOS!$F$39</f>
        <v>0</v>
      </c>
      <c r="V49" s="20">
        <f>CUSTOS!$F$40</f>
        <v>0</v>
      </c>
      <c r="W49" s="20">
        <f>CUSTOS!$F$41</f>
        <v>0</v>
      </c>
      <c r="X49" s="20">
        <f>CUSTOS!$F$42</f>
        <v>0</v>
      </c>
      <c r="Y49" s="20">
        <f>CUSTOS!$F$43</f>
        <v>377460.02687702473</v>
      </c>
      <c r="Z49" s="20">
        <f>CUSTOS!$F$44</f>
        <v>377460.02687702473</v>
      </c>
      <c r="AA49" s="20">
        <f>CUSTOS!$F$45</f>
        <v>33991064.939238615</v>
      </c>
    </row>
    <row r="50" spans="11:27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 spans="11:27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 spans="11:27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</sheetData>
  <mergeCells count="67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930" priority="31" operator="notEqual">
      <formula>$L$49</formula>
    </cfRule>
    <cfRule type="cellIs" dxfId="929" priority="32" operator="equal">
      <formula>$L$49</formula>
    </cfRule>
  </conditionalFormatting>
  <conditionalFormatting sqref="M46">
    <cfRule type="cellIs" dxfId="928" priority="29" operator="notEqual">
      <formula>$M$49</formula>
    </cfRule>
    <cfRule type="cellIs" dxfId="927" priority="30" operator="equal">
      <formula>$M$49</formula>
    </cfRule>
  </conditionalFormatting>
  <conditionalFormatting sqref="N46">
    <cfRule type="cellIs" dxfId="926" priority="27" operator="notEqual">
      <formula>$N$49</formula>
    </cfRule>
    <cfRule type="cellIs" dxfId="925" priority="28" operator="equal">
      <formula>$N$49</formula>
    </cfRule>
  </conditionalFormatting>
  <conditionalFormatting sqref="O46">
    <cfRule type="cellIs" dxfId="924" priority="25" operator="notEqual">
      <formula>$O$49</formula>
    </cfRule>
    <cfRule type="cellIs" dxfId="923" priority="26" operator="equal">
      <formula>$O$49</formula>
    </cfRule>
  </conditionalFormatting>
  <conditionalFormatting sqref="P46">
    <cfRule type="cellIs" dxfId="922" priority="23" operator="notEqual">
      <formula>$P$49</formula>
    </cfRule>
    <cfRule type="cellIs" dxfId="921" priority="24" operator="equal">
      <formula>$P$49</formula>
    </cfRule>
  </conditionalFormatting>
  <conditionalFormatting sqref="Q46">
    <cfRule type="cellIs" dxfId="920" priority="21" operator="notEqual">
      <formula>$Q$49</formula>
    </cfRule>
    <cfRule type="cellIs" dxfId="919" priority="22" operator="equal">
      <formula>$Q$49</formula>
    </cfRule>
  </conditionalFormatting>
  <conditionalFormatting sqref="R46">
    <cfRule type="cellIs" dxfId="918" priority="19" operator="notEqual">
      <formula>$R$49</formula>
    </cfRule>
    <cfRule type="cellIs" dxfId="917" priority="20" operator="equal">
      <formula>$R$49</formula>
    </cfRule>
  </conditionalFormatting>
  <conditionalFormatting sqref="S46">
    <cfRule type="cellIs" dxfId="916" priority="17" operator="notEqual">
      <formula>$S$49</formula>
    </cfRule>
    <cfRule type="cellIs" dxfId="915" priority="18" operator="equal">
      <formula>$S$49</formula>
    </cfRule>
  </conditionalFormatting>
  <conditionalFormatting sqref="T46">
    <cfRule type="cellIs" dxfId="914" priority="15" operator="notEqual">
      <formula>$T$49</formula>
    </cfRule>
    <cfRule type="cellIs" dxfId="913" priority="16" operator="equal">
      <formula>$T$49</formula>
    </cfRule>
  </conditionalFormatting>
  <conditionalFormatting sqref="U46">
    <cfRule type="cellIs" dxfId="912" priority="13" operator="notEqual">
      <formula>$U$49</formula>
    </cfRule>
    <cfRule type="cellIs" dxfId="911" priority="14" operator="equal">
      <formula>$U$49</formula>
    </cfRule>
  </conditionalFormatting>
  <conditionalFormatting sqref="V46">
    <cfRule type="cellIs" dxfId="910" priority="11" operator="notEqual">
      <formula>$V$49</formula>
    </cfRule>
    <cfRule type="cellIs" dxfId="909" priority="12" operator="equal">
      <formula>$V$49</formula>
    </cfRule>
  </conditionalFormatting>
  <conditionalFormatting sqref="W46">
    <cfRule type="cellIs" dxfId="908" priority="9" operator="notEqual">
      <formula>$W$49</formula>
    </cfRule>
    <cfRule type="cellIs" dxfId="907" priority="10" operator="equal">
      <formula>$W$49</formula>
    </cfRule>
  </conditionalFormatting>
  <conditionalFormatting sqref="X46">
    <cfRule type="cellIs" dxfId="906" priority="7" operator="notEqual">
      <formula>$X$49</formula>
    </cfRule>
    <cfRule type="cellIs" dxfId="905" priority="8" operator="equal">
      <formula>$X$49</formula>
    </cfRule>
  </conditionalFormatting>
  <conditionalFormatting sqref="Y46">
    <cfRule type="cellIs" dxfId="904" priority="5" operator="notEqual">
      <formula>$Y$49</formula>
    </cfRule>
    <cfRule type="cellIs" dxfId="903" priority="6" operator="equal">
      <formula>$Y$49</formula>
    </cfRule>
  </conditionalFormatting>
  <conditionalFormatting sqref="Z46">
    <cfRule type="cellIs" dxfId="902" priority="3" operator="notEqual">
      <formula>$Z$49</formula>
    </cfRule>
    <cfRule type="cellIs" dxfId="901" priority="4" operator="equal">
      <formula>$Z$49</formula>
    </cfRule>
  </conditionalFormatting>
  <conditionalFormatting sqref="AA46">
    <cfRule type="cellIs" dxfId="900" priority="1" operator="notEqual">
      <formula>$AA$49</formula>
    </cfRule>
    <cfRule type="cellIs" dxfId="899" priority="2" operator="equal">
      <formula>$AA$49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E8C85-8E55-493C-AC85-6069FCED06DE}">
  <dimension ref="A1:BA1214"/>
  <sheetViews>
    <sheetView showGridLines="0" topLeftCell="AH1" workbookViewId="0">
      <selection activeCell="BA19" sqref="BA19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2.28515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6" width="11.7109375" style="4" bestFit="1" customWidth="1"/>
    <col min="47" max="47" width="12.85546875" style="4" bestFit="1" customWidth="1"/>
    <col min="48" max="48" width="9.28515625" style="4" bestFit="1" customWidth="1"/>
    <col min="49" max="49" width="9" style="4" customWidth="1"/>
    <col min="50" max="50" width="18" style="4" hidden="1" customWidth="1"/>
    <col min="51" max="51" width="9.140625" style="4" hidden="1" customWidth="1"/>
    <col min="52" max="52" width="11.7109375" style="4" bestFit="1" customWidth="1"/>
    <col min="53" max="16384" width="9.140625" style="4"/>
  </cols>
  <sheetData>
    <row r="1" spans="1:5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863</v>
      </c>
      <c r="W1" s="1" t="s">
        <v>864</v>
      </c>
      <c r="X1" s="1" t="s">
        <v>865</v>
      </c>
      <c r="Y1" s="1" t="s">
        <v>866</v>
      </c>
      <c r="Z1" s="1" t="s">
        <v>867</v>
      </c>
      <c r="AA1" s="1" t="s">
        <v>868</v>
      </c>
      <c r="AB1" s="1" t="s">
        <v>882</v>
      </c>
      <c r="AC1" s="1" t="s">
        <v>883</v>
      </c>
      <c r="AD1" s="1" t="s">
        <v>884</v>
      </c>
      <c r="AE1" s="1" t="s">
        <v>885</v>
      </c>
      <c r="AF1" s="1" t="s">
        <v>886</v>
      </c>
      <c r="AG1" s="1" t="s">
        <v>887</v>
      </c>
      <c r="AI1" s="34" t="s">
        <v>68</v>
      </c>
      <c r="AJ1" s="34" t="s">
        <v>888</v>
      </c>
      <c r="AK1" s="34" t="s">
        <v>889</v>
      </c>
      <c r="AL1" s="34" t="s">
        <v>890</v>
      </c>
      <c r="AN1" s="34" t="s">
        <v>68</v>
      </c>
      <c r="AO1" s="34" t="s">
        <v>891</v>
      </c>
      <c r="AP1" s="34" t="s">
        <v>892</v>
      </c>
      <c r="AQ1" s="34" t="s">
        <v>890</v>
      </c>
      <c r="AS1" s="34" t="s">
        <v>68</v>
      </c>
      <c r="AT1" s="34" t="s">
        <v>893</v>
      </c>
      <c r="AU1" s="34" t="s">
        <v>894</v>
      </c>
      <c r="AV1" s="34" t="s">
        <v>890</v>
      </c>
      <c r="AX1" s="60" t="s">
        <v>1377</v>
      </c>
      <c r="AY1" s="61" t="s">
        <v>68</v>
      </c>
      <c r="AZ1" s="34" t="s">
        <v>894</v>
      </c>
      <c r="BA1" s="34" t="s">
        <v>890</v>
      </c>
    </row>
    <row r="2" spans="1:53" ht="11.25" customHeight="1" x14ac:dyDescent="0.25">
      <c r="A2" s="4" t="s">
        <v>21</v>
      </c>
      <c r="B2" s="4" t="s">
        <v>56</v>
      </c>
      <c r="C2" s="4" t="s">
        <v>40</v>
      </c>
      <c r="D2" s="4" t="s">
        <v>38</v>
      </c>
      <c r="E2" s="4" t="s">
        <v>25</v>
      </c>
      <c r="F2" s="4" t="s">
        <v>25</v>
      </c>
      <c r="G2" s="4" t="s">
        <v>25</v>
      </c>
      <c r="H2" s="4" t="s">
        <v>35</v>
      </c>
      <c r="I2" s="5">
        <v>44228</v>
      </c>
      <c r="J2" s="6">
        <v>9989</v>
      </c>
      <c r="K2" s="6">
        <v>9989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6">
        <v>4</v>
      </c>
      <c r="T2" s="6">
        <v>0</v>
      </c>
      <c r="U2" s="6">
        <v>0</v>
      </c>
      <c r="V2" s="6">
        <f>IF(ISERROR(VLOOKUP($S$2,'TAR FIN'!$A$1:$O$100,15,0)),0,VLOOKUP($S$2,'TAR FIN'!$A$1:$O$100,15,0))</f>
        <v>6.72</v>
      </c>
      <c r="W2" s="6">
        <f>IF(ISERROR(VLOOKUP($T$2,'TAR FIN'!$A$1:$O$100,15,0)),0,VLOOKUP($T$2,'TAR FIN'!$A$1:$O$100,15,0))</f>
        <v>0</v>
      </c>
      <c r="X2" s="6">
        <f>IF(ISERROR(VLOOKUP($U$2,'TAR FIN'!$A$1:$O$100,15,0)),0,VLOOKUP($U$2,'TAR FIN'!$A$1:$O$100,15,0))</f>
        <v>0</v>
      </c>
      <c r="Y2" s="6">
        <f ca="1">('TUSD BE'!$AM$6+'TUSD BF'!$AM$6+'TUSD CVA'!$AM$6)*1</f>
        <v>5.6704195816103056</v>
      </c>
      <c r="Z2" s="6">
        <f ca="1">('TUSD BE'!$AM$7+'TUSD BF'!$AM$7+'TUSD CVA'!$AM$7)*1</f>
        <v>37.836636027903069</v>
      </c>
      <c r="AA2" s="6"/>
      <c r="AB2" s="6">
        <f>$K$2*$V$2</f>
        <v>67126.080000000002</v>
      </c>
      <c r="AC2" s="6">
        <f>$M$2*$W$2</f>
        <v>0</v>
      </c>
      <c r="AD2" s="6">
        <f>$O$2*$X$2</f>
        <v>0</v>
      </c>
      <c r="AE2" s="6">
        <f ca="1">$K$2*$Y$2</f>
        <v>56641.821200705344</v>
      </c>
      <c r="AF2" s="6">
        <f ca="1">$M$2*$Z$2</f>
        <v>0</v>
      </c>
      <c r="AG2" s="6">
        <f>$O$2*$AA$2</f>
        <v>0</v>
      </c>
      <c r="AI2" s="35" t="s">
        <v>56</v>
      </c>
      <c r="AJ2" s="36">
        <f t="shared" ref="AJ2:AJ7" si="0">SUMIF($B$2:$B$1214,AI2,$AB$2:$AB$1214)+SUMIF($B$2:$B$1214,AI2,$AC$2:$AC$1214)</f>
        <v>9191648.4155200012</v>
      </c>
      <c r="AK2" s="36">
        <f t="shared" ref="AK2:AK7" ca="1" si="1">SUMIF($B$2:$B$1214,AI2,$AE$2:$AE$1214)+SUMIF($B$2:$B$1214,AI2,$AF$2:$AF$1214)</f>
        <v>8914906.2595870327</v>
      </c>
      <c r="AL2" s="37">
        <f t="shared" ref="AL2:AL10" ca="1" si="2">IF(AJ2&lt;&gt;0,AK2/AJ2-1,0)</f>
        <v>-3.0108000591677619E-2</v>
      </c>
      <c r="AN2" s="35" t="s">
        <v>56</v>
      </c>
      <c r="AO2" s="36">
        <f t="shared" ref="AO2:AO7" si="3">SUMIF($B$2:$B$1214,AN2,$AD$2:$AD$1214)</f>
        <v>0</v>
      </c>
      <c r="AP2" s="36">
        <f t="shared" ref="AP2:AP7" si="4">SUMIF($B$2:$B$1214,AN2,$AG$2:$AG$1214)</f>
        <v>0</v>
      </c>
      <c r="AQ2" s="37">
        <f t="shared" ref="AQ2:AQ10" si="5">IF(AO2&lt;&gt;0,AP2/AO2-1,0)</f>
        <v>0</v>
      </c>
      <c r="AS2" s="35" t="s">
        <v>56</v>
      </c>
      <c r="AT2" s="36">
        <f t="shared" ref="AT2:AT7" si="6">SUMIF($B$2:$B$1214,AS2,$AB$2:$AB$1214)+SUMIF($B$2:$B$1214,AS2,$AC$2:$AC$1214)+SUMIF($B$2:$B$1214,AS2,$AD$2:$AD$1214)</f>
        <v>9191648.4155200012</v>
      </c>
      <c r="AU2" s="36">
        <f t="shared" ref="AU2:AU7" ca="1" si="7">SUMIF($B$2:$B$1214,AS2,$AE$2:$AE$1214)+SUMIF($B$2:$B$1214,AS2,$AF$2:$AF$1214)+SUMIF($B$2:$B$1214,AS2,$AG$2:$AG$1214)</f>
        <v>8914906.2595870327</v>
      </c>
      <c r="AV2" s="37">
        <f t="shared" ref="AV2:AV10" ca="1" si="8">IF(AT2&lt;&gt;0,AU2/AT2-1,0)</f>
        <v>-3.0108000591677619E-2</v>
      </c>
      <c r="AX2" s="62"/>
      <c r="AY2" s="63" t="s">
        <v>56</v>
      </c>
      <c r="AZ2" s="36">
        <v>9193161.5009381454</v>
      </c>
      <c r="BA2" s="37">
        <f ca="1">+AU2/AZ2-1</f>
        <v>-3.0267633318822651E-2</v>
      </c>
    </row>
    <row r="3" spans="1:53" ht="11.25" customHeight="1" x14ac:dyDescent="0.25">
      <c r="A3" s="4" t="s">
        <v>21</v>
      </c>
      <c r="B3" s="4" t="s">
        <v>56</v>
      </c>
      <c r="C3" s="4" t="s">
        <v>40</v>
      </c>
      <c r="D3" s="4" t="s">
        <v>38</v>
      </c>
      <c r="E3" s="4" t="s">
        <v>25</v>
      </c>
      <c r="F3" s="4" t="s">
        <v>25</v>
      </c>
      <c r="G3" s="4" t="s">
        <v>25</v>
      </c>
      <c r="H3" s="4" t="s">
        <v>35</v>
      </c>
      <c r="I3" s="5">
        <v>44256</v>
      </c>
      <c r="J3" s="6">
        <v>9976</v>
      </c>
      <c r="K3" s="6">
        <v>9976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6">
        <v>4</v>
      </c>
      <c r="T3" s="6">
        <v>0</v>
      </c>
      <c r="U3" s="6">
        <v>0</v>
      </c>
      <c r="V3" s="6">
        <f>IF(ISERROR(VLOOKUP($S$3,'TAR FIN'!$A$1:$O$100,15,0)),0,VLOOKUP($S$3,'TAR FIN'!$A$1:$O$100,15,0))</f>
        <v>6.72</v>
      </c>
      <c r="W3" s="6">
        <f>IF(ISERROR(VLOOKUP($T$3,'TAR FIN'!$A$1:$O$100,15,0)),0,VLOOKUP($T$3,'TAR FIN'!$A$1:$O$100,15,0))</f>
        <v>0</v>
      </c>
      <c r="X3" s="6">
        <f>IF(ISERROR(VLOOKUP($U$3,'TAR FIN'!$A$1:$O$100,15,0)),0,VLOOKUP($U$3,'TAR FIN'!$A$1:$O$100,15,0))</f>
        <v>0</v>
      </c>
      <c r="Y3" s="6">
        <f ca="1">('TUSD BE'!$AM$6+'TUSD BF'!$AM$6+'TUSD CVA'!$AM$6)*1</f>
        <v>5.6704195816103056</v>
      </c>
      <c r="Z3" s="6">
        <f ca="1">('TUSD BE'!$AM$7+'TUSD BF'!$AM$7+'TUSD CVA'!$AM$7)*1</f>
        <v>37.836636027903069</v>
      </c>
      <c r="AA3" s="6"/>
      <c r="AB3" s="6">
        <f>$K$3*$V$3</f>
        <v>67038.720000000001</v>
      </c>
      <c r="AC3" s="6">
        <f>$M$3*$W$3</f>
        <v>0</v>
      </c>
      <c r="AD3" s="6">
        <f>$O$3*$X$3</f>
        <v>0</v>
      </c>
      <c r="AE3" s="6">
        <f ca="1">$K$3*$Y$3</f>
        <v>56568.105746144407</v>
      </c>
      <c r="AF3" s="6">
        <f ca="1">$M$3*$Z$3</f>
        <v>0</v>
      </c>
      <c r="AG3" s="6">
        <f>$O$3*$AA$3</f>
        <v>0</v>
      </c>
      <c r="AI3" s="35" t="s">
        <v>39</v>
      </c>
      <c r="AJ3" s="36">
        <f t="shared" si="0"/>
        <v>32719549.169368297</v>
      </c>
      <c r="AK3" s="36">
        <f t="shared" ca="1" si="1"/>
        <v>33287671.735835962</v>
      </c>
      <c r="AL3" s="37">
        <f t="shared" ca="1" si="2"/>
        <v>1.7363398362454596E-2</v>
      </c>
      <c r="AN3" s="35" t="s">
        <v>39</v>
      </c>
      <c r="AO3" s="36">
        <f t="shared" si="3"/>
        <v>26602826.743890602</v>
      </c>
      <c r="AP3" s="36">
        <f t="shared" si="4"/>
        <v>28958522.695295386</v>
      </c>
      <c r="AQ3" s="37">
        <f t="shared" si="5"/>
        <v>8.8550588028987409E-2</v>
      </c>
      <c r="AS3" s="35" t="s">
        <v>39</v>
      </c>
      <c r="AT3" s="36">
        <f t="shared" si="6"/>
        <v>59322375.913258895</v>
      </c>
      <c r="AU3" s="36">
        <f t="shared" ca="1" si="7"/>
        <v>62246194.431131348</v>
      </c>
      <c r="AV3" s="37">
        <f t="shared" ca="1" si="8"/>
        <v>4.9286942285448276E-2</v>
      </c>
      <c r="AX3" s="62"/>
      <c r="AY3" s="63" t="s">
        <v>39</v>
      </c>
      <c r="AZ3" s="36">
        <v>65729223.464987874</v>
      </c>
      <c r="BA3" s="37">
        <f t="shared" ref="BA3:BA10" ca="1" si="9">+AU3/AZ3-1</f>
        <v>-5.2990570255433522E-2</v>
      </c>
    </row>
    <row r="4" spans="1:53" ht="11.25" customHeight="1" x14ac:dyDescent="0.25">
      <c r="A4" s="4" t="s">
        <v>21</v>
      </c>
      <c r="B4" s="4" t="s">
        <v>56</v>
      </c>
      <c r="C4" s="4" t="s">
        <v>40</v>
      </c>
      <c r="D4" s="4" t="s">
        <v>38</v>
      </c>
      <c r="E4" s="4" t="s">
        <v>25</v>
      </c>
      <c r="F4" s="4" t="s">
        <v>25</v>
      </c>
      <c r="G4" s="4" t="s">
        <v>25</v>
      </c>
      <c r="H4" s="4" t="s">
        <v>35</v>
      </c>
      <c r="I4" s="5">
        <v>44287</v>
      </c>
      <c r="J4" s="6">
        <v>9903</v>
      </c>
      <c r="K4" s="6">
        <v>9903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6">
        <v>4</v>
      </c>
      <c r="T4" s="6">
        <v>0</v>
      </c>
      <c r="U4" s="6">
        <v>0</v>
      </c>
      <c r="V4" s="6">
        <f>IF(ISERROR(VLOOKUP($S$4,'TAR FIN'!$A$1:$O$100,15,0)),0,VLOOKUP($S$4,'TAR FIN'!$A$1:$O$100,15,0))</f>
        <v>6.72</v>
      </c>
      <c r="W4" s="6">
        <f>IF(ISERROR(VLOOKUP($T$4,'TAR FIN'!$A$1:$O$100,15,0)),0,VLOOKUP($T$4,'TAR FIN'!$A$1:$O$100,15,0))</f>
        <v>0</v>
      </c>
      <c r="X4" s="6">
        <f>IF(ISERROR(VLOOKUP($U$4,'TAR FIN'!$A$1:$O$100,15,0)),0,VLOOKUP($U$4,'TAR FIN'!$A$1:$O$100,15,0))</f>
        <v>0</v>
      </c>
      <c r="Y4" s="6">
        <f ca="1">('TUSD BE'!$AM$6+'TUSD BF'!$AM$6+'TUSD CVA'!$AM$6)*1</f>
        <v>5.6704195816103056</v>
      </c>
      <c r="Z4" s="6">
        <f ca="1">('TUSD BE'!$AM$7+'TUSD BF'!$AM$7+'TUSD CVA'!$AM$7)*1</f>
        <v>37.836636027903069</v>
      </c>
      <c r="AA4" s="6"/>
      <c r="AB4" s="6">
        <f>$K$4*$V$4</f>
        <v>66548.160000000003</v>
      </c>
      <c r="AC4" s="6">
        <f>$M$4*$W$4</f>
        <v>0</v>
      </c>
      <c r="AD4" s="6">
        <f>$O$4*$X$4</f>
        <v>0</v>
      </c>
      <c r="AE4" s="6">
        <f ca="1">$K$4*$Y$4</f>
        <v>56154.165116686854</v>
      </c>
      <c r="AF4" s="6">
        <f ca="1">$M$4*$Z$4</f>
        <v>0</v>
      </c>
      <c r="AG4" s="6">
        <f>$O$4*$AA$4</f>
        <v>0</v>
      </c>
      <c r="AI4" s="35" t="s">
        <v>22</v>
      </c>
      <c r="AJ4" s="36">
        <f t="shared" si="0"/>
        <v>72147254.575429991</v>
      </c>
      <c r="AK4" s="36">
        <f t="shared" ca="1" si="1"/>
        <v>71800867.724692926</v>
      </c>
      <c r="AL4" s="37">
        <f t="shared" ca="1" si="2"/>
        <v>-4.8011092421391677E-3</v>
      </c>
      <c r="AN4" s="35" t="s">
        <v>22</v>
      </c>
      <c r="AO4" s="36">
        <f t="shared" si="3"/>
        <v>59729836.607830048</v>
      </c>
      <c r="AP4" s="36">
        <f t="shared" si="4"/>
        <v>64755404.156513229</v>
      </c>
      <c r="AQ4" s="37">
        <f t="shared" si="5"/>
        <v>8.4138310668413485E-2</v>
      </c>
      <c r="AS4" s="35" t="s">
        <v>22</v>
      </c>
      <c r="AT4" s="36">
        <f t="shared" si="6"/>
        <v>131877091.18326004</v>
      </c>
      <c r="AU4" s="36">
        <f t="shared" ca="1" si="7"/>
        <v>136556271.88120615</v>
      </c>
      <c r="AV4" s="37">
        <f t="shared" ca="1" si="8"/>
        <v>3.5481376302452627E-2</v>
      </c>
      <c r="AX4" s="62"/>
      <c r="AY4" s="63" t="s">
        <v>22</v>
      </c>
      <c r="AZ4" s="36">
        <v>144259096.90365019</v>
      </c>
      <c r="BA4" s="37">
        <f t="shared" ca="1" si="9"/>
        <v>-5.3395766282861912E-2</v>
      </c>
    </row>
    <row r="5" spans="1:53" ht="11.25" customHeight="1" x14ac:dyDescent="0.25">
      <c r="A5" s="4" t="s">
        <v>21</v>
      </c>
      <c r="B5" s="4" t="s">
        <v>56</v>
      </c>
      <c r="C5" s="4" t="s">
        <v>40</v>
      </c>
      <c r="D5" s="4" t="s">
        <v>38</v>
      </c>
      <c r="E5" s="4" t="s">
        <v>25</v>
      </c>
      <c r="F5" s="4" t="s">
        <v>25</v>
      </c>
      <c r="G5" s="4" t="s">
        <v>25</v>
      </c>
      <c r="H5" s="4" t="s">
        <v>35</v>
      </c>
      <c r="I5" s="5">
        <v>44317</v>
      </c>
      <c r="J5" s="6">
        <v>9799</v>
      </c>
      <c r="K5" s="6">
        <v>9799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6">
        <v>4</v>
      </c>
      <c r="T5" s="6">
        <v>0</v>
      </c>
      <c r="U5" s="6">
        <v>0</v>
      </c>
      <c r="V5" s="6">
        <f>IF(ISERROR(VLOOKUP($S$5,'TAR FIN'!$A$1:$O$100,15,0)),0,VLOOKUP($S$5,'TAR FIN'!$A$1:$O$100,15,0))</f>
        <v>6.72</v>
      </c>
      <c r="W5" s="6">
        <f>IF(ISERROR(VLOOKUP($T$5,'TAR FIN'!$A$1:$O$100,15,0)),0,VLOOKUP($T$5,'TAR FIN'!$A$1:$O$100,15,0))</f>
        <v>0</v>
      </c>
      <c r="X5" s="6">
        <f>IF(ISERROR(VLOOKUP($U$5,'TAR FIN'!$A$1:$O$100,15,0)),0,VLOOKUP($U$5,'TAR FIN'!$A$1:$O$100,15,0))</f>
        <v>0</v>
      </c>
      <c r="Y5" s="6">
        <f ca="1">('TUSD BE'!$AM$6+'TUSD BF'!$AM$6+'TUSD CVA'!$AM$6)*1</f>
        <v>5.6704195816103056</v>
      </c>
      <c r="Z5" s="6">
        <f ca="1">('TUSD BE'!$AM$7+'TUSD BF'!$AM$7+'TUSD CVA'!$AM$7)*1</f>
        <v>37.836636027903069</v>
      </c>
      <c r="AA5" s="6"/>
      <c r="AB5" s="6">
        <f>$K$5*$V$5</f>
        <v>65849.279999999999</v>
      </c>
      <c r="AC5" s="6">
        <f>$M$5*$W$5</f>
        <v>0</v>
      </c>
      <c r="AD5" s="6">
        <f>$O$5*$X$5</f>
        <v>0</v>
      </c>
      <c r="AE5" s="6">
        <f ca="1">$K$5*$Y$5</f>
        <v>55564.441480199384</v>
      </c>
      <c r="AF5" s="6">
        <f ca="1">$M$5*$Z$5</f>
        <v>0</v>
      </c>
      <c r="AG5" s="6">
        <f>$O$5*$AA$5</f>
        <v>0</v>
      </c>
      <c r="AI5" s="35" t="s">
        <v>43</v>
      </c>
      <c r="AJ5" s="36">
        <f t="shared" si="0"/>
        <v>5632913.9240388013</v>
      </c>
      <c r="AK5" s="36">
        <f t="shared" ca="1" si="1"/>
        <v>6014771.1668913737</v>
      </c>
      <c r="AL5" s="37">
        <f t="shared" ca="1" si="2"/>
        <v>6.7790356465944557E-2</v>
      </c>
      <c r="AN5" s="35" t="s">
        <v>43</v>
      </c>
      <c r="AO5" s="36">
        <f t="shared" si="3"/>
        <v>4560234.2744146008</v>
      </c>
      <c r="AP5" s="36">
        <f t="shared" si="4"/>
        <v>5281021.764517541</v>
      </c>
      <c r="AQ5" s="37">
        <f t="shared" si="5"/>
        <v>0.158059311589966</v>
      </c>
      <c r="AS5" s="35" t="s">
        <v>43</v>
      </c>
      <c r="AT5" s="36">
        <f t="shared" si="6"/>
        <v>10193148.198453402</v>
      </c>
      <c r="AU5" s="36">
        <f t="shared" ca="1" si="7"/>
        <v>11295792.931408916</v>
      </c>
      <c r="AV5" s="37">
        <f t="shared" ca="1" si="8"/>
        <v>0.10817509090300659</v>
      </c>
      <c r="AX5" s="62"/>
      <c r="AY5" s="63" t="s">
        <v>43</v>
      </c>
      <c r="AZ5" s="36">
        <v>11933725.870603353</v>
      </c>
      <c r="BA5" s="37">
        <f t="shared" ca="1" si="9"/>
        <v>-5.3456309128557478E-2</v>
      </c>
    </row>
    <row r="6" spans="1:53" ht="11.25" customHeight="1" x14ac:dyDescent="0.25">
      <c r="A6" s="4" t="s">
        <v>21</v>
      </c>
      <c r="B6" s="4" t="s">
        <v>56</v>
      </c>
      <c r="C6" s="4" t="s">
        <v>40</v>
      </c>
      <c r="D6" s="4" t="s">
        <v>38</v>
      </c>
      <c r="E6" s="4" t="s">
        <v>25</v>
      </c>
      <c r="F6" s="4" t="s">
        <v>25</v>
      </c>
      <c r="G6" s="4" t="s">
        <v>25</v>
      </c>
      <c r="H6" s="4" t="s">
        <v>35</v>
      </c>
      <c r="I6" s="5">
        <v>44348</v>
      </c>
      <c r="J6" s="6">
        <v>10067</v>
      </c>
      <c r="K6" s="6">
        <v>10067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6">
        <v>4</v>
      </c>
      <c r="T6" s="6">
        <v>0</v>
      </c>
      <c r="U6" s="6">
        <v>0</v>
      </c>
      <c r="V6" s="6">
        <f>IF(ISERROR(VLOOKUP($S$6,'TAR FIN'!$A$1:$O$100,15,0)),0,VLOOKUP($S$6,'TAR FIN'!$A$1:$O$100,15,0))</f>
        <v>6.72</v>
      </c>
      <c r="W6" s="6">
        <f>IF(ISERROR(VLOOKUP($T$6,'TAR FIN'!$A$1:$O$100,15,0)),0,VLOOKUP($T$6,'TAR FIN'!$A$1:$O$100,15,0))</f>
        <v>0</v>
      </c>
      <c r="X6" s="6">
        <f>IF(ISERROR(VLOOKUP($U$6,'TAR FIN'!$A$1:$O$100,15,0)),0,VLOOKUP($U$6,'TAR FIN'!$A$1:$O$100,15,0))</f>
        <v>0</v>
      </c>
      <c r="Y6" s="6">
        <f ca="1">('TUSD BE'!$AM$6+'TUSD BF'!$AM$6+'TUSD CVA'!$AM$6)*1</f>
        <v>5.6704195816103056</v>
      </c>
      <c r="Z6" s="6">
        <f ca="1">('TUSD BE'!$AM$7+'TUSD BF'!$AM$7+'TUSD CVA'!$AM$7)*1</f>
        <v>37.836636027903069</v>
      </c>
      <c r="AA6" s="6"/>
      <c r="AB6" s="6">
        <f>$K$6*$V$6</f>
        <v>67650.239999999991</v>
      </c>
      <c r="AC6" s="6">
        <f>$M$6*$W$6</f>
        <v>0</v>
      </c>
      <c r="AD6" s="6">
        <f>$O$6*$X$6</f>
        <v>0</v>
      </c>
      <c r="AE6" s="6">
        <f ca="1">$K$6*$Y$6</f>
        <v>57084.113928070947</v>
      </c>
      <c r="AF6" s="6">
        <f ca="1">$M$6*$Z$6</f>
        <v>0</v>
      </c>
      <c r="AG6" s="6">
        <f>$O$6*$AA$6</f>
        <v>0</v>
      </c>
      <c r="AI6" s="35" t="s">
        <v>37</v>
      </c>
      <c r="AJ6" s="36">
        <f t="shared" si="0"/>
        <v>26892123.134294998</v>
      </c>
      <c r="AK6" s="36">
        <f t="shared" ca="1" si="1"/>
        <v>26891333.444956049</v>
      </c>
      <c r="AL6" s="37">
        <f t="shared" ca="1" si="2"/>
        <v>-2.9365079692866836E-5</v>
      </c>
      <c r="AN6" s="35" t="s">
        <v>37</v>
      </c>
      <c r="AO6" s="36">
        <f t="shared" si="3"/>
        <v>21773794.70012702</v>
      </c>
      <c r="AP6" s="36">
        <f t="shared" si="4"/>
        <v>23613697.985508241</v>
      </c>
      <c r="AQ6" s="37">
        <f t="shared" si="5"/>
        <v>8.4500809836812074E-2</v>
      </c>
      <c r="AS6" s="35" t="s">
        <v>37</v>
      </c>
      <c r="AT6" s="36">
        <f t="shared" si="6"/>
        <v>48665917.834422022</v>
      </c>
      <c r="AU6" s="36">
        <f t="shared" ca="1" si="7"/>
        <v>50505031.43046429</v>
      </c>
      <c r="AV6" s="37">
        <f t="shared" ca="1" si="8"/>
        <v>3.7790586880526167E-2</v>
      </c>
      <c r="AX6" s="62"/>
      <c r="AY6" s="63" t="s">
        <v>37</v>
      </c>
      <c r="AZ6" s="36">
        <v>53357299.081044577</v>
      </c>
      <c r="BA6" s="37">
        <f t="shared" ca="1" si="9"/>
        <v>-5.3455997580536652E-2</v>
      </c>
    </row>
    <row r="7" spans="1:53" ht="11.25" customHeight="1" x14ac:dyDescent="0.25">
      <c r="A7" s="4" t="s">
        <v>21</v>
      </c>
      <c r="B7" s="4" t="s">
        <v>56</v>
      </c>
      <c r="C7" s="4" t="s">
        <v>40</v>
      </c>
      <c r="D7" s="4" t="s">
        <v>38</v>
      </c>
      <c r="E7" s="4" t="s">
        <v>25</v>
      </c>
      <c r="F7" s="4" t="s">
        <v>25</v>
      </c>
      <c r="G7" s="4" t="s">
        <v>25</v>
      </c>
      <c r="H7" s="4" t="s">
        <v>35</v>
      </c>
      <c r="I7" s="5">
        <v>44378</v>
      </c>
      <c r="J7" s="6">
        <v>9594</v>
      </c>
      <c r="K7" s="6">
        <v>9594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6">
        <v>4</v>
      </c>
      <c r="T7" s="6">
        <v>0</v>
      </c>
      <c r="U7" s="6">
        <v>0</v>
      </c>
      <c r="V7" s="6">
        <f>IF(ISERROR(VLOOKUP($S$7,'TAR FIN'!$A$1:$O$100,15,0)),0,VLOOKUP($S$7,'TAR FIN'!$A$1:$O$100,15,0))</f>
        <v>6.72</v>
      </c>
      <c r="W7" s="6">
        <f>IF(ISERROR(VLOOKUP($T$7,'TAR FIN'!$A$1:$O$100,15,0)),0,VLOOKUP($T$7,'TAR FIN'!$A$1:$O$100,15,0))</f>
        <v>0</v>
      </c>
      <c r="X7" s="6">
        <f>IF(ISERROR(VLOOKUP($U$7,'TAR FIN'!$A$1:$O$100,15,0)),0,VLOOKUP($U$7,'TAR FIN'!$A$1:$O$100,15,0))</f>
        <v>0</v>
      </c>
      <c r="Y7" s="6">
        <f ca="1">('TUSD BE'!$AM$6+'TUSD BF'!$AM$6+'TUSD CVA'!$AM$6)*1</f>
        <v>5.6704195816103056</v>
      </c>
      <c r="Z7" s="6">
        <f ca="1">('TUSD BE'!$AM$7+'TUSD BF'!$AM$7+'TUSD CVA'!$AM$7)*1</f>
        <v>37.836636027903069</v>
      </c>
      <c r="AA7" s="6"/>
      <c r="AB7" s="6">
        <f>$K$7*$V$7</f>
        <v>64471.68</v>
      </c>
      <c r="AC7" s="6">
        <f>$M$7*$W$7</f>
        <v>0</v>
      </c>
      <c r="AD7" s="6">
        <f>$O$7*$X$7</f>
        <v>0</v>
      </c>
      <c r="AE7" s="6">
        <f ca="1">$K$7*$Y$7</f>
        <v>54402.005465969269</v>
      </c>
      <c r="AF7" s="6">
        <f ca="1">$M$7*$Z$7</f>
        <v>0</v>
      </c>
      <c r="AG7" s="6">
        <f>$O$7*$AA$7</f>
        <v>0</v>
      </c>
      <c r="AI7" s="35" t="s">
        <v>46</v>
      </c>
      <c r="AJ7" s="36">
        <f t="shared" si="0"/>
        <v>5587876.4485999998</v>
      </c>
      <c r="AK7" s="36">
        <f t="shared" ca="1" si="1"/>
        <v>5585912.7298654392</v>
      </c>
      <c r="AL7" s="37">
        <f t="shared" ca="1" si="2"/>
        <v>-3.5142486642714132E-4</v>
      </c>
      <c r="AN7" s="35" t="s">
        <v>46</v>
      </c>
      <c r="AO7" s="36">
        <f t="shared" si="3"/>
        <v>4523705.2720500007</v>
      </c>
      <c r="AP7" s="36">
        <f t="shared" si="4"/>
        <v>4904379.2776460974</v>
      </c>
      <c r="AQ7" s="37">
        <f t="shared" si="5"/>
        <v>8.4150929979482703E-2</v>
      </c>
      <c r="AS7" s="35" t="s">
        <v>46</v>
      </c>
      <c r="AT7" s="36">
        <f t="shared" si="6"/>
        <v>10111581.72065</v>
      </c>
      <c r="AU7" s="36">
        <f t="shared" ca="1" si="7"/>
        <v>10490292.007511538</v>
      </c>
      <c r="AV7" s="37">
        <f t="shared" ca="1" si="8"/>
        <v>3.7453120325193989E-2</v>
      </c>
      <c r="AX7" s="62"/>
      <c r="AY7" s="63" t="s">
        <v>46</v>
      </c>
      <c r="AZ7" s="36">
        <v>11082734.680888511</v>
      </c>
      <c r="BA7" s="37">
        <f t="shared" ca="1" si="9"/>
        <v>-5.3456361668443142E-2</v>
      </c>
    </row>
    <row r="8" spans="1:53" ht="11.25" customHeight="1" x14ac:dyDescent="0.25">
      <c r="A8" s="4" t="s">
        <v>21</v>
      </c>
      <c r="B8" s="4" t="s">
        <v>56</v>
      </c>
      <c r="C8" s="4" t="s">
        <v>40</v>
      </c>
      <c r="D8" s="4" t="s">
        <v>38</v>
      </c>
      <c r="E8" s="4" t="s">
        <v>25</v>
      </c>
      <c r="F8" s="4" t="s">
        <v>25</v>
      </c>
      <c r="G8" s="4" t="s">
        <v>25</v>
      </c>
      <c r="H8" s="4" t="s">
        <v>35</v>
      </c>
      <c r="I8" s="5">
        <v>44409</v>
      </c>
      <c r="J8" s="6">
        <v>9718</v>
      </c>
      <c r="K8" s="6">
        <v>9718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6">
        <v>4</v>
      </c>
      <c r="T8" s="6">
        <v>0</v>
      </c>
      <c r="U8" s="6">
        <v>0</v>
      </c>
      <c r="V8" s="6">
        <f>IF(ISERROR(VLOOKUP($S$8,'TAR FIN'!$A$1:$O$100,15,0)),0,VLOOKUP($S$8,'TAR FIN'!$A$1:$O$100,15,0))</f>
        <v>6.72</v>
      </c>
      <c r="W8" s="6">
        <f>IF(ISERROR(VLOOKUP($T$8,'TAR FIN'!$A$1:$O$100,15,0)),0,VLOOKUP($T$8,'TAR FIN'!$A$1:$O$100,15,0))</f>
        <v>0</v>
      </c>
      <c r="X8" s="6">
        <f>IF(ISERROR(VLOOKUP($U$8,'TAR FIN'!$A$1:$O$100,15,0)),0,VLOOKUP($U$8,'TAR FIN'!$A$1:$O$100,15,0))</f>
        <v>0</v>
      </c>
      <c r="Y8" s="6">
        <f ca="1">('TUSD BE'!$AM$6+'TUSD BF'!$AM$6+'TUSD CVA'!$AM$6)*1</f>
        <v>5.6704195816103056</v>
      </c>
      <c r="Z8" s="6">
        <f ca="1">('TUSD BE'!$AM$7+'TUSD BF'!$AM$7+'TUSD CVA'!$AM$7)*1</f>
        <v>37.836636027903069</v>
      </c>
      <c r="AA8" s="6"/>
      <c r="AB8" s="6">
        <f>$K$8*$V$8</f>
        <v>65304.959999999999</v>
      </c>
      <c r="AC8" s="6">
        <f>$M$8*$W$8</f>
        <v>0</v>
      </c>
      <c r="AD8" s="6">
        <f>$O$8*$X$8</f>
        <v>0</v>
      </c>
      <c r="AE8" s="6">
        <f ca="1">$K$8*$Y$8</f>
        <v>55105.137494088951</v>
      </c>
      <c r="AF8" s="6">
        <f ca="1">$M$8*$Z$8</f>
        <v>0</v>
      </c>
      <c r="AG8" s="6">
        <f>$O$8*$AA$8</f>
        <v>0</v>
      </c>
      <c r="AI8" s="35" t="s">
        <v>895</v>
      </c>
      <c r="AJ8" s="36">
        <f>+$AJ$2+$AJ$3</f>
        <v>41911197.584888294</v>
      </c>
      <c r="AK8" s="36">
        <f ca="1">+$AK$2+$AK$3</f>
        <v>42202577.995422997</v>
      </c>
      <c r="AL8" s="37">
        <f t="shared" ca="1" si="2"/>
        <v>6.9523284307142497E-3</v>
      </c>
      <c r="AN8" s="35" t="s">
        <v>895</v>
      </c>
      <c r="AO8" s="36">
        <f>+$AO$2+$AO$3</f>
        <v>26602826.743890602</v>
      </c>
      <c r="AP8" s="36">
        <f>+$AP$2+$AP$3</f>
        <v>28958522.695295386</v>
      </c>
      <c r="AQ8" s="37">
        <f t="shared" si="5"/>
        <v>8.8550588028987409E-2</v>
      </c>
      <c r="AS8" s="35" t="s">
        <v>895</v>
      </c>
      <c r="AT8" s="36">
        <f>+$AT$2+$AT$3</f>
        <v>68514024.328778893</v>
      </c>
      <c r="AU8" s="36">
        <f ca="1">+$AU$2+$AU$3</f>
        <v>71161100.690718383</v>
      </c>
      <c r="AV8" s="37">
        <f t="shared" ca="1" si="8"/>
        <v>3.8635540502437005E-2</v>
      </c>
      <c r="AX8" s="62"/>
      <c r="AY8" s="63" t="s">
        <v>895</v>
      </c>
      <c r="AZ8" s="36">
        <v>74922384.965926021</v>
      </c>
      <c r="BA8" s="37">
        <f t="shared" ca="1" si="9"/>
        <v>-5.0202409826091809E-2</v>
      </c>
    </row>
    <row r="9" spans="1:53" ht="11.25" customHeight="1" x14ac:dyDescent="0.25">
      <c r="A9" s="4" t="s">
        <v>21</v>
      </c>
      <c r="B9" s="4" t="s">
        <v>56</v>
      </c>
      <c r="C9" s="4" t="s">
        <v>40</v>
      </c>
      <c r="D9" s="4" t="s">
        <v>38</v>
      </c>
      <c r="E9" s="4" t="s">
        <v>25</v>
      </c>
      <c r="F9" s="4" t="s">
        <v>25</v>
      </c>
      <c r="G9" s="4" t="s">
        <v>25</v>
      </c>
      <c r="H9" s="4" t="s">
        <v>35</v>
      </c>
      <c r="I9" s="5">
        <v>44440</v>
      </c>
      <c r="J9" s="6">
        <v>9617</v>
      </c>
      <c r="K9" s="6">
        <v>9617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6">
        <v>4</v>
      </c>
      <c r="T9" s="6">
        <v>0</v>
      </c>
      <c r="U9" s="6">
        <v>0</v>
      </c>
      <c r="V9" s="6">
        <f>IF(ISERROR(VLOOKUP($S$9,'TAR FIN'!$A$1:$O$100,15,0)),0,VLOOKUP($S$9,'TAR FIN'!$A$1:$O$100,15,0))</f>
        <v>6.72</v>
      </c>
      <c r="W9" s="6">
        <f>IF(ISERROR(VLOOKUP($T$9,'TAR FIN'!$A$1:$O$100,15,0)),0,VLOOKUP($T$9,'TAR FIN'!$A$1:$O$100,15,0))</f>
        <v>0</v>
      </c>
      <c r="X9" s="6">
        <f>IF(ISERROR(VLOOKUP($U$9,'TAR FIN'!$A$1:$O$100,15,0)),0,VLOOKUP($U$9,'TAR FIN'!$A$1:$O$100,15,0))</f>
        <v>0</v>
      </c>
      <c r="Y9" s="6">
        <f ca="1">('TUSD BE'!$AM$6+'TUSD BF'!$AM$6+'TUSD CVA'!$AM$6)*1</f>
        <v>5.6704195816103056</v>
      </c>
      <c r="Z9" s="6">
        <f ca="1">('TUSD BE'!$AM$7+'TUSD BF'!$AM$7+'TUSD CVA'!$AM$7)*1</f>
        <v>37.836636027903069</v>
      </c>
      <c r="AA9" s="6"/>
      <c r="AB9" s="6">
        <f>$K$9*$V$9</f>
        <v>64626.239999999998</v>
      </c>
      <c r="AC9" s="6">
        <f>$M$9*$W$9</f>
        <v>0</v>
      </c>
      <c r="AD9" s="6">
        <f>$O$9*$X$9</f>
        <v>0</v>
      </c>
      <c r="AE9" s="6">
        <f ca="1">$K$9*$Y$9</f>
        <v>54532.425116346312</v>
      </c>
      <c r="AF9" s="6">
        <f ca="1">$M$9*$Z$9</f>
        <v>0</v>
      </c>
      <c r="AG9" s="6">
        <f>$O$9*$AA$9</f>
        <v>0</v>
      </c>
      <c r="AI9" s="35" t="s">
        <v>88</v>
      </c>
      <c r="AJ9" s="36">
        <f>+$AJ$4+$AJ$5+$AJ$6+$AJ$7</f>
        <v>110260168.08236378</v>
      </c>
      <c r="AK9" s="36">
        <f ca="1">+$AK$4+$AK$5+$AK$6+$AK$7</f>
        <v>110292885.0664058</v>
      </c>
      <c r="AL9" s="37">
        <f t="shared" ca="1" si="2"/>
        <v>2.967253234873457E-4</v>
      </c>
      <c r="AN9" s="35" t="s">
        <v>88</v>
      </c>
      <c r="AO9" s="36">
        <f>+$AO$4+$AO$5+$AO$6+$AO$7</f>
        <v>90587570.854421675</v>
      </c>
      <c r="AP9" s="36">
        <f>+$AP$4+$AP$5+$AP$6+$AP$7</f>
        <v>98554503.184185117</v>
      </c>
      <c r="AQ9" s="37">
        <f t="shared" si="5"/>
        <v>8.7947300657467364E-2</v>
      </c>
      <c r="AS9" s="35" t="s">
        <v>88</v>
      </c>
      <c r="AT9" s="36">
        <f>+$AT$4+$AT$5+$AT$6+$AT$7</f>
        <v>200847738.93678546</v>
      </c>
      <c r="AU9" s="36">
        <f ca="1">+$AU$4+$AU$5+$AU$6+$AU$7</f>
        <v>208847388.25059089</v>
      </c>
      <c r="AV9" s="37">
        <f t="shared" ca="1" si="8"/>
        <v>3.9829421810534837E-2</v>
      </c>
      <c r="AX9" s="62"/>
      <c r="AY9" s="63" t="s">
        <v>88</v>
      </c>
      <c r="AZ9" s="36">
        <v>220632856.53618664</v>
      </c>
      <c r="BA9" s="37">
        <f t="shared" ca="1" si="9"/>
        <v>-5.3416650949550504E-2</v>
      </c>
    </row>
    <row r="10" spans="1:53" ht="11.25" customHeight="1" x14ac:dyDescent="0.25">
      <c r="A10" s="4" t="s">
        <v>21</v>
      </c>
      <c r="B10" s="4" t="s">
        <v>56</v>
      </c>
      <c r="C10" s="4" t="s">
        <v>40</v>
      </c>
      <c r="D10" s="4" t="s">
        <v>38</v>
      </c>
      <c r="E10" s="4" t="s">
        <v>25</v>
      </c>
      <c r="F10" s="4" t="s">
        <v>25</v>
      </c>
      <c r="G10" s="4" t="s">
        <v>25</v>
      </c>
      <c r="H10" s="4" t="s">
        <v>35</v>
      </c>
      <c r="I10" s="5">
        <v>44470</v>
      </c>
      <c r="J10" s="6">
        <v>9570</v>
      </c>
      <c r="K10" s="6">
        <v>9570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6">
        <v>4</v>
      </c>
      <c r="T10" s="6">
        <v>0</v>
      </c>
      <c r="U10" s="6">
        <v>0</v>
      </c>
      <c r="V10" s="6">
        <f>IF(ISERROR(VLOOKUP($S$10,'TAR FIN'!$A$1:$O$100,15,0)),0,VLOOKUP($S$10,'TAR FIN'!$A$1:$O$100,15,0))</f>
        <v>6.72</v>
      </c>
      <c r="W10" s="6">
        <f>IF(ISERROR(VLOOKUP($T$10,'TAR FIN'!$A$1:$O$100,15,0)),0,VLOOKUP($T$10,'TAR FIN'!$A$1:$O$100,15,0))</f>
        <v>0</v>
      </c>
      <c r="X10" s="6">
        <f>IF(ISERROR(VLOOKUP($U$10,'TAR FIN'!$A$1:$O$100,15,0)),0,VLOOKUP($U$10,'TAR FIN'!$A$1:$O$100,15,0))</f>
        <v>0</v>
      </c>
      <c r="Y10" s="6">
        <f ca="1">('TUSD BE'!$AM$6+'TUSD BF'!$AM$6+'TUSD CVA'!$AM$6)*1</f>
        <v>5.6704195816103056</v>
      </c>
      <c r="Z10" s="6">
        <f ca="1">('TUSD BE'!$AM$7+'TUSD BF'!$AM$7+'TUSD CVA'!$AM$7)*1</f>
        <v>37.836636027903069</v>
      </c>
      <c r="AA10" s="6"/>
      <c r="AB10" s="6">
        <f>$K$10*$V$10</f>
        <v>64310.399999999994</v>
      </c>
      <c r="AC10" s="6">
        <f>$M$10*$W$10</f>
        <v>0</v>
      </c>
      <c r="AD10" s="6">
        <f>$O$10*$X$10</f>
        <v>0</v>
      </c>
      <c r="AE10" s="6">
        <f ca="1">$K$10*$Y$10</f>
        <v>54265.915396010627</v>
      </c>
      <c r="AF10" s="6">
        <f ca="1">$M$10*$Z$10</f>
        <v>0</v>
      </c>
      <c r="AG10" s="6">
        <f>$O$10*$AA$10</f>
        <v>0</v>
      </c>
      <c r="AI10" s="35" t="s">
        <v>896</v>
      </c>
      <c r="AJ10" s="36">
        <f>AJ9+AJ8</f>
        <v>152171365.66725206</v>
      </c>
      <c r="AK10" s="36">
        <f ca="1">AK9+AK8</f>
        <v>152495463.06182879</v>
      </c>
      <c r="AL10" s="37">
        <f t="shared" ca="1" si="2"/>
        <v>2.1298185315983265E-3</v>
      </c>
      <c r="AN10" s="35" t="s">
        <v>896</v>
      </c>
      <c r="AO10" s="36">
        <f>AO9+AO8</f>
        <v>117190397.59831227</v>
      </c>
      <c r="AP10" s="36">
        <f>AP9+AP8</f>
        <v>127513025.87948051</v>
      </c>
      <c r="AQ10" s="37">
        <f t="shared" si="5"/>
        <v>8.8084250012962606E-2</v>
      </c>
      <c r="AS10" s="35" t="s">
        <v>896</v>
      </c>
      <c r="AT10" s="36">
        <f>AT9+AT8</f>
        <v>269361763.26556432</v>
      </c>
      <c r="AU10" s="36">
        <f ca="1">AU9+AU8</f>
        <v>280008488.94130927</v>
      </c>
      <c r="AV10" s="37">
        <f t="shared" ca="1" si="8"/>
        <v>3.952574985651669E-2</v>
      </c>
      <c r="AX10" s="62"/>
      <c r="AY10" s="63" t="s">
        <v>896</v>
      </c>
      <c r="AZ10" s="36">
        <v>295555241.50211263</v>
      </c>
      <c r="BA10" s="37">
        <f t="shared" ca="1" si="9"/>
        <v>-5.2601850272691708E-2</v>
      </c>
    </row>
    <row r="11" spans="1:53" ht="11.25" customHeight="1" x14ac:dyDescent="0.25">
      <c r="A11" s="4" t="s">
        <v>21</v>
      </c>
      <c r="B11" s="4" t="s">
        <v>56</v>
      </c>
      <c r="C11" s="4" t="s">
        <v>40</v>
      </c>
      <c r="D11" s="4" t="s">
        <v>38</v>
      </c>
      <c r="E11" s="4" t="s">
        <v>25</v>
      </c>
      <c r="F11" s="4" t="s">
        <v>25</v>
      </c>
      <c r="G11" s="4" t="s">
        <v>25</v>
      </c>
      <c r="H11" s="4" t="s">
        <v>35</v>
      </c>
      <c r="I11" s="5">
        <v>44501</v>
      </c>
      <c r="J11" s="6">
        <v>9835</v>
      </c>
      <c r="K11" s="6">
        <v>9835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6">
        <v>4</v>
      </c>
      <c r="T11" s="6">
        <v>0</v>
      </c>
      <c r="U11" s="6">
        <v>0</v>
      </c>
      <c r="V11" s="6">
        <f>IF(ISERROR(VLOOKUP($S$11,'TAR FIN'!$A$1:$O$100,15,0)),0,VLOOKUP($S$11,'TAR FIN'!$A$1:$O$100,15,0))</f>
        <v>6.72</v>
      </c>
      <c r="W11" s="6">
        <f>IF(ISERROR(VLOOKUP($T$11,'TAR FIN'!$A$1:$O$100,15,0)),0,VLOOKUP($T$11,'TAR FIN'!$A$1:$O$100,15,0))</f>
        <v>0</v>
      </c>
      <c r="X11" s="6">
        <f>IF(ISERROR(VLOOKUP($U$11,'TAR FIN'!$A$1:$O$100,15,0)),0,VLOOKUP($U$11,'TAR FIN'!$A$1:$O$100,15,0))</f>
        <v>0</v>
      </c>
      <c r="Y11" s="6">
        <f ca="1">('TUSD BE'!$AM$6+'TUSD BF'!$AM$6+'TUSD CVA'!$AM$6)*1</f>
        <v>5.6704195816103056</v>
      </c>
      <c r="Z11" s="6">
        <f ca="1">('TUSD BE'!$AM$7+'TUSD BF'!$AM$7+'TUSD CVA'!$AM$7)*1</f>
        <v>37.836636027903069</v>
      </c>
      <c r="AA11" s="6"/>
      <c r="AB11" s="6">
        <f>$K$11*$V$11</f>
        <v>66091.199999999997</v>
      </c>
      <c r="AC11" s="6">
        <f>$M$11*$W$11</f>
        <v>0</v>
      </c>
      <c r="AD11" s="6">
        <f>$O$11*$X$11</f>
        <v>0</v>
      </c>
      <c r="AE11" s="6">
        <f ca="1">$K$11*$Y$11</f>
        <v>55768.576585137358</v>
      </c>
      <c r="AF11" s="6">
        <f ca="1">$M$11*$Z$11</f>
        <v>0</v>
      </c>
      <c r="AG11" s="6">
        <f>$O$11*$AA$11</f>
        <v>0</v>
      </c>
    </row>
    <row r="12" spans="1:53" ht="11.25" customHeight="1" x14ac:dyDescent="0.25">
      <c r="A12" s="4" t="s">
        <v>21</v>
      </c>
      <c r="B12" s="4" t="s">
        <v>56</v>
      </c>
      <c r="C12" s="4" t="s">
        <v>40</v>
      </c>
      <c r="D12" s="4" t="s">
        <v>38</v>
      </c>
      <c r="E12" s="4" t="s">
        <v>25</v>
      </c>
      <c r="F12" s="4" t="s">
        <v>25</v>
      </c>
      <c r="G12" s="4" t="s">
        <v>25</v>
      </c>
      <c r="H12" s="4" t="s">
        <v>35</v>
      </c>
      <c r="I12" s="5">
        <v>44531</v>
      </c>
      <c r="J12" s="6">
        <v>9890</v>
      </c>
      <c r="K12" s="6">
        <v>9890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6">
        <v>4</v>
      </c>
      <c r="T12" s="6">
        <v>0</v>
      </c>
      <c r="U12" s="6">
        <v>0</v>
      </c>
      <c r="V12" s="6">
        <f>IF(ISERROR(VLOOKUP($S$12,'TAR FIN'!$A$1:$O$100,15,0)),0,VLOOKUP($S$12,'TAR FIN'!$A$1:$O$100,15,0))</f>
        <v>6.72</v>
      </c>
      <c r="W12" s="6">
        <f>IF(ISERROR(VLOOKUP($T$12,'TAR FIN'!$A$1:$O$100,15,0)),0,VLOOKUP($T$12,'TAR FIN'!$A$1:$O$100,15,0))</f>
        <v>0</v>
      </c>
      <c r="X12" s="6">
        <f>IF(ISERROR(VLOOKUP($U$12,'TAR FIN'!$A$1:$O$100,15,0)),0,VLOOKUP($U$12,'TAR FIN'!$A$1:$O$100,15,0))</f>
        <v>0</v>
      </c>
      <c r="Y12" s="6">
        <f ca="1">('TUSD BE'!$AM$6+'TUSD BF'!$AM$6+'TUSD CVA'!$AM$6)*1</f>
        <v>5.6704195816103056</v>
      </c>
      <c r="Z12" s="6">
        <f ca="1">('TUSD BE'!$AM$7+'TUSD BF'!$AM$7+'TUSD CVA'!$AM$7)*1</f>
        <v>37.836636027903069</v>
      </c>
      <c r="AA12" s="6"/>
      <c r="AB12" s="6">
        <f>$K$12*$V$12</f>
        <v>66460.800000000003</v>
      </c>
      <c r="AC12" s="6">
        <f>$M$12*$W$12</f>
        <v>0</v>
      </c>
      <c r="AD12" s="6">
        <f>$O$12*$X$12</f>
        <v>0</v>
      </c>
      <c r="AE12" s="6">
        <f ca="1">$K$12*$Y$12</f>
        <v>56080.449662125924</v>
      </c>
      <c r="AF12" s="6">
        <f ca="1">$M$12*$Z$12</f>
        <v>0</v>
      </c>
      <c r="AG12" s="6">
        <f>$O$12*$AA$12</f>
        <v>0</v>
      </c>
      <c r="AU12" s="78">
        <f ca="1">+AU10+SUBSIDIO!AJ2+SUBSIDIO!AJ5+SUBSIDIO!AJ6+SUBSIDIO!AJ7+SUBSIDIO!AJ8</f>
        <v>299814123.82594562</v>
      </c>
    </row>
    <row r="13" spans="1:53" ht="11.25" customHeight="1" x14ac:dyDescent="0.25">
      <c r="A13" s="4" t="s">
        <v>55</v>
      </c>
      <c r="B13" s="4" t="s">
        <v>56</v>
      </c>
      <c r="C13" s="4" t="s">
        <v>40</v>
      </c>
      <c r="D13" s="4" t="s">
        <v>38</v>
      </c>
      <c r="E13" s="4" t="s">
        <v>25</v>
      </c>
      <c r="F13" s="4" t="s">
        <v>25</v>
      </c>
      <c r="G13" s="4" t="s">
        <v>25</v>
      </c>
      <c r="H13" s="4" t="s">
        <v>35</v>
      </c>
      <c r="I13" s="5">
        <v>44562</v>
      </c>
      <c r="J13" s="6">
        <v>9890</v>
      </c>
      <c r="K13" s="6">
        <v>9890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6">
        <v>4</v>
      </c>
      <c r="T13" s="6">
        <v>0</v>
      </c>
      <c r="U13" s="6">
        <v>0</v>
      </c>
      <c r="V13" s="6">
        <f>IF(ISERROR(VLOOKUP($S$13,'TAR FIN'!$A$1:$O$100,15,0)),0,VLOOKUP($S$13,'TAR FIN'!$A$1:$O$100,15,0))</f>
        <v>6.72</v>
      </c>
      <c r="W13" s="6">
        <f>IF(ISERROR(VLOOKUP($T$13,'TAR FIN'!$A$1:$O$100,15,0)),0,VLOOKUP($T$13,'TAR FIN'!$A$1:$O$100,15,0))</f>
        <v>0</v>
      </c>
      <c r="X13" s="6">
        <f>IF(ISERROR(VLOOKUP($U$13,'TAR FIN'!$A$1:$O$100,15,0)),0,VLOOKUP($U$13,'TAR FIN'!$A$1:$O$100,15,0))</f>
        <v>0</v>
      </c>
      <c r="Y13" s="6">
        <f ca="1">('TUSD BE'!$AM$6+'TUSD BF'!$AM$6+'TUSD CVA'!$AM$6)*1</f>
        <v>5.6704195816103056</v>
      </c>
      <c r="Z13" s="6">
        <f ca="1">('TUSD BE'!$AM$7+'TUSD BF'!$AM$7+'TUSD CVA'!$AM$7)*1</f>
        <v>37.836636027903069</v>
      </c>
      <c r="AA13" s="6"/>
      <c r="AB13" s="6">
        <f>$K$13*$V$13</f>
        <v>66460.800000000003</v>
      </c>
      <c r="AC13" s="6">
        <f>$M$13*$W$13</f>
        <v>0</v>
      </c>
      <c r="AD13" s="6">
        <f>$O$13*$X$13</f>
        <v>0</v>
      </c>
      <c r="AE13" s="6">
        <f ca="1">$K$13*$Y$13</f>
        <v>56080.449662125924</v>
      </c>
      <c r="AF13" s="6">
        <f ca="1">$M$13*$Z$13</f>
        <v>0</v>
      </c>
      <c r="AG13" s="6">
        <f>$O$13*$AA$13</f>
        <v>0</v>
      </c>
      <c r="AU13" s="79">
        <f>+CUSTOS!D46+CUSTOS!E46+CUSTOS!F46</f>
        <v>299814123.82594591</v>
      </c>
    </row>
    <row r="14" spans="1:53" ht="11.25" customHeight="1" x14ac:dyDescent="0.25">
      <c r="A14" s="4" t="s">
        <v>21</v>
      </c>
      <c r="B14" s="4" t="s">
        <v>56</v>
      </c>
      <c r="C14" s="4" t="s">
        <v>40</v>
      </c>
      <c r="D14" s="4" t="s">
        <v>38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44228</v>
      </c>
      <c r="J14" s="6">
        <v>0</v>
      </c>
      <c r="K14" s="6">
        <v>0</v>
      </c>
      <c r="L14" s="6">
        <v>5486.0870000000004</v>
      </c>
      <c r="M14" s="6">
        <v>5486.0870000000004</v>
      </c>
      <c r="N14" s="6">
        <v>0</v>
      </c>
      <c r="O14" s="6">
        <v>0</v>
      </c>
      <c r="P14" s="6">
        <v>1</v>
      </c>
      <c r="Q14" s="4" t="s">
        <v>57</v>
      </c>
      <c r="R14" s="4">
        <v>0</v>
      </c>
      <c r="S14" s="6">
        <v>0</v>
      </c>
      <c r="T14" s="6">
        <v>1</v>
      </c>
      <c r="U14" s="6">
        <v>0</v>
      </c>
      <c r="V14" s="6">
        <f>IF(ISERROR(VLOOKUP($S$14,'TAR FIN'!$A$1:$O$100,15,0)),0,VLOOKUP($S$14,'TAR FIN'!$A$1:$O$100,15,0))</f>
        <v>0</v>
      </c>
      <c r="W14" s="6">
        <f>IF(ISERROR(VLOOKUP($T$14,'TAR FIN'!$A$1:$O$100,15,0)),0,VLOOKUP($T$14,'TAR FIN'!$A$1:$O$100,15,0))</f>
        <v>33.26</v>
      </c>
      <c r="X14" s="6">
        <f>IF(ISERROR(VLOOKUP($U$14,'TAR FIN'!$A$1:$O$100,15,0)),0,VLOOKUP($U$14,'TAR FIN'!$A$1:$O$100,15,0))</f>
        <v>0</v>
      </c>
      <c r="Y14" s="6"/>
      <c r="Z14" s="6">
        <f ca="1">('TUSD BE'!$AM$7+'TUSD BF'!$AM$7+'TUSD CVA'!$AM$7)*1</f>
        <v>37.836636027903069</v>
      </c>
      <c r="AA14" s="6"/>
      <c r="AB14" s="6">
        <f>$K$14*$V$14</f>
        <v>0</v>
      </c>
      <c r="AC14" s="6">
        <f>$M$14*$W$14</f>
        <v>182467.25362</v>
      </c>
      <c r="AD14" s="6">
        <f>$O$14*$X$14</f>
        <v>0</v>
      </c>
      <c r="AE14" s="6">
        <f>$K$14*$Y$14</f>
        <v>0</v>
      </c>
      <c r="AF14" s="6">
        <f ca="1">$M$14*$Z$14</f>
        <v>207575.07703641069</v>
      </c>
      <c r="AG14" s="6">
        <f>$O$14*$AA$14</f>
        <v>0</v>
      </c>
      <c r="AU14" s="76"/>
    </row>
    <row r="15" spans="1:53" ht="11.25" customHeight="1" x14ac:dyDescent="0.25">
      <c r="A15" s="4" t="s">
        <v>21</v>
      </c>
      <c r="B15" s="4" t="s">
        <v>56</v>
      </c>
      <c r="C15" s="4" t="s">
        <v>40</v>
      </c>
      <c r="D15" s="4" t="s">
        <v>38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44256</v>
      </c>
      <c r="J15" s="6">
        <v>0</v>
      </c>
      <c r="K15" s="6">
        <v>0</v>
      </c>
      <c r="L15" s="6">
        <v>5492.0010000000002</v>
      </c>
      <c r="M15" s="6">
        <v>5492.0010000000002</v>
      </c>
      <c r="N15" s="6">
        <v>0</v>
      </c>
      <c r="O15" s="6">
        <v>0</v>
      </c>
      <c r="P15" s="6">
        <v>1</v>
      </c>
      <c r="Q15" s="4" t="s">
        <v>57</v>
      </c>
      <c r="R15" s="4">
        <v>0</v>
      </c>
      <c r="S15" s="6">
        <v>0</v>
      </c>
      <c r="T15" s="6">
        <v>1</v>
      </c>
      <c r="U15" s="6">
        <v>0</v>
      </c>
      <c r="V15" s="6">
        <f>IF(ISERROR(VLOOKUP($S$15,'TAR FIN'!$A$1:$O$100,15,0)),0,VLOOKUP($S$15,'TAR FIN'!$A$1:$O$100,15,0))</f>
        <v>0</v>
      </c>
      <c r="W15" s="6">
        <f>IF(ISERROR(VLOOKUP($T$15,'TAR FIN'!$A$1:$O$100,15,0)),0,VLOOKUP($T$15,'TAR FIN'!$A$1:$O$100,15,0))</f>
        <v>33.26</v>
      </c>
      <c r="X15" s="6">
        <f>IF(ISERROR(VLOOKUP($U$15,'TAR FIN'!$A$1:$O$100,15,0)),0,VLOOKUP($U$15,'TAR FIN'!$A$1:$O$100,15,0))</f>
        <v>0</v>
      </c>
      <c r="Y15" s="6"/>
      <c r="Z15" s="6">
        <f ca="1">('TUSD BE'!$AM$7+'TUSD BF'!$AM$7+'TUSD CVA'!$AM$7)*1</f>
        <v>37.836636027903069</v>
      </c>
      <c r="AA15" s="6"/>
      <c r="AB15" s="6">
        <f>$K$15*$V$15</f>
        <v>0</v>
      </c>
      <c r="AC15" s="6">
        <f>$M$15*$W$15</f>
        <v>182663.95326000001</v>
      </c>
      <c r="AD15" s="6">
        <f>$O$15*$X$15</f>
        <v>0</v>
      </c>
      <c r="AE15" s="6">
        <f>$K$15*$Y$15</f>
        <v>0</v>
      </c>
      <c r="AF15" s="6">
        <f ca="1">$M$15*$Z$15</f>
        <v>207798.84290187969</v>
      </c>
      <c r="AG15" s="6">
        <f>$O$15*$AA$15</f>
        <v>0</v>
      </c>
      <c r="AU15" s="77">
        <f ca="1">CUSTOS!H47</f>
        <v>299814123.82594597</v>
      </c>
    </row>
    <row r="16" spans="1:53" ht="11.25" customHeight="1" x14ac:dyDescent="0.25">
      <c r="A16" s="4" t="s">
        <v>21</v>
      </c>
      <c r="B16" s="4" t="s">
        <v>56</v>
      </c>
      <c r="C16" s="4" t="s">
        <v>40</v>
      </c>
      <c r="D16" s="4" t="s">
        <v>38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44287</v>
      </c>
      <c r="J16" s="6">
        <v>0</v>
      </c>
      <c r="K16" s="6">
        <v>0</v>
      </c>
      <c r="L16" s="6">
        <v>5592.4160000000002</v>
      </c>
      <c r="M16" s="6">
        <v>5592.4160000000002</v>
      </c>
      <c r="N16" s="6">
        <v>0</v>
      </c>
      <c r="O16" s="6">
        <v>0</v>
      </c>
      <c r="P16" s="6">
        <v>1</v>
      </c>
      <c r="Q16" s="4" t="s">
        <v>57</v>
      </c>
      <c r="R16" s="4">
        <v>0</v>
      </c>
      <c r="S16" s="6">
        <v>0</v>
      </c>
      <c r="T16" s="6">
        <v>1</v>
      </c>
      <c r="U16" s="6">
        <v>0</v>
      </c>
      <c r="V16" s="6">
        <f>IF(ISERROR(VLOOKUP($S$16,'TAR FIN'!$A$1:$O$100,15,0)),0,VLOOKUP($S$16,'TAR FIN'!$A$1:$O$100,15,0))</f>
        <v>0</v>
      </c>
      <c r="W16" s="6">
        <f>IF(ISERROR(VLOOKUP($T$16,'TAR FIN'!$A$1:$O$100,15,0)),0,VLOOKUP($T$16,'TAR FIN'!$A$1:$O$100,15,0))</f>
        <v>33.26</v>
      </c>
      <c r="X16" s="6">
        <f>IF(ISERROR(VLOOKUP($U$16,'TAR FIN'!$A$1:$O$100,15,0)),0,VLOOKUP($U$16,'TAR FIN'!$A$1:$O$100,15,0))</f>
        <v>0</v>
      </c>
      <c r="Y16" s="6"/>
      <c r="Z16" s="6">
        <f ca="1">('TUSD BE'!$AM$7+'TUSD BF'!$AM$7+'TUSD CVA'!$AM$7)*1</f>
        <v>37.836636027903069</v>
      </c>
      <c r="AA16" s="6"/>
      <c r="AB16" s="6">
        <f>$K$16*$V$16</f>
        <v>0</v>
      </c>
      <c r="AC16" s="6">
        <f>$M$16*$W$16</f>
        <v>186003.75615999999</v>
      </c>
      <c r="AD16" s="6">
        <f>$O$16*$X$16</f>
        <v>0</v>
      </c>
      <c r="AE16" s="6">
        <f>$K$16*$Y$16</f>
        <v>0</v>
      </c>
      <c r="AF16" s="6">
        <f ca="1">$M$16*$Z$16</f>
        <v>211598.20870862156</v>
      </c>
      <c r="AG16" s="6">
        <f>$O$16*$AA$16</f>
        <v>0</v>
      </c>
    </row>
    <row r="17" spans="1:47" ht="11.25" customHeight="1" x14ac:dyDescent="0.25">
      <c r="A17" s="4" t="s">
        <v>21</v>
      </c>
      <c r="B17" s="4" t="s">
        <v>56</v>
      </c>
      <c r="C17" s="4" t="s">
        <v>40</v>
      </c>
      <c r="D17" s="4" t="s">
        <v>38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44317</v>
      </c>
      <c r="J17" s="6">
        <v>0</v>
      </c>
      <c r="K17" s="6">
        <v>0</v>
      </c>
      <c r="L17" s="6">
        <v>5484.3810000000003</v>
      </c>
      <c r="M17" s="6">
        <v>5484.3810000000003</v>
      </c>
      <c r="N17" s="6">
        <v>0</v>
      </c>
      <c r="O17" s="6">
        <v>0</v>
      </c>
      <c r="P17" s="6">
        <v>1</v>
      </c>
      <c r="Q17" s="4" t="s">
        <v>57</v>
      </c>
      <c r="R17" s="4">
        <v>0</v>
      </c>
      <c r="S17" s="6">
        <v>0</v>
      </c>
      <c r="T17" s="6">
        <v>1</v>
      </c>
      <c r="U17" s="6">
        <v>0</v>
      </c>
      <c r="V17" s="6">
        <f>IF(ISERROR(VLOOKUP($S$17,'TAR FIN'!$A$1:$O$100,15,0)),0,VLOOKUP($S$17,'TAR FIN'!$A$1:$O$100,15,0))</f>
        <v>0</v>
      </c>
      <c r="W17" s="6">
        <f>IF(ISERROR(VLOOKUP($T$17,'TAR FIN'!$A$1:$O$100,15,0)),0,VLOOKUP($T$17,'TAR FIN'!$A$1:$O$100,15,0))</f>
        <v>33.26</v>
      </c>
      <c r="X17" s="6">
        <f>IF(ISERROR(VLOOKUP($U$17,'TAR FIN'!$A$1:$O$100,15,0)),0,VLOOKUP($U$17,'TAR FIN'!$A$1:$O$100,15,0))</f>
        <v>0</v>
      </c>
      <c r="Y17" s="6"/>
      <c r="Z17" s="6">
        <f ca="1">('TUSD BE'!$AM$7+'TUSD BF'!$AM$7+'TUSD CVA'!$AM$7)*1</f>
        <v>37.836636027903069</v>
      </c>
      <c r="AA17" s="6"/>
      <c r="AB17" s="6">
        <f>$K$17*$V$17</f>
        <v>0</v>
      </c>
      <c r="AC17" s="6">
        <f>$M$17*$W$17</f>
        <v>182410.51206000001</v>
      </c>
      <c r="AD17" s="6">
        <f>$O$17*$X$17</f>
        <v>0</v>
      </c>
      <c r="AE17" s="6">
        <f>$K$17*$Y$17</f>
        <v>0</v>
      </c>
      <c r="AF17" s="6">
        <f ca="1">$M$17*$Z$17</f>
        <v>207510.52773534707</v>
      </c>
      <c r="AG17" s="6">
        <f>$O$17*$AA$17</f>
        <v>0</v>
      </c>
    </row>
    <row r="18" spans="1:47" ht="11.25" customHeight="1" x14ac:dyDescent="0.25">
      <c r="A18" s="4" t="s">
        <v>21</v>
      </c>
      <c r="B18" s="4" t="s">
        <v>56</v>
      </c>
      <c r="C18" s="4" t="s">
        <v>40</v>
      </c>
      <c r="D18" s="4" t="s">
        <v>38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44348</v>
      </c>
      <c r="J18" s="6">
        <v>0</v>
      </c>
      <c r="K18" s="6">
        <v>0</v>
      </c>
      <c r="L18" s="6">
        <v>5812.6880000000001</v>
      </c>
      <c r="M18" s="6">
        <v>5812.6880000000001</v>
      </c>
      <c r="N18" s="6">
        <v>0</v>
      </c>
      <c r="O18" s="6">
        <v>0</v>
      </c>
      <c r="P18" s="6">
        <v>1</v>
      </c>
      <c r="Q18" s="4" t="s">
        <v>57</v>
      </c>
      <c r="R18" s="4">
        <v>0</v>
      </c>
      <c r="S18" s="6">
        <v>0</v>
      </c>
      <c r="T18" s="6">
        <v>1</v>
      </c>
      <c r="U18" s="6">
        <v>0</v>
      </c>
      <c r="V18" s="6">
        <f>IF(ISERROR(VLOOKUP($S$18,'TAR FIN'!$A$1:$O$100,15,0)),0,VLOOKUP($S$18,'TAR FIN'!$A$1:$O$100,15,0))</f>
        <v>0</v>
      </c>
      <c r="W18" s="6">
        <f>IF(ISERROR(VLOOKUP($T$18,'TAR FIN'!$A$1:$O$100,15,0)),0,VLOOKUP($T$18,'TAR FIN'!$A$1:$O$100,15,0))</f>
        <v>33.26</v>
      </c>
      <c r="X18" s="6">
        <f>IF(ISERROR(VLOOKUP($U$18,'TAR FIN'!$A$1:$O$100,15,0)),0,VLOOKUP($U$18,'TAR FIN'!$A$1:$O$100,15,0))</f>
        <v>0</v>
      </c>
      <c r="Y18" s="6"/>
      <c r="Z18" s="6">
        <f ca="1">('TUSD BE'!$AM$7+'TUSD BF'!$AM$7+'TUSD CVA'!$AM$7)*1</f>
        <v>37.836636027903069</v>
      </c>
      <c r="AA18" s="6"/>
      <c r="AB18" s="6">
        <f>$K$18*$V$18</f>
        <v>0</v>
      </c>
      <c r="AC18" s="6">
        <f>$M$18*$W$18</f>
        <v>193330.00287999999</v>
      </c>
      <c r="AD18" s="6">
        <f>$O$18*$X$18</f>
        <v>0</v>
      </c>
      <c r="AE18" s="6">
        <f>$K$18*$Y$18</f>
        <v>0</v>
      </c>
      <c r="AF18" s="6">
        <f ca="1">$M$18*$Z$18</f>
        <v>219932.56019975984</v>
      </c>
      <c r="AG18" s="6">
        <f>$O$18*$AA$18</f>
        <v>0</v>
      </c>
    </row>
    <row r="19" spans="1:47" ht="11.25" customHeight="1" x14ac:dyDescent="0.25">
      <c r="A19" s="4" t="s">
        <v>21</v>
      </c>
      <c r="B19" s="4" t="s">
        <v>56</v>
      </c>
      <c r="C19" s="4" t="s">
        <v>40</v>
      </c>
      <c r="D19" s="4" t="s">
        <v>38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44378</v>
      </c>
      <c r="J19" s="6">
        <v>0</v>
      </c>
      <c r="K19" s="6">
        <v>0</v>
      </c>
      <c r="L19" s="6">
        <v>5507.1850000000004</v>
      </c>
      <c r="M19" s="6">
        <v>5507.1850000000004</v>
      </c>
      <c r="N19" s="6">
        <v>0</v>
      </c>
      <c r="O19" s="6">
        <v>0</v>
      </c>
      <c r="P19" s="6">
        <v>1</v>
      </c>
      <c r="Q19" s="4" t="s">
        <v>57</v>
      </c>
      <c r="R19" s="4">
        <v>0</v>
      </c>
      <c r="S19" s="6">
        <v>0</v>
      </c>
      <c r="T19" s="6">
        <v>1</v>
      </c>
      <c r="U19" s="6">
        <v>0</v>
      </c>
      <c r="V19" s="6">
        <f>IF(ISERROR(VLOOKUP($S$19,'TAR FIN'!$A$1:$O$100,15,0)),0,VLOOKUP($S$19,'TAR FIN'!$A$1:$O$100,15,0))</f>
        <v>0</v>
      </c>
      <c r="W19" s="6">
        <f>IF(ISERROR(VLOOKUP($T$19,'TAR FIN'!$A$1:$O$100,15,0)),0,VLOOKUP($T$19,'TAR FIN'!$A$1:$O$100,15,0))</f>
        <v>33.26</v>
      </c>
      <c r="X19" s="6">
        <f>IF(ISERROR(VLOOKUP($U$19,'TAR FIN'!$A$1:$O$100,15,0)),0,VLOOKUP($U$19,'TAR FIN'!$A$1:$O$100,15,0))</f>
        <v>0</v>
      </c>
      <c r="Y19" s="6"/>
      <c r="Z19" s="6">
        <f ca="1">('TUSD BE'!$AM$7+'TUSD BF'!$AM$7+'TUSD CVA'!$AM$7)*1</f>
        <v>37.836636027903069</v>
      </c>
      <c r="AA19" s="6"/>
      <c r="AB19" s="6">
        <f>$K$19*$V$19</f>
        <v>0</v>
      </c>
      <c r="AC19" s="6">
        <f>$M$19*$W$19</f>
        <v>183168.9731</v>
      </c>
      <c r="AD19" s="6">
        <f>$O$19*$X$19</f>
        <v>0</v>
      </c>
      <c r="AE19" s="6">
        <f>$K$19*$Y$19</f>
        <v>0</v>
      </c>
      <c r="AF19" s="6">
        <f ca="1">$M$19*$Z$19</f>
        <v>208373.35438332739</v>
      </c>
      <c r="AG19" s="6">
        <f>$O$19*$AA$19</f>
        <v>0</v>
      </c>
      <c r="AU19" s="55">
        <f ca="1">AU13-AU15</f>
        <v>0</v>
      </c>
    </row>
    <row r="20" spans="1:47" ht="11.25" customHeight="1" x14ac:dyDescent="0.25">
      <c r="A20" s="4" t="s">
        <v>21</v>
      </c>
      <c r="B20" s="4" t="s">
        <v>56</v>
      </c>
      <c r="C20" s="4" t="s">
        <v>40</v>
      </c>
      <c r="D20" s="4" t="s">
        <v>38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44409</v>
      </c>
      <c r="J20" s="6">
        <v>0</v>
      </c>
      <c r="K20" s="6">
        <v>0</v>
      </c>
      <c r="L20" s="6">
        <v>6117.5540000000001</v>
      </c>
      <c r="M20" s="6">
        <v>6117.5540000000001</v>
      </c>
      <c r="N20" s="6">
        <v>0</v>
      </c>
      <c r="O20" s="6">
        <v>0</v>
      </c>
      <c r="P20" s="6">
        <v>1</v>
      </c>
      <c r="Q20" s="4" t="s">
        <v>57</v>
      </c>
      <c r="R20" s="4">
        <v>0</v>
      </c>
      <c r="S20" s="6">
        <v>0</v>
      </c>
      <c r="T20" s="6">
        <v>1</v>
      </c>
      <c r="U20" s="6">
        <v>0</v>
      </c>
      <c r="V20" s="6">
        <f>IF(ISERROR(VLOOKUP($S$20,'TAR FIN'!$A$1:$O$100,15,0)),0,VLOOKUP($S$20,'TAR FIN'!$A$1:$O$100,15,0))</f>
        <v>0</v>
      </c>
      <c r="W20" s="6">
        <f>IF(ISERROR(VLOOKUP($T$20,'TAR FIN'!$A$1:$O$100,15,0)),0,VLOOKUP($T$20,'TAR FIN'!$A$1:$O$100,15,0))</f>
        <v>33.26</v>
      </c>
      <c r="X20" s="6">
        <f>IF(ISERROR(VLOOKUP($U$20,'TAR FIN'!$A$1:$O$100,15,0)),0,VLOOKUP($U$20,'TAR FIN'!$A$1:$O$100,15,0))</f>
        <v>0</v>
      </c>
      <c r="Y20" s="6"/>
      <c r="Z20" s="6">
        <f ca="1">('TUSD BE'!$AM$7+'TUSD BF'!$AM$7+'TUSD CVA'!$AM$7)*1</f>
        <v>37.836636027903069</v>
      </c>
      <c r="AA20" s="6"/>
      <c r="AB20" s="6">
        <f>$K$20*$V$20</f>
        <v>0</v>
      </c>
      <c r="AC20" s="6">
        <f>$M$20*$W$20</f>
        <v>203469.84604</v>
      </c>
      <c r="AD20" s="6">
        <f>$O$20*$X$20</f>
        <v>0</v>
      </c>
      <c r="AE20" s="6">
        <f>$K$20*$Y$20</f>
        <v>0</v>
      </c>
      <c r="AF20" s="6">
        <f ca="1">$M$20*$Z$20</f>
        <v>231467.66407904253</v>
      </c>
      <c r="AG20" s="6">
        <f>$O$20*$AA$20</f>
        <v>0</v>
      </c>
    </row>
    <row r="21" spans="1:47" ht="11.25" customHeight="1" x14ac:dyDescent="0.25">
      <c r="A21" s="4" t="s">
        <v>21</v>
      </c>
      <c r="B21" s="4" t="s">
        <v>56</v>
      </c>
      <c r="C21" s="4" t="s">
        <v>40</v>
      </c>
      <c r="D21" s="4" t="s">
        <v>38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44440</v>
      </c>
      <c r="J21" s="6">
        <v>0</v>
      </c>
      <c r="K21" s="6">
        <v>0</v>
      </c>
      <c r="L21" s="6">
        <v>5970.9549999999999</v>
      </c>
      <c r="M21" s="6">
        <v>5970.9549999999999</v>
      </c>
      <c r="N21" s="6">
        <v>0</v>
      </c>
      <c r="O21" s="6">
        <v>0</v>
      </c>
      <c r="P21" s="6">
        <v>1</v>
      </c>
      <c r="Q21" s="4" t="s">
        <v>57</v>
      </c>
      <c r="R21" s="4">
        <v>0</v>
      </c>
      <c r="S21" s="6">
        <v>0</v>
      </c>
      <c r="T21" s="6">
        <v>1</v>
      </c>
      <c r="U21" s="6">
        <v>0</v>
      </c>
      <c r="V21" s="6">
        <f>IF(ISERROR(VLOOKUP($S$21,'TAR FIN'!$A$1:$O$100,15,0)),0,VLOOKUP($S$21,'TAR FIN'!$A$1:$O$100,15,0))</f>
        <v>0</v>
      </c>
      <c r="W21" s="6">
        <f>IF(ISERROR(VLOOKUP($T$21,'TAR FIN'!$A$1:$O$100,15,0)),0,VLOOKUP($T$21,'TAR FIN'!$A$1:$O$100,15,0))</f>
        <v>33.26</v>
      </c>
      <c r="X21" s="6">
        <f>IF(ISERROR(VLOOKUP($U$21,'TAR FIN'!$A$1:$O$100,15,0)),0,VLOOKUP($U$21,'TAR FIN'!$A$1:$O$100,15,0))</f>
        <v>0</v>
      </c>
      <c r="Y21" s="6"/>
      <c r="Z21" s="6">
        <f ca="1">('TUSD BE'!$AM$7+'TUSD BF'!$AM$7+'TUSD CVA'!$AM$7)*1</f>
        <v>37.836636027903069</v>
      </c>
      <c r="AA21" s="6"/>
      <c r="AB21" s="6">
        <f>$K$21*$V$21</f>
        <v>0</v>
      </c>
      <c r="AC21" s="6">
        <f>$M$21*$W$21</f>
        <v>198593.96329999997</v>
      </c>
      <c r="AD21" s="6">
        <f>$O$21*$X$21</f>
        <v>0</v>
      </c>
      <c r="AE21" s="6">
        <f>$K$21*$Y$21</f>
        <v>0</v>
      </c>
      <c r="AF21" s="6">
        <f ca="1">$M$21*$Z$21</f>
        <v>225920.85107398796</v>
      </c>
      <c r="AG21" s="6">
        <f>$O$21*$AA$21</f>
        <v>0</v>
      </c>
    </row>
    <row r="22" spans="1:47" ht="11.25" customHeight="1" x14ac:dyDescent="0.25">
      <c r="A22" s="4" t="s">
        <v>21</v>
      </c>
      <c r="B22" s="4" t="s">
        <v>56</v>
      </c>
      <c r="C22" s="4" t="s">
        <v>40</v>
      </c>
      <c r="D22" s="4" t="s">
        <v>38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44470</v>
      </c>
      <c r="J22" s="6">
        <v>0</v>
      </c>
      <c r="K22" s="6">
        <v>0</v>
      </c>
      <c r="L22" s="6">
        <v>5870.5640000000003</v>
      </c>
      <c r="M22" s="6">
        <v>5870.5640000000003</v>
      </c>
      <c r="N22" s="6">
        <v>0</v>
      </c>
      <c r="O22" s="6">
        <v>0</v>
      </c>
      <c r="P22" s="6">
        <v>1</v>
      </c>
      <c r="Q22" s="4" t="s">
        <v>57</v>
      </c>
      <c r="R22" s="4">
        <v>0</v>
      </c>
      <c r="S22" s="6">
        <v>0</v>
      </c>
      <c r="T22" s="6">
        <v>1</v>
      </c>
      <c r="U22" s="6">
        <v>0</v>
      </c>
      <c r="V22" s="6">
        <f>IF(ISERROR(VLOOKUP($S$22,'TAR FIN'!$A$1:$O$100,15,0)),0,VLOOKUP($S$22,'TAR FIN'!$A$1:$O$100,15,0))</f>
        <v>0</v>
      </c>
      <c r="W22" s="6">
        <f>IF(ISERROR(VLOOKUP($T$22,'TAR FIN'!$A$1:$O$100,15,0)),0,VLOOKUP($T$22,'TAR FIN'!$A$1:$O$100,15,0))</f>
        <v>33.26</v>
      </c>
      <c r="X22" s="6">
        <f>IF(ISERROR(VLOOKUP($U$22,'TAR FIN'!$A$1:$O$100,15,0)),0,VLOOKUP($U$22,'TAR FIN'!$A$1:$O$100,15,0))</f>
        <v>0</v>
      </c>
      <c r="Y22" s="6"/>
      <c r="Z22" s="6">
        <f ca="1">('TUSD BE'!$AM$7+'TUSD BF'!$AM$7+'TUSD CVA'!$AM$7)*1</f>
        <v>37.836636027903069</v>
      </c>
      <c r="AA22" s="6"/>
      <c r="AB22" s="6">
        <f>$K$22*$V$22</f>
        <v>0</v>
      </c>
      <c r="AC22" s="6">
        <f>$M$22*$W$22</f>
        <v>195254.95864</v>
      </c>
      <c r="AD22" s="6">
        <f>$O$22*$X$22</f>
        <v>0</v>
      </c>
      <c r="AE22" s="6">
        <f>$K$22*$Y$22</f>
        <v>0</v>
      </c>
      <c r="AF22" s="6">
        <f ca="1">$M$22*$Z$22</f>
        <v>222122.39334651077</v>
      </c>
      <c r="AG22" s="6">
        <f>$O$22*$AA$22</f>
        <v>0</v>
      </c>
    </row>
    <row r="23" spans="1:47" ht="11.25" customHeight="1" x14ac:dyDescent="0.25">
      <c r="A23" s="4" t="s">
        <v>21</v>
      </c>
      <c r="B23" s="4" t="s">
        <v>56</v>
      </c>
      <c r="C23" s="4" t="s">
        <v>40</v>
      </c>
      <c r="D23" s="4" t="s">
        <v>38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44501</v>
      </c>
      <c r="J23" s="6">
        <v>0</v>
      </c>
      <c r="K23" s="6">
        <v>0</v>
      </c>
      <c r="L23" s="6">
        <v>6109.4520000000002</v>
      </c>
      <c r="M23" s="6">
        <v>6109.4520000000002</v>
      </c>
      <c r="N23" s="6">
        <v>0</v>
      </c>
      <c r="O23" s="6">
        <v>0</v>
      </c>
      <c r="P23" s="6">
        <v>1</v>
      </c>
      <c r="Q23" s="4" t="s">
        <v>57</v>
      </c>
      <c r="R23" s="4">
        <v>0</v>
      </c>
      <c r="S23" s="6">
        <v>0</v>
      </c>
      <c r="T23" s="6">
        <v>1</v>
      </c>
      <c r="U23" s="6">
        <v>0</v>
      </c>
      <c r="V23" s="6">
        <f>IF(ISERROR(VLOOKUP($S$23,'TAR FIN'!$A$1:$O$100,15,0)),0,VLOOKUP($S$23,'TAR FIN'!$A$1:$O$100,15,0))</f>
        <v>0</v>
      </c>
      <c r="W23" s="6">
        <f>IF(ISERROR(VLOOKUP($T$23,'TAR FIN'!$A$1:$O$100,15,0)),0,VLOOKUP($T$23,'TAR FIN'!$A$1:$O$100,15,0))</f>
        <v>33.26</v>
      </c>
      <c r="X23" s="6">
        <f>IF(ISERROR(VLOOKUP($U$23,'TAR FIN'!$A$1:$O$100,15,0)),0,VLOOKUP($U$23,'TAR FIN'!$A$1:$O$100,15,0))</f>
        <v>0</v>
      </c>
      <c r="Y23" s="6"/>
      <c r="Z23" s="6">
        <f ca="1">('TUSD BE'!$AM$7+'TUSD BF'!$AM$7+'TUSD CVA'!$AM$7)*1</f>
        <v>37.836636027903069</v>
      </c>
      <c r="AA23" s="6"/>
      <c r="AB23" s="6">
        <f>$K$23*$V$23</f>
        <v>0</v>
      </c>
      <c r="AC23" s="6">
        <f>$M$23*$W$23</f>
        <v>203200.37351999999</v>
      </c>
      <c r="AD23" s="6">
        <f>$O$23*$X$23</f>
        <v>0</v>
      </c>
      <c r="AE23" s="6">
        <f>$K$23*$Y$23</f>
        <v>0</v>
      </c>
      <c r="AF23" s="6">
        <f ca="1">$M$23*$Z$23</f>
        <v>231161.11165394448</v>
      </c>
      <c r="AG23" s="6">
        <f>$O$23*$AA$23</f>
        <v>0</v>
      </c>
    </row>
    <row r="24" spans="1:47" ht="11.25" customHeight="1" x14ac:dyDescent="0.25">
      <c r="A24" s="4" t="s">
        <v>21</v>
      </c>
      <c r="B24" s="4" t="s">
        <v>56</v>
      </c>
      <c r="C24" s="4" t="s">
        <v>40</v>
      </c>
      <c r="D24" s="4" t="s">
        <v>38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44531</v>
      </c>
      <c r="J24" s="6">
        <v>0</v>
      </c>
      <c r="K24" s="6">
        <v>0</v>
      </c>
      <c r="L24" s="6">
        <v>5940.8140000000003</v>
      </c>
      <c r="M24" s="6">
        <v>5940.8140000000003</v>
      </c>
      <c r="N24" s="6">
        <v>0</v>
      </c>
      <c r="O24" s="6">
        <v>0</v>
      </c>
      <c r="P24" s="6">
        <v>1</v>
      </c>
      <c r="Q24" s="4" t="s">
        <v>57</v>
      </c>
      <c r="R24" s="4">
        <v>0</v>
      </c>
      <c r="S24" s="6">
        <v>0</v>
      </c>
      <c r="T24" s="6">
        <v>1</v>
      </c>
      <c r="U24" s="6">
        <v>0</v>
      </c>
      <c r="V24" s="6">
        <f>IF(ISERROR(VLOOKUP($S$24,'TAR FIN'!$A$1:$O$100,15,0)),0,VLOOKUP($S$24,'TAR FIN'!$A$1:$O$100,15,0))</f>
        <v>0</v>
      </c>
      <c r="W24" s="6">
        <f>IF(ISERROR(VLOOKUP($T$24,'TAR FIN'!$A$1:$O$100,15,0)),0,VLOOKUP($T$24,'TAR FIN'!$A$1:$O$100,15,0))</f>
        <v>33.26</v>
      </c>
      <c r="X24" s="6">
        <f>IF(ISERROR(VLOOKUP($U$24,'TAR FIN'!$A$1:$O$100,15,0)),0,VLOOKUP($U$24,'TAR FIN'!$A$1:$O$100,15,0))</f>
        <v>0</v>
      </c>
      <c r="Y24" s="6"/>
      <c r="Z24" s="6">
        <f ca="1">('TUSD BE'!$AM$7+'TUSD BF'!$AM$7+'TUSD CVA'!$AM$7)*1</f>
        <v>37.836636027903069</v>
      </c>
      <c r="AA24" s="6"/>
      <c r="AB24" s="6">
        <f>$K$24*$V$24</f>
        <v>0</v>
      </c>
      <c r="AC24" s="6">
        <f>$M$24*$W$24</f>
        <v>197591.47364000001</v>
      </c>
      <c r="AD24" s="6">
        <f>$O$24*$X$24</f>
        <v>0</v>
      </c>
      <c r="AE24" s="6">
        <f>$K$24*$Y$24</f>
        <v>0</v>
      </c>
      <c r="AF24" s="6">
        <f ca="1">$M$24*$Z$24</f>
        <v>224780.41702747095</v>
      </c>
      <c r="AG24" s="6">
        <f>$O$24*$AA$24</f>
        <v>0</v>
      </c>
    </row>
    <row r="25" spans="1:47" ht="11.25" customHeight="1" x14ac:dyDescent="0.25">
      <c r="A25" s="4" t="s">
        <v>55</v>
      </c>
      <c r="B25" s="4" t="s">
        <v>56</v>
      </c>
      <c r="C25" s="4" t="s">
        <v>40</v>
      </c>
      <c r="D25" s="4" t="s">
        <v>38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44562</v>
      </c>
      <c r="J25" s="6">
        <v>0</v>
      </c>
      <c r="K25" s="6">
        <v>0</v>
      </c>
      <c r="L25" s="6">
        <v>5940.8140000000003</v>
      </c>
      <c r="M25" s="6">
        <v>5940.8140000000003</v>
      </c>
      <c r="N25" s="6">
        <v>0</v>
      </c>
      <c r="O25" s="6">
        <v>0</v>
      </c>
      <c r="P25" s="6">
        <v>1</v>
      </c>
      <c r="Q25" s="4" t="s">
        <v>57</v>
      </c>
      <c r="R25" s="4">
        <v>0</v>
      </c>
      <c r="S25" s="6">
        <v>0</v>
      </c>
      <c r="T25" s="6">
        <v>1</v>
      </c>
      <c r="U25" s="6">
        <v>0</v>
      </c>
      <c r="V25" s="6">
        <f>IF(ISERROR(VLOOKUP($S$25,'TAR FIN'!$A$1:$O$100,15,0)),0,VLOOKUP($S$25,'TAR FIN'!$A$1:$O$100,15,0))</f>
        <v>0</v>
      </c>
      <c r="W25" s="6">
        <f>IF(ISERROR(VLOOKUP($T$25,'TAR FIN'!$A$1:$O$100,15,0)),0,VLOOKUP($T$25,'TAR FIN'!$A$1:$O$100,15,0))</f>
        <v>33.26</v>
      </c>
      <c r="X25" s="6">
        <f>IF(ISERROR(VLOOKUP($U$25,'TAR FIN'!$A$1:$O$100,15,0)),0,VLOOKUP($U$25,'TAR FIN'!$A$1:$O$100,15,0))</f>
        <v>0</v>
      </c>
      <c r="Y25" s="6"/>
      <c r="Z25" s="6">
        <f ca="1">('TUSD BE'!$AM$7+'TUSD BF'!$AM$7+'TUSD CVA'!$AM$7)*1</f>
        <v>37.836636027903069</v>
      </c>
      <c r="AA25" s="6"/>
      <c r="AB25" s="6">
        <f>$K$25*$V$25</f>
        <v>0</v>
      </c>
      <c r="AC25" s="6">
        <f>$M$25*$W$25</f>
        <v>197591.47364000001</v>
      </c>
      <c r="AD25" s="6">
        <f>$O$25*$X$25</f>
        <v>0</v>
      </c>
      <c r="AE25" s="6">
        <f>$K$25*$Y$25</f>
        <v>0</v>
      </c>
      <c r="AF25" s="6">
        <f ca="1">$M$25*$Z$25</f>
        <v>224780.41702747095</v>
      </c>
      <c r="AG25" s="6">
        <f>$O$25*$AA$25</f>
        <v>0</v>
      </c>
    </row>
    <row r="26" spans="1:47" ht="11.25" customHeight="1" x14ac:dyDescent="0.25">
      <c r="A26" s="4" t="s">
        <v>21</v>
      </c>
      <c r="B26" s="4" t="s">
        <v>56</v>
      </c>
      <c r="C26" s="4" t="s">
        <v>40</v>
      </c>
      <c r="D26" s="4" t="s">
        <v>38</v>
      </c>
      <c r="E26" s="4" t="s">
        <v>25</v>
      </c>
      <c r="F26" s="4" t="s">
        <v>25</v>
      </c>
      <c r="G26" s="4" t="s">
        <v>25</v>
      </c>
      <c r="H26" s="4" t="s">
        <v>34</v>
      </c>
      <c r="I26" s="5">
        <v>44228</v>
      </c>
      <c r="J26" s="6">
        <v>9835</v>
      </c>
      <c r="K26" s="6">
        <v>9835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6">
        <v>3</v>
      </c>
      <c r="T26" s="6">
        <v>0</v>
      </c>
      <c r="U26" s="6">
        <v>0</v>
      </c>
      <c r="V26" s="6">
        <f>IF(ISERROR(VLOOKUP($S$26,'TAR FIN'!$A$1:$O$100,15,0)),0,VLOOKUP($S$26,'TAR FIN'!$A$1:$O$100,15,0))</f>
        <v>13.52</v>
      </c>
      <c r="W26" s="6">
        <f>IF(ISERROR(VLOOKUP($T$26,'TAR FIN'!$A$1:$O$100,15,0)),0,VLOOKUP($T$26,'TAR FIN'!$A$1:$O$100,15,0))</f>
        <v>0</v>
      </c>
      <c r="X26" s="6">
        <f>IF(ISERROR(VLOOKUP($U$26,'TAR FIN'!$A$1:$O$100,15,0)),0,VLOOKUP($U$26,'TAR FIN'!$A$1:$O$100,15,0))</f>
        <v>0</v>
      </c>
      <c r="Y26" s="6">
        <f ca="1">('TUSD BE'!$AM$5+'TUSD BF'!$AM$5+'TUSD CVA'!$AM$5)*1</f>
        <v>11.733745358366466</v>
      </c>
      <c r="Z26" s="6">
        <f ca="1">('TUSD BE'!$AM$7+'TUSD BF'!$AM$7+'TUSD CVA'!$AM$7)*1</f>
        <v>37.836636027903069</v>
      </c>
      <c r="AA26" s="6"/>
      <c r="AB26" s="6">
        <f>$K$26*$V$26</f>
        <v>132969.19999999998</v>
      </c>
      <c r="AC26" s="6">
        <f>$M$26*$W$26</f>
        <v>0</v>
      </c>
      <c r="AD26" s="6">
        <f>$O$26*$X$26</f>
        <v>0</v>
      </c>
      <c r="AE26" s="6">
        <f ca="1">$K$26*$Y$26</f>
        <v>115401.38559953419</v>
      </c>
      <c r="AF26" s="6">
        <f ca="1">$M$26*$Z$26</f>
        <v>0</v>
      </c>
      <c r="AG26" s="6">
        <f>$O$26*$AA$26</f>
        <v>0</v>
      </c>
    </row>
    <row r="27" spans="1:47" ht="11.25" customHeight="1" x14ac:dyDescent="0.25">
      <c r="A27" s="4" t="s">
        <v>21</v>
      </c>
      <c r="B27" s="4" t="s">
        <v>56</v>
      </c>
      <c r="C27" s="4" t="s">
        <v>40</v>
      </c>
      <c r="D27" s="4" t="s">
        <v>38</v>
      </c>
      <c r="E27" s="4" t="s">
        <v>25</v>
      </c>
      <c r="F27" s="4" t="s">
        <v>25</v>
      </c>
      <c r="G27" s="4" t="s">
        <v>25</v>
      </c>
      <c r="H27" s="4" t="s">
        <v>34</v>
      </c>
      <c r="I27" s="5">
        <v>44256</v>
      </c>
      <c r="J27" s="6">
        <v>9888</v>
      </c>
      <c r="K27" s="6">
        <v>9888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6">
        <v>3</v>
      </c>
      <c r="T27" s="6">
        <v>0</v>
      </c>
      <c r="U27" s="6">
        <v>0</v>
      </c>
      <c r="V27" s="6">
        <f>IF(ISERROR(VLOOKUP($S$27,'TAR FIN'!$A$1:$O$100,15,0)),0,VLOOKUP($S$27,'TAR FIN'!$A$1:$O$100,15,0))</f>
        <v>13.52</v>
      </c>
      <c r="W27" s="6">
        <f>IF(ISERROR(VLOOKUP($T$27,'TAR FIN'!$A$1:$O$100,15,0)),0,VLOOKUP($T$27,'TAR FIN'!$A$1:$O$100,15,0))</f>
        <v>0</v>
      </c>
      <c r="X27" s="6">
        <f>IF(ISERROR(VLOOKUP($U$27,'TAR FIN'!$A$1:$O$100,15,0)),0,VLOOKUP($U$27,'TAR FIN'!$A$1:$O$100,15,0))</f>
        <v>0</v>
      </c>
      <c r="Y27" s="6">
        <f ca="1">('TUSD BE'!$AM$5+'TUSD BF'!$AM$5+'TUSD CVA'!$AM$5)*1</f>
        <v>11.733745358366466</v>
      </c>
      <c r="Z27" s="6">
        <f ca="1">('TUSD BE'!$AM$7+'TUSD BF'!$AM$7+'TUSD CVA'!$AM$7)*1</f>
        <v>37.836636027903069</v>
      </c>
      <c r="AA27" s="6"/>
      <c r="AB27" s="6">
        <f>$K$27*$V$27</f>
        <v>133685.76000000001</v>
      </c>
      <c r="AC27" s="6">
        <f>$M$27*$W$27</f>
        <v>0</v>
      </c>
      <c r="AD27" s="6">
        <f>$O$27*$X$27</f>
        <v>0</v>
      </c>
      <c r="AE27" s="6">
        <f ca="1">$K$27*$Y$27</f>
        <v>116023.27410352761</v>
      </c>
      <c r="AF27" s="6">
        <f ca="1">$M$27*$Z$27</f>
        <v>0</v>
      </c>
      <c r="AG27" s="6">
        <f>$O$27*$AA$27</f>
        <v>0</v>
      </c>
    </row>
    <row r="28" spans="1:47" ht="11.25" customHeight="1" x14ac:dyDescent="0.25">
      <c r="A28" s="4" t="s">
        <v>21</v>
      </c>
      <c r="B28" s="4" t="s">
        <v>56</v>
      </c>
      <c r="C28" s="4" t="s">
        <v>40</v>
      </c>
      <c r="D28" s="4" t="s">
        <v>38</v>
      </c>
      <c r="E28" s="4" t="s">
        <v>25</v>
      </c>
      <c r="F28" s="4" t="s">
        <v>25</v>
      </c>
      <c r="G28" s="4" t="s">
        <v>25</v>
      </c>
      <c r="H28" s="4" t="s">
        <v>34</v>
      </c>
      <c r="I28" s="5">
        <v>44287</v>
      </c>
      <c r="J28" s="6">
        <v>9849</v>
      </c>
      <c r="K28" s="6">
        <v>9849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6">
        <v>3</v>
      </c>
      <c r="T28" s="6">
        <v>0</v>
      </c>
      <c r="U28" s="6">
        <v>0</v>
      </c>
      <c r="V28" s="6">
        <f>IF(ISERROR(VLOOKUP($S$28,'TAR FIN'!$A$1:$O$100,15,0)),0,VLOOKUP($S$28,'TAR FIN'!$A$1:$O$100,15,0))</f>
        <v>13.52</v>
      </c>
      <c r="W28" s="6">
        <f>IF(ISERROR(VLOOKUP($T$28,'TAR FIN'!$A$1:$O$100,15,0)),0,VLOOKUP($T$28,'TAR FIN'!$A$1:$O$100,15,0))</f>
        <v>0</v>
      </c>
      <c r="X28" s="6">
        <f>IF(ISERROR(VLOOKUP($U$28,'TAR FIN'!$A$1:$O$100,15,0)),0,VLOOKUP($U$28,'TAR FIN'!$A$1:$O$100,15,0))</f>
        <v>0</v>
      </c>
      <c r="Y28" s="6">
        <f ca="1">('TUSD BE'!$AM$5+'TUSD BF'!$AM$5+'TUSD CVA'!$AM$5)*1</f>
        <v>11.733745358366466</v>
      </c>
      <c r="Z28" s="6">
        <f ca="1">('TUSD BE'!$AM$7+'TUSD BF'!$AM$7+'TUSD CVA'!$AM$7)*1</f>
        <v>37.836636027903069</v>
      </c>
      <c r="AA28" s="6"/>
      <c r="AB28" s="6">
        <f>$K$28*$V$28</f>
        <v>133158.47999999998</v>
      </c>
      <c r="AC28" s="6">
        <f>$M$28*$W$28</f>
        <v>0</v>
      </c>
      <c r="AD28" s="6">
        <f>$O$28*$X$28</f>
        <v>0</v>
      </c>
      <c r="AE28" s="6">
        <f ca="1">$K$28*$Y$28</f>
        <v>115565.65803455132</v>
      </c>
      <c r="AF28" s="6">
        <f ca="1">$M$28*$Z$28</f>
        <v>0</v>
      </c>
      <c r="AG28" s="6">
        <f>$O$28*$AA$28</f>
        <v>0</v>
      </c>
    </row>
    <row r="29" spans="1:47" ht="11.25" customHeight="1" x14ac:dyDescent="0.25">
      <c r="A29" s="4" t="s">
        <v>21</v>
      </c>
      <c r="B29" s="4" t="s">
        <v>56</v>
      </c>
      <c r="C29" s="4" t="s">
        <v>40</v>
      </c>
      <c r="D29" s="4" t="s">
        <v>38</v>
      </c>
      <c r="E29" s="4" t="s">
        <v>25</v>
      </c>
      <c r="F29" s="4" t="s">
        <v>25</v>
      </c>
      <c r="G29" s="4" t="s">
        <v>25</v>
      </c>
      <c r="H29" s="4" t="s">
        <v>34</v>
      </c>
      <c r="I29" s="5">
        <v>44317</v>
      </c>
      <c r="J29" s="6">
        <v>9675</v>
      </c>
      <c r="K29" s="6">
        <v>9675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6">
        <v>3</v>
      </c>
      <c r="T29" s="6">
        <v>0</v>
      </c>
      <c r="U29" s="6">
        <v>0</v>
      </c>
      <c r="V29" s="6">
        <f>IF(ISERROR(VLOOKUP($S$29,'TAR FIN'!$A$1:$O$100,15,0)),0,VLOOKUP($S$29,'TAR FIN'!$A$1:$O$100,15,0))</f>
        <v>13.52</v>
      </c>
      <c r="W29" s="6">
        <f>IF(ISERROR(VLOOKUP($T$29,'TAR FIN'!$A$1:$O$100,15,0)),0,VLOOKUP($T$29,'TAR FIN'!$A$1:$O$100,15,0))</f>
        <v>0</v>
      </c>
      <c r="X29" s="6">
        <f>IF(ISERROR(VLOOKUP($U$29,'TAR FIN'!$A$1:$O$100,15,0)),0,VLOOKUP($U$29,'TAR FIN'!$A$1:$O$100,15,0))</f>
        <v>0</v>
      </c>
      <c r="Y29" s="6">
        <f ca="1">('TUSD BE'!$AM$5+'TUSD BF'!$AM$5+'TUSD CVA'!$AM$5)*1</f>
        <v>11.733745358366466</v>
      </c>
      <c r="Z29" s="6">
        <f ca="1">('TUSD BE'!$AM$7+'TUSD BF'!$AM$7+'TUSD CVA'!$AM$7)*1</f>
        <v>37.836636027903069</v>
      </c>
      <c r="AA29" s="6"/>
      <c r="AB29" s="6">
        <f>$K$29*$V$29</f>
        <v>130806</v>
      </c>
      <c r="AC29" s="6">
        <f>$M$29*$W$29</f>
        <v>0</v>
      </c>
      <c r="AD29" s="6">
        <f>$O$29*$X$29</f>
        <v>0</v>
      </c>
      <c r="AE29" s="6">
        <f ca="1">$K$29*$Y$29</f>
        <v>113523.98634219557</v>
      </c>
      <c r="AF29" s="6">
        <f ca="1">$M$29*$Z$29</f>
        <v>0</v>
      </c>
      <c r="AG29" s="6">
        <f>$O$29*$AA$29</f>
        <v>0</v>
      </c>
    </row>
    <row r="30" spans="1:47" ht="11.25" customHeight="1" x14ac:dyDescent="0.25">
      <c r="A30" s="4" t="s">
        <v>21</v>
      </c>
      <c r="B30" s="4" t="s">
        <v>56</v>
      </c>
      <c r="C30" s="4" t="s">
        <v>40</v>
      </c>
      <c r="D30" s="4" t="s">
        <v>38</v>
      </c>
      <c r="E30" s="4" t="s">
        <v>25</v>
      </c>
      <c r="F30" s="4" t="s">
        <v>25</v>
      </c>
      <c r="G30" s="4" t="s">
        <v>25</v>
      </c>
      <c r="H30" s="4" t="s">
        <v>34</v>
      </c>
      <c r="I30" s="5">
        <v>44348</v>
      </c>
      <c r="J30" s="6">
        <v>9775</v>
      </c>
      <c r="K30" s="6">
        <v>9775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6">
        <v>3</v>
      </c>
      <c r="T30" s="6">
        <v>0</v>
      </c>
      <c r="U30" s="6">
        <v>0</v>
      </c>
      <c r="V30" s="6">
        <f>IF(ISERROR(VLOOKUP($S$30,'TAR FIN'!$A$1:$O$100,15,0)),0,VLOOKUP($S$30,'TAR FIN'!$A$1:$O$100,15,0))</f>
        <v>13.52</v>
      </c>
      <c r="W30" s="6">
        <f>IF(ISERROR(VLOOKUP($T$30,'TAR FIN'!$A$1:$O$100,15,0)),0,VLOOKUP($T$30,'TAR FIN'!$A$1:$O$100,15,0))</f>
        <v>0</v>
      </c>
      <c r="X30" s="6">
        <f>IF(ISERROR(VLOOKUP($U$30,'TAR FIN'!$A$1:$O$100,15,0)),0,VLOOKUP($U$30,'TAR FIN'!$A$1:$O$100,15,0))</f>
        <v>0</v>
      </c>
      <c r="Y30" s="6">
        <f ca="1">('TUSD BE'!$AM$5+'TUSD BF'!$AM$5+'TUSD CVA'!$AM$5)*1</f>
        <v>11.733745358366466</v>
      </c>
      <c r="Z30" s="6">
        <f ca="1">('TUSD BE'!$AM$7+'TUSD BF'!$AM$7+'TUSD CVA'!$AM$7)*1</f>
        <v>37.836636027903069</v>
      </c>
      <c r="AA30" s="6"/>
      <c r="AB30" s="6">
        <f>$K$30*$V$30</f>
        <v>132158</v>
      </c>
      <c r="AC30" s="6">
        <f>$M$30*$W$30</f>
        <v>0</v>
      </c>
      <c r="AD30" s="6">
        <f>$O$30*$X$30</f>
        <v>0</v>
      </c>
      <c r="AE30" s="6">
        <f ca="1">$K$30*$Y$30</f>
        <v>114697.36087803221</v>
      </c>
      <c r="AF30" s="6">
        <f ca="1">$M$30*$Z$30</f>
        <v>0</v>
      </c>
      <c r="AG30" s="6">
        <f>$O$30*$AA$30</f>
        <v>0</v>
      </c>
    </row>
    <row r="31" spans="1:47" ht="11.25" customHeight="1" x14ac:dyDescent="0.25">
      <c r="A31" s="4" t="s">
        <v>21</v>
      </c>
      <c r="B31" s="4" t="s">
        <v>56</v>
      </c>
      <c r="C31" s="4" t="s">
        <v>40</v>
      </c>
      <c r="D31" s="4" t="s">
        <v>38</v>
      </c>
      <c r="E31" s="4" t="s">
        <v>25</v>
      </c>
      <c r="F31" s="4" t="s">
        <v>25</v>
      </c>
      <c r="G31" s="4" t="s">
        <v>25</v>
      </c>
      <c r="H31" s="4" t="s">
        <v>34</v>
      </c>
      <c r="I31" s="5">
        <v>44378</v>
      </c>
      <c r="J31" s="6">
        <v>9500</v>
      </c>
      <c r="K31" s="6">
        <v>9500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6">
        <v>3</v>
      </c>
      <c r="T31" s="6">
        <v>0</v>
      </c>
      <c r="U31" s="6">
        <v>0</v>
      </c>
      <c r="V31" s="6">
        <f>IF(ISERROR(VLOOKUP($S$31,'TAR FIN'!$A$1:$O$100,15,0)),0,VLOOKUP($S$31,'TAR FIN'!$A$1:$O$100,15,0))</f>
        <v>13.52</v>
      </c>
      <c r="W31" s="6">
        <f>IF(ISERROR(VLOOKUP($T$31,'TAR FIN'!$A$1:$O$100,15,0)),0,VLOOKUP($T$31,'TAR FIN'!$A$1:$O$100,15,0))</f>
        <v>0</v>
      </c>
      <c r="X31" s="6">
        <f>IF(ISERROR(VLOOKUP($U$31,'TAR FIN'!$A$1:$O$100,15,0)),0,VLOOKUP($U$31,'TAR FIN'!$A$1:$O$100,15,0))</f>
        <v>0</v>
      </c>
      <c r="Y31" s="6">
        <f ca="1">('TUSD BE'!$AM$5+'TUSD BF'!$AM$5+'TUSD CVA'!$AM$5)*1</f>
        <v>11.733745358366466</v>
      </c>
      <c r="Z31" s="6">
        <f ca="1">('TUSD BE'!$AM$7+'TUSD BF'!$AM$7+'TUSD CVA'!$AM$7)*1</f>
        <v>37.836636027903069</v>
      </c>
      <c r="AA31" s="6"/>
      <c r="AB31" s="6">
        <f>$K$31*$V$31</f>
        <v>128440</v>
      </c>
      <c r="AC31" s="6">
        <f>$M$31*$W$31</f>
        <v>0</v>
      </c>
      <c r="AD31" s="6">
        <f>$O$31*$X$31</f>
        <v>0</v>
      </c>
      <c r="AE31" s="6">
        <f ca="1">$K$31*$Y$31</f>
        <v>111470.58090448142</v>
      </c>
      <c r="AF31" s="6">
        <f ca="1">$M$31*$Z$31</f>
        <v>0</v>
      </c>
      <c r="AG31" s="6">
        <f>$O$31*$AA$31</f>
        <v>0</v>
      </c>
    </row>
    <row r="32" spans="1:47" ht="11.25" customHeight="1" x14ac:dyDescent="0.25">
      <c r="A32" s="4" t="s">
        <v>21</v>
      </c>
      <c r="B32" s="4" t="s">
        <v>56</v>
      </c>
      <c r="C32" s="4" t="s">
        <v>40</v>
      </c>
      <c r="D32" s="4" t="s">
        <v>38</v>
      </c>
      <c r="E32" s="4" t="s">
        <v>25</v>
      </c>
      <c r="F32" s="4" t="s">
        <v>25</v>
      </c>
      <c r="G32" s="4" t="s">
        <v>25</v>
      </c>
      <c r="H32" s="4" t="s">
        <v>34</v>
      </c>
      <c r="I32" s="5">
        <v>44409</v>
      </c>
      <c r="J32" s="6">
        <v>9539</v>
      </c>
      <c r="K32" s="6">
        <v>9539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6">
        <v>3</v>
      </c>
      <c r="T32" s="6">
        <v>0</v>
      </c>
      <c r="U32" s="6">
        <v>0</v>
      </c>
      <c r="V32" s="6">
        <f>IF(ISERROR(VLOOKUP($S$32,'TAR FIN'!$A$1:$O$100,15,0)),0,VLOOKUP($S$32,'TAR FIN'!$A$1:$O$100,15,0))</f>
        <v>13.52</v>
      </c>
      <c r="W32" s="6">
        <f>IF(ISERROR(VLOOKUP($T$32,'TAR FIN'!$A$1:$O$100,15,0)),0,VLOOKUP($T$32,'TAR FIN'!$A$1:$O$100,15,0))</f>
        <v>0</v>
      </c>
      <c r="X32" s="6">
        <f>IF(ISERROR(VLOOKUP($U$32,'TAR FIN'!$A$1:$O$100,15,0)),0,VLOOKUP($U$32,'TAR FIN'!$A$1:$O$100,15,0))</f>
        <v>0</v>
      </c>
      <c r="Y32" s="6">
        <f ca="1">('TUSD BE'!$AM$5+'TUSD BF'!$AM$5+'TUSD CVA'!$AM$5)*1</f>
        <v>11.733745358366466</v>
      </c>
      <c r="Z32" s="6">
        <f ca="1">('TUSD BE'!$AM$7+'TUSD BF'!$AM$7+'TUSD CVA'!$AM$7)*1</f>
        <v>37.836636027903069</v>
      </c>
      <c r="AA32" s="6"/>
      <c r="AB32" s="6">
        <f>$K$32*$V$32</f>
        <v>128967.28</v>
      </c>
      <c r="AC32" s="6">
        <f>$M$32*$W$32</f>
        <v>0</v>
      </c>
      <c r="AD32" s="6">
        <f>$O$32*$X$32</f>
        <v>0</v>
      </c>
      <c r="AE32" s="6">
        <f ca="1">$K$32*$Y$32</f>
        <v>111928.19697345771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56</v>
      </c>
      <c r="C33" s="4" t="s">
        <v>40</v>
      </c>
      <c r="D33" s="4" t="s">
        <v>38</v>
      </c>
      <c r="E33" s="4" t="s">
        <v>25</v>
      </c>
      <c r="F33" s="4" t="s">
        <v>25</v>
      </c>
      <c r="G33" s="4" t="s">
        <v>25</v>
      </c>
      <c r="H33" s="4" t="s">
        <v>34</v>
      </c>
      <c r="I33" s="5">
        <v>44440</v>
      </c>
      <c r="J33" s="6">
        <v>9500</v>
      </c>
      <c r="K33" s="6">
        <v>9500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6">
        <v>3</v>
      </c>
      <c r="T33" s="6">
        <v>0</v>
      </c>
      <c r="U33" s="6">
        <v>0</v>
      </c>
      <c r="V33" s="6">
        <f>IF(ISERROR(VLOOKUP($S$33,'TAR FIN'!$A$1:$O$100,15,0)),0,VLOOKUP($S$33,'TAR FIN'!$A$1:$O$100,15,0))</f>
        <v>13.52</v>
      </c>
      <c r="W33" s="6">
        <f>IF(ISERROR(VLOOKUP($T$33,'TAR FIN'!$A$1:$O$100,15,0)),0,VLOOKUP($T$33,'TAR FIN'!$A$1:$O$100,15,0))</f>
        <v>0</v>
      </c>
      <c r="X33" s="6">
        <f>IF(ISERROR(VLOOKUP($U$33,'TAR FIN'!$A$1:$O$100,15,0)),0,VLOOKUP($U$33,'TAR FIN'!$A$1:$O$100,15,0))</f>
        <v>0</v>
      </c>
      <c r="Y33" s="6">
        <f ca="1">('TUSD BE'!$AM$5+'TUSD BF'!$AM$5+'TUSD CVA'!$AM$5)*1</f>
        <v>11.733745358366466</v>
      </c>
      <c r="Z33" s="6">
        <f ca="1">('TUSD BE'!$AM$7+'TUSD BF'!$AM$7+'TUSD CVA'!$AM$7)*1</f>
        <v>37.836636027903069</v>
      </c>
      <c r="AA33" s="6"/>
      <c r="AB33" s="6">
        <f>$K$33*$V$33</f>
        <v>128440</v>
      </c>
      <c r="AC33" s="6">
        <f>$M$33*$W$33</f>
        <v>0</v>
      </c>
      <c r="AD33" s="6">
        <f>$O$33*$X$33</f>
        <v>0</v>
      </c>
      <c r="AE33" s="6">
        <f ca="1">$K$33*$Y$33</f>
        <v>111470.58090448142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56</v>
      </c>
      <c r="C34" s="4" t="s">
        <v>40</v>
      </c>
      <c r="D34" s="4" t="s">
        <v>38</v>
      </c>
      <c r="E34" s="4" t="s">
        <v>25</v>
      </c>
      <c r="F34" s="4" t="s">
        <v>25</v>
      </c>
      <c r="G34" s="4" t="s">
        <v>25</v>
      </c>
      <c r="H34" s="4" t="s">
        <v>34</v>
      </c>
      <c r="I34" s="5">
        <v>44470</v>
      </c>
      <c r="J34" s="6">
        <v>9524</v>
      </c>
      <c r="K34" s="6">
        <v>9524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6">
        <v>3</v>
      </c>
      <c r="T34" s="6">
        <v>0</v>
      </c>
      <c r="U34" s="6">
        <v>0</v>
      </c>
      <c r="V34" s="6">
        <f>IF(ISERROR(VLOOKUP($S$34,'TAR FIN'!$A$1:$O$100,15,0)),0,VLOOKUP($S$34,'TAR FIN'!$A$1:$O$100,15,0))</f>
        <v>13.52</v>
      </c>
      <c r="W34" s="6">
        <f>IF(ISERROR(VLOOKUP($T$34,'TAR FIN'!$A$1:$O$100,15,0)),0,VLOOKUP($T$34,'TAR FIN'!$A$1:$O$100,15,0))</f>
        <v>0</v>
      </c>
      <c r="X34" s="6">
        <f>IF(ISERROR(VLOOKUP($U$34,'TAR FIN'!$A$1:$O$100,15,0)),0,VLOOKUP($U$34,'TAR FIN'!$A$1:$O$100,15,0))</f>
        <v>0</v>
      </c>
      <c r="Y34" s="6">
        <f ca="1">('TUSD BE'!$AM$5+'TUSD BF'!$AM$5+'TUSD CVA'!$AM$5)*1</f>
        <v>11.733745358366466</v>
      </c>
      <c r="Z34" s="6">
        <f ca="1">('TUSD BE'!$AM$7+'TUSD BF'!$AM$7+'TUSD CVA'!$AM$7)*1</f>
        <v>37.836636027903069</v>
      </c>
      <c r="AA34" s="6"/>
      <c r="AB34" s="6">
        <f>$K$34*$V$34</f>
        <v>128764.48</v>
      </c>
      <c r="AC34" s="6">
        <f>$M$34*$W$34</f>
        <v>0</v>
      </c>
      <c r="AD34" s="6">
        <f>$O$34*$X$34</f>
        <v>0</v>
      </c>
      <c r="AE34" s="6">
        <f ca="1">$K$34*$Y$34</f>
        <v>111752.19079308222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56</v>
      </c>
      <c r="C35" s="4" t="s">
        <v>40</v>
      </c>
      <c r="D35" s="4" t="s">
        <v>38</v>
      </c>
      <c r="E35" s="4" t="s">
        <v>25</v>
      </c>
      <c r="F35" s="4" t="s">
        <v>25</v>
      </c>
      <c r="G35" s="4" t="s">
        <v>25</v>
      </c>
      <c r="H35" s="4" t="s">
        <v>34</v>
      </c>
      <c r="I35" s="5">
        <v>44501</v>
      </c>
      <c r="J35" s="6">
        <v>9528</v>
      </c>
      <c r="K35" s="6">
        <v>9528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6">
        <v>3</v>
      </c>
      <c r="T35" s="6">
        <v>0</v>
      </c>
      <c r="U35" s="6">
        <v>0</v>
      </c>
      <c r="V35" s="6">
        <f>IF(ISERROR(VLOOKUP($S$35,'TAR FIN'!$A$1:$O$100,15,0)),0,VLOOKUP($S$35,'TAR FIN'!$A$1:$O$100,15,0))</f>
        <v>13.52</v>
      </c>
      <c r="W35" s="6">
        <f>IF(ISERROR(VLOOKUP($T$35,'TAR FIN'!$A$1:$O$100,15,0)),0,VLOOKUP($T$35,'TAR FIN'!$A$1:$O$100,15,0))</f>
        <v>0</v>
      </c>
      <c r="X35" s="6">
        <f>IF(ISERROR(VLOOKUP($U$35,'TAR FIN'!$A$1:$O$100,15,0)),0,VLOOKUP($U$35,'TAR FIN'!$A$1:$O$100,15,0))</f>
        <v>0</v>
      </c>
      <c r="Y35" s="6">
        <f ca="1">('TUSD BE'!$AM$5+'TUSD BF'!$AM$5+'TUSD CVA'!$AM$5)*1</f>
        <v>11.733745358366466</v>
      </c>
      <c r="Z35" s="6">
        <f ca="1">('TUSD BE'!$AM$7+'TUSD BF'!$AM$7+'TUSD CVA'!$AM$7)*1</f>
        <v>37.836636027903069</v>
      </c>
      <c r="AA35" s="6"/>
      <c r="AB35" s="6">
        <f>$K$35*$V$35</f>
        <v>128818.56</v>
      </c>
      <c r="AC35" s="6">
        <f>$M$35*$W$35</f>
        <v>0</v>
      </c>
      <c r="AD35" s="6">
        <f>$O$35*$X$35</f>
        <v>0</v>
      </c>
      <c r="AE35" s="6">
        <f ca="1">$K$35*$Y$35</f>
        <v>111799.12577451569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56</v>
      </c>
      <c r="C36" s="4" t="s">
        <v>40</v>
      </c>
      <c r="D36" s="4" t="s">
        <v>38</v>
      </c>
      <c r="E36" s="4" t="s">
        <v>25</v>
      </c>
      <c r="F36" s="4" t="s">
        <v>25</v>
      </c>
      <c r="G36" s="4" t="s">
        <v>25</v>
      </c>
      <c r="H36" s="4" t="s">
        <v>34</v>
      </c>
      <c r="I36" s="5">
        <v>44531</v>
      </c>
      <c r="J36" s="6">
        <v>9656</v>
      </c>
      <c r="K36" s="6">
        <v>9656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6">
        <v>3</v>
      </c>
      <c r="T36" s="6">
        <v>0</v>
      </c>
      <c r="U36" s="6">
        <v>0</v>
      </c>
      <c r="V36" s="6">
        <f>IF(ISERROR(VLOOKUP($S$36,'TAR FIN'!$A$1:$O$100,15,0)),0,VLOOKUP($S$36,'TAR FIN'!$A$1:$O$100,15,0))</f>
        <v>13.52</v>
      </c>
      <c r="W36" s="6">
        <f>IF(ISERROR(VLOOKUP($T$36,'TAR FIN'!$A$1:$O$100,15,0)),0,VLOOKUP($T$36,'TAR FIN'!$A$1:$O$100,15,0))</f>
        <v>0</v>
      </c>
      <c r="X36" s="6">
        <f>IF(ISERROR(VLOOKUP($U$36,'TAR FIN'!$A$1:$O$100,15,0)),0,VLOOKUP($U$36,'TAR FIN'!$A$1:$O$100,15,0))</f>
        <v>0</v>
      </c>
      <c r="Y36" s="6">
        <f ca="1">('TUSD BE'!$AM$5+'TUSD BF'!$AM$5+'TUSD CVA'!$AM$5)*1</f>
        <v>11.733745358366466</v>
      </c>
      <c r="Z36" s="6">
        <f ca="1">('TUSD BE'!$AM$7+'TUSD BF'!$AM$7+'TUSD CVA'!$AM$7)*1</f>
        <v>37.836636027903069</v>
      </c>
      <c r="AA36" s="6"/>
      <c r="AB36" s="6">
        <f>$K$36*$V$36</f>
        <v>130549.12</v>
      </c>
      <c r="AC36" s="6">
        <f>$M$36*$W$36</f>
        <v>0</v>
      </c>
      <c r="AD36" s="6">
        <f>$O$36*$X$36</f>
        <v>0</v>
      </c>
      <c r="AE36" s="6">
        <f ca="1">$K$36*$Y$36</f>
        <v>113301.0451803866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55</v>
      </c>
      <c r="B37" s="4" t="s">
        <v>56</v>
      </c>
      <c r="C37" s="4" t="s">
        <v>40</v>
      </c>
      <c r="D37" s="4" t="s">
        <v>38</v>
      </c>
      <c r="E37" s="4" t="s">
        <v>25</v>
      </c>
      <c r="F37" s="4" t="s">
        <v>25</v>
      </c>
      <c r="G37" s="4" t="s">
        <v>25</v>
      </c>
      <c r="H37" s="4" t="s">
        <v>34</v>
      </c>
      <c r="I37" s="5">
        <v>44562</v>
      </c>
      <c r="J37" s="6">
        <v>9656</v>
      </c>
      <c r="K37" s="6">
        <v>9656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6">
        <v>3</v>
      </c>
      <c r="T37" s="6">
        <v>0</v>
      </c>
      <c r="U37" s="6">
        <v>0</v>
      </c>
      <c r="V37" s="6">
        <f>IF(ISERROR(VLOOKUP($S$37,'TAR FIN'!$A$1:$O$100,15,0)),0,VLOOKUP($S$37,'TAR FIN'!$A$1:$O$100,15,0))</f>
        <v>13.52</v>
      </c>
      <c r="W37" s="6">
        <f>IF(ISERROR(VLOOKUP($T$37,'TAR FIN'!$A$1:$O$100,15,0)),0,VLOOKUP($T$37,'TAR FIN'!$A$1:$O$100,15,0))</f>
        <v>0</v>
      </c>
      <c r="X37" s="6">
        <f>IF(ISERROR(VLOOKUP($U$37,'TAR FIN'!$A$1:$O$100,15,0)),0,VLOOKUP($U$37,'TAR FIN'!$A$1:$O$100,15,0))</f>
        <v>0</v>
      </c>
      <c r="Y37" s="6">
        <f ca="1">('TUSD BE'!$AM$5+'TUSD BF'!$AM$5+'TUSD CVA'!$AM$5)*1</f>
        <v>11.733745358366466</v>
      </c>
      <c r="Z37" s="6">
        <f ca="1">('TUSD BE'!$AM$7+'TUSD BF'!$AM$7+'TUSD CVA'!$AM$7)*1</f>
        <v>37.836636027903069</v>
      </c>
      <c r="AA37" s="6"/>
      <c r="AB37" s="6">
        <f>$K$37*$V$37</f>
        <v>130549.12</v>
      </c>
      <c r="AC37" s="6">
        <f>$M$37*$W$37</f>
        <v>0</v>
      </c>
      <c r="AD37" s="6">
        <f>$O$37*$X$37</f>
        <v>0</v>
      </c>
      <c r="AE37" s="6">
        <f ca="1">$K$37*$Y$37</f>
        <v>113301.0451803866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56</v>
      </c>
      <c r="C38" s="4" t="s">
        <v>59</v>
      </c>
      <c r="D38" s="4" t="s">
        <v>25</v>
      </c>
      <c r="E38" s="4" t="s">
        <v>25</v>
      </c>
      <c r="F38" s="4" t="s">
        <v>25</v>
      </c>
      <c r="G38" s="4" t="s">
        <v>60</v>
      </c>
      <c r="H38" s="4" t="s">
        <v>35</v>
      </c>
      <c r="I38" s="5">
        <v>44228</v>
      </c>
      <c r="J38" s="6">
        <v>18000</v>
      </c>
      <c r="K38" s="6">
        <v>18000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61</v>
      </c>
      <c r="R38" s="4">
        <v>6600</v>
      </c>
      <c r="S38" s="6">
        <v>78</v>
      </c>
      <c r="T38" s="6">
        <v>0</v>
      </c>
      <c r="U38" s="6">
        <v>0</v>
      </c>
      <c r="V38" s="6">
        <f>IF(ISERROR(VLOOKUP($S$38,'TAR FIN'!$A$1:$O$100,15,0)),0,VLOOKUP($S$38,'TAR FIN'!$A$1:$O$100,15,0))</f>
        <v>6.72</v>
      </c>
      <c r="W38" s="6">
        <f>IF(ISERROR(VLOOKUP($T$38,'TAR FIN'!$A$1:$O$100,15,0)),0,VLOOKUP($T$38,'TAR FIN'!$A$1:$O$100,15,0))</f>
        <v>0</v>
      </c>
      <c r="X38" s="6">
        <f>IF(ISERROR(VLOOKUP($U$38,'TAR FIN'!$A$1:$O$100,15,0)),0,VLOOKUP($U$38,'TAR FIN'!$A$1:$O$100,15,0))</f>
        <v>0</v>
      </c>
      <c r="Y38" s="6">
        <f ca="1">('TUSD BE'!$AM$10+'TUSD BF'!$AM$10+'TUSD CVA'!$AM$10)*1</f>
        <v>6.1781553618996528</v>
      </c>
      <c r="Z38" s="6">
        <f ca="1">('TUSD BE'!$AM$11+'TUSD BF'!$AM$11+'TUSD CVA'!$AM$11)*1</f>
        <v>3.1211229838573553</v>
      </c>
      <c r="AA38" s="6"/>
      <c r="AB38" s="6">
        <f>$K$38*$V$38</f>
        <v>120960</v>
      </c>
      <c r="AC38" s="6">
        <f>$M$38*$W$38</f>
        <v>0</v>
      </c>
      <c r="AD38" s="6">
        <f>$O$38*$X$38</f>
        <v>0</v>
      </c>
      <c r="AE38" s="6">
        <f ca="1">$K$38*$Y$38</f>
        <v>111206.79651419375</v>
      </c>
      <c r="AF38" s="6">
        <f ca="1"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56</v>
      </c>
      <c r="C39" s="4" t="s">
        <v>59</v>
      </c>
      <c r="D39" s="4" t="s">
        <v>25</v>
      </c>
      <c r="E39" s="4" t="s">
        <v>25</v>
      </c>
      <c r="F39" s="4" t="s">
        <v>25</v>
      </c>
      <c r="G39" s="4" t="s">
        <v>60</v>
      </c>
      <c r="H39" s="4" t="s">
        <v>35</v>
      </c>
      <c r="I39" s="5">
        <v>44256</v>
      </c>
      <c r="J39" s="6">
        <v>18000</v>
      </c>
      <c r="K39" s="6">
        <v>18000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61</v>
      </c>
      <c r="R39" s="4">
        <v>6600</v>
      </c>
      <c r="S39" s="6">
        <v>78</v>
      </c>
      <c r="T39" s="6">
        <v>0</v>
      </c>
      <c r="U39" s="6">
        <v>0</v>
      </c>
      <c r="V39" s="6">
        <f>IF(ISERROR(VLOOKUP($S$39,'TAR FIN'!$A$1:$O$100,15,0)),0,VLOOKUP($S$39,'TAR FIN'!$A$1:$O$100,15,0))</f>
        <v>6.72</v>
      </c>
      <c r="W39" s="6">
        <f>IF(ISERROR(VLOOKUP($T$39,'TAR FIN'!$A$1:$O$100,15,0)),0,VLOOKUP($T$39,'TAR FIN'!$A$1:$O$100,15,0))</f>
        <v>0</v>
      </c>
      <c r="X39" s="6">
        <f>IF(ISERROR(VLOOKUP($U$39,'TAR FIN'!$A$1:$O$100,15,0)),0,VLOOKUP($U$39,'TAR FIN'!$A$1:$O$100,15,0))</f>
        <v>0</v>
      </c>
      <c r="Y39" s="6">
        <f ca="1">('TUSD BE'!$AM$10+'TUSD BF'!$AM$10+'TUSD CVA'!$AM$10)*1</f>
        <v>6.1781553618996528</v>
      </c>
      <c r="Z39" s="6">
        <f ca="1">('TUSD BE'!$AM$11+'TUSD BF'!$AM$11+'TUSD CVA'!$AM$11)*1</f>
        <v>3.1211229838573553</v>
      </c>
      <c r="AA39" s="6"/>
      <c r="AB39" s="6">
        <f>$K$39*$V$39</f>
        <v>120960</v>
      </c>
      <c r="AC39" s="6">
        <f>$M$39*$W$39</f>
        <v>0</v>
      </c>
      <c r="AD39" s="6">
        <f>$O$39*$X$39</f>
        <v>0</v>
      </c>
      <c r="AE39" s="6">
        <f ca="1">$K$39*$Y$39</f>
        <v>111206.79651419375</v>
      </c>
      <c r="AF39" s="6">
        <f ca="1"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56</v>
      </c>
      <c r="C40" s="4" t="s">
        <v>59</v>
      </c>
      <c r="D40" s="4" t="s">
        <v>25</v>
      </c>
      <c r="E40" s="4" t="s">
        <v>25</v>
      </c>
      <c r="F40" s="4" t="s">
        <v>25</v>
      </c>
      <c r="G40" s="4" t="s">
        <v>60</v>
      </c>
      <c r="H40" s="4" t="s">
        <v>35</v>
      </c>
      <c r="I40" s="5">
        <v>44287</v>
      </c>
      <c r="J40" s="6">
        <v>18000</v>
      </c>
      <c r="K40" s="6">
        <v>18000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61</v>
      </c>
      <c r="R40" s="4">
        <v>6600</v>
      </c>
      <c r="S40" s="6">
        <v>78</v>
      </c>
      <c r="T40" s="6">
        <v>0</v>
      </c>
      <c r="U40" s="6">
        <v>0</v>
      </c>
      <c r="V40" s="6">
        <f>IF(ISERROR(VLOOKUP($S$40,'TAR FIN'!$A$1:$O$100,15,0)),0,VLOOKUP($S$40,'TAR FIN'!$A$1:$O$100,15,0))</f>
        <v>6.72</v>
      </c>
      <c r="W40" s="6">
        <f>IF(ISERROR(VLOOKUP($T$40,'TAR FIN'!$A$1:$O$100,15,0)),0,VLOOKUP($T$40,'TAR FIN'!$A$1:$O$100,15,0))</f>
        <v>0</v>
      </c>
      <c r="X40" s="6">
        <f>IF(ISERROR(VLOOKUP($U$40,'TAR FIN'!$A$1:$O$100,15,0)),0,VLOOKUP($U$40,'TAR FIN'!$A$1:$O$100,15,0))</f>
        <v>0</v>
      </c>
      <c r="Y40" s="6">
        <f ca="1">('TUSD BE'!$AM$10+'TUSD BF'!$AM$10+'TUSD CVA'!$AM$10)*1</f>
        <v>6.1781553618996528</v>
      </c>
      <c r="Z40" s="6">
        <f ca="1">('TUSD BE'!$AM$11+'TUSD BF'!$AM$11+'TUSD CVA'!$AM$11)*1</f>
        <v>3.1211229838573553</v>
      </c>
      <c r="AA40" s="6"/>
      <c r="AB40" s="6">
        <f>$K$40*$V$40</f>
        <v>120960</v>
      </c>
      <c r="AC40" s="6">
        <f>$M$40*$W$40</f>
        <v>0</v>
      </c>
      <c r="AD40" s="6">
        <f>$O$40*$X$40</f>
        <v>0</v>
      </c>
      <c r="AE40" s="6">
        <f ca="1">$K$40*$Y$40</f>
        <v>111206.79651419375</v>
      </c>
      <c r="AF40" s="6">
        <f ca="1"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56</v>
      </c>
      <c r="C41" s="4" t="s">
        <v>59</v>
      </c>
      <c r="D41" s="4" t="s">
        <v>25</v>
      </c>
      <c r="E41" s="4" t="s">
        <v>25</v>
      </c>
      <c r="F41" s="4" t="s">
        <v>25</v>
      </c>
      <c r="G41" s="4" t="s">
        <v>60</v>
      </c>
      <c r="H41" s="4" t="s">
        <v>35</v>
      </c>
      <c r="I41" s="5">
        <v>44317</v>
      </c>
      <c r="J41" s="6">
        <v>18000</v>
      </c>
      <c r="K41" s="6">
        <v>18000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61</v>
      </c>
      <c r="R41" s="4">
        <v>6600</v>
      </c>
      <c r="S41" s="6">
        <v>78</v>
      </c>
      <c r="T41" s="6">
        <v>0</v>
      </c>
      <c r="U41" s="6">
        <v>0</v>
      </c>
      <c r="V41" s="6">
        <f>IF(ISERROR(VLOOKUP($S$41,'TAR FIN'!$A$1:$O$100,15,0)),0,VLOOKUP($S$41,'TAR FIN'!$A$1:$O$100,15,0))</f>
        <v>6.72</v>
      </c>
      <c r="W41" s="6">
        <f>IF(ISERROR(VLOOKUP($T$41,'TAR FIN'!$A$1:$O$100,15,0)),0,VLOOKUP($T$41,'TAR FIN'!$A$1:$O$100,15,0))</f>
        <v>0</v>
      </c>
      <c r="X41" s="6">
        <f>IF(ISERROR(VLOOKUP($U$41,'TAR FIN'!$A$1:$O$100,15,0)),0,VLOOKUP($U$41,'TAR FIN'!$A$1:$O$100,15,0))</f>
        <v>0</v>
      </c>
      <c r="Y41" s="6">
        <f ca="1">('TUSD BE'!$AM$10+'TUSD BF'!$AM$10+'TUSD CVA'!$AM$10)*1</f>
        <v>6.1781553618996528</v>
      </c>
      <c r="Z41" s="6">
        <f ca="1">('TUSD BE'!$AM$11+'TUSD BF'!$AM$11+'TUSD CVA'!$AM$11)*1</f>
        <v>3.1211229838573553</v>
      </c>
      <c r="AA41" s="6"/>
      <c r="AB41" s="6">
        <f>$K$41*$V$41</f>
        <v>120960</v>
      </c>
      <c r="AC41" s="6">
        <f>$M$41*$W$41</f>
        <v>0</v>
      </c>
      <c r="AD41" s="6">
        <f>$O$41*$X$41</f>
        <v>0</v>
      </c>
      <c r="AE41" s="6">
        <f ca="1">$K$41*$Y$41</f>
        <v>111206.79651419375</v>
      </c>
      <c r="AF41" s="6">
        <f ca="1"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56</v>
      </c>
      <c r="C42" s="4" t="s">
        <v>59</v>
      </c>
      <c r="D42" s="4" t="s">
        <v>25</v>
      </c>
      <c r="E42" s="4" t="s">
        <v>25</v>
      </c>
      <c r="F42" s="4" t="s">
        <v>25</v>
      </c>
      <c r="G42" s="4" t="s">
        <v>60</v>
      </c>
      <c r="H42" s="4" t="s">
        <v>35</v>
      </c>
      <c r="I42" s="5">
        <v>44348</v>
      </c>
      <c r="J42" s="6">
        <v>18000</v>
      </c>
      <c r="K42" s="6">
        <v>18000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61</v>
      </c>
      <c r="R42" s="4">
        <v>6600</v>
      </c>
      <c r="S42" s="6">
        <v>78</v>
      </c>
      <c r="T42" s="6">
        <v>0</v>
      </c>
      <c r="U42" s="6">
        <v>0</v>
      </c>
      <c r="V42" s="6">
        <f>IF(ISERROR(VLOOKUP($S$42,'TAR FIN'!$A$1:$O$100,15,0)),0,VLOOKUP($S$42,'TAR FIN'!$A$1:$O$100,15,0))</f>
        <v>6.72</v>
      </c>
      <c r="W42" s="6">
        <f>IF(ISERROR(VLOOKUP($T$42,'TAR FIN'!$A$1:$O$100,15,0)),0,VLOOKUP($T$42,'TAR FIN'!$A$1:$O$100,15,0))</f>
        <v>0</v>
      </c>
      <c r="X42" s="6">
        <f>IF(ISERROR(VLOOKUP($U$42,'TAR FIN'!$A$1:$O$100,15,0)),0,VLOOKUP($U$42,'TAR FIN'!$A$1:$O$100,15,0))</f>
        <v>0</v>
      </c>
      <c r="Y42" s="6">
        <f ca="1">('TUSD BE'!$AM$10+'TUSD BF'!$AM$10+'TUSD CVA'!$AM$10)*1</f>
        <v>6.1781553618996528</v>
      </c>
      <c r="Z42" s="6">
        <f ca="1">('TUSD BE'!$AM$11+'TUSD BF'!$AM$11+'TUSD CVA'!$AM$11)*1</f>
        <v>3.1211229838573553</v>
      </c>
      <c r="AA42" s="6"/>
      <c r="AB42" s="6">
        <f>$K$42*$V$42</f>
        <v>120960</v>
      </c>
      <c r="AC42" s="6">
        <f>$M$42*$W$42</f>
        <v>0</v>
      </c>
      <c r="AD42" s="6">
        <f>$O$42*$X$42</f>
        <v>0</v>
      </c>
      <c r="AE42" s="6">
        <f ca="1">$K$42*$Y$42</f>
        <v>111206.79651419375</v>
      </c>
      <c r="AF42" s="6">
        <f ca="1"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56</v>
      </c>
      <c r="C43" s="4" t="s">
        <v>59</v>
      </c>
      <c r="D43" s="4" t="s">
        <v>25</v>
      </c>
      <c r="E43" s="4" t="s">
        <v>25</v>
      </c>
      <c r="F43" s="4" t="s">
        <v>25</v>
      </c>
      <c r="G43" s="4" t="s">
        <v>60</v>
      </c>
      <c r="H43" s="4" t="s">
        <v>35</v>
      </c>
      <c r="I43" s="5">
        <v>44378</v>
      </c>
      <c r="J43" s="6">
        <v>18000</v>
      </c>
      <c r="K43" s="6">
        <v>18000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61</v>
      </c>
      <c r="R43" s="4">
        <v>6600</v>
      </c>
      <c r="S43" s="6">
        <v>78</v>
      </c>
      <c r="T43" s="6">
        <v>0</v>
      </c>
      <c r="U43" s="6">
        <v>0</v>
      </c>
      <c r="V43" s="6">
        <f>IF(ISERROR(VLOOKUP($S$43,'TAR FIN'!$A$1:$O$100,15,0)),0,VLOOKUP($S$43,'TAR FIN'!$A$1:$O$100,15,0))</f>
        <v>6.72</v>
      </c>
      <c r="W43" s="6">
        <f>IF(ISERROR(VLOOKUP($T$43,'TAR FIN'!$A$1:$O$100,15,0)),0,VLOOKUP($T$43,'TAR FIN'!$A$1:$O$100,15,0))</f>
        <v>0</v>
      </c>
      <c r="X43" s="6">
        <f>IF(ISERROR(VLOOKUP($U$43,'TAR FIN'!$A$1:$O$100,15,0)),0,VLOOKUP($U$43,'TAR FIN'!$A$1:$O$100,15,0))</f>
        <v>0</v>
      </c>
      <c r="Y43" s="6">
        <f ca="1">('TUSD BE'!$AM$10+'TUSD BF'!$AM$10+'TUSD CVA'!$AM$10)*1</f>
        <v>6.1781553618996528</v>
      </c>
      <c r="Z43" s="6">
        <f ca="1">('TUSD BE'!$AM$11+'TUSD BF'!$AM$11+'TUSD CVA'!$AM$11)*1</f>
        <v>3.1211229838573553</v>
      </c>
      <c r="AA43" s="6"/>
      <c r="AB43" s="6">
        <f>$K$43*$V$43</f>
        <v>120960</v>
      </c>
      <c r="AC43" s="6">
        <f>$M$43*$W$43</f>
        <v>0</v>
      </c>
      <c r="AD43" s="6">
        <f>$O$43*$X$43</f>
        <v>0</v>
      </c>
      <c r="AE43" s="6">
        <f ca="1">$K$43*$Y$43</f>
        <v>111206.79651419375</v>
      </c>
      <c r="AF43" s="6">
        <f ca="1"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56</v>
      </c>
      <c r="C44" s="4" t="s">
        <v>59</v>
      </c>
      <c r="D44" s="4" t="s">
        <v>25</v>
      </c>
      <c r="E44" s="4" t="s">
        <v>25</v>
      </c>
      <c r="F44" s="4" t="s">
        <v>25</v>
      </c>
      <c r="G44" s="4" t="s">
        <v>60</v>
      </c>
      <c r="H44" s="4" t="s">
        <v>35</v>
      </c>
      <c r="I44" s="5">
        <v>44409</v>
      </c>
      <c r="J44" s="6">
        <v>18000</v>
      </c>
      <c r="K44" s="6">
        <v>18000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61</v>
      </c>
      <c r="R44" s="4">
        <v>6600</v>
      </c>
      <c r="S44" s="6">
        <v>78</v>
      </c>
      <c r="T44" s="6">
        <v>0</v>
      </c>
      <c r="U44" s="6">
        <v>0</v>
      </c>
      <c r="V44" s="6">
        <f>IF(ISERROR(VLOOKUP($S$44,'TAR FIN'!$A$1:$O$100,15,0)),0,VLOOKUP($S$44,'TAR FIN'!$A$1:$O$100,15,0))</f>
        <v>6.72</v>
      </c>
      <c r="W44" s="6">
        <f>IF(ISERROR(VLOOKUP($T$44,'TAR FIN'!$A$1:$O$100,15,0)),0,VLOOKUP($T$44,'TAR FIN'!$A$1:$O$100,15,0))</f>
        <v>0</v>
      </c>
      <c r="X44" s="6">
        <f>IF(ISERROR(VLOOKUP($U$44,'TAR FIN'!$A$1:$O$100,15,0)),0,VLOOKUP($U$44,'TAR FIN'!$A$1:$O$100,15,0))</f>
        <v>0</v>
      </c>
      <c r="Y44" s="6">
        <f ca="1">('TUSD BE'!$AM$10+'TUSD BF'!$AM$10+'TUSD CVA'!$AM$10)*1</f>
        <v>6.1781553618996528</v>
      </c>
      <c r="Z44" s="6">
        <f ca="1">('TUSD BE'!$AM$11+'TUSD BF'!$AM$11+'TUSD CVA'!$AM$11)*1</f>
        <v>3.1211229838573553</v>
      </c>
      <c r="AA44" s="6"/>
      <c r="AB44" s="6">
        <f>$K$44*$V$44</f>
        <v>120960</v>
      </c>
      <c r="AC44" s="6">
        <f>$M$44*$W$44</f>
        <v>0</v>
      </c>
      <c r="AD44" s="6">
        <f>$O$44*$X$44</f>
        <v>0</v>
      </c>
      <c r="AE44" s="6">
        <f ca="1">$K$44*$Y$44</f>
        <v>111206.79651419375</v>
      </c>
      <c r="AF44" s="6">
        <f ca="1"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56</v>
      </c>
      <c r="C45" s="4" t="s">
        <v>59</v>
      </c>
      <c r="D45" s="4" t="s">
        <v>25</v>
      </c>
      <c r="E45" s="4" t="s">
        <v>25</v>
      </c>
      <c r="F45" s="4" t="s">
        <v>25</v>
      </c>
      <c r="G45" s="4" t="s">
        <v>60</v>
      </c>
      <c r="H45" s="4" t="s">
        <v>35</v>
      </c>
      <c r="I45" s="5">
        <v>44440</v>
      </c>
      <c r="J45" s="6">
        <v>18000</v>
      </c>
      <c r="K45" s="6">
        <v>18000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61</v>
      </c>
      <c r="R45" s="4">
        <v>6600</v>
      </c>
      <c r="S45" s="6">
        <v>78</v>
      </c>
      <c r="T45" s="6">
        <v>0</v>
      </c>
      <c r="U45" s="6">
        <v>0</v>
      </c>
      <c r="V45" s="6">
        <f>IF(ISERROR(VLOOKUP($S$45,'TAR FIN'!$A$1:$O$100,15,0)),0,VLOOKUP($S$45,'TAR FIN'!$A$1:$O$100,15,0))</f>
        <v>6.72</v>
      </c>
      <c r="W45" s="6">
        <f>IF(ISERROR(VLOOKUP($T$45,'TAR FIN'!$A$1:$O$100,15,0)),0,VLOOKUP($T$45,'TAR FIN'!$A$1:$O$100,15,0))</f>
        <v>0</v>
      </c>
      <c r="X45" s="6">
        <f>IF(ISERROR(VLOOKUP($U$45,'TAR FIN'!$A$1:$O$100,15,0)),0,VLOOKUP($U$45,'TAR FIN'!$A$1:$O$100,15,0))</f>
        <v>0</v>
      </c>
      <c r="Y45" s="6">
        <f ca="1">('TUSD BE'!$AM$10+'TUSD BF'!$AM$10+'TUSD CVA'!$AM$10)*1</f>
        <v>6.1781553618996528</v>
      </c>
      <c r="Z45" s="6">
        <f ca="1">('TUSD BE'!$AM$11+'TUSD BF'!$AM$11+'TUSD CVA'!$AM$11)*1</f>
        <v>3.1211229838573553</v>
      </c>
      <c r="AA45" s="6"/>
      <c r="AB45" s="6">
        <f>$K$45*$V$45</f>
        <v>120960</v>
      </c>
      <c r="AC45" s="6">
        <f>$M$45*$W$45</f>
        <v>0</v>
      </c>
      <c r="AD45" s="6">
        <f>$O$45*$X$45</f>
        <v>0</v>
      </c>
      <c r="AE45" s="6">
        <f ca="1">$K$45*$Y$45</f>
        <v>111206.79651419375</v>
      </c>
      <c r="AF45" s="6">
        <f ca="1"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56</v>
      </c>
      <c r="C46" s="4" t="s">
        <v>59</v>
      </c>
      <c r="D46" s="4" t="s">
        <v>25</v>
      </c>
      <c r="E46" s="4" t="s">
        <v>25</v>
      </c>
      <c r="F46" s="4" t="s">
        <v>25</v>
      </c>
      <c r="G46" s="4" t="s">
        <v>60</v>
      </c>
      <c r="H46" s="4" t="s">
        <v>35</v>
      </c>
      <c r="I46" s="5">
        <v>44470</v>
      </c>
      <c r="J46" s="6">
        <v>18000</v>
      </c>
      <c r="K46" s="6">
        <v>18000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61</v>
      </c>
      <c r="R46" s="4">
        <v>6600</v>
      </c>
      <c r="S46" s="6">
        <v>78</v>
      </c>
      <c r="T46" s="6">
        <v>0</v>
      </c>
      <c r="U46" s="6">
        <v>0</v>
      </c>
      <c r="V46" s="6">
        <f>IF(ISERROR(VLOOKUP($S$46,'TAR FIN'!$A$1:$O$100,15,0)),0,VLOOKUP($S$46,'TAR FIN'!$A$1:$O$100,15,0))</f>
        <v>6.72</v>
      </c>
      <c r="W46" s="6">
        <f>IF(ISERROR(VLOOKUP($T$46,'TAR FIN'!$A$1:$O$100,15,0)),0,VLOOKUP($T$46,'TAR FIN'!$A$1:$O$100,15,0))</f>
        <v>0</v>
      </c>
      <c r="X46" s="6">
        <f>IF(ISERROR(VLOOKUP($U$46,'TAR FIN'!$A$1:$O$100,15,0)),0,VLOOKUP($U$46,'TAR FIN'!$A$1:$O$100,15,0))</f>
        <v>0</v>
      </c>
      <c r="Y46" s="6">
        <f ca="1">('TUSD BE'!$AM$10+'TUSD BF'!$AM$10+'TUSD CVA'!$AM$10)*1</f>
        <v>6.1781553618996528</v>
      </c>
      <c r="Z46" s="6">
        <f ca="1">('TUSD BE'!$AM$11+'TUSD BF'!$AM$11+'TUSD CVA'!$AM$11)*1</f>
        <v>3.1211229838573553</v>
      </c>
      <c r="AA46" s="6"/>
      <c r="AB46" s="6">
        <f>$K$46*$V$46</f>
        <v>120960</v>
      </c>
      <c r="AC46" s="6">
        <f>$M$46*$W$46</f>
        <v>0</v>
      </c>
      <c r="AD46" s="6">
        <f>$O$46*$X$46</f>
        <v>0</v>
      </c>
      <c r="AE46" s="6">
        <f ca="1">$K$46*$Y$46</f>
        <v>111206.79651419375</v>
      </c>
      <c r="AF46" s="6">
        <f ca="1"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56</v>
      </c>
      <c r="C47" s="4" t="s">
        <v>59</v>
      </c>
      <c r="D47" s="4" t="s">
        <v>25</v>
      </c>
      <c r="E47" s="4" t="s">
        <v>25</v>
      </c>
      <c r="F47" s="4" t="s">
        <v>25</v>
      </c>
      <c r="G47" s="4" t="s">
        <v>60</v>
      </c>
      <c r="H47" s="4" t="s">
        <v>35</v>
      </c>
      <c r="I47" s="5">
        <v>44501</v>
      </c>
      <c r="J47" s="6">
        <v>18000</v>
      </c>
      <c r="K47" s="6">
        <v>18000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61</v>
      </c>
      <c r="R47" s="4">
        <v>6600</v>
      </c>
      <c r="S47" s="6">
        <v>78</v>
      </c>
      <c r="T47" s="6">
        <v>0</v>
      </c>
      <c r="U47" s="6">
        <v>0</v>
      </c>
      <c r="V47" s="6">
        <f>IF(ISERROR(VLOOKUP($S$47,'TAR FIN'!$A$1:$O$100,15,0)),0,VLOOKUP($S$47,'TAR FIN'!$A$1:$O$100,15,0))</f>
        <v>6.72</v>
      </c>
      <c r="W47" s="6">
        <f>IF(ISERROR(VLOOKUP($T$47,'TAR FIN'!$A$1:$O$100,15,0)),0,VLOOKUP($T$47,'TAR FIN'!$A$1:$O$100,15,0))</f>
        <v>0</v>
      </c>
      <c r="X47" s="6">
        <f>IF(ISERROR(VLOOKUP($U$47,'TAR FIN'!$A$1:$O$100,15,0)),0,VLOOKUP($U$47,'TAR FIN'!$A$1:$O$100,15,0))</f>
        <v>0</v>
      </c>
      <c r="Y47" s="6">
        <f ca="1">('TUSD BE'!$AM$10+'TUSD BF'!$AM$10+'TUSD CVA'!$AM$10)*1</f>
        <v>6.1781553618996528</v>
      </c>
      <c r="Z47" s="6">
        <f ca="1">('TUSD BE'!$AM$11+'TUSD BF'!$AM$11+'TUSD CVA'!$AM$11)*1</f>
        <v>3.1211229838573553</v>
      </c>
      <c r="AA47" s="6"/>
      <c r="AB47" s="6">
        <f>$K$47*$V$47</f>
        <v>120960</v>
      </c>
      <c r="AC47" s="6">
        <f>$M$47*$W$47</f>
        <v>0</v>
      </c>
      <c r="AD47" s="6">
        <f>$O$47*$X$47</f>
        <v>0</v>
      </c>
      <c r="AE47" s="6">
        <f ca="1">$K$47*$Y$47</f>
        <v>111206.79651419375</v>
      </c>
      <c r="AF47" s="6">
        <f ca="1"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56</v>
      </c>
      <c r="C48" s="4" t="s">
        <v>59</v>
      </c>
      <c r="D48" s="4" t="s">
        <v>25</v>
      </c>
      <c r="E48" s="4" t="s">
        <v>25</v>
      </c>
      <c r="F48" s="4" t="s">
        <v>25</v>
      </c>
      <c r="G48" s="4" t="s">
        <v>60</v>
      </c>
      <c r="H48" s="4" t="s">
        <v>35</v>
      </c>
      <c r="I48" s="5">
        <v>44531</v>
      </c>
      <c r="J48" s="6">
        <v>19960</v>
      </c>
      <c r="K48" s="6">
        <v>19960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61</v>
      </c>
      <c r="R48" s="4">
        <v>6600</v>
      </c>
      <c r="S48" s="6">
        <v>78</v>
      </c>
      <c r="T48" s="6">
        <v>0</v>
      </c>
      <c r="U48" s="6">
        <v>0</v>
      </c>
      <c r="V48" s="6">
        <f>IF(ISERROR(VLOOKUP($S$48,'TAR FIN'!$A$1:$O$100,15,0)),0,VLOOKUP($S$48,'TAR FIN'!$A$1:$O$100,15,0))</f>
        <v>6.72</v>
      </c>
      <c r="W48" s="6">
        <f>IF(ISERROR(VLOOKUP($T$48,'TAR FIN'!$A$1:$O$100,15,0)),0,VLOOKUP($T$48,'TAR FIN'!$A$1:$O$100,15,0))</f>
        <v>0</v>
      </c>
      <c r="X48" s="6">
        <f>IF(ISERROR(VLOOKUP($U$48,'TAR FIN'!$A$1:$O$100,15,0)),0,VLOOKUP($U$48,'TAR FIN'!$A$1:$O$100,15,0))</f>
        <v>0</v>
      </c>
      <c r="Y48" s="6">
        <f ca="1">('TUSD BE'!$AM$10+'TUSD BF'!$AM$10+'TUSD CVA'!$AM$10)*1</f>
        <v>6.1781553618996528</v>
      </c>
      <c r="Z48" s="6">
        <f ca="1">('TUSD BE'!$AM$11+'TUSD BF'!$AM$11+'TUSD CVA'!$AM$11)*1</f>
        <v>3.1211229838573553</v>
      </c>
      <c r="AA48" s="6"/>
      <c r="AB48" s="6">
        <f>$K$48*$V$48</f>
        <v>134131.19999999998</v>
      </c>
      <c r="AC48" s="6">
        <f>$M$48*$W$48</f>
        <v>0</v>
      </c>
      <c r="AD48" s="6">
        <f>$O$48*$X$48</f>
        <v>0</v>
      </c>
      <c r="AE48" s="6">
        <f ca="1">$K$48*$Y$48</f>
        <v>123315.98102351707</v>
      </c>
      <c r="AF48" s="6">
        <f ca="1">$M$48*$Z$48</f>
        <v>0</v>
      </c>
      <c r="AG48" s="6">
        <f>$O$48*$AA$48</f>
        <v>0</v>
      </c>
    </row>
    <row r="49" spans="1:33" ht="11.25" customHeight="1" x14ac:dyDescent="0.25">
      <c r="A49" s="4" t="s">
        <v>55</v>
      </c>
      <c r="B49" s="4" t="s">
        <v>56</v>
      </c>
      <c r="C49" s="4" t="s">
        <v>59</v>
      </c>
      <c r="D49" s="4" t="s">
        <v>25</v>
      </c>
      <c r="E49" s="4" t="s">
        <v>25</v>
      </c>
      <c r="F49" s="4" t="s">
        <v>25</v>
      </c>
      <c r="G49" s="4" t="s">
        <v>60</v>
      </c>
      <c r="H49" s="4" t="s">
        <v>35</v>
      </c>
      <c r="I49" s="5">
        <v>44562</v>
      </c>
      <c r="J49" s="6">
        <v>19960</v>
      </c>
      <c r="K49" s="6">
        <v>19960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61</v>
      </c>
      <c r="R49" s="4">
        <v>6600</v>
      </c>
      <c r="S49" s="6">
        <v>78</v>
      </c>
      <c r="T49" s="6">
        <v>0</v>
      </c>
      <c r="U49" s="6">
        <v>0</v>
      </c>
      <c r="V49" s="6">
        <f>IF(ISERROR(VLOOKUP($S$49,'TAR FIN'!$A$1:$O$100,15,0)),0,VLOOKUP($S$49,'TAR FIN'!$A$1:$O$100,15,0))</f>
        <v>6.72</v>
      </c>
      <c r="W49" s="6">
        <f>IF(ISERROR(VLOOKUP($T$49,'TAR FIN'!$A$1:$O$100,15,0)),0,VLOOKUP($T$49,'TAR FIN'!$A$1:$O$100,15,0))</f>
        <v>0</v>
      </c>
      <c r="X49" s="6">
        <f>IF(ISERROR(VLOOKUP($U$49,'TAR FIN'!$A$1:$O$100,15,0)),0,VLOOKUP($U$49,'TAR FIN'!$A$1:$O$100,15,0))</f>
        <v>0</v>
      </c>
      <c r="Y49" s="6">
        <f ca="1">('TUSD BE'!$AM$10+'TUSD BF'!$AM$10+'TUSD CVA'!$AM$10)*1</f>
        <v>6.1781553618996528</v>
      </c>
      <c r="Z49" s="6">
        <f ca="1">('TUSD BE'!$AM$11+'TUSD BF'!$AM$11+'TUSD CVA'!$AM$11)*1</f>
        <v>3.1211229838573553</v>
      </c>
      <c r="AA49" s="6"/>
      <c r="AB49" s="6">
        <f>$K$49*$V$49</f>
        <v>134131.19999999998</v>
      </c>
      <c r="AC49" s="6">
        <f>$M$49*$W$49</f>
        <v>0</v>
      </c>
      <c r="AD49" s="6">
        <f>$O$49*$X$49</f>
        <v>0</v>
      </c>
      <c r="AE49" s="6">
        <f ca="1">$K$49*$Y$49</f>
        <v>123315.98102351707</v>
      </c>
      <c r="AF49" s="6">
        <f ca="1"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56</v>
      </c>
      <c r="C50" s="4" t="s">
        <v>59</v>
      </c>
      <c r="D50" s="4" t="s">
        <v>25</v>
      </c>
      <c r="E50" s="4" t="s">
        <v>25</v>
      </c>
      <c r="F50" s="4" t="s">
        <v>25</v>
      </c>
      <c r="G50" s="4" t="s">
        <v>60</v>
      </c>
      <c r="H50" s="4" t="s">
        <v>25</v>
      </c>
      <c r="I50" s="5">
        <v>44228</v>
      </c>
      <c r="J50" s="6">
        <v>0</v>
      </c>
      <c r="K50" s="6">
        <v>0</v>
      </c>
      <c r="L50" s="6">
        <v>3631.2449999999999</v>
      </c>
      <c r="M50" s="6">
        <v>3631.2449999999999</v>
      </c>
      <c r="N50" s="6">
        <v>0</v>
      </c>
      <c r="O50" s="6">
        <v>0</v>
      </c>
      <c r="P50" s="6">
        <v>0</v>
      </c>
      <c r="Q50" s="4" t="s">
        <v>61</v>
      </c>
      <c r="R50" s="4">
        <v>6600</v>
      </c>
      <c r="S50" s="6">
        <v>0</v>
      </c>
      <c r="T50" s="6">
        <v>8</v>
      </c>
      <c r="U50" s="6">
        <v>0</v>
      </c>
      <c r="V50" s="6">
        <f>IF(ISERROR(VLOOKUP($S$50,'TAR FIN'!$A$1:$O$100,15,0)),0,VLOOKUP($S$50,'TAR FIN'!$A$1:$O$100,15,0))</f>
        <v>0</v>
      </c>
      <c r="W50" s="6">
        <f>IF(ISERROR(VLOOKUP($T$50,'TAR FIN'!$A$1:$O$100,15,0)),0,VLOOKUP($T$50,'TAR FIN'!$A$1:$O$100,15,0))</f>
        <v>2.86</v>
      </c>
      <c r="X50" s="6">
        <f>IF(ISERROR(VLOOKUP($U$50,'TAR FIN'!$A$1:$O$100,15,0)),0,VLOOKUP($U$50,'TAR FIN'!$A$1:$O$100,15,0))</f>
        <v>0</v>
      </c>
      <c r="Y50" s="6">
        <f ca="1">0.72*('TUSD BE'!$AM$9+'TUSD BF'!$AM$9+'TUSD CVA'!$AM$9)*1+('TUSD BE'!$AM$10+'TUSD BF'!$AM$10+'TUSD CVA'!$AM$10)*1</f>
        <v>15.397204937635561</v>
      </c>
      <c r="Z50" s="6">
        <f ca="1">('TUSD BE'!$AM$11+'TUSD BF'!$AM$11+'TUSD CVA'!$AM$11)*1</f>
        <v>3.1211229838573553</v>
      </c>
      <c r="AA50" s="6"/>
      <c r="AB50" s="6">
        <f>$K$50*$V$50</f>
        <v>0</v>
      </c>
      <c r="AC50" s="6">
        <f>$M$50*$W$50</f>
        <v>10385.360699999999</v>
      </c>
      <c r="AD50" s="6">
        <f>$O$50*$X$50</f>
        <v>0</v>
      </c>
      <c r="AE50" s="6">
        <f ca="1">$K$50*$Y$50</f>
        <v>0</v>
      </c>
      <c r="AF50" s="6">
        <f ca="1">$M$50*$Z$50</f>
        <v>11333.562229517102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56</v>
      </c>
      <c r="C51" s="4" t="s">
        <v>59</v>
      </c>
      <c r="D51" s="4" t="s">
        <v>25</v>
      </c>
      <c r="E51" s="4" t="s">
        <v>25</v>
      </c>
      <c r="F51" s="4" t="s">
        <v>25</v>
      </c>
      <c r="G51" s="4" t="s">
        <v>60</v>
      </c>
      <c r="H51" s="4" t="s">
        <v>25</v>
      </c>
      <c r="I51" s="5">
        <v>44256</v>
      </c>
      <c r="J51" s="6">
        <v>0</v>
      </c>
      <c r="K51" s="6">
        <v>0</v>
      </c>
      <c r="L51" s="6">
        <v>3521.2919999999999</v>
      </c>
      <c r="M51" s="6">
        <v>3521.2919999999999</v>
      </c>
      <c r="N51" s="6">
        <v>0</v>
      </c>
      <c r="O51" s="6">
        <v>0</v>
      </c>
      <c r="P51" s="6">
        <v>0</v>
      </c>
      <c r="Q51" s="4" t="s">
        <v>61</v>
      </c>
      <c r="R51" s="4">
        <v>6600</v>
      </c>
      <c r="S51" s="6">
        <v>0</v>
      </c>
      <c r="T51" s="6">
        <v>8</v>
      </c>
      <c r="U51" s="6">
        <v>0</v>
      </c>
      <c r="V51" s="6">
        <f>IF(ISERROR(VLOOKUP($S$51,'TAR FIN'!$A$1:$O$100,15,0)),0,VLOOKUP($S$51,'TAR FIN'!$A$1:$O$100,15,0))</f>
        <v>0</v>
      </c>
      <c r="W51" s="6">
        <f>IF(ISERROR(VLOOKUP($T$51,'TAR FIN'!$A$1:$O$100,15,0)),0,VLOOKUP($T$51,'TAR FIN'!$A$1:$O$100,15,0))</f>
        <v>2.86</v>
      </c>
      <c r="X51" s="6">
        <f>IF(ISERROR(VLOOKUP($U$51,'TAR FIN'!$A$1:$O$100,15,0)),0,VLOOKUP($U$51,'TAR FIN'!$A$1:$O$100,15,0))</f>
        <v>0</v>
      </c>
      <c r="Y51" s="6">
        <f ca="1">0.72*('TUSD BE'!$AM$9+'TUSD BF'!$AM$9+'TUSD CVA'!$AM$9)*1+('TUSD BE'!$AM$10+'TUSD BF'!$AM$10+'TUSD CVA'!$AM$10)*1</f>
        <v>15.397204937635561</v>
      </c>
      <c r="Z51" s="6">
        <f ca="1">('TUSD BE'!$AM$11+'TUSD BF'!$AM$11+'TUSD CVA'!$AM$11)*1</f>
        <v>3.1211229838573553</v>
      </c>
      <c r="AA51" s="6"/>
      <c r="AB51" s="6">
        <f>$K$51*$V$51</f>
        <v>0</v>
      </c>
      <c r="AC51" s="6">
        <f>$M$51*$W$51</f>
        <v>10070.895119999999</v>
      </c>
      <c r="AD51" s="6">
        <f>$O$51*$X$51</f>
        <v>0</v>
      </c>
      <c r="AE51" s="6">
        <f ca="1">$K$51*$Y$51</f>
        <v>0</v>
      </c>
      <c r="AF51" s="6">
        <f ca="1">$M$51*$Z$51</f>
        <v>10990.385394073035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56</v>
      </c>
      <c r="C52" s="4" t="s">
        <v>59</v>
      </c>
      <c r="D52" s="4" t="s">
        <v>25</v>
      </c>
      <c r="E52" s="4" t="s">
        <v>25</v>
      </c>
      <c r="F52" s="4" t="s">
        <v>25</v>
      </c>
      <c r="G52" s="4" t="s">
        <v>60</v>
      </c>
      <c r="H52" s="4" t="s">
        <v>25</v>
      </c>
      <c r="I52" s="5">
        <v>44287</v>
      </c>
      <c r="J52" s="6">
        <v>0</v>
      </c>
      <c r="K52" s="6">
        <v>0</v>
      </c>
      <c r="L52" s="6">
        <v>3705.5189999999998</v>
      </c>
      <c r="M52" s="6">
        <v>3705.5189999999998</v>
      </c>
      <c r="N52" s="6">
        <v>0</v>
      </c>
      <c r="O52" s="6">
        <v>0</v>
      </c>
      <c r="P52" s="6">
        <v>0</v>
      </c>
      <c r="Q52" s="4" t="s">
        <v>61</v>
      </c>
      <c r="R52" s="4">
        <v>6600</v>
      </c>
      <c r="S52" s="6">
        <v>0</v>
      </c>
      <c r="T52" s="6">
        <v>8</v>
      </c>
      <c r="U52" s="6">
        <v>0</v>
      </c>
      <c r="V52" s="6">
        <f>IF(ISERROR(VLOOKUP($S$52,'TAR FIN'!$A$1:$O$100,15,0)),0,VLOOKUP($S$52,'TAR FIN'!$A$1:$O$100,15,0))</f>
        <v>0</v>
      </c>
      <c r="W52" s="6">
        <f>IF(ISERROR(VLOOKUP($T$52,'TAR FIN'!$A$1:$O$100,15,0)),0,VLOOKUP($T$52,'TAR FIN'!$A$1:$O$100,15,0))</f>
        <v>2.86</v>
      </c>
      <c r="X52" s="6">
        <f>IF(ISERROR(VLOOKUP($U$52,'TAR FIN'!$A$1:$O$100,15,0)),0,VLOOKUP($U$52,'TAR FIN'!$A$1:$O$100,15,0))</f>
        <v>0</v>
      </c>
      <c r="Y52" s="6">
        <f ca="1">0.72*('TUSD BE'!$AM$9+'TUSD BF'!$AM$9+'TUSD CVA'!$AM$9)*1+('TUSD BE'!$AM$10+'TUSD BF'!$AM$10+'TUSD CVA'!$AM$10)*1</f>
        <v>15.397204937635561</v>
      </c>
      <c r="Z52" s="6">
        <f ca="1">('TUSD BE'!$AM$11+'TUSD BF'!$AM$11+'TUSD CVA'!$AM$11)*1</f>
        <v>3.1211229838573553</v>
      </c>
      <c r="AA52" s="6"/>
      <c r="AB52" s="6">
        <f>$K$52*$V$52</f>
        <v>0</v>
      </c>
      <c r="AC52" s="6">
        <f>$M$52*$W$52</f>
        <v>10597.784339999998</v>
      </c>
      <c r="AD52" s="6">
        <f>$O$52*$X$52</f>
        <v>0</v>
      </c>
      <c r="AE52" s="6">
        <f ca="1">$K$52*$Y$52</f>
        <v>0</v>
      </c>
      <c r="AF52" s="6">
        <f ca="1">$M$52*$Z$52</f>
        <v>11565.380518020123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56</v>
      </c>
      <c r="C53" s="4" t="s">
        <v>59</v>
      </c>
      <c r="D53" s="4" t="s">
        <v>25</v>
      </c>
      <c r="E53" s="4" t="s">
        <v>25</v>
      </c>
      <c r="F53" s="4" t="s">
        <v>25</v>
      </c>
      <c r="G53" s="4" t="s">
        <v>60</v>
      </c>
      <c r="H53" s="4" t="s">
        <v>25</v>
      </c>
      <c r="I53" s="5">
        <v>44317</v>
      </c>
      <c r="J53" s="6">
        <v>0</v>
      </c>
      <c r="K53" s="6">
        <v>0</v>
      </c>
      <c r="L53" s="6">
        <v>3171.585</v>
      </c>
      <c r="M53" s="6">
        <v>3171.585</v>
      </c>
      <c r="N53" s="6">
        <v>0</v>
      </c>
      <c r="O53" s="6">
        <v>0</v>
      </c>
      <c r="P53" s="6">
        <v>0</v>
      </c>
      <c r="Q53" s="4" t="s">
        <v>61</v>
      </c>
      <c r="R53" s="4">
        <v>6600</v>
      </c>
      <c r="S53" s="6">
        <v>0</v>
      </c>
      <c r="T53" s="6">
        <v>8</v>
      </c>
      <c r="U53" s="6">
        <v>0</v>
      </c>
      <c r="V53" s="6">
        <f>IF(ISERROR(VLOOKUP($S$53,'TAR FIN'!$A$1:$O$100,15,0)),0,VLOOKUP($S$53,'TAR FIN'!$A$1:$O$100,15,0))</f>
        <v>0</v>
      </c>
      <c r="W53" s="6">
        <f>IF(ISERROR(VLOOKUP($T$53,'TAR FIN'!$A$1:$O$100,15,0)),0,VLOOKUP($T$53,'TAR FIN'!$A$1:$O$100,15,0))</f>
        <v>2.86</v>
      </c>
      <c r="X53" s="6">
        <f>IF(ISERROR(VLOOKUP($U$53,'TAR FIN'!$A$1:$O$100,15,0)),0,VLOOKUP($U$53,'TAR FIN'!$A$1:$O$100,15,0))</f>
        <v>0</v>
      </c>
      <c r="Y53" s="6">
        <f ca="1">0.72*('TUSD BE'!$AM$9+'TUSD BF'!$AM$9+'TUSD CVA'!$AM$9)*1+('TUSD BE'!$AM$10+'TUSD BF'!$AM$10+'TUSD CVA'!$AM$10)*1</f>
        <v>15.397204937635561</v>
      </c>
      <c r="Z53" s="6">
        <f ca="1">('TUSD BE'!$AM$11+'TUSD BF'!$AM$11+'TUSD CVA'!$AM$11)*1</f>
        <v>3.1211229838573553</v>
      </c>
      <c r="AA53" s="6"/>
      <c r="AB53" s="6">
        <f>$K$53*$V$53</f>
        <v>0</v>
      </c>
      <c r="AC53" s="6">
        <f>$M$53*$W$53</f>
        <v>9070.7330999999995</v>
      </c>
      <c r="AD53" s="6">
        <f>$O$53*$X$53</f>
        <v>0</v>
      </c>
      <c r="AE53" s="6">
        <f ca="1">$K$53*$Y$53</f>
        <v>0</v>
      </c>
      <c r="AF53" s="6">
        <f ca="1">$M$53*$Z$53</f>
        <v>9898.9068387572297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56</v>
      </c>
      <c r="C54" s="4" t="s">
        <v>59</v>
      </c>
      <c r="D54" s="4" t="s">
        <v>25</v>
      </c>
      <c r="E54" s="4" t="s">
        <v>25</v>
      </c>
      <c r="F54" s="4" t="s">
        <v>25</v>
      </c>
      <c r="G54" s="4" t="s">
        <v>60</v>
      </c>
      <c r="H54" s="4" t="s">
        <v>25</v>
      </c>
      <c r="I54" s="5">
        <v>44348</v>
      </c>
      <c r="J54" s="6">
        <v>0</v>
      </c>
      <c r="K54" s="6">
        <v>0</v>
      </c>
      <c r="L54" s="6">
        <v>3439.7919999999999</v>
      </c>
      <c r="M54" s="6">
        <v>3439.7919999999999</v>
      </c>
      <c r="N54" s="6">
        <v>0</v>
      </c>
      <c r="O54" s="6">
        <v>0</v>
      </c>
      <c r="P54" s="6">
        <v>0</v>
      </c>
      <c r="Q54" s="4" t="s">
        <v>61</v>
      </c>
      <c r="R54" s="4">
        <v>6600</v>
      </c>
      <c r="S54" s="6">
        <v>0</v>
      </c>
      <c r="T54" s="6">
        <v>8</v>
      </c>
      <c r="U54" s="6">
        <v>0</v>
      </c>
      <c r="V54" s="6">
        <f>IF(ISERROR(VLOOKUP($S$54,'TAR FIN'!$A$1:$O$100,15,0)),0,VLOOKUP($S$54,'TAR FIN'!$A$1:$O$100,15,0))</f>
        <v>0</v>
      </c>
      <c r="W54" s="6">
        <f>IF(ISERROR(VLOOKUP($T$54,'TAR FIN'!$A$1:$O$100,15,0)),0,VLOOKUP($T$54,'TAR FIN'!$A$1:$O$100,15,0))</f>
        <v>2.86</v>
      </c>
      <c r="X54" s="6">
        <f>IF(ISERROR(VLOOKUP($U$54,'TAR FIN'!$A$1:$O$100,15,0)),0,VLOOKUP($U$54,'TAR FIN'!$A$1:$O$100,15,0))</f>
        <v>0</v>
      </c>
      <c r="Y54" s="6">
        <f ca="1">0.72*('TUSD BE'!$AM$9+'TUSD BF'!$AM$9+'TUSD CVA'!$AM$9)*1+('TUSD BE'!$AM$10+'TUSD BF'!$AM$10+'TUSD CVA'!$AM$10)*1</f>
        <v>15.397204937635561</v>
      </c>
      <c r="Z54" s="6">
        <f ca="1">('TUSD BE'!$AM$11+'TUSD BF'!$AM$11+'TUSD CVA'!$AM$11)*1</f>
        <v>3.1211229838573553</v>
      </c>
      <c r="AA54" s="6"/>
      <c r="AB54" s="6">
        <f>$K$54*$V$54</f>
        <v>0</v>
      </c>
      <c r="AC54" s="6">
        <f>$M$54*$W$54</f>
        <v>9837.8051199999991</v>
      </c>
      <c r="AD54" s="6">
        <f>$O$54*$X$54</f>
        <v>0</v>
      </c>
      <c r="AE54" s="6">
        <f ca="1">$K$54*$Y$54</f>
        <v>0</v>
      </c>
      <c r="AF54" s="6">
        <f ca="1">$M$54*$Z$54</f>
        <v>10736.013870888659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56</v>
      </c>
      <c r="C55" s="4" t="s">
        <v>59</v>
      </c>
      <c r="D55" s="4" t="s">
        <v>25</v>
      </c>
      <c r="E55" s="4" t="s">
        <v>25</v>
      </c>
      <c r="F55" s="4" t="s">
        <v>25</v>
      </c>
      <c r="G55" s="4" t="s">
        <v>60</v>
      </c>
      <c r="H55" s="4" t="s">
        <v>25</v>
      </c>
      <c r="I55" s="5">
        <v>44378</v>
      </c>
      <c r="J55" s="6">
        <v>0</v>
      </c>
      <c r="K55" s="6">
        <v>0</v>
      </c>
      <c r="L55" s="6">
        <v>3213.2269999999999</v>
      </c>
      <c r="M55" s="6">
        <v>3213.2269999999999</v>
      </c>
      <c r="N55" s="6">
        <v>0</v>
      </c>
      <c r="O55" s="6">
        <v>0</v>
      </c>
      <c r="P55" s="6">
        <v>0</v>
      </c>
      <c r="Q55" s="4" t="s">
        <v>61</v>
      </c>
      <c r="R55" s="4">
        <v>6600</v>
      </c>
      <c r="S55" s="6">
        <v>0</v>
      </c>
      <c r="T55" s="6">
        <v>8</v>
      </c>
      <c r="U55" s="6">
        <v>0</v>
      </c>
      <c r="V55" s="6">
        <f>IF(ISERROR(VLOOKUP($S$55,'TAR FIN'!$A$1:$O$100,15,0)),0,VLOOKUP($S$55,'TAR FIN'!$A$1:$O$100,15,0))</f>
        <v>0</v>
      </c>
      <c r="W55" s="6">
        <f>IF(ISERROR(VLOOKUP($T$55,'TAR FIN'!$A$1:$O$100,15,0)),0,VLOOKUP($T$55,'TAR FIN'!$A$1:$O$100,15,0))</f>
        <v>2.86</v>
      </c>
      <c r="X55" s="6">
        <f>IF(ISERROR(VLOOKUP($U$55,'TAR FIN'!$A$1:$O$100,15,0)),0,VLOOKUP($U$55,'TAR FIN'!$A$1:$O$100,15,0))</f>
        <v>0</v>
      </c>
      <c r="Y55" s="6">
        <f ca="1">0.72*('TUSD BE'!$AM$9+'TUSD BF'!$AM$9+'TUSD CVA'!$AM$9)*1+('TUSD BE'!$AM$10+'TUSD BF'!$AM$10+'TUSD CVA'!$AM$10)*1</f>
        <v>15.397204937635561</v>
      </c>
      <c r="Z55" s="6">
        <f ca="1">('TUSD BE'!$AM$11+'TUSD BF'!$AM$11+'TUSD CVA'!$AM$11)*1</f>
        <v>3.1211229838573553</v>
      </c>
      <c r="AA55" s="6"/>
      <c r="AB55" s="6">
        <f>$K$55*$V$55</f>
        <v>0</v>
      </c>
      <c r="AC55" s="6">
        <f>$M$55*$W$55</f>
        <v>9189.8292199999996</v>
      </c>
      <c r="AD55" s="6">
        <f>$O$55*$X$55</f>
        <v>0</v>
      </c>
      <c r="AE55" s="6">
        <f ca="1">$K$55*$Y$55</f>
        <v>0</v>
      </c>
      <c r="AF55" s="6">
        <f ca="1">$M$55*$Z$55</f>
        <v>10028.876642051018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56</v>
      </c>
      <c r="C56" s="4" t="s">
        <v>59</v>
      </c>
      <c r="D56" s="4" t="s">
        <v>25</v>
      </c>
      <c r="E56" s="4" t="s">
        <v>25</v>
      </c>
      <c r="F56" s="4" t="s">
        <v>25</v>
      </c>
      <c r="G56" s="4" t="s">
        <v>60</v>
      </c>
      <c r="H56" s="4" t="s">
        <v>25</v>
      </c>
      <c r="I56" s="5">
        <v>44409</v>
      </c>
      <c r="J56" s="6">
        <v>0</v>
      </c>
      <c r="K56" s="6">
        <v>0</v>
      </c>
      <c r="L56" s="6">
        <v>3284.6260000000002</v>
      </c>
      <c r="M56" s="6">
        <v>3284.6260000000002</v>
      </c>
      <c r="N56" s="6">
        <v>0</v>
      </c>
      <c r="O56" s="6">
        <v>0</v>
      </c>
      <c r="P56" s="6">
        <v>0</v>
      </c>
      <c r="Q56" s="4" t="s">
        <v>61</v>
      </c>
      <c r="R56" s="4">
        <v>6600</v>
      </c>
      <c r="S56" s="6">
        <v>0</v>
      </c>
      <c r="T56" s="6">
        <v>8</v>
      </c>
      <c r="U56" s="6">
        <v>0</v>
      </c>
      <c r="V56" s="6">
        <f>IF(ISERROR(VLOOKUP($S$56,'TAR FIN'!$A$1:$O$100,15,0)),0,VLOOKUP($S$56,'TAR FIN'!$A$1:$O$100,15,0))</f>
        <v>0</v>
      </c>
      <c r="W56" s="6">
        <f>IF(ISERROR(VLOOKUP($T$56,'TAR FIN'!$A$1:$O$100,15,0)),0,VLOOKUP($T$56,'TAR FIN'!$A$1:$O$100,15,0))</f>
        <v>2.86</v>
      </c>
      <c r="X56" s="6">
        <f>IF(ISERROR(VLOOKUP($U$56,'TAR FIN'!$A$1:$O$100,15,0)),0,VLOOKUP($U$56,'TAR FIN'!$A$1:$O$100,15,0))</f>
        <v>0</v>
      </c>
      <c r="Y56" s="6">
        <f ca="1">0.72*('TUSD BE'!$AM$9+'TUSD BF'!$AM$9+'TUSD CVA'!$AM$9)*1+('TUSD BE'!$AM$10+'TUSD BF'!$AM$10+'TUSD CVA'!$AM$10)*1</f>
        <v>15.397204937635561</v>
      </c>
      <c r="Z56" s="6">
        <f ca="1">('TUSD BE'!$AM$11+'TUSD BF'!$AM$11+'TUSD CVA'!$AM$11)*1</f>
        <v>3.1211229838573553</v>
      </c>
      <c r="AA56" s="6"/>
      <c r="AB56" s="6">
        <f>$K$56*$V$56</f>
        <v>0</v>
      </c>
      <c r="AC56" s="6">
        <f>$M$56*$W$56</f>
        <v>9394.0303600000007</v>
      </c>
      <c r="AD56" s="6">
        <f>$O$56*$X$56</f>
        <v>0</v>
      </c>
      <c r="AE56" s="6">
        <f ca="1">$K$56*$Y$56</f>
        <v>0</v>
      </c>
      <c r="AF56" s="6">
        <f ca="1">$M$56*$Z$56</f>
        <v>10251.72170197545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56</v>
      </c>
      <c r="C57" s="4" t="s">
        <v>59</v>
      </c>
      <c r="D57" s="4" t="s">
        <v>25</v>
      </c>
      <c r="E57" s="4" t="s">
        <v>25</v>
      </c>
      <c r="F57" s="4" t="s">
        <v>25</v>
      </c>
      <c r="G57" s="4" t="s">
        <v>60</v>
      </c>
      <c r="H57" s="4" t="s">
        <v>25</v>
      </c>
      <c r="I57" s="5">
        <v>44440</v>
      </c>
      <c r="J57" s="6">
        <v>0</v>
      </c>
      <c r="K57" s="6">
        <v>0</v>
      </c>
      <c r="L57" s="6">
        <v>3266.6419999999998</v>
      </c>
      <c r="M57" s="6">
        <v>3266.6419999999998</v>
      </c>
      <c r="N57" s="6">
        <v>0</v>
      </c>
      <c r="O57" s="6">
        <v>0</v>
      </c>
      <c r="P57" s="6">
        <v>0</v>
      </c>
      <c r="Q57" s="4" t="s">
        <v>61</v>
      </c>
      <c r="R57" s="4">
        <v>6600</v>
      </c>
      <c r="S57" s="6">
        <v>0</v>
      </c>
      <c r="T57" s="6">
        <v>8</v>
      </c>
      <c r="U57" s="6">
        <v>0</v>
      </c>
      <c r="V57" s="6">
        <f>IF(ISERROR(VLOOKUP($S$57,'TAR FIN'!$A$1:$O$100,15,0)),0,VLOOKUP($S$57,'TAR FIN'!$A$1:$O$100,15,0))</f>
        <v>0</v>
      </c>
      <c r="W57" s="6">
        <f>IF(ISERROR(VLOOKUP($T$57,'TAR FIN'!$A$1:$O$100,15,0)),0,VLOOKUP($T$57,'TAR FIN'!$A$1:$O$100,15,0))</f>
        <v>2.86</v>
      </c>
      <c r="X57" s="6">
        <f>IF(ISERROR(VLOOKUP($U$57,'TAR FIN'!$A$1:$O$100,15,0)),0,VLOOKUP($U$57,'TAR FIN'!$A$1:$O$100,15,0))</f>
        <v>0</v>
      </c>
      <c r="Y57" s="6">
        <f ca="1">0.72*('TUSD BE'!$AM$9+'TUSD BF'!$AM$9+'TUSD CVA'!$AM$9)*1+('TUSD BE'!$AM$10+'TUSD BF'!$AM$10+'TUSD CVA'!$AM$10)*1</f>
        <v>15.397204937635561</v>
      </c>
      <c r="Z57" s="6">
        <f ca="1">('TUSD BE'!$AM$11+'TUSD BF'!$AM$11+'TUSD CVA'!$AM$11)*1</f>
        <v>3.1211229838573553</v>
      </c>
      <c r="AA57" s="6"/>
      <c r="AB57" s="6">
        <f>$K$57*$V$57</f>
        <v>0</v>
      </c>
      <c r="AC57" s="6">
        <f>$M$57*$W$57</f>
        <v>9342.5961199999983</v>
      </c>
      <c r="AD57" s="6">
        <f>$O$57*$X$57</f>
        <v>0</v>
      </c>
      <c r="AE57" s="6">
        <f ca="1">$K$57*$Y$57</f>
        <v>0</v>
      </c>
      <c r="AF57" s="6">
        <f ca="1">$M$57*$Z$57</f>
        <v>10195.591426233759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56</v>
      </c>
      <c r="C58" s="4" t="s">
        <v>59</v>
      </c>
      <c r="D58" s="4" t="s">
        <v>25</v>
      </c>
      <c r="E58" s="4" t="s">
        <v>25</v>
      </c>
      <c r="F58" s="4" t="s">
        <v>25</v>
      </c>
      <c r="G58" s="4" t="s">
        <v>60</v>
      </c>
      <c r="H58" s="4" t="s">
        <v>25</v>
      </c>
      <c r="I58" s="5">
        <v>44470</v>
      </c>
      <c r="J58" s="6">
        <v>0</v>
      </c>
      <c r="K58" s="6">
        <v>0</v>
      </c>
      <c r="L58" s="6">
        <v>3490.26</v>
      </c>
      <c r="M58" s="6">
        <v>3490.26</v>
      </c>
      <c r="N58" s="6">
        <v>0</v>
      </c>
      <c r="O58" s="6">
        <v>0</v>
      </c>
      <c r="P58" s="6">
        <v>0</v>
      </c>
      <c r="Q58" s="4" t="s">
        <v>61</v>
      </c>
      <c r="R58" s="4">
        <v>6600</v>
      </c>
      <c r="S58" s="6">
        <v>0</v>
      </c>
      <c r="T58" s="6">
        <v>8</v>
      </c>
      <c r="U58" s="6">
        <v>0</v>
      </c>
      <c r="V58" s="6">
        <f>IF(ISERROR(VLOOKUP($S$58,'TAR FIN'!$A$1:$O$100,15,0)),0,VLOOKUP($S$58,'TAR FIN'!$A$1:$O$100,15,0))</f>
        <v>0</v>
      </c>
      <c r="W58" s="6">
        <f>IF(ISERROR(VLOOKUP($T$58,'TAR FIN'!$A$1:$O$100,15,0)),0,VLOOKUP($T$58,'TAR FIN'!$A$1:$O$100,15,0))</f>
        <v>2.86</v>
      </c>
      <c r="X58" s="6">
        <f>IF(ISERROR(VLOOKUP($U$58,'TAR FIN'!$A$1:$O$100,15,0)),0,VLOOKUP($U$58,'TAR FIN'!$A$1:$O$100,15,0))</f>
        <v>0</v>
      </c>
      <c r="Y58" s="6">
        <f ca="1">0.72*('TUSD BE'!$AM$9+'TUSD BF'!$AM$9+'TUSD CVA'!$AM$9)*1+('TUSD BE'!$AM$10+'TUSD BF'!$AM$10+'TUSD CVA'!$AM$10)*1</f>
        <v>15.397204937635561</v>
      </c>
      <c r="Z58" s="6">
        <f ca="1">('TUSD BE'!$AM$11+'TUSD BF'!$AM$11+'TUSD CVA'!$AM$11)*1</f>
        <v>3.1211229838573553</v>
      </c>
      <c r="AA58" s="6"/>
      <c r="AB58" s="6">
        <f>$K$58*$V$58</f>
        <v>0</v>
      </c>
      <c r="AC58" s="6">
        <f>$M$58*$W$58</f>
        <v>9982.1435999999994</v>
      </c>
      <c r="AD58" s="6">
        <f>$O$58*$X$58</f>
        <v>0</v>
      </c>
      <c r="AE58" s="6">
        <f ca="1">$K$58*$Y$58</f>
        <v>0</v>
      </c>
      <c r="AF58" s="6">
        <f ca="1">$M$58*$Z$58</f>
        <v>10893.530705637973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56</v>
      </c>
      <c r="C59" s="4" t="s">
        <v>59</v>
      </c>
      <c r="D59" s="4" t="s">
        <v>25</v>
      </c>
      <c r="E59" s="4" t="s">
        <v>25</v>
      </c>
      <c r="F59" s="4" t="s">
        <v>25</v>
      </c>
      <c r="G59" s="4" t="s">
        <v>60</v>
      </c>
      <c r="H59" s="4" t="s">
        <v>25</v>
      </c>
      <c r="I59" s="5">
        <v>44501</v>
      </c>
      <c r="J59" s="6">
        <v>0</v>
      </c>
      <c r="K59" s="6">
        <v>0</v>
      </c>
      <c r="L59" s="6">
        <v>3623.9630000000002</v>
      </c>
      <c r="M59" s="6">
        <v>3623.9630000000002</v>
      </c>
      <c r="N59" s="6">
        <v>0</v>
      </c>
      <c r="O59" s="6">
        <v>0</v>
      </c>
      <c r="P59" s="6">
        <v>0</v>
      </c>
      <c r="Q59" s="4" t="s">
        <v>61</v>
      </c>
      <c r="R59" s="4">
        <v>6600</v>
      </c>
      <c r="S59" s="6">
        <v>0</v>
      </c>
      <c r="T59" s="6">
        <v>8</v>
      </c>
      <c r="U59" s="6">
        <v>0</v>
      </c>
      <c r="V59" s="6">
        <f>IF(ISERROR(VLOOKUP($S$59,'TAR FIN'!$A$1:$O$100,15,0)),0,VLOOKUP($S$59,'TAR FIN'!$A$1:$O$100,15,0))</f>
        <v>0</v>
      </c>
      <c r="W59" s="6">
        <f>IF(ISERROR(VLOOKUP($T$59,'TAR FIN'!$A$1:$O$100,15,0)),0,VLOOKUP($T$59,'TAR FIN'!$A$1:$O$100,15,0))</f>
        <v>2.86</v>
      </c>
      <c r="X59" s="6">
        <f>IF(ISERROR(VLOOKUP($U$59,'TAR FIN'!$A$1:$O$100,15,0)),0,VLOOKUP($U$59,'TAR FIN'!$A$1:$O$100,15,0))</f>
        <v>0</v>
      </c>
      <c r="Y59" s="6">
        <f ca="1">0.72*('TUSD BE'!$AM$9+'TUSD BF'!$AM$9+'TUSD CVA'!$AM$9)*1+('TUSD BE'!$AM$10+'TUSD BF'!$AM$10+'TUSD CVA'!$AM$10)*1</f>
        <v>15.397204937635561</v>
      </c>
      <c r="Z59" s="6">
        <f ca="1">('TUSD BE'!$AM$11+'TUSD BF'!$AM$11+'TUSD CVA'!$AM$11)*1</f>
        <v>3.1211229838573553</v>
      </c>
      <c r="AA59" s="6"/>
      <c r="AB59" s="6">
        <f>$K$59*$V$59</f>
        <v>0</v>
      </c>
      <c r="AC59" s="6">
        <f>$M$59*$W$59</f>
        <v>10364.534180000001</v>
      </c>
      <c r="AD59" s="6">
        <f>$O$59*$X$59</f>
        <v>0</v>
      </c>
      <c r="AE59" s="6">
        <f ca="1">$K$59*$Y$59</f>
        <v>0</v>
      </c>
      <c r="AF59" s="6">
        <f ca="1">$M$59*$Z$59</f>
        <v>11310.834211948653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56</v>
      </c>
      <c r="C60" s="4" t="s">
        <v>59</v>
      </c>
      <c r="D60" s="4" t="s">
        <v>25</v>
      </c>
      <c r="E60" s="4" t="s">
        <v>25</v>
      </c>
      <c r="F60" s="4" t="s">
        <v>25</v>
      </c>
      <c r="G60" s="4" t="s">
        <v>60</v>
      </c>
      <c r="H60" s="4" t="s">
        <v>25</v>
      </c>
      <c r="I60" s="5">
        <v>44531</v>
      </c>
      <c r="J60" s="6">
        <v>0</v>
      </c>
      <c r="K60" s="6">
        <v>0</v>
      </c>
      <c r="L60" s="6">
        <v>3811.665</v>
      </c>
      <c r="M60" s="6">
        <v>3811.665</v>
      </c>
      <c r="N60" s="6">
        <v>0</v>
      </c>
      <c r="O60" s="6">
        <v>0</v>
      </c>
      <c r="P60" s="6">
        <v>0</v>
      </c>
      <c r="Q60" s="4" t="s">
        <v>61</v>
      </c>
      <c r="R60" s="4">
        <v>6600</v>
      </c>
      <c r="S60" s="6">
        <v>0</v>
      </c>
      <c r="T60" s="6">
        <v>8</v>
      </c>
      <c r="U60" s="6">
        <v>0</v>
      </c>
      <c r="V60" s="6">
        <f>IF(ISERROR(VLOOKUP($S$60,'TAR FIN'!$A$1:$O$100,15,0)),0,VLOOKUP($S$60,'TAR FIN'!$A$1:$O$100,15,0))</f>
        <v>0</v>
      </c>
      <c r="W60" s="6">
        <f>IF(ISERROR(VLOOKUP($T$60,'TAR FIN'!$A$1:$O$100,15,0)),0,VLOOKUP($T$60,'TAR FIN'!$A$1:$O$100,15,0))</f>
        <v>2.86</v>
      </c>
      <c r="X60" s="6">
        <f>IF(ISERROR(VLOOKUP($U$60,'TAR FIN'!$A$1:$O$100,15,0)),0,VLOOKUP($U$60,'TAR FIN'!$A$1:$O$100,15,0))</f>
        <v>0</v>
      </c>
      <c r="Y60" s="6">
        <f ca="1">0.72*('TUSD BE'!$AM$9+'TUSD BF'!$AM$9+'TUSD CVA'!$AM$9)*1+('TUSD BE'!$AM$10+'TUSD BF'!$AM$10+'TUSD CVA'!$AM$10)*1</f>
        <v>15.397204937635561</v>
      </c>
      <c r="Z60" s="6">
        <f ca="1">('TUSD BE'!$AM$11+'TUSD BF'!$AM$11+'TUSD CVA'!$AM$11)*1</f>
        <v>3.1211229838573553</v>
      </c>
      <c r="AA60" s="6"/>
      <c r="AB60" s="6">
        <f>$K$60*$V$60</f>
        <v>0</v>
      </c>
      <c r="AC60" s="6">
        <f>$M$60*$W$60</f>
        <v>10901.3619</v>
      </c>
      <c r="AD60" s="6">
        <f>$O$60*$X$60</f>
        <v>0</v>
      </c>
      <c r="AE60" s="6">
        <f ca="1">$K$60*$Y$60</f>
        <v>0</v>
      </c>
      <c r="AF60" s="6">
        <f ca="1">$M$60*$Z$60</f>
        <v>11896.675238264646</v>
      </c>
      <c r="AG60" s="6">
        <f>$O$60*$AA$60</f>
        <v>0</v>
      </c>
    </row>
    <row r="61" spans="1:33" ht="11.25" customHeight="1" x14ac:dyDescent="0.25">
      <c r="A61" s="4" t="s">
        <v>55</v>
      </c>
      <c r="B61" s="4" t="s">
        <v>56</v>
      </c>
      <c r="C61" s="4" t="s">
        <v>59</v>
      </c>
      <c r="D61" s="4" t="s">
        <v>25</v>
      </c>
      <c r="E61" s="4" t="s">
        <v>25</v>
      </c>
      <c r="F61" s="4" t="s">
        <v>25</v>
      </c>
      <c r="G61" s="4" t="s">
        <v>60</v>
      </c>
      <c r="H61" s="4" t="s">
        <v>25</v>
      </c>
      <c r="I61" s="5">
        <v>44562</v>
      </c>
      <c r="J61" s="6">
        <v>0</v>
      </c>
      <c r="K61" s="6">
        <v>0</v>
      </c>
      <c r="L61" s="6">
        <v>3811.665</v>
      </c>
      <c r="M61" s="6">
        <v>3811.665</v>
      </c>
      <c r="N61" s="6">
        <v>0</v>
      </c>
      <c r="O61" s="6">
        <v>0</v>
      </c>
      <c r="P61" s="6">
        <v>0</v>
      </c>
      <c r="Q61" s="4" t="s">
        <v>61</v>
      </c>
      <c r="R61" s="4">
        <v>6600</v>
      </c>
      <c r="S61" s="6">
        <v>0</v>
      </c>
      <c r="T61" s="6">
        <v>8</v>
      </c>
      <c r="U61" s="6">
        <v>0</v>
      </c>
      <c r="V61" s="6">
        <f>IF(ISERROR(VLOOKUP($S$61,'TAR FIN'!$A$1:$O$100,15,0)),0,VLOOKUP($S$61,'TAR FIN'!$A$1:$O$100,15,0))</f>
        <v>0</v>
      </c>
      <c r="W61" s="6">
        <f>IF(ISERROR(VLOOKUP($T$61,'TAR FIN'!$A$1:$O$100,15,0)),0,VLOOKUP($T$61,'TAR FIN'!$A$1:$O$100,15,0))</f>
        <v>2.86</v>
      </c>
      <c r="X61" s="6">
        <f>IF(ISERROR(VLOOKUP($U$61,'TAR FIN'!$A$1:$O$100,15,0)),0,VLOOKUP($U$61,'TAR FIN'!$A$1:$O$100,15,0))</f>
        <v>0</v>
      </c>
      <c r="Y61" s="6">
        <f ca="1">0.72*('TUSD BE'!$AM$9+'TUSD BF'!$AM$9+'TUSD CVA'!$AM$9)*1+('TUSD BE'!$AM$10+'TUSD BF'!$AM$10+'TUSD CVA'!$AM$10)*1</f>
        <v>15.397204937635561</v>
      </c>
      <c r="Z61" s="6">
        <f ca="1">('TUSD BE'!$AM$11+'TUSD BF'!$AM$11+'TUSD CVA'!$AM$11)*1</f>
        <v>3.1211229838573553</v>
      </c>
      <c r="AA61" s="6"/>
      <c r="AB61" s="6">
        <f>$K$61*$V$61</f>
        <v>0</v>
      </c>
      <c r="AC61" s="6">
        <f>$M$61*$W$61</f>
        <v>10901.3619</v>
      </c>
      <c r="AD61" s="6">
        <f>$O$61*$X$61</f>
        <v>0</v>
      </c>
      <c r="AE61" s="6">
        <f ca="1">$K$61*$Y$61</f>
        <v>0</v>
      </c>
      <c r="AF61" s="6">
        <f ca="1">$M$61*$Z$61</f>
        <v>11896.675238264646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56</v>
      </c>
      <c r="C62" s="4" t="s">
        <v>59</v>
      </c>
      <c r="D62" s="4" t="s">
        <v>25</v>
      </c>
      <c r="E62" s="4" t="s">
        <v>25</v>
      </c>
      <c r="F62" s="4" t="s">
        <v>25</v>
      </c>
      <c r="G62" s="4" t="s">
        <v>60</v>
      </c>
      <c r="H62" s="4" t="s">
        <v>34</v>
      </c>
      <c r="I62" s="5">
        <v>44228</v>
      </c>
      <c r="J62" s="6">
        <v>18000</v>
      </c>
      <c r="K62" s="6">
        <v>18000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61</v>
      </c>
      <c r="R62" s="4">
        <v>6600</v>
      </c>
      <c r="S62" s="6">
        <v>28</v>
      </c>
      <c r="T62" s="6">
        <v>0</v>
      </c>
      <c r="U62" s="6">
        <v>0</v>
      </c>
      <c r="V62" s="6">
        <f>IF(ISERROR(VLOOKUP($S$62,'TAR FIN'!$A$1:$O$100,15,0)),0,VLOOKUP($S$62,'TAR FIN'!$A$1:$O$100,15,0))</f>
        <v>13.52</v>
      </c>
      <c r="W62" s="6">
        <f>IF(ISERROR(VLOOKUP($T$62,'TAR FIN'!$A$1:$O$100,15,0)),0,VLOOKUP($T$62,'TAR FIN'!$A$1:$O$100,15,0))</f>
        <v>0</v>
      </c>
      <c r="X62" s="6">
        <f>IF(ISERROR(VLOOKUP($U$62,'TAR FIN'!$A$1:$O$100,15,0)),0,VLOOKUP($U$62,'TAR FIN'!$A$1:$O$100,15,0))</f>
        <v>0</v>
      </c>
      <c r="Y62" s="6">
        <f ca="1">('TUSD BE'!$AM$9+'TUSD BF'!$AM$9+'TUSD CVA'!$AM$9)*1</f>
        <v>12.804235521855428</v>
      </c>
      <c r="Z62" s="6">
        <f ca="1">('TUSD BE'!$AM$11+'TUSD BF'!$AM$11+'TUSD CVA'!$AM$11)*1</f>
        <v>3.1211229838573553</v>
      </c>
      <c r="AA62" s="6"/>
      <c r="AB62" s="6">
        <f>$K$62*$V$62</f>
        <v>243360</v>
      </c>
      <c r="AC62" s="6">
        <f>$M$62*$W$62</f>
        <v>0</v>
      </c>
      <c r="AD62" s="6">
        <f>$O$62*$X$62</f>
        <v>0</v>
      </c>
      <c r="AE62" s="6">
        <f ca="1">$K$62*$Y$62</f>
        <v>230476.2393933977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56</v>
      </c>
      <c r="C63" s="4" t="s">
        <v>59</v>
      </c>
      <c r="D63" s="4" t="s">
        <v>25</v>
      </c>
      <c r="E63" s="4" t="s">
        <v>25</v>
      </c>
      <c r="F63" s="4" t="s">
        <v>25</v>
      </c>
      <c r="G63" s="4" t="s">
        <v>60</v>
      </c>
      <c r="H63" s="4" t="s">
        <v>34</v>
      </c>
      <c r="I63" s="5">
        <v>44256</v>
      </c>
      <c r="J63" s="6">
        <v>18000</v>
      </c>
      <c r="K63" s="6">
        <v>18000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61</v>
      </c>
      <c r="R63" s="4">
        <v>6600</v>
      </c>
      <c r="S63" s="6">
        <v>28</v>
      </c>
      <c r="T63" s="6">
        <v>0</v>
      </c>
      <c r="U63" s="6">
        <v>0</v>
      </c>
      <c r="V63" s="6">
        <f>IF(ISERROR(VLOOKUP($S$63,'TAR FIN'!$A$1:$O$100,15,0)),0,VLOOKUP($S$63,'TAR FIN'!$A$1:$O$100,15,0))</f>
        <v>13.52</v>
      </c>
      <c r="W63" s="6">
        <f>IF(ISERROR(VLOOKUP($T$63,'TAR FIN'!$A$1:$O$100,15,0)),0,VLOOKUP($T$63,'TAR FIN'!$A$1:$O$100,15,0))</f>
        <v>0</v>
      </c>
      <c r="X63" s="6">
        <f>IF(ISERROR(VLOOKUP($U$63,'TAR FIN'!$A$1:$O$100,15,0)),0,VLOOKUP($U$63,'TAR FIN'!$A$1:$O$100,15,0))</f>
        <v>0</v>
      </c>
      <c r="Y63" s="6">
        <f ca="1">('TUSD BE'!$AM$9+'TUSD BF'!$AM$9+'TUSD CVA'!$AM$9)*1</f>
        <v>12.804235521855428</v>
      </c>
      <c r="Z63" s="6">
        <f ca="1">('TUSD BE'!$AM$11+'TUSD BF'!$AM$11+'TUSD CVA'!$AM$11)*1</f>
        <v>3.1211229838573553</v>
      </c>
      <c r="AA63" s="6"/>
      <c r="AB63" s="6">
        <f>$K$63*$V$63</f>
        <v>243360</v>
      </c>
      <c r="AC63" s="6">
        <f>$M$63*$W$63</f>
        <v>0</v>
      </c>
      <c r="AD63" s="6">
        <f>$O$63*$X$63</f>
        <v>0</v>
      </c>
      <c r="AE63" s="6">
        <f ca="1">$K$63*$Y$63</f>
        <v>230476.2393933977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56</v>
      </c>
      <c r="C64" s="4" t="s">
        <v>59</v>
      </c>
      <c r="D64" s="4" t="s">
        <v>25</v>
      </c>
      <c r="E64" s="4" t="s">
        <v>25</v>
      </c>
      <c r="F64" s="4" t="s">
        <v>25</v>
      </c>
      <c r="G64" s="4" t="s">
        <v>60</v>
      </c>
      <c r="H64" s="4" t="s">
        <v>34</v>
      </c>
      <c r="I64" s="5">
        <v>44287</v>
      </c>
      <c r="J64" s="6">
        <v>18000</v>
      </c>
      <c r="K64" s="6">
        <v>18000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61</v>
      </c>
      <c r="R64" s="4">
        <v>6600</v>
      </c>
      <c r="S64" s="6">
        <v>28</v>
      </c>
      <c r="T64" s="6">
        <v>0</v>
      </c>
      <c r="U64" s="6">
        <v>0</v>
      </c>
      <c r="V64" s="6">
        <f>IF(ISERROR(VLOOKUP($S$64,'TAR FIN'!$A$1:$O$100,15,0)),0,VLOOKUP($S$64,'TAR FIN'!$A$1:$O$100,15,0))</f>
        <v>13.52</v>
      </c>
      <c r="W64" s="6">
        <f>IF(ISERROR(VLOOKUP($T$64,'TAR FIN'!$A$1:$O$100,15,0)),0,VLOOKUP($T$64,'TAR FIN'!$A$1:$O$100,15,0))</f>
        <v>0</v>
      </c>
      <c r="X64" s="6">
        <f>IF(ISERROR(VLOOKUP($U$64,'TAR FIN'!$A$1:$O$100,15,0)),0,VLOOKUP($U$64,'TAR FIN'!$A$1:$O$100,15,0))</f>
        <v>0</v>
      </c>
      <c r="Y64" s="6">
        <f ca="1">('TUSD BE'!$AM$9+'TUSD BF'!$AM$9+'TUSD CVA'!$AM$9)*1</f>
        <v>12.804235521855428</v>
      </c>
      <c r="Z64" s="6">
        <f ca="1">('TUSD BE'!$AM$11+'TUSD BF'!$AM$11+'TUSD CVA'!$AM$11)*1</f>
        <v>3.1211229838573553</v>
      </c>
      <c r="AA64" s="6"/>
      <c r="AB64" s="6">
        <f>$K$64*$V$64</f>
        <v>243360</v>
      </c>
      <c r="AC64" s="6">
        <f>$M$64*$W$64</f>
        <v>0</v>
      </c>
      <c r="AD64" s="6">
        <f>$O$64*$X$64</f>
        <v>0</v>
      </c>
      <c r="AE64" s="6">
        <f ca="1">$K$64*$Y$64</f>
        <v>230476.2393933977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56</v>
      </c>
      <c r="C65" s="4" t="s">
        <v>59</v>
      </c>
      <c r="D65" s="4" t="s">
        <v>25</v>
      </c>
      <c r="E65" s="4" t="s">
        <v>25</v>
      </c>
      <c r="F65" s="4" t="s">
        <v>25</v>
      </c>
      <c r="G65" s="4" t="s">
        <v>60</v>
      </c>
      <c r="H65" s="4" t="s">
        <v>34</v>
      </c>
      <c r="I65" s="5">
        <v>44317</v>
      </c>
      <c r="J65" s="6">
        <v>18000</v>
      </c>
      <c r="K65" s="6">
        <v>18000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61</v>
      </c>
      <c r="R65" s="4">
        <v>6600</v>
      </c>
      <c r="S65" s="6">
        <v>28</v>
      </c>
      <c r="T65" s="6">
        <v>0</v>
      </c>
      <c r="U65" s="6">
        <v>0</v>
      </c>
      <c r="V65" s="6">
        <f>IF(ISERROR(VLOOKUP($S$65,'TAR FIN'!$A$1:$O$100,15,0)),0,VLOOKUP($S$65,'TAR FIN'!$A$1:$O$100,15,0))</f>
        <v>13.52</v>
      </c>
      <c r="W65" s="6">
        <f>IF(ISERROR(VLOOKUP($T$65,'TAR FIN'!$A$1:$O$100,15,0)),0,VLOOKUP($T$65,'TAR FIN'!$A$1:$O$100,15,0))</f>
        <v>0</v>
      </c>
      <c r="X65" s="6">
        <f>IF(ISERROR(VLOOKUP($U$65,'TAR FIN'!$A$1:$O$100,15,0)),0,VLOOKUP($U$65,'TAR FIN'!$A$1:$O$100,15,0))</f>
        <v>0</v>
      </c>
      <c r="Y65" s="6">
        <f ca="1">('TUSD BE'!$AM$9+'TUSD BF'!$AM$9+'TUSD CVA'!$AM$9)*1</f>
        <v>12.804235521855428</v>
      </c>
      <c r="Z65" s="6">
        <f ca="1">('TUSD BE'!$AM$11+'TUSD BF'!$AM$11+'TUSD CVA'!$AM$11)*1</f>
        <v>3.1211229838573553</v>
      </c>
      <c r="AA65" s="6"/>
      <c r="AB65" s="6">
        <f>$K$65*$V$65</f>
        <v>243360</v>
      </c>
      <c r="AC65" s="6">
        <f>$M$65*$W$65</f>
        <v>0</v>
      </c>
      <c r="AD65" s="6">
        <f>$O$65*$X$65</f>
        <v>0</v>
      </c>
      <c r="AE65" s="6">
        <f ca="1">$K$65*$Y$65</f>
        <v>230476.2393933977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56</v>
      </c>
      <c r="C66" s="4" t="s">
        <v>59</v>
      </c>
      <c r="D66" s="4" t="s">
        <v>25</v>
      </c>
      <c r="E66" s="4" t="s">
        <v>25</v>
      </c>
      <c r="F66" s="4" t="s">
        <v>25</v>
      </c>
      <c r="G66" s="4" t="s">
        <v>60</v>
      </c>
      <c r="H66" s="4" t="s">
        <v>34</v>
      </c>
      <c r="I66" s="5">
        <v>44348</v>
      </c>
      <c r="J66" s="6">
        <v>18000</v>
      </c>
      <c r="K66" s="6">
        <v>18000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61</v>
      </c>
      <c r="R66" s="4">
        <v>6600</v>
      </c>
      <c r="S66" s="6">
        <v>28</v>
      </c>
      <c r="T66" s="6">
        <v>0</v>
      </c>
      <c r="U66" s="6">
        <v>0</v>
      </c>
      <c r="V66" s="6">
        <f>IF(ISERROR(VLOOKUP($S$66,'TAR FIN'!$A$1:$O$100,15,0)),0,VLOOKUP($S$66,'TAR FIN'!$A$1:$O$100,15,0))</f>
        <v>13.52</v>
      </c>
      <c r="W66" s="6">
        <f>IF(ISERROR(VLOOKUP($T$66,'TAR FIN'!$A$1:$O$100,15,0)),0,VLOOKUP($T$66,'TAR FIN'!$A$1:$O$100,15,0))</f>
        <v>0</v>
      </c>
      <c r="X66" s="6">
        <f>IF(ISERROR(VLOOKUP($U$66,'TAR FIN'!$A$1:$O$100,15,0)),0,VLOOKUP($U$66,'TAR FIN'!$A$1:$O$100,15,0))</f>
        <v>0</v>
      </c>
      <c r="Y66" s="6">
        <f ca="1">('TUSD BE'!$AM$9+'TUSD BF'!$AM$9+'TUSD CVA'!$AM$9)*1</f>
        <v>12.804235521855428</v>
      </c>
      <c r="Z66" s="6">
        <f ca="1">('TUSD BE'!$AM$11+'TUSD BF'!$AM$11+'TUSD CVA'!$AM$11)*1</f>
        <v>3.1211229838573553</v>
      </c>
      <c r="AA66" s="6"/>
      <c r="AB66" s="6">
        <f>$K$66*$V$66</f>
        <v>243360</v>
      </c>
      <c r="AC66" s="6">
        <f>$M$66*$W$66</f>
        <v>0</v>
      </c>
      <c r="AD66" s="6">
        <f>$O$66*$X$66</f>
        <v>0</v>
      </c>
      <c r="AE66" s="6">
        <f ca="1">$K$66*$Y$66</f>
        <v>230476.2393933977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56</v>
      </c>
      <c r="C67" s="4" t="s">
        <v>59</v>
      </c>
      <c r="D67" s="4" t="s">
        <v>25</v>
      </c>
      <c r="E67" s="4" t="s">
        <v>25</v>
      </c>
      <c r="F67" s="4" t="s">
        <v>25</v>
      </c>
      <c r="G67" s="4" t="s">
        <v>60</v>
      </c>
      <c r="H67" s="4" t="s">
        <v>34</v>
      </c>
      <c r="I67" s="5">
        <v>44378</v>
      </c>
      <c r="J67" s="6">
        <v>18000</v>
      </c>
      <c r="K67" s="6">
        <v>18000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61</v>
      </c>
      <c r="R67" s="4">
        <v>6600</v>
      </c>
      <c r="S67" s="6">
        <v>28</v>
      </c>
      <c r="T67" s="6">
        <v>0</v>
      </c>
      <c r="U67" s="6">
        <v>0</v>
      </c>
      <c r="V67" s="6">
        <f>IF(ISERROR(VLOOKUP($S$67,'TAR FIN'!$A$1:$O$100,15,0)),0,VLOOKUP($S$67,'TAR FIN'!$A$1:$O$100,15,0))</f>
        <v>13.52</v>
      </c>
      <c r="W67" s="6">
        <f>IF(ISERROR(VLOOKUP($T$67,'TAR FIN'!$A$1:$O$100,15,0)),0,VLOOKUP($T$67,'TAR FIN'!$A$1:$O$100,15,0))</f>
        <v>0</v>
      </c>
      <c r="X67" s="6">
        <f>IF(ISERROR(VLOOKUP($U$67,'TAR FIN'!$A$1:$O$100,15,0)),0,VLOOKUP($U$67,'TAR FIN'!$A$1:$O$100,15,0))</f>
        <v>0</v>
      </c>
      <c r="Y67" s="6">
        <f ca="1">('TUSD BE'!$AM$9+'TUSD BF'!$AM$9+'TUSD CVA'!$AM$9)*1</f>
        <v>12.804235521855428</v>
      </c>
      <c r="Z67" s="6">
        <f ca="1">('TUSD BE'!$AM$11+'TUSD BF'!$AM$11+'TUSD CVA'!$AM$11)*1</f>
        <v>3.1211229838573553</v>
      </c>
      <c r="AA67" s="6"/>
      <c r="AB67" s="6">
        <f>$K$67*$V$67</f>
        <v>243360</v>
      </c>
      <c r="AC67" s="6">
        <f>$M$67*$W$67</f>
        <v>0</v>
      </c>
      <c r="AD67" s="6">
        <f>$O$67*$X$67</f>
        <v>0</v>
      </c>
      <c r="AE67" s="6">
        <f ca="1">$K$67*$Y$67</f>
        <v>230476.2393933977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56</v>
      </c>
      <c r="C68" s="4" t="s">
        <v>59</v>
      </c>
      <c r="D68" s="4" t="s">
        <v>25</v>
      </c>
      <c r="E68" s="4" t="s">
        <v>25</v>
      </c>
      <c r="F68" s="4" t="s">
        <v>25</v>
      </c>
      <c r="G68" s="4" t="s">
        <v>60</v>
      </c>
      <c r="H68" s="4" t="s">
        <v>34</v>
      </c>
      <c r="I68" s="5">
        <v>44409</v>
      </c>
      <c r="J68" s="6">
        <v>18000</v>
      </c>
      <c r="K68" s="6">
        <v>18000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61</v>
      </c>
      <c r="R68" s="4">
        <v>6600</v>
      </c>
      <c r="S68" s="6">
        <v>28</v>
      </c>
      <c r="T68" s="6">
        <v>0</v>
      </c>
      <c r="U68" s="6">
        <v>0</v>
      </c>
      <c r="V68" s="6">
        <f>IF(ISERROR(VLOOKUP($S$68,'TAR FIN'!$A$1:$O$100,15,0)),0,VLOOKUP($S$68,'TAR FIN'!$A$1:$O$100,15,0))</f>
        <v>13.52</v>
      </c>
      <c r="W68" s="6">
        <f>IF(ISERROR(VLOOKUP($T$68,'TAR FIN'!$A$1:$O$100,15,0)),0,VLOOKUP($T$68,'TAR FIN'!$A$1:$O$100,15,0))</f>
        <v>0</v>
      </c>
      <c r="X68" s="6">
        <f>IF(ISERROR(VLOOKUP($U$68,'TAR FIN'!$A$1:$O$100,15,0)),0,VLOOKUP($U$68,'TAR FIN'!$A$1:$O$100,15,0))</f>
        <v>0</v>
      </c>
      <c r="Y68" s="6">
        <f ca="1">('TUSD BE'!$AM$9+'TUSD BF'!$AM$9+'TUSD CVA'!$AM$9)*1</f>
        <v>12.804235521855428</v>
      </c>
      <c r="Z68" s="6">
        <f ca="1">('TUSD BE'!$AM$11+'TUSD BF'!$AM$11+'TUSD CVA'!$AM$11)*1</f>
        <v>3.1211229838573553</v>
      </c>
      <c r="AA68" s="6"/>
      <c r="AB68" s="6">
        <f>$K$68*$V$68</f>
        <v>243360</v>
      </c>
      <c r="AC68" s="6">
        <f>$M$68*$W$68</f>
        <v>0</v>
      </c>
      <c r="AD68" s="6">
        <f>$O$68*$X$68</f>
        <v>0</v>
      </c>
      <c r="AE68" s="6">
        <f ca="1">$K$68*$Y$68</f>
        <v>230476.2393933977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56</v>
      </c>
      <c r="C69" s="4" t="s">
        <v>59</v>
      </c>
      <c r="D69" s="4" t="s">
        <v>25</v>
      </c>
      <c r="E69" s="4" t="s">
        <v>25</v>
      </c>
      <c r="F69" s="4" t="s">
        <v>25</v>
      </c>
      <c r="G69" s="4" t="s">
        <v>60</v>
      </c>
      <c r="H69" s="4" t="s">
        <v>34</v>
      </c>
      <c r="I69" s="5">
        <v>44440</v>
      </c>
      <c r="J69" s="6">
        <v>18000</v>
      </c>
      <c r="K69" s="6">
        <v>18000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61</v>
      </c>
      <c r="R69" s="4">
        <v>6600</v>
      </c>
      <c r="S69" s="6">
        <v>28</v>
      </c>
      <c r="T69" s="6">
        <v>0</v>
      </c>
      <c r="U69" s="6">
        <v>0</v>
      </c>
      <c r="V69" s="6">
        <f>IF(ISERROR(VLOOKUP($S$69,'TAR FIN'!$A$1:$O$100,15,0)),0,VLOOKUP($S$69,'TAR FIN'!$A$1:$O$100,15,0))</f>
        <v>13.52</v>
      </c>
      <c r="W69" s="6">
        <f>IF(ISERROR(VLOOKUP($T$69,'TAR FIN'!$A$1:$O$100,15,0)),0,VLOOKUP($T$69,'TAR FIN'!$A$1:$O$100,15,0))</f>
        <v>0</v>
      </c>
      <c r="X69" s="6">
        <f>IF(ISERROR(VLOOKUP($U$69,'TAR FIN'!$A$1:$O$100,15,0)),0,VLOOKUP($U$69,'TAR FIN'!$A$1:$O$100,15,0))</f>
        <v>0</v>
      </c>
      <c r="Y69" s="6">
        <f ca="1">('TUSD BE'!$AM$9+'TUSD BF'!$AM$9+'TUSD CVA'!$AM$9)*1</f>
        <v>12.804235521855428</v>
      </c>
      <c r="Z69" s="6">
        <f ca="1">('TUSD BE'!$AM$11+'TUSD BF'!$AM$11+'TUSD CVA'!$AM$11)*1</f>
        <v>3.1211229838573553</v>
      </c>
      <c r="AA69" s="6"/>
      <c r="AB69" s="6">
        <f>$K$69*$V$69</f>
        <v>243360</v>
      </c>
      <c r="AC69" s="6">
        <f>$M$69*$W$69</f>
        <v>0</v>
      </c>
      <c r="AD69" s="6">
        <f>$O$69*$X$69</f>
        <v>0</v>
      </c>
      <c r="AE69" s="6">
        <f ca="1">$K$69*$Y$69</f>
        <v>230476.2393933977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56</v>
      </c>
      <c r="C70" s="4" t="s">
        <v>59</v>
      </c>
      <c r="D70" s="4" t="s">
        <v>25</v>
      </c>
      <c r="E70" s="4" t="s">
        <v>25</v>
      </c>
      <c r="F70" s="4" t="s">
        <v>25</v>
      </c>
      <c r="G70" s="4" t="s">
        <v>60</v>
      </c>
      <c r="H70" s="4" t="s">
        <v>34</v>
      </c>
      <c r="I70" s="5">
        <v>44470</v>
      </c>
      <c r="J70" s="6">
        <v>18624</v>
      </c>
      <c r="K70" s="6">
        <v>18624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61</v>
      </c>
      <c r="R70" s="4">
        <v>6600</v>
      </c>
      <c r="S70" s="6">
        <v>28</v>
      </c>
      <c r="T70" s="6">
        <v>0</v>
      </c>
      <c r="U70" s="6">
        <v>0</v>
      </c>
      <c r="V70" s="6">
        <f>IF(ISERROR(VLOOKUP($S$70,'TAR FIN'!$A$1:$O$100,15,0)),0,VLOOKUP($S$70,'TAR FIN'!$A$1:$O$100,15,0))</f>
        <v>13.52</v>
      </c>
      <c r="W70" s="6">
        <f>IF(ISERROR(VLOOKUP($T$70,'TAR FIN'!$A$1:$O$100,15,0)),0,VLOOKUP($T$70,'TAR FIN'!$A$1:$O$100,15,0))</f>
        <v>0</v>
      </c>
      <c r="X70" s="6">
        <f>IF(ISERROR(VLOOKUP($U$70,'TAR FIN'!$A$1:$O$100,15,0)),0,VLOOKUP($U$70,'TAR FIN'!$A$1:$O$100,15,0))</f>
        <v>0</v>
      </c>
      <c r="Y70" s="6">
        <f ca="1">('TUSD BE'!$AM$9+'TUSD BF'!$AM$9+'TUSD CVA'!$AM$9)*1</f>
        <v>12.804235521855428</v>
      </c>
      <c r="Z70" s="6">
        <f ca="1">('TUSD BE'!$AM$11+'TUSD BF'!$AM$11+'TUSD CVA'!$AM$11)*1</f>
        <v>3.1211229838573553</v>
      </c>
      <c r="AA70" s="6"/>
      <c r="AB70" s="6">
        <f>$K$70*$V$70</f>
        <v>251796.47999999998</v>
      </c>
      <c r="AC70" s="6">
        <f>$M$70*$W$70</f>
        <v>0</v>
      </c>
      <c r="AD70" s="6">
        <f>$O$70*$X$70</f>
        <v>0</v>
      </c>
      <c r="AE70" s="6">
        <f ca="1">$K$70*$Y$70</f>
        <v>238466.0823590355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56</v>
      </c>
      <c r="C71" s="4" t="s">
        <v>59</v>
      </c>
      <c r="D71" s="4" t="s">
        <v>25</v>
      </c>
      <c r="E71" s="4" t="s">
        <v>25</v>
      </c>
      <c r="F71" s="4" t="s">
        <v>25</v>
      </c>
      <c r="G71" s="4" t="s">
        <v>60</v>
      </c>
      <c r="H71" s="4" t="s">
        <v>34</v>
      </c>
      <c r="I71" s="5">
        <v>44501</v>
      </c>
      <c r="J71" s="6">
        <v>18000</v>
      </c>
      <c r="K71" s="6">
        <v>18000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61</v>
      </c>
      <c r="R71" s="4">
        <v>6600</v>
      </c>
      <c r="S71" s="6">
        <v>28</v>
      </c>
      <c r="T71" s="6">
        <v>0</v>
      </c>
      <c r="U71" s="6">
        <v>0</v>
      </c>
      <c r="V71" s="6">
        <f>IF(ISERROR(VLOOKUP($S$71,'TAR FIN'!$A$1:$O$100,15,0)),0,VLOOKUP($S$71,'TAR FIN'!$A$1:$O$100,15,0))</f>
        <v>13.52</v>
      </c>
      <c r="W71" s="6">
        <f>IF(ISERROR(VLOOKUP($T$71,'TAR FIN'!$A$1:$O$100,15,0)),0,VLOOKUP($T$71,'TAR FIN'!$A$1:$O$100,15,0))</f>
        <v>0</v>
      </c>
      <c r="X71" s="6">
        <f>IF(ISERROR(VLOOKUP($U$71,'TAR FIN'!$A$1:$O$100,15,0)),0,VLOOKUP($U$71,'TAR FIN'!$A$1:$O$100,15,0))</f>
        <v>0</v>
      </c>
      <c r="Y71" s="6">
        <f ca="1">('TUSD BE'!$AM$9+'TUSD BF'!$AM$9+'TUSD CVA'!$AM$9)*1</f>
        <v>12.804235521855428</v>
      </c>
      <c r="Z71" s="6">
        <f ca="1">('TUSD BE'!$AM$11+'TUSD BF'!$AM$11+'TUSD CVA'!$AM$11)*1</f>
        <v>3.1211229838573553</v>
      </c>
      <c r="AA71" s="6"/>
      <c r="AB71" s="6">
        <f>$K$71*$V$71</f>
        <v>243360</v>
      </c>
      <c r="AC71" s="6">
        <f>$M$71*$W$71</f>
        <v>0</v>
      </c>
      <c r="AD71" s="6">
        <f>$O$71*$X$71</f>
        <v>0</v>
      </c>
      <c r="AE71" s="6">
        <f ca="1">$K$71*$Y$71</f>
        <v>230476.2393933977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56</v>
      </c>
      <c r="C72" s="4" t="s">
        <v>59</v>
      </c>
      <c r="D72" s="4" t="s">
        <v>25</v>
      </c>
      <c r="E72" s="4" t="s">
        <v>25</v>
      </c>
      <c r="F72" s="4" t="s">
        <v>25</v>
      </c>
      <c r="G72" s="4" t="s">
        <v>60</v>
      </c>
      <c r="H72" s="4" t="s">
        <v>34</v>
      </c>
      <c r="I72" s="5">
        <v>44531</v>
      </c>
      <c r="J72" s="6">
        <v>18000</v>
      </c>
      <c r="K72" s="6">
        <v>18000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61</v>
      </c>
      <c r="R72" s="4">
        <v>6600</v>
      </c>
      <c r="S72" s="6">
        <v>28</v>
      </c>
      <c r="T72" s="6">
        <v>0</v>
      </c>
      <c r="U72" s="6">
        <v>0</v>
      </c>
      <c r="V72" s="6">
        <f>IF(ISERROR(VLOOKUP($S$72,'TAR FIN'!$A$1:$O$100,15,0)),0,VLOOKUP($S$72,'TAR FIN'!$A$1:$O$100,15,0))</f>
        <v>13.52</v>
      </c>
      <c r="W72" s="6">
        <f>IF(ISERROR(VLOOKUP($T$72,'TAR FIN'!$A$1:$O$100,15,0)),0,VLOOKUP($T$72,'TAR FIN'!$A$1:$O$100,15,0))</f>
        <v>0</v>
      </c>
      <c r="X72" s="6">
        <f>IF(ISERROR(VLOOKUP($U$72,'TAR FIN'!$A$1:$O$100,15,0)),0,VLOOKUP($U$72,'TAR FIN'!$A$1:$O$100,15,0))</f>
        <v>0</v>
      </c>
      <c r="Y72" s="6">
        <f ca="1">('TUSD BE'!$AM$9+'TUSD BF'!$AM$9+'TUSD CVA'!$AM$9)*1</f>
        <v>12.804235521855428</v>
      </c>
      <c r="Z72" s="6">
        <f ca="1">('TUSD BE'!$AM$11+'TUSD BF'!$AM$11+'TUSD CVA'!$AM$11)*1</f>
        <v>3.1211229838573553</v>
      </c>
      <c r="AA72" s="6"/>
      <c r="AB72" s="6">
        <f>$K$72*$V$72</f>
        <v>243360</v>
      </c>
      <c r="AC72" s="6">
        <f>$M$72*$W$72</f>
        <v>0</v>
      </c>
      <c r="AD72" s="6">
        <f>$O$72*$X$72</f>
        <v>0</v>
      </c>
      <c r="AE72" s="6">
        <f ca="1">$K$72*$Y$72</f>
        <v>230476.2393933977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55</v>
      </c>
      <c r="B73" s="4" t="s">
        <v>56</v>
      </c>
      <c r="C73" s="4" t="s">
        <v>59</v>
      </c>
      <c r="D73" s="4" t="s">
        <v>25</v>
      </c>
      <c r="E73" s="4" t="s">
        <v>25</v>
      </c>
      <c r="F73" s="4" t="s">
        <v>25</v>
      </c>
      <c r="G73" s="4" t="s">
        <v>60</v>
      </c>
      <c r="H73" s="4" t="s">
        <v>34</v>
      </c>
      <c r="I73" s="5">
        <v>44562</v>
      </c>
      <c r="J73" s="6">
        <v>18000</v>
      </c>
      <c r="K73" s="6">
        <v>18000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61</v>
      </c>
      <c r="R73" s="4">
        <v>6600</v>
      </c>
      <c r="S73" s="6">
        <v>28</v>
      </c>
      <c r="T73" s="6">
        <v>0</v>
      </c>
      <c r="U73" s="6">
        <v>0</v>
      </c>
      <c r="V73" s="6">
        <f>IF(ISERROR(VLOOKUP($S$73,'TAR FIN'!$A$1:$O$100,15,0)),0,VLOOKUP($S$73,'TAR FIN'!$A$1:$O$100,15,0))</f>
        <v>13.52</v>
      </c>
      <c r="W73" s="6">
        <f>IF(ISERROR(VLOOKUP($T$73,'TAR FIN'!$A$1:$O$100,15,0)),0,VLOOKUP($T$73,'TAR FIN'!$A$1:$O$100,15,0))</f>
        <v>0</v>
      </c>
      <c r="X73" s="6">
        <f>IF(ISERROR(VLOOKUP($U$73,'TAR FIN'!$A$1:$O$100,15,0)),0,VLOOKUP($U$73,'TAR FIN'!$A$1:$O$100,15,0))</f>
        <v>0</v>
      </c>
      <c r="Y73" s="6">
        <f ca="1">('TUSD BE'!$AM$9+'TUSD BF'!$AM$9+'TUSD CVA'!$AM$9)*1</f>
        <v>12.804235521855428</v>
      </c>
      <c r="Z73" s="6">
        <f ca="1">('TUSD BE'!$AM$11+'TUSD BF'!$AM$11+'TUSD CVA'!$AM$11)*1</f>
        <v>3.1211229838573553</v>
      </c>
      <c r="AA73" s="6"/>
      <c r="AB73" s="6">
        <f>$K$73*$V$73</f>
        <v>243360</v>
      </c>
      <c r="AC73" s="6">
        <f>$M$73*$W$73</f>
        <v>0</v>
      </c>
      <c r="AD73" s="6">
        <f>$O$73*$X$73</f>
        <v>0</v>
      </c>
      <c r="AE73" s="6">
        <f ca="1">$K$73*$Y$73</f>
        <v>230476.2393933977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39</v>
      </c>
      <c r="C74" s="4" t="s">
        <v>40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35</v>
      </c>
      <c r="I74" s="5">
        <v>44228</v>
      </c>
      <c r="J74" s="6">
        <v>2248</v>
      </c>
      <c r="K74" s="6">
        <v>2248</v>
      </c>
      <c r="L74" s="6">
        <v>785.98</v>
      </c>
      <c r="M74" s="6">
        <v>785.98</v>
      </c>
      <c r="N74" s="6">
        <v>785.98</v>
      </c>
      <c r="O74" s="6">
        <v>785.98</v>
      </c>
      <c r="P74" s="6">
        <v>0</v>
      </c>
      <c r="Q74" s="4" t="s">
        <v>26</v>
      </c>
      <c r="R74" s="4">
        <v>0</v>
      </c>
      <c r="S74" s="6">
        <v>10</v>
      </c>
      <c r="T74" s="6">
        <v>11</v>
      </c>
      <c r="U74" s="6">
        <v>68</v>
      </c>
      <c r="V74" s="6">
        <f>IF(ISERROR(VLOOKUP($S$74,'TAR FIN'!$A$1:$O$100,15,0)),0,VLOOKUP($S$74,'TAR FIN'!$A$1:$O$100,15,0))</f>
        <v>18.48</v>
      </c>
      <c r="W74" s="6">
        <f>IF(ISERROR(VLOOKUP($T$74,'TAR FIN'!$A$1:$O$100,15,0)),0,VLOOKUP($T$74,'TAR FIN'!$A$1:$O$100,15,0))</f>
        <v>43.65</v>
      </c>
      <c r="X74" s="6">
        <f>IF(ISERROR(VLOOKUP($U$74,'TAR FIN'!$A$1:$O$100,15,0)),0,VLOOKUP($U$74,'TAR FIN'!$A$1:$O$100,15,0))</f>
        <v>219.03</v>
      </c>
      <c r="Y74" s="6">
        <f ca="1">('TUSD BE'!$AM$13+'TUSD BF'!$AM$13+'TUSD CVA'!$AM$13)*1</f>
        <v>17.856842567448453</v>
      </c>
      <c r="Z74" s="6">
        <f ca="1">('TUSD BE'!$AM$14+'TUSD BF'!$AM$14+'TUSD CVA'!$AM$14)*1</f>
        <v>49.78704102185678</v>
      </c>
      <c r="AA74" s="6">
        <f>('TE BE'!$AA$8+'TE BF'!$AA$8+'TE CVA'!$AA$8)*1</f>
        <v>238.55077890362423</v>
      </c>
      <c r="AB74" s="6">
        <f>$K$74*$V$74</f>
        <v>41543.040000000001</v>
      </c>
      <c r="AC74" s="6">
        <f>$M$74*$W$74</f>
        <v>34308.027000000002</v>
      </c>
      <c r="AD74" s="6">
        <f>$O$74*$X$74</f>
        <v>172153.19940000001</v>
      </c>
      <c r="AE74" s="6">
        <f ca="1">$K$74*$Y$74</f>
        <v>40142.182091624119</v>
      </c>
      <c r="AF74" s="6">
        <f ca="1">$M$74*$Z$74</f>
        <v>39131.618502358993</v>
      </c>
      <c r="AG74" s="6">
        <f>$O$74*$AA$74</f>
        <v>187496.14120267058</v>
      </c>
    </row>
    <row r="75" spans="1:33" ht="11.25" customHeight="1" x14ac:dyDescent="0.25">
      <c r="A75" s="4" t="s">
        <v>28</v>
      </c>
      <c r="B75" s="4" t="s">
        <v>39</v>
      </c>
      <c r="C75" s="4" t="s">
        <v>40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35</v>
      </c>
      <c r="I75" s="5">
        <v>44228</v>
      </c>
      <c r="J75" s="6">
        <v>240</v>
      </c>
      <c r="K75" s="6">
        <v>240</v>
      </c>
      <c r="L75" s="6">
        <v>79.8</v>
      </c>
      <c r="M75" s="6">
        <v>79.8</v>
      </c>
      <c r="N75" s="6">
        <v>79.8</v>
      </c>
      <c r="O75" s="6">
        <v>79.8</v>
      </c>
      <c r="P75" s="6">
        <v>0</v>
      </c>
      <c r="Q75" s="4" t="s">
        <v>26</v>
      </c>
      <c r="R75" s="4">
        <v>0</v>
      </c>
      <c r="S75" s="6">
        <v>10</v>
      </c>
      <c r="T75" s="6">
        <v>11</v>
      </c>
      <c r="U75" s="6">
        <v>68</v>
      </c>
      <c r="V75" s="6">
        <f>IF(ISERROR(VLOOKUP($S$75,'TAR FIN'!$A$1:$O$100,15,0)),0,VLOOKUP($S$75,'TAR FIN'!$A$1:$O$100,15,0))</f>
        <v>18.48</v>
      </c>
      <c r="W75" s="6">
        <f>IF(ISERROR(VLOOKUP($T$75,'TAR FIN'!$A$1:$O$100,15,0)),0,VLOOKUP($T$75,'TAR FIN'!$A$1:$O$100,15,0))</f>
        <v>43.65</v>
      </c>
      <c r="X75" s="6">
        <f>IF(ISERROR(VLOOKUP($U$75,'TAR FIN'!$A$1:$O$100,15,0)),0,VLOOKUP($U$75,'TAR FIN'!$A$1:$O$100,15,0))</f>
        <v>219.03</v>
      </c>
      <c r="Y75" s="6">
        <f ca="1">('TUSD BE'!$AM$13+'TUSD BF'!$AM$13+'TUSD CVA'!$AM$13)*1</f>
        <v>17.856842567448453</v>
      </c>
      <c r="Z75" s="6">
        <f ca="1">('TUSD BE'!$AM$14+'TUSD BF'!$AM$14+'TUSD CVA'!$AM$14)*1</f>
        <v>49.78704102185678</v>
      </c>
      <c r="AA75" s="6">
        <f>('TE BE'!$AA$8+'TE BF'!$AA$8+'TE CVA'!$AA$8)*1</f>
        <v>238.55077890362423</v>
      </c>
      <c r="AB75" s="6">
        <f>$K$75*$V$75</f>
        <v>4435.2</v>
      </c>
      <c r="AC75" s="6">
        <f>$M$75*$W$75</f>
        <v>3483.27</v>
      </c>
      <c r="AD75" s="6">
        <f>$O$75*$X$75</f>
        <v>17478.594000000001</v>
      </c>
      <c r="AE75" s="6">
        <f ca="1">$K$75*$Y$75</f>
        <v>4285.6422161876289</v>
      </c>
      <c r="AF75" s="6">
        <f ca="1">$M$75*$Z$75</f>
        <v>3973.0058735441708</v>
      </c>
      <c r="AG75" s="6">
        <f>$O$75*$AA$75</f>
        <v>19036.352156509212</v>
      </c>
    </row>
    <row r="76" spans="1:33" ht="11.25" customHeight="1" x14ac:dyDescent="0.25">
      <c r="A76" s="4" t="s">
        <v>21</v>
      </c>
      <c r="B76" s="4" t="s">
        <v>39</v>
      </c>
      <c r="C76" s="4" t="s">
        <v>40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35</v>
      </c>
      <c r="I76" s="5">
        <v>44256</v>
      </c>
      <c r="J76" s="6">
        <v>2224</v>
      </c>
      <c r="K76" s="6">
        <v>2224</v>
      </c>
      <c r="L76" s="6">
        <v>828.03599999999994</v>
      </c>
      <c r="M76" s="6">
        <v>828.03599999999994</v>
      </c>
      <c r="N76" s="6">
        <v>828.03599999999994</v>
      </c>
      <c r="O76" s="6">
        <v>828.03599999999994</v>
      </c>
      <c r="P76" s="6">
        <v>0</v>
      </c>
      <c r="Q76" s="4" t="s">
        <v>26</v>
      </c>
      <c r="R76" s="4">
        <v>0</v>
      </c>
      <c r="S76" s="6">
        <v>10</v>
      </c>
      <c r="T76" s="6">
        <v>11</v>
      </c>
      <c r="U76" s="6">
        <v>68</v>
      </c>
      <c r="V76" s="6">
        <f>IF(ISERROR(VLOOKUP($S$76,'TAR FIN'!$A$1:$O$100,15,0)),0,VLOOKUP($S$76,'TAR FIN'!$A$1:$O$100,15,0))</f>
        <v>18.48</v>
      </c>
      <c r="W76" s="6">
        <f>IF(ISERROR(VLOOKUP($T$76,'TAR FIN'!$A$1:$O$100,15,0)),0,VLOOKUP($T$76,'TAR FIN'!$A$1:$O$100,15,0))</f>
        <v>43.65</v>
      </c>
      <c r="X76" s="6">
        <f>IF(ISERROR(VLOOKUP($U$76,'TAR FIN'!$A$1:$O$100,15,0)),0,VLOOKUP($U$76,'TAR FIN'!$A$1:$O$100,15,0))</f>
        <v>219.03</v>
      </c>
      <c r="Y76" s="6">
        <f ca="1">('TUSD BE'!$AM$13+'TUSD BF'!$AM$13+'TUSD CVA'!$AM$13)*1</f>
        <v>17.856842567448453</v>
      </c>
      <c r="Z76" s="6">
        <f ca="1">('TUSD BE'!$AM$14+'TUSD BF'!$AM$14+'TUSD CVA'!$AM$14)*1</f>
        <v>49.78704102185678</v>
      </c>
      <c r="AA76" s="6">
        <f>('TE BE'!$AA$8+'TE BF'!$AA$8+'TE CVA'!$AA$8)*1</f>
        <v>238.55077890362423</v>
      </c>
      <c r="AB76" s="6">
        <f>$K$76*$V$76</f>
        <v>41099.520000000004</v>
      </c>
      <c r="AC76" s="6">
        <f>$M$76*$W$76</f>
        <v>36143.771399999998</v>
      </c>
      <c r="AD76" s="6">
        <f>$O$76*$X$76</f>
        <v>181364.72507999997</v>
      </c>
      <c r="AE76" s="6">
        <f ca="1">$K$76*$Y$76</f>
        <v>39713.617870005357</v>
      </c>
      <c r="AF76" s="6">
        <f ca="1">$M$76*$Z$76</f>
        <v>41225.462299574196</v>
      </c>
      <c r="AG76" s="6">
        <f>$O$76*$AA$76</f>
        <v>197528.63276024139</v>
      </c>
    </row>
    <row r="77" spans="1:33" ht="11.25" customHeight="1" x14ac:dyDescent="0.25">
      <c r="A77" s="4" t="s">
        <v>27</v>
      </c>
      <c r="B77" s="4" t="s">
        <v>39</v>
      </c>
      <c r="C77" s="4" t="s">
        <v>40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35</v>
      </c>
      <c r="I77" s="5">
        <v>44256</v>
      </c>
      <c r="J77" s="6">
        <v>-237</v>
      </c>
      <c r="K77" s="6">
        <v>-237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26</v>
      </c>
      <c r="R77" s="4">
        <v>0</v>
      </c>
      <c r="S77" s="6">
        <v>10</v>
      </c>
      <c r="T77" s="6">
        <v>0</v>
      </c>
      <c r="U77" s="6">
        <v>0</v>
      </c>
      <c r="V77" s="6">
        <f>IF(ISERROR(VLOOKUP($S$77,'TAR FIN'!$A$1:$O$100,15,0)),0,VLOOKUP($S$77,'TAR FIN'!$A$1:$O$100,15,0))</f>
        <v>18.48</v>
      </c>
      <c r="W77" s="6">
        <f>IF(ISERROR(VLOOKUP($T$77,'TAR FIN'!$A$1:$O$100,15,0)),0,VLOOKUP($T$77,'TAR FIN'!$A$1:$O$100,15,0))</f>
        <v>0</v>
      </c>
      <c r="X77" s="6">
        <f>IF(ISERROR(VLOOKUP($U$77,'TAR FIN'!$A$1:$O$100,15,0)),0,VLOOKUP($U$77,'TAR FIN'!$A$1:$O$100,15,0))</f>
        <v>0</v>
      </c>
      <c r="Y77" s="6">
        <f ca="1">('TUSD BE'!$AM$13+'TUSD BF'!$AM$13+'TUSD CVA'!$AM$13)*1</f>
        <v>17.856842567448453</v>
      </c>
      <c r="Z77" s="6">
        <f ca="1">('TUSD BE'!$AM$14+'TUSD BF'!$AM$14+'TUSD CVA'!$AM$14)*1</f>
        <v>49.78704102185678</v>
      </c>
      <c r="AA77" s="6">
        <f>('TE BE'!$AA$8+'TE BF'!$AA$8+'TE CVA'!$AA$8)*1</f>
        <v>238.55077890362423</v>
      </c>
      <c r="AB77" s="6">
        <f>$K$77*$V$77</f>
        <v>-4379.76</v>
      </c>
      <c r="AC77" s="6">
        <f>$M$77*$W$77</f>
        <v>0</v>
      </c>
      <c r="AD77" s="6">
        <f>$O$77*$X$77</f>
        <v>0</v>
      </c>
      <c r="AE77" s="6">
        <f ca="1">$K$77*$Y$77</f>
        <v>-4232.0716884852836</v>
      </c>
      <c r="AF77" s="6">
        <f ca="1">$M$77*$Z$77</f>
        <v>0</v>
      </c>
      <c r="AG77" s="6">
        <f>$O$77*$AA$77</f>
        <v>0</v>
      </c>
    </row>
    <row r="78" spans="1:33" ht="11.25" customHeight="1" x14ac:dyDescent="0.25">
      <c r="A78" s="4" t="s">
        <v>28</v>
      </c>
      <c r="B78" s="4" t="s">
        <v>39</v>
      </c>
      <c r="C78" s="4" t="s">
        <v>40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35</v>
      </c>
      <c r="I78" s="5">
        <v>44256</v>
      </c>
      <c r="J78" s="6">
        <v>240</v>
      </c>
      <c r="K78" s="6">
        <v>240</v>
      </c>
      <c r="L78" s="6">
        <v>89.32</v>
      </c>
      <c r="M78" s="6">
        <v>89.32</v>
      </c>
      <c r="N78" s="6">
        <v>89.32</v>
      </c>
      <c r="O78" s="6">
        <v>89.32</v>
      </c>
      <c r="P78" s="6">
        <v>0</v>
      </c>
      <c r="Q78" s="4" t="s">
        <v>26</v>
      </c>
      <c r="R78" s="4">
        <v>0</v>
      </c>
      <c r="S78" s="6">
        <v>10</v>
      </c>
      <c r="T78" s="6">
        <v>11</v>
      </c>
      <c r="U78" s="6">
        <v>68</v>
      </c>
      <c r="V78" s="6">
        <f>IF(ISERROR(VLOOKUP($S$78,'TAR FIN'!$A$1:$O$100,15,0)),0,VLOOKUP($S$78,'TAR FIN'!$A$1:$O$100,15,0))</f>
        <v>18.48</v>
      </c>
      <c r="W78" s="6">
        <f>IF(ISERROR(VLOOKUP($T$78,'TAR FIN'!$A$1:$O$100,15,0)),0,VLOOKUP($T$78,'TAR FIN'!$A$1:$O$100,15,0))</f>
        <v>43.65</v>
      </c>
      <c r="X78" s="6">
        <f>IF(ISERROR(VLOOKUP($U$78,'TAR FIN'!$A$1:$O$100,15,0)),0,VLOOKUP($U$78,'TAR FIN'!$A$1:$O$100,15,0))</f>
        <v>219.03</v>
      </c>
      <c r="Y78" s="6">
        <f ca="1">('TUSD BE'!$AM$13+'TUSD BF'!$AM$13+'TUSD CVA'!$AM$13)*1</f>
        <v>17.856842567448453</v>
      </c>
      <c r="Z78" s="6">
        <f ca="1">('TUSD BE'!$AM$14+'TUSD BF'!$AM$14+'TUSD CVA'!$AM$14)*1</f>
        <v>49.78704102185678</v>
      </c>
      <c r="AA78" s="6">
        <f>('TE BE'!$AA$8+'TE BF'!$AA$8+'TE CVA'!$AA$8)*1</f>
        <v>238.55077890362423</v>
      </c>
      <c r="AB78" s="6">
        <f>$K$78*$V$78</f>
        <v>4435.2</v>
      </c>
      <c r="AC78" s="6">
        <f>$M$78*$W$78</f>
        <v>3898.8179999999998</v>
      </c>
      <c r="AD78" s="6">
        <f>$O$78*$X$78</f>
        <v>19563.759599999998</v>
      </c>
      <c r="AE78" s="6">
        <f ca="1">$K$78*$Y$78</f>
        <v>4285.6422161876289</v>
      </c>
      <c r="AF78" s="6">
        <f ca="1">$M$78*$Z$78</f>
        <v>4446.9785040722472</v>
      </c>
      <c r="AG78" s="6">
        <f>$O$78*$AA$78</f>
        <v>21307.355571671716</v>
      </c>
    </row>
    <row r="79" spans="1:33" ht="11.25" customHeight="1" x14ac:dyDescent="0.25">
      <c r="A79" s="4" t="s">
        <v>21</v>
      </c>
      <c r="B79" s="4" t="s">
        <v>39</v>
      </c>
      <c r="C79" s="4" t="s">
        <v>40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35</v>
      </c>
      <c r="I79" s="5">
        <v>44287</v>
      </c>
      <c r="J79" s="6">
        <v>2231</v>
      </c>
      <c r="K79" s="6">
        <v>2231</v>
      </c>
      <c r="L79" s="6">
        <v>821.19399999999996</v>
      </c>
      <c r="M79" s="6">
        <v>821.19399999999996</v>
      </c>
      <c r="N79" s="6">
        <v>821.19399999999996</v>
      </c>
      <c r="O79" s="6">
        <v>821.19399999999996</v>
      </c>
      <c r="P79" s="6">
        <v>0</v>
      </c>
      <c r="Q79" s="4" t="s">
        <v>26</v>
      </c>
      <c r="R79" s="4">
        <v>0</v>
      </c>
      <c r="S79" s="6">
        <v>10</v>
      </c>
      <c r="T79" s="6">
        <v>11</v>
      </c>
      <c r="U79" s="6">
        <v>68</v>
      </c>
      <c r="V79" s="6">
        <f>IF(ISERROR(VLOOKUP($S$79,'TAR FIN'!$A$1:$O$100,15,0)),0,VLOOKUP($S$79,'TAR FIN'!$A$1:$O$100,15,0))</f>
        <v>18.48</v>
      </c>
      <c r="W79" s="6">
        <f>IF(ISERROR(VLOOKUP($T$79,'TAR FIN'!$A$1:$O$100,15,0)),0,VLOOKUP($T$79,'TAR FIN'!$A$1:$O$100,15,0))</f>
        <v>43.65</v>
      </c>
      <c r="X79" s="6">
        <f>IF(ISERROR(VLOOKUP($U$79,'TAR FIN'!$A$1:$O$100,15,0)),0,VLOOKUP($U$79,'TAR FIN'!$A$1:$O$100,15,0))</f>
        <v>219.03</v>
      </c>
      <c r="Y79" s="6">
        <f ca="1">('TUSD BE'!$AM$13+'TUSD BF'!$AM$13+'TUSD CVA'!$AM$13)*1</f>
        <v>17.856842567448453</v>
      </c>
      <c r="Z79" s="6">
        <f ca="1">('TUSD BE'!$AM$14+'TUSD BF'!$AM$14+'TUSD CVA'!$AM$14)*1</f>
        <v>49.78704102185678</v>
      </c>
      <c r="AA79" s="6">
        <f>('TE BE'!$AA$8+'TE BF'!$AA$8+'TE CVA'!$AA$8)*1</f>
        <v>238.55077890362423</v>
      </c>
      <c r="AB79" s="6">
        <f>$K$79*$V$79</f>
        <v>41228.879999999997</v>
      </c>
      <c r="AC79" s="6">
        <f>$M$79*$W$79</f>
        <v>35845.1181</v>
      </c>
      <c r="AD79" s="6">
        <f>$O$79*$X$79</f>
        <v>179866.12182</v>
      </c>
      <c r="AE79" s="6">
        <f ca="1">$K$79*$Y$79</f>
        <v>39838.615767977499</v>
      </c>
      <c r="AF79" s="6">
        <f ca="1">$M$79*$Z$79</f>
        <v>40884.819364902658</v>
      </c>
      <c r="AG79" s="6">
        <f>$O$79*$AA$79</f>
        <v>195896.46833098278</v>
      </c>
    </row>
    <row r="80" spans="1:33" ht="11.25" customHeight="1" x14ac:dyDescent="0.25">
      <c r="A80" s="4" t="s">
        <v>28</v>
      </c>
      <c r="B80" s="4" t="s">
        <v>39</v>
      </c>
      <c r="C80" s="4" t="s">
        <v>40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35</v>
      </c>
      <c r="I80" s="5">
        <v>44287</v>
      </c>
      <c r="J80" s="6">
        <v>235</v>
      </c>
      <c r="K80" s="6">
        <v>235</v>
      </c>
      <c r="L80" s="6">
        <v>93.24</v>
      </c>
      <c r="M80" s="6">
        <v>93.24</v>
      </c>
      <c r="N80" s="6">
        <v>93.24</v>
      </c>
      <c r="O80" s="6">
        <v>93.24</v>
      </c>
      <c r="P80" s="6">
        <v>0</v>
      </c>
      <c r="Q80" s="4" t="s">
        <v>26</v>
      </c>
      <c r="R80" s="4">
        <v>0</v>
      </c>
      <c r="S80" s="6">
        <v>10</v>
      </c>
      <c r="T80" s="6">
        <v>11</v>
      </c>
      <c r="U80" s="6">
        <v>68</v>
      </c>
      <c r="V80" s="6">
        <f>IF(ISERROR(VLOOKUP($S$80,'TAR FIN'!$A$1:$O$100,15,0)),0,VLOOKUP($S$80,'TAR FIN'!$A$1:$O$100,15,0))</f>
        <v>18.48</v>
      </c>
      <c r="W80" s="6">
        <f>IF(ISERROR(VLOOKUP($T$80,'TAR FIN'!$A$1:$O$100,15,0)),0,VLOOKUP($T$80,'TAR FIN'!$A$1:$O$100,15,0))</f>
        <v>43.65</v>
      </c>
      <c r="X80" s="6">
        <f>IF(ISERROR(VLOOKUP($U$80,'TAR FIN'!$A$1:$O$100,15,0)),0,VLOOKUP($U$80,'TAR FIN'!$A$1:$O$100,15,0))</f>
        <v>219.03</v>
      </c>
      <c r="Y80" s="6">
        <f ca="1">('TUSD BE'!$AM$13+'TUSD BF'!$AM$13+'TUSD CVA'!$AM$13)*1</f>
        <v>17.856842567448453</v>
      </c>
      <c r="Z80" s="6">
        <f ca="1">('TUSD BE'!$AM$14+'TUSD BF'!$AM$14+'TUSD CVA'!$AM$14)*1</f>
        <v>49.78704102185678</v>
      </c>
      <c r="AA80" s="6">
        <f>('TE BE'!$AA$8+'TE BF'!$AA$8+'TE CVA'!$AA$8)*1</f>
        <v>238.55077890362423</v>
      </c>
      <c r="AB80" s="6">
        <f>$K$80*$V$80</f>
        <v>4342.8</v>
      </c>
      <c r="AC80" s="6">
        <f>$M$80*$W$80</f>
        <v>4069.9259999999995</v>
      </c>
      <c r="AD80" s="6">
        <f>$O$80*$X$80</f>
        <v>20422.357199999999</v>
      </c>
      <c r="AE80" s="6">
        <f ca="1">$K$80*$Y$80</f>
        <v>4196.3580033503868</v>
      </c>
      <c r="AF80" s="6">
        <f ca="1">$M$80*$Z$80</f>
        <v>4642.1437048779262</v>
      </c>
      <c r="AG80" s="6">
        <f>$O$80*$AA$80</f>
        <v>22242.474624973922</v>
      </c>
    </row>
    <row r="81" spans="1:33" ht="11.25" customHeight="1" x14ac:dyDescent="0.25">
      <c r="A81" s="4" t="s">
        <v>21</v>
      </c>
      <c r="B81" s="4" t="s">
        <v>39</v>
      </c>
      <c r="C81" s="4" t="s">
        <v>40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35</v>
      </c>
      <c r="I81" s="5">
        <v>44317</v>
      </c>
      <c r="J81" s="6">
        <v>2133</v>
      </c>
      <c r="K81" s="6">
        <v>2133</v>
      </c>
      <c r="L81" s="6">
        <v>806.96100000000001</v>
      </c>
      <c r="M81" s="6">
        <v>806.96100000000001</v>
      </c>
      <c r="N81" s="6">
        <v>806.96100000000001</v>
      </c>
      <c r="O81" s="6">
        <v>806.96100000000001</v>
      </c>
      <c r="P81" s="6">
        <v>0</v>
      </c>
      <c r="Q81" s="4" t="s">
        <v>26</v>
      </c>
      <c r="R81" s="4">
        <v>0</v>
      </c>
      <c r="S81" s="6">
        <v>10</v>
      </c>
      <c r="T81" s="6">
        <v>11</v>
      </c>
      <c r="U81" s="6">
        <v>68</v>
      </c>
      <c r="V81" s="6">
        <f>IF(ISERROR(VLOOKUP($S$81,'TAR FIN'!$A$1:$O$100,15,0)),0,VLOOKUP($S$81,'TAR FIN'!$A$1:$O$100,15,0))</f>
        <v>18.48</v>
      </c>
      <c r="W81" s="6">
        <f>IF(ISERROR(VLOOKUP($T$81,'TAR FIN'!$A$1:$O$100,15,0)),0,VLOOKUP($T$81,'TAR FIN'!$A$1:$O$100,15,0))</f>
        <v>43.65</v>
      </c>
      <c r="X81" s="6">
        <f>IF(ISERROR(VLOOKUP($U$81,'TAR FIN'!$A$1:$O$100,15,0)),0,VLOOKUP($U$81,'TAR FIN'!$A$1:$O$100,15,0))</f>
        <v>219.03</v>
      </c>
      <c r="Y81" s="6">
        <f ca="1">('TUSD BE'!$AM$13+'TUSD BF'!$AM$13+'TUSD CVA'!$AM$13)*1</f>
        <v>17.856842567448453</v>
      </c>
      <c r="Z81" s="6">
        <f ca="1">('TUSD BE'!$AM$14+'TUSD BF'!$AM$14+'TUSD CVA'!$AM$14)*1</f>
        <v>49.78704102185678</v>
      </c>
      <c r="AA81" s="6">
        <f>('TE BE'!$AA$8+'TE BF'!$AA$8+'TE CVA'!$AA$8)*1</f>
        <v>238.55077890362423</v>
      </c>
      <c r="AB81" s="6">
        <f>$K$81*$V$81</f>
        <v>39417.840000000004</v>
      </c>
      <c r="AC81" s="6">
        <f>$M$81*$W$81</f>
        <v>35223.847649999996</v>
      </c>
      <c r="AD81" s="6">
        <f>$O$81*$X$81</f>
        <v>176748.66782999999</v>
      </c>
      <c r="AE81" s="6">
        <f ca="1">$K$81*$Y$81</f>
        <v>38088.64519636755</v>
      </c>
      <c r="AF81" s="6">
        <f ca="1">$M$81*$Z$81</f>
        <v>40176.200410038567</v>
      </c>
      <c r="AG81" s="6">
        <f>$O$81*$AA$81</f>
        <v>192501.17509484751</v>
      </c>
    </row>
    <row r="82" spans="1:33" ht="11.25" customHeight="1" x14ac:dyDescent="0.25">
      <c r="A82" s="4" t="s">
        <v>28</v>
      </c>
      <c r="B82" s="4" t="s">
        <v>39</v>
      </c>
      <c r="C82" s="4" t="s">
        <v>40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35</v>
      </c>
      <c r="I82" s="5">
        <v>44317</v>
      </c>
      <c r="J82" s="6">
        <v>243</v>
      </c>
      <c r="K82" s="6">
        <v>243</v>
      </c>
      <c r="L82" s="6">
        <v>98.56</v>
      </c>
      <c r="M82" s="6">
        <v>98.56</v>
      </c>
      <c r="N82" s="6">
        <v>98.56</v>
      </c>
      <c r="O82" s="6">
        <v>98.56</v>
      </c>
      <c r="P82" s="6">
        <v>0</v>
      </c>
      <c r="Q82" s="4" t="s">
        <v>26</v>
      </c>
      <c r="R82" s="4">
        <v>0</v>
      </c>
      <c r="S82" s="6">
        <v>10</v>
      </c>
      <c r="T82" s="6">
        <v>11</v>
      </c>
      <c r="U82" s="6">
        <v>68</v>
      </c>
      <c r="V82" s="6">
        <f>IF(ISERROR(VLOOKUP($S$82,'TAR FIN'!$A$1:$O$100,15,0)),0,VLOOKUP($S$82,'TAR FIN'!$A$1:$O$100,15,0))</f>
        <v>18.48</v>
      </c>
      <c r="W82" s="6">
        <f>IF(ISERROR(VLOOKUP($T$82,'TAR FIN'!$A$1:$O$100,15,0)),0,VLOOKUP($T$82,'TAR FIN'!$A$1:$O$100,15,0))</f>
        <v>43.65</v>
      </c>
      <c r="X82" s="6">
        <f>IF(ISERROR(VLOOKUP($U$82,'TAR FIN'!$A$1:$O$100,15,0)),0,VLOOKUP($U$82,'TAR FIN'!$A$1:$O$100,15,0))</f>
        <v>219.03</v>
      </c>
      <c r="Y82" s="6">
        <f ca="1">('TUSD BE'!$AM$13+'TUSD BF'!$AM$13+'TUSD CVA'!$AM$13)*1</f>
        <v>17.856842567448453</v>
      </c>
      <c r="Z82" s="6">
        <f ca="1">('TUSD BE'!$AM$14+'TUSD BF'!$AM$14+'TUSD CVA'!$AM$14)*1</f>
        <v>49.78704102185678</v>
      </c>
      <c r="AA82" s="6">
        <f>('TE BE'!$AA$8+'TE BF'!$AA$8+'TE CVA'!$AA$8)*1</f>
        <v>238.55077890362423</v>
      </c>
      <c r="AB82" s="6">
        <f>$K$82*$V$82</f>
        <v>4490.6400000000003</v>
      </c>
      <c r="AC82" s="6">
        <f>$M$82*$W$82</f>
        <v>4302.1440000000002</v>
      </c>
      <c r="AD82" s="6">
        <f>$O$82*$X$82</f>
        <v>21587.596799999999</v>
      </c>
      <c r="AE82" s="6">
        <f ca="1">$K$82*$Y$82</f>
        <v>4339.2127438899743</v>
      </c>
      <c r="AF82" s="6">
        <f ca="1">$M$82*$Z$82</f>
        <v>4907.0107631142046</v>
      </c>
      <c r="AG82" s="6">
        <f>$O$82*$AA$82</f>
        <v>23511.564768741206</v>
      </c>
    </row>
    <row r="83" spans="1:33" ht="11.25" customHeight="1" x14ac:dyDescent="0.25">
      <c r="A83" s="4" t="s">
        <v>21</v>
      </c>
      <c r="B83" s="4" t="s">
        <v>39</v>
      </c>
      <c r="C83" s="4" t="s">
        <v>40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35</v>
      </c>
      <c r="I83" s="5">
        <v>44348</v>
      </c>
      <c r="J83" s="6">
        <v>2124</v>
      </c>
      <c r="K83" s="6">
        <v>2124</v>
      </c>
      <c r="L83" s="6">
        <v>767.54200000000003</v>
      </c>
      <c r="M83" s="6">
        <v>767.54200000000003</v>
      </c>
      <c r="N83" s="6">
        <v>767.54200000000003</v>
      </c>
      <c r="O83" s="6">
        <v>767.54200000000003</v>
      </c>
      <c r="P83" s="6">
        <v>0</v>
      </c>
      <c r="Q83" s="4" t="s">
        <v>26</v>
      </c>
      <c r="R83" s="4">
        <v>0</v>
      </c>
      <c r="S83" s="6">
        <v>10</v>
      </c>
      <c r="T83" s="6">
        <v>11</v>
      </c>
      <c r="U83" s="6">
        <v>68</v>
      </c>
      <c r="V83" s="6">
        <f>IF(ISERROR(VLOOKUP($S$83,'TAR FIN'!$A$1:$O$100,15,0)),0,VLOOKUP($S$83,'TAR FIN'!$A$1:$O$100,15,0))</f>
        <v>18.48</v>
      </c>
      <c r="W83" s="6">
        <f>IF(ISERROR(VLOOKUP($T$83,'TAR FIN'!$A$1:$O$100,15,0)),0,VLOOKUP($T$83,'TAR FIN'!$A$1:$O$100,15,0))</f>
        <v>43.65</v>
      </c>
      <c r="X83" s="6">
        <f>IF(ISERROR(VLOOKUP($U$83,'TAR FIN'!$A$1:$O$100,15,0)),0,VLOOKUP($U$83,'TAR FIN'!$A$1:$O$100,15,0))</f>
        <v>219.03</v>
      </c>
      <c r="Y83" s="6">
        <f ca="1">('TUSD BE'!$AM$13+'TUSD BF'!$AM$13+'TUSD CVA'!$AM$13)*1</f>
        <v>17.856842567448453</v>
      </c>
      <c r="Z83" s="6">
        <f ca="1">('TUSD BE'!$AM$14+'TUSD BF'!$AM$14+'TUSD CVA'!$AM$14)*1</f>
        <v>49.78704102185678</v>
      </c>
      <c r="AA83" s="6">
        <f>('TE BE'!$AA$8+'TE BF'!$AA$8+'TE CVA'!$AA$8)*1</f>
        <v>238.55077890362423</v>
      </c>
      <c r="AB83" s="6">
        <f>$K$83*$V$83</f>
        <v>39251.520000000004</v>
      </c>
      <c r="AC83" s="6">
        <f>$M$83*$W$83</f>
        <v>33503.208299999998</v>
      </c>
      <c r="AD83" s="6">
        <f>$O$83*$X$83</f>
        <v>168114.72426000002</v>
      </c>
      <c r="AE83" s="6">
        <f ca="1">$K$83*$Y$83</f>
        <v>37927.933613260517</v>
      </c>
      <c r="AF83" s="6">
        <f ca="1">$M$83*$Z$83</f>
        <v>38213.645039997995</v>
      </c>
      <c r="AG83" s="6">
        <f>$O$83*$AA$83</f>
        <v>183097.74194124556</v>
      </c>
    </row>
    <row r="84" spans="1:33" ht="11.25" customHeight="1" x14ac:dyDescent="0.25">
      <c r="A84" s="4" t="s">
        <v>28</v>
      </c>
      <c r="B84" s="4" t="s">
        <v>39</v>
      </c>
      <c r="C84" s="4" t="s">
        <v>40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35</v>
      </c>
      <c r="I84" s="5">
        <v>44348</v>
      </c>
      <c r="J84" s="6">
        <v>246</v>
      </c>
      <c r="K84" s="6">
        <v>246</v>
      </c>
      <c r="L84" s="6">
        <v>91.28</v>
      </c>
      <c r="M84" s="6">
        <v>91.28</v>
      </c>
      <c r="N84" s="6">
        <v>91.28</v>
      </c>
      <c r="O84" s="6">
        <v>91.28</v>
      </c>
      <c r="P84" s="6">
        <v>0</v>
      </c>
      <c r="Q84" s="4" t="s">
        <v>26</v>
      </c>
      <c r="R84" s="4">
        <v>0</v>
      </c>
      <c r="S84" s="6">
        <v>10</v>
      </c>
      <c r="T84" s="6">
        <v>11</v>
      </c>
      <c r="U84" s="6">
        <v>68</v>
      </c>
      <c r="V84" s="6">
        <f>IF(ISERROR(VLOOKUP($S$84,'TAR FIN'!$A$1:$O$100,15,0)),0,VLOOKUP($S$84,'TAR FIN'!$A$1:$O$100,15,0))</f>
        <v>18.48</v>
      </c>
      <c r="W84" s="6">
        <f>IF(ISERROR(VLOOKUP($T$84,'TAR FIN'!$A$1:$O$100,15,0)),0,VLOOKUP($T$84,'TAR FIN'!$A$1:$O$100,15,0))</f>
        <v>43.65</v>
      </c>
      <c r="X84" s="6">
        <f>IF(ISERROR(VLOOKUP($U$84,'TAR FIN'!$A$1:$O$100,15,0)),0,VLOOKUP($U$84,'TAR FIN'!$A$1:$O$100,15,0))</f>
        <v>219.03</v>
      </c>
      <c r="Y84" s="6">
        <f ca="1">('TUSD BE'!$AM$13+'TUSD BF'!$AM$13+'TUSD CVA'!$AM$13)*1</f>
        <v>17.856842567448453</v>
      </c>
      <c r="Z84" s="6">
        <f ca="1">('TUSD BE'!$AM$14+'TUSD BF'!$AM$14+'TUSD CVA'!$AM$14)*1</f>
        <v>49.78704102185678</v>
      </c>
      <c r="AA84" s="6">
        <f>('TE BE'!$AA$8+'TE BF'!$AA$8+'TE CVA'!$AA$8)*1</f>
        <v>238.55077890362423</v>
      </c>
      <c r="AB84" s="6">
        <f>$K$84*$V$84</f>
        <v>4546.08</v>
      </c>
      <c r="AC84" s="6">
        <f>$M$84*$W$84</f>
        <v>3984.3719999999998</v>
      </c>
      <c r="AD84" s="6">
        <f>$O$84*$X$84</f>
        <v>19993.058400000002</v>
      </c>
      <c r="AE84" s="6">
        <f ca="1">$K$84*$Y$84</f>
        <v>4392.7832715923196</v>
      </c>
      <c r="AF84" s="6">
        <f ca="1">$M$84*$Z$84</f>
        <v>4544.5611044750867</v>
      </c>
      <c r="AG84" s="6">
        <f>$O$84*$AA$84</f>
        <v>21774.915098322821</v>
      </c>
    </row>
    <row r="85" spans="1:33" ht="11.25" customHeight="1" x14ac:dyDescent="0.25">
      <c r="A85" s="4" t="s">
        <v>21</v>
      </c>
      <c r="B85" s="4" t="s">
        <v>39</v>
      </c>
      <c r="C85" s="4" t="s">
        <v>40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35</v>
      </c>
      <c r="I85" s="5">
        <v>44378</v>
      </c>
      <c r="J85" s="6">
        <v>2094</v>
      </c>
      <c r="K85" s="6">
        <v>2094</v>
      </c>
      <c r="L85" s="6">
        <v>764.072</v>
      </c>
      <c r="M85" s="6">
        <v>764.072</v>
      </c>
      <c r="N85" s="6">
        <v>764.072</v>
      </c>
      <c r="O85" s="6">
        <v>764.072</v>
      </c>
      <c r="P85" s="6">
        <v>0</v>
      </c>
      <c r="Q85" s="4" t="s">
        <v>26</v>
      </c>
      <c r="R85" s="4">
        <v>0</v>
      </c>
      <c r="S85" s="6">
        <v>10</v>
      </c>
      <c r="T85" s="6">
        <v>11</v>
      </c>
      <c r="U85" s="6">
        <v>68</v>
      </c>
      <c r="V85" s="6">
        <f>IF(ISERROR(VLOOKUP($S$85,'TAR FIN'!$A$1:$O$100,15,0)),0,VLOOKUP($S$85,'TAR FIN'!$A$1:$O$100,15,0))</f>
        <v>18.48</v>
      </c>
      <c r="W85" s="6">
        <f>IF(ISERROR(VLOOKUP($T$85,'TAR FIN'!$A$1:$O$100,15,0)),0,VLOOKUP($T$85,'TAR FIN'!$A$1:$O$100,15,0))</f>
        <v>43.65</v>
      </c>
      <c r="X85" s="6">
        <f>IF(ISERROR(VLOOKUP($U$85,'TAR FIN'!$A$1:$O$100,15,0)),0,VLOOKUP($U$85,'TAR FIN'!$A$1:$O$100,15,0))</f>
        <v>219.03</v>
      </c>
      <c r="Y85" s="6">
        <f ca="1">('TUSD BE'!$AM$13+'TUSD BF'!$AM$13+'TUSD CVA'!$AM$13)*1</f>
        <v>17.856842567448453</v>
      </c>
      <c r="Z85" s="6">
        <f ca="1">('TUSD BE'!$AM$14+'TUSD BF'!$AM$14+'TUSD CVA'!$AM$14)*1</f>
        <v>49.78704102185678</v>
      </c>
      <c r="AA85" s="6">
        <f>('TE BE'!$AA$8+'TE BF'!$AA$8+'TE CVA'!$AA$8)*1</f>
        <v>238.55077890362423</v>
      </c>
      <c r="AB85" s="6">
        <f>$K$85*$V$85</f>
        <v>38697.120000000003</v>
      </c>
      <c r="AC85" s="6">
        <f>$M$85*$W$85</f>
        <v>33351.7428</v>
      </c>
      <c r="AD85" s="6">
        <f>$O$85*$X$85</f>
        <v>167354.69016</v>
      </c>
      <c r="AE85" s="6">
        <f ca="1">$K$85*$Y$85</f>
        <v>37392.228336237058</v>
      </c>
      <c r="AF85" s="6">
        <f ca="1">$M$85*$Z$85</f>
        <v>38040.884007652152</v>
      </c>
      <c r="AG85" s="6">
        <f>$O$85*$AA$85</f>
        <v>182269.97073844998</v>
      </c>
    </row>
    <row r="86" spans="1:33" ht="11.25" customHeight="1" x14ac:dyDescent="0.25">
      <c r="A86" s="4" t="s">
        <v>28</v>
      </c>
      <c r="B86" s="4" t="s">
        <v>39</v>
      </c>
      <c r="C86" s="4" t="s">
        <v>40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35</v>
      </c>
      <c r="I86" s="5">
        <v>44378</v>
      </c>
      <c r="J86" s="6">
        <v>226</v>
      </c>
      <c r="K86" s="6">
        <v>226</v>
      </c>
      <c r="L86" s="6">
        <v>88.76</v>
      </c>
      <c r="M86" s="6">
        <v>88.76</v>
      </c>
      <c r="N86" s="6">
        <v>88.76</v>
      </c>
      <c r="O86" s="6">
        <v>88.76</v>
      </c>
      <c r="P86" s="6">
        <v>0</v>
      </c>
      <c r="Q86" s="4" t="s">
        <v>26</v>
      </c>
      <c r="R86" s="4">
        <v>0</v>
      </c>
      <c r="S86" s="6">
        <v>10</v>
      </c>
      <c r="T86" s="6">
        <v>11</v>
      </c>
      <c r="U86" s="6">
        <v>68</v>
      </c>
      <c r="V86" s="6">
        <f>IF(ISERROR(VLOOKUP($S$86,'TAR FIN'!$A$1:$O$100,15,0)),0,VLOOKUP($S$86,'TAR FIN'!$A$1:$O$100,15,0))</f>
        <v>18.48</v>
      </c>
      <c r="W86" s="6">
        <f>IF(ISERROR(VLOOKUP($T$86,'TAR FIN'!$A$1:$O$100,15,0)),0,VLOOKUP($T$86,'TAR FIN'!$A$1:$O$100,15,0))</f>
        <v>43.65</v>
      </c>
      <c r="X86" s="6">
        <f>IF(ISERROR(VLOOKUP($U$86,'TAR FIN'!$A$1:$O$100,15,0)),0,VLOOKUP($U$86,'TAR FIN'!$A$1:$O$100,15,0))</f>
        <v>219.03</v>
      </c>
      <c r="Y86" s="6">
        <f ca="1">('TUSD BE'!$AM$13+'TUSD BF'!$AM$13+'TUSD CVA'!$AM$13)*1</f>
        <v>17.856842567448453</v>
      </c>
      <c r="Z86" s="6">
        <f ca="1">('TUSD BE'!$AM$14+'TUSD BF'!$AM$14+'TUSD CVA'!$AM$14)*1</f>
        <v>49.78704102185678</v>
      </c>
      <c r="AA86" s="6">
        <f>('TE BE'!$AA$8+'TE BF'!$AA$8+'TE CVA'!$AA$8)*1</f>
        <v>238.55077890362423</v>
      </c>
      <c r="AB86" s="6">
        <f>$K$86*$V$86</f>
        <v>4176.4800000000005</v>
      </c>
      <c r="AC86" s="6">
        <f>$M$86*$W$86</f>
        <v>3874.3740000000003</v>
      </c>
      <c r="AD86" s="6">
        <f>$O$86*$X$86</f>
        <v>19441.102800000001</v>
      </c>
      <c r="AE86" s="6">
        <f ca="1">$K$86*$Y$86</f>
        <v>4035.6464202433503</v>
      </c>
      <c r="AF86" s="6">
        <f ca="1">$M$86*$Z$86</f>
        <v>4419.097761100008</v>
      </c>
      <c r="AG86" s="6">
        <f>$O$86*$AA$86</f>
        <v>21173.767135485687</v>
      </c>
    </row>
    <row r="87" spans="1:33" ht="11.25" customHeight="1" x14ac:dyDescent="0.25">
      <c r="A87" s="4" t="s">
        <v>21</v>
      </c>
      <c r="B87" s="4" t="s">
        <v>39</v>
      </c>
      <c r="C87" s="4" t="s">
        <v>40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35</v>
      </c>
      <c r="I87" s="5">
        <v>44409</v>
      </c>
      <c r="J87" s="6">
        <v>2133</v>
      </c>
      <c r="K87" s="6">
        <v>2133</v>
      </c>
      <c r="L87" s="6">
        <v>756.49099999999999</v>
      </c>
      <c r="M87" s="6">
        <v>756.49099999999999</v>
      </c>
      <c r="N87" s="6">
        <v>756.49099999999999</v>
      </c>
      <c r="O87" s="6">
        <v>756.49099999999999</v>
      </c>
      <c r="P87" s="6">
        <v>0</v>
      </c>
      <c r="Q87" s="4" t="s">
        <v>26</v>
      </c>
      <c r="R87" s="4">
        <v>0</v>
      </c>
      <c r="S87" s="6">
        <v>10</v>
      </c>
      <c r="T87" s="6">
        <v>11</v>
      </c>
      <c r="U87" s="6">
        <v>68</v>
      </c>
      <c r="V87" s="6">
        <f>IF(ISERROR(VLOOKUP($S$87,'TAR FIN'!$A$1:$O$100,15,0)),0,VLOOKUP($S$87,'TAR FIN'!$A$1:$O$100,15,0))</f>
        <v>18.48</v>
      </c>
      <c r="W87" s="6">
        <f>IF(ISERROR(VLOOKUP($T$87,'TAR FIN'!$A$1:$O$100,15,0)),0,VLOOKUP($T$87,'TAR FIN'!$A$1:$O$100,15,0))</f>
        <v>43.65</v>
      </c>
      <c r="X87" s="6">
        <f>IF(ISERROR(VLOOKUP($U$87,'TAR FIN'!$A$1:$O$100,15,0)),0,VLOOKUP($U$87,'TAR FIN'!$A$1:$O$100,15,0))</f>
        <v>219.03</v>
      </c>
      <c r="Y87" s="6">
        <f ca="1">('TUSD BE'!$AM$13+'TUSD BF'!$AM$13+'TUSD CVA'!$AM$13)*1</f>
        <v>17.856842567448453</v>
      </c>
      <c r="Z87" s="6">
        <f ca="1">('TUSD BE'!$AM$14+'TUSD BF'!$AM$14+'TUSD CVA'!$AM$14)*1</f>
        <v>49.78704102185678</v>
      </c>
      <c r="AA87" s="6">
        <f>('TE BE'!$AA$8+'TE BF'!$AA$8+'TE CVA'!$AA$8)*1</f>
        <v>238.55077890362423</v>
      </c>
      <c r="AB87" s="6">
        <f>$K$87*$V$87</f>
        <v>39417.840000000004</v>
      </c>
      <c r="AC87" s="6">
        <f>$M$87*$W$87</f>
        <v>33020.832149999995</v>
      </c>
      <c r="AD87" s="6">
        <f>$O$87*$X$87</f>
        <v>165694.22373</v>
      </c>
      <c r="AE87" s="6">
        <f ca="1">$K$87*$Y$87</f>
        <v>38088.64519636755</v>
      </c>
      <c r="AF87" s="6">
        <f ca="1">$M$87*$Z$87</f>
        <v>37663.448449665455</v>
      </c>
      <c r="AG87" s="6">
        <f>$O$87*$AA$87</f>
        <v>180461.5172835816</v>
      </c>
    </row>
    <row r="88" spans="1:33" ht="11.25" customHeight="1" x14ac:dyDescent="0.25">
      <c r="A88" s="4" t="s">
        <v>28</v>
      </c>
      <c r="B88" s="4" t="s">
        <v>39</v>
      </c>
      <c r="C88" s="4" t="s">
        <v>40</v>
      </c>
      <c r="D88" s="4" t="s">
        <v>42</v>
      </c>
      <c r="E88" s="4" t="s">
        <v>25</v>
      </c>
      <c r="F88" s="4" t="s">
        <v>25</v>
      </c>
      <c r="G88" s="4" t="s">
        <v>25</v>
      </c>
      <c r="H88" s="4" t="s">
        <v>35</v>
      </c>
      <c r="I88" s="5">
        <v>44409</v>
      </c>
      <c r="J88" s="6">
        <v>420</v>
      </c>
      <c r="K88" s="6">
        <v>420</v>
      </c>
      <c r="L88" s="6">
        <v>185.57</v>
      </c>
      <c r="M88" s="6">
        <v>185.57</v>
      </c>
      <c r="N88" s="6">
        <v>185.57</v>
      </c>
      <c r="O88" s="6">
        <v>185.57</v>
      </c>
      <c r="P88" s="6">
        <v>0</v>
      </c>
      <c r="Q88" s="4" t="s">
        <v>26</v>
      </c>
      <c r="R88" s="4">
        <v>0</v>
      </c>
      <c r="S88" s="6">
        <v>10</v>
      </c>
      <c r="T88" s="6">
        <v>11</v>
      </c>
      <c r="U88" s="6">
        <v>68</v>
      </c>
      <c r="V88" s="6">
        <f>IF(ISERROR(VLOOKUP($S$88,'TAR FIN'!$A$1:$O$100,15,0)),0,VLOOKUP($S$88,'TAR FIN'!$A$1:$O$100,15,0))</f>
        <v>18.48</v>
      </c>
      <c r="W88" s="6">
        <f>IF(ISERROR(VLOOKUP($T$88,'TAR FIN'!$A$1:$O$100,15,0)),0,VLOOKUP($T$88,'TAR FIN'!$A$1:$O$100,15,0))</f>
        <v>43.65</v>
      </c>
      <c r="X88" s="6">
        <f>IF(ISERROR(VLOOKUP($U$88,'TAR FIN'!$A$1:$O$100,15,0)),0,VLOOKUP($U$88,'TAR FIN'!$A$1:$O$100,15,0))</f>
        <v>219.03</v>
      </c>
      <c r="Y88" s="6">
        <f ca="1">('TUSD BE'!$AM$13+'TUSD BF'!$AM$13+'TUSD CVA'!$AM$13)*1</f>
        <v>17.856842567448453</v>
      </c>
      <c r="Z88" s="6">
        <f ca="1">('TUSD BE'!$AM$14+'TUSD BF'!$AM$14+'TUSD CVA'!$AM$14)*1</f>
        <v>49.78704102185678</v>
      </c>
      <c r="AA88" s="6">
        <f>('TE BE'!$AA$8+'TE BF'!$AA$8+'TE CVA'!$AA$8)*1</f>
        <v>238.55077890362423</v>
      </c>
      <c r="AB88" s="6">
        <f>$K$88*$V$88</f>
        <v>7761.6</v>
      </c>
      <c r="AC88" s="6">
        <f>$M$88*$W$88</f>
        <v>8100.1304999999993</v>
      </c>
      <c r="AD88" s="6">
        <f>$O$88*$X$88</f>
        <v>40645.397100000002</v>
      </c>
      <c r="AE88" s="6">
        <f ca="1">$K$88*$Y$88</f>
        <v>7499.8738783283507</v>
      </c>
      <c r="AF88" s="6">
        <f ca="1">$M$88*$Z$88</f>
        <v>9238.9812024259627</v>
      </c>
      <c r="AG88" s="6">
        <f>$O$88*$AA$88</f>
        <v>44267.86804114555</v>
      </c>
    </row>
    <row r="89" spans="1:33" ht="11.25" customHeight="1" x14ac:dyDescent="0.25">
      <c r="A89" s="4" t="s">
        <v>21</v>
      </c>
      <c r="B89" s="4" t="s">
        <v>39</v>
      </c>
      <c r="C89" s="4" t="s">
        <v>40</v>
      </c>
      <c r="D89" s="4" t="s">
        <v>42</v>
      </c>
      <c r="E89" s="4" t="s">
        <v>25</v>
      </c>
      <c r="F89" s="4" t="s">
        <v>25</v>
      </c>
      <c r="G89" s="4" t="s">
        <v>25</v>
      </c>
      <c r="H89" s="4" t="s">
        <v>35</v>
      </c>
      <c r="I89" s="5">
        <v>44440</v>
      </c>
      <c r="J89" s="6">
        <v>2100</v>
      </c>
      <c r="K89" s="6">
        <v>2100</v>
      </c>
      <c r="L89" s="6">
        <v>775.72799999999995</v>
      </c>
      <c r="M89" s="6">
        <v>775.72799999999995</v>
      </c>
      <c r="N89" s="6">
        <v>775.72799999999995</v>
      </c>
      <c r="O89" s="6">
        <v>775.72799999999995</v>
      </c>
      <c r="P89" s="6">
        <v>0</v>
      </c>
      <c r="Q89" s="4" t="s">
        <v>26</v>
      </c>
      <c r="R89" s="4">
        <v>0</v>
      </c>
      <c r="S89" s="6">
        <v>10</v>
      </c>
      <c r="T89" s="6">
        <v>11</v>
      </c>
      <c r="U89" s="6">
        <v>68</v>
      </c>
      <c r="V89" s="6">
        <f>IF(ISERROR(VLOOKUP($S$89,'TAR FIN'!$A$1:$O$100,15,0)),0,VLOOKUP($S$89,'TAR FIN'!$A$1:$O$100,15,0))</f>
        <v>18.48</v>
      </c>
      <c r="W89" s="6">
        <f>IF(ISERROR(VLOOKUP($T$89,'TAR FIN'!$A$1:$O$100,15,0)),0,VLOOKUP($T$89,'TAR FIN'!$A$1:$O$100,15,0))</f>
        <v>43.65</v>
      </c>
      <c r="X89" s="6">
        <f>IF(ISERROR(VLOOKUP($U$89,'TAR FIN'!$A$1:$O$100,15,0)),0,VLOOKUP($U$89,'TAR FIN'!$A$1:$O$100,15,0))</f>
        <v>219.03</v>
      </c>
      <c r="Y89" s="6">
        <f ca="1">('TUSD BE'!$AM$13+'TUSD BF'!$AM$13+'TUSD CVA'!$AM$13)*1</f>
        <v>17.856842567448453</v>
      </c>
      <c r="Z89" s="6">
        <f ca="1">('TUSD BE'!$AM$14+'TUSD BF'!$AM$14+'TUSD CVA'!$AM$14)*1</f>
        <v>49.78704102185678</v>
      </c>
      <c r="AA89" s="6">
        <f>('TE BE'!$AA$8+'TE BF'!$AA$8+'TE CVA'!$AA$8)*1</f>
        <v>238.55077890362423</v>
      </c>
      <c r="AB89" s="6">
        <f>$K$89*$V$89</f>
        <v>38808</v>
      </c>
      <c r="AC89" s="6">
        <f>$M$89*$W$89</f>
        <v>33860.527199999997</v>
      </c>
      <c r="AD89" s="6">
        <f>$O$89*$X$89</f>
        <v>169907.70384</v>
      </c>
      <c r="AE89" s="6">
        <f ca="1">$K$89*$Y$89</f>
        <v>37499.369391641754</v>
      </c>
      <c r="AF89" s="6">
        <f ca="1">$M$89*$Z$89</f>
        <v>38621.201757802912</v>
      </c>
      <c r="AG89" s="6">
        <f>$O$89*$AA$89</f>
        <v>185050.51861735061</v>
      </c>
    </row>
    <row r="90" spans="1:33" ht="11.25" customHeight="1" x14ac:dyDescent="0.25">
      <c r="A90" s="4" t="s">
        <v>28</v>
      </c>
      <c r="B90" s="4" t="s">
        <v>39</v>
      </c>
      <c r="C90" s="4" t="s">
        <v>40</v>
      </c>
      <c r="D90" s="4" t="s">
        <v>42</v>
      </c>
      <c r="E90" s="4" t="s">
        <v>25</v>
      </c>
      <c r="F90" s="4" t="s">
        <v>25</v>
      </c>
      <c r="G90" s="4" t="s">
        <v>25</v>
      </c>
      <c r="H90" s="4" t="s">
        <v>35</v>
      </c>
      <c r="I90" s="5">
        <v>44440</v>
      </c>
      <c r="J90" s="6">
        <v>603</v>
      </c>
      <c r="K90" s="6">
        <v>603</v>
      </c>
      <c r="L90" s="6">
        <v>173.6</v>
      </c>
      <c r="M90" s="6">
        <v>173.6</v>
      </c>
      <c r="N90" s="6">
        <v>173.6</v>
      </c>
      <c r="O90" s="6">
        <v>173.6</v>
      </c>
      <c r="P90" s="6">
        <v>0</v>
      </c>
      <c r="Q90" s="4" t="s">
        <v>26</v>
      </c>
      <c r="R90" s="4">
        <v>0</v>
      </c>
      <c r="S90" s="6">
        <v>10</v>
      </c>
      <c r="T90" s="6">
        <v>11</v>
      </c>
      <c r="U90" s="6">
        <v>68</v>
      </c>
      <c r="V90" s="6">
        <f>IF(ISERROR(VLOOKUP($S$90,'TAR FIN'!$A$1:$O$100,15,0)),0,VLOOKUP($S$90,'TAR FIN'!$A$1:$O$100,15,0))</f>
        <v>18.48</v>
      </c>
      <c r="W90" s="6">
        <f>IF(ISERROR(VLOOKUP($T$90,'TAR FIN'!$A$1:$O$100,15,0)),0,VLOOKUP($T$90,'TAR FIN'!$A$1:$O$100,15,0))</f>
        <v>43.65</v>
      </c>
      <c r="X90" s="6">
        <f>IF(ISERROR(VLOOKUP($U$90,'TAR FIN'!$A$1:$O$100,15,0)),0,VLOOKUP($U$90,'TAR FIN'!$A$1:$O$100,15,0))</f>
        <v>219.03</v>
      </c>
      <c r="Y90" s="6">
        <f ca="1">('TUSD BE'!$AM$13+'TUSD BF'!$AM$13+'TUSD CVA'!$AM$13)*1</f>
        <v>17.856842567448453</v>
      </c>
      <c r="Z90" s="6">
        <f ca="1">('TUSD BE'!$AM$14+'TUSD BF'!$AM$14+'TUSD CVA'!$AM$14)*1</f>
        <v>49.78704102185678</v>
      </c>
      <c r="AA90" s="6">
        <f>('TE BE'!$AA$8+'TE BF'!$AA$8+'TE CVA'!$AA$8)*1</f>
        <v>238.55077890362423</v>
      </c>
      <c r="AB90" s="6">
        <f>$K$90*$V$90</f>
        <v>11143.44</v>
      </c>
      <c r="AC90" s="6">
        <f>$M$90*$W$90</f>
        <v>7577.6399999999994</v>
      </c>
      <c r="AD90" s="6">
        <f>$O$90*$X$90</f>
        <v>38023.608</v>
      </c>
      <c r="AE90" s="6">
        <f ca="1">$K$90*$Y$90</f>
        <v>10767.676068171417</v>
      </c>
      <c r="AF90" s="6">
        <f ca="1">$M$90*$Z$90</f>
        <v>8643.0303213943371</v>
      </c>
      <c r="AG90" s="6">
        <f>$O$90*$AA$90</f>
        <v>41412.415217669164</v>
      </c>
    </row>
    <row r="91" spans="1:33" ht="11.25" customHeight="1" x14ac:dyDescent="0.25">
      <c r="A91" s="4" t="s">
        <v>21</v>
      </c>
      <c r="B91" s="4" t="s">
        <v>39</v>
      </c>
      <c r="C91" s="4" t="s">
        <v>40</v>
      </c>
      <c r="D91" s="4" t="s">
        <v>42</v>
      </c>
      <c r="E91" s="4" t="s">
        <v>25</v>
      </c>
      <c r="F91" s="4" t="s">
        <v>25</v>
      </c>
      <c r="G91" s="4" t="s">
        <v>25</v>
      </c>
      <c r="H91" s="4" t="s">
        <v>35</v>
      </c>
      <c r="I91" s="5">
        <v>44470</v>
      </c>
      <c r="J91" s="6">
        <v>2116</v>
      </c>
      <c r="K91" s="6">
        <v>2116</v>
      </c>
      <c r="L91" s="6">
        <v>837.22500000000002</v>
      </c>
      <c r="M91" s="6">
        <v>837.22500000000002</v>
      </c>
      <c r="N91" s="6">
        <v>837.22500000000002</v>
      </c>
      <c r="O91" s="6">
        <v>837.22500000000002</v>
      </c>
      <c r="P91" s="6">
        <v>0</v>
      </c>
      <c r="Q91" s="4" t="s">
        <v>26</v>
      </c>
      <c r="R91" s="4">
        <v>0</v>
      </c>
      <c r="S91" s="6">
        <v>10</v>
      </c>
      <c r="T91" s="6">
        <v>11</v>
      </c>
      <c r="U91" s="6">
        <v>68</v>
      </c>
      <c r="V91" s="6">
        <f>IF(ISERROR(VLOOKUP($S$91,'TAR FIN'!$A$1:$O$100,15,0)),0,VLOOKUP($S$91,'TAR FIN'!$A$1:$O$100,15,0))</f>
        <v>18.48</v>
      </c>
      <c r="W91" s="6">
        <f>IF(ISERROR(VLOOKUP($T$91,'TAR FIN'!$A$1:$O$100,15,0)),0,VLOOKUP($T$91,'TAR FIN'!$A$1:$O$100,15,0))</f>
        <v>43.65</v>
      </c>
      <c r="X91" s="6">
        <f>IF(ISERROR(VLOOKUP($U$91,'TAR FIN'!$A$1:$O$100,15,0)),0,VLOOKUP($U$91,'TAR FIN'!$A$1:$O$100,15,0))</f>
        <v>219.03</v>
      </c>
      <c r="Y91" s="6">
        <f ca="1">('TUSD BE'!$AM$13+'TUSD BF'!$AM$13+'TUSD CVA'!$AM$13)*1</f>
        <v>17.856842567448453</v>
      </c>
      <c r="Z91" s="6">
        <f ca="1">('TUSD BE'!$AM$14+'TUSD BF'!$AM$14+'TUSD CVA'!$AM$14)*1</f>
        <v>49.78704102185678</v>
      </c>
      <c r="AA91" s="6">
        <f>('TE BE'!$AA$8+'TE BF'!$AA$8+'TE CVA'!$AA$8)*1</f>
        <v>238.55077890362423</v>
      </c>
      <c r="AB91" s="6">
        <f>$K$91*$V$91</f>
        <v>39103.68</v>
      </c>
      <c r="AC91" s="6">
        <f>$M$91*$W$91</f>
        <v>36544.871249999997</v>
      </c>
      <c r="AD91" s="6">
        <f>$O$91*$X$91</f>
        <v>183377.39175000001</v>
      </c>
      <c r="AE91" s="6">
        <f ca="1">$K$91*$Y$91</f>
        <v>37785.078872720929</v>
      </c>
      <c r="AF91" s="6">
        <f ca="1">$M$91*$Z$91</f>
        <v>41682.955419524042</v>
      </c>
      <c r="AG91" s="6">
        <f>$O$91*$AA$91</f>
        <v>199720.6758675868</v>
      </c>
    </row>
    <row r="92" spans="1:33" ht="11.25" customHeight="1" x14ac:dyDescent="0.25">
      <c r="A92" s="4" t="s">
        <v>28</v>
      </c>
      <c r="B92" s="4" t="s">
        <v>39</v>
      </c>
      <c r="C92" s="4" t="s">
        <v>40</v>
      </c>
      <c r="D92" s="4" t="s">
        <v>42</v>
      </c>
      <c r="E92" s="4" t="s">
        <v>25</v>
      </c>
      <c r="F92" s="4" t="s">
        <v>25</v>
      </c>
      <c r="G92" s="4" t="s">
        <v>25</v>
      </c>
      <c r="H92" s="4" t="s">
        <v>35</v>
      </c>
      <c r="I92" s="5">
        <v>44470</v>
      </c>
      <c r="J92" s="6">
        <v>606</v>
      </c>
      <c r="K92" s="6">
        <v>606</v>
      </c>
      <c r="L92" s="6">
        <v>166.32</v>
      </c>
      <c r="M92" s="6">
        <v>166.32</v>
      </c>
      <c r="N92" s="6">
        <v>166.32</v>
      </c>
      <c r="O92" s="6">
        <v>166.32</v>
      </c>
      <c r="P92" s="6">
        <v>0</v>
      </c>
      <c r="Q92" s="4" t="s">
        <v>26</v>
      </c>
      <c r="R92" s="4">
        <v>0</v>
      </c>
      <c r="S92" s="6">
        <v>10</v>
      </c>
      <c r="T92" s="6">
        <v>11</v>
      </c>
      <c r="U92" s="6">
        <v>68</v>
      </c>
      <c r="V92" s="6">
        <f>IF(ISERROR(VLOOKUP($S$92,'TAR FIN'!$A$1:$O$100,15,0)),0,VLOOKUP($S$92,'TAR FIN'!$A$1:$O$100,15,0))</f>
        <v>18.48</v>
      </c>
      <c r="W92" s="6">
        <f>IF(ISERROR(VLOOKUP($T$92,'TAR FIN'!$A$1:$O$100,15,0)),0,VLOOKUP($T$92,'TAR FIN'!$A$1:$O$100,15,0))</f>
        <v>43.65</v>
      </c>
      <c r="X92" s="6">
        <f>IF(ISERROR(VLOOKUP($U$92,'TAR FIN'!$A$1:$O$100,15,0)),0,VLOOKUP($U$92,'TAR FIN'!$A$1:$O$100,15,0))</f>
        <v>219.03</v>
      </c>
      <c r="Y92" s="6">
        <f ca="1">('TUSD BE'!$AM$13+'TUSD BF'!$AM$13+'TUSD CVA'!$AM$13)*1</f>
        <v>17.856842567448453</v>
      </c>
      <c r="Z92" s="6">
        <f ca="1">('TUSD BE'!$AM$14+'TUSD BF'!$AM$14+'TUSD CVA'!$AM$14)*1</f>
        <v>49.78704102185678</v>
      </c>
      <c r="AA92" s="6">
        <f>('TE BE'!$AA$8+'TE BF'!$AA$8+'TE CVA'!$AA$8)*1</f>
        <v>238.55077890362423</v>
      </c>
      <c r="AB92" s="6">
        <f>$K$92*$V$92</f>
        <v>11198.880000000001</v>
      </c>
      <c r="AC92" s="6">
        <f>$M$92*$W$92</f>
        <v>7259.8679999999995</v>
      </c>
      <c r="AD92" s="6">
        <f>$O$92*$X$92</f>
        <v>36429.069599999995</v>
      </c>
      <c r="AE92" s="6">
        <f ca="1">$K$92*$Y$92</f>
        <v>10821.246595873763</v>
      </c>
      <c r="AF92" s="6">
        <f ca="1">$M$92*$Z$92</f>
        <v>8280.5806627552192</v>
      </c>
      <c r="AG92" s="6">
        <f>$O$92*$AA$92</f>
        <v>39675.765547250783</v>
      </c>
    </row>
    <row r="93" spans="1:33" ht="11.25" customHeight="1" x14ac:dyDescent="0.25">
      <c r="A93" s="4" t="s">
        <v>21</v>
      </c>
      <c r="B93" s="4" t="s">
        <v>39</v>
      </c>
      <c r="C93" s="4" t="s">
        <v>40</v>
      </c>
      <c r="D93" s="4" t="s">
        <v>42</v>
      </c>
      <c r="E93" s="4" t="s">
        <v>25</v>
      </c>
      <c r="F93" s="4" t="s">
        <v>25</v>
      </c>
      <c r="G93" s="4" t="s">
        <v>25</v>
      </c>
      <c r="H93" s="4" t="s">
        <v>35</v>
      </c>
      <c r="I93" s="5">
        <v>44501</v>
      </c>
      <c r="J93" s="6">
        <v>2166</v>
      </c>
      <c r="K93" s="6">
        <v>2166</v>
      </c>
      <c r="L93" s="6">
        <v>844.43600000000004</v>
      </c>
      <c r="M93" s="6">
        <v>844.43600000000004</v>
      </c>
      <c r="N93" s="6">
        <v>844.43600000000004</v>
      </c>
      <c r="O93" s="6">
        <v>844.43600000000004</v>
      </c>
      <c r="P93" s="6">
        <v>0</v>
      </c>
      <c r="Q93" s="4" t="s">
        <v>26</v>
      </c>
      <c r="R93" s="4">
        <v>0</v>
      </c>
      <c r="S93" s="6">
        <v>10</v>
      </c>
      <c r="T93" s="6">
        <v>11</v>
      </c>
      <c r="U93" s="6">
        <v>68</v>
      </c>
      <c r="V93" s="6">
        <f>IF(ISERROR(VLOOKUP($S$93,'TAR FIN'!$A$1:$O$100,15,0)),0,VLOOKUP($S$93,'TAR FIN'!$A$1:$O$100,15,0))</f>
        <v>18.48</v>
      </c>
      <c r="W93" s="6">
        <f>IF(ISERROR(VLOOKUP($T$93,'TAR FIN'!$A$1:$O$100,15,0)),0,VLOOKUP($T$93,'TAR FIN'!$A$1:$O$100,15,0))</f>
        <v>43.65</v>
      </c>
      <c r="X93" s="6">
        <f>IF(ISERROR(VLOOKUP($U$93,'TAR FIN'!$A$1:$O$100,15,0)),0,VLOOKUP($U$93,'TAR FIN'!$A$1:$O$100,15,0))</f>
        <v>219.03</v>
      </c>
      <c r="Y93" s="6">
        <f ca="1">('TUSD BE'!$AM$13+'TUSD BF'!$AM$13+'TUSD CVA'!$AM$13)*1</f>
        <v>17.856842567448453</v>
      </c>
      <c r="Z93" s="6">
        <f ca="1">('TUSD BE'!$AM$14+'TUSD BF'!$AM$14+'TUSD CVA'!$AM$14)*1</f>
        <v>49.78704102185678</v>
      </c>
      <c r="AA93" s="6">
        <f>('TE BE'!$AA$8+'TE BF'!$AA$8+'TE CVA'!$AA$8)*1</f>
        <v>238.55077890362423</v>
      </c>
      <c r="AB93" s="6">
        <f>$K$93*$V$93</f>
        <v>40027.68</v>
      </c>
      <c r="AC93" s="6">
        <f>$M$93*$W$93</f>
        <v>36859.631399999998</v>
      </c>
      <c r="AD93" s="6">
        <f>$O$93*$X$93</f>
        <v>184956.81708000001</v>
      </c>
      <c r="AE93" s="6">
        <f ca="1">$K$93*$Y$93</f>
        <v>38677.921001093346</v>
      </c>
      <c r="AF93" s="6">
        <f ca="1">$M$93*$Z$93</f>
        <v>42041.969772332654</v>
      </c>
      <c r="AG93" s="6">
        <f>$O$93*$AA$93</f>
        <v>201440.86553426084</v>
      </c>
    </row>
    <row r="94" spans="1:33" ht="11.25" customHeight="1" x14ac:dyDescent="0.25">
      <c r="A94" s="4" t="s">
        <v>28</v>
      </c>
      <c r="B94" s="4" t="s">
        <v>39</v>
      </c>
      <c r="C94" s="4" t="s">
        <v>40</v>
      </c>
      <c r="D94" s="4" t="s">
        <v>42</v>
      </c>
      <c r="E94" s="4" t="s">
        <v>25</v>
      </c>
      <c r="F94" s="4" t="s">
        <v>25</v>
      </c>
      <c r="G94" s="4" t="s">
        <v>25</v>
      </c>
      <c r="H94" s="4" t="s">
        <v>35</v>
      </c>
      <c r="I94" s="5">
        <v>44501</v>
      </c>
      <c r="J94" s="6">
        <v>589</v>
      </c>
      <c r="K94" s="6">
        <v>589</v>
      </c>
      <c r="L94" s="6">
        <v>141.88999999999999</v>
      </c>
      <c r="M94" s="6">
        <v>141.88999999999999</v>
      </c>
      <c r="N94" s="6">
        <v>141.88999999999999</v>
      </c>
      <c r="O94" s="6">
        <v>141.88999999999999</v>
      </c>
      <c r="P94" s="6">
        <v>0</v>
      </c>
      <c r="Q94" s="4" t="s">
        <v>26</v>
      </c>
      <c r="R94" s="4">
        <v>0</v>
      </c>
      <c r="S94" s="6">
        <v>10</v>
      </c>
      <c r="T94" s="6">
        <v>11</v>
      </c>
      <c r="U94" s="6">
        <v>68</v>
      </c>
      <c r="V94" s="6">
        <f>IF(ISERROR(VLOOKUP($S$94,'TAR FIN'!$A$1:$O$100,15,0)),0,VLOOKUP($S$94,'TAR FIN'!$A$1:$O$100,15,0))</f>
        <v>18.48</v>
      </c>
      <c r="W94" s="6">
        <f>IF(ISERROR(VLOOKUP($T$94,'TAR FIN'!$A$1:$O$100,15,0)),0,VLOOKUP($T$94,'TAR FIN'!$A$1:$O$100,15,0))</f>
        <v>43.65</v>
      </c>
      <c r="X94" s="6">
        <f>IF(ISERROR(VLOOKUP($U$94,'TAR FIN'!$A$1:$O$100,15,0)),0,VLOOKUP($U$94,'TAR FIN'!$A$1:$O$100,15,0))</f>
        <v>219.03</v>
      </c>
      <c r="Y94" s="6">
        <f ca="1">('TUSD BE'!$AM$13+'TUSD BF'!$AM$13+'TUSD CVA'!$AM$13)*1</f>
        <v>17.856842567448453</v>
      </c>
      <c r="Z94" s="6">
        <f ca="1">('TUSD BE'!$AM$14+'TUSD BF'!$AM$14+'TUSD CVA'!$AM$14)*1</f>
        <v>49.78704102185678</v>
      </c>
      <c r="AA94" s="6">
        <f>('TE BE'!$AA$8+'TE BF'!$AA$8+'TE CVA'!$AA$8)*1</f>
        <v>238.55077890362423</v>
      </c>
      <c r="AB94" s="6">
        <f>$K$94*$V$94</f>
        <v>10884.72</v>
      </c>
      <c r="AC94" s="6">
        <f>$M$94*$W$94</f>
        <v>6193.4984999999988</v>
      </c>
      <c r="AD94" s="6">
        <f>$O$94*$X$94</f>
        <v>31078.166699999998</v>
      </c>
      <c r="AE94" s="6">
        <f ca="1">$K$94*$Y$94</f>
        <v>10517.680272227139</v>
      </c>
      <c r="AF94" s="6">
        <f ca="1">$M$94*$Z$94</f>
        <v>7064.2832505912575</v>
      </c>
      <c r="AG94" s="6">
        <f>$O$94*$AA$94</f>
        <v>33847.970018635242</v>
      </c>
    </row>
    <row r="95" spans="1:33" ht="11.25" customHeight="1" x14ac:dyDescent="0.25">
      <c r="A95" s="4" t="s">
        <v>21</v>
      </c>
      <c r="B95" s="4" t="s">
        <v>39</v>
      </c>
      <c r="C95" s="4" t="s">
        <v>40</v>
      </c>
      <c r="D95" s="4" t="s">
        <v>42</v>
      </c>
      <c r="E95" s="4" t="s">
        <v>25</v>
      </c>
      <c r="F95" s="4" t="s">
        <v>25</v>
      </c>
      <c r="G95" s="4" t="s">
        <v>25</v>
      </c>
      <c r="H95" s="4" t="s">
        <v>35</v>
      </c>
      <c r="I95" s="5">
        <v>44531</v>
      </c>
      <c r="J95" s="6">
        <v>2149</v>
      </c>
      <c r="K95" s="6">
        <v>2149</v>
      </c>
      <c r="L95" s="6">
        <v>860.60500000000002</v>
      </c>
      <c r="M95" s="6">
        <v>860.60500000000002</v>
      </c>
      <c r="N95" s="6">
        <v>860.60500000000002</v>
      </c>
      <c r="O95" s="6">
        <v>860.60500000000002</v>
      </c>
      <c r="P95" s="6">
        <v>0</v>
      </c>
      <c r="Q95" s="4" t="s">
        <v>26</v>
      </c>
      <c r="R95" s="4">
        <v>0</v>
      </c>
      <c r="S95" s="6">
        <v>10</v>
      </c>
      <c r="T95" s="6">
        <v>11</v>
      </c>
      <c r="U95" s="6">
        <v>68</v>
      </c>
      <c r="V95" s="6">
        <f>IF(ISERROR(VLOOKUP($S$95,'TAR FIN'!$A$1:$O$100,15,0)),0,VLOOKUP($S$95,'TAR FIN'!$A$1:$O$100,15,0))</f>
        <v>18.48</v>
      </c>
      <c r="W95" s="6">
        <f>IF(ISERROR(VLOOKUP($T$95,'TAR FIN'!$A$1:$O$100,15,0)),0,VLOOKUP($T$95,'TAR FIN'!$A$1:$O$100,15,0))</f>
        <v>43.65</v>
      </c>
      <c r="X95" s="6">
        <f>IF(ISERROR(VLOOKUP($U$95,'TAR FIN'!$A$1:$O$100,15,0)),0,VLOOKUP($U$95,'TAR FIN'!$A$1:$O$100,15,0))</f>
        <v>219.03</v>
      </c>
      <c r="Y95" s="6">
        <f ca="1">('TUSD BE'!$AM$13+'TUSD BF'!$AM$13+'TUSD CVA'!$AM$13)*1</f>
        <v>17.856842567448453</v>
      </c>
      <c r="Z95" s="6">
        <f ca="1">('TUSD BE'!$AM$14+'TUSD BF'!$AM$14+'TUSD CVA'!$AM$14)*1</f>
        <v>49.78704102185678</v>
      </c>
      <c r="AA95" s="6">
        <f>('TE BE'!$AA$8+'TE BF'!$AA$8+'TE CVA'!$AA$8)*1</f>
        <v>238.55077890362423</v>
      </c>
      <c r="AB95" s="6">
        <f>$K$95*$V$95</f>
        <v>39713.520000000004</v>
      </c>
      <c r="AC95" s="6">
        <f>$M$95*$W$95</f>
        <v>37565.40825</v>
      </c>
      <c r="AD95" s="6">
        <f>$O$95*$X$95</f>
        <v>188498.31315</v>
      </c>
      <c r="AE95" s="6">
        <f ca="1">$K$95*$Y$95</f>
        <v>38374.354677446725</v>
      </c>
      <c r="AF95" s="6">
        <f ca="1">$M$95*$Z$95</f>
        <v>42846.976438615056</v>
      </c>
      <c r="AG95" s="6">
        <f>$O$95*$AA$95</f>
        <v>205297.99307835355</v>
      </c>
    </row>
    <row r="96" spans="1:33" ht="11.25" customHeight="1" x14ac:dyDescent="0.25">
      <c r="A96" s="4" t="s">
        <v>28</v>
      </c>
      <c r="B96" s="4" t="s">
        <v>39</v>
      </c>
      <c r="C96" s="4" t="s">
        <v>40</v>
      </c>
      <c r="D96" s="4" t="s">
        <v>42</v>
      </c>
      <c r="E96" s="4" t="s">
        <v>25</v>
      </c>
      <c r="F96" s="4" t="s">
        <v>25</v>
      </c>
      <c r="G96" s="4" t="s">
        <v>25</v>
      </c>
      <c r="H96" s="4" t="s">
        <v>35</v>
      </c>
      <c r="I96" s="5">
        <v>44531</v>
      </c>
      <c r="J96" s="6">
        <v>606</v>
      </c>
      <c r="K96" s="6">
        <v>606</v>
      </c>
      <c r="L96" s="6">
        <v>123.69</v>
      </c>
      <c r="M96" s="6">
        <v>123.69</v>
      </c>
      <c r="N96" s="6">
        <v>123.69</v>
      </c>
      <c r="O96" s="6">
        <v>123.69</v>
      </c>
      <c r="P96" s="6">
        <v>0</v>
      </c>
      <c r="Q96" s="4" t="s">
        <v>26</v>
      </c>
      <c r="R96" s="4">
        <v>0</v>
      </c>
      <c r="S96" s="6">
        <v>10</v>
      </c>
      <c r="T96" s="6">
        <v>11</v>
      </c>
      <c r="U96" s="6">
        <v>68</v>
      </c>
      <c r="V96" s="6">
        <f>IF(ISERROR(VLOOKUP($S$96,'TAR FIN'!$A$1:$O$100,15,0)),0,VLOOKUP($S$96,'TAR FIN'!$A$1:$O$100,15,0))</f>
        <v>18.48</v>
      </c>
      <c r="W96" s="6">
        <f>IF(ISERROR(VLOOKUP($T$96,'TAR FIN'!$A$1:$O$100,15,0)),0,VLOOKUP($T$96,'TAR FIN'!$A$1:$O$100,15,0))</f>
        <v>43.65</v>
      </c>
      <c r="X96" s="6">
        <f>IF(ISERROR(VLOOKUP($U$96,'TAR FIN'!$A$1:$O$100,15,0)),0,VLOOKUP($U$96,'TAR FIN'!$A$1:$O$100,15,0))</f>
        <v>219.03</v>
      </c>
      <c r="Y96" s="6">
        <f ca="1">('TUSD BE'!$AM$13+'TUSD BF'!$AM$13+'TUSD CVA'!$AM$13)*1</f>
        <v>17.856842567448453</v>
      </c>
      <c r="Z96" s="6">
        <f ca="1">('TUSD BE'!$AM$14+'TUSD BF'!$AM$14+'TUSD CVA'!$AM$14)*1</f>
        <v>49.78704102185678</v>
      </c>
      <c r="AA96" s="6">
        <f>('TE BE'!$AA$8+'TE BF'!$AA$8+'TE CVA'!$AA$8)*1</f>
        <v>238.55077890362423</v>
      </c>
      <c r="AB96" s="6">
        <f>$K$96*$V$96</f>
        <v>11198.880000000001</v>
      </c>
      <c r="AC96" s="6">
        <f>$M$96*$W$96</f>
        <v>5399.0684999999994</v>
      </c>
      <c r="AD96" s="6">
        <f>$O$96*$X$96</f>
        <v>27091.8207</v>
      </c>
      <c r="AE96" s="6">
        <f ca="1">$K$96*$Y$96</f>
        <v>10821.246595873763</v>
      </c>
      <c r="AF96" s="6">
        <f ca="1">$M$96*$Z$96</f>
        <v>6158.1591039934647</v>
      </c>
      <c r="AG96" s="6">
        <f>$O$96*$AA$96</f>
        <v>29506.345842589282</v>
      </c>
    </row>
    <row r="97" spans="1:33" ht="11.25" customHeight="1" x14ac:dyDescent="0.25">
      <c r="A97" s="4" t="s">
        <v>55</v>
      </c>
      <c r="B97" s="4" t="s">
        <v>39</v>
      </c>
      <c r="C97" s="4" t="s">
        <v>40</v>
      </c>
      <c r="D97" s="4" t="s">
        <v>42</v>
      </c>
      <c r="E97" s="4" t="s">
        <v>25</v>
      </c>
      <c r="F97" s="4" t="s">
        <v>25</v>
      </c>
      <c r="G97" s="4" t="s">
        <v>25</v>
      </c>
      <c r="H97" s="4" t="s">
        <v>35</v>
      </c>
      <c r="I97" s="5">
        <v>44562</v>
      </c>
      <c r="J97" s="6">
        <v>2149</v>
      </c>
      <c r="K97" s="6">
        <v>2149</v>
      </c>
      <c r="L97" s="6">
        <v>860.60500000000002</v>
      </c>
      <c r="M97" s="6">
        <v>860.60500000000002</v>
      </c>
      <c r="N97" s="6">
        <v>860.60500000000002</v>
      </c>
      <c r="O97" s="6">
        <v>860.60500000000002</v>
      </c>
      <c r="P97" s="6">
        <v>0</v>
      </c>
      <c r="Q97" s="4" t="s">
        <v>26</v>
      </c>
      <c r="R97" s="4">
        <v>0</v>
      </c>
      <c r="S97" s="6">
        <v>10</v>
      </c>
      <c r="T97" s="6">
        <v>11</v>
      </c>
      <c r="U97" s="6">
        <v>68</v>
      </c>
      <c r="V97" s="6">
        <f>IF(ISERROR(VLOOKUP($S$97,'TAR FIN'!$A$1:$O$100,15,0)),0,VLOOKUP($S$97,'TAR FIN'!$A$1:$O$100,15,0))</f>
        <v>18.48</v>
      </c>
      <c r="W97" s="6">
        <f>IF(ISERROR(VLOOKUP($T$97,'TAR FIN'!$A$1:$O$100,15,0)),0,VLOOKUP($T$97,'TAR FIN'!$A$1:$O$100,15,0))</f>
        <v>43.65</v>
      </c>
      <c r="X97" s="6">
        <f>IF(ISERROR(VLOOKUP($U$97,'TAR FIN'!$A$1:$O$100,15,0)),0,VLOOKUP($U$97,'TAR FIN'!$A$1:$O$100,15,0))</f>
        <v>219.03</v>
      </c>
      <c r="Y97" s="6">
        <f ca="1">('TUSD BE'!$AM$13+'TUSD BF'!$AM$13+'TUSD CVA'!$AM$13)*1</f>
        <v>17.856842567448453</v>
      </c>
      <c r="Z97" s="6">
        <f ca="1">('TUSD BE'!$AM$14+'TUSD BF'!$AM$14+'TUSD CVA'!$AM$14)*1</f>
        <v>49.78704102185678</v>
      </c>
      <c r="AA97" s="6">
        <f>('TE BE'!$AA$8+'TE BF'!$AA$8+'TE CVA'!$AA$8)*1</f>
        <v>238.55077890362423</v>
      </c>
      <c r="AB97" s="6">
        <f>$K$97*$V$97</f>
        <v>39713.520000000004</v>
      </c>
      <c r="AC97" s="6">
        <f>$M$97*$W$97</f>
        <v>37565.40825</v>
      </c>
      <c r="AD97" s="6">
        <f>$O$97*$X$97</f>
        <v>188498.31315</v>
      </c>
      <c r="AE97" s="6">
        <f ca="1">$K$97*$Y$97</f>
        <v>38374.354677446725</v>
      </c>
      <c r="AF97" s="6">
        <f ca="1">$M$97*$Z$97</f>
        <v>42846.976438615056</v>
      </c>
      <c r="AG97" s="6">
        <f>$O$97*$AA$97</f>
        <v>205297.99307835355</v>
      </c>
    </row>
    <row r="98" spans="1:33" ht="11.25" customHeight="1" x14ac:dyDescent="0.25">
      <c r="A98" s="4" t="s">
        <v>55</v>
      </c>
      <c r="B98" s="4" t="s">
        <v>39</v>
      </c>
      <c r="C98" s="4" t="s">
        <v>40</v>
      </c>
      <c r="D98" s="4" t="s">
        <v>42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44562</v>
      </c>
      <c r="J98" s="6">
        <v>606</v>
      </c>
      <c r="K98" s="6">
        <v>606</v>
      </c>
      <c r="L98" s="6">
        <v>123.69</v>
      </c>
      <c r="M98" s="6">
        <v>123.69</v>
      </c>
      <c r="N98" s="6">
        <v>123.69</v>
      </c>
      <c r="O98" s="6">
        <v>123.69</v>
      </c>
      <c r="P98" s="6">
        <v>0</v>
      </c>
      <c r="Q98" s="4" t="s">
        <v>26</v>
      </c>
      <c r="R98" s="4">
        <v>0</v>
      </c>
      <c r="S98" s="6">
        <v>10</v>
      </c>
      <c r="T98" s="6">
        <v>11</v>
      </c>
      <c r="U98" s="6">
        <v>68</v>
      </c>
      <c r="V98" s="6">
        <f>IF(ISERROR(VLOOKUP($S$98,'TAR FIN'!$A$1:$O$100,15,0)),0,VLOOKUP($S$98,'TAR FIN'!$A$1:$O$100,15,0))</f>
        <v>18.48</v>
      </c>
      <c r="W98" s="6">
        <f>IF(ISERROR(VLOOKUP($T$98,'TAR FIN'!$A$1:$O$100,15,0)),0,VLOOKUP($T$98,'TAR FIN'!$A$1:$O$100,15,0))</f>
        <v>43.65</v>
      </c>
      <c r="X98" s="6">
        <f>IF(ISERROR(VLOOKUP($U$98,'TAR FIN'!$A$1:$O$100,15,0)),0,VLOOKUP($U$98,'TAR FIN'!$A$1:$O$100,15,0))</f>
        <v>219.03</v>
      </c>
      <c r="Y98" s="6">
        <f ca="1">('TUSD BE'!$AM$13+'TUSD BF'!$AM$13+'TUSD CVA'!$AM$13)*1</f>
        <v>17.856842567448453</v>
      </c>
      <c r="Z98" s="6">
        <f ca="1">('TUSD BE'!$AM$14+'TUSD BF'!$AM$14+'TUSD CVA'!$AM$14)*1</f>
        <v>49.78704102185678</v>
      </c>
      <c r="AA98" s="6">
        <f>('TE BE'!$AA$8+'TE BF'!$AA$8+'TE CVA'!$AA$8)*1</f>
        <v>238.55077890362423</v>
      </c>
      <c r="AB98" s="6">
        <f>$K$98*$V$98</f>
        <v>11198.880000000001</v>
      </c>
      <c r="AC98" s="6">
        <f>$M$98*$W$98</f>
        <v>5399.0684999999994</v>
      </c>
      <c r="AD98" s="6">
        <f>$O$98*$X$98</f>
        <v>27091.8207</v>
      </c>
      <c r="AE98" s="6">
        <f ca="1">$K$98*$Y$98</f>
        <v>10821.246595873763</v>
      </c>
      <c r="AF98" s="6">
        <f ca="1">$M$98*$Z$98</f>
        <v>6158.1591039934647</v>
      </c>
      <c r="AG98" s="6">
        <f>$O$98*$AA$98</f>
        <v>29506.345842589282</v>
      </c>
    </row>
    <row r="99" spans="1:33" ht="11.25" customHeight="1" x14ac:dyDescent="0.25">
      <c r="A99" s="4" t="s">
        <v>21</v>
      </c>
      <c r="B99" s="4" t="s">
        <v>39</v>
      </c>
      <c r="C99" s="4" t="s">
        <v>40</v>
      </c>
      <c r="D99" s="4" t="s">
        <v>42</v>
      </c>
      <c r="E99" s="4" t="s">
        <v>25</v>
      </c>
      <c r="F99" s="4" t="s">
        <v>25</v>
      </c>
      <c r="G99" s="4" t="s">
        <v>25</v>
      </c>
      <c r="H99" s="4" t="s">
        <v>34</v>
      </c>
      <c r="I99" s="5">
        <v>44228</v>
      </c>
      <c r="J99" s="6">
        <v>2076</v>
      </c>
      <c r="K99" s="6">
        <v>2076</v>
      </c>
      <c r="L99" s="6">
        <v>84.090999999999994</v>
      </c>
      <c r="M99" s="6">
        <v>84.090999999999994</v>
      </c>
      <c r="N99" s="6">
        <v>84.090999999999994</v>
      </c>
      <c r="O99" s="6">
        <v>84.090999999999994</v>
      </c>
      <c r="P99" s="6">
        <v>0</v>
      </c>
      <c r="Q99" s="4" t="s">
        <v>26</v>
      </c>
      <c r="R99" s="4">
        <v>0</v>
      </c>
      <c r="S99" s="6">
        <v>9</v>
      </c>
      <c r="T99" s="6">
        <v>11</v>
      </c>
      <c r="U99" s="6">
        <v>67</v>
      </c>
      <c r="V99" s="6">
        <f>IF(ISERROR(VLOOKUP($S$99,'TAR FIN'!$A$1:$O$100,15,0)),0,VLOOKUP($S$99,'TAR FIN'!$A$1:$O$100,15,0))</f>
        <v>37.01</v>
      </c>
      <c r="W99" s="6">
        <f>IF(ISERROR(VLOOKUP($T$99,'TAR FIN'!$A$1:$O$100,15,0)),0,VLOOKUP($T$99,'TAR FIN'!$A$1:$O$100,15,0))</f>
        <v>43.65</v>
      </c>
      <c r="X99" s="6">
        <f>IF(ISERROR(VLOOKUP($U$99,'TAR FIN'!$A$1:$O$100,15,0)),0,VLOOKUP($U$99,'TAR FIN'!$A$1:$O$100,15,0))</f>
        <v>366.6</v>
      </c>
      <c r="Y99" s="6">
        <f ca="1">('TUSD BE'!$AM$12+'TUSD BF'!$AM$12+'TUSD CVA'!$AM$12)*1</f>
        <v>36.177295232618533</v>
      </c>
      <c r="Z99" s="6">
        <f ca="1">('TUSD BE'!$AM$14+'TUSD BF'!$AM$14+'TUSD CVA'!$AM$14)*1</f>
        <v>49.78704102185678</v>
      </c>
      <c r="AA99" s="6">
        <f>('TE BE'!$AA$7+'TE BF'!$AA$7+'TE CVA'!$AA$7)*1</f>
        <v>385.46556634281501</v>
      </c>
      <c r="AB99" s="6">
        <f>$K$99*$V$99</f>
        <v>76832.759999999995</v>
      </c>
      <c r="AC99" s="6">
        <f>$M$99*$W$99</f>
        <v>3670.5721499999995</v>
      </c>
      <c r="AD99" s="6">
        <f>$O$99*$X$99</f>
        <v>30827.760600000001</v>
      </c>
      <c r="AE99" s="6">
        <f ca="1">$K$99*$Y$99</f>
        <v>75104.06490291607</v>
      </c>
      <c r="AF99" s="6">
        <f ca="1">$M$99*$Z$99</f>
        <v>4186.6420665689584</v>
      </c>
      <c r="AG99" s="6">
        <f>$O$99*$AA$99</f>
        <v>32414.184939333656</v>
      </c>
    </row>
    <row r="100" spans="1:33" ht="11.25" customHeight="1" x14ac:dyDescent="0.25">
      <c r="A100" s="4" t="s">
        <v>28</v>
      </c>
      <c r="B100" s="4" t="s">
        <v>39</v>
      </c>
      <c r="C100" s="4" t="s">
        <v>40</v>
      </c>
      <c r="D100" s="4" t="s">
        <v>42</v>
      </c>
      <c r="E100" s="4" t="s">
        <v>25</v>
      </c>
      <c r="F100" s="4" t="s">
        <v>25</v>
      </c>
      <c r="G100" s="4" t="s">
        <v>25</v>
      </c>
      <c r="H100" s="4" t="s">
        <v>34</v>
      </c>
      <c r="I100" s="5">
        <v>44228</v>
      </c>
      <c r="J100" s="6">
        <v>225</v>
      </c>
      <c r="K100" s="6">
        <v>225</v>
      </c>
      <c r="L100" s="6">
        <v>10.36</v>
      </c>
      <c r="M100" s="6">
        <v>10.36</v>
      </c>
      <c r="N100" s="6">
        <v>10.36</v>
      </c>
      <c r="O100" s="6">
        <v>10.36</v>
      </c>
      <c r="P100" s="6">
        <v>0</v>
      </c>
      <c r="Q100" s="4" t="s">
        <v>26</v>
      </c>
      <c r="R100" s="4">
        <v>0</v>
      </c>
      <c r="S100" s="6">
        <v>9</v>
      </c>
      <c r="T100" s="6">
        <v>11</v>
      </c>
      <c r="U100" s="6">
        <v>67</v>
      </c>
      <c r="V100" s="6">
        <f>IF(ISERROR(VLOOKUP($S$100,'TAR FIN'!$A$1:$O$100,15,0)),0,VLOOKUP($S$100,'TAR FIN'!$A$1:$O$100,15,0))</f>
        <v>37.01</v>
      </c>
      <c r="W100" s="6">
        <f>IF(ISERROR(VLOOKUP($T$100,'TAR FIN'!$A$1:$O$100,15,0)),0,VLOOKUP($T$100,'TAR FIN'!$A$1:$O$100,15,0))</f>
        <v>43.65</v>
      </c>
      <c r="X100" s="6">
        <f>IF(ISERROR(VLOOKUP($U$100,'TAR FIN'!$A$1:$O$100,15,0)),0,VLOOKUP($U$100,'TAR FIN'!$A$1:$O$100,15,0))</f>
        <v>366.6</v>
      </c>
      <c r="Y100" s="6">
        <f ca="1">('TUSD BE'!$AM$12+'TUSD BF'!$AM$12+'TUSD CVA'!$AM$12)*1</f>
        <v>36.177295232618533</v>
      </c>
      <c r="Z100" s="6">
        <f ca="1">('TUSD BE'!$AM$14+'TUSD BF'!$AM$14+'TUSD CVA'!$AM$14)*1</f>
        <v>49.78704102185678</v>
      </c>
      <c r="AA100" s="6">
        <f>('TE BE'!$AA$7+'TE BF'!$AA$7+'TE CVA'!$AA$7)*1</f>
        <v>385.46556634281501</v>
      </c>
      <c r="AB100" s="6">
        <f>$K$100*$V$100</f>
        <v>8327.25</v>
      </c>
      <c r="AC100" s="6">
        <f>$M$100*$W$100</f>
        <v>452.21399999999994</v>
      </c>
      <c r="AD100" s="6">
        <f>$O$100*$X$100</f>
        <v>3797.9760000000001</v>
      </c>
      <c r="AE100" s="6">
        <f ca="1">$K$100*$Y$100</f>
        <v>8139.8914273391701</v>
      </c>
      <c r="AF100" s="6">
        <f ca="1">$M$100*$Z$100</f>
        <v>515.7937449864362</v>
      </c>
      <c r="AG100" s="6">
        <f>$O$100*$AA$100</f>
        <v>3993.4232673115634</v>
      </c>
    </row>
    <row r="101" spans="1:33" ht="11.25" customHeight="1" x14ac:dyDescent="0.25">
      <c r="A101" s="4" t="s">
        <v>21</v>
      </c>
      <c r="B101" s="4" t="s">
        <v>39</v>
      </c>
      <c r="C101" s="4" t="s">
        <v>40</v>
      </c>
      <c r="D101" s="4" t="s">
        <v>42</v>
      </c>
      <c r="E101" s="4" t="s">
        <v>25</v>
      </c>
      <c r="F101" s="4" t="s">
        <v>25</v>
      </c>
      <c r="G101" s="4" t="s">
        <v>25</v>
      </c>
      <c r="H101" s="4" t="s">
        <v>34</v>
      </c>
      <c r="I101" s="5">
        <v>44256</v>
      </c>
      <c r="J101" s="6">
        <v>2062</v>
      </c>
      <c r="K101" s="6">
        <v>2062</v>
      </c>
      <c r="L101" s="6">
        <v>96.058000000000007</v>
      </c>
      <c r="M101" s="6">
        <v>96.058000000000007</v>
      </c>
      <c r="N101" s="6">
        <v>96.058000000000007</v>
      </c>
      <c r="O101" s="6">
        <v>96.058000000000007</v>
      </c>
      <c r="P101" s="6">
        <v>0</v>
      </c>
      <c r="Q101" s="4" t="s">
        <v>26</v>
      </c>
      <c r="R101" s="4">
        <v>0</v>
      </c>
      <c r="S101" s="6">
        <v>9</v>
      </c>
      <c r="T101" s="6">
        <v>11</v>
      </c>
      <c r="U101" s="6">
        <v>67</v>
      </c>
      <c r="V101" s="6">
        <f>IF(ISERROR(VLOOKUP($S$101,'TAR FIN'!$A$1:$O$100,15,0)),0,VLOOKUP($S$101,'TAR FIN'!$A$1:$O$100,15,0))</f>
        <v>37.01</v>
      </c>
      <c r="W101" s="6">
        <f>IF(ISERROR(VLOOKUP($T$101,'TAR FIN'!$A$1:$O$100,15,0)),0,VLOOKUP($T$101,'TAR FIN'!$A$1:$O$100,15,0))</f>
        <v>43.65</v>
      </c>
      <c r="X101" s="6">
        <f>IF(ISERROR(VLOOKUP($U$101,'TAR FIN'!$A$1:$O$100,15,0)),0,VLOOKUP($U$101,'TAR FIN'!$A$1:$O$100,15,0))</f>
        <v>366.6</v>
      </c>
      <c r="Y101" s="6">
        <f ca="1">('TUSD BE'!$AM$12+'TUSD BF'!$AM$12+'TUSD CVA'!$AM$12)*1</f>
        <v>36.177295232618533</v>
      </c>
      <c r="Z101" s="6">
        <f ca="1">('TUSD BE'!$AM$14+'TUSD BF'!$AM$14+'TUSD CVA'!$AM$14)*1</f>
        <v>49.78704102185678</v>
      </c>
      <c r="AA101" s="6">
        <f>('TE BE'!$AA$7+'TE BF'!$AA$7+'TE CVA'!$AA$7)*1</f>
        <v>385.46556634281501</v>
      </c>
      <c r="AB101" s="6">
        <f>$K$101*$V$101</f>
        <v>76314.62</v>
      </c>
      <c r="AC101" s="6">
        <f>$M$101*$W$101</f>
        <v>4192.9317000000001</v>
      </c>
      <c r="AD101" s="6">
        <f>$O$101*$X$101</f>
        <v>35214.862800000003</v>
      </c>
      <c r="AE101" s="6">
        <f ca="1">$K$101*$Y$101</f>
        <v>74597.582769659421</v>
      </c>
      <c r="AF101" s="6">
        <f ca="1">$M$101*$Z$101</f>
        <v>4782.4435864775187</v>
      </c>
      <c r="AG101" s="6">
        <f>$O$101*$AA$101</f>
        <v>37027.051371758127</v>
      </c>
    </row>
    <row r="102" spans="1:33" ht="11.25" customHeight="1" x14ac:dyDescent="0.25">
      <c r="A102" s="4" t="s">
        <v>27</v>
      </c>
      <c r="B102" s="4" t="s">
        <v>39</v>
      </c>
      <c r="C102" s="4" t="s">
        <v>40</v>
      </c>
      <c r="D102" s="4" t="s">
        <v>42</v>
      </c>
      <c r="E102" s="4" t="s">
        <v>25</v>
      </c>
      <c r="F102" s="4" t="s">
        <v>25</v>
      </c>
      <c r="G102" s="4" t="s">
        <v>25</v>
      </c>
      <c r="H102" s="4" t="s">
        <v>34</v>
      </c>
      <c r="I102" s="5">
        <v>44256</v>
      </c>
      <c r="J102" s="6">
        <v>-235</v>
      </c>
      <c r="K102" s="6">
        <v>-235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26</v>
      </c>
      <c r="R102" s="4">
        <v>0</v>
      </c>
      <c r="S102" s="6">
        <v>9</v>
      </c>
      <c r="T102" s="6">
        <v>0</v>
      </c>
      <c r="U102" s="6">
        <v>0</v>
      </c>
      <c r="V102" s="6">
        <f>IF(ISERROR(VLOOKUP($S$102,'TAR FIN'!$A$1:$O$100,15,0)),0,VLOOKUP($S$102,'TAR FIN'!$A$1:$O$100,15,0))</f>
        <v>37.01</v>
      </c>
      <c r="W102" s="6">
        <f>IF(ISERROR(VLOOKUP($T$102,'TAR FIN'!$A$1:$O$100,15,0)),0,VLOOKUP($T$102,'TAR FIN'!$A$1:$O$100,15,0))</f>
        <v>0</v>
      </c>
      <c r="X102" s="6">
        <f>IF(ISERROR(VLOOKUP($U$102,'TAR FIN'!$A$1:$O$100,15,0)),0,VLOOKUP($U$102,'TAR FIN'!$A$1:$O$100,15,0))</f>
        <v>0</v>
      </c>
      <c r="Y102" s="6">
        <f ca="1">('TUSD BE'!$AM$12+'TUSD BF'!$AM$12+'TUSD CVA'!$AM$12)*1</f>
        <v>36.177295232618533</v>
      </c>
      <c r="Z102" s="6">
        <f ca="1">('TUSD BE'!$AM$14+'TUSD BF'!$AM$14+'TUSD CVA'!$AM$14)*1</f>
        <v>49.78704102185678</v>
      </c>
      <c r="AA102" s="6">
        <f>('TE BE'!$AA$7+'TE BF'!$AA$7+'TE CVA'!$AA$7)*1</f>
        <v>385.46556634281501</v>
      </c>
      <c r="AB102" s="6">
        <f>$K$102*$V$102</f>
        <v>-8697.35</v>
      </c>
      <c r="AC102" s="6">
        <f>$M$102*$W$102</f>
        <v>0</v>
      </c>
      <c r="AD102" s="6">
        <f>$O$102*$X$102</f>
        <v>0</v>
      </c>
      <c r="AE102" s="6">
        <f ca="1">$K$102*$Y$102</f>
        <v>-8501.6643796653552</v>
      </c>
      <c r="AF102" s="6">
        <f ca="1">$M$102*$Z$102</f>
        <v>0</v>
      </c>
      <c r="AG102" s="6">
        <f>$O$102*$AA$102</f>
        <v>0</v>
      </c>
    </row>
    <row r="103" spans="1:33" ht="11.25" customHeight="1" x14ac:dyDescent="0.25">
      <c r="A103" s="4" t="s">
        <v>28</v>
      </c>
      <c r="B103" s="4" t="s">
        <v>39</v>
      </c>
      <c r="C103" s="4" t="s">
        <v>40</v>
      </c>
      <c r="D103" s="4" t="s">
        <v>42</v>
      </c>
      <c r="E103" s="4" t="s">
        <v>25</v>
      </c>
      <c r="F103" s="4" t="s">
        <v>25</v>
      </c>
      <c r="G103" s="4" t="s">
        <v>25</v>
      </c>
      <c r="H103" s="4" t="s">
        <v>34</v>
      </c>
      <c r="I103" s="5">
        <v>44256</v>
      </c>
      <c r="J103" s="6">
        <v>225</v>
      </c>
      <c r="K103" s="6">
        <v>225</v>
      </c>
      <c r="L103" s="6">
        <v>11.76</v>
      </c>
      <c r="M103" s="6">
        <v>11.76</v>
      </c>
      <c r="N103" s="6">
        <v>11.76</v>
      </c>
      <c r="O103" s="6">
        <v>11.76</v>
      </c>
      <c r="P103" s="6">
        <v>0</v>
      </c>
      <c r="Q103" s="4" t="s">
        <v>26</v>
      </c>
      <c r="R103" s="4">
        <v>0</v>
      </c>
      <c r="S103" s="6">
        <v>9</v>
      </c>
      <c r="T103" s="6">
        <v>11</v>
      </c>
      <c r="U103" s="6">
        <v>67</v>
      </c>
      <c r="V103" s="6">
        <f>IF(ISERROR(VLOOKUP($S$103,'TAR FIN'!$A$1:$O$100,15,0)),0,VLOOKUP($S$103,'TAR FIN'!$A$1:$O$100,15,0))</f>
        <v>37.01</v>
      </c>
      <c r="W103" s="6">
        <f>IF(ISERROR(VLOOKUP($T$103,'TAR FIN'!$A$1:$O$100,15,0)),0,VLOOKUP($T$103,'TAR FIN'!$A$1:$O$100,15,0))</f>
        <v>43.65</v>
      </c>
      <c r="X103" s="6">
        <f>IF(ISERROR(VLOOKUP($U$103,'TAR FIN'!$A$1:$O$100,15,0)),0,VLOOKUP($U$103,'TAR FIN'!$A$1:$O$100,15,0))</f>
        <v>366.6</v>
      </c>
      <c r="Y103" s="6">
        <f ca="1">('TUSD BE'!$AM$12+'TUSD BF'!$AM$12+'TUSD CVA'!$AM$12)*1</f>
        <v>36.177295232618533</v>
      </c>
      <c r="Z103" s="6">
        <f ca="1">('TUSD BE'!$AM$14+'TUSD BF'!$AM$14+'TUSD CVA'!$AM$14)*1</f>
        <v>49.78704102185678</v>
      </c>
      <c r="AA103" s="6">
        <f>('TE BE'!$AA$7+'TE BF'!$AA$7+'TE CVA'!$AA$7)*1</f>
        <v>385.46556634281501</v>
      </c>
      <c r="AB103" s="6">
        <f>$K$103*$V$103</f>
        <v>8327.25</v>
      </c>
      <c r="AC103" s="6">
        <f>$M$103*$W$103</f>
        <v>513.32399999999996</v>
      </c>
      <c r="AD103" s="6">
        <f>$O$103*$X$103</f>
        <v>4311.2160000000003</v>
      </c>
      <c r="AE103" s="6">
        <f ca="1">$K$103*$Y$103</f>
        <v>8139.8914273391701</v>
      </c>
      <c r="AF103" s="6">
        <f ca="1">$M$103*$Z$103</f>
        <v>585.49560241703568</v>
      </c>
      <c r="AG103" s="6">
        <f>$O$103*$AA$103</f>
        <v>4533.0750601915042</v>
      </c>
    </row>
    <row r="104" spans="1:33" ht="11.25" customHeight="1" x14ac:dyDescent="0.25">
      <c r="A104" s="4" t="s">
        <v>21</v>
      </c>
      <c r="B104" s="4" t="s">
        <v>39</v>
      </c>
      <c r="C104" s="4" t="s">
        <v>40</v>
      </c>
      <c r="D104" s="4" t="s">
        <v>42</v>
      </c>
      <c r="E104" s="4" t="s">
        <v>25</v>
      </c>
      <c r="F104" s="4" t="s">
        <v>25</v>
      </c>
      <c r="G104" s="4" t="s">
        <v>25</v>
      </c>
      <c r="H104" s="4" t="s">
        <v>34</v>
      </c>
      <c r="I104" s="5">
        <v>44287</v>
      </c>
      <c r="J104" s="6">
        <v>2071</v>
      </c>
      <c r="K104" s="6">
        <v>2071</v>
      </c>
      <c r="L104" s="6">
        <v>86.956999999999994</v>
      </c>
      <c r="M104" s="6">
        <v>86.956999999999994</v>
      </c>
      <c r="N104" s="6">
        <v>86.956999999999994</v>
      </c>
      <c r="O104" s="6">
        <v>86.956999999999994</v>
      </c>
      <c r="P104" s="6">
        <v>0</v>
      </c>
      <c r="Q104" s="4" t="s">
        <v>26</v>
      </c>
      <c r="R104" s="4">
        <v>0</v>
      </c>
      <c r="S104" s="6">
        <v>9</v>
      </c>
      <c r="T104" s="6">
        <v>11</v>
      </c>
      <c r="U104" s="6">
        <v>67</v>
      </c>
      <c r="V104" s="6">
        <f>IF(ISERROR(VLOOKUP($S$104,'TAR FIN'!$A$1:$O$100,15,0)),0,VLOOKUP($S$104,'TAR FIN'!$A$1:$O$100,15,0))</f>
        <v>37.01</v>
      </c>
      <c r="W104" s="6">
        <f>IF(ISERROR(VLOOKUP($T$104,'TAR FIN'!$A$1:$O$100,15,0)),0,VLOOKUP($T$104,'TAR FIN'!$A$1:$O$100,15,0))</f>
        <v>43.65</v>
      </c>
      <c r="X104" s="6">
        <f>IF(ISERROR(VLOOKUP($U$104,'TAR FIN'!$A$1:$O$100,15,0)),0,VLOOKUP($U$104,'TAR FIN'!$A$1:$O$100,15,0))</f>
        <v>366.6</v>
      </c>
      <c r="Y104" s="6">
        <f ca="1">('TUSD BE'!$AM$12+'TUSD BF'!$AM$12+'TUSD CVA'!$AM$12)*1</f>
        <v>36.177295232618533</v>
      </c>
      <c r="Z104" s="6">
        <f ca="1">('TUSD BE'!$AM$14+'TUSD BF'!$AM$14+'TUSD CVA'!$AM$14)*1</f>
        <v>49.78704102185678</v>
      </c>
      <c r="AA104" s="6">
        <f>('TE BE'!$AA$7+'TE BF'!$AA$7+'TE CVA'!$AA$7)*1</f>
        <v>385.46556634281501</v>
      </c>
      <c r="AB104" s="6">
        <f>$K$104*$V$104</f>
        <v>76647.709999999992</v>
      </c>
      <c r="AC104" s="6">
        <f>$M$104*$W$104</f>
        <v>3795.6730499999994</v>
      </c>
      <c r="AD104" s="6">
        <f>$O$104*$X$104</f>
        <v>31878.4362</v>
      </c>
      <c r="AE104" s="6">
        <f ca="1">$K$104*$Y$104</f>
        <v>74923.178426752987</v>
      </c>
      <c r="AF104" s="6">
        <f ca="1">$M$104*$Z$104</f>
        <v>4329.3317261375996</v>
      </c>
      <c r="AG104" s="6">
        <f>$O$104*$AA$104</f>
        <v>33518.92925247216</v>
      </c>
    </row>
    <row r="105" spans="1:33" ht="11.25" customHeight="1" x14ac:dyDescent="0.25">
      <c r="A105" s="4" t="s">
        <v>28</v>
      </c>
      <c r="B105" s="4" t="s">
        <v>39</v>
      </c>
      <c r="C105" s="4" t="s">
        <v>40</v>
      </c>
      <c r="D105" s="4" t="s">
        <v>42</v>
      </c>
      <c r="E105" s="4" t="s">
        <v>25</v>
      </c>
      <c r="F105" s="4" t="s">
        <v>25</v>
      </c>
      <c r="G105" s="4" t="s">
        <v>25</v>
      </c>
      <c r="H105" s="4" t="s">
        <v>34</v>
      </c>
      <c r="I105" s="5">
        <v>44287</v>
      </c>
      <c r="J105" s="6">
        <v>225</v>
      </c>
      <c r="K105" s="6">
        <v>225</v>
      </c>
      <c r="L105" s="6">
        <v>10.92</v>
      </c>
      <c r="M105" s="6">
        <v>10.92</v>
      </c>
      <c r="N105" s="6">
        <v>10.92</v>
      </c>
      <c r="O105" s="6">
        <v>10.92</v>
      </c>
      <c r="P105" s="6">
        <v>0</v>
      </c>
      <c r="Q105" s="4" t="s">
        <v>26</v>
      </c>
      <c r="R105" s="4">
        <v>0</v>
      </c>
      <c r="S105" s="6">
        <v>9</v>
      </c>
      <c r="T105" s="6">
        <v>11</v>
      </c>
      <c r="U105" s="6">
        <v>67</v>
      </c>
      <c r="V105" s="6">
        <f>IF(ISERROR(VLOOKUP($S$105,'TAR FIN'!$A$1:$O$100,15,0)),0,VLOOKUP($S$105,'TAR FIN'!$A$1:$O$100,15,0))</f>
        <v>37.01</v>
      </c>
      <c r="W105" s="6">
        <f>IF(ISERROR(VLOOKUP($T$105,'TAR FIN'!$A$1:$O$100,15,0)),0,VLOOKUP($T$105,'TAR FIN'!$A$1:$O$100,15,0))</f>
        <v>43.65</v>
      </c>
      <c r="X105" s="6">
        <f>IF(ISERROR(VLOOKUP($U$105,'TAR FIN'!$A$1:$O$100,15,0)),0,VLOOKUP($U$105,'TAR FIN'!$A$1:$O$100,15,0))</f>
        <v>366.6</v>
      </c>
      <c r="Y105" s="6">
        <f ca="1">('TUSD BE'!$AM$12+'TUSD BF'!$AM$12+'TUSD CVA'!$AM$12)*1</f>
        <v>36.177295232618533</v>
      </c>
      <c r="Z105" s="6">
        <f ca="1">('TUSD BE'!$AM$14+'TUSD BF'!$AM$14+'TUSD CVA'!$AM$14)*1</f>
        <v>49.78704102185678</v>
      </c>
      <c r="AA105" s="6">
        <f>('TE BE'!$AA$7+'TE BF'!$AA$7+'TE CVA'!$AA$7)*1</f>
        <v>385.46556634281501</v>
      </c>
      <c r="AB105" s="6">
        <f>$K$105*$V$105</f>
        <v>8327.25</v>
      </c>
      <c r="AC105" s="6">
        <f>$M$105*$W$105</f>
        <v>476.65799999999996</v>
      </c>
      <c r="AD105" s="6">
        <f>$O$105*$X$105</f>
        <v>4003.2720000000004</v>
      </c>
      <c r="AE105" s="6">
        <f ca="1">$K$105*$Y$105</f>
        <v>8139.8914273391701</v>
      </c>
      <c r="AF105" s="6">
        <f ca="1">$M$105*$Z$105</f>
        <v>543.67448795867608</v>
      </c>
      <c r="AG105" s="6">
        <f>$O$105*$AA$105</f>
        <v>4209.28398446354</v>
      </c>
    </row>
    <row r="106" spans="1:33" ht="11.25" customHeight="1" x14ac:dyDescent="0.25">
      <c r="A106" s="4" t="s">
        <v>21</v>
      </c>
      <c r="B106" s="4" t="s">
        <v>39</v>
      </c>
      <c r="C106" s="4" t="s">
        <v>40</v>
      </c>
      <c r="D106" s="4" t="s">
        <v>42</v>
      </c>
      <c r="E106" s="4" t="s">
        <v>25</v>
      </c>
      <c r="F106" s="4" t="s">
        <v>25</v>
      </c>
      <c r="G106" s="4" t="s">
        <v>25</v>
      </c>
      <c r="H106" s="4" t="s">
        <v>34</v>
      </c>
      <c r="I106" s="5">
        <v>44317</v>
      </c>
      <c r="J106" s="6">
        <v>1970</v>
      </c>
      <c r="K106" s="6">
        <v>1970</v>
      </c>
      <c r="L106" s="6">
        <v>85.091999999999999</v>
      </c>
      <c r="M106" s="6">
        <v>85.091999999999999</v>
      </c>
      <c r="N106" s="6">
        <v>85.091999999999999</v>
      </c>
      <c r="O106" s="6">
        <v>85.091999999999999</v>
      </c>
      <c r="P106" s="6">
        <v>0</v>
      </c>
      <c r="Q106" s="4" t="s">
        <v>26</v>
      </c>
      <c r="R106" s="4">
        <v>0</v>
      </c>
      <c r="S106" s="6">
        <v>9</v>
      </c>
      <c r="T106" s="6">
        <v>11</v>
      </c>
      <c r="U106" s="6">
        <v>67</v>
      </c>
      <c r="V106" s="6">
        <f>IF(ISERROR(VLOOKUP($S$106,'TAR FIN'!$A$1:$O$100,15,0)),0,VLOOKUP($S$106,'TAR FIN'!$A$1:$O$100,15,0))</f>
        <v>37.01</v>
      </c>
      <c r="W106" s="6">
        <f>IF(ISERROR(VLOOKUP($T$106,'TAR FIN'!$A$1:$O$100,15,0)),0,VLOOKUP($T$106,'TAR FIN'!$A$1:$O$100,15,0))</f>
        <v>43.65</v>
      </c>
      <c r="X106" s="6">
        <f>IF(ISERROR(VLOOKUP($U$106,'TAR FIN'!$A$1:$O$100,15,0)),0,VLOOKUP($U$106,'TAR FIN'!$A$1:$O$100,15,0))</f>
        <v>366.6</v>
      </c>
      <c r="Y106" s="6">
        <f ca="1">('TUSD BE'!$AM$12+'TUSD BF'!$AM$12+'TUSD CVA'!$AM$12)*1</f>
        <v>36.177295232618533</v>
      </c>
      <c r="Z106" s="6">
        <f ca="1">('TUSD BE'!$AM$14+'TUSD BF'!$AM$14+'TUSD CVA'!$AM$14)*1</f>
        <v>49.78704102185678</v>
      </c>
      <c r="AA106" s="6">
        <f>('TE BE'!$AA$7+'TE BF'!$AA$7+'TE CVA'!$AA$7)*1</f>
        <v>385.46556634281501</v>
      </c>
      <c r="AB106" s="6">
        <f>$K$106*$V$106</f>
        <v>72909.7</v>
      </c>
      <c r="AC106" s="6">
        <f>$M$106*$W$106</f>
        <v>3714.2657999999997</v>
      </c>
      <c r="AD106" s="6">
        <f>$O$106*$X$106</f>
        <v>31194.727200000001</v>
      </c>
      <c r="AE106" s="6">
        <f ca="1">$K$106*$Y$106</f>
        <v>71269.27160825851</v>
      </c>
      <c r="AF106" s="6">
        <f ca="1">$M$106*$Z$106</f>
        <v>4236.4788946318367</v>
      </c>
      <c r="AG106" s="6">
        <f>$O$106*$AA$106</f>
        <v>32800.035971242811</v>
      </c>
    </row>
    <row r="107" spans="1:33" ht="11.25" customHeight="1" x14ac:dyDescent="0.25">
      <c r="A107" s="4" t="s">
        <v>28</v>
      </c>
      <c r="B107" s="4" t="s">
        <v>39</v>
      </c>
      <c r="C107" s="4" t="s">
        <v>40</v>
      </c>
      <c r="D107" s="4" t="s">
        <v>42</v>
      </c>
      <c r="E107" s="4" t="s">
        <v>25</v>
      </c>
      <c r="F107" s="4" t="s">
        <v>25</v>
      </c>
      <c r="G107" s="4" t="s">
        <v>25</v>
      </c>
      <c r="H107" s="4" t="s">
        <v>34</v>
      </c>
      <c r="I107" s="5">
        <v>44317</v>
      </c>
      <c r="J107" s="6">
        <v>225</v>
      </c>
      <c r="K107" s="6">
        <v>225</v>
      </c>
      <c r="L107" s="6">
        <v>10.92</v>
      </c>
      <c r="M107" s="6">
        <v>10.92</v>
      </c>
      <c r="N107" s="6">
        <v>10.92</v>
      </c>
      <c r="O107" s="6">
        <v>10.92</v>
      </c>
      <c r="P107" s="6">
        <v>0</v>
      </c>
      <c r="Q107" s="4" t="s">
        <v>26</v>
      </c>
      <c r="R107" s="4">
        <v>0</v>
      </c>
      <c r="S107" s="6">
        <v>9</v>
      </c>
      <c r="T107" s="6">
        <v>11</v>
      </c>
      <c r="U107" s="6">
        <v>67</v>
      </c>
      <c r="V107" s="6">
        <f>IF(ISERROR(VLOOKUP($S$107,'TAR FIN'!$A$1:$O$100,15,0)),0,VLOOKUP($S$107,'TAR FIN'!$A$1:$O$100,15,0))</f>
        <v>37.01</v>
      </c>
      <c r="W107" s="6">
        <f>IF(ISERROR(VLOOKUP($T$107,'TAR FIN'!$A$1:$O$100,15,0)),0,VLOOKUP($T$107,'TAR FIN'!$A$1:$O$100,15,0))</f>
        <v>43.65</v>
      </c>
      <c r="X107" s="6">
        <f>IF(ISERROR(VLOOKUP($U$107,'TAR FIN'!$A$1:$O$100,15,0)),0,VLOOKUP($U$107,'TAR FIN'!$A$1:$O$100,15,0))</f>
        <v>366.6</v>
      </c>
      <c r="Y107" s="6">
        <f ca="1">('TUSD BE'!$AM$12+'TUSD BF'!$AM$12+'TUSD CVA'!$AM$12)*1</f>
        <v>36.177295232618533</v>
      </c>
      <c r="Z107" s="6">
        <f ca="1">('TUSD BE'!$AM$14+'TUSD BF'!$AM$14+'TUSD CVA'!$AM$14)*1</f>
        <v>49.78704102185678</v>
      </c>
      <c r="AA107" s="6">
        <f>('TE BE'!$AA$7+'TE BF'!$AA$7+'TE CVA'!$AA$7)*1</f>
        <v>385.46556634281501</v>
      </c>
      <c r="AB107" s="6">
        <f>$K$107*$V$107</f>
        <v>8327.25</v>
      </c>
      <c r="AC107" s="6">
        <f>$M$107*$W$107</f>
        <v>476.65799999999996</v>
      </c>
      <c r="AD107" s="6">
        <f>$O$107*$X$107</f>
        <v>4003.2720000000004</v>
      </c>
      <c r="AE107" s="6">
        <f ca="1">$K$107*$Y$107</f>
        <v>8139.8914273391701</v>
      </c>
      <c r="AF107" s="6">
        <f ca="1">$M$107*$Z$107</f>
        <v>543.67448795867608</v>
      </c>
      <c r="AG107" s="6">
        <f>$O$107*$AA$107</f>
        <v>4209.28398446354</v>
      </c>
    </row>
    <row r="108" spans="1:33" ht="11.25" customHeight="1" x14ac:dyDescent="0.25">
      <c r="A108" s="4" t="s">
        <v>21</v>
      </c>
      <c r="B108" s="4" t="s">
        <v>39</v>
      </c>
      <c r="C108" s="4" t="s">
        <v>40</v>
      </c>
      <c r="D108" s="4" t="s">
        <v>42</v>
      </c>
      <c r="E108" s="4" t="s">
        <v>25</v>
      </c>
      <c r="F108" s="4" t="s">
        <v>25</v>
      </c>
      <c r="G108" s="4" t="s">
        <v>25</v>
      </c>
      <c r="H108" s="4" t="s">
        <v>34</v>
      </c>
      <c r="I108" s="5">
        <v>44348</v>
      </c>
      <c r="J108" s="6">
        <v>1947</v>
      </c>
      <c r="K108" s="6">
        <v>1947</v>
      </c>
      <c r="L108" s="6">
        <v>83.697000000000003</v>
      </c>
      <c r="M108" s="6">
        <v>83.697000000000003</v>
      </c>
      <c r="N108" s="6">
        <v>83.697000000000003</v>
      </c>
      <c r="O108" s="6">
        <v>83.697000000000003</v>
      </c>
      <c r="P108" s="6">
        <v>0</v>
      </c>
      <c r="Q108" s="4" t="s">
        <v>26</v>
      </c>
      <c r="R108" s="4">
        <v>0</v>
      </c>
      <c r="S108" s="6">
        <v>9</v>
      </c>
      <c r="T108" s="6">
        <v>11</v>
      </c>
      <c r="U108" s="6">
        <v>67</v>
      </c>
      <c r="V108" s="6">
        <f>IF(ISERROR(VLOOKUP($S$108,'TAR FIN'!$A$1:$O$100,15,0)),0,VLOOKUP($S$108,'TAR FIN'!$A$1:$O$100,15,0))</f>
        <v>37.01</v>
      </c>
      <c r="W108" s="6">
        <f>IF(ISERROR(VLOOKUP($T$108,'TAR FIN'!$A$1:$O$100,15,0)),0,VLOOKUP($T$108,'TAR FIN'!$A$1:$O$100,15,0))</f>
        <v>43.65</v>
      </c>
      <c r="X108" s="6">
        <f>IF(ISERROR(VLOOKUP($U$108,'TAR FIN'!$A$1:$O$100,15,0)),0,VLOOKUP($U$108,'TAR FIN'!$A$1:$O$100,15,0))</f>
        <v>366.6</v>
      </c>
      <c r="Y108" s="6">
        <f ca="1">('TUSD BE'!$AM$12+'TUSD BF'!$AM$12+'TUSD CVA'!$AM$12)*1</f>
        <v>36.177295232618533</v>
      </c>
      <c r="Z108" s="6">
        <f ca="1">('TUSD BE'!$AM$14+'TUSD BF'!$AM$14+'TUSD CVA'!$AM$14)*1</f>
        <v>49.78704102185678</v>
      </c>
      <c r="AA108" s="6">
        <f>('TE BE'!$AA$7+'TE BF'!$AA$7+'TE CVA'!$AA$7)*1</f>
        <v>385.46556634281501</v>
      </c>
      <c r="AB108" s="6">
        <f>$K$108*$V$108</f>
        <v>72058.47</v>
      </c>
      <c r="AC108" s="6">
        <f>$M$108*$W$108</f>
        <v>3653.3740499999999</v>
      </c>
      <c r="AD108" s="6">
        <f>$O$108*$X$108</f>
        <v>30683.320200000002</v>
      </c>
      <c r="AE108" s="6">
        <f ca="1">$K$108*$Y$108</f>
        <v>70437.193817908279</v>
      </c>
      <c r="AF108" s="6">
        <f ca="1">$M$108*$Z$108</f>
        <v>4167.0259724063471</v>
      </c>
      <c r="AG108" s="6">
        <f>$O$108*$AA$108</f>
        <v>32262.31150619459</v>
      </c>
    </row>
    <row r="109" spans="1:33" ht="11.25" customHeight="1" x14ac:dyDescent="0.25">
      <c r="A109" s="4" t="s">
        <v>28</v>
      </c>
      <c r="B109" s="4" t="s">
        <v>39</v>
      </c>
      <c r="C109" s="4" t="s">
        <v>40</v>
      </c>
      <c r="D109" s="4" t="s">
        <v>42</v>
      </c>
      <c r="E109" s="4" t="s">
        <v>25</v>
      </c>
      <c r="F109" s="4" t="s">
        <v>25</v>
      </c>
      <c r="G109" s="4" t="s">
        <v>25</v>
      </c>
      <c r="H109" s="4" t="s">
        <v>34</v>
      </c>
      <c r="I109" s="5">
        <v>44348</v>
      </c>
      <c r="J109" s="6">
        <v>232</v>
      </c>
      <c r="K109" s="6">
        <v>232</v>
      </c>
      <c r="L109" s="6">
        <v>10.36</v>
      </c>
      <c r="M109" s="6">
        <v>10.36</v>
      </c>
      <c r="N109" s="6">
        <v>10.36</v>
      </c>
      <c r="O109" s="6">
        <v>10.36</v>
      </c>
      <c r="P109" s="6">
        <v>0</v>
      </c>
      <c r="Q109" s="4" t="s">
        <v>26</v>
      </c>
      <c r="R109" s="4">
        <v>0</v>
      </c>
      <c r="S109" s="6">
        <v>9</v>
      </c>
      <c r="T109" s="6">
        <v>11</v>
      </c>
      <c r="U109" s="6">
        <v>67</v>
      </c>
      <c r="V109" s="6">
        <f>IF(ISERROR(VLOOKUP($S$109,'TAR FIN'!$A$1:$O$100,15,0)),0,VLOOKUP($S$109,'TAR FIN'!$A$1:$O$100,15,0))</f>
        <v>37.01</v>
      </c>
      <c r="W109" s="6">
        <f>IF(ISERROR(VLOOKUP($T$109,'TAR FIN'!$A$1:$O$100,15,0)),0,VLOOKUP($T$109,'TAR FIN'!$A$1:$O$100,15,0))</f>
        <v>43.65</v>
      </c>
      <c r="X109" s="6">
        <f>IF(ISERROR(VLOOKUP($U$109,'TAR FIN'!$A$1:$O$100,15,0)),0,VLOOKUP($U$109,'TAR FIN'!$A$1:$O$100,15,0))</f>
        <v>366.6</v>
      </c>
      <c r="Y109" s="6">
        <f ca="1">('TUSD BE'!$AM$12+'TUSD BF'!$AM$12+'TUSD CVA'!$AM$12)*1</f>
        <v>36.177295232618533</v>
      </c>
      <c r="Z109" s="6">
        <f ca="1">('TUSD BE'!$AM$14+'TUSD BF'!$AM$14+'TUSD CVA'!$AM$14)*1</f>
        <v>49.78704102185678</v>
      </c>
      <c r="AA109" s="6">
        <f>('TE BE'!$AA$7+'TE BF'!$AA$7+'TE CVA'!$AA$7)*1</f>
        <v>385.46556634281501</v>
      </c>
      <c r="AB109" s="6">
        <f>$K$109*$V$109</f>
        <v>8586.32</v>
      </c>
      <c r="AC109" s="6">
        <f>$M$109*$W$109</f>
        <v>452.21399999999994</v>
      </c>
      <c r="AD109" s="6">
        <f>$O$109*$X$109</f>
        <v>3797.9760000000001</v>
      </c>
      <c r="AE109" s="6">
        <f ca="1">$K$109*$Y$109</f>
        <v>8393.1324939674996</v>
      </c>
      <c r="AF109" s="6">
        <f ca="1">$M$109*$Z$109</f>
        <v>515.7937449864362</v>
      </c>
      <c r="AG109" s="6">
        <f>$O$109*$AA$109</f>
        <v>3993.4232673115634</v>
      </c>
    </row>
    <row r="110" spans="1:33" ht="11.25" customHeight="1" x14ac:dyDescent="0.25">
      <c r="A110" s="4" t="s">
        <v>21</v>
      </c>
      <c r="B110" s="4" t="s">
        <v>39</v>
      </c>
      <c r="C110" s="4" t="s">
        <v>40</v>
      </c>
      <c r="D110" s="4" t="s">
        <v>42</v>
      </c>
      <c r="E110" s="4" t="s">
        <v>25</v>
      </c>
      <c r="F110" s="4" t="s">
        <v>25</v>
      </c>
      <c r="G110" s="4" t="s">
        <v>25</v>
      </c>
      <c r="H110" s="4" t="s">
        <v>34</v>
      </c>
      <c r="I110" s="5">
        <v>44378</v>
      </c>
      <c r="J110" s="6">
        <v>1941</v>
      </c>
      <c r="K110" s="6">
        <v>1941</v>
      </c>
      <c r="L110" s="6">
        <v>83.596999999999994</v>
      </c>
      <c r="M110" s="6">
        <v>83.596999999999994</v>
      </c>
      <c r="N110" s="6">
        <v>83.596999999999994</v>
      </c>
      <c r="O110" s="6">
        <v>83.596999999999994</v>
      </c>
      <c r="P110" s="6">
        <v>0</v>
      </c>
      <c r="Q110" s="4" t="s">
        <v>26</v>
      </c>
      <c r="R110" s="4">
        <v>0</v>
      </c>
      <c r="S110" s="6">
        <v>9</v>
      </c>
      <c r="T110" s="6">
        <v>11</v>
      </c>
      <c r="U110" s="6">
        <v>67</v>
      </c>
      <c r="V110" s="6">
        <f>IF(ISERROR(VLOOKUP($S$110,'TAR FIN'!$A$1:$O$100,15,0)),0,VLOOKUP($S$110,'TAR FIN'!$A$1:$O$100,15,0))</f>
        <v>37.01</v>
      </c>
      <c r="W110" s="6">
        <f>IF(ISERROR(VLOOKUP($T$110,'TAR FIN'!$A$1:$O$100,15,0)),0,VLOOKUP($T$110,'TAR FIN'!$A$1:$O$100,15,0))</f>
        <v>43.65</v>
      </c>
      <c r="X110" s="6">
        <f>IF(ISERROR(VLOOKUP($U$110,'TAR FIN'!$A$1:$O$100,15,0)),0,VLOOKUP($U$110,'TAR FIN'!$A$1:$O$100,15,0))</f>
        <v>366.6</v>
      </c>
      <c r="Y110" s="6">
        <f ca="1">('TUSD BE'!$AM$12+'TUSD BF'!$AM$12+'TUSD CVA'!$AM$12)*1</f>
        <v>36.177295232618533</v>
      </c>
      <c r="Z110" s="6">
        <f ca="1">('TUSD BE'!$AM$14+'TUSD BF'!$AM$14+'TUSD CVA'!$AM$14)*1</f>
        <v>49.78704102185678</v>
      </c>
      <c r="AA110" s="6">
        <f>('TE BE'!$AA$7+'TE BF'!$AA$7+'TE CVA'!$AA$7)*1</f>
        <v>385.46556634281501</v>
      </c>
      <c r="AB110" s="6">
        <f>$K$110*$V$110</f>
        <v>71836.409999999989</v>
      </c>
      <c r="AC110" s="6">
        <f>$M$110*$W$110</f>
        <v>3649.0090499999997</v>
      </c>
      <c r="AD110" s="6">
        <f>$O$110*$X$110</f>
        <v>30646.660199999998</v>
      </c>
      <c r="AE110" s="6">
        <f ca="1">$K$110*$Y$110</f>
        <v>70220.130046512568</v>
      </c>
      <c r="AF110" s="6">
        <f ca="1">$M$110*$Z$110</f>
        <v>4162.0472683041608</v>
      </c>
      <c r="AG110" s="6">
        <f>$O$110*$AA$110</f>
        <v>32223.764949560304</v>
      </c>
    </row>
    <row r="111" spans="1:33" ht="11.25" customHeight="1" x14ac:dyDescent="0.25">
      <c r="A111" s="4" t="s">
        <v>28</v>
      </c>
      <c r="B111" s="4" t="s">
        <v>39</v>
      </c>
      <c r="C111" s="4" t="s">
        <v>40</v>
      </c>
      <c r="D111" s="4" t="s">
        <v>42</v>
      </c>
      <c r="E111" s="4" t="s">
        <v>25</v>
      </c>
      <c r="F111" s="4" t="s">
        <v>25</v>
      </c>
      <c r="G111" s="4" t="s">
        <v>25</v>
      </c>
      <c r="H111" s="4" t="s">
        <v>34</v>
      </c>
      <c r="I111" s="5">
        <v>44378</v>
      </c>
      <c r="J111" s="6">
        <v>225</v>
      </c>
      <c r="K111" s="6">
        <v>225</v>
      </c>
      <c r="L111" s="6">
        <v>10.64</v>
      </c>
      <c r="M111" s="6">
        <v>10.64</v>
      </c>
      <c r="N111" s="6">
        <v>10.64</v>
      </c>
      <c r="O111" s="6">
        <v>10.64</v>
      </c>
      <c r="P111" s="6">
        <v>0</v>
      </c>
      <c r="Q111" s="4" t="s">
        <v>26</v>
      </c>
      <c r="R111" s="4">
        <v>0</v>
      </c>
      <c r="S111" s="6">
        <v>9</v>
      </c>
      <c r="T111" s="6">
        <v>11</v>
      </c>
      <c r="U111" s="6">
        <v>67</v>
      </c>
      <c r="V111" s="6">
        <f>IF(ISERROR(VLOOKUP($S$111,'TAR FIN'!$A$1:$O$100,15,0)),0,VLOOKUP($S$111,'TAR FIN'!$A$1:$O$100,15,0))</f>
        <v>37.01</v>
      </c>
      <c r="W111" s="6">
        <f>IF(ISERROR(VLOOKUP($T$111,'TAR FIN'!$A$1:$O$100,15,0)),0,VLOOKUP($T$111,'TAR FIN'!$A$1:$O$100,15,0))</f>
        <v>43.65</v>
      </c>
      <c r="X111" s="6">
        <f>IF(ISERROR(VLOOKUP($U$111,'TAR FIN'!$A$1:$O$100,15,0)),0,VLOOKUP($U$111,'TAR FIN'!$A$1:$O$100,15,0))</f>
        <v>366.6</v>
      </c>
      <c r="Y111" s="6">
        <f ca="1">('TUSD BE'!$AM$12+'TUSD BF'!$AM$12+'TUSD CVA'!$AM$12)*1</f>
        <v>36.177295232618533</v>
      </c>
      <c r="Z111" s="6">
        <f ca="1">('TUSD BE'!$AM$14+'TUSD BF'!$AM$14+'TUSD CVA'!$AM$14)*1</f>
        <v>49.78704102185678</v>
      </c>
      <c r="AA111" s="6">
        <f>('TE BE'!$AA$7+'TE BF'!$AA$7+'TE CVA'!$AA$7)*1</f>
        <v>385.46556634281501</v>
      </c>
      <c r="AB111" s="6">
        <f>$K$111*$V$111</f>
        <v>8327.25</v>
      </c>
      <c r="AC111" s="6">
        <f>$M$111*$W$111</f>
        <v>464.43600000000004</v>
      </c>
      <c r="AD111" s="6">
        <f>$O$111*$X$111</f>
        <v>3900.6240000000003</v>
      </c>
      <c r="AE111" s="6">
        <f ca="1">$K$111*$Y$111</f>
        <v>8139.8914273391701</v>
      </c>
      <c r="AF111" s="6">
        <f ca="1">$M$111*$Z$111</f>
        <v>529.73411647255614</v>
      </c>
      <c r="AG111" s="6">
        <f>$O$111*$AA$111</f>
        <v>4101.353625887552</v>
      </c>
    </row>
    <row r="112" spans="1:33" ht="11.25" customHeight="1" x14ac:dyDescent="0.25">
      <c r="A112" s="4" t="s">
        <v>21</v>
      </c>
      <c r="B112" s="4" t="s">
        <v>39</v>
      </c>
      <c r="C112" s="4" t="s">
        <v>40</v>
      </c>
      <c r="D112" s="4" t="s">
        <v>42</v>
      </c>
      <c r="E112" s="4" t="s">
        <v>25</v>
      </c>
      <c r="F112" s="4" t="s">
        <v>25</v>
      </c>
      <c r="G112" s="4" t="s">
        <v>25</v>
      </c>
      <c r="H112" s="4" t="s">
        <v>34</v>
      </c>
      <c r="I112" s="5">
        <v>44409</v>
      </c>
      <c r="J112" s="6">
        <v>1903</v>
      </c>
      <c r="K112" s="6">
        <v>1903</v>
      </c>
      <c r="L112" s="6">
        <v>82.36</v>
      </c>
      <c r="M112" s="6">
        <v>82.36</v>
      </c>
      <c r="N112" s="6">
        <v>82.36</v>
      </c>
      <c r="O112" s="6">
        <v>82.36</v>
      </c>
      <c r="P112" s="6">
        <v>0</v>
      </c>
      <c r="Q112" s="4" t="s">
        <v>26</v>
      </c>
      <c r="R112" s="4">
        <v>0</v>
      </c>
      <c r="S112" s="6">
        <v>9</v>
      </c>
      <c r="T112" s="6">
        <v>11</v>
      </c>
      <c r="U112" s="6">
        <v>67</v>
      </c>
      <c r="V112" s="6">
        <f>IF(ISERROR(VLOOKUP($S$112,'TAR FIN'!$A$1:$O$100,15,0)),0,VLOOKUP($S$112,'TAR FIN'!$A$1:$O$100,15,0))</f>
        <v>37.01</v>
      </c>
      <c r="W112" s="6">
        <f>IF(ISERROR(VLOOKUP($T$112,'TAR FIN'!$A$1:$O$100,15,0)),0,VLOOKUP($T$112,'TAR FIN'!$A$1:$O$100,15,0))</f>
        <v>43.65</v>
      </c>
      <c r="X112" s="6">
        <f>IF(ISERROR(VLOOKUP($U$112,'TAR FIN'!$A$1:$O$100,15,0)),0,VLOOKUP($U$112,'TAR FIN'!$A$1:$O$100,15,0))</f>
        <v>366.6</v>
      </c>
      <c r="Y112" s="6">
        <f ca="1">('TUSD BE'!$AM$12+'TUSD BF'!$AM$12+'TUSD CVA'!$AM$12)*1</f>
        <v>36.177295232618533</v>
      </c>
      <c r="Z112" s="6">
        <f ca="1">('TUSD BE'!$AM$14+'TUSD BF'!$AM$14+'TUSD CVA'!$AM$14)*1</f>
        <v>49.78704102185678</v>
      </c>
      <c r="AA112" s="6">
        <f>('TE BE'!$AA$7+'TE BF'!$AA$7+'TE CVA'!$AA$7)*1</f>
        <v>385.46556634281501</v>
      </c>
      <c r="AB112" s="6">
        <f>$K$112*$V$112</f>
        <v>70430.03</v>
      </c>
      <c r="AC112" s="6">
        <f>$M$112*$W$112</f>
        <v>3595.0139999999997</v>
      </c>
      <c r="AD112" s="6">
        <f>$O$112*$X$112</f>
        <v>30193.176000000003</v>
      </c>
      <c r="AE112" s="6">
        <f ca="1">$K$112*$Y$112</f>
        <v>68845.392827673073</v>
      </c>
      <c r="AF112" s="6">
        <f ca="1">$M$112*$Z$112</f>
        <v>4100.460698560124</v>
      </c>
      <c r="AG112" s="6">
        <f>$O$112*$AA$112</f>
        <v>31746.944043994245</v>
      </c>
    </row>
    <row r="113" spans="1:33" ht="11.25" customHeight="1" x14ac:dyDescent="0.25">
      <c r="A113" s="4" t="s">
        <v>28</v>
      </c>
      <c r="B113" s="4" t="s">
        <v>39</v>
      </c>
      <c r="C113" s="4" t="s">
        <v>40</v>
      </c>
      <c r="D113" s="4" t="s">
        <v>42</v>
      </c>
      <c r="E113" s="4" t="s">
        <v>25</v>
      </c>
      <c r="F113" s="4" t="s">
        <v>25</v>
      </c>
      <c r="G113" s="4" t="s">
        <v>25</v>
      </c>
      <c r="H113" s="4" t="s">
        <v>34</v>
      </c>
      <c r="I113" s="5">
        <v>44409</v>
      </c>
      <c r="J113" s="6">
        <v>420</v>
      </c>
      <c r="K113" s="6">
        <v>420</v>
      </c>
      <c r="L113" s="6">
        <v>22.12</v>
      </c>
      <c r="M113" s="6">
        <v>22.12</v>
      </c>
      <c r="N113" s="6">
        <v>22.12</v>
      </c>
      <c r="O113" s="6">
        <v>22.12</v>
      </c>
      <c r="P113" s="6">
        <v>0</v>
      </c>
      <c r="Q113" s="4" t="s">
        <v>26</v>
      </c>
      <c r="R113" s="4">
        <v>0</v>
      </c>
      <c r="S113" s="6">
        <v>9</v>
      </c>
      <c r="T113" s="6">
        <v>11</v>
      </c>
      <c r="U113" s="6">
        <v>67</v>
      </c>
      <c r="V113" s="6">
        <f>IF(ISERROR(VLOOKUP($S$113,'TAR FIN'!$A$1:$O$100,15,0)),0,VLOOKUP($S$113,'TAR FIN'!$A$1:$O$100,15,0))</f>
        <v>37.01</v>
      </c>
      <c r="W113" s="6">
        <f>IF(ISERROR(VLOOKUP($T$113,'TAR FIN'!$A$1:$O$100,15,0)),0,VLOOKUP($T$113,'TAR FIN'!$A$1:$O$100,15,0))</f>
        <v>43.65</v>
      </c>
      <c r="X113" s="6">
        <f>IF(ISERROR(VLOOKUP($U$113,'TAR FIN'!$A$1:$O$100,15,0)),0,VLOOKUP($U$113,'TAR FIN'!$A$1:$O$100,15,0))</f>
        <v>366.6</v>
      </c>
      <c r="Y113" s="6">
        <f ca="1">('TUSD BE'!$AM$12+'TUSD BF'!$AM$12+'TUSD CVA'!$AM$12)*1</f>
        <v>36.177295232618533</v>
      </c>
      <c r="Z113" s="6">
        <f ca="1">('TUSD BE'!$AM$14+'TUSD BF'!$AM$14+'TUSD CVA'!$AM$14)*1</f>
        <v>49.78704102185678</v>
      </c>
      <c r="AA113" s="6">
        <f>('TE BE'!$AA$7+'TE BF'!$AA$7+'TE CVA'!$AA$7)*1</f>
        <v>385.46556634281501</v>
      </c>
      <c r="AB113" s="6">
        <f>$K$113*$V$113</f>
        <v>15544.199999999999</v>
      </c>
      <c r="AC113" s="6">
        <f>$M$113*$W$113</f>
        <v>965.53800000000001</v>
      </c>
      <c r="AD113" s="6">
        <f>$O$113*$X$113</f>
        <v>8109.1920000000009</v>
      </c>
      <c r="AE113" s="6">
        <f ca="1">$K$113*$Y$113</f>
        <v>15194.463997699784</v>
      </c>
      <c r="AF113" s="6">
        <f ca="1">$M$113*$Z$113</f>
        <v>1101.289347403472</v>
      </c>
      <c r="AG113" s="6">
        <f>$O$113*$AA$113</f>
        <v>8526.4983275030681</v>
      </c>
    </row>
    <row r="114" spans="1:33" ht="11.25" customHeight="1" x14ac:dyDescent="0.25">
      <c r="A114" s="4" t="s">
        <v>21</v>
      </c>
      <c r="B114" s="4" t="s">
        <v>39</v>
      </c>
      <c r="C114" s="4" t="s">
        <v>40</v>
      </c>
      <c r="D114" s="4" t="s">
        <v>42</v>
      </c>
      <c r="E114" s="4" t="s">
        <v>25</v>
      </c>
      <c r="F114" s="4" t="s">
        <v>25</v>
      </c>
      <c r="G114" s="4" t="s">
        <v>25</v>
      </c>
      <c r="H114" s="4" t="s">
        <v>34</v>
      </c>
      <c r="I114" s="5">
        <v>44440</v>
      </c>
      <c r="J114" s="6">
        <v>1896</v>
      </c>
      <c r="K114" s="6">
        <v>1896</v>
      </c>
      <c r="L114" s="6">
        <v>81.682000000000002</v>
      </c>
      <c r="M114" s="6">
        <v>81.682000000000002</v>
      </c>
      <c r="N114" s="6">
        <v>81.682000000000002</v>
      </c>
      <c r="O114" s="6">
        <v>81.682000000000002</v>
      </c>
      <c r="P114" s="6">
        <v>0</v>
      </c>
      <c r="Q114" s="4" t="s">
        <v>26</v>
      </c>
      <c r="R114" s="4">
        <v>0</v>
      </c>
      <c r="S114" s="6">
        <v>9</v>
      </c>
      <c r="T114" s="6">
        <v>11</v>
      </c>
      <c r="U114" s="6">
        <v>67</v>
      </c>
      <c r="V114" s="6">
        <f>IF(ISERROR(VLOOKUP($S$114,'TAR FIN'!$A$1:$O$100,15,0)),0,VLOOKUP($S$114,'TAR FIN'!$A$1:$O$100,15,0))</f>
        <v>37.01</v>
      </c>
      <c r="W114" s="6">
        <f>IF(ISERROR(VLOOKUP($T$114,'TAR FIN'!$A$1:$O$100,15,0)),0,VLOOKUP($T$114,'TAR FIN'!$A$1:$O$100,15,0))</f>
        <v>43.65</v>
      </c>
      <c r="X114" s="6">
        <f>IF(ISERROR(VLOOKUP($U$114,'TAR FIN'!$A$1:$O$100,15,0)),0,VLOOKUP($U$114,'TAR FIN'!$A$1:$O$100,15,0))</f>
        <v>366.6</v>
      </c>
      <c r="Y114" s="6">
        <f ca="1">('TUSD BE'!$AM$12+'TUSD BF'!$AM$12+'TUSD CVA'!$AM$12)*1</f>
        <v>36.177295232618533</v>
      </c>
      <c r="Z114" s="6">
        <f ca="1">('TUSD BE'!$AM$14+'TUSD BF'!$AM$14+'TUSD CVA'!$AM$14)*1</f>
        <v>49.78704102185678</v>
      </c>
      <c r="AA114" s="6">
        <f>('TE BE'!$AA$7+'TE BF'!$AA$7+'TE CVA'!$AA$7)*1</f>
        <v>385.46556634281501</v>
      </c>
      <c r="AB114" s="6">
        <f>$K$114*$V$114</f>
        <v>70170.959999999992</v>
      </c>
      <c r="AC114" s="6">
        <f>$M$114*$W$114</f>
        <v>3565.4193</v>
      </c>
      <c r="AD114" s="6">
        <f>$O$114*$X$114</f>
        <v>29944.621200000001</v>
      </c>
      <c r="AE114" s="6">
        <f ca="1">$K$114*$Y$114</f>
        <v>68592.151761044734</v>
      </c>
      <c r="AF114" s="6">
        <f ca="1">$M$114*$Z$114</f>
        <v>4066.7050847473056</v>
      </c>
      <c r="AG114" s="6">
        <f>$O$114*$AA$114</f>
        <v>31485.598390013816</v>
      </c>
    </row>
    <row r="115" spans="1:33" ht="11.25" customHeight="1" x14ac:dyDescent="0.25">
      <c r="A115" s="4" t="s">
        <v>28</v>
      </c>
      <c r="B115" s="4" t="s">
        <v>39</v>
      </c>
      <c r="C115" s="4" t="s">
        <v>40</v>
      </c>
      <c r="D115" s="4" t="s">
        <v>42</v>
      </c>
      <c r="E115" s="4" t="s">
        <v>25</v>
      </c>
      <c r="F115" s="4" t="s">
        <v>25</v>
      </c>
      <c r="G115" s="4" t="s">
        <v>25</v>
      </c>
      <c r="H115" s="4" t="s">
        <v>34</v>
      </c>
      <c r="I115" s="5">
        <v>44440</v>
      </c>
      <c r="J115" s="6">
        <v>643</v>
      </c>
      <c r="K115" s="6">
        <v>643</v>
      </c>
      <c r="L115" s="6">
        <v>20.86</v>
      </c>
      <c r="M115" s="6">
        <v>20.86</v>
      </c>
      <c r="N115" s="6">
        <v>20.86</v>
      </c>
      <c r="O115" s="6">
        <v>20.86</v>
      </c>
      <c r="P115" s="6">
        <v>0</v>
      </c>
      <c r="Q115" s="4" t="s">
        <v>26</v>
      </c>
      <c r="R115" s="4">
        <v>0</v>
      </c>
      <c r="S115" s="6">
        <v>9</v>
      </c>
      <c r="T115" s="6">
        <v>11</v>
      </c>
      <c r="U115" s="6">
        <v>67</v>
      </c>
      <c r="V115" s="6">
        <f>IF(ISERROR(VLOOKUP($S$115,'TAR FIN'!$A$1:$O$100,15,0)),0,VLOOKUP($S$115,'TAR FIN'!$A$1:$O$100,15,0))</f>
        <v>37.01</v>
      </c>
      <c r="W115" s="6">
        <f>IF(ISERROR(VLOOKUP($T$115,'TAR FIN'!$A$1:$O$100,15,0)),0,VLOOKUP($T$115,'TAR FIN'!$A$1:$O$100,15,0))</f>
        <v>43.65</v>
      </c>
      <c r="X115" s="6">
        <f>IF(ISERROR(VLOOKUP($U$115,'TAR FIN'!$A$1:$O$100,15,0)),0,VLOOKUP($U$115,'TAR FIN'!$A$1:$O$100,15,0))</f>
        <v>366.6</v>
      </c>
      <c r="Y115" s="6">
        <f ca="1">('TUSD BE'!$AM$12+'TUSD BF'!$AM$12+'TUSD CVA'!$AM$12)*1</f>
        <v>36.177295232618533</v>
      </c>
      <c r="Z115" s="6">
        <f ca="1">('TUSD BE'!$AM$14+'TUSD BF'!$AM$14+'TUSD CVA'!$AM$14)*1</f>
        <v>49.78704102185678</v>
      </c>
      <c r="AA115" s="6">
        <f>('TE BE'!$AA$7+'TE BF'!$AA$7+'TE CVA'!$AA$7)*1</f>
        <v>385.46556634281501</v>
      </c>
      <c r="AB115" s="6">
        <f>$K$115*$V$115</f>
        <v>23797.43</v>
      </c>
      <c r="AC115" s="6">
        <f>$M$115*$W$115</f>
        <v>910.53899999999999</v>
      </c>
      <c r="AD115" s="6">
        <f>$O$115*$X$115</f>
        <v>7647.2759999999998</v>
      </c>
      <c r="AE115" s="6">
        <f ca="1">$K$115*$Y$115</f>
        <v>23262.000834573715</v>
      </c>
      <c r="AF115" s="6">
        <f ca="1">$M$115*$Z$115</f>
        <v>1038.5576757159324</v>
      </c>
      <c r="AG115" s="6">
        <f>$O$115*$AA$115</f>
        <v>8040.8117139111209</v>
      </c>
    </row>
    <row r="116" spans="1:33" ht="11.25" customHeight="1" x14ac:dyDescent="0.25">
      <c r="A116" s="4" t="s">
        <v>21</v>
      </c>
      <c r="B116" s="4" t="s">
        <v>39</v>
      </c>
      <c r="C116" s="4" t="s">
        <v>40</v>
      </c>
      <c r="D116" s="4" t="s">
        <v>42</v>
      </c>
      <c r="E116" s="4" t="s">
        <v>25</v>
      </c>
      <c r="F116" s="4" t="s">
        <v>25</v>
      </c>
      <c r="G116" s="4" t="s">
        <v>25</v>
      </c>
      <c r="H116" s="4" t="s">
        <v>34</v>
      </c>
      <c r="I116" s="5">
        <v>44470</v>
      </c>
      <c r="J116" s="6">
        <v>1900</v>
      </c>
      <c r="K116" s="6">
        <v>1900</v>
      </c>
      <c r="L116" s="6">
        <v>81.308999999999997</v>
      </c>
      <c r="M116" s="6">
        <v>81.308999999999997</v>
      </c>
      <c r="N116" s="6">
        <v>81.308999999999997</v>
      </c>
      <c r="O116" s="6">
        <v>81.308999999999997</v>
      </c>
      <c r="P116" s="6">
        <v>0</v>
      </c>
      <c r="Q116" s="4" t="s">
        <v>26</v>
      </c>
      <c r="R116" s="4">
        <v>0</v>
      </c>
      <c r="S116" s="6">
        <v>9</v>
      </c>
      <c r="T116" s="6">
        <v>11</v>
      </c>
      <c r="U116" s="6">
        <v>67</v>
      </c>
      <c r="V116" s="6">
        <f>IF(ISERROR(VLOOKUP($S$116,'TAR FIN'!$A$1:$O$100,15,0)),0,VLOOKUP($S$116,'TAR FIN'!$A$1:$O$100,15,0))</f>
        <v>37.01</v>
      </c>
      <c r="W116" s="6">
        <f>IF(ISERROR(VLOOKUP($T$116,'TAR FIN'!$A$1:$O$100,15,0)),0,VLOOKUP($T$116,'TAR FIN'!$A$1:$O$100,15,0))</f>
        <v>43.65</v>
      </c>
      <c r="X116" s="6">
        <f>IF(ISERROR(VLOOKUP($U$116,'TAR FIN'!$A$1:$O$100,15,0)),0,VLOOKUP($U$116,'TAR FIN'!$A$1:$O$100,15,0))</f>
        <v>366.6</v>
      </c>
      <c r="Y116" s="6">
        <f ca="1">('TUSD BE'!$AM$12+'TUSD BF'!$AM$12+'TUSD CVA'!$AM$12)*1</f>
        <v>36.177295232618533</v>
      </c>
      <c r="Z116" s="6">
        <f ca="1">('TUSD BE'!$AM$14+'TUSD BF'!$AM$14+'TUSD CVA'!$AM$14)*1</f>
        <v>49.78704102185678</v>
      </c>
      <c r="AA116" s="6">
        <f>('TE BE'!$AA$7+'TE BF'!$AA$7+'TE CVA'!$AA$7)*1</f>
        <v>385.46556634281501</v>
      </c>
      <c r="AB116" s="6">
        <f>$K$116*$V$116</f>
        <v>70319</v>
      </c>
      <c r="AC116" s="6">
        <f>$M$116*$W$116</f>
        <v>3549.1378499999996</v>
      </c>
      <c r="AD116" s="6">
        <f>$O$116*$X$116</f>
        <v>29807.879400000002</v>
      </c>
      <c r="AE116" s="6">
        <f ca="1">$K$116*$Y$116</f>
        <v>68736.860941975217</v>
      </c>
      <c r="AF116" s="6">
        <f ca="1">$M$116*$Z$116</f>
        <v>4048.1345184461529</v>
      </c>
      <c r="AG116" s="6">
        <f>$O$116*$AA$116</f>
        <v>31341.819733767945</v>
      </c>
    </row>
    <row r="117" spans="1:33" ht="11.25" customHeight="1" x14ac:dyDescent="0.25">
      <c r="A117" s="4" t="s">
        <v>28</v>
      </c>
      <c r="B117" s="4" t="s">
        <v>39</v>
      </c>
      <c r="C117" s="4" t="s">
        <v>40</v>
      </c>
      <c r="D117" s="4" t="s">
        <v>42</v>
      </c>
      <c r="E117" s="4" t="s">
        <v>25</v>
      </c>
      <c r="F117" s="4" t="s">
        <v>25</v>
      </c>
      <c r="G117" s="4" t="s">
        <v>25</v>
      </c>
      <c r="H117" s="4" t="s">
        <v>34</v>
      </c>
      <c r="I117" s="5">
        <v>44470</v>
      </c>
      <c r="J117" s="6">
        <v>638</v>
      </c>
      <c r="K117" s="6">
        <v>638</v>
      </c>
      <c r="L117" s="6">
        <v>21.49</v>
      </c>
      <c r="M117" s="6">
        <v>21.49</v>
      </c>
      <c r="N117" s="6">
        <v>21.49</v>
      </c>
      <c r="O117" s="6">
        <v>21.49</v>
      </c>
      <c r="P117" s="6">
        <v>0</v>
      </c>
      <c r="Q117" s="4" t="s">
        <v>26</v>
      </c>
      <c r="R117" s="4">
        <v>0</v>
      </c>
      <c r="S117" s="6">
        <v>9</v>
      </c>
      <c r="T117" s="6">
        <v>11</v>
      </c>
      <c r="U117" s="6">
        <v>67</v>
      </c>
      <c r="V117" s="6">
        <f>IF(ISERROR(VLOOKUP($S$117,'TAR FIN'!$A$1:$O$100,15,0)),0,VLOOKUP($S$117,'TAR FIN'!$A$1:$O$100,15,0))</f>
        <v>37.01</v>
      </c>
      <c r="W117" s="6">
        <f>IF(ISERROR(VLOOKUP($T$117,'TAR FIN'!$A$1:$O$100,15,0)),0,VLOOKUP($T$117,'TAR FIN'!$A$1:$O$100,15,0))</f>
        <v>43.65</v>
      </c>
      <c r="X117" s="6">
        <f>IF(ISERROR(VLOOKUP($U$117,'TAR FIN'!$A$1:$O$100,15,0)),0,VLOOKUP($U$117,'TAR FIN'!$A$1:$O$100,15,0))</f>
        <v>366.6</v>
      </c>
      <c r="Y117" s="6">
        <f ca="1">('TUSD BE'!$AM$12+'TUSD BF'!$AM$12+'TUSD CVA'!$AM$12)*1</f>
        <v>36.177295232618533</v>
      </c>
      <c r="Z117" s="6">
        <f ca="1">('TUSD BE'!$AM$14+'TUSD BF'!$AM$14+'TUSD CVA'!$AM$14)*1</f>
        <v>49.78704102185678</v>
      </c>
      <c r="AA117" s="6">
        <f>('TE BE'!$AA$7+'TE BF'!$AA$7+'TE CVA'!$AA$7)*1</f>
        <v>385.46556634281501</v>
      </c>
      <c r="AB117" s="6">
        <f>$K$117*$V$117</f>
        <v>23612.379999999997</v>
      </c>
      <c r="AC117" s="6">
        <f>$M$117*$W$117</f>
        <v>938.03849999999989</v>
      </c>
      <c r="AD117" s="6">
        <f>$O$117*$X$117</f>
        <v>7878.2339999999995</v>
      </c>
      <c r="AE117" s="6">
        <f ca="1">$K$117*$Y$117</f>
        <v>23081.114358410625</v>
      </c>
      <c r="AF117" s="6">
        <f ca="1">$M$117*$Z$117</f>
        <v>1069.9235115597021</v>
      </c>
      <c r="AG117" s="6">
        <f>$O$117*$AA$117</f>
        <v>8283.6550207070941</v>
      </c>
    </row>
    <row r="118" spans="1:33" ht="11.25" customHeight="1" x14ac:dyDescent="0.25">
      <c r="A118" s="4" t="s">
        <v>21</v>
      </c>
      <c r="B118" s="4" t="s">
        <v>39</v>
      </c>
      <c r="C118" s="4" t="s">
        <v>40</v>
      </c>
      <c r="D118" s="4" t="s">
        <v>42</v>
      </c>
      <c r="E118" s="4" t="s">
        <v>25</v>
      </c>
      <c r="F118" s="4" t="s">
        <v>25</v>
      </c>
      <c r="G118" s="4" t="s">
        <v>25</v>
      </c>
      <c r="H118" s="4" t="s">
        <v>34</v>
      </c>
      <c r="I118" s="5">
        <v>44501</v>
      </c>
      <c r="J118" s="6">
        <v>1981</v>
      </c>
      <c r="K118" s="6">
        <v>1981</v>
      </c>
      <c r="L118" s="6">
        <v>82.853999999999999</v>
      </c>
      <c r="M118" s="6">
        <v>82.853999999999999</v>
      </c>
      <c r="N118" s="6">
        <v>82.853999999999999</v>
      </c>
      <c r="O118" s="6">
        <v>82.853999999999999</v>
      </c>
      <c r="P118" s="6">
        <v>0</v>
      </c>
      <c r="Q118" s="4" t="s">
        <v>26</v>
      </c>
      <c r="R118" s="4">
        <v>0</v>
      </c>
      <c r="S118" s="6">
        <v>9</v>
      </c>
      <c r="T118" s="6">
        <v>11</v>
      </c>
      <c r="U118" s="6">
        <v>67</v>
      </c>
      <c r="V118" s="6">
        <f>IF(ISERROR(VLOOKUP($S$118,'TAR FIN'!$A$1:$O$100,15,0)),0,VLOOKUP($S$118,'TAR FIN'!$A$1:$O$100,15,0))</f>
        <v>37.01</v>
      </c>
      <c r="W118" s="6">
        <f>IF(ISERROR(VLOOKUP($T$118,'TAR FIN'!$A$1:$O$100,15,0)),0,VLOOKUP($T$118,'TAR FIN'!$A$1:$O$100,15,0))</f>
        <v>43.65</v>
      </c>
      <c r="X118" s="6">
        <f>IF(ISERROR(VLOOKUP($U$118,'TAR FIN'!$A$1:$O$100,15,0)),0,VLOOKUP($U$118,'TAR FIN'!$A$1:$O$100,15,0))</f>
        <v>366.6</v>
      </c>
      <c r="Y118" s="6">
        <f ca="1">('TUSD BE'!$AM$12+'TUSD BF'!$AM$12+'TUSD CVA'!$AM$12)*1</f>
        <v>36.177295232618533</v>
      </c>
      <c r="Z118" s="6">
        <f ca="1">('TUSD BE'!$AM$14+'TUSD BF'!$AM$14+'TUSD CVA'!$AM$14)*1</f>
        <v>49.78704102185678</v>
      </c>
      <c r="AA118" s="6">
        <f>('TE BE'!$AA$7+'TE BF'!$AA$7+'TE CVA'!$AA$7)*1</f>
        <v>385.46556634281501</v>
      </c>
      <c r="AB118" s="6">
        <f>$K$118*$V$118</f>
        <v>73316.81</v>
      </c>
      <c r="AC118" s="6">
        <f>$M$118*$W$118</f>
        <v>3616.5771</v>
      </c>
      <c r="AD118" s="6">
        <f>$O$118*$X$118</f>
        <v>30374.276400000002</v>
      </c>
      <c r="AE118" s="6">
        <f ca="1">$K$118*$Y$118</f>
        <v>71667.221855817319</v>
      </c>
      <c r="AF118" s="6">
        <f ca="1">$M$118*$Z$118</f>
        <v>4125.0554968249216</v>
      </c>
      <c r="AG118" s="6">
        <f>$O$118*$AA$118</f>
        <v>31937.364033767593</v>
      </c>
    </row>
    <row r="119" spans="1:33" ht="11.25" customHeight="1" x14ac:dyDescent="0.25">
      <c r="A119" s="4" t="s">
        <v>28</v>
      </c>
      <c r="B119" s="4" t="s">
        <v>39</v>
      </c>
      <c r="C119" s="4" t="s">
        <v>40</v>
      </c>
      <c r="D119" s="4" t="s">
        <v>42</v>
      </c>
      <c r="E119" s="4" t="s">
        <v>25</v>
      </c>
      <c r="F119" s="4" t="s">
        <v>25</v>
      </c>
      <c r="G119" s="4" t="s">
        <v>25</v>
      </c>
      <c r="H119" s="4" t="s">
        <v>34</v>
      </c>
      <c r="I119" s="5">
        <v>44501</v>
      </c>
      <c r="J119" s="6">
        <v>632</v>
      </c>
      <c r="K119" s="6">
        <v>632</v>
      </c>
      <c r="L119" s="6">
        <v>19.88</v>
      </c>
      <c r="M119" s="6">
        <v>19.88</v>
      </c>
      <c r="N119" s="6">
        <v>19.88</v>
      </c>
      <c r="O119" s="6">
        <v>19.88</v>
      </c>
      <c r="P119" s="6">
        <v>0</v>
      </c>
      <c r="Q119" s="4" t="s">
        <v>26</v>
      </c>
      <c r="R119" s="4">
        <v>0</v>
      </c>
      <c r="S119" s="6">
        <v>9</v>
      </c>
      <c r="T119" s="6">
        <v>11</v>
      </c>
      <c r="U119" s="6">
        <v>67</v>
      </c>
      <c r="V119" s="6">
        <f>IF(ISERROR(VLOOKUP($S$119,'TAR FIN'!$A$1:$O$100,15,0)),0,VLOOKUP($S$119,'TAR FIN'!$A$1:$O$100,15,0))</f>
        <v>37.01</v>
      </c>
      <c r="W119" s="6">
        <f>IF(ISERROR(VLOOKUP($T$119,'TAR FIN'!$A$1:$O$100,15,0)),0,VLOOKUP($T$119,'TAR FIN'!$A$1:$O$100,15,0))</f>
        <v>43.65</v>
      </c>
      <c r="X119" s="6">
        <f>IF(ISERROR(VLOOKUP($U$119,'TAR FIN'!$A$1:$O$100,15,0)),0,VLOOKUP($U$119,'TAR FIN'!$A$1:$O$100,15,0))</f>
        <v>366.6</v>
      </c>
      <c r="Y119" s="6">
        <f ca="1">('TUSD BE'!$AM$12+'TUSD BF'!$AM$12+'TUSD CVA'!$AM$12)*1</f>
        <v>36.177295232618533</v>
      </c>
      <c r="Z119" s="6">
        <f ca="1">('TUSD BE'!$AM$14+'TUSD BF'!$AM$14+'TUSD CVA'!$AM$14)*1</f>
        <v>49.78704102185678</v>
      </c>
      <c r="AA119" s="6">
        <f>('TE BE'!$AA$7+'TE BF'!$AA$7+'TE CVA'!$AA$7)*1</f>
        <v>385.46556634281501</v>
      </c>
      <c r="AB119" s="6">
        <f>$K$119*$V$119</f>
        <v>23390.32</v>
      </c>
      <c r="AC119" s="6">
        <f>$M$119*$W$119</f>
        <v>867.76199999999994</v>
      </c>
      <c r="AD119" s="6">
        <f>$O$119*$X$119</f>
        <v>7288.0079999999998</v>
      </c>
      <c r="AE119" s="6">
        <f ca="1">$K$119*$Y$119</f>
        <v>22864.050587014914</v>
      </c>
      <c r="AF119" s="6">
        <f ca="1">$M$119*$Z$119</f>
        <v>989.76637551451279</v>
      </c>
      <c r="AG119" s="6">
        <f>$O$119*$AA$119</f>
        <v>7663.0554588951618</v>
      </c>
    </row>
    <row r="120" spans="1:33" ht="11.25" customHeight="1" x14ac:dyDescent="0.25">
      <c r="A120" s="4" t="s">
        <v>21</v>
      </c>
      <c r="B120" s="4" t="s">
        <v>39</v>
      </c>
      <c r="C120" s="4" t="s">
        <v>40</v>
      </c>
      <c r="D120" s="4" t="s">
        <v>42</v>
      </c>
      <c r="E120" s="4" t="s">
        <v>25</v>
      </c>
      <c r="F120" s="4" t="s">
        <v>25</v>
      </c>
      <c r="G120" s="4" t="s">
        <v>25</v>
      </c>
      <c r="H120" s="4" t="s">
        <v>34</v>
      </c>
      <c r="I120" s="5">
        <v>44531</v>
      </c>
      <c r="J120" s="6">
        <v>1997</v>
      </c>
      <c r="K120" s="6">
        <v>1997</v>
      </c>
      <c r="L120" s="6">
        <v>94.159000000000006</v>
      </c>
      <c r="M120" s="6">
        <v>94.159000000000006</v>
      </c>
      <c r="N120" s="6">
        <v>94.159000000000006</v>
      </c>
      <c r="O120" s="6">
        <v>94.159000000000006</v>
      </c>
      <c r="P120" s="6">
        <v>0</v>
      </c>
      <c r="Q120" s="4" t="s">
        <v>26</v>
      </c>
      <c r="R120" s="4">
        <v>0</v>
      </c>
      <c r="S120" s="6">
        <v>9</v>
      </c>
      <c r="T120" s="6">
        <v>11</v>
      </c>
      <c r="U120" s="6">
        <v>67</v>
      </c>
      <c r="V120" s="6">
        <f>IF(ISERROR(VLOOKUP($S$120,'TAR FIN'!$A$1:$O$100,15,0)),0,VLOOKUP($S$120,'TAR FIN'!$A$1:$O$100,15,0))</f>
        <v>37.01</v>
      </c>
      <c r="W120" s="6">
        <f>IF(ISERROR(VLOOKUP($T$120,'TAR FIN'!$A$1:$O$100,15,0)),0,VLOOKUP($T$120,'TAR FIN'!$A$1:$O$100,15,0))</f>
        <v>43.65</v>
      </c>
      <c r="X120" s="6">
        <f>IF(ISERROR(VLOOKUP($U$120,'TAR FIN'!$A$1:$O$100,15,0)),0,VLOOKUP($U$120,'TAR FIN'!$A$1:$O$100,15,0))</f>
        <v>366.6</v>
      </c>
      <c r="Y120" s="6">
        <f ca="1">('TUSD BE'!$AM$12+'TUSD BF'!$AM$12+'TUSD CVA'!$AM$12)*1</f>
        <v>36.177295232618533</v>
      </c>
      <c r="Z120" s="6">
        <f ca="1">('TUSD BE'!$AM$14+'TUSD BF'!$AM$14+'TUSD CVA'!$AM$14)*1</f>
        <v>49.78704102185678</v>
      </c>
      <c r="AA120" s="6">
        <f>('TE BE'!$AA$7+'TE BF'!$AA$7+'TE CVA'!$AA$7)*1</f>
        <v>385.46556634281501</v>
      </c>
      <c r="AB120" s="6">
        <f>$K$120*$V$120</f>
        <v>73908.97</v>
      </c>
      <c r="AC120" s="6">
        <f>$M$120*$W$120</f>
        <v>4110.0403500000002</v>
      </c>
      <c r="AD120" s="6">
        <f>$O$120*$X$120</f>
        <v>34518.689400000003</v>
      </c>
      <c r="AE120" s="6">
        <f ca="1">$K$120*$Y$120</f>
        <v>72246.058579539211</v>
      </c>
      <c r="AF120" s="6">
        <f ca="1">$M$120*$Z$120</f>
        <v>4687.8979955770128</v>
      </c>
      <c r="AG120" s="6">
        <f>$O$120*$AA$120</f>
        <v>36295.052261273122</v>
      </c>
    </row>
    <row r="121" spans="1:33" ht="11.25" customHeight="1" x14ac:dyDescent="0.25">
      <c r="A121" s="4" t="s">
        <v>28</v>
      </c>
      <c r="B121" s="4" t="s">
        <v>39</v>
      </c>
      <c r="C121" s="4" t="s">
        <v>40</v>
      </c>
      <c r="D121" s="4" t="s">
        <v>42</v>
      </c>
      <c r="E121" s="4" t="s">
        <v>25</v>
      </c>
      <c r="F121" s="4" t="s">
        <v>25</v>
      </c>
      <c r="G121" s="4" t="s">
        <v>25</v>
      </c>
      <c r="H121" s="4" t="s">
        <v>34</v>
      </c>
      <c r="I121" s="5">
        <v>44531</v>
      </c>
      <c r="J121" s="6">
        <v>640</v>
      </c>
      <c r="K121" s="6">
        <v>640</v>
      </c>
      <c r="L121" s="6">
        <v>21.42</v>
      </c>
      <c r="M121" s="6">
        <v>21.42</v>
      </c>
      <c r="N121" s="6">
        <v>21.42</v>
      </c>
      <c r="O121" s="6">
        <v>21.42</v>
      </c>
      <c r="P121" s="6">
        <v>0</v>
      </c>
      <c r="Q121" s="4" t="s">
        <v>26</v>
      </c>
      <c r="R121" s="4">
        <v>0</v>
      </c>
      <c r="S121" s="6">
        <v>9</v>
      </c>
      <c r="T121" s="6">
        <v>11</v>
      </c>
      <c r="U121" s="6">
        <v>67</v>
      </c>
      <c r="V121" s="6">
        <f>IF(ISERROR(VLOOKUP($S$121,'TAR FIN'!$A$1:$O$100,15,0)),0,VLOOKUP($S$121,'TAR FIN'!$A$1:$O$100,15,0))</f>
        <v>37.01</v>
      </c>
      <c r="W121" s="6">
        <f>IF(ISERROR(VLOOKUP($T$121,'TAR FIN'!$A$1:$O$100,15,0)),0,VLOOKUP($T$121,'TAR FIN'!$A$1:$O$100,15,0))</f>
        <v>43.65</v>
      </c>
      <c r="X121" s="6">
        <f>IF(ISERROR(VLOOKUP($U$121,'TAR FIN'!$A$1:$O$100,15,0)),0,VLOOKUP($U$121,'TAR FIN'!$A$1:$O$100,15,0))</f>
        <v>366.6</v>
      </c>
      <c r="Y121" s="6">
        <f ca="1">('TUSD BE'!$AM$12+'TUSD BF'!$AM$12+'TUSD CVA'!$AM$12)*1</f>
        <v>36.177295232618533</v>
      </c>
      <c r="Z121" s="6">
        <f ca="1">('TUSD BE'!$AM$14+'TUSD BF'!$AM$14+'TUSD CVA'!$AM$14)*1</f>
        <v>49.78704102185678</v>
      </c>
      <c r="AA121" s="6">
        <f>('TE BE'!$AA$7+'TE BF'!$AA$7+'TE CVA'!$AA$7)*1</f>
        <v>385.46556634281501</v>
      </c>
      <c r="AB121" s="6">
        <f>$K$121*$V$121</f>
        <v>23686.399999999998</v>
      </c>
      <c r="AC121" s="6">
        <f>$M$121*$W$121</f>
        <v>934.98300000000006</v>
      </c>
      <c r="AD121" s="6">
        <f>$O$121*$X$121</f>
        <v>7852.572000000001</v>
      </c>
      <c r="AE121" s="6">
        <f ca="1">$K$121*$Y$121</f>
        <v>23153.468948875859</v>
      </c>
      <c r="AF121" s="6">
        <f ca="1">$M$121*$Z$121</f>
        <v>1066.4384186881723</v>
      </c>
      <c r="AG121" s="6">
        <f>$O$121*$AA$121</f>
        <v>8256.672431063098</v>
      </c>
    </row>
    <row r="122" spans="1:33" ht="11.25" customHeight="1" x14ac:dyDescent="0.25">
      <c r="A122" s="4" t="s">
        <v>55</v>
      </c>
      <c r="B122" s="4" t="s">
        <v>39</v>
      </c>
      <c r="C122" s="4" t="s">
        <v>40</v>
      </c>
      <c r="D122" s="4" t="s">
        <v>42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44562</v>
      </c>
      <c r="J122" s="6">
        <v>1997</v>
      </c>
      <c r="K122" s="6">
        <v>1997</v>
      </c>
      <c r="L122" s="6">
        <v>94.159000000000006</v>
      </c>
      <c r="M122" s="6">
        <v>94.159000000000006</v>
      </c>
      <c r="N122" s="6">
        <v>94.159000000000006</v>
      </c>
      <c r="O122" s="6">
        <v>94.159000000000006</v>
      </c>
      <c r="P122" s="6">
        <v>0</v>
      </c>
      <c r="Q122" s="4" t="s">
        <v>26</v>
      </c>
      <c r="R122" s="4">
        <v>0</v>
      </c>
      <c r="S122" s="6">
        <v>9</v>
      </c>
      <c r="T122" s="6">
        <v>11</v>
      </c>
      <c r="U122" s="6">
        <v>67</v>
      </c>
      <c r="V122" s="6">
        <f>IF(ISERROR(VLOOKUP($S$122,'TAR FIN'!$A$1:$O$100,15,0)),0,VLOOKUP($S$122,'TAR FIN'!$A$1:$O$100,15,0))</f>
        <v>37.01</v>
      </c>
      <c r="W122" s="6">
        <f>IF(ISERROR(VLOOKUP($T$122,'TAR FIN'!$A$1:$O$100,15,0)),0,VLOOKUP($T$122,'TAR FIN'!$A$1:$O$100,15,0))</f>
        <v>43.65</v>
      </c>
      <c r="X122" s="6">
        <f>IF(ISERROR(VLOOKUP($U$122,'TAR FIN'!$A$1:$O$100,15,0)),0,VLOOKUP($U$122,'TAR FIN'!$A$1:$O$100,15,0))</f>
        <v>366.6</v>
      </c>
      <c r="Y122" s="6">
        <f ca="1">('TUSD BE'!$AM$12+'TUSD BF'!$AM$12+'TUSD CVA'!$AM$12)*1</f>
        <v>36.177295232618533</v>
      </c>
      <c r="Z122" s="6">
        <f ca="1">('TUSD BE'!$AM$14+'TUSD BF'!$AM$14+'TUSD CVA'!$AM$14)*1</f>
        <v>49.78704102185678</v>
      </c>
      <c r="AA122" s="6">
        <f>('TE BE'!$AA$7+'TE BF'!$AA$7+'TE CVA'!$AA$7)*1</f>
        <v>385.46556634281501</v>
      </c>
      <c r="AB122" s="6">
        <f>$K$122*$V$122</f>
        <v>73908.97</v>
      </c>
      <c r="AC122" s="6">
        <f>$M$122*$W$122</f>
        <v>4110.0403500000002</v>
      </c>
      <c r="AD122" s="6">
        <f>$O$122*$X$122</f>
        <v>34518.689400000003</v>
      </c>
      <c r="AE122" s="6">
        <f ca="1">$K$122*$Y$122</f>
        <v>72246.058579539211</v>
      </c>
      <c r="AF122" s="6">
        <f ca="1">$M$122*$Z$122</f>
        <v>4687.8979955770128</v>
      </c>
      <c r="AG122" s="6">
        <f>$O$122*$AA$122</f>
        <v>36295.052261273122</v>
      </c>
    </row>
    <row r="123" spans="1:33" ht="11.25" customHeight="1" x14ac:dyDescent="0.25">
      <c r="A123" s="4" t="s">
        <v>55</v>
      </c>
      <c r="B123" s="4" t="s">
        <v>39</v>
      </c>
      <c r="C123" s="4" t="s">
        <v>40</v>
      </c>
      <c r="D123" s="4" t="s">
        <v>42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44562</v>
      </c>
      <c r="J123" s="6">
        <v>640</v>
      </c>
      <c r="K123" s="6">
        <v>640</v>
      </c>
      <c r="L123" s="6">
        <v>21.42</v>
      </c>
      <c r="M123" s="6">
        <v>21.42</v>
      </c>
      <c r="N123" s="6">
        <v>21.42</v>
      </c>
      <c r="O123" s="6">
        <v>21.42</v>
      </c>
      <c r="P123" s="6">
        <v>0</v>
      </c>
      <c r="Q123" s="4" t="s">
        <v>26</v>
      </c>
      <c r="R123" s="4">
        <v>0</v>
      </c>
      <c r="S123" s="6">
        <v>9</v>
      </c>
      <c r="T123" s="6">
        <v>11</v>
      </c>
      <c r="U123" s="6">
        <v>67</v>
      </c>
      <c r="V123" s="6">
        <f>IF(ISERROR(VLOOKUP($S$123,'TAR FIN'!$A$1:$O$100,15,0)),0,VLOOKUP($S$123,'TAR FIN'!$A$1:$O$100,15,0))</f>
        <v>37.01</v>
      </c>
      <c r="W123" s="6">
        <f>IF(ISERROR(VLOOKUP($T$123,'TAR FIN'!$A$1:$O$100,15,0)),0,VLOOKUP($T$123,'TAR FIN'!$A$1:$O$100,15,0))</f>
        <v>43.65</v>
      </c>
      <c r="X123" s="6">
        <f>IF(ISERROR(VLOOKUP($U$123,'TAR FIN'!$A$1:$O$100,15,0)),0,VLOOKUP($U$123,'TAR FIN'!$A$1:$O$100,15,0))</f>
        <v>366.6</v>
      </c>
      <c r="Y123" s="6">
        <f ca="1">('TUSD BE'!$AM$12+'TUSD BF'!$AM$12+'TUSD CVA'!$AM$12)*1</f>
        <v>36.177295232618533</v>
      </c>
      <c r="Z123" s="6">
        <f ca="1">('TUSD BE'!$AM$14+'TUSD BF'!$AM$14+'TUSD CVA'!$AM$14)*1</f>
        <v>49.78704102185678</v>
      </c>
      <c r="AA123" s="6">
        <f>('TE BE'!$AA$7+'TE BF'!$AA$7+'TE CVA'!$AA$7)*1</f>
        <v>385.46556634281501</v>
      </c>
      <c r="AB123" s="6">
        <f>$K$123*$V$123</f>
        <v>23686.399999999998</v>
      </c>
      <c r="AC123" s="6">
        <f>$M$123*$W$123</f>
        <v>934.98300000000006</v>
      </c>
      <c r="AD123" s="6">
        <f>$O$123*$X$123</f>
        <v>7852.572000000001</v>
      </c>
      <c r="AE123" s="6">
        <f ca="1">$K$123*$Y$123</f>
        <v>23153.468948875859</v>
      </c>
      <c r="AF123" s="6">
        <f ca="1">$M$123*$Z$123</f>
        <v>1066.4384186881723</v>
      </c>
      <c r="AG123" s="6">
        <f>$O$123*$AA$123</f>
        <v>8256.672431063098</v>
      </c>
    </row>
    <row r="124" spans="1:33" ht="11.25" customHeight="1" x14ac:dyDescent="0.25">
      <c r="A124" s="4" t="s">
        <v>21</v>
      </c>
      <c r="B124" s="4" t="s">
        <v>39</v>
      </c>
      <c r="C124" s="4" t="s">
        <v>40</v>
      </c>
      <c r="D124" s="4" t="s">
        <v>38</v>
      </c>
      <c r="E124" s="4" t="s">
        <v>25</v>
      </c>
      <c r="F124" s="4" t="s">
        <v>58</v>
      </c>
      <c r="G124" s="4" t="s">
        <v>25</v>
      </c>
      <c r="H124" s="4" t="s">
        <v>35</v>
      </c>
      <c r="I124" s="5">
        <v>44228</v>
      </c>
      <c r="J124" s="6">
        <v>4352</v>
      </c>
      <c r="K124" s="6">
        <v>2191.5733708799999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57</v>
      </c>
      <c r="R124" s="4">
        <v>0</v>
      </c>
      <c r="S124" s="6">
        <v>10</v>
      </c>
      <c r="T124" s="6">
        <v>0</v>
      </c>
      <c r="U124" s="6">
        <v>0</v>
      </c>
      <c r="V124" s="6">
        <f>IF(ISERROR(VLOOKUP($S$124,'TAR FIN'!$A$1:$O$100,15,0)),0,VLOOKUP($S$124,'TAR FIN'!$A$1:$O$100,15,0))</f>
        <v>18.48</v>
      </c>
      <c r="W124" s="6">
        <f>IF(ISERROR(VLOOKUP($T$124,'TAR FIN'!$A$1:$O$100,15,0)),0,VLOOKUP($T$124,'TAR FIN'!$A$1:$O$100,15,0))</f>
        <v>0</v>
      </c>
      <c r="X124" s="6">
        <f>IF(ISERROR(VLOOKUP($U$124,'TAR FIN'!$A$1:$O$100,15,0)),0,VLOOKUP($U$124,'TAR FIN'!$A$1:$O$100,15,0))</f>
        <v>0</v>
      </c>
      <c r="Y124" s="6">
        <f ca="1">('TUSD BE'!$AM$13+'TUSD BF'!$AM$13+'TUSD CVA'!$AM$13)*1</f>
        <v>17.856842567448453</v>
      </c>
      <c r="Z124" s="6">
        <f ca="1">('TUSD BE'!$AM$14+'TUSD BF'!$AM$14+'TUSD CVA'!$AM$14)*1</f>
        <v>49.78704102185678</v>
      </c>
      <c r="AA124" s="6"/>
      <c r="AB124" s="6">
        <f>$K$124*$V$124</f>
        <v>40500.275893862396</v>
      </c>
      <c r="AC124" s="6">
        <f>$M$124*$W$124</f>
        <v>0</v>
      </c>
      <c r="AD124" s="6">
        <f>$O$124*$X$124</f>
        <v>0</v>
      </c>
      <c r="AE124" s="6">
        <f ca="1">$K$124*$Y$124</f>
        <v>39134.580658816478</v>
      </c>
      <c r="AF124" s="6">
        <f ca="1">$M$124*$Z$124</f>
        <v>0</v>
      </c>
      <c r="AG124" s="6">
        <f>$O$124*$AA$124</f>
        <v>0</v>
      </c>
    </row>
    <row r="125" spans="1:33" ht="11.25" customHeight="1" x14ac:dyDescent="0.25">
      <c r="A125" s="4" t="s">
        <v>21</v>
      </c>
      <c r="B125" s="4" t="s">
        <v>39</v>
      </c>
      <c r="C125" s="4" t="s">
        <v>40</v>
      </c>
      <c r="D125" s="4" t="s">
        <v>38</v>
      </c>
      <c r="E125" s="4" t="s">
        <v>25</v>
      </c>
      <c r="F125" s="4" t="s">
        <v>58</v>
      </c>
      <c r="G125" s="4" t="s">
        <v>25</v>
      </c>
      <c r="H125" s="4" t="s">
        <v>35</v>
      </c>
      <c r="I125" s="5">
        <v>44256</v>
      </c>
      <c r="J125" s="6">
        <v>4395</v>
      </c>
      <c r="K125" s="6">
        <v>2211.1419921000002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57</v>
      </c>
      <c r="R125" s="4">
        <v>0</v>
      </c>
      <c r="S125" s="6">
        <v>10</v>
      </c>
      <c r="T125" s="6">
        <v>0</v>
      </c>
      <c r="U125" s="6">
        <v>0</v>
      </c>
      <c r="V125" s="6">
        <f>IF(ISERROR(VLOOKUP($S$125,'TAR FIN'!$A$1:$O$100,15,0)),0,VLOOKUP($S$125,'TAR FIN'!$A$1:$O$100,15,0))</f>
        <v>18.48</v>
      </c>
      <c r="W125" s="6">
        <f>IF(ISERROR(VLOOKUP($T$125,'TAR FIN'!$A$1:$O$100,15,0)),0,VLOOKUP($T$125,'TAR FIN'!$A$1:$O$100,15,0))</f>
        <v>0</v>
      </c>
      <c r="X125" s="6">
        <f>IF(ISERROR(VLOOKUP($U$125,'TAR FIN'!$A$1:$O$100,15,0)),0,VLOOKUP($U$125,'TAR FIN'!$A$1:$O$100,15,0))</f>
        <v>0</v>
      </c>
      <c r="Y125" s="6">
        <f ca="1">('TUSD BE'!$AM$13+'TUSD BF'!$AM$13+'TUSD CVA'!$AM$13)*1</f>
        <v>17.856842567448453</v>
      </c>
      <c r="Z125" s="6">
        <f ca="1">('TUSD BE'!$AM$14+'TUSD BF'!$AM$14+'TUSD CVA'!$AM$14)*1</f>
        <v>49.78704102185678</v>
      </c>
      <c r="AA125" s="6"/>
      <c r="AB125" s="6">
        <f>$K$125*$V$125</f>
        <v>40861.904014008003</v>
      </c>
      <c r="AC125" s="6">
        <f>$M$125*$W$125</f>
        <v>0</v>
      </c>
      <c r="AD125" s="6">
        <f>$O$125*$X$125</f>
        <v>0</v>
      </c>
      <c r="AE125" s="6">
        <f ca="1">$K$125*$Y$125</f>
        <v>39484.014447204056</v>
      </c>
      <c r="AF125" s="6">
        <f ca="1"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39</v>
      </c>
      <c r="C126" s="4" t="s">
        <v>40</v>
      </c>
      <c r="D126" s="4" t="s">
        <v>38</v>
      </c>
      <c r="E126" s="4" t="s">
        <v>25</v>
      </c>
      <c r="F126" s="4" t="s">
        <v>58</v>
      </c>
      <c r="G126" s="4" t="s">
        <v>25</v>
      </c>
      <c r="H126" s="4" t="s">
        <v>35</v>
      </c>
      <c r="I126" s="5">
        <v>44287</v>
      </c>
      <c r="J126" s="6">
        <v>4292</v>
      </c>
      <c r="K126" s="6">
        <v>2157.1214304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57</v>
      </c>
      <c r="R126" s="4">
        <v>0</v>
      </c>
      <c r="S126" s="6">
        <v>10</v>
      </c>
      <c r="T126" s="6">
        <v>0</v>
      </c>
      <c r="U126" s="6">
        <v>0</v>
      </c>
      <c r="V126" s="6">
        <f>IF(ISERROR(VLOOKUP($S$126,'TAR FIN'!$A$1:$O$100,15,0)),0,VLOOKUP($S$126,'TAR FIN'!$A$1:$O$100,15,0))</f>
        <v>18.48</v>
      </c>
      <c r="W126" s="6">
        <f>IF(ISERROR(VLOOKUP($T$126,'TAR FIN'!$A$1:$O$100,15,0)),0,VLOOKUP($T$126,'TAR FIN'!$A$1:$O$100,15,0))</f>
        <v>0</v>
      </c>
      <c r="X126" s="6">
        <f>IF(ISERROR(VLOOKUP($U$126,'TAR FIN'!$A$1:$O$100,15,0)),0,VLOOKUP($U$126,'TAR FIN'!$A$1:$O$100,15,0))</f>
        <v>0</v>
      </c>
      <c r="Y126" s="6">
        <f ca="1">('TUSD BE'!$AM$13+'TUSD BF'!$AM$13+'TUSD CVA'!$AM$13)*1</f>
        <v>17.856842567448453</v>
      </c>
      <c r="Z126" s="6">
        <f ca="1">('TUSD BE'!$AM$14+'TUSD BF'!$AM$14+'TUSD CVA'!$AM$14)*1</f>
        <v>49.78704102185678</v>
      </c>
      <c r="AA126" s="6"/>
      <c r="AB126" s="6">
        <f>$K$126*$V$126</f>
        <v>39863.604033791999</v>
      </c>
      <c r="AC126" s="6">
        <f>$M$126*$W$126</f>
        <v>0</v>
      </c>
      <c r="AD126" s="6">
        <f>$O$126*$X$126</f>
        <v>0</v>
      </c>
      <c r="AE126" s="6">
        <f ca="1">$K$126*$Y$126</f>
        <v>38519.377781522016</v>
      </c>
      <c r="AF126" s="6">
        <f ca="1">$M$126*$Z$126</f>
        <v>0</v>
      </c>
      <c r="AG126" s="6">
        <f>$O$126*$AA$126</f>
        <v>0</v>
      </c>
    </row>
    <row r="127" spans="1:33" ht="11.25" customHeight="1" x14ac:dyDescent="0.25">
      <c r="A127" s="4" t="s">
        <v>21</v>
      </c>
      <c r="B127" s="4" t="s">
        <v>39</v>
      </c>
      <c r="C127" s="4" t="s">
        <v>40</v>
      </c>
      <c r="D127" s="4" t="s">
        <v>38</v>
      </c>
      <c r="E127" s="4" t="s">
        <v>25</v>
      </c>
      <c r="F127" s="4" t="s">
        <v>58</v>
      </c>
      <c r="G127" s="4" t="s">
        <v>25</v>
      </c>
      <c r="H127" s="4" t="s">
        <v>35</v>
      </c>
      <c r="I127" s="5">
        <v>44317</v>
      </c>
      <c r="J127" s="6">
        <v>4274</v>
      </c>
      <c r="K127" s="6">
        <v>2162.4691934000002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57</v>
      </c>
      <c r="R127" s="4">
        <v>0</v>
      </c>
      <c r="S127" s="6">
        <v>10</v>
      </c>
      <c r="T127" s="6">
        <v>0</v>
      </c>
      <c r="U127" s="6">
        <v>0</v>
      </c>
      <c r="V127" s="6">
        <f>IF(ISERROR(VLOOKUP($S$127,'TAR FIN'!$A$1:$O$100,15,0)),0,VLOOKUP($S$127,'TAR FIN'!$A$1:$O$100,15,0))</f>
        <v>18.48</v>
      </c>
      <c r="W127" s="6">
        <f>IF(ISERROR(VLOOKUP($T$127,'TAR FIN'!$A$1:$O$100,15,0)),0,VLOOKUP($T$127,'TAR FIN'!$A$1:$O$100,15,0))</f>
        <v>0</v>
      </c>
      <c r="X127" s="6">
        <f>IF(ISERROR(VLOOKUP($U$127,'TAR FIN'!$A$1:$O$100,15,0)),0,VLOOKUP($U$127,'TAR FIN'!$A$1:$O$100,15,0))</f>
        <v>0</v>
      </c>
      <c r="Y127" s="6">
        <f ca="1">('TUSD BE'!$AM$13+'TUSD BF'!$AM$13+'TUSD CVA'!$AM$13)*1</f>
        <v>17.856842567448453</v>
      </c>
      <c r="Z127" s="6">
        <f ca="1">('TUSD BE'!$AM$14+'TUSD BF'!$AM$14+'TUSD CVA'!$AM$14)*1</f>
        <v>49.78704102185678</v>
      </c>
      <c r="AA127" s="6"/>
      <c r="AB127" s="6">
        <f>$K$127*$V$127</f>
        <v>39962.430694032002</v>
      </c>
      <c r="AC127" s="6">
        <f>$M$127*$W$127</f>
        <v>0</v>
      </c>
      <c r="AD127" s="6">
        <f>$O$127*$X$127</f>
        <v>0</v>
      </c>
      <c r="AE127" s="6">
        <f ca="1">$K$127*$Y$127</f>
        <v>38614.871943501043</v>
      </c>
      <c r="AF127" s="6">
        <f ca="1"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39</v>
      </c>
      <c r="C128" s="4" t="s">
        <v>40</v>
      </c>
      <c r="D128" s="4" t="s">
        <v>38</v>
      </c>
      <c r="E128" s="4" t="s">
        <v>25</v>
      </c>
      <c r="F128" s="4" t="s">
        <v>58</v>
      </c>
      <c r="G128" s="4" t="s">
        <v>25</v>
      </c>
      <c r="H128" s="4" t="s">
        <v>35</v>
      </c>
      <c r="I128" s="5">
        <v>44348</v>
      </c>
      <c r="J128" s="6">
        <v>4301</v>
      </c>
      <c r="K128" s="6">
        <v>2168.7002406299998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57</v>
      </c>
      <c r="R128" s="4">
        <v>0</v>
      </c>
      <c r="S128" s="6">
        <v>10</v>
      </c>
      <c r="T128" s="6">
        <v>0</v>
      </c>
      <c r="U128" s="6">
        <v>0</v>
      </c>
      <c r="V128" s="6">
        <f>IF(ISERROR(VLOOKUP($S$128,'TAR FIN'!$A$1:$O$100,15,0)),0,VLOOKUP($S$128,'TAR FIN'!$A$1:$O$100,15,0))</f>
        <v>18.48</v>
      </c>
      <c r="W128" s="6">
        <f>IF(ISERROR(VLOOKUP($T$128,'TAR FIN'!$A$1:$O$100,15,0)),0,VLOOKUP($T$128,'TAR FIN'!$A$1:$O$100,15,0))</f>
        <v>0</v>
      </c>
      <c r="X128" s="6">
        <f>IF(ISERROR(VLOOKUP($U$128,'TAR FIN'!$A$1:$O$100,15,0)),0,VLOOKUP($U$128,'TAR FIN'!$A$1:$O$100,15,0))</f>
        <v>0</v>
      </c>
      <c r="Y128" s="6">
        <f ca="1">('TUSD BE'!$AM$13+'TUSD BF'!$AM$13+'TUSD CVA'!$AM$13)*1</f>
        <v>17.856842567448453</v>
      </c>
      <c r="Z128" s="6">
        <f ca="1">('TUSD BE'!$AM$14+'TUSD BF'!$AM$14+'TUSD CVA'!$AM$14)*1</f>
        <v>49.78704102185678</v>
      </c>
      <c r="AA128" s="6"/>
      <c r="AB128" s="6">
        <f>$K$128*$V$128</f>
        <v>40077.580446842396</v>
      </c>
      <c r="AC128" s="6">
        <f>$M$128*$W$128</f>
        <v>0</v>
      </c>
      <c r="AD128" s="6">
        <f>$O$128*$X$128</f>
        <v>0</v>
      </c>
      <c r="AE128" s="6">
        <f ca="1">$K$128*$Y$128</f>
        <v>38726.138772917482</v>
      </c>
      <c r="AF128" s="6">
        <f ca="1">$M$128*$Z$128</f>
        <v>0</v>
      </c>
      <c r="AG128" s="6">
        <f>$O$128*$AA$128</f>
        <v>0</v>
      </c>
    </row>
    <row r="129" spans="1:33" ht="11.25" customHeight="1" x14ac:dyDescent="0.25">
      <c r="A129" s="4" t="s">
        <v>21</v>
      </c>
      <c r="B129" s="4" t="s">
        <v>39</v>
      </c>
      <c r="C129" s="4" t="s">
        <v>40</v>
      </c>
      <c r="D129" s="4" t="s">
        <v>38</v>
      </c>
      <c r="E129" s="4" t="s">
        <v>25</v>
      </c>
      <c r="F129" s="4" t="s">
        <v>58</v>
      </c>
      <c r="G129" s="4" t="s">
        <v>25</v>
      </c>
      <c r="H129" s="4" t="s">
        <v>35</v>
      </c>
      <c r="I129" s="5">
        <v>44378</v>
      </c>
      <c r="J129" s="6">
        <v>4273</v>
      </c>
      <c r="K129" s="6">
        <v>2150.35229686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57</v>
      </c>
      <c r="R129" s="4">
        <v>0</v>
      </c>
      <c r="S129" s="6">
        <v>10</v>
      </c>
      <c r="T129" s="6">
        <v>0</v>
      </c>
      <c r="U129" s="6">
        <v>0</v>
      </c>
      <c r="V129" s="6">
        <f>IF(ISERROR(VLOOKUP($S$129,'TAR FIN'!$A$1:$O$100,15,0)),0,VLOOKUP($S$129,'TAR FIN'!$A$1:$O$100,15,0))</f>
        <v>18.48</v>
      </c>
      <c r="W129" s="6">
        <f>IF(ISERROR(VLOOKUP($T$129,'TAR FIN'!$A$1:$O$100,15,0)),0,VLOOKUP($T$129,'TAR FIN'!$A$1:$O$100,15,0))</f>
        <v>0</v>
      </c>
      <c r="X129" s="6">
        <f>IF(ISERROR(VLOOKUP($U$129,'TAR FIN'!$A$1:$O$100,15,0)),0,VLOOKUP($U$129,'TAR FIN'!$A$1:$O$100,15,0))</f>
        <v>0</v>
      </c>
      <c r="Y129" s="6">
        <f ca="1">('TUSD BE'!$AM$13+'TUSD BF'!$AM$13+'TUSD CVA'!$AM$13)*1</f>
        <v>17.856842567448453</v>
      </c>
      <c r="Z129" s="6">
        <f ca="1">('TUSD BE'!$AM$14+'TUSD BF'!$AM$14+'TUSD CVA'!$AM$14)*1</f>
        <v>49.78704102185678</v>
      </c>
      <c r="AA129" s="6"/>
      <c r="AB129" s="6">
        <f>$K$129*$V$129</f>
        <v>39738.510445972803</v>
      </c>
      <c r="AC129" s="6">
        <f>$M$129*$W$129</f>
        <v>0</v>
      </c>
      <c r="AD129" s="6">
        <f>$O$129*$X$129</f>
        <v>0</v>
      </c>
      <c r="AE129" s="6">
        <f ca="1">$K$129*$Y$129</f>
        <v>38398.5024295802</v>
      </c>
      <c r="AF129" s="6">
        <f ca="1"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39</v>
      </c>
      <c r="C130" s="4" t="s">
        <v>40</v>
      </c>
      <c r="D130" s="4" t="s">
        <v>38</v>
      </c>
      <c r="E130" s="4" t="s">
        <v>25</v>
      </c>
      <c r="F130" s="4" t="s">
        <v>58</v>
      </c>
      <c r="G130" s="4" t="s">
        <v>25</v>
      </c>
      <c r="H130" s="4" t="s">
        <v>35</v>
      </c>
      <c r="I130" s="5">
        <v>44409</v>
      </c>
      <c r="J130" s="6">
        <v>4273</v>
      </c>
      <c r="K130" s="6">
        <v>2157.3046815100001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57</v>
      </c>
      <c r="R130" s="4">
        <v>0</v>
      </c>
      <c r="S130" s="6">
        <v>10</v>
      </c>
      <c r="T130" s="6">
        <v>0</v>
      </c>
      <c r="U130" s="6">
        <v>0</v>
      </c>
      <c r="V130" s="6">
        <f>IF(ISERROR(VLOOKUP($S$130,'TAR FIN'!$A$1:$O$100,15,0)),0,VLOOKUP($S$130,'TAR FIN'!$A$1:$O$100,15,0))</f>
        <v>18.48</v>
      </c>
      <c r="W130" s="6">
        <f>IF(ISERROR(VLOOKUP($T$130,'TAR FIN'!$A$1:$O$100,15,0)),0,VLOOKUP($T$130,'TAR FIN'!$A$1:$O$100,15,0))</f>
        <v>0</v>
      </c>
      <c r="X130" s="6">
        <f>IF(ISERROR(VLOOKUP($U$130,'TAR FIN'!$A$1:$O$100,15,0)),0,VLOOKUP($U$130,'TAR FIN'!$A$1:$O$100,15,0))</f>
        <v>0</v>
      </c>
      <c r="Y130" s="6">
        <f ca="1">('TUSD BE'!$AM$13+'TUSD BF'!$AM$13+'TUSD CVA'!$AM$13)*1</f>
        <v>17.856842567448453</v>
      </c>
      <c r="Z130" s="6">
        <f ca="1">('TUSD BE'!$AM$14+'TUSD BF'!$AM$14+'TUSD CVA'!$AM$14)*1</f>
        <v>49.78704102185678</v>
      </c>
      <c r="AA130" s="6"/>
      <c r="AB130" s="6">
        <f>$K$130*$V$130</f>
        <v>39866.990514304802</v>
      </c>
      <c r="AC130" s="6">
        <f>$M$130*$W$130</f>
        <v>0</v>
      </c>
      <c r="AD130" s="6">
        <f>$O$130*$X$130</f>
        <v>0</v>
      </c>
      <c r="AE130" s="6">
        <f ca="1">$K$130*$Y$130</f>
        <v>38522.650067743598</v>
      </c>
      <c r="AF130" s="6">
        <f ca="1">$M$130*$Z$130</f>
        <v>0</v>
      </c>
      <c r="AG130" s="6">
        <f>$O$130*$AA$130</f>
        <v>0</v>
      </c>
    </row>
    <row r="131" spans="1:33" ht="11.25" customHeight="1" x14ac:dyDescent="0.25">
      <c r="A131" s="4" t="s">
        <v>21</v>
      </c>
      <c r="B131" s="4" t="s">
        <v>39</v>
      </c>
      <c r="C131" s="4" t="s">
        <v>40</v>
      </c>
      <c r="D131" s="4" t="s">
        <v>38</v>
      </c>
      <c r="E131" s="4" t="s">
        <v>25</v>
      </c>
      <c r="F131" s="4" t="s">
        <v>58</v>
      </c>
      <c r="G131" s="4" t="s">
        <v>25</v>
      </c>
      <c r="H131" s="4" t="s">
        <v>35</v>
      </c>
      <c r="I131" s="5">
        <v>44440</v>
      </c>
      <c r="J131" s="6">
        <v>3869</v>
      </c>
      <c r="K131" s="6">
        <v>1955.4475011100001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57</v>
      </c>
      <c r="R131" s="4">
        <v>0</v>
      </c>
      <c r="S131" s="6">
        <v>10</v>
      </c>
      <c r="T131" s="6">
        <v>0</v>
      </c>
      <c r="U131" s="6">
        <v>0</v>
      </c>
      <c r="V131" s="6">
        <f>IF(ISERROR(VLOOKUP($S$131,'TAR FIN'!$A$1:$O$100,15,0)),0,VLOOKUP($S$131,'TAR FIN'!$A$1:$O$100,15,0))</f>
        <v>18.48</v>
      </c>
      <c r="W131" s="6">
        <f>IF(ISERROR(VLOOKUP($T$131,'TAR FIN'!$A$1:$O$100,15,0)),0,VLOOKUP($T$131,'TAR FIN'!$A$1:$O$100,15,0))</f>
        <v>0</v>
      </c>
      <c r="X131" s="6">
        <f>IF(ISERROR(VLOOKUP($U$131,'TAR FIN'!$A$1:$O$100,15,0)),0,VLOOKUP($U$131,'TAR FIN'!$A$1:$O$100,15,0))</f>
        <v>0</v>
      </c>
      <c r="Y131" s="6">
        <f ca="1">('TUSD BE'!$AM$13+'TUSD BF'!$AM$13+'TUSD CVA'!$AM$13)*1</f>
        <v>17.856842567448453</v>
      </c>
      <c r="Z131" s="6">
        <f ca="1">('TUSD BE'!$AM$14+'TUSD BF'!$AM$14+'TUSD CVA'!$AM$14)*1</f>
        <v>49.78704102185678</v>
      </c>
      <c r="AA131" s="6"/>
      <c r="AB131" s="6">
        <f>$K$131*$V$131</f>
        <v>36136.669820512805</v>
      </c>
      <c r="AC131" s="6">
        <f>$M$131*$W$131</f>
        <v>0</v>
      </c>
      <c r="AD131" s="6">
        <f>$O$131*$X$131</f>
        <v>0</v>
      </c>
      <c r="AE131" s="6">
        <f ca="1">$K$131*$Y$131</f>
        <v>34918.118176231757</v>
      </c>
      <c r="AF131" s="6">
        <f ca="1">$M$131*$Z$131</f>
        <v>0</v>
      </c>
      <c r="AG131" s="6">
        <f>$O$131*$AA$131</f>
        <v>0</v>
      </c>
    </row>
    <row r="132" spans="1:33" ht="11.25" customHeight="1" x14ac:dyDescent="0.25">
      <c r="A132" s="4" t="s">
        <v>21</v>
      </c>
      <c r="B132" s="4" t="s">
        <v>39</v>
      </c>
      <c r="C132" s="4" t="s">
        <v>40</v>
      </c>
      <c r="D132" s="4" t="s">
        <v>38</v>
      </c>
      <c r="E132" s="4" t="s">
        <v>25</v>
      </c>
      <c r="F132" s="4" t="s">
        <v>58</v>
      </c>
      <c r="G132" s="4" t="s">
        <v>25</v>
      </c>
      <c r="H132" s="4" t="s">
        <v>35</v>
      </c>
      <c r="I132" s="5">
        <v>44470</v>
      </c>
      <c r="J132" s="6">
        <v>3907</v>
      </c>
      <c r="K132" s="6">
        <v>1996.1270500099999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57</v>
      </c>
      <c r="R132" s="4">
        <v>0</v>
      </c>
      <c r="S132" s="6">
        <v>10</v>
      </c>
      <c r="T132" s="6">
        <v>0</v>
      </c>
      <c r="U132" s="6">
        <v>0</v>
      </c>
      <c r="V132" s="6">
        <f>IF(ISERROR(VLOOKUP($S$132,'TAR FIN'!$A$1:$O$100,15,0)),0,VLOOKUP($S$132,'TAR FIN'!$A$1:$O$100,15,0))</f>
        <v>18.48</v>
      </c>
      <c r="W132" s="6">
        <f>IF(ISERROR(VLOOKUP($T$132,'TAR FIN'!$A$1:$O$100,15,0)),0,VLOOKUP($T$132,'TAR FIN'!$A$1:$O$100,15,0))</f>
        <v>0</v>
      </c>
      <c r="X132" s="6">
        <f>IF(ISERROR(VLOOKUP($U$132,'TAR FIN'!$A$1:$O$100,15,0)),0,VLOOKUP($U$132,'TAR FIN'!$A$1:$O$100,15,0))</f>
        <v>0</v>
      </c>
      <c r="Y132" s="6">
        <f ca="1">('TUSD BE'!$AM$13+'TUSD BF'!$AM$13+'TUSD CVA'!$AM$13)*1</f>
        <v>17.856842567448453</v>
      </c>
      <c r="Z132" s="6">
        <f ca="1">('TUSD BE'!$AM$14+'TUSD BF'!$AM$14+'TUSD CVA'!$AM$14)*1</f>
        <v>49.78704102185678</v>
      </c>
      <c r="AA132" s="6"/>
      <c r="AB132" s="6">
        <f>$K$132*$V$132</f>
        <v>36888.427884184799</v>
      </c>
      <c r="AC132" s="6">
        <f>$M$132*$W$132</f>
        <v>0</v>
      </c>
      <c r="AD132" s="6">
        <f>$O$132*$X$132</f>
        <v>0</v>
      </c>
      <c r="AE132" s="6">
        <f ca="1">$K$132*$Y$132</f>
        <v>35644.526476653875</v>
      </c>
      <c r="AF132" s="6">
        <f ca="1">$M$132*$Z$132</f>
        <v>0</v>
      </c>
      <c r="AG132" s="6">
        <f>$O$132*$AA$132</f>
        <v>0</v>
      </c>
    </row>
    <row r="133" spans="1:33" ht="11.25" customHeight="1" x14ac:dyDescent="0.25">
      <c r="A133" s="4" t="s">
        <v>21</v>
      </c>
      <c r="B133" s="4" t="s">
        <v>39</v>
      </c>
      <c r="C133" s="4" t="s">
        <v>40</v>
      </c>
      <c r="D133" s="4" t="s">
        <v>38</v>
      </c>
      <c r="E133" s="4" t="s">
        <v>25</v>
      </c>
      <c r="F133" s="4" t="s">
        <v>58</v>
      </c>
      <c r="G133" s="4" t="s">
        <v>25</v>
      </c>
      <c r="H133" s="4" t="s">
        <v>35</v>
      </c>
      <c r="I133" s="5">
        <v>44501</v>
      </c>
      <c r="J133" s="6">
        <v>4018</v>
      </c>
      <c r="K133" s="6">
        <v>2032.73545104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57</v>
      </c>
      <c r="R133" s="4">
        <v>0</v>
      </c>
      <c r="S133" s="6">
        <v>10</v>
      </c>
      <c r="T133" s="6">
        <v>0</v>
      </c>
      <c r="U133" s="6">
        <v>0</v>
      </c>
      <c r="V133" s="6">
        <f>IF(ISERROR(VLOOKUP($S$133,'TAR FIN'!$A$1:$O$100,15,0)),0,VLOOKUP($S$133,'TAR FIN'!$A$1:$O$100,15,0))</f>
        <v>18.48</v>
      </c>
      <c r="W133" s="6">
        <f>IF(ISERROR(VLOOKUP($T$133,'TAR FIN'!$A$1:$O$100,15,0)),0,VLOOKUP($T$133,'TAR FIN'!$A$1:$O$100,15,0))</f>
        <v>0</v>
      </c>
      <c r="X133" s="6">
        <f>IF(ISERROR(VLOOKUP($U$133,'TAR FIN'!$A$1:$O$100,15,0)),0,VLOOKUP($U$133,'TAR FIN'!$A$1:$O$100,15,0))</f>
        <v>0</v>
      </c>
      <c r="Y133" s="6">
        <f ca="1">('TUSD BE'!$AM$13+'TUSD BF'!$AM$13+'TUSD CVA'!$AM$13)*1</f>
        <v>17.856842567448453</v>
      </c>
      <c r="Z133" s="6">
        <f ca="1">('TUSD BE'!$AM$14+'TUSD BF'!$AM$14+'TUSD CVA'!$AM$14)*1</f>
        <v>49.78704102185678</v>
      </c>
      <c r="AA133" s="6"/>
      <c r="AB133" s="6">
        <f>$K$133*$V$133</f>
        <v>37564.951135219198</v>
      </c>
      <c r="AC133" s="6">
        <f>$M$133*$W$133</f>
        <v>0</v>
      </c>
      <c r="AD133" s="6">
        <f>$O$133*$X$133</f>
        <v>0</v>
      </c>
      <c r="AE133" s="6">
        <f ca="1">$K$133*$Y$133</f>
        <v>36298.236930492603</v>
      </c>
      <c r="AF133" s="6">
        <f ca="1"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39</v>
      </c>
      <c r="C134" s="4" t="s">
        <v>40</v>
      </c>
      <c r="D134" s="4" t="s">
        <v>38</v>
      </c>
      <c r="E134" s="4" t="s">
        <v>25</v>
      </c>
      <c r="F134" s="4" t="s">
        <v>58</v>
      </c>
      <c r="G134" s="4" t="s">
        <v>25</v>
      </c>
      <c r="H134" s="4" t="s">
        <v>35</v>
      </c>
      <c r="I134" s="5">
        <v>44531</v>
      </c>
      <c r="J134" s="6">
        <v>3929</v>
      </c>
      <c r="K134" s="6">
        <v>2000.29480089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57</v>
      </c>
      <c r="R134" s="4">
        <v>0</v>
      </c>
      <c r="S134" s="6">
        <v>10</v>
      </c>
      <c r="T134" s="6">
        <v>0</v>
      </c>
      <c r="U134" s="6">
        <v>0</v>
      </c>
      <c r="V134" s="6">
        <f>IF(ISERROR(VLOOKUP($S$134,'TAR FIN'!$A$1:$O$100,15,0)),0,VLOOKUP($S$134,'TAR FIN'!$A$1:$O$100,15,0))</f>
        <v>18.48</v>
      </c>
      <c r="W134" s="6">
        <f>IF(ISERROR(VLOOKUP($T$134,'TAR FIN'!$A$1:$O$100,15,0)),0,VLOOKUP($T$134,'TAR FIN'!$A$1:$O$100,15,0))</f>
        <v>0</v>
      </c>
      <c r="X134" s="6">
        <f>IF(ISERROR(VLOOKUP($U$134,'TAR FIN'!$A$1:$O$100,15,0)),0,VLOOKUP($U$134,'TAR FIN'!$A$1:$O$100,15,0))</f>
        <v>0</v>
      </c>
      <c r="Y134" s="6">
        <f ca="1">('TUSD BE'!$AM$13+'TUSD BF'!$AM$13+'TUSD CVA'!$AM$13)*1</f>
        <v>17.856842567448453</v>
      </c>
      <c r="Z134" s="6">
        <f ca="1">('TUSD BE'!$AM$14+'TUSD BF'!$AM$14+'TUSD CVA'!$AM$14)*1</f>
        <v>49.78704102185678</v>
      </c>
      <c r="AA134" s="6"/>
      <c r="AB134" s="6">
        <f>$K$134*$V$134</f>
        <v>36965.447920447201</v>
      </c>
      <c r="AC134" s="6">
        <f>$M$134*$W$134</f>
        <v>0</v>
      </c>
      <c r="AD134" s="6">
        <f>$O$134*$X$134</f>
        <v>0</v>
      </c>
      <c r="AE134" s="6">
        <f ca="1">$K$134*$Y$134</f>
        <v>35718.949347978378</v>
      </c>
      <c r="AF134" s="6">
        <f ca="1">$M$134*$Z$134</f>
        <v>0</v>
      </c>
      <c r="AG134" s="6">
        <f>$O$134*$AA$134</f>
        <v>0</v>
      </c>
    </row>
    <row r="135" spans="1:33" ht="11.25" customHeight="1" x14ac:dyDescent="0.25">
      <c r="A135" s="4" t="s">
        <v>55</v>
      </c>
      <c r="B135" s="4" t="s">
        <v>39</v>
      </c>
      <c r="C135" s="4" t="s">
        <v>40</v>
      </c>
      <c r="D135" s="4" t="s">
        <v>38</v>
      </c>
      <c r="E135" s="4" t="s">
        <v>25</v>
      </c>
      <c r="F135" s="4" t="s">
        <v>58</v>
      </c>
      <c r="G135" s="4" t="s">
        <v>25</v>
      </c>
      <c r="H135" s="4" t="s">
        <v>35</v>
      </c>
      <c r="I135" s="5">
        <v>44562</v>
      </c>
      <c r="J135" s="6">
        <v>3929</v>
      </c>
      <c r="K135" s="6">
        <v>2000.29480089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57</v>
      </c>
      <c r="R135" s="4">
        <v>0</v>
      </c>
      <c r="S135" s="6">
        <v>10</v>
      </c>
      <c r="T135" s="6">
        <v>0</v>
      </c>
      <c r="U135" s="6">
        <v>0</v>
      </c>
      <c r="V135" s="6">
        <f>IF(ISERROR(VLOOKUP($S$135,'TAR FIN'!$A$1:$O$100,15,0)),0,VLOOKUP($S$135,'TAR FIN'!$A$1:$O$100,15,0))</f>
        <v>18.48</v>
      </c>
      <c r="W135" s="6">
        <f>IF(ISERROR(VLOOKUP($T$135,'TAR FIN'!$A$1:$O$100,15,0)),0,VLOOKUP($T$135,'TAR FIN'!$A$1:$O$100,15,0))</f>
        <v>0</v>
      </c>
      <c r="X135" s="6">
        <f>IF(ISERROR(VLOOKUP($U$135,'TAR FIN'!$A$1:$O$100,15,0)),0,VLOOKUP($U$135,'TAR FIN'!$A$1:$O$100,15,0))</f>
        <v>0</v>
      </c>
      <c r="Y135" s="6">
        <f ca="1">('TUSD BE'!$AM$13+'TUSD BF'!$AM$13+'TUSD CVA'!$AM$13)*1</f>
        <v>17.856842567448453</v>
      </c>
      <c r="Z135" s="6">
        <f ca="1">('TUSD BE'!$AM$14+'TUSD BF'!$AM$14+'TUSD CVA'!$AM$14)*1</f>
        <v>49.78704102185678</v>
      </c>
      <c r="AA135" s="6"/>
      <c r="AB135" s="6">
        <f>$K$135*$V$135</f>
        <v>36965.447920447201</v>
      </c>
      <c r="AC135" s="6">
        <f>$M$135*$W$135</f>
        <v>0</v>
      </c>
      <c r="AD135" s="6">
        <f>$O$135*$X$135</f>
        <v>0</v>
      </c>
      <c r="AE135" s="6">
        <f ca="1">$K$135*$Y$135</f>
        <v>35718.949347978378</v>
      </c>
      <c r="AF135" s="6">
        <f ca="1">$M$135*$Z$135</f>
        <v>0</v>
      </c>
      <c r="AG135" s="6">
        <f>$O$135*$AA$135</f>
        <v>0</v>
      </c>
    </row>
    <row r="136" spans="1:33" ht="11.25" customHeight="1" x14ac:dyDescent="0.25">
      <c r="A136" s="4" t="s">
        <v>21</v>
      </c>
      <c r="B136" s="4" t="s">
        <v>39</v>
      </c>
      <c r="C136" s="4" t="s">
        <v>40</v>
      </c>
      <c r="D136" s="4" t="s">
        <v>38</v>
      </c>
      <c r="E136" s="4" t="s">
        <v>25</v>
      </c>
      <c r="F136" s="4" t="s">
        <v>58</v>
      </c>
      <c r="G136" s="4" t="s">
        <v>25</v>
      </c>
      <c r="H136" s="4" t="s">
        <v>25</v>
      </c>
      <c r="I136" s="5">
        <v>44228</v>
      </c>
      <c r="J136" s="6">
        <v>0</v>
      </c>
      <c r="K136" s="6">
        <v>0</v>
      </c>
      <c r="L136" s="6">
        <v>1755.146</v>
      </c>
      <c r="M136" s="6">
        <v>1755.146</v>
      </c>
      <c r="N136" s="6">
        <v>0</v>
      </c>
      <c r="O136" s="6">
        <v>0</v>
      </c>
      <c r="P136" s="6">
        <v>9</v>
      </c>
      <c r="Q136" s="4" t="s">
        <v>57</v>
      </c>
      <c r="R136" s="4">
        <v>0</v>
      </c>
      <c r="S136" s="6">
        <v>0</v>
      </c>
      <c r="T136" s="6">
        <v>11</v>
      </c>
      <c r="U136" s="6">
        <v>0</v>
      </c>
      <c r="V136" s="6">
        <f>IF(ISERROR(VLOOKUP($S$136,'TAR FIN'!$A$1:$O$100,15,0)),0,VLOOKUP($S$136,'TAR FIN'!$A$1:$O$100,15,0))</f>
        <v>0</v>
      </c>
      <c r="W136" s="6">
        <f>IF(ISERROR(VLOOKUP($T$136,'TAR FIN'!$A$1:$O$100,15,0)),0,VLOOKUP($T$136,'TAR FIN'!$A$1:$O$100,15,0))</f>
        <v>43.65</v>
      </c>
      <c r="X136" s="6">
        <f>IF(ISERROR(VLOOKUP($U$136,'TAR FIN'!$A$1:$O$100,15,0)),0,VLOOKUP($U$136,'TAR FIN'!$A$1:$O$100,15,0))</f>
        <v>0</v>
      </c>
      <c r="Y136" s="6"/>
      <c r="Z136" s="6">
        <f ca="1">('TUSD BE'!$AM$14+'TUSD BF'!$AM$14+'TUSD CVA'!$AM$14)*1</f>
        <v>49.78704102185678</v>
      </c>
      <c r="AA136" s="6"/>
      <c r="AB136" s="6">
        <f>$K$136*$V$136</f>
        <v>0</v>
      </c>
      <c r="AC136" s="6">
        <f>$M$136*$W$136</f>
        <v>76612.122900000002</v>
      </c>
      <c r="AD136" s="6">
        <f>$O$136*$X$136</f>
        <v>0</v>
      </c>
      <c r="AE136" s="6">
        <f>$K$136*$Y$136</f>
        <v>0</v>
      </c>
      <c r="AF136" s="6">
        <f ca="1">$M$136*$Z$136</f>
        <v>87383.525901347835</v>
      </c>
      <c r="AG136" s="6">
        <f>$O$136*$AA$136</f>
        <v>0</v>
      </c>
    </row>
    <row r="137" spans="1:33" ht="11.25" customHeight="1" x14ac:dyDescent="0.25">
      <c r="A137" s="4" t="s">
        <v>21</v>
      </c>
      <c r="B137" s="4" t="s">
        <v>39</v>
      </c>
      <c r="C137" s="4" t="s">
        <v>40</v>
      </c>
      <c r="D137" s="4" t="s">
        <v>38</v>
      </c>
      <c r="E137" s="4" t="s">
        <v>25</v>
      </c>
      <c r="F137" s="4" t="s">
        <v>58</v>
      </c>
      <c r="G137" s="4" t="s">
        <v>25</v>
      </c>
      <c r="H137" s="4" t="s">
        <v>25</v>
      </c>
      <c r="I137" s="5">
        <v>44256</v>
      </c>
      <c r="J137" s="6">
        <v>0</v>
      </c>
      <c r="K137" s="6">
        <v>0</v>
      </c>
      <c r="L137" s="6">
        <v>1701.3219999999999</v>
      </c>
      <c r="M137" s="6">
        <v>1701.3219999999999</v>
      </c>
      <c r="N137" s="6">
        <v>0</v>
      </c>
      <c r="O137" s="6">
        <v>0</v>
      </c>
      <c r="P137" s="6">
        <v>9</v>
      </c>
      <c r="Q137" s="4" t="s">
        <v>57</v>
      </c>
      <c r="R137" s="4">
        <v>0</v>
      </c>
      <c r="S137" s="6">
        <v>0</v>
      </c>
      <c r="T137" s="6">
        <v>11</v>
      </c>
      <c r="U137" s="6">
        <v>0</v>
      </c>
      <c r="V137" s="6">
        <f>IF(ISERROR(VLOOKUP($S$137,'TAR FIN'!$A$1:$O$100,15,0)),0,VLOOKUP($S$137,'TAR FIN'!$A$1:$O$100,15,0))</f>
        <v>0</v>
      </c>
      <c r="W137" s="6">
        <f>IF(ISERROR(VLOOKUP($T$137,'TAR FIN'!$A$1:$O$100,15,0)),0,VLOOKUP($T$137,'TAR FIN'!$A$1:$O$100,15,0))</f>
        <v>43.65</v>
      </c>
      <c r="X137" s="6">
        <f>IF(ISERROR(VLOOKUP($U$137,'TAR FIN'!$A$1:$O$100,15,0)),0,VLOOKUP($U$137,'TAR FIN'!$A$1:$O$100,15,0))</f>
        <v>0</v>
      </c>
      <c r="Y137" s="6"/>
      <c r="Z137" s="6">
        <f ca="1">('TUSD BE'!$AM$14+'TUSD BF'!$AM$14+'TUSD CVA'!$AM$14)*1</f>
        <v>49.78704102185678</v>
      </c>
      <c r="AA137" s="6"/>
      <c r="AB137" s="6">
        <f>$K$137*$V$137</f>
        <v>0</v>
      </c>
      <c r="AC137" s="6">
        <f>$M$137*$W$137</f>
        <v>74262.705299999987</v>
      </c>
      <c r="AD137" s="6">
        <f>$O$137*$X$137</f>
        <v>0</v>
      </c>
      <c r="AE137" s="6">
        <f>$K$137*$Y$137</f>
        <v>0</v>
      </c>
      <c r="AF137" s="6">
        <f ca="1">$M$137*$Z$137</f>
        <v>84703.78820538742</v>
      </c>
      <c r="AG137" s="6">
        <f>$O$137*$AA$137</f>
        <v>0</v>
      </c>
    </row>
    <row r="138" spans="1:33" ht="11.25" customHeight="1" x14ac:dyDescent="0.25">
      <c r="A138" s="4" t="s">
        <v>21</v>
      </c>
      <c r="B138" s="4" t="s">
        <v>39</v>
      </c>
      <c r="C138" s="4" t="s">
        <v>40</v>
      </c>
      <c r="D138" s="4" t="s">
        <v>38</v>
      </c>
      <c r="E138" s="4" t="s">
        <v>25</v>
      </c>
      <c r="F138" s="4" t="s">
        <v>58</v>
      </c>
      <c r="G138" s="4" t="s">
        <v>25</v>
      </c>
      <c r="H138" s="4" t="s">
        <v>25</v>
      </c>
      <c r="I138" s="5">
        <v>44287</v>
      </c>
      <c r="J138" s="6">
        <v>0</v>
      </c>
      <c r="K138" s="6">
        <v>0</v>
      </c>
      <c r="L138" s="6">
        <v>1674.5419999999999</v>
      </c>
      <c r="M138" s="6">
        <v>1674.5419999999999</v>
      </c>
      <c r="N138" s="6">
        <v>0</v>
      </c>
      <c r="O138" s="6">
        <v>0</v>
      </c>
      <c r="P138" s="6">
        <v>9</v>
      </c>
      <c r="Q138" s="4" t="s">
        <v>57</v>
      </c>
      <c r="R138" s="4">
        <v>0</v>
      </c>
      <c r="S138" s="6">
        <v>0</v>
      </c>
      <c r="T138" s="6">
        <v>11</v>
      </c>
      <c r="U138" s="6">
        <v>0</v>
      </c>
      <c r="V138" s="6">
        <f>IF(ISERROR(VLOOKUP($S$138,'TAR FIN'!$A$1:$O$100,15,0)),0,VLOOKUP($S$138,'TAR FIN'!$A$1:$O$100,15,0))</f>
        <v>0</v>
      </c>
      <c r="W138" s="6">
        <f>IF(ISERROR(VLOOKUP($T$138,'TAR FIN'!$A$1:$O$100,15,0)),0,VLOOKUP($T$138,'TAR FIN'!$A$1:$O$100,15,0))</f>
        <v>43.65</v>
      </c>
      <c r="X138" s="6">
        <f>IF(ISERROR(VLOOKUP($U$138,'TAR FIN'!$A$1:$O$100,15,0)),0,VLOOKUP($U$138,'TAR FIN'!$A$1:$O$100,15,0))</f>
        <v>0</v>
      </c>
      <c r="Y138" s="6"/>
      <c r="Z138" s="6">
        <f ca="1">('TUSD BE'!$AM$14+'TUSD BF'!$AM$14+'TUSD CVA'!$AM$14)*1</f>
        <v>49.78704102185678</v>
      </c>
      <c r="AA138" s="6"/>
      <c r="AB138" s="6">
        <f>$K$138*$V$138</f>
        <v>0</v>
      </c>
      <c r="AC138" s="6">
        <f>$M$138*$W$138</f>
        <v>73093.758299999987</v>
      </c>
      <c r="AD138" s="6">
        <f>$O$138*$X$138</f>
        <v>0</v>
      </c>
      <c r="AE138" s="6">
        <f>$K$138*$Y$138</f>
        <v>0</v>
      </c>
      <c r="AF138" s="6">
        <f ca="1">$M$138*$Z$138</f>
        <v>83370.491246822086</v>
      </c>
      <c r="AG138" s="6">
        <f>$O$138*$AA$138</f>
        <v>0</v>
      </c>
    </row>
    <row r="139" spans="1:33" ht="11.25" customHeight="1" x14ac:dyDescent="0.25">
      <c r="A139" s="4" t="s">
        <v>21</v>
      </c>
      <c r="B139" s="4" t="s">
        <v>39</v>
      </c>
      <c r="C139" s="4" t="s">
        <v>40</v>
      </c>
      <c r="D139" s="4" t="s">
        <v>38</v>
      </c>
      <c r="E139" s="4" t="s">
        <v>25</v>
      </c>
      <c r="F139" s="4" t="s">
        <v>58</v>
      </c>
      <c r="G139" s="4" t="s">
        <v>25</v>
      </c>
      <c r="H139" s="4" t="s">
        <v>25</v>
      </c>
      <c r="I139" s="5">
        <v>44317</v>
      </c>
      <c r="J139" s="6">
        <v>0</v>
      </c>
      <c r="K139" s="6">
        <v>0</v>
      </c>
      <c r="L139" s="6">
        <v>1683.701</v>
      </c>
      <c r="M139" s="6">
        <v>1683.701</v>
      </c>
      <c r="N139" s="6">
        <v>0</v>
      </c>
      <c r="O139" s="6">
        <v>0</v>
      </c>
      <c r="P139" s="6">
        <v>9</v>
      </c>
      <c r="Q139" s="4" t="s">
        <v>57</v>
      </c>
      <c r="R139" s="4">
        <v>0</v>
      </c>
      <c r="S139" s="6">
        <v>0</v>
      </c>
      <c r="T139" s="6">
        <v>11</v>
      </c>
      <c r="U139" s="6">
        <v>0</v>
      </c>
      <c r="V139" s="6">
        <f>IF(ISERROR(VLOOKUP($S$139,'TAR FIN'!$A$1:$O$100,15,0)),0,VLOOKUP($S$139,'TAR FIN'!$A$1:$O$100,15,0))</f>
        <v>0</v>
      </c>
      <c r="W139" s="6">
        <f>IF(ISERROR(VLOOKUP($T$139,'TAR FIN'!$A$1:$O$100,15,0)),0,VLOOKUP($T$139,'TAR FIN'!$A$1:$O$100,15,0))</f>
        <v>43.65</v>
      </c>
      <c r="X139" s="6">
        <f>IF(ISERROR(VLOOKUP($U$139,'TAR FIN'!$A$1:$O$100,15,0)),0,VLOOKUP($U$139,'TAR FIN'!$A$1:$O$100,15,0))</f>
        <v>0</v>
      </c>
      <c r="Y139" s="6"/>
      <c r="Z139" s="6">
        <f ca="1">('TUSD BE'!$AM$14+'TUSD BF'!$AM$14+'TUSD CVA'!$AM$14)*1</f>
        <v>49.78704102185678</v>
      </c>
      <c r="AA139" s="6"/>
      <c r="AB139" s="6">
        <f>$K$139*$V$139</f>
        <v>0</v>
      </c>
      <c r="AC139" s="6">
        <f>$M$139*$W$139</f>
        <v>73493.548649999997</v>
      </c>
      <c r="AD139" s="6">
        <f>$O$139*$X$139</f>
        <v>0</v>
      </c>
      <c r="AE139" s="6">
        <f>$K$139*$Y$139</f>
        <v>0</v>
      </c>
      <c r="AF139" s="6">
        <f ca="1">$M$139*$Z$139</f>
        <v>83826.490755541279</v>
      </c>
      <c r="AG139" s="6">
        <f>$O$139*$AA$139</f>
        <v>0</v>
      </c>
    </row>
    <row r="140" spans="1:33" ht="11.25" customHeight="1" x14ac:dyDescent="0.25">
      <c r="A140" s="4" t="s">
        <v>21</v>
      </c>
      <c r="B140" s="4" t="s">
        <v>39</v>
      </c>
      <c r="C140" s="4" t="s">
        <v>40</v>
      </c>
      <c r="D140" s="4" t="s">
        <v>38</v>
      </c>
      <c r="E140" s="4" t="s">
        <v>25</v>
      </c>
      <c r="F140" s="4" t="s">
        <v>58</v>
      </c>
      <c r="G140" s="4" t="s">
        <v>25</v>
      </c>
      <c r="H140" s="4" t="s">
        <v>25</v>
      </c>
      <c r="I140" s="5">
        <v>44348</v>
      </c>
      <c r="J140" s="6">
        <v>0</v>
      </c>
      <c r="K140" s="6">
        <v>0</v>
      </c>
      <c r="L140" s="6">
        <v>1695.1780000000001</v>
      </c>
      <c r="M140" s="6">
        <v>1695.1780000000001</v>
      </c>
      <c r="N140" s="6">
        <v>0</v>
      </c>
      <c r="O140" s="6">
        <v>0</v>
      </c>
      <c r="P140" s="6">
        <v>9</v>
      </c>
      <c r="Q140" s="4" t="s">
        <v>57</v>
      </c>
      <c r="R140" s="4">
        <v>0</v>
      </c>
      <c r="S140" s="6">
        <v>0</v>
      </c>
      <c r="T140" s="6">
        <v>11</v>
      </c>
      <c r="U140" s="6">
        <v>0</v>
      </c>
      <c r="V140" s="6">
        <f>IF(ISERROR(VLOOKUP($S$140,'TAR FIN'!$A$1:$O$100,15,0)),0,VLOOKUP($S$140,'TAR FIN'!$A$1:$O$100,15,0))</f>
        <v>0</v>
      </c>
      <c r="W140" s="6">
        <f>IF(ISERROR(VLOOKUP($T$140,'TAR FIN'!$A$1:$O$100,15,0)),0,VLOOKUP($T$140,'TAR FIN'!$A$1:$O$100,15,0))</f>
        <v>43.65</v>
      </c>
      <c r="X140" s="6">
        <f>IF(ISERROR(VLOOKUP($U$140,'TAR FIN'!$A$1:$O$100,15,0)),0,VLOOKUP($U$140,'TAR FIN'!$A$1:$O$100,15,0))</f>
        <v>0</v>
      </c>
      <c r="Y140" s="6"/>
      <c r="Z140" s="6">
        <f ca="1">('TUSD BE'!$AM$14+'TUSD BF'!$AM$14+'TUSD CVA'!$AM$14)*1</f>
        <v>49.78704102185678</v>
      </c>
      <c r="AA140" s="6"/>
      <c r="AB140" s="6">
        <f>$K$140*$V$140</f>
        <v>0</v>
      </c>
      <c r="AC140" s="6">
        <f>$M$140*$W$140</f>
        <v>73994.519700000004</v>
      </c>
      <c r="AD140" s="6">
        <f>$O$140*$X$140</f>
        <v>0</v>
      </c>
      <c r="AE140" s="6">
        <f>$K$140*$Y$140</f>
        <v>0</v>
      </c>
      <c r="AF140" s="6">
        <f ca="1">$M$140*$Z$140</f>
        <v>84397.896625349138</v>
      </c>
      <c r="AG140" s="6">
        <f>$O$140*$AA$140</f>
        <v>0</v>
      </c>
    </row>
    <row r="141" spans="1:33" ht="11.25" customHeight="1" x14ac:dyDescent="0.25">
      <c r="A141" s="4" t="s">
        <v>21</v>
      </c>
      <c r="B141" s="4" t="s">
        <v>39</v>
      </c>
      <c r="C141" s="4" t="s">
        <v>40</v>
      </c>
      <c r="D141" s="4" t="s">
        <v>38</v>
      </c>
      <c r="E141" s="4" t="s">
        <v>25</v>
      </c>
      <c r="F141" s="4" t="s">
        <v>58</v>
      </c>
      <c r="G141" s="4" t="s">
        <v>25</v>
      </c>
      <c r="H141" s="4" t="s">
        <v>25</v>
      </c>
      <c r="I141" s="5">
        <v>44378</v>
      </c>
      <c r="J141" s="6">
        <v>0</v>
      </c>
      <c r="K141" s="6">
        <v>0</v>
      </c>
      <c r="L141" s="6">
        <v>1473.6510000000001</v>
      </c>
      <c r="M141" s="6">
        <v>1473.6510000000001</v>
      </c>
      <c r="N141" s="6">
        <v>0</v>
      </c>
      <c r="O141" s="6">
        <v>0</v>
      </c>
      <c r="P141" s="6">
        <v>9</v>
      </c>
      <c r="Q141" s="4" t="s">
        <v>57</v>
      </c>
      <c r="R141" s="4">
        <v>0</v>
      </c>
      <c r="S141" s="6">
        <v>0</v>
      </c>
      <c r="T141" s="6">
        <v>11</v>
      </c>
      <c r="U141" s="6">
        <v>0</v>
      </c>
      <c r="V141" s="6">
        <f>IF(ISERROR(VLOOKUP($S$141,'TAR FIN'!$A$1:$O$100,15,0)),0,VLOOKUP($S$141,'TAR FIN'!$A$1:$O$100,15,0))</f>
        <v>0</v>
      </c>
      <c r="W141" s="6">
        <f>IF(ISERROR(VLOOKUP($T$141,'TAR FIN'!$A$1:$O$100,15,0)),0,VLOOKUP($T$141,'TAR FIN'!$A$1:$O$100,15,0))</f>
        <v>43.65</v>
      </c>
      <c r="X141" s="6">
        <f>IF(ISERROR(VLOOKUP($U$141,'TAR FIN'!$A$1:$O$100,15,0)),0,VLOOKUP($U$141,'TAR FIN'!$A$1:$O$100,15,0))</f>
        <v>0</v>
      </c>
      <c r="Y141" s="6"/>
      <c r="Z141" s="6">
        <f ca="1">('TUSD BE'!$AM$14+'TUSD BF'!$AM$14+'TUSD CVA'!$AM$14)*1</f>
        <v>49.78704102185678</v>
      </c>
      <c r="AA141" s="6"/>
      <c r="AB141" s="6">
        <f>$K$141*$V$141</f>
        <v>0</v>
      </c>
      <c r="AC141" s="6">
        <f>$M$141*$W$141</f>
        <v>64324.866150000002</v>
      </c>
      <c r="AD141" s="6">
        <f>$O$141*$X$141</f>
        <v>0</v>
      </c>
      <c r="AE141" s="6">
        <f>$K$141*$Y$141</f>
        <v>0</v>
      </c>
      <c r="AF141" s="6">
        <f ca="1">$M$141*$Z$141</f>
        <v>73368.722788900268</v>
      </c>
      <c r="AG141" s="6">
        <f>$O$141*$AA$141</f>
        <v>0</v>
      </c>
    </row>
    <row r="142" spans="1:33" ht="11.25" customHeight="1" x14ac:dyDescent="0.25">
      <c r="A142" s="4" t="s">
        <v>21</v>
      </c>
      <c r="B142" s="4" t="s">
        <v>39</v>
      </c>
      <c r="C142" s="4" t="s">
        <v>40</v>
      </c>
      <c r="D142" s="4" t="s">
        <v>38</v>
      </c>
      <c r="E142" s="4" t="s">
        <v>25</v>
      </c>
      <c r="F142" s="4" t="s">
        <v>58</v>
      </c>
      <c r="G142" s="4" t="s">
        <v>25</v>
      </c>
      <c r="H142" s="4" t="s">
        <v>25</v>
      </c>
      <c r="I142" s="5">
        <v>44409</v>
      </c>
      <c r="J142" s="6">
        <v>0</v>
      </c>
      <c r="K142" s="6">
        <v>0</v>
      </c>
      <c r="L142" s="6">
        <v>1617.5</v>
      </c>
      <c r="M142" s="6">
        <v>1617.5</v>
      </c>
      <c r="N142" s="6">
        <v>0</v>
      </c>
      <c r="O142" s="6">
        <v>0</v>
      </c>
      <c r="P142" s="6">
        <v>9</v>
      </c>
      <c r="Q142" s="4" t="s">
        <v>57</v>
      </c>
      <c r="R142" s="4">
        <v>0</v>
      </c>
      <c r="S142" s="6">
        <v>0</v>
      </c>
      <c r="T142" s="6">
        <v>11</v>
      </c>
      <c r="U142" s="6">
        <v>0</v>
      </c>
      <c r="V142" s="6">
        <f>IF(ISERROR(VLOOKUP($S$142,'TAR FIN'!$A$1:$O$100,15,0)),0,VLOOKUP($S$142,'TAR FIN'!$A$1:$O$100,15,0))</f>
        <v>0</v>
      </c>
      <c r="W142" s="6">
        <f>IF(ISERROR(VLOOKUP($T$142,'TAR FIN'!$A$1:$O$100,15,0)),0,VLOOKUP($T$142,'TAR FIN'!$A$1:$O$100,15,0))</f>
        <v>43.65</v>
      </c>
      <c r="X142" s="6">
        <f>IF(ISERROR(VLOOKUP($U$142,'TAR FIN'!$A$1:$O$100,15,0)),0,VLOOKUP($U$142,'TAR FIN'!$A$1:$O$100,15,0))</f>
        <v>0</v>
      </c>
      <c r="Y142" s="6"/>
      <c r="Z142" s="6">
        <f ca="1">('TUSD BE'!$AM$14+'TUSD BF'!$AM$14+'TUSD CVA'!$AM$14)*1</f>
        <v>49.78704102185678</v>
      </c>
      <c r="AA142" s="6"/>
      <c r="AB142" s="6">
        <f>$K$142*$V$142</f>
        <v>0</v>
      </c>
      <c r="AC142" s="6">
        <f>$M$142*$W$142</f>
        <v>70603.875</v>
      </c>
      <c r="AD142" s="6">
        <f>$O$142*$X$142</f>
        <v>0</v>
      </c>
      <c r="AE142" s="6">
        <f>$K$142*$Y$142</f>
        <v>0</v>
      </c>
      <c r="AF142" s="6">
        <f ca="1">$M$142*$Z$142</f>
        <v>80530.538852853337</v>
      </c>
      <c r="AG142" s="6">
        <f>$O$142*$AA$142</f>
        <v>0</v>
      </c>
    </row>
    <row r="143" spans="1:33" ht="11.25" customHeight="1" x14ac:dyDescent="0.25">
      <c r="A143" s="4" t="s">
        <v>21</v>
      </c>
      <c r="B143" s="4" t="s">
        <v>39</v>
      </c>
      <c r="C143" s="4" t="s">
        <v>40</v>
      </c>
      <c r="D143" s="4" t="s">
        <v>38</v>
      </c>
      <c r="E143" s="4" t="s">
        <v>25</v>
      </c>
      <c r="F143" s="4" t="s">
        <v>58</v>
      </c>
      <c r="G143" s="4" t="s">
        <v>25</v>
      </c>
      <c r="H143" s="4" t="s">
        <v>25</v>
      </c>
      <c r="I143" s="5">
        <v>44440</v>
      </c>
      <c r="J143" s="6">
        <v>0</v>
      </c>
      <c r="K143" s="6">
        <v>0</v>
      </c>
      <c r="L143" s="6">
        <v>1539.8150000000001</v>
      </c>
      <c r="M143" s="6">
        <v>1539.8150000000001</v>
      </c>
      <c r="N143" s="6">
        <v>0</v>
      </c>
      <c r="O143" s="6">
        <v>0</v>
      </c>
      <c r="P143" s="6">
        <v>8</v>
      </c>
      <c r="Q143" s="4" t="s">
        <v>57</v>
      </c>
      <c r="R143" s="4">
        <v>0</v>
      </c>
      <c r="S143" s="6">
        <v>0</v>
      </c>
      <c r="T143" s="6">
        <v>11</v>
      </c>
      <c r="U143" s="6">
        <v>0</v>
      </c>
      <c r="V143" s="6">
        <f>IF(ISERROR(VLOOKUP($S$143,'TAR FIN'!$A$1:$O$100,15,0)),0,VLOOKUP($S$143,'TAR FIN'!$A$1:$O$100,15,0))</f>
        <v>0</v>
      </c>
      <c r="W143" s="6">
        <f>IF(ISERROR(VLOOKUP($T$143,'TAR FIN'!$A$1:$O$100,15,0)),0,VLOOKUP($T$143,'TAR FIN'!$A$1:$O$100,15,0))</f>
        <v>43.65</v>
      </c>
      <c r="X143" s="6">
        <f>IF(ISERROR(VLOOKUP($U$143,'TAR FIN'!$A$1:$O$100,15,0)),0,VLOOKUP($U$143,'TAR FIN'!$A$1:$O$100,15,0))</f>
        <v>0</v>
      </c>
      <c r="Y143" s="6"/>
      <c r="Z143" s="6">
        <f ca="1">('TUSD BE'!$AM$14+'TUSD BF'!$AM$14+'TUSD CVA'!$AM$14)*1</f>
        <v>49.78704102185678</v>
      </c>
      <c r="AA143" s="6"/>
      <c r="AB143" s="6">
        <f>$K$143*$V$143</f>
        <v>0</v>
      </c>
      <c r="AC143" s="6">
        <f>$M$143*$W$143</f>
        <v>67212.924750000006</v>
      </c>
      <c r="AD143" s="6">
        <f>$O$143*$X$143</f>
        <v>0</v>
      </c>
      <c r="AE143" s="6">
        <f>$K$143*$Y$143</f>
        <v>0</v>
      </c>
      <c r="AF143" s="6">
        <f ca="1">$M$143*$Z$143</f>
        <v>76662.832571070394</v>
      </c>
      <c r="AG143" s="6">
        <f>$O$143*$AA$143</f>
        <v>0</v>
      </c>
    </row>
    <row r="144" spans="1:33" ht="11.25" customHeight="1" x14ac:dyDescent="0.25">
      <c r="A144" s="4" t="s">
        <v>21</v>
      </c>
      <c r="B144" s="4" t="s">
        <v>39</v>
      </c>
      <c r="C144" s="4" t="s">
        <v>40</v>
      </c>
      <c r="D144" s="4" t="s">
        <v>38</v>
      </c>
      <c r="E144" s="4" t="s">
        <v>25</v>
      </c>
      <c r="F144" s="4" t="s">
        <v>58</v>
      </c>
      <c r="G144" s="4" t="s">
        <v>25</v>
      </c>
      <c r="H144" s="4" t="s">
        <v>25</v>
      </c>
      <c r="I144" s="5">
        <v>44470</v>
      </c>
      <c r="J144" s="6">
        <v>0</v>
      </c>
      <c r="K144" s="6">
        <v>0</v>
      </c>
      <c r="L144" s="6">
        <v>1584.8879999999999</v>
      </c>
      <c r="M144" s="6">
        <v>1584.8879999999999</v>
      </c>
      <c r="N144" s="6">
        <v>0</v>
      </c>
      <c r="O144" s="6">
        <v>0</v>
      </c>
      <c r="P144" s="6">
        <v>8</v>
      </c>
      <c r="Q144" s="4" t="s">
        <v>57</v>
      </c>
      <c r="R144" s="4">
        <v>0</v>
      </c>
      <c r="S144" s="6">
        <v>0</v>
      </c>
      <c r="T144" s="6">
        <v>11</v>
      </c>
      <c r="U144" s="6">
        <v>0</v>
      </c>
      <c r="V144" s="6">
        <f>IF(ISERROR(VLOOKUP($S$144,'TAR FIN'!$A$1:$O$100,15,0)),0,VLOOKUP($S$144,'TAR FIN'!$A$1:$O$100,15,0))</f>
        <v>0</v>
      </c>
      <c r="W144" s="6">
        <f>IF(ISERROR(VLOOKUP($T$144,'TAR FIN'!$A$1:$O$100,15,0)),0,VLOOKUP($T$144,'TAR FIN'!$A$1:$O$100,15,0))</f>
        <v>43.65</v>
      </c>
      <c r="X144" s="6">
        <f>IF(ISERROR(VLOOKUP($U$144,'TAR FIN'!$A$1:$O$100,15,0)),0,VLOOKUP($U$144,'TAR FIN'!$A$1:$O$100,15,0))</f>
        <v>0</v>
      </c>
      <c r="Y144" s="6"/>
      <c r="Z144" s="6">
        <f ca="1">('TUSD BE'!$AM$14+'TUSD BF'!$AM$14+'TUSD CVA'!$AM$14)*1</f>
        <v>49.78704102185678</v>
      </c>
      <c r="AA144" s="6"/>
      <c r="AB144" s="6">
        <f>$K$144*$V$144</f>
        <v>0</v>
      </c>
      <c r="AC144" s="6">
        <f>$M$144*$W$144</f>
        <v>69180.361199999999</v>
      </c>
      <c r="AD144" s="6">
        <f>$O$144*$X$144</f>
        <v>0</v>
      </c>
      <c r="AE144" s="6">
        <f>$K$144*$Y$144</f>
        <v>0</v>
      </c>
      <c r="AF144" s="6">
        <f ca="1">$M$144*$Z$144</f>
        <v>78906.883871048543</v>
      </c>
      <c r="AG144" s="6">
        <f>$O$144*$AA$144</f>
        <v>0</v>
      </c>
    </row>
    <row r="145" spans="1:33" ht="11.25" customHeight="1" x14ac:dyDescent="0.25">
      <c r="A145" s="4" t="s">
        <v>21</v>
      </c>
      <c r="B145" s="4" t="s">
        <v>39</v>
      </c>
      <c r="C145" s="4" t="s">
        <v>40</v>
      </c>
      <c r="D145" s="4" t="s">
        <v>38</v>
      </c>
      <c r="E145" s="4" t="s">
        <v>25</v>
      </c>
      <c r="F145" s="4" t="s">
        <v>58</v>
      </c>
      <c r="G145" s="4" t="s">
        <v>25</v>
      </c>
      <c r="H145" s="4" t="s">
        <v>25</v>
      </c>
      <c r="I145" s="5">
        <v>44501</v>
      </c>
      <c r="J145" s="6">
        <v>0</v>
      </c>
      <c r="K145" s="6">
        <v>0</v>
      </c>
      <c r="L145" s="6">
        <v>1784.5709999999999</v>
      </c>
      <c r="M145" s="6">
        <v>1784.5709999999999</v>
      </c>
      <c r="N145" s="6">
        <v>0</v>
      </c>
      <c r="O145" s="6">
        <v>0</v>
      </c>
      <c r="P145" s="6">
        <v>8</v>
      </c>
      <c r="Q145" s="4" t="s">
        <v>57</v>
      </c>
      <c r="R145" s="4">
        <v>0</v>
      </c>
      <c r="S145" s="6">
        <v>0</v>
      </c>
      <c r="T145" s="6">
        <v>11</v>
      </c>
      <c r="U145" s="6">
        <v>0</v>
      </c>
      <c r="V145" s="6">
        <f>IF(ISERROR(VLOOKUP($S$145,'TAR FIN'!$A$1:$O$100,15,0)),0,VLOOKUP($S$145,'TAR FIN'!$A$1:$O$100,15,0))</f>
        <v>0</v>
      </c>
      <c r="W145" s="6">
        <f>IF(ISERROR(VLOOKUP($T$145,'TAR FIN'!$A$1:$O$100,15,0)),0,VLOOKUP($T$145,'TAR FIN'!$A$1:$O$100,15,0))</f>
        <v>43.65</v>
      </c>
      <c r="X145" s="6">
        <f>IF(ISERROR(VLOOKUP($U$145,'TAR FIN'!$A$1:$O$100,15,0)),0,VLOOKUP($U$145,'TAR FIN'!$A$1:$O$100,15,0))</f>
        <v>0</v>
      </c>
      <c r="Y145" s="6"/>
      <c r="Z145" s="6">
        <f ca="1">('TUSD BE'!$AM$14+'TUSD BF'!$AM$14+'TUSD CVA'!$AM$14)*1</f>
        <v>49.78704102185678</v>
      </c>
      <c r="AA145" s="6"/>
      <c r="AB145" s="6">
        <f>$K$145*$V$145</f>
        <v>0</v>
      </c>
      <c r="AC145" s="6">
        <f>$M$145*$W$145</f>
        <v>77896.524149999997</v>
      </c>
      <c r="AD145" s="6">
        <f>$O$145*$X$145</f>
        <v>0</v>
      </c>
      <c r="AE145" s="6">
        <f>$K$145*$Y$145</f>
        <v>0</v>
      </c>
      <c r="AF145" s="6">
        <f ca="1">$M$145*$Z$145</f>
        <v>88848.509583415973</v>
      </c>
      <c r="AG145" s="6">
        <f>$O$145*$AA$145</f>
        <v>0</v>
      </c>
    </row>
    <row r="146" spans="1:33" ht="11.25" customHeight="1" x14ac:dyDescent="0.25">
      <c r="A146" s="4" t="s">
        <v>21</v>
      </c>
      <c r="B146" s="4" t="s">
        <v>39</v>
      </c>
      <c r="C146" s="4" t="s">
        <v>40</v>
      </c>
      <c r="D146" s="4" t="s">
        <v>38</v>
      </c>
      <c r="E146" s="4" t="s">
        <v>25</v>
      </c>
      <c r="F146" s="4" t="s">
        <v>58</v>
      </c>
      <c r="G146" s="4" t="s">
        <v>25</v>
      </c>
      <c r="H146" s="4" t="s">
        <v>25</v>
      </c>
      <c r="I146" s="5">
        <v>44531</v>
      </c>
      <c r="J146" s="6">
        <v>0</v>
      </c>
      <c r="K146" s="6">
        <v>0</v>
      </c>
      <c r="L146" s="6">
        <v>1738.9190000000001</v>
      </c>
      <c r="M146" s="6">
        <v>1738.9190000000001</v>
      </c>
      <c r="N146" s="6">
        <v>0</v>
      </c>
      <c r="O146" s="6">
        <v>0</v>
      </c>
      <c r="P146" s="6">
        <v>8</v>
      </c>
      <c r="Q146" s="4" t="s">
        <v>57</v>
      </c>
      <c r="R146" s="4">
        <v>0</v>
      </c>
      <c r="S146" s="6">
        <v>0</v>
      </c>
      <c r="T146" s="6">
        <v>11</v>
      </c>
      <c r="U146" s="6">
        <v>0</v>
      </c>
      <c r="V146" s="6">
        <f>IF(ISERROR(VLOOKUP($S$146,'TAR FIN'!$A$1:$O$100,15,0)),0,VLOOKUP($S$146,'TAR FIN'!$A$1:$O$100,15,0))</f>
        <v>0</v>
      </c>
      <c r="W146" s="6">
        <f>IF(ISERROR(VLOOKUP($T$146,'TAR FIN'!$A$1:$O$100,15,0)),0,VLOOKUP($T$146,'TAR FIN'!$A$1:$O$100,15,0))</f>
        <v>43.65</v>
      </c>
      <c r="X146" s="6">
        <f>IF(ISERROR(VLOOKUP($U$146,'TAR FIN'!$A$1:$O$100,15,0)),0,VLOOKUP($U$146,'TAR FIN'!$A$1:$O$100,15,0))</f>
        <v>0</v>
      </c>
      <c r="Y146" s="6"/>
      <c r="Z146" s="6">
        <f ca="1">('TUSD BE'!$AM$14+'TUSD BF'!$AM$14+'TUSD CVA'!$AM$14)*1</f>
        <v>49.78704102185678</v>
      </c>
      <c r="AA146" s="6"/>
      <c r="AB146" s="6">
        <f>$K$146*$V$146</f>
        <v>0</v>
      </c>
      <c r="AC146" s="6">
        <f>$M$146*$W$146</f>
        <v>75903.814350000001</v>
      </c>
      <c r="AD146" s="6">
        <f>$O$146*$X$146</f>
        <v>0</v>
      </c>
      <c r="AE146" s="6">
        <f>$K$146*$Y$146</f>
        <v>0</v>
      </c>
      <c r="AF146" s="6">
        <f ca="1">$M$146*$Z$146</f>
        <v>86575.63158668617</v>
      </c>
      <c r="AG146" s="6">
        <f>$O$146*$AA$146</f>
        <v>0</v>
      </c>
    </row>
    <row r="147" spans="1:33" ht="11.25" customHeight="1" x14ac:dyDescent="0.25">
      <c r="A147" s="4" t="s">
        <v>55</v>
      </c>
      <c r="B147" s="4" t="s">
        <v>39</v>
      </c>
      <c r="C147" s="4" t="s">
        <v>40</v>
      </c>
      <c r="D147" s="4" t="s">
        <v>38</v>
      </c>
      <c r="E147" s="4" t="s">
        <v>25</v>
      </c>
      <c r="F147" s="4" t="s">
        <v>58</v>
      </c>
      <c r="G147" s="4" t="s">
        <v>25</v>
      </c>
      <c r="H147" s="4" t="s">
        <v>25</v>
      </c>
      <c r="I147" s="5">
        <v>44562</v>
      </c>
      <c r="J147" s="6">
        <v>0</v>
      </c>
      <c r="K147" s="6">
        <v>0</v>
      </c>
      <c r="L147" s="6">
        <v>1738.9190000000001</v>
      </c>
      <c r="M147" s="6">
        <v>1738.9190000000001</v>
      </c>
      <c r="N147" s="6">
        <v>0</v>
      </c>
      <c r="O147" s="6">
        <v>0</v>
      </c>
      <c r="P147" s="6">
        <v>8</v>
      </c>
      <c r="Q147" s="4" t="s">
        <v>57</v>
      </c>
      <c r="R147" s="4">
        <v>0</v>
      </c>
      <c r="S147" s="6">
        <v>0</v>
      </c>
      <c r="T147" s="6">
        <v>11</v>
      </c>
      <c r="U147" s="6">
        <v>0</v>
      </c>
      <c r="V147" s="6">
        <f>IF(ISERROR(VLOOKUP($S$147,'TAR FIN'!$A$1:$O$100,15,0)),0,VLOOKUP($S$147,'TAR FIN'!$A$1:$O$100,15,0))</f>
        <v>0</v>
      </c>
      <c r="W147" s="6">
        <f>IF(ISERROR(VLOOKUP($T$147,'TAR FIN'!$A$1:$O$100,15,0)),0,VLOOKUP($T$147,'TAR FIN'!$A$1:$O$100,15,0))</f>
        <v>43.65</v>
      </c>
      <c r="X147" s="6">
        <f>IF(ISERROR(VLOOKUP($U$147,'TAR FIN'!$A$1:$O$100,15,0)),0,VLOOKUP($U$147,'TAR FIN'!$A$1:$O$100,15,0))</f>
        <v>0</v>
      </c>
      <c r="Y147" s="6"/>
      <c r="Z147" s="6">
        <f ca="1">('TUSD BE'!$AM$14+'TUSD BF'!$AM$14+'TUSD CVA'!$AM$14)*1</f>
        <v>49.78704102185678</v>
      </c>
      <c r="AA147" s="6"/>
      <c r="AB147" s="6">
        <f>$K$147*$V$147</f>
        <v>0</v>
      </c>
      <c r="AC147" s="6">
        <f>$M$147*$W$147</f>
        <v>75903.814350000001</v>
      </c>
      <c r="AD147" s="6">
        <f>$O$147*$X$147</f>
        <v>0</v>
      </c>
      <c r="AE147" s="6">
        <f>$K$147*$Y$147</f>
        <v>0</v>
      </c>
      <c r="AF147" s="6">
        <f ca="1">$M$147*$Z$147</f>
        <v>86575.63158668617</v>
      </c>
      <c r="AG147" s="6">
        <f>$O$147*$AA$147</f>
        <v>0</v>
      </c>
    </row>
    <row r="148" spans="1:33" ht="11.25" customHeight="1" x14ac:dyDescent="0.25">
      <c r="A148" s="4" t="s">
        <v>21</v>
      </c>
      <c r="B148" s="4" t="s">
        <v>39</v>
      </c>
      <c r="C148" s="4" t="s">
        <v>40</v>
      </c>
      <c r="D148" s="4" t="s">
        <v>38</v>
      </c>
      <c r="E148" s="4" t="s">
        <v>25</v>
      </c>
      <c r="F148" s="4" t="s">
        <v>58</v>
      </c>
      <c r="G148" s="4" t="s">
        <v>25</v>
      </c>
      <c r="H148" s="4" t="s">
        <v>34</v>
      </c>
      <c r="I148" s="5">
        <v>44228</v>
      </c>
      <c r="J148" s="6">
        <v>4030</v>
      </c>
      <c r="K148" s="6">
        <v>2029.3389414999999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4" t="s">
        <v>57</v>
      </c>
      <c r="R148" s="4">
        <v>0</v>
      </c>
      <c r="S148" s="6">
        <v>9</v>
      </c>
      <c r="T148" s="6">
        <v>0</v>
      </c>
      <c r="U148" s="6">
        <v>0</v>
      </c>
      <c r="V148" s="6">
        <f>IF(ISERROR(VLOOKUP($S$148,'TAR FIN'!$A$1:$O$100,15,0)),0,VLOOKUP($S$148,'TAR FIN'!$A$1:$O$100,15,0))</f>
        <v>37.01</v>
      </c>
      <c r="W148" s="6">
        <f>IF(ISERROR(VLOOKUP($T$148,'TAR FIN'!$A$1:$O$100,15,0)),0,VLOOKUP($T$148,'TAR FIN'!$A$1:$O$100,15,0))</f>
        <v>0</v>
      </c>
      <c r="X148" s="6">
        <f>IF(ISERROR(VLOOKUP($U$148,'TAR FIN'!$A$1:$O$100,15,0)),0,VLOOKUP($U$148,'TAR FIN'!$A$1:$O$100,15,0))</f>
        <v>0</v>
      </c>
      <c r="Y148" s="6">
        <f ca="1">('TUSD BE'!$AM$12+'TUSD BF'!$AM$12+'TUSD CVA'!$AM$12)*1</f>
        <v>36.177295232618533</v>
      </c>
      <c r="Z148" s="6">
        <f ca="1">('TUSD BE'!$AM$14+'TUSD BF'!$AM$14+'TUSD CVA'!$AM$14)*1</f>
        <v>49.78704102185678</v>
      </c>
      <c r="AA148" s="6"/>
      <c r="AB148" s="6">
        <f>$K$148*$V$148</f>
        <v>75105.834224914986</v>
      </c>
      <c r="AC148" s="6">
        <f>$M$148*$W$148</f>
        <v>0</v>
      </c>
      <c r="AD148" s="6">
        <f>$O$148*$X$148</f>
        <v>0</v>
      </c>
      <c r="AE148" s="6">
        <f ca="1">$K$148*$Y$148</f>
        <v>73415.99401369509</v>
      </c>
      <c r="AF148" s="6">
        <f ca="1">$M$148*$Z$148</f>
        <v>0</v>
      </c>
      <c r="AG148" s="6">
        <f>$O$148*$AA$148</f>
        <v>0</v>
      </c>
    </row>
    <row r="149" spans="1:33" ht="11.25" customHeight="1" x14ac:dyDescent="0.25">
      <c r="A149" s="4" t="s">
        <v>21</v>
      </c>
      <c r="B149" s="4" t="s">
        <v>39</v>
      </c>
      <c r="C149" s="4" t="s">
        <v>40</v>
      </c>
      <c r="D149" s="4" t="s">
        <v>38</v>
      </c>
      <c r="E149" s="4" t="s">
        <v>25</v>
      </c>
      <c r="F149" s="4" t="s">
        <v>58</v>
      </c>
      <c r="G149" s="4" t="s">
        <v>25</v>
      </c>
      <c r="H149" s="4" t="s">
        <v>34</v>
      </c>
      <c r="I149" s="5">
        <v>44256</v>
      </c>
      <c r="J149" s="6">
        <v>3977</v>
      </c>
      <c r="K149" s="6">
        <v>2006.71692689</v>
      </c>
      <c r="L149" s="6">
        <v>0</v>
      </c>
      <c r="M149" s="6">
        <v>0</v>
      </c>
      <c r="N149" s="6">
        <v>0</v>
      </c>
      <c r="O149" s="6">
        <v>0</v>
      </c>
      <c r="P149" s="6">
        <v>0</v>
      </c>
      <c r="Q149" s="4" t="s">
        <v>57</v>
      </c>
      <c r="R149" s="4">
        <v>0</v>
      </c>
      <c r="S149" s="6">
        <v>9</v>
      </c>
      <c r="T149" s="6">
        <v>0</v>
      </c>
      <c r="U149" s="6">
        <v>0</v>
      </c>
      <c r="V149" s="6">
        <f>IF(ISERROR(VLOOKUP($S$149,'TAR FIN'!$A$1:$O$100,15,0)),0,VLOOKUP($S$149,'TAR FIN'!$A$1:$O$100,15,0))</f>
        <v>37.01</v>
      </c>
      <c r="W149" s="6">
        <f>IF(ISERROR(VLOOKUP($T$149,'TAR FIN'!$A$1:$O$100,15,0)),0,VLOOKUP($T$149,'TAR FIN'!$A$1:$O$100,15,0))</f>
        <v>0</v>
      </c>
      <c r="X149" s="6">
        <f>IF(ISERROR(VLOOKUP($U$149,'TAR FIN'!$A$1:$O$100,15,0)),0,VLOOKUP($U$149,'TAR FIN'!$A$1:$O$100,15,0))</f>
        <v>0</v>
      </c>
      <c r="Y149" s="6">
        <f ca="1">('TUSD BE'!$AM$12+'TUSD BF'!$AM$12+'TUSD CVA'!$AM$12)*1</f>
        <v>36.177295232618533</v>
      </c>
      <c r="Z149" s="6">
        <f ca="1">('TUSD BE'!$AM$14+'TUSD BF'!$AM$14+'TUSD CVA'!$AM$14)*1</f>
        <v>49.78704102185678</v>
      </c>
      <c r="AA149" s="6"/>
      <c r="AB149" s="6">
        <f>$K$149*$V$149</f>
        <v>74268.593464198901</v>
      </c>
      <c r="AC149" s="6">
        <f>$M$149*$W$149</f>
        <v>0</v>
      </c>
      <c r="AD149" s="6">
        <f>$O$149*$X$149</f>
        <v>0</v>
      </c>
      <c r="AE149" s="6">
        <f ca="1">$K$149*$Y$149</f>
        <v>72597.590712392514</v>
      </c>
      <c r="AF149" s="6">
        <f ca="1">$M$149*$Z$149</f>
        <v>0</v>
      </c>
      <c r="AG149" s="6">
        <f>$O$149*$AA$149</f>
        <v>0</v>
      </c>
    </row>
    <row r="150" spans="1:33" ht="11.25" customHeight="1" x14ac:dyDescent="0.25">
      <c r="A150" s="4" t="s">
        <v>21</v>
      </c>
      <c r="B150" s="4" t="s">
        <v>39</v>
      </c>
      <c r="C150" s="4" t="s">
        <v>40</v>
      </c>
      <c r="D150" s="4" t="s">
        <v>38</v>
      </c>
      <c r="E150" s="4" t="s">
        <v>25</v>
      </c>
      <c r="F150" s="4" t="s">
        <v>58</v>
      </c>
      <c r="G150" s="4" t="s">
        <v>25</v>
      </c>
      <c r="H150" s="4" t="s">
        <v>34</v>
      </c>
      <c r="I150" s="5">
        <v>44287</v>
      </c>
      <c r="J150" s="6">
        <v>3935</v>
      </c>
      <c r="K150" s="6">
        <v>1982.83064195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4" t="s">
        <v>57</v>
      </c>
      <c r="R150" s="4">
        <v>0</v>
      </c>
      <c r="S150" s="6">
        <v>9</v>
      </c>
      <c r="T150" s="6">
        <v>0</v>
      </c>
      <c r="U150" s="6">
        <v>0</v>
      </c>
      <c r="V150" s="6">
        <f>IF(ISERROR(VLOOKUP($S$150,'TAR FIN'!$A$1:$O$100,15,0)),0,VLOOKUP($S$150,'TAR FIN'!$A$1:$O$100,15,0))</f>
        <v>37.01</v>
      </c>
      <c r="W150" s="6">
        <f>IF(ISERROR(VLOOKUP($T$150,'TAR FIN'!$A$1:$O$100,15,0)),0,VLOOKUP($T$150,'TAR FIN'!$A$1:$O$100,15,0))</f>
        <v>0</v>
      </c>
      <c r="X150" s="6">
        <f>IF(ISERROR(VLOOKUP($U$150,'TAR FIN'!$A$1:$O$100,15,0)),0,VLOOKUP($U$150,'TAR FIN'!$A$1:$O$100,15,0))</f>
        <v>0</v>
      </c>
      <c r="Y150" s="6">
        <f ca="1">('TUSD BE'!$AM$12+'TUSD BF'!$AM$12+'TUSD CVA'!$AM$12)*1</f>
        <v>36.177295232618533</v>
      </c>
      <c r="Z150" s="6">
        <f ca="1">('TUSD BE'!$AM$14+'TUSD BF'!$AM$14+'TUSD CVA'!$AM$14)*1</f>
        <v>49.78704102185678</v>
      </c>
      <c r="AA150" s="6"/>
      <c r="AB150" s="6">
        <f>$K$150*$V$150</f>
        <v>73384.5620585695</v>
      </c>
      <c r="AC150" s="6">
        <f>$M$150*$W$150</f>
        <v>0</v>
      </c>
      <c r="AD150" s="6">
        <f>$O$150*$X$150</f>
        <v>0</v>
      </c>
      <c r="AE150" s="6">
        <f ca="1">$K$150*$Y$150</f>
        <v>71733.449530107682</v>
      </c>
      <c r="AF150" s="6">
        <f ca="1">$M$150*$Z$150</f>
        <v>0</v>
      </c>
      <c r="AG150" s="6">
        <f>$O$150*$AA$150</f>
        <v>0</v>
      </c>
    </row>
    <row r="151" spans="1:33" ht="11.25" customHeight="1" x14ac:dyDescent="0.25">
      <c r="A151" s="4" t="s">
        <v>21</v>
      </c>
      <c r="B151" s="4" t="s">
        <v>39</v>
      </c>
      <c r="C151" s="4" t="s">
        <v>40</v>
      </c>
      <c r="D151" s="4" t="s">
        <v>38</v>
      </c>
      <c r="E151" s="4" t="s">
        <v>25</v>
      </c>
      <c r="F151" s="4" t="s">
        <v>58</v>
      </c>
      <c r="G151" s="4" t="s">
        <v>25</v>
      </c>
      <c r="H151" s="4" t="s">
        <v>34</v>
      </c>
      <c r="I151" s="5">
        <v>44317</v>
      </c>
      <c r="J151" s="6">
        <v>3934</v>
      </c>
      <c r="K151" s="6">
        <v>2002.9792231399999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4" t="s">
        <v>57</v>
      </c>
      <c r="R151" s="4">
        <v>0</v>
      </c>
      <c r="S151" s="6">
        <v>9</v>
      </c>
      <c r="T151" s="6">
        <v>0</v>
      </c>
      <c r="U151" s="6">
        <v>0</v>
      </c>
      <c r="V151" s="6">
        <f>IF(ISERROR(VLOOKUP($S$151,'TAR FIN'!$A$1:$O$100,15,0)),0,VLOOKUP($S$151,'TAR FIN'!$A$1:$O$100,15,0))</f>
        <v>37.01</v>
      </c>
      <c r="W151" s="6">
        <f>IF(ISERROR(VLOOKUP($T$151,'TAR FIN'!$A$1:$O$100,15,0)),0,VLOOKUP($T$151,'TAR FIN'!$A$1:$O$100,15,0))</f>
        <v>0</v>
      </c>
      <c r="X151" s="6">
        <f>IF(ISERROR(VLOOKUP($U$151,'TAR FIN'!$A$1:$O$100,15,0)),0,VLOOKUP($U$151,'TAR FIN'!$A$1:$O$100,15,0))</f>
        <v>0</v>
      </c>
      <c r="Y151" s="6">
        <f ca="1">('TUSD BE'!$AM$12+'TUSD BF'!$AM$12+'TUSD CVA'!$AM$12)*1</f>
        <v>36.177295232618533</v>
      </c>
      <c r="Z151" s="6">
        <f ca="1">('TUSD BE'!$AM$14+'TUSD BF'!$AM$14+'TUSD CVA'!$AM$14)*1</f>
        <v>49.78704102185678</v>
      </c>
      <c r="AA151" s="6"/>
      <c r="AB151" s="6">
        <f>$K$151*$V$151</f>
        <v>74130.261048411397</v>
      </c>
      <c r="AC151" s="6">
        <f>$M$151*$W$151</f>
        <v>0</v>
      </c>
      <c r="AD151" s="6">
        <f>$O$151*$X$151</f>
        <v>0</v>
      </c>
      <c r="AE151" s="6">
        <f ca="1">$K$151*$Y$151</f>
        <v>72462.370700336687</v>
      </c>
      <c r="AF151" s="6">
        <f ca="1">$M$151*$Z$151</f>
        <v>0</v>
      </c>
      <c r="AG151" s="6">
        <f>$O$151*$AA$151</f>
        <v>0</v>
      </c>
    </row>
    <row r="152" spans="1:33" ht="11.25" customHeight="1" x14ac:dyDescent="0.25">
      <c r="A152" s="4" t="s">
        <v>21</v>
      </c>
      <c r="B152" s="4" t="s">
        <v>39</v>
      </c>
      <c r="C152" s="4" t="s">
        <v>40</v>
      </c>
      <c r="D152" s="4" t="s">
        <v>38</v>
      </c>
      <c r="E152" s="4" t="s">
        <v>25</v>
      </c>
      <c r="F152" s="4" t="s">
        <v>58</v>
      </c>
      <c r="G152" s="4" t="s">
        <v>25</v>
      </c>
      <c r="H152" s="4" t="s">
        <v>34</v>
      </c>
      <c r="I152" s="5">
        <v>44348</v>
      </c>
      <c r="J152" s="6">
        <v>3934</v>
      </c>
      <c r="K152" s="6">
        <v>1984.1832005799999</v>
      </c>
      <c r="L152" s="6">
        <v>0</v>
      </c>
      <c r="M152" s="6">
        <v>0</v>
      </c>
      <c r="N152" s="6">
        <v>0</v>
      </c>
      <c r="O152" s="6">
        <v>0</v>
      </c>
      <c r="P152" s="6">
        <v>0</v>
      </c>
      <c r="Q152" s="4" t="s">
        <v>57</v>
      </c>
      <c r="R152" s="4">
        <v>0</v>
      </c>
      <c r="S152" s="6">
        <v>9</v>
      </c>
      <c r="T152" s="6">
        <v>0</v>
      </c>
      <c r="U152" s="6">
        <v>0</v>
      </c>
      <c r="V152" s="6">
        <f>IF(ISERROR(VLOOKUP($S$152,'TAR FIN'!$A$1:$O$100,15,0)),0,VLOOKUP($S$152,'TAR FIN'!$A$1:$O$100,15,0))</f>
        <v>37.01</v>
      </c>
      <c r="W152" s="6">
        <f>IF(ISERROR(VLOOKUP($T$152,'TAR FIN'!$A$1:$O$100,15,0)),0,VLOOKUP($T$152,'TAR FIN'!$A$1:$O$100,15,0))</f>
        <v>0</v>
      </c>
      <c r="X152" s="6">
        <f>IF(ISERROR(VLOOKUP($U$152,'TAR FIN'!$A$1:$O$100,15,0)),0,VLOOKUP($U$152,'TAR FIN'!$A$1:$O$100,15,0))</f>
        <v>0</v>
      </c>
      <c r="Y152" s="6">
        <f ca="1">('TUSD BE'!$AM$12+'TUSD BF'!$AM$12+'TUSD CVA'!$AM$12)*1</f>
        <v>36.177295232618533</v>
      </c>
      <c r="Z152" s="6">
        <f ca="1">('TUSD BE'!$AM$14+'TUSD BF'!$AM$14+'TUSD CVA'!$AM$14)*1</f>
        <v>49.78704102185678</v>
      </c>
      <c r="AA152" s="6"/>
      <c r="AB152" s="6">
        <f>$K$152*$V$152</f>
        <v>73434.620253465793</v>
      </c>
      <c r="AC152" s="6">
        <f>$M$152*$W$152</f>
        <v>0</v>
      </c>
      <c r="AD152" s="6">
        <f>$O$152*$X$152</f>
        <v>0</v>
      </c>
      <c r="AE152" s="6">
        <f ca="1">$K$152*$Y$152</f>
        <v>71782.38144298461</v>
      </c>
      <c r="AF152" s="6">
        <f ca="1">$M$152*$Z$152</f>
        <v>0</v>
      </c>
      <c r="AG152" s="6">
        <f>$O$152*$AA$152</f>
        <v>0</v>
      </c>
    </row>
    <row r="153" spans="1:33" ht="11.25" customHeight="1" x14ac:dyDescent="0.25">
      <c r="A153" s="4" t="s">
        <v>21</v>
      </c>
      <c r="B153" s="4" t="s">
        <v>39</v>
      </c>
      <c r="C153" s="4" t="s">
        <v>40</v>
      </c>
      <c r="D153" s="4" t="s">
        <v>38</v>
      </c>
      <c r="E153" s="4" t="s">
        <v>25</v>
      </c>
      <c r="F153" s="4" t="s">
        <v>58</v>
      </c>
      <c r="G153" s="4" t="s">
        <v>25</v>
      </c>
      <c r="H153" s="4" t="s">
        <v>34</v>
      </c>
      <c r="I153" s="5">
        <v>44378</v>
      </c>
      <c r="J153" s="6">
        <v>3934</v>
      </c>
      <c r="K153" s="6">
        <v>1979.7195661600001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4" t="s">
        <v>57</v>
      </c>
      <c r="R153" s="4">
        <v>0</v>
      </c>
      <c r="S153" s="6">
        <v>9</v>
      </c>
      <c r="T153" s="6">
        <v>0</v>
      </c>
      <c r="U153" s="6">
        <v>0</v>
      </c>
      <c r="V153" s="6">
        <f>IF(ISERROR(VLOOKUP($S$153,'TAR FIN'!$A$1:$O$100,15,0)),0,VLOOKUP($S$153,'TAR FIN'!$A$1:$O$100,15,0))</f>
        <v>37.01</v>
      </c>
      <c r="W153" s="6">
        <f>IF(ISERROR(VLOOKUP($T$153,'TAR FIN'!$A$1:$O$100,15,0)),0,VLOOKUP($T$153,'TAR FIN'!$A$1:$O$100,15,0))</f>
        <v>0</v>
      </c>
      <c r="X153" s="6">
        <f>IF(ISERROR(VLOOKUP($U$153,'TAR FIN'!$A$1:$O$100,15,0)),0,VLOOKUP($U$153,'TAR FIN'!$A$1:$O$100,15,0))</f>
        <v>0</v>
      </c>
      <c r="Y153" s="6">
        <f ca="1">('TUSD BE'!$AM$12+'TUSD BF'!$AM$12+'TUSD CVA'!$AM$12)*1</f>
        <v>36.177295232618533</v>
      </c>
      <c r="Z153" s="6">
        <f ca="1">('TUSD BE'!$AM$14+'TUSD BF'!$AM$14+'TUSD CVA'!$AM$14)*1</f>
        <v>49.78704102185678</v>
      </c>
      <c r="AA153" s="6"/>
      <c r="AB153" s="6">
        <f>$K$153*$V$153</f>
        <v>73269.421143581596</v>
      </c>
      <c r="AC153" s="6">
        <f>$M$153*$W$153</f>
        <v>0</v>
      </c>
      <c r="AD153" s="6">
        <f>$O$153*$X$153</f>
        <v>0</v>
      </c>
      <c r="AE153" s="6">
        <f ca="1">$K$153*$Y$153</f>
        <v>71620.8992227618</v>
      </c>
      <c r="AF153" s="6">
        <f ca="1">$M$153*$Z$153</f>
        <v>0</v>
      </c>
      <c r="AG153" s="6">
        <f>$O$153*$AA$153</f>
        <v>0</v>
      </c>
    </row>
    <row r="154" spans="1:33" ht="11.25" customHeight="1" x14ac:dyDescent="0.25">
      <c r="A154" s="4" t="s">
        <v>21</v>
      </c>
      <c r="B154" s="4" t="s">
        <v>39</v>
      </c>
      <c r="C154" s="4" t="s">
        <v>40</v>
      </c>
      <c r="D154" s="4" t="s">
        <v>38</v>
      </c>
      <c r="E154" s="4" t="s">
        <v>25</v>
      </c>
      <c r="F154" s="4" t="s">
        <v>58</v>
      </c>
      <c r="G154" s="4" t="s">
        <v>25</v>
      </c>
      <c r="H154" s="4" t="s">
        <v>34</v>
      </c>
      <c r="I154" s="5">
        <v>44409</v>
      </c>
      <c r="J154" s="6">
        <v>3934</v>
      </c>
      <c r="K154" s="6">
        <v>1986.3820705400001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4" t="s">
        <v>57</v>
      </c>
      <c r="R154" s="4">
        <v>0</v>
      </c>
      <c r="S154" s="6">
        <v>9</v>
      </c>
      <c r="T154" s="6">
        <v>0</v>
      </c>
      <c r="U154" s="6">
        <v>0</v>
      </c>
      <c r="V154" s="6">
        <f>IF(ISERROR(VLOOKUP($S$154,'TAR FIN'!$A$1:$O$100,15,0)),0,VLOOKUP($S$154,'TAR FIN'!$A$1:$O$100,15,0))</f>
        <v>37.01</v>
      </c>
      <c r="W154" s="6">
        <f>IF(ISERROR(VLOOKUP($T$154,'TAR FIN'!$A$1:$O$100,15,0)),0,VLOOKUP($T$154,'TAR FIN'!$A$1:$O$100,15,0))</f>
        <v>0</v>
      </c>
      <c r="X154" s="6">
        <f>IF(ISERROR(VLOOKUP($U$154,'TAR FIN'!$A$1:$O$100,15,0)),0,VLOOKUP($U$154,'TAR FIN'!$A$1:$O$100,15,0))</f>
        <v>0</v>
      </c>
      <c r="Y154" s="6">
        <f ca="1">('TUSD BE'!$AM$12+'TUSD BF'!$AM$12+'TUSD CVA'!$AM$12)*1</f>
        <v>36.177295232618533</v>
      </c>
      <c r="Z154" s="6">
        <f ca="1">('TUSD BE'!$AM$14+'TUSD BF'!$AM$14+'TUSD CVA'!$AM$14)*1</f>
        <v>49.78704102185678</v>
      </c>
      <c r="AA154" s="6"/>
      <c r="AB154" s="6">
        <f>$K$154*$V$154</f>
        <v>73516.000430685395</v>
      </c>
      <c r="AC154" s="6">
        <f>$M$154*$W$154</f>
        <v>0</v>
      </c>
      <c r="AD154" s="6">
        <f>$O$154*$X$154</f>
        <v>0</v>
      </c>
      <c r="AE154" s="6">
        <f ca="1">$K$154*$Y$154</f>
        <v>71861.930610705676</v>
      </c>
      <c r="AF154" s="6">
        <f ca="1">$M$154*$Z$154</f>
        <v>0</v>
      </c>
      <c r="AG154" s="6">
        <f>$O$154*$AA$154</f>
        <v>0</v>
      </c>
    </row>
    <row r="155" spans="1:33" ht="11.25" customHeight="1" x14ac:dyDescent="0.25">
      <c r="A155" s="4" t="s">
        <v>21</v>
      </c>
      <c r="B155" s="4" t="s">
        <v>39</v>
      </c>
      <c r="C155" s="4" t="s">
        <v>40</v>
      </c>
      <c r="D155" s="4" t="s">
        <v>38</v>
      </c>
      <c r="E155" s="4" t="s">
        <v>25</v>
      </c>
      <c r="F155" s="4" t="s">
        <v>58</v>
      </c>
      <c r="G155" s="4" t="s">
        <v>25</v>
      </c>
      <c r="H155" s="4" t="s">
        <v>34</v>
      </c>
      <c r="I155" s="5">
        <v>44440</v>
      </c>
      <c r="J155" s="6">
        <v>3511</v>
      </c>
      <c r="K155" s="6">
        <v>1774.8026704700001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4" t="s">
        <v>57</v>
      </c>
      <c r="R155" s="4">
        <v>0</v>
      </c>
      <c r="S155" s="6">
        <v>9</v>
      </c>
      <c r="T155" s="6">
        <v>0</v>
      </c>
      <c r="U155" s="6">
        <v>0</v>
      </c>
      <c r="V155" s="6">
        <f>IF(ISERROR(VLOOKUP($S$155,'TAR FIN'!$A$1:$O$100,15,0)),0,VLOOKUP($S$155,'TAR FIN'!$A$1:$O$100,15,0))</f>
        <v>37.01</v>
      </c>
      <c r="W155" s="6">
        <f>IF(ISERROR(VLOOKUP($T$155,'TAR FIN'!$A$1:$O$100,15,0)),0,VLOOKUP($T$155,'TAR FIN'!$A$1:$O$100,15,0))</f>
        <v>0</v>
      </c>
      <c r="X155" s="6">
        <f>IF(ISERROR(VLOOKUP($U$155,'TAR FIN'!$A$1:$O$100,15,0)),0,VLOOKUP($U$155,'TAR FIN'!$A$1:$O$100,15,0))</f>
        <v>0</v>
      </c>
      <c r="Y155" s="6">
        <f ca="1">('TUSD BE'!$AM$12+'TUSD BF'!$AM$12+'TUSD CVA'!$AM$12)*1</f>
        <v>36.177295232618533</v>
      </c>
      <c r="Z155" s="6">
        <f ca="1">('TUSD BE'!$AM$14+'TUSD BF'!$AM$14+'TUSD CVA'!$AM$14)*1</f>
        <v>49.78704102185678</v>
      </c>
      <c r="AA155" s="6"/>
      <c r="AB155" s="6">
        <f>$K$155*$V$155</f>
        <v>65685.446834094706</v>
      </c>
      <c r="AC155" s="6">
        <f>$M$155*$W$155</f>
        <v>0</v>
      </c>
      <c r="AD155" s="6">
        <f>$O$155*$X$155</f>
        <v>0</v>
      </c>
      <c r="AE155" s="6">
        <f ca="1">$K$155*$Y$155</f>
        <v>64207.560189232972</v>
      </c>
      <c r="AF155" s="6">
        <f ca="1">$M$155*$Z$155</f>
        <v>0</v>
      </c>
      <c r="AG155" s="6">
        <f>$O$155*$AA$155</f>
        <v>0</v>
      </c>
    </row>
    <row r="156" spans="1:33" ht="11.25" customHeight="1" x14ac:dyDescent="0.25">
      <c r="A156" s="4" t="s">
        <v>21</v>
      </c>
      <c r="B156" s="4" t="s">
        <v>39</v>
      </c>
      <c r="C156" s="4" t="s">
        <v>40</v>
      </c>
      <c r="D156" s="4" t="s">
        <v>38</v>
      </c>
      <c r="E156" s="4" t="s">
        <v>25</v>
      </c>
      <c r="F156" s="4" t="s">
        <v>58</v>
      </c>
      <c r="G156" s="4" t="s">
        <v>25</v>
      </c>
      <c r="H156" s="4" t="s">
        <v>34</v>
      </c>
      <c r="I156" s="5">
        <v>44470</v>
      </c>
      <c r="J156" s="6">
        <v>3680</v>
      </c>
      <c r="K156" s="6">
        <v>1879.7369344000001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4" t="s">
        <v>57</v>
      </c>
      <c r="R156" s="4">
        <v>0</v>
      </c>
      <c r="S156" s="6">
        <v>9</v>
      </c>
      <c r="T156" s="6">
        <v>0</v>
      </c>
      <c r="U156" s="6">
        <v>0</v>
      </c>
      <c r="V156" s="6">
        <f>IF(ISERROR(VLOOKUP($S$156,'TAR FIN'!$A$1:$O$100,15,0)),0,VLOOKUP($S$156,'TAR FIN'!$A$1:$O$100,15,0))</f>
        <v>37.01</v>
      </c>
      <c r="W156" s="6">
        <f>IF(ISERROR(VLOOKUP($T$156,'TAR FIN'!$A$1:$O$100,15,0)),0,VLOOKUP($T$156,'TAR FIN'!$A$1:$O$100,15,0))</f>
        <v>0</v>
      </c>
      <c r="X156" s="6">
        <f>IF(ISERROR(VLOOKUP($U$156,'TAR FIN'!$A$1:$O$100,15,0)),0,VLOOKUP($U$156,'TAR FIN'!$A$1:$O$100,15,0))</f>
        <v>0</v>
      </c>
      <c r="Y156" s="6">
        <f ca="1">('TUSD BE'!$AM$12+'TUSD BF'!$AM$12+'TUSD CVA'!$AM$12)*1</f>
        <v>36.177295232618533</v>
      </c>
      <c r="Z156" s="6">
        <f ca="1">('TUSD BE'!$AM$14+'TUSD BF'!$AM$14+'TUSD CVA'!$AM$14)*1</f>
        <v>49.78704102185678</v>
      </c>
      <c r="AA156" s="6"/>
      <c r="AB156" s="6">
        <f>$K$156*$V$156</f>
        <v>69569.063942143999</v>
      </c>
      <c r="AC156" s="6">
        <f>$M$156*$W$156</f>
        <v>0</v>
      </c>
      <c r="AD156" s="6">
        <f>$O$156*$X$156</f>
        <v>0</v>
      </c>
      <c r="AE156" s="6">
        <f ca="1">$K$156*$Y$156</f>
        <v>68003.798035446103</v>
      </c>
      <c r="AF156" s="6">
        <f ca="1">$M$156*$Z$156</f>
        <v>0</v>
      </c>
      <c r="AG156" s="6">
        <f>$O$156*$AA$156</f>
        <v>0</v>
      </c>
    </row>
    <row r="157" spans="1:33" ht="11.25" customHeight="1" x14ac:dyDescent="0.25">
      <c r="A157" s="4" t="s">
        <v>21</v>
      </c>
      <c r="B157" s="4" t="s">
        <v>39</v>
      </c>
      <c r="C157" s="4" t="s">
        <v>40</v>
      </c>
      <c r="D157" s="4" t="s">
        <v>38</v>
      </c>
      <c r="E157" s="4" t="s">
        <v>25</v>
      </c>
      <c r="F157" s="4" t="s">
        <v>58</v>
      </c>
      <c r="G157" s="4" t="s">
        <v>25</v>
      </c>
      <c r="H157" s="4" t="s">
        <v>34</v>
      </c>
      <c r="I157" s="5">
        <v>44501</v>
      </c>
      <c r="J157" s="6">
        <v>3698</v>
      </c>
      <c r="K157" s="6">
        <v>1870.6379964600001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4" t="s">
        <v>57</v>
      </c>
      <c r="R157" s="4">
        <v>0</v>
      </c>
      <c r="S157" s="6">
        <v>9</v>
      </c>
      <c r="T157" s="6">
        <v>0</v>
      </c>
      <c r="U157" s="6">
        <v>0</v>
      </c>
      <c r="V157" s="6">
        <f>IF(ISERROR(VLOOKUP($S$157,'TAR FIN'!$A$1:$O$100,15,0)),0,VLOOKUP($S$157,'TAR FIN'!$A$1:$O$100,15,0))</f>
        <v>37.01</v>
      </c>
      <c r="W157" s="6">
        <f>IF(ISERROR(VLOOKUP($T$157,'TAR FIN'!$A$1:$O$100,15,0)),0,VLOOKUP($T$157,'TAR FIN'!$A$1:$O$100,15,0))</f>
        <v>0</v>
      </c>
      <c r="X157" s="6">
        <f>IF(ISERROR(VLOOKUP($U$157,'TAR FIN'!$A$1:$O$100,15,0)),0,VLOOKUP($U$157,'TAR FIN'!$A$1:$O$100,15,0))</f>
        <v>0</v>
      </c>
      <c r="Y157" s="6">
        <f ca="1">('TUSD BE'!$AM$12+'TUSD BF'!$AM$12+'TUSD CVA'!$AM$12)*1</f>
        <v>36.177295232618533</v>
      </c>
      <c r="Z157" s="6">
        <f ca="1">('TUSD BE'!$AM$14+'TUSD BF'!$AM$14+'TUSD CVA'!$AM$14)*1</f>
        <v>49.78704102185678</v>
      </c>
      <c r="AA157" s="6"/>
      <c r="AB157" s="6">
        <f>$K$157*$V$157</f>
        <v>69232.312248984599</v>
      </c>
      <c r="AC157" s="6">
        <f>$M$157*$W$157</f>
        <v>0</v>
      </c>
      <c r="AD157" s="6">
        <f>$O$157*$X$157</f>
        <v>0</v>
      </c>
      <c r="AE157" s="6">
        <f ca="1">$K$157*$Y$157</f>
        <v>67674.623071287439</v>
      </c>
      <c r="AF157" s="6">
        <f ca="1">$M$157*$Z$157</f>
        <v>0</v>
      </c>
      <c r="AG157" s="6">
        <f>$O$157*$AA$157</f>
        <v>0</v>
      </c>
    </row>
    <row r="158" spans="1:33" ht="11.25" customHeight="1" x14ac:dyDescent="0.25">
      <c r="A158" s="4" t="s">
        <v>21</v>
      </c>
      <c r="B158" s="4" t="s">
        <v>39</v>
      </c>
      <c r="C158" s="4" t="s">
        <v>40</v>
      </c>
      <c r="D158" s="4" t="s">
        <v>38</v>
      </c>
      <c r="E158" s="4" t="s">
        <v>25</v>
      </c>
      <c r="F158" s="4" t="s">
        <v>58</v>
      </c>
      <c r="G158" s="4" t="s">
        <v>25</v>
      </c>
      <c r="H158" s="4" t="s">
        <v>34</v>
      </c>
      <c r="I158" s="5">
        <v>44531</v>
      </c>
      <c r="J158" s="6">
        <v>3726</v>
      </c>
      <c r="K158" s="6">
        <v>1896.8934472200001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57</v>
      </c>
      <c r="R158" s="4">
        <v>0</v>
      </c>
      <c r="S158" s="6">
        <v>9</v>
      </c>
      <c r="T158" s="6">
        <v>0</v>
      </c>
      <c r="U158" s="6">
        <v>0</v>
      </c>
      <c r="V158" s="6">
        <f>IF(ISERROR(VLOOKUP($S$158,'TAR FIN'!$A$1:$O$100,15,0)),0,VLOOKUP($S$158,'TAR FIN'!$A$1:$O$100,15,0))</f>
        <v>37.01</v>
      </c>
      <c r="W158" s="6">
        <f>IF(ISERROR(VLOOKUP($T$158,'TAR FIN'!$A$1:$O$100,15,0)),0,VLOOKUP($T$158,'TAR FIN'!$A$1:$O$100,15,0))</f>
        <v>0</v>
      </c>
      <c r="X158" s="6">
        <f>IF(ISERROR(VLOOKUP($U$158,'TAR FIN'!$A$1:$O$100,15,0)),0,VLOOKUP($U$158,'TAR FIN'!$A$1:$O$100,15,0))</f>
        <v>0</v>
      </c>
      <c r="Y158" s="6">
        <f ca="1">('TUSD BE'!$AM$12+'TUSD BF'!$AM$12+'TUSD CVA'!$AM$12)*1</f>
        <v>36.177295232618533</v>
      </c>
      <c r="Z158" s="6">
        <f ca="1">('TUSD BE'!$AM$14+'TUSD BF'!$AM$14+'TUSD CVA'!$AM$14)*1</f>
        <v>49.78704102185678</v>
      </c>
      <c r="AA158" s="6"/>
      <c r="AB158" s="6">
        <f>$K$158*$V$158</f>
        <v>70204.026481612207</v>
      </c>
      <c r="AC158" s="6">
        <f>$M$158*$W$158</f>
        <v>0</v>
      </c>
      <c r="AD158" s="6">
        <f>$O$158*$X$158</f>
        <v>0</v>
      </c>
      <c r="AE158" s="6">
        <f ca="1">$K$158*$Y$158</f>
        <v>68624.47426489745</v>
      </c>
      <c r="AF158" s="6">
        <f ca="1">$M$158*$Z$158</f>
        <v>0</v>
      </c>
      <c r="AG158" s="6">
        <f>$O$158*$AA$158</f>
        <v>0</v>
      </c>
    </row>
    <row r="159" spans="1:33" ht="11.25" customHeight="1" x14ac:dyDescent="0.25">
      <c r="A159" s="4" t="s">
        <v>55</v>
      </c>
      <c r="B159" s="4" t="s">
        <v>39</v>
      </c>
      <c r="C159" s="4" t="s">
        <v>40</v>
      </c>
      <c r="D159" s="4" t="s">
        <v>38</v>
      </c>
      <c r="E159" s="4" t="s">
        <v>25</v>
      </c>
      <c r="F159" s="4" t="s">
        <v>58</v>
      </c>
      <c r="G159" s="4" t="s">
        <v>25</v>
      </c>
      <c r="H159" s="4" t="s">
        <v>34</v>
      </c>
      <c r="I159" s="5">
        <v>44562</v>
      </c>
      <c r="J159" s="6">
        <v>3726</v>
      </c>
      <c r="K159" s="6">
        <v>1896.8934472200001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57</v>
      </c>
      <c r="R159" s="4">
        <v>0</v>
      </c>
      <c r="S159" s="6">
        <v>9</v>
      </c>
      <c r="T159" s="6">
        <v>0</v>
      </c>
      <c r="U159" s="6">
        <v>0</v>
      </c>
      <c r="V159" s="6">
        <f>IF(ISERROR(VLOOKUP($S$159,'TAR FIN'!$A$1:$O$100,15,0)),0,VLOOKUP($S$159,'TAR FIN'!$A$1:$O$100,15,0))</f>
        <v>37.01</v>
      </c>
      <c r="W159" s="6">
        <f>IF(ISERROR(VLOOKUP($T$159,'TAR FIN'!$A$1:$O$100,15,0)),0,VLOOKUP($T$159,'TAR FIN'!$A$1:$O$100,15,0))</f>
        <v>0</v>
      </c>
      <c r="X159" s="6">
        <f>IF(ISERROR(VLOOKUP($U$159,'TAR FIN'!$A$1:$O$100,15,0)),0,VLOOKUP($U$159,'TAR FIN'!$A$1:$O$100,15,0))</f>
        <v>0</v>
      </c>
      <c r="Y159" s="6">
        <f ca="1">('TUSD BE'!$AM$12+'TUSD BF'!$AM$12+'TUSD CVA'!$AM$12)*1</f>
        <v>36.177295232618533</v>
      </c>
      <c r="Z159" s="6">
        <f ca="1">('TUSD BE'!$AM$14+'TUSD BF'!$AM$14+'TUSD CVA'!$AM$14)*1</f>
        <v>49.78704102185678</v>
      </c>
      <c r="AA159" s="6"/>
      <c r="AB159" s="6">
        <f>$K$159*$V$159</f>
        <v>70204.026481612207</v>
      </c>
      <c r="AC159" s="6">
        <f>$M$159*$W$159</f>
        <v>0</v>
      </c>
      <c r="AD159" s="6">
        <f>$O$159*$X$159</f>
        <v>0</v>
      </c>
      <c r="AE159" s="6">
        <f ca="1">$K$159*$Y$159</f>
        <v>68624.47426489745</v>
      </c>
      <c r="AF159" s="6">
        <f ca="1"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39</v>
      </c>
      <c r="C160" s="4" t="s">
        <v>40</v>
      </c>
      <c r="D160" s="4" t="s">
        <v>38</v>
      </c>
      <c r="E160" s="4" t="s">
        <v>25</v>
      </c>
      <c r="F160" s="4" t="s">
        <v>25</v>
      </c>
      <c r="G160" s="4" t="s">
        <v>25</v>
      </c>
      <c r="H160" s="4" t="s">
        <v>35</v>
      </c>
      <c r="I160" s="5">
        <v>44228</v>
      </c>
      <c r="J160" s="6">
        <v>835</v>
      </c>
      <c r="K160" s="6">
        <v>835</v>
      </c>
      <c r="L160" s="6">
        <v>103.95399999999999</v>
      </c>
      <c r="M160" s="6">
        <v>103.95399999999999</v>
      </c>
      <c r="N160" s="6">
        <v>103.95399999999999</v>
      </c>
      <c r="O160" s="6">
        <v>103.95399999999999</v>
      </c>
      <c r="P160" s="6">
        <v>0</v>
      </c>
      <c r="Q160" s="4" t="s">
        <v>26</v>
      </c>
      <c r="R160" s="4">
        <v>0</v>
      </c>
      <c r="S160" s="6">
        <v>10</v>
      </c>
      <c r="T160" s="6">
        <v>11</v>
      </c>
      <c r="U160" s="6">
        <v>68</v>
      </c>
      <c r="V160" s="6">
        <f>IF(ISERROR(VLOOKUP($S$160,'TAR FIN'!$A$1:$O$100,15,0)),0,VLOOKUP($S$160,'TAR FIN'!$A$1:$O$100,15,0))</f>
        <v>18.48</v>
      </c>
      <c r="W160" s="6">
        <f>IF(ISERROR(VLOOKUP($T$160,'TAR FIN'!$A$1:$O$100,15,0)),0,VLOOKUP($T$160,'TAR FIN'!$A$1:$O$100,15,0))</f>
        <v>43.65</v>
      </c>
      <c r="X160" s="6">
        <f>IF(ISERROR(VLOOKUP($U$160,'TAR FIN'!$A$1:$O$100,15,0)),0,VLOOKUP($U$160,'TAR FIN'!$A$1:$O$100,15,0))</f>
        <v>219.03</v>
      </c>
      <c r="Y160" s="6">
        <f ca="1">('TUSD BE'!$AM$13+'TUSD BF'!$AM$13+'TUSD CVA'!$AM$13)*1</f>
        <v>17.856842567448453</v>
      </c>
      <c r="Z160" s="6">
        <f ca="1">('TUSD BE'!$AM$14+'TUSD BF'!$AM$14+'TUSD CVA'!$AM$14)*1</f>
        <v>49.78704102185678</v>
      </c>
      <c r="AA160" s="6">
        <f>('TE BE'!$AA$8+'TE BF'!$AA$8+'TE CVA'!$AA$8)*1</f>
        <v>238.55077890362423</v>
      </c>
      <c r="AB160" s="6">
        <f>$K$160*$V$160</f>
        <v>15430.800000000001</v>
      </c>
      <c r="AC160" s="6">
        <f>$M$160*$W$160</f>
        <v>4537.5920999999998</v>
      </c>
      <c r="AD160" s="6">
        <f>$O$160*$X$160</f>
        <v>22769.044619999997</v>
      </c>
      <c r="AE160" s="6">
        <f ca="1">$K$160*$Y$160</f>
        <v>14910.463543819458</v>
      </c>
      <c r="AF160" s="6">
        <f ca="1">$M$160*$Z$160</f>
        <v>5175.5620623860996</v>
      </c>
      <c r="AG160" s="6">
        <f>$O$160*$AA$160</f>
        <v>24798.307670147351</v>
      </c>
    </row>
    <row r="161" spans="1:33" ht="11.25" customHeight="1" x14ac:dyDescent="0.25">
      <c r="A161" s="4" t="s">
        <v>21</v>
      </c>
      <c r="B161" s="4" t="s">
        <v>39</v>
      </c>
      <c r="C161" s="4" t="s">
        <v>40</v>
      </c>
      <c r="D161" s="4" t="s">
        <v>38</v>
      </c>
      <c r="E161" s="4" t="s">
        <v>25</v>
      </c>
      <c r="F161" s="4" t="s">
        <v>25</v>
      </c>
      <c r="G161" s="4" t="s">
        <v>25</v>
      </c>
      <c r="H161" s="4" t="s">
        <v>35</v>
      </c>
      <c r="I161" s="5">
        <v>44256</v>
      </c>
      <c r="J161" s="6">
        <v>835</v>
      </c>
      <c r="K161" s="6">
        <v>835</v>
      </c>
      <c r="L161" s="6">
        <v>97.451999999999998</v>
      </c>
      <c r="M161" s="6">
        <v>97.451999999999998</v>
      </c>
      <c r="N161" s="6">
        <v>97.451999999999998</v>
      </c>
      <c r="O161" s="6">
        <v>97.451999999999998</v>
      </c>
      <c r="P161" s="6">
        <v>0</v>
      </c>
      <c r="Q161" s="4" t="s">
        <v>26</v>
      </c>
      <c r="R161" s="4">
        <v>0</v>
      </c>
      <c r="S161" s="6">
        <v>10</v>
      </c>
      <c r="T161" s="6">
        <v>11</v>
      </c>
      <c r="U161" s="6">
        <v>68</v>
      </c>
      <c r="V161" s="6">
        <f>IF(ISERROR(VLOOKUP($S$161,'TAR FIN'!$A$1:$O$100,15,0)),0,VLOOKUP($S$161,'TAR FIN'!$A$1:$O$100,15,0))</f>
        <v>18.48</v>
      </c>
      <c r="W161" s="6">
        <f>IF(ISERROR(VLOOKUP($T$161,'TAR FIN'!$A$1:$O$100,15,0)),0,VLOOKUP($T$161,'TAR FIN'!$A$1:$O$100,15,0))</f>
        <v>43.65</v>
      </c>
      <c r="X161" s="6">
        <f>IF(ISERROR(VLOOKUP($U$161,'TAR FIN'!$A$1:$O$100,15,0)),0,VLOOKUP($U$161,'TAR FIN'!$A$1:$O$100,15,0))</f>
        <v>219.03</v>
      </c>
      <c r="Y161" s="6">
        <f ca="1">('TUSD BE'!$AM$13+'TUSD BF'!$AM$13+'TUSD CVA'!$AM$13)*1</f>
        <v>17.856842567448453</v>
      </c>
      <c r="Z161" s="6">
        <f ca="1">('TUSD BE'!$AM$14+'TUSD BF'!$AM$14+'TUSD CVA'!$AM$14)*1</f>
        <v>49.78704102185678</v>
      </c>
      <c r="AA161" s="6">
        <f>('TE BE'!$AA$8+'TE BF'!$AA$8+'TE CVA'!$AA$8)*1</f>
        <v>238.55077890362423</v>
      </c>
      <c r="AB161" s="6">
        <f>$K$161*$V$161</f>
        <v>15430.800000000001</v>
      </c>
      <c r="AC161" s="6">
        <f>$M$161*$W$161</f>
        <v>4253.7797999999993</v>
      </c>
      <c r="AD161" s="6">
        <f>$O$161*$X$161</f>
        <v>21344.91156</v>
      </c>
      <c r="AE161" s="6">
        <f ca="1">$K$161*$Y$161</f>
        <v>14910.463543819458</v>
      </c>
      <c r="AF161" s="6">
        <f ca="1">$M$161*$Z$161</f>
        <v>4851.8467216619865</v>
      </c>
      <c r="AG161" s="6">
        <f>$O$161*$AA$161</f>
        <v>23247.250505715987</v>
      </c>
    </row>
    <row r="162" spans="1:33" ht="11.25" customHeight="1" x14ac:dyDescent="0.25">
      <c r="A162" s="4" t="s">
        <v>21</v>
      </c>
      <c r="B162" s="4" t="s">
        <v>39</v>
      </c>
      <c r="C162" s="4" t="s">
        <v>40</v>
      </c>
      <c r="D162" s="4" t="s">
        <v>38</v>
      </c>
      <c r="E162" s="4" t="s">
        <v>25</v>
      </c>
      <c r="F162" s="4" t="s">
        <v>25</v>
      </c>
      <c r="G162" s="4" t="s">
        <v>25</v>
      </c>
      <c r="H162" s="4" t="s">
        <v>35</v>
      </c>
      <c r="I162" s="5">
        <v>44287</v>
      </c>
      <c r="J162" s="6">
        <v>835</v>
      </c>
      <c r="K162" s="6">
        <v>835</v>
      </c>
      <c r="L162" s="6">
        <v>62.758000000000003</v>
      </c>
      <c r="M162" s="6">
        <v>62.758000000000003</v>
      </c>
      <c r="N162" s="6">
        <v>62.758000000000003</v>
      </c>
      <c r="O162" s="6">
        <v>62.758000000000003</v>
      </c>
      <c r="P162" s="6">
        <v>0</v>
      </c>
      <c r="Q162" s="4" t="s">
        <v>26</v>
      </c>
      <c r="R162" s="4">
        <v>0</v>
      </c>
      <c r="S162" s="6">
        <v>10</v>
      </c>
      <c r="T162" s="6">
        <v>11</v>
      </c>
      <c r="U162" s="6">
        <v>68</v>
      </c>
      <c r="V162" s="6">
        <f>IF(ISERROR(VLOOKUP($S$162,'TAR FIN'!$A$1:$O$100,15,0)),0,VLOOKUP($S$162,'TAR FIN'!$A$1:$O$100,15,0))</f>
        <v>18.48</v>
      </c>
      <c r="W162" s="6">
        <f>IF(ISERROR(VLOOKUP($T$162,'TAR FIN'!$A$1:$O$100,15,0)),0,VLOOKUP($T$162,'TAR FIN'!$A$1:$O$100,15,0))</f>
        <v>43.65</v>
      </c>
      <c r="X162" s="6">
        <f>IF(ISERROR(VLOOKUP($U$162,'TAR FIN'!$A$1:$O$100,15,0)),0,VLOOKUP($U$162,'TAR FIN'!$A$1:$O$100,15,0))</f>
        <v>219.03</v>
      </c>
      <c r="Y162" s="6">
        <f ca="1">('TUSD BE'!$AM$13+'TUSD BF'!$AM$13+'TUSD CVA'!$AM$13)*1</f>
        <v>17.856842567448453</v>
      </c>
      <c r="Z162" s="6">
        <f ca="1">('TUSD BE'!$AM$14+'TUSD BF'!$AM$14+'TUSD CVA'!$AM$14)*1</f>
        <v>49.78704102185678</v>
      </c>
      <c r="AA162" s="6">
        <f>('TE BE'!$AA$8+'TE BF'!$AA$8+'TE CVA'!$AA$8)*1</f>
        <v>238.55077890362423</v>
      </c>
      <c r="AB162" s="6">
        <f>$K$162*$V$162</f>
        <v>15430.800000000001</v>
      </c>
      <c r="AC162" s="6">
        <f>$M$162*$W$162</f>
        <v>2739.3867</v>
      </c>
      <c r="AD162" s="6">
        <f>$O$162*$X$162</f>
        <v>13745.884740000001</v>
      </c>
      <c r="AE162" s="6">
        <f ca="1">$K$162*$Y$162</f>
        <v>14910.463543819458</v>
      </c>
      <c r="AF162" s="6">
        <f ca="1">$M$162*$Z$162</f>
        <v>3124.5351204496878</v>
      </c>
      <c r="AG162" s="6">
        <f>$O$162*$AA$162</f>
        <v>14970.969782433651</v>
      </c>
    </row>
    <row r="163" spans="1:33" ht="11.25" customHeight="1" x14ac:dyDescent="0.25">
      <c r="A163" s="4" t="s">
        <v>21</v>
      </c>
      <c r="B163" s="4" t="s">
        <v>39</v>
      </c>
      <c r="C163" s="4" t="s">
        <v>40</v>
      </c>
      <c r="D163" s="4" t="s">
        <v>38</v>
      </c>
      <c r="E163" s="4" t="s">
        <v>25</v>
      </c>
      <c r="F163" s="4" t="s">
        <v>25</v>
      </c>
      <c r="G163" s="4" t="s">
        <v>25</v>
      </c>
      <c r="H163" s="4" t="s">
        <v>35</v>
      </c>
      <c r="I163" s="5">
        <v>44317</v>
      </c>
      <c r="J163" s="6">
        <v>835</v>
      </c>
      <c r="K163" s="6">
        <v>835</v>
      </c>
      <c r="L163" s="6">
        <v>97.274000000000001</v>
      </c>
      <c r="M163" s="6">
        <v>97.274000000000001</v>
      </c>
      <c r="N163" s="6">
        <v>97.274000000000001</v>
      </c>
      <c r="O163" s="6">
        <v>97.274000000000001</v>
      </c>
      <c r="P163" s="6">
        <v>0</v>
      </c>
      <c r="Q163" s="4" t="s">
        <v>26</v>
      </c>
      <c r="R163" s="4">
        <v>0</v>
      </c>
      <c r="S163" s="6">
        <v>10</v>
      </c>
      <c r="T163" s="6">
        <v>11</v>
      </c>
      <c r="U163" s="6">
        <v>68</v>
      </c>
      <c r="V163" s="6">
        <f>IF(ISERROR(VLOOKUP($S$163,'TAR FIN'!$A$1:$O$100,15,0)),0,VLOOKUP($S$163,'TAR FIN'!$A$1:$O$100,15,0))</f>
        <v>18.48</v>
      </c>
      <c r="W163" s="6">
        <f>IF(ISERROR(VLOOKUP($T$163,'TAR FIN'!$A$1:$O$100,15,0)),0,VLOOKUP($T$163,'TAR FIN'!$A$1:$O$100,15,0))</f>
        <v>43.65</v>
      </c>
      <c r="X163" s="6">
        <f>IF(ISERROR(VLOOKUP($U$163,'TAR FIN'!$A$1:$O$100,15,0)),0,VLOOKUP($U$163,'TAR FIN'!$A$1:$O$100,15,0))</f>
        <v>219.03</v>
      </c>
      <c r="Y163" s="6">
        <f ca="1">('TUSD BE'!$AM$13+'TUSD BF'!$AM$13+'TUSD CVA'!$AM$13)*1</f>
        <v>17.856842567448453</v>
      </c>
      <c r="Z163" s="6">
        <f ca="1">('TUSD BE'!$AM$14+'TUSD BF'!$AM$14+'TUSD CVA'!$AM$14)*1</f>
        <v>49.78704102185678</v>
      </c>
      <c r="AA163" s="6">
        <f>('TE BE'!$AA$8+'TE BF'!$AA$8+'TE CVA'!$AA$8)*1</f>
        <v>238.55077890362423</v>
      </c>
      <c r="AB163" s="6">
        <f>$K$163*$V$163</f>
        <v>15430.800000000001</v>
      </c>
      <c r="AC163" s="6">
        <f>$M$163*$W$163</f>
        <v>4246.0100999999995</v>
      </c>
      <c r="AD163" s="6">
        <f>$O$163*$X$163</f>
        <v>21305.924220000001</v>
      </c>
      <c r="AE163" s="6">
        <f ca="1">$K$163*$Y$163</f>
        <v>14910.463543819458</v>
      </c>
      <c r="AF163" s="6">
        <f ca="1">$M$163*$Z$163</f>
        <v>4842.9846283600964</v>
      </c>
      <c r="AG163" s="6">
        <f>$O$163*$AA$163</f>
        <v>23204.788467071143</v>
      </c>
    </row>
    <row r="164" spans="1:33" ht="11.25" customHeight="1" x14ac:dyDescent="0.25">
      <c r="A164" s="4" t="s">
        <v>21</v>
      </c>
      <c r="B164" s="4" t="s">
        <v>39</v>
      </c>
      <c r="C164" s="4" t="s">
        <v>40</v>
      </c>
      <c r="D164" s="4" t="s">
        <v>38</v>
      </c>
      <c r="E164" s="4" t="s">
        <v>25</v>
      </c>
      <c r="F164" s="4" t="s">
        <v>25</v>
      </c>
      <c r="G164" s="4" t="s">
        <v>25</v>
      </c>
      <c r="H164" s="4" t="s">
        <v>35</v>
      </c>
      <c r="I164" s="5">
        <v>44348</v>
      </c>
      <c r="J164" s="6">
        <v>835</v>
      </c>
      <c r="K164" s="6">
        <v>835</v>
      </c>
      <c r="L164" s="6">
        <v>110.58</v>
      </c>
      <c r="M164" s="6">
        <v>110.58</v>
      </c>
      <c r="N164" s="6">
        <v>110.58</v>
      </c>
      <c r="O164" s="6">
        <v>110.58</v>
      </c>
      <c r="P164" s="6">
        <v>0</v>
      </c>
      <c r="Q164" s="4" t="s">
        <v>26</v>
      </c>
      <c r="R164" s="4">
        <v>0</v>
      </c>
      <c r="S164" s="6">
        <v>10</v>
      </c>
      <c r="T164" s="6">
        <v>11</v>
      </c>
      <c r="U164" s="6">
        <v>68</v>
      </c>
      <c r="V164" s="6">
        <f>IF(ISERROR(VLOOKUP($S$164,'TAR FIN'!$A$1:$O$100,15,0)),0,VLOOKUP($S$164,'TAR FIN'!$A$1:$O$100,15,0))</f>
        <v>18.48</v>
      </c>
      <c r="W164" s="6">
        <f>IF(ISERROR(VLOOKUP($T$164,'TAR FIN'!$A$1:$O$100,15,0)),0,VLOOKUP($T$164,'TAR FIN'!$A$1:$O$100,15,0))</f>
        <v>43.65</v>
      </c>
      <c r="X164" s="6">
        <f>IF(ISERROR(VLOOKUP($U$164,'TAR FIN'!$A$1:$O$100,15,0)),0,VLOOKUP($U$164,'TAR FIN'!$A$1:$O$100,15,0))</f>
        <v>219.03</v>
      </c>
      <c r="Y164" s="6">
        <f ca="1">('TUSD BE'!$AM$13+'TUSD BF'!$AM$13+'TUSD CVA'!$AM$13)*1</f>
        <v>17.856842567448453</v>
      </c>
      <c r="Z164" s="6">
        <f ca="1">('TUSD BE'!$AM$14+'TUSD BF'!$AM$14+'TUSD CVA'!$AM$14)*1</f>
        <v>49.78704102185678</v>
      </c>
      <c r="AA164" s="6">
        <f>('TE BE'!$AA$8+'TE BF'!$AA$8+'TE CVA'!$AA$8)*1</f>
        <v>238.55077890362423</v>
      </c>
      <c r="AB164" s="6">
        <f>$K$164*$V$164</f>
        <v>15430.800000000001</v>
      </c>
      <c r="AC164" s="6">
        <f>$M$164*$W$164</f>
        <v>4826.817</v>
      </c>
      <c r="AD164" s="6">
        <f>$O$164*$X$164</f>
        <v>24220.3374</v>
      </c>
      <c r="AE164" s="6">
        <f ca="1">$K$164*$Y$164</f>
        <v>14910.463543819458</v>
      </c>
      <c r="AF164" s="6">
        <f ca="1">$M$164*$Z$164</f>
        <v>5505.4509961969225</v>
      </c>
      <c r="AG164" s="6">
        <f>$O$164*$AA$164</f>
        <v>26378.945131162767</v>
      </c>
    </row>
    <row r="165" spans="1:33" ht="11.25" customHeight="1" x14ac:dyDescent="0.25">
      <c r="A165" s="4" t="s">
        <v>21</v>
      </c>
      <c r="B165" s="4" t="s">
        <v>39</v>
      </c>
      <c r="C165" s="4" t="s">
        <v>40</v>
      </c>
      <c r="D165" s="4" t="s">
        <v>38</v>
      </c>
      <c r="E165" s="4" t="s">
        <v>25</v>
      </c>
      <c r="F165" s="4" t="s">
        <v>25</v>
      </c>
      <c r="G165" s="4" t="s">
        <v>25</v>
      </c>
      <c r="H165" s="4" t="s">
        <v>35</v>
      </c>
      <c r="I165" s="5">
        <v>44378</v>
      </c>
      <c r="J165" s="6">
        <v>835</v>
      </c>
      <c r="K165" s="6">
        <v>835</v>
      </c>
      <c r="L165" s="6">
        <v>101.02</v>
      </c>
      <c r="M165" s="6">
        <v>101.02</v>
      </c>
      <c r="N165" s="6">
        <v>101.02</v>
      </c>
      <c r="O165" s="6">
        <v>101.02</v>
      </c>
      <c r="P165" s="6">
        <v>0</v>
      </c>
      <c r="Q165" s="4" t="s">
        <v>26</v>
      </c>
      <c r="R165" s="4">
        <v>0</v>
      </c>
      <c r="S165" s="6">
        <v>10</v>
      </c>
      <c r="T165" s="6">
        <v>11</v>
      </c>
      <c r="U165" s="6">
        <v>68</v>
      </c>
      <c r="V165" s="6">
        <f>IF(ISERROR(VLOOKUP($S$165,'TAR FIN'!$A$1:$O$100,15,0)),0,VLOOKUP($S$165,'TAR FIN'!$A$1:$O$100,15,0))</f>
        <v>18.48</v>
      </c>
      <c r="W165" s="6">
        <f>IF(ISERROR(VLOOKUP($T$165,'TAR FIN'!$A$1:$O$100,15,0)),0,VLOOKUP($T$165,'TAR FIN'!$A$1:$O$100,15,0))</f>
        <v>43.65</v>
      </c>
      <c r="X165" s="6">
        <f>IF(ISERROR(VLOOKUP($U$165,'TAR FIN'!$A$1:$O$100,15,0)),0,VLOOKUP($U$165,'TAR FIN'!$A$1:$O$100,15,0))</f>
        <v>219.03</v>
      </c>
      <c r="Y165" s="6">
        <f ca="1">('TUSD BE'!$AM$13+'TUSD BF'!$AM$13+'TUSD CVA'!$AM$13)*1</f>
        <v>17.856842567448453</v>
      </c>
      <c r="Z165" s="6">
        <f ca="1">('TUSD BE'!$AM$14+'TUSD BF'!$AM$14+'TUSD CVA'!$AM$14)*1</f>
        <v>49.78704102185678</v>
      </c>
      <c r="AA165" s="6">
        <f>('TE BE'!$AA$8+'TE BF'!$AA$8+'TE CVA'!$AA$8)*1</f>
        <v>238.55077890362423</v>
      </c>
      <c r="AB165" s="6">
        <f>$K$165*$V$165</f>
        <v>15430.800000000001</v>
      </c>
      <c r="AC165" s="6">
        <f>$M$165*$W$165</f>
        <v>4409.5229999999992</v>
      </c>
      <c r="AD165" s="6">
        <f>$O$165*$X$165</f>
        <v>22126.410599999999</v>
      </c>
      <c r="AE165" s="6">
        <f ca="1">$K$165*$Y$165</f>
        <v>14910.463543819458</v>
      </c>
      <c r="AF165" s="6">
        <f ca="1">$M$165*$Z$165</f>
        <v>5029.4868840279714</v>
      </c>
      <c r="AG165" s="6">
        <f>$O$165*$AA$165</f>
        <v>24098.39968484412</v>
      </c>
    </row>
    <row r="166" spans="1:33" ht="11.25" customHeight="1" x14ac:dyDescent="0.25">
      <c r="A166" s="4" t="s">
        <v>21</v>
      </c>
      <c r="B166" s="4" t="s">
        <v>39</v>
      </c>
      <c r="C166" s="4" t="s">
        <v>40</v>
      </c>
      <c r="D166" s="4" t="s">
        <v>38</v>
      </c>
      <c r="E166" s="4" t="s">
        <v>25</v>
      </c>
      <c r="F166" s="4" t="s">
        <v>25</v>
      </c>
      <c r="G166" s="4" t="s">
        <v>25</v>
      </c>
      <c r="H166" s="4" t="s">
        <v>35</v>
      </c>
      <c r="I166" s="5">
        <v>44409</v>
      </c>
      <c r="J166" s="6">
        <v>835</v>
      </c>
      <c r="K166" s="6">
        <v>835</v>
      </c>
      <c r="L166" s="6">
        <v>103.64400000000001</v>
      </c>
      <c r="M166" s="6">
        <v>103.64400000000001</v>
      </c>
      <c r="N166" s="6">
        <v>103.64400000000001</v>
      </c>
      <c r="O166" s="6">
        <v>103.64400000000001</v>
      </c>
      <c r="P166" s="6">
        <v>0</v>
      </c>
      <c r="Q166" s="4" t="s">
        <v>26</v>
      </c>
      <c r="R166" s="4">
        <v>0</v>
      </c>
      <c r="S166" s="6">
        <v>10</v>
      </c>
      <c r="T166" s="6">
        <v>11</v>
      </c>
      <c r="U166" s="6">
        <v>68</v>
      </c>
      <c r="V166" s="6">
        <f>IF(ISERROR(VLOOKUP($S$166,'TAR FIN'!$A$1:$O$100,15,0)),0,VLOOKUP($S$166,'TAR FIN'!$A$1:$O$100,15,0))</f>
        <v>18.48</v>
      </c>
      <c r="W166" s="6">
        <f>IF(ISERROR(VLOOKUP($T$166,'TAR FIN'!$A$1:$O$100,15,0)),0,VLOOKUP($T$166,'TAR FIN'!$A$1:$O$100,15,0))</f>
        <v>43.65</v>
      </c>
      <c r="X166" s="6">
        <f>IF(ISERROR(VLOOKUP($U$166,'TAR FIN'!$A$1:$O$100,15,0)),0,VLOOKUP($U$166,'TAR FIN'!$A$1:$O$100,15,0))</f>
        <v>219.03</v>
      </c>
      <c r="Y166" s="6">
        <f ca="1">('TUSD BE'!$AM$13+'TUSD BF'!$AM$13+'TUSD CVA'!$AM$13)*1</f>
        <v>17.856842567448453</v>
      </c>
      <c r="Z166" s="6">
        <f ca="1">('TUSD BE'!$AM$14+'TUSD BF'!$AM$14+'TUSD CVA'!$AM$14)*1</f>
        <v>49.78704102185678</v>
      </c>
      <c r="AA166" s="6">
        <f>('TE BE'!$AA$8+'TE BF'!$AA$8+'TE CVA'!$AA$8)*1</f>
        <v>238.55077890362423</v>
      </c>
      <c r="AB166" s="6">
        <f>$K$166*$V$166</f>
        <v>15430.800000000001</v>
      </c>
      <c r="AC166" s="6">
        <f>$M$166*$W$166</f>
        <v>4524.0605999999998</v>
      </c>
      <c r="AD166" s="6">
        <f>$O$166*$X$166</f>
        <v>22701.14532</v>
      </c>
      <c r="AE166" s="6">
        <f ca="1">$K$166*$Y$166</f>
        <v>14910.463543819458</v>
      </c>
      <c r="AF166" s="6">
        <f ca="1">$M$166*$Z$166</f>
        <v>5160.1280796693245</v>
      </c>
      <c r="AG166" s="6">
        <f>$O$166*$AA$166</f>
        <v>24724.35692868723</v>
      </c>
    </row>
    <row r="167" spans="1:33" ht="11.25" customHeight="1" x14ac:dyDescent="0.25">
      <c r="A167" s="4" t="s">
        <v>21</v>
      </c>
      <c r="B167" s="4" t="s">
        <v>39</v>
      </c>
      <c r="C167" s="4" t="s">
        <v>40</v>
      </c>
      <c r="D167" s="4" t="s">
        <v>38</v>
      </c>
      <c r="E167" s="4" t="s">
        <v>25</v>
      </c>
      <c r="F167" s="4" t="s">
        <v>25</v>
      </c>
      <c r="G167" s="4" t="s">
        <v>25</v>
      </c>
      <c r="H167" s="4" t="s">
        <v>35</v>
      </c>
      <c r="I167" s="5">
        <v>44440</v>
      </c>
      <c r="J167" s="6">
        <v>835</v>
      </c>
      <c r="K167" s="6">
        <v>835</v>
      </c>
      <c r="L167" s="6">
        <v>112.166</v>
      </c>
      <c r="M167" s="6">
        <v>112.166</v>
      </c>
      <c r="N167" s="6">
        <v>112.166</v>
      </c>
      <c r="O167" s="6">
        <v>112.166</v>
      </c>
      <c r="P167" s="6">
        <v>0</v>
      </c>
      <c r="Q167" s="4" t="s">
        <v>26</v>
      </c>
      <c r="R167" s="4">
        <v>0</v>
      </c>
      <c r="S167" s="6">
        <v>10</v>
      </c>
      <c r="T167" s="6">
        <v>11</v>
      </c>
      <c r="U167" s="6">
        <v>68</v>
      </c>
      <c r="V167" s="6">
        <f>IF(ISERROR(VLOOKUP($S$167,'TAR FIN'!$A$1:$O$100,15,0)),0,VLOOKUP($S$167,'TAR FIN'!$A$1:$O$100,15,0))</f>
        <v>18.48</v>
      </c>
      <c r="W167" s="6">
        <f>IF(ISERROR(VLOOKUP($T$167,'TAR FIN'!$A$1:$O$100,15,0)),0,VLOOKUP($T$167,'TAR FIN'!$A$1:$O$100,15,0))</f>
        <v>43.65</v>
      </c>
      <c r="X167" s="6">
        <f>IF(ISERROR(VLOOKUP($U$167,'TAR FIN'!$A$1:$O$100,15,0)),0,VLOOKUP($U$167,'TAR FIN'!$A$1:$O$100,15,0))</f>
        <v>219.03</v>
      </c>
      <c r="Y167" s="6">
        <f ca="1">('TUSD BE'!$AM$13+'TUSD BF'!$AM$13+'TUSD CVA'!$AM$13)*1</f>
        <v>17.856842567448453</v>
      </c>
      <c r="Z167" s="6">
        <f ca="1">('TUSD BE'!$AM$14+'TUSD BF'!$AM$14+'TUSD CVA'!$AM$14)*1</f>
        <v>49.78704102185678</v>
      </c>
      <c r="AA167" s="6">
        <f>('TE BE'!$AA$8+'TE BF'!$AA$8+'TE CVA'!$AA$8)*1</f>
        <v>238.55077890362423</v>
      </c>
      <c r="AB167" s="6">
        <f>$K$167*$V$167</f>
        <v>15430.800000000001</v>
      </c>
      <c r="AC167" s="6">
        <f>$M$167*$W$167</f>
        <v>4896.0459000000001</v>
      </c>
      <c r="AD167" s="6">
        <f>$O$167*$X$167</f>
        <v>24567.718979999998</v>
      </c>
      <c r="AE167" s="6">
        <f ca="1">$K$167*$Y$167</f>
        <v>14910.463543819458</v>
      </c>
      <c r="AF167" s="6">
        <f ca="1">$M$167*$Z$167</f>
        <v>5584.4132432575871</v>
      </c>
      <c r="AG167" s="6">
        <f>$O$167*$AA$167</f>
        <v>26757.286666503915</v>
      </c>
    </row>
    <row r="168" spans="1:33" ht="11.25" customHeight="1" x14ac:dyDescent="0.25">
      <c r="A168" s="4" t="s">
        <v>21</v>
      </c>
      <c r="B168" s="4" t="s">
        <v>39</v>
      </c>
      <c r="C168" s="4" t="s">
        <v>40</v>
      </c>
      <c r="D168" s="4" t="s">
        <v>38</v>
      </c>
      <c r="E168" s="4" t="s">
        <v>25</v>
      </c>
      <c r="F168" s="4" t="s">
        <v>25</v>
      </c>
      <c r="G168" s="4" t="s">
        <v>25</v>
      </c>
      <c r="H168" s="4" t="s">
        <v>35</v>
      </c>
      <c r="I168" s="5">
        <v>44470</v>
      </c>
      <c r="J168" s="6">
        <v>835</v>
      </c>
      <c r="K168" s="6">
        <v>835</v>
      </c>
      <c r="L168" s="6">
        <v>74.494</v>
      </c>
      <c r="M168" s="6">
        <v>74.494</v>
      </c>
      <c r="N168" s="6">
        <v>74.494</v>
      </c>
      <c r="O168" s="6">
        <v>74.494</v>
      </c>
      <c r="P168" s="6">
        <v>0</v>
      </c>
      <c r="Q168" s="4" t="s">
        <v>26</v>
      </c>
      <c r="R168" s="4">
        <v>0</v>
      </c>
      <c r="S168" s="6">
        <v>10</v>
      </c>
      <c r="T168" s="6">
        <v>11</v>
      </c>
      <c r="U168" s="6">
        <v>68</v>
      </c>
      <c r="V168" s="6">
        <f>IF(ISERROR(VLOOKUP($S$168,'TAR FIN'!$A$1:$O$100,15,0)),0,VLOOKUP($S$168,'TAR FIN'!$A$1:$O$100,15,0))</f>
        <v>18.48</v>
      </c>
      <c r="W168" s="6">
        <f>IF(ISERROR(VLOOKUP($T$168,'TAR FIN'!$A$1:$O$100,15,0)),0,VLOOKUP($T$168,'TAR FIN'!$A$1:$O$100,15,0))</f>
        <v>43.65</v>
      </c>
      <c r="X168" s="6">
        <f>IF(ISERROR(VLOOKUP($U$168,'TAR FIN'!$A$1:$O$100,15,0)),0,VLOOKUP($U$168,'TAR FIN'!$A$1:$O$100,15,0))</f>
        <v>219.03</v>
      </c>
      <c r="Y168" s="6">
        <f ca="1">('TUSD BE'!$AM$13+'TUSD BF'!$AM$13+'TUSD CVA'!$AM$13)*1</f>
        <v>17.856842567448453</v>
      </c>
      <c r="Z168" s="6">
        <f ca="1">('TUSD BE'!$AM$14+'TUSD BF'!$AM$14+'TUSD CVA'!$AM$14)*1</f>
        <v>49.78704102185678</v>
      </c>
      <c r="AA168" s="6">
        <f>('TE BE'!$AA$8+'TE BF'!$AA$8+'TE CVA'!$AA$8)*1</f>
        <v>238.55077890362423</v>
      </c>
      <c r="AB168" s="6">
        <f>$K$168*$V$168</f>
        <v>15430.800000000001</v>
      </c>
      <c r="AC168" s="6">
        <f>$M$168*$W$168</f>
        <v>3251.6630999999998</v>
      </c>
      <c r="AD168" s="6">
        <f>$O$168*$X$168</f>
        <v>16316.420819999999</v>
      </c>
      <c r="AE168" s="6">
        <f ca="1">$K$168*$Y$168</f>
        <v>14910.463543819458</v>
      </c>
      <c r="AF168" s="6">
        <f ca="1">$M$168*$Z$168</f>
        <v>3708.835833882199</v>
      </c>
      <c r="AG168" s="6">
        <f>$O$168*$AA$168</f>
        <v>17770.601723646585</v>
      </c>
    </row>
    <row r="169" spans="1:33" ht="11.25" customHeight="1" x14ac:dyDescent="0.25">
      <c r="A169" s="4" t="s">
        <v>21</v>
      </c>
      <c r="B169" s="4" t="s">
        <v>39</v>
      </c>
      <c r="C169" s="4" t="s">
        <v>40</v>
      </c>
      <c r="D169" s="4" t="s">
        <v>38</v>
      </c>
      <c r="E169" s="4" t="s">
        <v>25</v>
      </c>
      <c r="F169" s="4" t="s">
        <v>25</v>
      </c>
      <c r="G169" s="4" t="s">
        <v>25</v>
      </c>
      <c r="H169" s="4" t="s">
        <v>35</v>
      </c>
      <c r="I169" s="5">
        <v>44501</v>
      </c>
      <c r="J169" s="6">
        <v>835</v>
      </c>
      <c r="K169" s="6">
        <v>835</v>
      </c>
      <c r="L169" s="6">
        <v>72.061999999999998</v>
      </c>
      <c r="M169" s="6">
        <v>72.061999999999998</v>
      </c>
      <c r="N169" s="6">
        <v>72.061999999999998</v>
      </c>
      <c r="O169" s="6">
        <v>72.061999999999998</v>
      </c>
      <c r="P169" s="6">
        <v>0</v>
      </c>
      <c r="Q169" s="4" t="s">
        <v>26</v>
      </c>
      <c r="R169" s="4">
        <v>0</v>
      </c>
      <c r="S169" s="6">
        <v>10</v>
      </c>
      <c r="T169" s="6">
        <v>11</v>
      </c>
      <c r="U169" s="6">
        <v>68</v>
      </c>
      <c r="V169" s="6">
        <f>IF(ISERROR(VLOOKUP($S$169,'TAR FIN'!$A$1:$O$100,15,0)),0,VLOOKUP($S$169,'TAR FIN'!$A$1:$O$100,15,0))</f>
        <v>18.48</v>
      </c>
      <c r="W169" s="6">
        <f>IF(ISERROR(VLOOKUP($T$169,'TAR FIN'!$A$1:$O$100,15,0)),0,VLOOKUP($T$169,'TAR FIN'!$A$1:$O$100,15,0))</f>
        <v>43.65</v>
      </c>
      <c r="X169" s="6">
        <f>IF(ISERROR(VLOOKUP($U$169,'TAR FIN'!$A$1:$O$100,15,0)),0,VLOOKUP($U$169,'TAR FIN'!$A$1:$O$100,15,0))</f>
        <v>219.03</v>
      </c>
      <c r="Y169" s="6">
        <f ca="1">('TUSD BE'!$AM$13+'TUSD BF'!$AM$13+'TUSD CVA'!$AM$13)*1</f>
        <v>17.856842567448453</v>
      </c>
      <c r="Z169" s="6">
        <f ca="1">('TUSD BE'!$AM$14+'TUSD BF'!$AM$14+'TUSD CVA'!$AM$14)*1</f>
        <v>49.78704102185678</v>
      </c>
      <c r="AA169" s="6">
        <f>('TE BE'!$AA$8+'TE BF'!$AA$8+'TE CVA'!$AA$8)*1</f>
        <v>238.55077890362423</v>
      </c>
      <c r="AB169" s="6">
        <f>$K$169*$V$169</f>
        <v>15430.800000000001</v>
      </c>
      <c r="AC169" s="6">
        <f>$M$169*$W$169</f>
        <v>3145.5063</v>
      </c>
      <c r="AD169" s="6">
        <f>$O$169*$X$169</f>
        <v>15783.73986</v>
      </c>
      <c r="AE169" s="6">
        <f ca="1">$K$169*$Y$169</f>
        <v>14910.463543819458</v>
      </c>
      <c r="AF169" s="6">
        <f ca="1">$M$169*$Z$169</f>
        <v>3587.7537501170432</v>
      </c>
      <c r="AG169" s="6">
        <f>$O$169*$AA$169</f>
        <v>17190.446229352969</v>
      </c>
    </row>
    <row r="170" spans="1:33" ht="11.25" customHeight="1" x14ac:dyDescent="0.25">
      <c r="A170" s="4" t="s">
        <v>21</v>
      </c>
      <c r="B170" s="4" t="s">
        <v>39</v>
      </c>
      <c r="C170" s="4" t="s">
        <v>40</v>
      </c>
      <c r="D170" s="4" t="s">
        <v>38</v>
      </c>
      <c r="E170" s="4" t="s">
        <v>25</v>
      </c>
      <c r="F170" s="4" t="s">
        <v>25</v>
      </c>
      <c r="G170" s="4" t="s">
        <v>25</v>
      </c>
      <c r="H170" s="4" t="s">
        <v>35</v>
      </c>
      <c r="I170" s="5">
        <v>44531</v>
      </c>
      <c r="J170" s="6">
        <v>835</v>
      </c>
      <c r="K170" s="6">
        <v>835</v>
      </c>
      <c r="L170" s="6">
        <v>77.415999999999997</v>
      </c>
      <c r="M170" s="6">
        <v>77.415999999999997</v>
      </c>
      <c r="N170" s="6">
        <v>77.415999999999997</v>
      </c>
      <c r="O170" s="6">
        <v>77.415999999999997</v>
      </c>
      <c r="P170" s="6">
        <v>0</v>
      </c>
      <c r="Q170" s="4" t="s">
        <v>26</v>
      </c>
      <c r="R170" s="4">
        <v>0</v>
      </c>
      <c r="S170" s="6">
        <v>10</v>
      </c>
      <c r="T170" s="6">
        <v>11</v>
      </c>
      <c r="U170" s="6">
        <v>68</v>
      </c>
      <c r="V170" s="6">
        <f>IF(ISERROR(VLOOKUP($S$170,'TAR FIN'!$A$1:$O$100,15,0)),0,VLOOKUP($S$170,'TAR FIN'!$A$1:$O$100,15,0))</f>
        <v>18.48</v>
      </c>
      <c r="W170" s="6">
        <f>IF(ISERROR(VLOOKUP($T$170,'TAR FIN'!$A$1:$O$100,15,0)),0,VLOOKUP($T$170,'TAR FIN'!$A$1:$O$100,15,0))</f>
        <v>43.65</v>
      </c>
      <c r="X170" s="6">
        <f>IF(ISERROR(VLOOKUP($U$170,'TAR FIN'!$A$1:$O$100,15,0)),0,VLOOKUP($U$170,'TAR FIN'!$A$1:$O$100,15,0))</f>
        <v>219.03</v>
      </c>
      <c r="Y170" s="6">
        <f ca="1">('TUSD BE'!$AM$13+'TUSD BF'!$AM$13+'TUSD CVA'!$AM$13)*1</f>
        <v>17.856842567448453</v>
      </c>
      <c r="Z170" s="6">
        <f ca="1">('TUSD BE'!$AM$14+'TUSD BF'!$AM$14+'TUSD CVA'!$AM$14)*1</f>
        <v>49.78704102185678</v>
      </c>
      <c r="AA170" s="6">
        <f>('TE BE'!$AA$8+'TE BF'!$AA$8+'TE CVA'!$AA$8)*1</f>
        <v>238.55077890362423</v>
      </c>
      <c r="AB170" s="6">
        <f>$K$170*$V$170</f>
        <v>15430.800000000001</v>
      </c>
      <c r="AC170" s="6">
        <f>$M$170*$W$170</f>
        <v>3379.2083999999995</v>
      </c>
      <c r="AD170" s="6">
        <f>$O$170*$X$170</f>
        <v>16956.426479999998</v>
      </c>
      <c r="AE170" s="6">
        <f ca="1">$K$170*$Y$170</f>
        <v>14910.463543819458</v>
      </c>
      <c r="AF170" s="6">
        <f ca="1">$M$170*$Z$170</f>
        <v>3854.3135677480641</v>
      </c>
      <c r="AG170" s="6">
        <f>$O$170*$AA$170</f>
        <v>18467.647099602975</v>
      </c>
    </row>
    <row r="171" spans="1:33" ht="11.25" customHeight="1" x14ac:dyDescent="0.25">
      <c r="A171" s="4" t="s">
        <v>55</v>
      </c>
      <c r="B171" s="4" t="s">
        <v>39</v>
      </c>
      <c r="C171" s="4" t="s">
        <v>40</v>
      </c>
      <c r="D171" s="4" t="s">
        <v>38</v>
      </c>
      <c r="E171" s="4" t="s">
        <v>25</v>
      </c>
      <c r="F171" s="4" t="s">
        <v>25</v>
      </c>
      <c r="G171" s="4" t="s">
        <v>25</v>
      </c>
      <c r="H171" s="4" t="s">
        <v>35</v>
      </c>
      <c r="I171" s="5">
        <v>44562</v>
      </c>
      <c r="J171" s="6">
        <v>835</v>
      </c>
      <c r="K171" s="6">
        <v>835</v>
      </c>
      <c r="L171" s="6">
        <v>77.415999999999997</v>
      </c>
      <c r="M171" s="6">
        <v>77.415999999999997</v>
      </c>
      <c r="N171" s="6">
        <v>77.415999999999997</v>
      </c>
      <c r="O171" s="6">
        <v>77.415999999999997</v>
      </c>
      <c r="P171" s="6">
        <v>0</v>
      </c>
      <c r="Q171" s="4" t="s">
        <v>26</v>
      </c>
      <c r="R171" s="4">
        <v>0</v>
      </c>
      <c r="S171" s="6">
        <v>10</v>
      </c>
      <c r="T171" s="6">
        <v>11</v>
      </c>
      <c r="U171" s="6">
        <v>68</v>
      </c>
      <c r="V171" s="6">
        <f>IF(ISERROR(VLOOKUP($S$171,'TAR FIN'!$A$1:$O$100,15,0)),0,VLOOKUP($S$171,'TAR FIN'!$A$1:$O$100,15,0))</f>
        <v>18.48</v>
      </c>
      <c r="W171" s="6">
        <f>IF(ISERROR(VLOOKUP($T$171,'TAR FIN'!$A$1:$O$100,15,0)),0,VLOOKUP($T$171,'TAR FIN'!$A$1:$O$100,15,0))</f>
        <v>43.65</v>
      </c>
      <c r="X171" s="6">
        <f>IF(ISERROR(VLOOKUP($U$171,'TAR FIN'!$A$1:$O$100,15,0)),0,VLOOKUP($U$171,'TAR FIN'!$A$1:$O$100,15,0))</f>
        <v>219.03</v>
      </c>
      <c r="Y171" s="6">
        <f ca="1">('TUSD BE'!$AM$13+'TUSD BF'!$AM$13+'TUSD CVA'!$AM$13)*1</f>
        <v>17.856842567448453</v>
      </c>
      <c r="Z171" s="6">
        <f ca="1">('TUSD BE'!$AM$14+'TUSD BF'!$AM$14+'TUSD CVA'!$AM$14)*1</f>
        <v>49.78704102185678</v>
      </c>
      <c r="AA171" s="6">
        <f>('TE BE'!$AA$8+'TE BF'!$AA$8+'TE CVA'!$AA$8)*1</f>
        <v>238.55077890362423</v>
      </c>
      <c r="AB171" s="6">
        <f>$K$171*$V$171</f>
        <v>15430.800000000001</v>
      </c>
      <c r="AC171" s="6">
        <f>$M$171*$W$171</f>
        <v>3379.2083999999995</v>
      </c>
      <c r="AD171" s="6">
        <f>$O$171*$X$171</f>
        <v>16956.426479999998</v>
      </c>
      <c r="AE171" s="6">
        <f ca="1">$K$171*$Y$171</f>
        <v>14910.463543819458</v>
      </c>
      <c r="AF171" s="6">
        <f ca="1">$M$171*$Z$171</f>
        <v>3854.3135677480641</v>
      </c>
      <c r="AG171" s="6">
        <f>$O$171*$AA$171</f>
        <v>18467.647099602975</v>
      </c>
    </row>
    <row r="172" spans="1:33" ht="11.25" customHeight="1" x14ac:dyDescent="0.25">
      <c r="A172" s="4" t="s">
        <v>21</v>
      </c>
      <c r="B172" s="4" t="s">
        <v>39</v>
      </c>
      <c r="C172" s="4" t="s">
        <v>40</v>
      </c>
      <c r="D172" s="4" t="s">
        <v>38</v>
      </c>
      <c r="E172" s="4" t="s">
        <v>25</v>
      </c>
      <c r="F172" s="4" t="s">
        <v>25</v>
      </c>
      <c r="G172" s="4" t="s">
        <v>25</v>
      </c>
      <c r="H172" s="4" t="s">
        <v>34</v>
      </c>
      <c r="I172" s="5">
        <v>44228</v>
      </c>
      <c r="J172" s="6">
        <v>115</v>
      </c>
      <c r="K172" s="6">
        <v>115</v>
      </c>
      <c r="L172" s="6">
        <v>3.6760000000000002</v>
      </c>
      <c r="M172" s="6">
        <v>3.6760000000000002</v>
      </c>
      <c r="N172" s="6">
        <v>3.6760000000000002</v>
      </c>
      <c r="O172" s="6">
        <v>3.6760000000000002</v>
      </c>
      <c r="P172" s="6">
        <v>0</v>
      </c>
      <c r="Q172" s="4" t="s">
        <v>26</v>
      </c>
      <c r="R172" s="4">
        <v>0</v>
      </c>
      <c r="S172" s="6">
        <v>9</v>
      </c>
      <c r="T172" s="6">
        <v>11</v>
      </c>
      <c r="U172" s="6">
        <v>67</v>
      </c>
      <c r="V172" s="6">
        <f>IF(ISERROR(VLOOKUP($S$172,'TAR FIN'!$A$1:$O$100,15,0)),0,VLOOKUP($S$172,'TAR FIN'!$A$1:$O$100,15,0))</f>
        <v>37.01</v>
      </c>
      <c r="W172" s="6">
        <f>IF(ISERROR(VLOOKUP($T$172,'TAR FIN'!$A$1:$O$100,15,0)),0,VLOOKUP($T$172,'TAR FIN'!$A$1:$O$100,15,0))</f>
        <v>43.65</v>
      </c>
      <c r="X172" s="6">
        <f>IF(ISERROR(VLOOKUP($U$172,'TAR FIN'!$A$1:$O$100,15,0)),0,VLOOKUP($U$172,'TAR FIN'!$A$1:$O$100,15,0))</f>
        <v>366.6</v>
      </c>
      <c r="Y172" s="6">
        <f ca="1">('TUSD BE'!$AM$12+'TUSD BF'!$AM$12+'TUSD CVA'!$AM$12)*1</f>
        <v>36.177295232618533</v>
      </c>
      <c r="Z172" s="6">
        <f ca="1">('TUSD BE'!$AM$14+'TUSD BF'!$AM$14+'TUSD CVA'!$AM$14)*1</f>
        <v>49.78704102185678</v>
      </c>
      <c r="AA172" s="6">
        <f>('TE BE'!$AA$7+'TE BF'!$AA$7+'TE CVA'!$AA$7)*1</f>
        <v>385.46556634281501</v>
      </c>
      <c r="AB172" s="6">
        <f>$K$172*$V$172</f>
        <v>4256.1499999999996</v>
      </c>
      <c r="AC172" s="6">
        <f>$M$172*$W$172</f>
        <v>160.45740000000001</v>
      </c>
      <c r="AD172" s="6">
        <f>$O$172*$X$172</f>
        <v>1347.6216000000002</v>
      </c>
      <c r="AE172" s="6">
        <f ca="1">$K$172*$Y$172</f>
        <v>4160.3889517511316</v>
      </c>
      <c r="AF172" s="6">
        <f ca="1">$M$172*$Z$172</f>
        <v>183.01716279634553</v>
      </c>
      <c r="AG172" s="6">
        <f>$O$172*$AA$172</f>
        <v>1416.9714218761881</v>
      </c>
    </row>
    <row r="173" spans="1:33" ht="11.25" customHeight="1" x14ac:dyDescent="0.25">
      <c r="A173" s="4" t="s">
        <v>21</v>
      </c>
      <c r="B173" s="4" t="s">
        <v>39</v>
      </c>
      <c r="C173" s="4" t="s">
        <v>40</v>
      </c>
      <c r="D173" s="4" t="s">
        <v>38</v>
      </c>
      <c r="E173" s="4" t="s">
        <v>25</v>
      </c>
      <c r="F173" s="4" t="s">
        <v>25</v>
      </c>
      <c r="G173" s="4" t="s">
        <v>25</v>
      </c>
      <c r="H173" s="4" t="s">
        <v>34</v>
      </c>
      <c r="I173" s="5">
        <v>44256</v>
      </c>
      <c r="J173" s="6">
        <v>115</v>
      </c>
      <c r="K173" s="6">
        <v>115</v>
      </c>
      <c r="L173" s="6">
        <v>4.1680000000000001</v>
      </c>
      <c r="M173" s="6">
        <v>4.1680000000000001</v>
      </c>
      <c r="N173" s="6">
        <v>4.1680000000000001</v>
      </c>
      <c r="O173" s="6">
        <v>4.1680000000000001</v>
      </c>
      <c r="P173" s="6">
        <v>0</v>
      </c>
      <c r="Q173" s="4" t="s">
        <v>26</v>
      </c>
      <c r="R173" s="4">
        <v>0</v>
      </c>
      <c r="S173" s="6">
        <v>9</v>
      </c>
      <c r="T173" s="6">
        <v>11</v>
      </c>
      <c r="U173" s="6">
        <v>67</v>
      </c>
      <c r="V173" s="6">
        <f>IF(ISERROR(VLOOKUP($S$173,'TAR FIN'!$A$1:$O$100,15,0)),0,VLOOKUP($S$173,'TAR FIN'!$A$1:$O$100,15,0))</f>
        <v>37.01</v>
      </c>
      <c r="W173" s="6">
        <f>IF(ISERROR(VLOOKUP($T$173,'TAR FIN'!$A$1:$O$100,15,0)),0,VLOOKUP($T$173,'TAR FIN'!$A$1:$O$100,15,0))</f>
        <v>43.65</v>
      </c>
      <c r="X173" s="6">
        <f>IF(ISERROR(VLOOKUP($U$173,'TAR FIN'!$A$1:$O$100,15,0)),0,VLOOKUP($U$173,'TAR FIN'!$A$1:$O$100,15,0))</f>
        <v>366.6</v>
      </c>
      <c r="Y173" s="6">
        <f ca="1">('TUSD BE'!$AM$12+'TUSD BF'!$AM$12+'TUSD CVA'!$AM$12)*1</f>
        <v>36.177295232618533</v>
      </c>
      <c r="Z173" s="6">
        <f ca="1">('TUSD BE'!$AM$14+'TUSD BF'!$AM$14+'TUSD CVA'!$AM$14)*1</f>
        <v>49.78704102185678</v>
      </c>
      <c r="AA173" s="6">
        <f>('TE BE'!$AA$7+'TE BF'!$AA$7+'TE CVA'!$AA$7)*1</f>
        <v>385.46556634281501</v>
      </c>
      <c r="AB173" s="6">
        <f>$K$173*$V$173</f>
        <v>4256.1499999999996</v>
      </c>
      <c r="AC173" s="6">
        <f>$M$173*$W$173</f>
        <v>181.9332</v>
      </c>
      <c r="AD173" s="6">
        <f>$O$173*$X$173</f>
        <v>1527.9888000000001</v>
      </c>
      <c r="AE173" s="6">
        <f ca="1">$K$173*$Y$173</f>
        <v>4160.3889517511316</v>
      </c>
      <c r="AF173" s="6">
        <f ca="1">$M$173*$Z$173</f>
        <v>207.51238697909906</v>
      </c>
      <c r="AG173" s="6">
        <f>$O$173*$AA$173</f>
        <v>1606.6204805168529</v>
      </c>
    </row>
    <row r="174" spans="1:33" ht="11.25" customHeight="1" x14ac:dyDescent="0.25">
      <c r="A174" s="4" t="s">
        <v>21</v>
      </c>
      <c r="B174" s="4" t="s">
        <v>39</v>
      </c>
      <c r="C174" s="4" t="s">
        <v>40</v>
      </c>
      <c r="D174" s="4" t="s">
        <v>38</v>
      </c>
      <c r="E174" s="4" t="s">
        <v>25</v>
      </c>
      <c r="F174" s="4" t="s">
        <v>25</v>
      </c>
      <c r="G174" s="4" t="s">
        <v>25</v>
      </c>
      <c r="H174" s="4" t="s">
        <v>34</v>
      </c>
      <c r="I174" s="5">
        <v>44287</v>
      </c>
      <c r="J174" s="6">
        <v>115</v>
      </c>
      <c r="K174" s="6">
        <v>115</v>
      </c>
      <c r="L174" s="6">
        <v>3.3479999999999999</v>
      </c>
      <c r="M174" s="6">
        <v>3.3479999999999999</v>
      </c>
      <c r="N174" s="6">
        <v>3.3479999999999999</v>
      </c>
      <c r="O174" s="6">
        <v>3.3479999999999999</v>
      </c>
      <c r="P174" s="6">
        <v>0</v>
      </c>
      <c r="Q174" s="4" t="s">
        <v>26</v>
      </c>
      <c r="R174" s="4">
        <v>0</v>
      </c>
      <c r="S174" s="6">
        <v>9</v>
      </c>
      <c r="T174" s="6">
        <v>11</v>
      </c>
      <c r="U174" s="6">
        <v>67</v>
      </c>
      <c r="V174" s="6">
        <f>IF(ISERROR(VLOOKUP($S$174,'TAR FIN'!$A$1:$O$100,15,0)),0,VLOOKUP($S$174,'TAR FIN'!$A$1:$O$100,15,0))</f>
        <v>37.01</v>
      </c>
      <c r="W174" s="6">
        <f>IF(ISERROR(VLOOKUP($T$174,'TAR FIN'!$A$1:$O$100,15,0)),0,VLOOKUP($T$174,'TAR FIN'!$A$1:$O$100,15,0))</f>
        <v>43.65</v>
      </c>
      <c r="X174" s="6">
        <f>IF(ISERROR(VLOOKUP($U$174,'TAR FIN'!$A$1:$O$100,15,0)),0,VLOOKUP($U$174,'TAR FIN'!$A$1:$O$100,15,0))</f>
        <v>366.6</v>
      </c>
      <c r="Y174" s="6">
        <f ca="1">('TUSD BE'!$AM$12+'TUSD BF'!$AM$12+'TUSD CVA'!$AM$12)*1</f>
        <v>36.177295232618533</v>
      </c>
      <c r="Z174" s="6">
        <f ca="1">('TUSD BE'!$AM$14+'TUSD BF'!$AM$14+'TUSD CVA'!$AM$14)*1</f>
        <v>49.78704102185678</v>
      </c>
      <c r="AA174" s="6">
        <f>('TE BE'!$AA$7+'TE BF'!$AA$7+'TE CVA'!$AA$7)*1</f>
        <v>385.46556634281501</v>
      </c>
      <c r="AB174" s="6">
        <f>$K$174*$V$174</f>
        <v>4256.1499999999996</v>
      </c>
      <c r="AC174" s="6">
        <f>$M$174*$W$174</f>
        <v>146.14019999999999</v>
      </c>
      <c r="AD174" s="6">
        <f>$O$174*$X$174</f>
        <v>1227.3768</v>
      </c>
      <c r="AE174" s="6">
        <f ca="1">$K$174*$Y$174</f>
        <v>4160.3889517511316</v>
      </c>
      <c r="AF174" s="6">
        <f ca="1">$M$174*$Z$174</f>
        <v>166.68701334117648</v>
      </c>
      <c r="AG174" s="6">
        <f>$O$174*$AA$174</f>
        <v>1290.5387161157446</v>
      </c>
    </row>
    <row r="175" spans="1:33" ht="11.25" customHeight="1" x14ac:dyDescent="0.25">
      <c r="A175" s="4" t="s">
        <v>21</v>
      </c>
      <c r="B175" s="4" t="s">
        <v>39</v>
      </c>
      <c r="C175" s="4" t="s">
        <v>40</v>
      </c>
      <c r="D175" s="4" t="s">
        <v>38</v>
      </c>
      <c r="E175" s="4" t="s">
        <v>25</v>
      </c>
      <c r="F175" s="4" t="s">
        <v>25</v>
      </c>
      <c r="G175" s="4" t="s">
        <v>25</v>
      </c>
      <c r="H175" s="4" t="s">
        <v>34</v>
      </c>
      <c r="I175" s="5">
        <v>44317</v>
      </c>
      <c r="J175" s="6">
        <v>115</v>
      </c>
      <c r="K175" s="6">
        <v>115</v>
      </c>
      <c r="L175" s="6">
        <v>3.3479999999999999</v>
      </c>
      <c r="M175" s="6">
        <v>3.3479999999999999</v>
      </c>
      <c r="N175" s="6">
        <v>3.3479999999999999</v>
      </c>
      <c r="O175" s="6">
        <v>3.3479999999999999</v>
      </c>
      <c r="P175" s="6">
        <v>0</v>
      </c>
      <c r="Q175" s="4" t="s">
        <v>26</v>
      </c>
      <c r="R175" s="4">
        <v>0</v>
      </c>
      <c r="S175" s="6">
        <v>9</v>
      </c>
      <c r="T175" s="6">
        <v>11</v>
      </c>
      <c r="U175" s="6">
        <v>67</v>
      </c>
      <c r="V175" s="6">
        <f>IF(ISERROR(VLOOKUP($S$175,'TAR FIN'!$A$1:$O$100,15,0)),0,VLOOKUP($S$175,'TAR FIN'!$A$1:$O$100,15,0))</f>
        <v>37.01</v>
      </c>
      <c r="W175" s="6">
        <f>IF(ISERROR(VLOOKUP($T$175,'TAR FIN'!$A$1:$O$100,15,0)),0,VLOOKUP($T$175,'TAR FIN'!$A$1:$O$100,15,0))</f>
        <v>43.65</v>
      </c>
      <c r="X175" s="6">
        <f>IF(ISERROR(VLOOKUP($U$175,'TAR FIN'!$A$1:$O$100,15,0)),0,VLOOKUP($U$175,'TAR FIN'!$A$1:$O$100,15,0))</f>
        <v>366.6</v>
      </c>
      <c r="Y175" s="6">
        <f ca="1">('TUSD BE'!$AM$12+'TUSD BF'!$AM$12+'TUSD CVA'!$AM$12)*1</f>
        <v>36.177295232618533</v>
      </c>
      <c r="Z175" s="6">
        <f ca="1">('TUSD BE'!$AM$14+'TUSD BF'!$AM$14+'TUSD CVA'!$AM$14)*1</f>
        <v>49.78704102185678</v>
      </c>
      <c r="AA175" s="6">
        <f>('TE BE'!$AA$7+'TE BF'!$AA$7+'TE CVA'!$AA$7)*1</f>
        <v>385.46556634281501</v>
      </c>
      <c r="AB175" s="6">
        <f>$K$175*$V$175</f>
        <v>4256.1499999999996</v>
      </c>
      <c r="AC175" s="6">
        <f>$M$175*$W$175</f>
        <v>146.14019999999999</v>
      </c>
      <c r="AD175" s="6">
        <f>$O$175*$X$175</f>
        <v>1227.3768</v>
      </c>
      <c r="AE175" s="6">
        <f ca="1">$K$175*$Y$175</f>
        <v>4160.3889517511316</v>
      </c>
      <c r="AF175" s="6">
        <f ca="1">$M$175*$Z$175</f>
        <v>166.68701334117648</v>
      </c>
      <c r="AG175" s="6">
        <f>$O$175*$AA$175</f>
        <v>1290.5387161157446</v>
      </c>
    </row>
    <row r="176" spans="1:33" ht="11.25" customHeight="1" x14ac:dyDescent="0.25">
      <c r="A176" s="4" t="s">
        <v>21</v>
      </c>
      <c r="B176" s="4" t="s">
        <v>39</v>
      </c>
      <c r="C176" s="4" t="s">
        <v>40</v>
      </c>
      <c r="D176" s="4" t="s">
        <v>38</v>
      </c>
      <c r="E176" s="4" t="s">
        <v>25</v>
      </c>
      <c r="F176" s="4" t="s">
        <v>25</v>
      </c>
      <c r="G176" s="4" t="s">
        <v>25</v>
      </c>
      <c r="H176" s="4" t="s">
        <v>34</v>
      </c>
      <c r="I176" s="5">
        <v>44348</v>
      </c>
      <c r="J176" s="6">
        <v>115</v>
      </c>
      <c r="K176" s="6">
        <v>115</v>
      </c>
      <c r="L176" s="6">
        <v>4.0039999999999996</v>
      </c>
      <c r="M176" s="6">
        <v>4.0039999999999996</v>
      </c>
      <c r="N176" s="6">
        <v>4.0039999999999996</v>
      </c>
      <c r="O176" s="6">
        <v>4.0039999999999996</v>
      </c>
      <c r="P176" s="6">
        <v>0</v>
      </c>
      <c r="Q176" s="4" t="s">
        <v>26</v>
      </c>
      <c r="R176" s="4">
        <v>0</v>
      </c>
      <c r="S176" s="6">
        <v>9</v>
      </c>
      <c r="T176" s="6">
        <v>11</v>
      </c>
      <c r="U176" s="6">
        <v>67</v>
      </c>
      <c r="V176" s="6">
        <f>IF(ISERROR(VLOOKUP($S$176,'TAR FIN'!$A$1:$O$100,15,0)),0,VLOOKUP($S$176,'TAR FIN'!$A$1:$O$100,15,0))</f>
        <v>37.01</v>
      </c>
      <c r="W176" s="6">
        <f>IF(ISERROR(VLOOKUP($T$176,'TAR FIN'!$A$1:$O$100,15,0)),0,VLOOKUP($T$176,'TAR FIN'!$A$1:$O$100,15,0))</f>
        <v>43.65</v>
      </c>
      <c r="X176" s="6">
        <f>IF(ISERROR(VLOOKUP($U$176,'TAR FIN'!$A$1:$O$100,15,0)),0,VLOOKUP($U$176,'TAR FIN'!$A$1:$O$100,15,0))</f>
        <v>366.6</v>
      </c>
      <c r="Y176" s="6">
        <f ca="1">('TUSD BE'!$AM$12+'TUSD BF'!$AM$12+'TUSD CVA'!$AM$12)*1</f>
        <v>36.177295232618533</v>
      </c>
      <c r="Z176" s="6">
        <f ca="1">('TUSD BE'!$AM$14+'TUSD BF'!$AM$14+'TUSD CVA'!$AM$14)*1</f>
        <v>49.78704102185678</v>
      </c>
      <c r="AA176" s="6">
        <f>('TE BE'!$AA$7+'TE BF'!$AA$7+'TE CVA'!$AA$7)*1</f>
        <v>385.46556634281501</v>
      </c>
      <c r="AB176" s="6">
        <f>$K$176*$V$176</f>
        <v>4256.1499999999996</v>
      </c>
      <c r="AC176" s="6">
        <f>$M$176*$W$176</f>
        <v>174.77459999999996</v>
      </c>
      <c r="AD176" s="6">
        <f>$O$176*$X$176</f>
        <v>1467.8663999999999</v>
      </c>
      <c r="AE176" s="6">
        <f ca="1">$K$176*$Y$176</f>
        <v>4160.3889517511316</v>
      </c>
      <c r="AF176" s="6">
        <f ca="1">$M$176*$Z$176</f>
        <v>199.34731225151452</v>
      </c>
      <c r="AG176" s="6">
        <f>$O$176*$AA$176</f>
        <v>1543.4041276366311</v>
      </c>
    </row>
    <row r="177" spans="1:33" ht="11.25" customHeight="1" x14ac:dyDescent="0.25">
      <c r="A177" s="4" t="s">
        <v>21</v>
      </c>
      <c r="B177" s="4" t="s">
        <v>39</v>
      </c>
      <c r="C177" s="4" t="s">
        <v>40</v>
      </c>
      <c r="D177" s="4" t="s">
        <v>38</v>
      </c>
      <c r="E177" s="4" t="s">
        <v>25</v>
      </c>
      <c r="F177" s="4" t="s">
        <v>25</v>
      </c>
      <c r="G177" s="4" t="s">
        <v>25</v>
      </c>
      <c r="H177" s="4" t="s">
        <v>34</v>
      </c>
      <c r="I177" s="5">
        <v>44378</v>
      </c>
      <c r="J177" s="6">
        <v>115</v>
      </c>
      <c r="K177" s="6">
        <v>115</v>
      </c>
      <c r="L177" s="6">
        <v>3.6080000000000001</v>
      </c>
      <c r="M177" s="6">
        <v>3.6080000000000001</v>
      </c>
      <c r="N177" s="6">
        <v>3.6080000000000001</v>
      </c>
      <c r="O177" s="6">
        <v>3.6080000000000001</v>
      </c>
      <c r="P177" s="6">
        <v>0</v>
      </c>
      <c r="Q177" s="4" t="s">
        <v>26</v>
      </c>
      <c r="R177" s="4">
        <v>0</v>
      </c>
      <c r="S177" s="6">
        <v>9</v>
      </c>
      <c r="T177" s="6">
        <v>11</v>
      </c>
      <c r="U177" s="6">
        <v>67</v>
      </c>
      <c r="V177" s="6">
        <f>IF(ISERROR(VLOOKUP($S$177,'TAR FIN'!$A$1:$O$100,15,0)),0,VLOOKUP($S$177,'TAR FIN'!$A$1:$O$100,15,0))</f>
        <v>37.01</v>
      </c>
      <c r="W177" s="6">
        <f>IF(ISERROR(VLOOKUP($T$177,'TAR FIN'!$A$1:$O$100,15,0)),0,VLOOKUP($T$177,'TAR FIN'!$A$1:$O$100,15,0))</f>
        <v>43.65</v>
      </c>
      <c r="X177" s="6">
        <f>IF(ISERROR(VLOOKUP($U$177,'TAR FIN'!$A$1:$O$100,15,0)),0,VLOOKUP($U$177,'TAR FIN'!$A$1:$O$100,15,0))</f>
        <v>366.6</v>
      </c>
      <c r="Y177" s="6">
        <f ca="1">('TUSD BE'!$AM$12+'TUSD BF'!$AM$12+'TUSD CVA'!$AM$12)*1</f>
        <v>36.177295232618533</v>
      </c>
      <c r="Z177" s="6">
        <f ca="1">('TUSD BE'!$AM$14+'TUSD BF'!$AM$14+'TUSD CVA'!$AM$14)*1</f>
        <v>49.78704102185678</v>
      </c>
      <c r="AA177" s="6">
        <f>('TE BE'!$AA$7+'TE BF'!$AA$7+'TE CVA'!$AA$7)*1</f>
        <v>385.46556634281501</v>
      </c>
      <c r="AB177" s="6">
        <f>$K$177*$V$177</f>
        <v>4256.1499999999996</v>
      </c>
      <c r="AC177" s="6">
        <f>$M$177*$W$177</f>
        <v>157.48920000000001</v>
      </c>
      <c r="AD177" s="6">
        <f>$O$177*$X$177</f>
        <v>1322.6928</v>
      </c>
      <c r="AE177" s="6">
        <f ca="1">$K$177*$Y$177</f>
        <v>4160.3889517511316</v>
      </c>
      <c r="AF177" s="6">
        <f ca="1">$M$177*$Z$177</f>
        <v>179.63164400685926</v>
      </c>
      <c r="AG177" s="6">
        <f>$O$177*$AA$177</f>
        <v>1390.7597633648766</v>
      </c>
    </row>
    <row r="178" spans="1:33" ht="11.25" customHeight="1" x14ac:dyDescent="0.25">
      <c r="A178" s="4" t="s">
        <v>21</v>
      </c>
      <c r="B178" s="4" t="s">
        <v>39</v>
      </c>
      <c r="C178" s="4" t="s">
        <v>40</v>
      </c>
      <c r="D178" s="4" t="s">
        <v>38</v>
      </c>
      <c r="E178" s="4" t="s">
        <v>25</v>
      </c>
      <c r="F178" s="4" t="s">
        <v>25</v>
      </c>
      <c r="G178" s="4" t="s">
        <v>25</v>
      </c>
      <c r="H178" s="4" t="s">
        <v>34</v>
      </c>
      <c r="I178" s="5">
        <v>44409</v>
      </c>
      <c r="J178" s="6">
        <v>115</v>
      </c>
      <c r="K178" s="6">
        <v>115</v>
      </c>
      <c r="L178" s="6">
        <v>4.1680000000000001</v>
      </c>
      <c r="M178" s="6">
        <v>4.1680000000000001</v>
      </c>
      <c r="N178" s="6">
        <v>4.1680000000000001</v>
      </c>
      <c r="O178" s="6">
        <v>4.1680000000000001</v>
      </c>
      <c r="P178" s="6">
        <v>0</v>
      </c>
      <c r="Q178" s="4" t="s">
        <v>26</v>
      </c>
      <c r="R178" s="4">
        <v>0</v>
      </c>
      <c r="S178" s="6">
        <v>9</v>
      </c>
      <c r="T178" s="6">
        <v>11</v>
      </c>
      <c r="U178" s="6">
        <v>67</v>
      </c>
      <c r="V178" s="6">
        <f>IF(ISERROR(VLOOKUP($S$178,'TAR FIN'!$A$1:$O$100,15,0)),0,VLOOKUP($S$178,'TAR FIN'!$A$1:$O$100,15,0))</f>
        <v>37.01</v>
      </c>
      <c r="W178" s="6">
        <f>IF(ISERROR(VLOOKUP($T$178,'TAR FIN'!$A$1:$O$100,15,0)),0,VLOOKUP($T$178,'TAR FIN'!$A$1:$O$100,15,0))</f>
        <v>43.65</v>
      </c>
      <c r="X178" s="6">
        <f>IF(ISERROR(VLOOKUP($U$178,'TAR FIN'!$A$1:$O$100,15,0)),0,VLOOKUP($U$178,'TAR FIN'!$A$1:$O$100,15,0))</f>
        <v>366.6</v>
      </c>
      <c r="Y178" s="6">
        <f ca="1">('TUSD BE'!$AM$12+'TUSD BF'!$AM$12+'TUSD CVA'!$AM$12)*1</f>
        <v>36.177295232618533</v>
      </c>
      <c r="Z178" s="6">
        <f ca="1">('TUSD BE'!$AM$14+'TUSD BF'!$AM$14+'TUSD CVA'!$AM$14)*1</f>
        <v>49.78704102185678</v>
      </c>
      <c r="AA178" s="6">
        <f>('TE BE'!$AA$7+'TE BF'!$AA$7+'TE CVA'!$AA$7)*1</f>
        <v>385.46556634281501</v>
      </c>
      <c r="AB178" s="6">
        <f>$K$178*$V$178</f>
        <v>4256.1499999999996</v>
      </c>
      <c r="AC178" s="6">
        <f>$M$178*$W$178</f>
        <v>181.9332</v>
      </c>
      <c r="AD178" s="6">
        <f>$O$178*$X$178</f>
        <v>1527.9888000000001</v>
      </c>
      <c r="AE178" s="6">
        <f ca="1">$K$178*$Y$178</f>
        <v>4160.3889517511316</v>
      </c>
      <c r="AF178" s="6">
        <f ca="1">$M$178*$Z$178</f>
        <v>207.51238697909906</v>
      </c>
      <c r="AG178" s="6">
        <f>$O$178*$AA$178</f>
        <v>1606.6204805168529</v>
      </c>
    </row>
    <row r="179" spans="1:33" ht="11.25" customHeight="1" x14ac:dyDescent="0.25">
      <c r="A179" s="4" t="s">
        <v>21</v>
      </c>
      <c r="B179" s="4" t="s">
        <v>39</v>
      </c>
      <c r="C179" s="4" t="s">
        <v>40</v>
      </c>
      <c r="D179" s="4" t="s">
        <v>38</v>
      </c>
      <c r="E179" s="4" t="s">
        <v>25</v>
      </c>
      <c r="F179" s="4" t="s">
        <v>25</v>
      </c>
      <c r="G179" s="4" t="s">
        <v>25</v>
      </c>
      <c r="H179" s="4" t="s">
        <v>34</v>
      </c>
      <c r="I179" s="5">
        <v>44440</v>
      </c>
      <c r="J179" s="6">
        <v>115</v>
      </c>
      <c r="K179" s="6">
        <v>115</v>
      </c>
      <c r="L179" s="6">
        <v>4.1680000000000001</v>
      </c>
      <c r="M179" s="6">
        <v>4.1680000000000001</v>
      </c>
      <c r="N179" s="6">
        <v>4.1680000000000001</v>
      </c>
      <c r="O179" s="6">
        <v>4.1680000000000001</v>
      </c>
      <c r="P179" s="6">
        <v>0</v>
      </c>
      <c r="Q179" s="4" t="s">
        <v>26</v>
      </c>
      <c r="R179" s="4">
        <v>0</v>
      </c>
      <c r="S179" s="6">
        <v>9</v>
      </c>
      <c r="T179" s="6">
        <v>11</v>
      </c>
      <c r="U179" s="6">
        <v>67</v>
      </c>
      <c r="V179" s="6">
        <f>IF(ISERROR(VLOOKUP($S$179,'TAR FIN'!$A$1:$O$100,15,0)),0,VLOOKUP($S$179,'TAR FIN'!$A$1:$O$100,15,0))</f>
        <v>37.01</v>
      </c>
      <c r="W179" s="6">
        <f>IF(ISERROR(VLOOKUP($T$179,'TAR FIN'!$A$1:$O$100,15,0)),0,VLOOKUP($T$179,'TAR FIN'!$A$1:$O$100,15,0))</f>
        <v>43.65</v>
      </c>
      <c r="X179" s="6">
        <f>IF(ISERROR(VLOOKUP($U$179,'TAR FIN'!$A$1:$O$100,15,0)),0,VLOOKUP($U$179,'TAR FIN'!$A$1:$O$100,15,0))</f>
        <v>366.6</v>
      </c>
      <c r="Y179" s="6">
        <f ca="1">('TUSD BE'!$AM$12+'TUSD BF'!$AM$12+'TUSD CVA'!$AM$12)*1</f>
        <v>36.177295232618533</v>
      </c>
      <c r="Z179" s="6">
        <f ca="1">('TUSD BE'!$AM$14+'TUSD BF'!$AM$14+'TUSD CVA'!$AM$14)*1</f>
        <v>49.78704102185678</v>
      </c>
      <c r="AA179" s="6">
        <f>('TE BE'!$AA$7+'TE BF'!$AA$7+'TE CVA'!$AA$7)*1</f>
        <v>385.46556634281501</v>
      </c>
      <c r="AB179" s="6">
        <f>$K$179*$V$179</f>
        <v>4256.1499999999996</v>
      </c>
      <c r="AC179" s="6">
        <f>$M$179*$W$179</f>
        <v>181.9332</v>
      </c>
      <c r="AD179" s="6">
        <f>$O$179*$X$179</f>
        <v>1527.9888000000001</v>
      </c>
      <c r="AE179" s="6">
        <f ca="1">$K$179*$Y$179</f>
        <v>4160.3889517511316</v>
      </c>
      <c r="AF179" s="6">
        <f ca="1">$M$179*$Z$179</f>
        <v>207.51238697909906</v>
      </c>
      <c r="AG179" s="6">
        <f>$O$179*$AA$179</f>
        <v>1606.6204805168529</v>
      </c>
    </row>
    <row r="180" spans="1:33" ht="11.25" customHeight="1" x14ac:dyDescent="0.25">
      <c r="A180" s="4" t="s">
        <v>21</v>
      </c>
      <c r="B180" s="4" t="s">
        <v>39</v>
      </c>
      <c r="C180" s="4" t="s">
        <v>40</v>
      </c>
      <c r="D180" s="4" t="s">
        <v>38</v>
      </c>
      <c r="E180" s="4" t="s">
        <v>25</v>
      </c>
      <c r="F180" s="4" t="s">
        <v>25</v>
      </c>
      <c r="G180" s="4" t="s">
        <v>25</v>
      </c>
      <c r="H180" s="4" t="s">
        <v>34</v>
      </c>
      <c r="I180" s="5">
        <v>44470</v>
      </c>
      <c r="J180" s="6">
        <v>115</v>
      </c>
      <c r="K180" s="6">
        <v>115</v>
      </c>
      <c r="L180" s="6">
        <v>3.758</v>
      </c>
      <c r="M180" s="6">
        <v>3.758</v>
      </c>
      <c r="N180" s="6">
        <v>3.758</v>
      </c>
      <c r="O180" s="6">
        <v>3.758</v>
      </c>
      <c r="P180" s="6">
        <v>0</v>
      </c>
      <c r="Q180" s="4" t="s">
        <v>26</v>
      </c>
      <c r="R180" s="4">
        <v>0</v>
      </c>
      <c r="S180" s="6">
        <v>9</v>
      </c>
      <c r="T180" s="6">
        <v>11</v>
      </c>
      <c r="U180" s="6">
        <v>67</v>
      </c>
      <c r="V180" s="6">
        <f>IF(ISERROR(VLOOKUP($S$180,'TAR FIN'!$A$1:$O$100,15,0)),0,VLOOKUP($S$180,'TAR FIN'!$A$1:$O$100,15,0))</f>
        <v>37.01</v>
      </c>
      <c r="W180" s="6">
        <f>IF(ISERROR(VLOOKUP($T$180,'TAR FIN'!$A$1:$O$100,15,0)),0,VLOOKUP($T$180,'TAR FIN'!$A$1:$O$100,15,0))</f>
        <v>43.65</v>
      </c>
      <c r="X180" s="6">
        <f>IF(ISERROR(VLOOKUP($U$180,'TAR FIN'!$A$1:$O$100,15,0)),0,VLOOKUP($U$180,'TAR FIN'!$A$1:$O$100,15,0))</f>
        <v>366.6</v>
      </c>
      <c r="Y180" s="6">
        <f ca="1">('TUSD BE'!$AM$12+'TUSD BF'!$AM$12+'TUSD CVA'!$AM$12)*1</f>
        <v>36.177295232618533</v>
      </c>
      <c r="Z180" s="6">
        <f ca="1">('TUSD BE'!$AM$14+'TUSD BF'!$AM$14+'TUSD CVA'!$AM$14)*1</f>
        <v>49.78704102185678</v>
      </c>
      <c r="AA180" s="6">
        <f>('TE BE'!$AA$7+'TE BF'!$AA$7+'TE CVA'!$AA$7)*1</f>
        <v>385.46556634281501</v>
      </c>
      <c r="AB180" s="6">
        <f>$K$180*$V$180</f>
        <v>4256.1499999999996</v>
      </c>
      <c r="AC180" s="6">
        <f>$M$180*$W$180</f>
        <v>164.0367</v>
      </c>
      <c r="AD180" s="6">
        <f>$O$180*$X$180</f>
        <v>1377.6828</v>
      </c>
      <c r="AE180" s="6">
        <f ca="1">$K$180*$Y$180</f>
        <v>4160.3889517511316</v>
      </c>
      <c r="AF180" s="6">
        <f ca="1">$M$180*$Z$180</f>
        <v>187.09970016013779</v>
      </c>
      <c r="AG180" s="6">
        <f>$O$180*$AA$180</f>
        <v>1448.5795983162989</v>
      </c>
    </row>
    <row r="181" spans="1:33" ht="11.25" customHeight="1" x14ac:dyDescent="0.25">
      <c r="A181" s="4" t="s">
        <v>21</v>
      </c>
      <c r="B181" s="4" t="s">
        <v>39</v>
      </c>
      <c r="C181" s="4" t="s">
        <v>40</v>
      </c>
      <c r="D181" s="4" t="s">
        <v>38</v>
      </c>
      <c r="E181" s="4" t="s">
        <v>25</v>
      </c>
      <c r="F181" s="4" t="s">
        <v>25</v>
      </c>
      <c r="G181" s="4" t="s">
        <v>25</v>
      </c>
      <c r="H181" s="4" t="s">
        <v>34</v>
      </c>
      <c r="I181" s="5">
        <v>44501</v>
      </c>
      <c r="J181" s="6">
        <v>115</v>
      </c>
      <c r="K181" s="6">
        <v>115</v>
      </c>
      <c r="L181" s="6">
        <v>3.84</v>
      </c>
      <c r="M181" s="6">
        <v>3.84</v>
      </c>
      <c r="N181" s="6">
        <v>3.84</v>
      </c>
      <c r="O181" s="6">
        <v>3.84</v>
      </c>
      <c r="P181" s="6">
        <v>0</v>
      </c>
      <c r="Q181" s="4" t="s">
        <v>26</v>
      </c>
      <c r="R181" s="4">
        <v>0</v>
      </c>
      <c r="S181" s="6">
        <v>9</v>
      </c>
      <c r="T181" s="6">
        <v>11</v>
      </c>
      <c r="U181" s="6">
        <v>67</v>
      </c>
      <c r="V181" s="6">
        <f>IF(ISERROR(VLOOKUP($S$181,'TAR FIN'!$A$1:$O$100,15,0)),0,VLOOKUP($S$181,'TAR FIN'!$A$1:$O$100,15,0))</f>
        <v>37.01</v>
      </c>
      <c r="W181" s="6">
        <f>IF(ISERROR(VLOOKUP($T$181,'TAR FIN'!$A$1:$O$100,15,0)),0,VLOOKUP($T$181,'TAR FIN'!$A$1:$O$100,15,0))</f>
        <v>43.65</v>
      </c>
      <c r="X181" s="6">
        <f>IF(ISERROR(VLOOKUP($U$181,'TAR FIN'!$A$1:$O$100,15,0)),0,VLOOKUP($U$181,'TAR FIN'!$A$1:$O$100,15,0))</f>
        <v>366.6</v>
      </c>
      <c r="Y181" s="6">
        <f ca="1">('TUSD BE'!$AM$12+'TUSD BF'!$AM$12+'TUSD CVA'!$AM$12)*1</f>
        <v>36.177295232618533</v>
      </c>
      <c r="Z181" s="6">
        <f ca="1">('TUSD BE'!$AM$14+'TUSD BF'!$AM$14+'TUSD CVA'!$AM$14)*1</f>
        <v>49.78704102185678</v>
      </c>
      <c r="AA181" s="6">
        <f>('TE BE'!$AA$7+'TE BF'!$AA$7+'TE CVA'!$AA$7)*1</f>
        <v>385.46556634281501</v>
      </c>
      <c r="AB181" s="6">
        <f>$K$181*$V$181</f>
        <v>4256.1499999999996</v>
      </c>
      <c r="AC181" s="6">
        <f>$M$181*$W$181</f>
        <v>167.61599999999999</v>
      </c>
      <c r="AD181" s="6">
        <f>$O$181*$X$181</f>
        <v>1407.7440000000001</v>
      </c>
      <c r="AE181" s="6">
        <f ca="1">$K$181*$Y$181</f>
        <v>4160.3889517511316</v>
      </c>
      <c r="AF181" s="6">
        <f ca="1">$M$181*$Z$181</f>
        <v>191.18223752393004</v>
      </c>
      <c r="AG181" s="6">
        <f>$O$181*$AA$181</f>
        <v>1480.1877747564097</v>
      </c>
    </row>
    <row r="182" spans="1:33" ht="11.25" customHeight="1" x14ac:dyDescent="0.25">
      <c r="A182" s="4" t="s">
        <v>21</v>
      </c>
      <c r="B182" s="4" t="s">
        <v>39</v>
      </c>
      <c r="C182" s="4" t="s">
        <v>40</v>
      </c>
      <c r="D182" s="4" t="s">
        <v>38</v>
      </c>
      <c r="E182" s="4" t="s">
        <v>25</v>
      </c>
      <c r="F182" s="4" t="s">
        <v>25</v>
      </c>
      <c r="G182" s="4" t="s">
        <v>25</v>
      </c>
      <c r="H182" s="4" t="s">
        <v>34</v>
      </c>
      <c r="I182" s="5">
        <v>44531</v>
      </c>
      <c r="J182" s="6">
        <v>115</v>
      </c>
      <c r="K182" s="6">
        <v>115</v>
      </c>
      <c r="L182" s="6">
        <v>4.0039999999999996</v>
      </c>
      <c r="M182" s="6">
        <v>4.0039999999999996</v>
      </c>
      <c r="N182" s="6">
        <v>4.0039999999999996</v>
      </c>
      <c r="O182" s="6">
        <v>4.0039999999999996</v>
      </c>
      <c r="P182" s="6">
        <v>0</v>
      </c>
      <c r="Q182" s="4" t="s">
        <v>26</v>
      </c>
      <c r="R182" s="4">
        <v>0</v>
      </c>
      <c r="S182" s="6">
        <v>9</v>
      </c>
      <c r="T182" s="6">
        <v>11</v>
      </c>
      <c r="U182" s="6">
        <v>67</v>
      </c>
      <c r="V182" s="6">
        <f>IF(ISERROR(VLOOKUP($S$182,'TAR FIN'!$A$1:$O$100,15,0)),0,VLOOKUP($S$182,'TAR FIN'!$A$1:$O$100,15,0))</f>
        <v>37.01</v>
      </c>
      <c r="W182" s="6">
        <f>IF(ISERROR(VLOOKUP($T$182,'TAR FIN'!$A$1:$O$100,15,0)),0,VLOOKUP($T$182,'TAR FIN'!$A$1:$O$100,15,0))</f>
        <v>43.65</v>
      </c>
      <c r="X182" s="6">
        <f>IF(ISERROR(VLOOKUP($U$182,'TAR FIN'!$A$1:$O$100,15,0)),0,VLOOKUP($U$182,'TAR FIN'!$A$1:$O$100,15,0))</f>
        <v>366.6</v>
      </c>
      <c r="Y182" s="6">
        <f ca="1">('TUSD BE'!$AM$12+'TUSD BF'!$AM$12+'TUSD CVA'!$AM$12)*1</f>
        <v>36.177295232618533</v>
      </c>
      <c r="Z182" s="6">
        <f ca="1">('TUSD BE'!$AM$14+'TUSD BF'!$AM$14+'TUSD CVA'!$AM$14)*1</f>
        <v>49.78704102185678</v>
      </c>
      <c r="AA182" s="6">
        <f>('TE BE'!$AA$7+'TE BF'!$AA$7+'TE CVA'!$AA$7)*1</f>
        <v>385.46556634281501</v>
      </c>
      <c r="AB182" s="6">
        <f>$K$182*$V$182</f>
        <v>4256.1499999999996</v>
      </c>
      <c r="AC182" s="6">
        <f>$M$182*$W$182</f>
        <v>174.77459999999996</v>
      </c>
      <c r="AD182" s="6">
        <f>$O$182*$X$182</f>
        <v>1467.8663999999999</v>
      </c>
      <c r="AE182" s="6">
        <f ca="1">$K$182*$Y$182</f>
        <v>4160.3889517511316</v>
      </c>
      <c r="AF182" s="6">
        <f ca="1">$M$182*$Z$182</f>
        <v>199.34731225151452</v>
      </c>
      <c r="AG182" s="6">
        <f>$O$182*$AA$182</f>
        <v>1543.4041276366311</v>
      </c>
    </row>
    <row r="183" spans="1:33" ht="11.25" customHeight="1" x14ac:dyDescent="0.25">
      <c r="A183" s="4" t="s">
        <v>55</v>
      </c>
      <c r="B183" s="4" t="s">
        <v>39</v>
      </c>
      <c r="C183" s="4" t="s">
        <v>40</v>
      </c>
      <c r="D183" s="4" t="s">
        <v>38</v>
      </c>
      <c r="E183" s="4" t="s">
        <v>25</v>
      </c>
      <c r="F183" s="4" t="s">
        <v>25</v>
      </c>
      <c r="G183" s="4" t="s">
        <v>25</v>
      </c>
      <c r="H183" s="4" t="s">
        <v>34</v>
      </c>
      <c r="I183" s="5">
        <v>44562</v>
      </c>
      <c r="J183" s="6">
        <v>115</v>
      </c>
      <c r="K183" s="6">
        <v>115</v>
      </c>
      <c r="L183" s="6">
        <v>4.0039999999999996</v>
      </c>
      <c r="M183" s="6">
        <v>4.0039999999999996</v>
      </c>
      <c r="N183" s="6">
        <v>4.0039999999999996</v>
      </c>
      <c r="O183" s="6">
        <v>4.0039999999999996</v>
      </c>
      <c r="P183" s="6">
        <v>0</v>
      </c>
      <c r="Q183" s="4" t="s">
        <v>26</v>
      </c>
      <c r="R183" s="4">
        <v>0</v>
      </c>
      <c r="S183" s="6">
        <v>9</v>
      </c>
      <c r="T183" s="6">
        <v>11</v>
      </c>
      <c r="U183" s="6">
        <v>67</v>
      </c>
      <c r="V183" s="6">
        <f>IF(ISERROR(VLOOKUP($S$183,'TAR FIN'!$A$1:$O$100,15,0)),0,VLOOKUP($S$183,'TAR FIN'!$A$1:$O$100,15,0))</f>
        <v>37.01</v>
      </c>
      <c r="W183" s="6">
        <f>IF(ISERROR(VLOOKUP($T$183,'TAR FIN'!$A$1:$O$100,15,0)),0,VLOOKUP($T$183,'TAR FIN'!$A$1:$O$100,15,0))</f>
        <v>43.65</v>
      </c>
      <c r="X183" s="6">
        <f>IF(ISERROR(VLOOKUP($U$183,'TAR FIN'!$A$1:$O$100,15,0)),0,VLOOKUP($U$183,'TAR FIN'!$A$1:$O$100,15,0))</f>
        <v>366.6</v>
      </c>
      <c r="Y183" s="6">
        <f ca="1">('TUSD BE'!$AM$12+'TUSD BF'!$AM$12+'TUSD CVA'!$AM$12)*1</f>
        <v>36.177295232618533</v>
      </c>
      <c r="Z183" s="6">
        <f ca="1">('TUSD BE'!$AM$14+'TUSD BF'!$AM$14+'TUSD CVA'!$AM$14)*1</f>
        <v>49.78704102185678</v>
      </c>
      <c r="AA183" s="6">
        <f>('TE BE'!$AA$7+'TE BF'!$AA$7+'TE CVA'!$AA$7)*1</f>
        <v>385.46556634281501</v>
      </c>
      <c r="AB183" s="6">
        <f>$K$183*$V$183</f>
        <v>4256.1499999999996</v>
      </c>
      <c r="AC183" s="6">
        <f>$M$183*$W$183</f>
        <v>174.77459999999996</v>
      </c>
      <c r="AD183" s="6">
        <f>$O$183*$X$183</f>
        <v>1467.8663999999999</v>
      </c>
      <c r="AE183" s="6">
        <f ca="1">$K$183*$Y$183</f>
        <v>4160.3889517511316</v>
      </c>
      <c r="AF183" s="6">
        <f ca="1">$M$183*$Z$183</f>
        <v>199.34731225151452</v>
      </c>
      <c r="AG183" s="6">
        <f>$O$183*$AA$183</f>
        <v>1543.4041276366311</v>
      </c>
    </row>
    <row r="184" spans="1:33" ht="11.25" customHeight="1" x14ac:dyDescent="0.25">
      <c r="A184" s="4" t="s">
        <v>21</v>
      </c>
      <c r="B184" s="4" t="s">
        <v>39</v>
      </c>
      <c r="C184" s="4" t="s">
        <v>40</v>
      </c>
      <c r="D184" s="4" t="s">
        <v>45</v>
      </c>
      <c r="E184" s="4" t="s">
        <v>25</v>
      </c>
      <c r="F184" s="4" t="s">
        <v>25</v>
      </c>
      <c r="G184" s="4" t="s">
        <v>25</v>
      </c>
      <c r="H184" s="4" t="s">
        <v>35</v>
      </c>
      <c r="I184" s="5">
        <v>44228</v>
      </c>
      <c r="J184" s="6">
        <v>469</v>
      </c>
      <c r="K184" s="6">
        <v>469</v>
      </c>
      <c r="L184" s="6">
        <v>55.271000000000001</v>
      </c>
      <c r="M184" s="6">
        <v>55.271000000000001</v>
      </c>
      <c r="N184" s="6">
        <v>55.271000000000001</v>
      </c>
      <c r="O184" s="6">
        <v>55.271000000000001</v>
      </c>
      <c r="P184" s="6">
        <v>0</v>
      </c>
      <c r="Q184" s="4" t="s">
        <v>26</v>
      </c>
      <c r="R184" s="4">
        <v>0</v>
      </c>
      <c r="S184" s="6">
        <v>10</v>
      </c>
      <c r="T184" s="6">
        <v>11</v>
      </c>
      <c r="U184" s="6">
        <v>68</v>
      </c>
      <c r="V184" s="6">
        <f>IF(ISERROR(VLOOKUP($S$184,'TAR FIN'!$A$1:$O$100,15,0)),0,VLOOKUP($S$184,'TAR FIN'!$A$1:$O$100,15,0))</f>
        <v>18.48</v>
      </c>
      <c r="W184" s="6">
        <f>IF(ISERROR(VLOOKUP($T$184,'TAR FIN'!$A$1:$O$100,15,0)),0,VLOOKUP($T$184,'TAR FIN'!$A$1:$O$100,15,0))</f>
        <v>43.65</v>
      </c>
      <c r="X184" s="6">
        <f>IF(ISERROR(VLOOKUP($U$184,'TAR FIN'!$A$1:$O$100,15,0)),0,VLOOKUP($U$184,'TAR FIN'!$A$1:$O$100,15,0))</f>
        <v>219.03</v>
      </c>
      <c r="Y184" s="6">
        <f ca="1">('TUSD BE'!$AM$13+'TUSD BF'!$AM$13+'TUSD CVA'!$AM$13)*1</f>
        <v>17.856842567448453</v>
      </c>
      <c r="Z184" s="6">
        <f ca="1">('TUSD BE'!$AM$14+'TUSD BF'!$AM$14+'TUSD CVA'!$AM$14)*1</f>
        <v>49.78704102185678</v>
      </c>
      <c r="AA184" s="6">
        <f>('TE BE'!$AA$8+'TE BF'!$AA$8+'TE CVA'!$AA$8)*1</f>
        <v>238.55077890362423</v>
      </c>
      <c r="AB184" s="6">
        <f>$K$184*$V$184</f>
        <v>8667.1200000000008</v>
      </c>
      <c r="AC184" s="6">
        <f>$M$184*$W$184</f>
        <v>2412.57915</v>
      </c>
      <c r="AD184" s="6">
        <f>$O$184*$X$184</f>
        <v>12106.00713</v>
      </c>
      <c r="AE184" s="6">
        <f ca="1">$K$184*$Y$184</f>
        <v>8374.8591641333242</v>
      </c>
      <c r="AF184" s="6">
        <f ca="1">$M$184*$Z$184</f>
        <v>2751.7795443190462</v>
      </c>
      <c r="AG184" s="6">
        <f>$O$184*$AA$184</f>
        <v>13184.940100782214</v>
      </c>
    </row>
    <row r="185" spans="1:33" ht="11.25" customHeight="1" x14ac:dyDescent="0.25">
      <c r="A185" s="4" t="s">
        <v>21</v>
      </c>
      <c r="B185" s="4" t="s">
        <v>39</v>
      </c>
      <c r="C185" s="4" t="s">
        <v>40</v>
      </c>
      <c r="D185" s="4" t="s">
        <v>45</v>
      </c>
      <c r="E185" s="4" t="s">
        <v>25</v>
      </c>
      <c r="F185" s="4" t="s">
        <v>25</v>
      </c>
      <c r="G185" s="4" t="s">
        <v>25</v>
      </c>
      <c r="H185" s="4" t="s">
        <v>35</v>
      </c>
      <c r="I185" s="5">
        <v>44256</v>
      </c>
      <c r="J185" s="6">
        <v>471</v>
      </c>
      <c r="K185" s="6">
        <v>471</v>
      </c>
      <c r="L185" s="6">
        <v>57.054000000000002</v>
      </c>
      <c r="M185" s="6">
        <v>57.054000000000002</v>
      </c>
      <c r="N185" s="6">
        <v>57.054000000000002</v>
      </c>
      <c r="O185" s="6">
        <v>57.054000000000002</v>
      </c>
      <c r="P185" s="6">
        <v>0</v>
      </c>
      <c r="Q185" s="4" t="s">
        <v>26</v>
      </c>
      <c r="R185" s="4">
        <v>0</v>
      </c>
      <c r="S185" s="6">
        <v>10</v>
      </c>
      <c r="T185" s="6">
        <v>11</v>
      </c>
      <c r="U185" s="6">
        <v>68</v>
      </c>
      <c r="V185" s="6">
        <f>IF(ISERROR(VLOOKUP($S$185,'TAR FIN'!$A$1:$O$100,15,0)),0,VLOOKUP($S$185,'TAR FIN'!$A$1:$O$100,15,0))</f>
        <v>18.48</v>
      </c>
      <c r="W185" s="6">
        <f>IF(ISERROR(VLOOKUP($T$185,'TAR FIN'!$A$1:$O$100,15,0)),0,VLOOKUP($T$185,'TAR FIN'!$A$1:$O$100,15,0))</f>
        <v>43.65</v>
      </c>
      <c r="X185" s="6">
        <f>IF(ISERROR(VLOOKUP($U$185,'TAR FIN'!$A$1:$O$100,15,0)),0,VLOOKUP($U$185,'TAR FIN'!$A$1:$O$100,15,0))</f>
        <v>219.03</v>
      </c>
      <c r="Y185" s="6">
        <f ca="1">('TUSD BE'!$AM$13+'TUSD BF'!$AM$13+'TUSD CVA'!$AM$13)*1</f>
        <v>17.856842567448453</v>
      </c>
      <c r="Z185" s="6">
        <f ca="1">('TUSD BE'!$AM$14+'TUSD BF'!$AM$14+'TUSD CVA'!$AM$14)*1</f>
        <v>49.78704102185678</v>
      </c>
      <c r="AA185" s="6">
        <f>('TE BE'!$AA$8+'TE BF'!$AA$8+'TE CVA'!$AA$8)*1</f>
        <v>238.55077890362423</v>
      </c>
      <c r="AB185" s="6">
        <f>$K$185*$V$185</f>
        <v>8704.08</v>
      </c>
      <c r="AC185" s="6">
        <f>$M$185*$W$185</f>
        <v>2490.4070999999999</v>
      </c>
      <c r="AD185" s="6">
        <f>$O$185*$X$185</f>
        <v>12496.537620000001</v>
      </c>
      <c r="AE185" s="6">
        <f ca="1">$K$185*$Y$185</f>
        <v>8410.572849268221</v>
      </c>
      <c r="AF185" s="6">
        <f ca="1">$M$185*$Z$185</f>
        <v>2840.5498384610169</v>
      </c>
      <c r="AG185" s="6">
        <f>$O$185*$AA$185</f>
        <v>13610.276139567377</v>
      </c>
    </row>
    <row r="186" spans="1:33" ht="11.25" customHeight="1" x14ac:dyDescent="0.25">
      <c r="A186" s="4" t="s">
        <v>21</v>
      </c>
      <c r="B186" s="4" t="s">
        <v>39</v>
      </c>
      <c r="C186" s="4" t="s">
        <v>40</v>
      </c>
      <c r="D186" s="4" t="s">
        <v>45</v>
      </c>
      <c r="E186" s="4" t="s">
        <v>25</v>
      </c>
      <c r="F186" s="4" t="s">
        <v>25</v>
      </c>
      <c r="G186" s="4" t="s">
        <v>25</v>
      </c>
      <c r="H186" s="4" t="s">
        <v>35</v>
      </c>
      <c r="I186" s="5">
        <v>44287</v>
      </c>
      <c r="J186" s="6">
        <v>470</v>
      </c>
      <c r="K186" s="6">
        <v>470</v>
      </c>
      <c r="L186" s="6">
        <v>60.46</v>
      </c>
      <c r="M186" s="6">
        <v>60.46</v>
      </c>
      <c r="N186" s="6">
        <v>60.46</v>
      </c>
      <c r="O186" s="6">
        <v>60.46</v>
      </c>
      <c r="P186" s="6">
        <v>0</v>
      </c>
      <c r="Q186" s="4" t="s">
        <v>26</v>
      </c>
      <c r="R186" s="4">
        <v>0</v>
      </c>
      <c r="S186" s="6">
        <v>10</v>
      </c>
      <c r="T186" s="6">
        <v>11</v>
      </c>
      <c r="U186" s="6">
        <v>68</v>
      </c>
      <c r="V186" s="6">
        <f>IF(ISERROR(VLOOKUP($S$186,'TAR FIN'!$A$1:$O$100,15,0)),0,VLOOKUP($S$186,'TAR FIN'!$A$1:$O$100,15,0))</f>
        <v>18.48</v>
      </c>
      <c r="W186" s="6">
        <f>IF(ISERROR(VLOOKUP($T$186,'TAR FIN'!$A$1:$O$100,15,0)),0,VLOOKUP($T$186,'TAR FIN'!$A$1:$O$100,15,0))</f>
        <v>43.65</v>
      </c>
      <c r="X186" s="6">
        <f>IF(ISERROR(VLOOKUP($U$186,'TAR FIN'!$A$1:$O$100,15,0)),0,VLOOKUP($U$186,'TAR FIN'!$A$1:$O$100,15,0))</f>
        <v>219.03</v>
      </c>
      <c r="Y186" s="6">
        <f ca="1">('TUSD BE'!$AM$13+'TUSD BF'!$AM$13+'TUSD CVA'!$AM$13)*1</f>
        <v>17.856842567448453</v>
      </c>
      <c r="Z186" s="6">
        <f ca="1">('TUSD BE'!$AM$14+'TUSD BF'!$AM$14+'TUSD CVA'!$AM$14)*1</f>
        <v>49.78704102185678</v>
      </c>
      <c r="AA186" s="6">
        <f>('TE BE'!$AA$8+'TE BF'!$AA$8+'TE CVA'!$AA$8)*1</f>
        <v>238.55077890362423</v>
      </c>
      <c r="AB186" s="6">
        <f>$K$186*$V$186</f>
        <v>8685.6</v>
      </c>
      <c r="AC186" s="6">
        <f>$M$186*$W$186</f>
        <v>2639.0790000000002</v>
      </c>
      <c r="AD186" s="6">
        <f>$O$186*$X$186</f>
        <v>13242.5538</v>
      </c>
      <c r="AE186" s="6">
        <f ca="1">$K$186*$Y$186</f>
        <v>8392.7160067007735</v>
      </c>
      <c r="AF186" s="6">
        <f ca="1">$M$186*$Z$186</f>
        <v>3010.1245001814609</v>
      </c>
      <c r="AG186" s="6">
        <f>$O$186*$AA$186</f>
        <v>14422.780092513121</v>
      </c>
    </row>
    <row r="187" spans="1:33" ht="11.25" customHeight="1" x14ac:dyDescent="0.25">
      <c r="A187" s="4" t="s">
        <v>21</v>
      </c>
      <c r="B187" s="4" t="s">
        <v>39</v>
      </c>
      <c r="C187" s="4" t="s">
        <v>40</v>
      </c>
      <c r="D187" s="4" t="s">
        <v>45</v>
      </c>
      <c r="E187" s="4" t="s">
        <v>25</v>
      </c>
      <c r="F187" s="4" t="s">
        <v>25</v>
      </c>
      <c r="G187" s="4" t="s">
        <v>25</v>
      </c>
      <c r="H187" s="4" t="s">
        <v>35</v>
      </c>
      <c r="I187" s="5">
        <v>44317</v>
      </c>
      <c r="J187" s="6">
        <v>468</v>
      </c>
      <c r="K187" s="6">
        <v>468</v>
      </c>
      <c r="L187" s="6">
        <v>54.082999999999998</v>
      </c>
      <c r="M187" s="6">
        <v>54.082999999999998</v>
      </c>
      <c r="N187" s="6">
        <v>54.082999999999998</v>
      </c>
      <c r="O187" s="6">
        <v>54.082999999999998</v>
      </c>
      <c r="P187" s="6">
        <v>0</v>
      </c>
      <c r="Q187" s="4" t="s">
        <v>26</v>
      </c>
      <c r="R187" s="4">
        <v>0</v>
      </c>
      <c r="S187" s="6">
        <v>10</v>
      </c>
      <c r="T187" s="6">
        <v>11</v>
      </c>
      <c r="U187" s="6">
        <v>68</v>
      </c>
      <c r="V187" s="6">
        <f>IF(ISERROR(VLOOKUP($S$187,'TAR FIN'!$A$1:$O$100,15,0)),0,VLOOKUP($S$187,'TAR FIN'!$A$1:$O$100,15,0))</f>
        <v>18.48</v>
      </c>
      <c r="W187" s="6">
        <f>IF(ISERROR(VLOOKUP($T$187,'TAR FIN'!$A$1:$O$100,15,0)),0,VLOOKUP($T$187,'TAR FIN'!$A$1:$O$100,15,0))</f>
        <v>43.65</v>
      </c>
      <c r="X187" s="6">
        <f>IF(ISERROR(VLOOKUP($U$187,'TAR FIN'!$A$1:$O$100,15,0)),0,VLOOKUP($U$187,'TAR FIN'!$A$1:$O$100,15,0))</f>
        <v>219.03</v>
      </c>
      <c r="Y187" s="6">
        <f ca="1">('TUSD BE'!$AM$13+'TUSD BF'!$AM$13+'TUSD CVA'!$AM$13)*1</f>
        <v>17.856842567448453</v>
      </c>
      <c r="Z187" s="6">
        <f ca="1">('TUSD BE'!$AM$14+'TUSD BF'!$AM$14+'TUSD CVA'!$AM$14)*1</f>
        <v>49.78704102185678</v>
      </c>
      <c r="AA187" s="6">
        <f>('TE BE'!$AA$8+'TE BF'!$AA$8+'TE CVA'!$AA$8)*1</f>
        <v>238.55077890362423</v>
      </c>
      <c r="AB187" s="6">
        <f>$K$187*$V$187</f>
        <v>8648.64</v>
      </c>
      <c r="AC187" s="6">
        <f>$M$187*$W$187</f>
        <v>2360.7229499999999</v>
      </c>
      <c r="AD187" s="6">
        <f>$O$187*$X$187</f>
        <v>11845.799489999999</v>
      </c>
      <c r="AE187" s="6">
        <f ca="1">$K$187*$Y$187</f>
        <v>8357.0023215658766</v>
      </c>
      <c r="AF187" s="6">
        <f ca="1">$M$187*$Z$187</f>
        <v>2692.6325395850799</v>
      </c>
      <c r="AG187" s="6">
        <f>$O$187*$AA$187</f>
        <v>12901.54177544471</v>
      </c>
    </row>
    <row r="188" spans="1:33" ht="11.25" customHeight="1" x14ac:dyDescent="0.25">
      <c r="A188" s="4" t="s">
        <v>21</v>
      </c>
      <c r="B188" s="4" t="s">
        <v>39</v>
      </c>
      <c r="C188" s="4" t="s">
        <v>40</v>
      </c>
      <c r="D188" s="4" t="s">
        <v>45</v>
      </c>
      <c r="E188" s="4" t="s">
        <v>25</v>
      </c>
      <c r="F188" s="4" t="s">
        <v>25</v>
      </c>
      <c r="G188" s="4" t="s">
        <v>25</v>
      </c>
      <c r="H188" s="4" t="s">
        <v>35</v>
      </c>
      <c r="I188" s="5">
        <v>44348</v>
      </c>
      <c r="J188" s="6">
        <v>465</v>
      </c>
      <c r="K188" s="6">
        <v>465</v>
      </c>
      <c r="L188" s="6">
        <v>57.091000000000001</v>
      </c>
      <c r="M188" s="6">
        <v>57.091000000000001</v>
      </c>
      <c r="N188" s="6">
        <v>57.091000000000001</v>
      </c>
      <c r="O188" s="6">
        <v>57.091000000000001</v>
      </c>
      <c r="P188" s="6">
        <v>0</v>
      </c>
      <c r="Q188" s="4" t="s">
        <v>26</v>
      </c>
      <c r="R188" s="4">
        <v>0</v>
      </c>
      <c r="S188" s="6">
        <v>10</v>
      </c>
      <c r="T188" s="6">
        <v>11</v>
      </c>
      <c r="U188" s="6">
        <v>68</v>
      </c>
      <c r="V188" s="6">
        <f>IF(ISERROR(VLOOKUP($S$188,'TAR FIN'!$A$1:$O$100,15,0)),0,VLOOKUP($S$188,'TAR FIN'!$A$1:$O$100,15,0))</f>
        <v>18.48</v>
      </c>
      <c r="W188" s="6">
        <f>IF(ISERROR(VLOOKUP($T$188,'TAR FIN'!$A$1:$O$100,15,0)),0,VLOOKUP($T$188,'TAR FIN'!$A$1:$O$100,15,0))</f>
        <v>43.65</v>
      </c>
      <c r="X188" s="6">
        <f>IF(ISERROR(VLOOKUP($U$188,'TAR FIN'!$A$1:$O$100,15,0)),0,VLOOKUP($U$188,'TAR FIN'!$A$1:$O$100,15,0))</f>
        <v>219.03</v>
      </c>
      <c r="Y188" s="6">
        <f ca="1">('TUSD BE'!$AM$13+'TUSD BF'!$AM$13+'TUSD CVA'!$AM$13)*1</f>
        <v>17.856842567448453</v>
      </c>
      <c r="Z188" s="6">
        <f ca="1">('TUSD BE'!$AM$14+'TUSD BF'!$AM$14+'TUSD CVA'!$AM$14)*1</f>
        <v>49.78704102185678</v>
      </c>
      <c r="AA188" s="6">
        <f>('TE BE'!$AA$8+'TE BF'!$AA$8+'TE CVA'!$AA$8)*1</f>
        <v>238.55077890362423</v>
      </c>
      <c r="AB188" s="6">
        <f>$K$188*$V$188</f>
        <v>8593.2000000000007</v>
      </c>
      <c r="AC188" s="6">
        <f>$M$188*$W$188</f>
        <v>2492.0221499999998</v>
      </c>
      <c r="AD188" s="6">
        <f>$O$188*$X$188</f>
        <v>12504.641730000001</v>
      </c>
      <c r="AE188" s="6">
        <f ca="1">$K$188*$Y$188</f>
        <v>8303.4317938635304</v>
      </c>
      <c r="AF188" s="6">
        <f ca="1">$M$188*$Z$188</f>
        <v>2842.3919589788256</v>
      </c>
      <c r="AG188" s="6">
        <f>$O$188*$AA$188</f>
        <v>13619.102518386811</v>
      </c>
    </row>
    <row r="189" spans="1:33" ht="11.25" customHeight="1" x14ac:dyDescent="0.25">
      <c r="A189" s="4" t="s">
        <v>21</v>
      </c>
      <c r="B189" s="4" t="s">
        <v>39</v>
      </c>
      <c r="C189" s="4" t="s">
        <v>40</v>
      </c>
      <c r="D189" s="4" t="s">
        <v>45</v>
      </c>
      <c r="E189" s="4" t="s">
        <v>25</v>
      </c>
      <c r="F189" s="4" t="s">
        <v>25</v>
      </c>
      <c r="G189" s="4" t="s">
        <v>25</v>
      </c>
      <c r="H189" s="4" t="s">
        <v>35</v>
      </c>
      <c r="I189" s="5">
        <v>44378</v>
      </c>
      <c r="J189" s="6">
        <v>464</v>
      </c>
      <c r="K189" s="6">
        <v>464</v>
      </c>
      <c r="L189" s="6">
        <v>47.957000000000001</v>
      </c>
      <c r="M189" s="6">
        <v>47.957000000000001</v>
      </c>
      <c r="N189" s="6">
        <v>47.957000000000001</v>
      </c>
      <c r="O189" s="6">
        <v>47.957000000000001</v>
      </c>
      <c r="P189" s="6">
        <v>0</v>
      </c>
      <c r="Q189" s="4" t="s">
        <v>26</v>
      </c>
      <c r="R189" s="4">
        <v>0</v>
      </c>
      <c r="S189" s="6">
        <v>10</v>
      </c>
      <c r="T189" s="6">
        <v>11</v>
      </c>
      <c r="U189" s="6">
        <v>68</v>
      </c>
      <c r="V189" s="6">
        <f>IF(ISERROR(VLOOKUP($S$189,'TAR FIN'!$A$1:$O$100,15,0)),0,VLOOKUP($S$189,'TAR FIN'!$A$1:$O$100,15,0))</f>
        <v>18.48</v>
      </c>
      <c r="W189" s="6">
        <f>IF(ISERROR(VLOOKUP($T$189,'TAR FIN'!$A$1:$O$100,15,0)),0,VLOOKUP($T$189,'TAR FIN'!$A$1:$O$100,15,0))</f>
        <v>43.65</v>
      </c>
      <c r="X189" s="6">
        <f>IF(ISERROR(VLOOKUP($U$189,'TAR FIN'!$A$1:$O$100,15,0)),0,VLOOKUP($U$189,'TAR FIN'!$A$1:$O$100,15,0))</f>
        <v>219.03</v>
      </c>
      <c r="Y189" s="6">
        <f ca="1">('TUSD BE'!$AM$13+'TUSD BF'!$AM$13+'TUSD CVA'!$AM$13)*1</f>
        <v>17.856842567448453</v>
      </c>
      <c r="Z189" s="6">
        <f ca="1">('TUSD BE'!$AM$14+'TUSD BF'!$AM$14+'TUSD CVA'!$AM$14)*1</f>
        <v>49.78704102185678</v>
      </c>
      <c r="AA189" s="6">
        <f>('TE BE'!$AA$8+'TE BF'!$AA$8+'TE CVA'!$AA$8)*1</f>
        <v>238.55077890362423</v>
      </c>
      <c r="AB189" s="6">
        <f>$K$189*$V$189</f>
        <v>8574.7199999999993</v>
      </c>
      <c r="AC189" s="6">
        <f>$M$189*$W$189</f>
        <v>2093.32305</v>
      </c>
      <c r="AD189" s="6">
        <f>$O$189*$X$189</f>
        <v>10504.021710000001</v>
      </c>
      <c r="AE189" s="6">
        <f ca="1">$K$189*$Y$189</f>
        <v>8285.5749512960829</v>
      </c>
      <c r="AF189" s="6">
        <f ca="1">$M$189*$Z$189</f>
        <v>2387.6371262851858</v>
      </c>
      <c r="AG189" s="6">
        <f>$O$189*$AA$189</f>
        <v>11440.179703881107</v>
      </c>
    </row>
    <row r="190" spans="1:33" ht="11.25" customHeight="1" x14ac:dyDescent="0.25">
      <c r="A190" s="4" t="s">
        <v>21</v>
      </c>
      <c r="B190" s="4" t="s">
        <v>39</v>
      </c>
      <c r="C190" s="4" t="s">
        <v>40</v>
      </c>
      <c r="D190" s="4" t="s">
        <v>45</v>
      </c>
      <c r="E190" s="4" t="s">
        <v>25</v>
      </c>
      <c r="F190" s="4" t="s">
        <v>25</v>
      </c>
      <c r="G190" s="4" t="s">
        <v>25</v>
      </c>
      <c r="H190" s="4" t="s">
        <v>35</v>
      </c>
      <c r="I190" s="5">
        <v>44409</v>
      </c>
      <c r="J190" s="6">
        <v>470</v>
      </c>
      <c r="K190" s="6">
        <v>470</v>
      </c>
      <c r="L190" s="6">
        <v>44.831000000000003</v>
      </c>
      <c r="M190" s="6">
        <v>44.831000000000003</v>
      </c>
      <c r="N190" s="6">
        <v>44.831000000000003</v>
      </c>
      <c r="O190" s="6">
        <v>44.831000000000003</v>
      </c>
      <c r="P190" s="6">
        <v>0</v>
      </c>
      <c r="Q190" s="4" t="s">
        <v>26</v>
      </c>
      <c r="R190" s="4">
        <v>0</v>
      </c>
      <c r="S190" s="6">
        <v>10</v>
      </c>
      <c r="T190" s="6">
        <v>11</v>
      </c>
      <c r="U190" s="6">
        <v>68</v>
      </c>
      <c r="V190" s="6">
        <f>IF(ISERROR(VLOOKUP($S$190,'TAR FIN'!$A$1:$O$100,15,0)),0,VLOOKUP($S$190,'TAR FIN'!$A$1:$O$100,15,0))</f>
        <v>18.48</v>
      </c>
      <c r="W190" s="6">
        <f>IF(ISERROR(VLOOKUP($T$190,'TAR FIN'!$A$1:$O$100,15,0)),0,VLOOKUP($T$190,'TAR FIN'!$A$1:$O$100,15,0))</f>
        <v>43.65</v>
      </c>
      <c r="X190" s="6">
        <f>IF(ISERROR(VLOOKUP($U$190,'TAR FIN'!$A$1:$O$100,15,0)),0,VLOOKUP($U$190,'TAR FIN'!$A$1:$O$100,15,0))</f>
        <v>219.03</v>
      </c>
      <c r="Y190" s="6">
        <f ca="1">('TUSD BE'!$AM$13+'TUSD BF'!$AM$13+'TUSD CVA'!$AM$13)*1</f>
        <v>17.856842567448453</v>
      </c>
      <c r="Z190" s="6">
        <f ca="1">('TUSD BE'!$AM$14+'TUSD BF'!$AM$14+'TUSD CVA'!$AM$14)*1</f>
        <v>49.78704102185678</v>
      </c>
      <c r="AA190" s="6">
        <f>('TE BE'!$AA$8+'TE BF'!$AA$8+'TE CVA'!$AA$8)*1</f>
        <v>238.55077890362423</v>
      </c>
      <c r="AB190" s="6">
        <f>$K$190*$V$190</f>
        <v>8685.6</v>
      </c>
      <c r="AC190" s="6">
        <f>$M$190*$W$190</f>
        <v>1956.8731500000001</v>
      </c>
      <c r="AD190" s="6">
        <f>$O$190*$X$190</f>
        <v>9819.3339300000007</v>
      </c>
      <c r="AE190" s="6">
        <f ca="1">$K$190*$Y$190</f>
        <v>8392.7160067007735</v>
      </c>
      <c r="AF190" s="6">
        <f ca="1">$M$190*$Z$190</f>
        <v>2232.0028360508613</v>
      </c>
      <c r="AG190" s="6">
        <f>$O$190*$AA$190</f>
        <v>10694.46996902838</v>
      </c>
    </row>
    <row r="191" spans="1:33" ht="11.25" customHeight="1" x14ac:dyDescent="0.25">
      <c r="A191" s="4" t="s">
        <v>21</v>
      </c>
      <c r="B191" s="4" t="s">
        <v>39</v>
      </c>
      <c r="C191" s="4" t="s">
        <v>40</v>
      </c>
      <c r="D191" s="4" t="s">
        <v>45</v>
      </c>
      <c r="E191" s="4" t="s">
        <v>25</v>
      </c>
      <c r="F191" s="4" t="s">
        <v>25</v>
      </c>
      <c r="G191" s="4" t="s">
        <v>25</v>
      </c>
      <c r="H191" s="4" t="s">
        <v>35</v>
      </c>
      <c r="I191" s="5">
        <v>44440</v>
      </c>
      <c r="J191" s="6">
        <v>465</v>
      </c>
      <c r="K191" s="6">
        <v>465</v>
      </c>
      <c r="L191" s="6">
        <v>46.805999999999997</v>
      </c>
      <c r="M191" s="6">
        <v>46.805999999999997</v>
      </c>
      <c r="N191" s="6">
        <v>46.805999999999997</v>
      </c>
      <c r="O191" s="6">
        <v>46.805999999999997</v>
      </c>
      <c r="P191" s="6">
        <v>0</v>
      </c>
      <c r="Q191" s="4" t="s">
        <v>26</v>
      </c>
      <c r="R191" s="4">
        <v>0</v>
      </c>
      <c r="S191" s="6">
        <v>10</v>
      </c>
      <c r="T191" s="6">
        <v>11</v>
      </c>
      <c r="U191" s="6">
        <v>68</v>
      </c>
      <c r="V191" s="6">
        <f>IF(ISERROR(VLOOKUP($S$191,'TAR FIN'!$A$1:$O$100,15,0)),0,VLOOKUP($S$191,'TAR FIN'!$A$1:$O$100,15,0))</f>
        <v>18.48</v>
      </c>
      <c r="W191" s="6">
        <f>IF(ISERROR(VLOOKUP($T$191,'TAR FIN'!$A$1:$O$100,15,0)),0,VLOOKUP($T$191,'TAR FIN'!$A$1:$O$100,15,0))</f>
        <v>43.65</v>
      </c>
      <c r="X191" s="6">
        <f>IF(ISERROR(VLOOKUP($U$191,'TAR FIN'!$A$1:$O$100,15,0)),0,VLOOKUP($U$191,'TAR FIN'!$A$1:$O$100,15,0))</f>
        <v>219.03</v>
      </c>
      <c r="Y191" s="6">
        <f ca="1">('TUSD BE'!$AM$13+'TUSD BF'!$AM$13+'TUSD CVA'!$AM$13)*1</f>
        <v>17.856842567448453</v>
      </c>
      <c r="Z191" s="6">
        <f ca="1">('TUSD BE'!$AM$14+'TUSD BF'!$AM$14+'TUSD CVA'!$AM$14)*1</f>
        <v>49.78704102185678</v>
      </c>
      <c r="AA191" s="6">
        <f>('TE BE'!$AA$8+'TE BF'!$AA$8+'TE CVA'!$AA$8)*1</f>
        <v>238.55077890362423</v>
      </c>
      <c r="AB191" s="6">
        <f>$K$191*$V$191</f>
        <v>8593.2000000000007</v>
      </c>
      <c r="AC191" s="6">
        <f>$M$191*$W$191</f>
        <v>2043.0818999999999</v>
      </c>
      <c r="AD191" s="6">
        <f>$O$191*$X$191</f>
        <v>10251.918179999999</v>
      </c>
      <c r="AE191" s="6">
        <f ca="1">$K$191*$Y$191</f>
        <v>8303.4317938635304</v>
      </c>
      <c r="AF191" s="6">
        <f ca="1">$M$191*$Z$191</f>
        <v>2330.3322420690283</v>
      </c>
      <c r="AG191" s="6">
        <f>$O$191*$AA$191</f>
        <v>11165.607757363035</v>
      </c>
    </row>
    <row r="192" spans="1:33" ht="11.25" customHeight="1" x14ac:dyDescent="0.25">
      <c r="A192" s="4" t="s">
        <v>21</v>
      </c>
      <c r="B192" s="4" t="s">
        <v>39</v>
      </c>
      <c r="C192" s="4" t="s">
        <v>40</v>
      </c>
      <c r="D192" s="4" t="s">
        <v>45</v>
      </c>
      <c r="E192" s="4" t="s">
        <v>25</v>
      </c>
      <c r="F192" s="4" t="s">
        <v>25</v>
      </c>
      <c r="G192" s="4" t="s">
        <v>25</v>
      </c>
      <c r="H192" s="4" t="s">
        <v>35</v>
      </c>
      <c r="I192" s="5">
        <v>44470</v>
      </c>
      <c r="J192" s="6">
        <v>468</v>
      </c>
      <c r="K192" s="6">
        <v>468</v>
      </c>
      <c r="L192" s="6">
        <v>52.966000000000001</v>
      </c>
      <c r="M192" s="6">
        <v>52.966000000000001</v>
      </c>
      <c r="N192" s="6">
        <v>52.966000000000001</v>
      </c>
      <c r="O192" s="6">
        <v>52.966000000000001</v>
      </c>
      <c r="P192" s="6">
        <v>0</v>
      </c>
      <c r="Q192" s="4" t="s">
        <v>26</v>
      </c>
      <c r="R192" s="4">
        <v>0</v>
      </c>
      <c r="S192" s="6">
        <v>10</v>
      </c>
      <c r="T192" s="6">
        <v>11</v>
      </c>
      <c r="U192" s="6">
        <v>68</v>
      </c>
      <c r="V192" s="6">
        <f>IF(ISERROR(VLOOKUP($S$192,'TAR FIN'!$A$1:$O$100,15,0)),0,VLOOKUP($S$192,'TAR FIN'!$A$1:$O$100,15,0))</f>
        <v>18.48</v>
      </c>
      <c r="W192" s="6">
        <f>IF(ISERROR(VLOOKUP($T$192,'TAR FIN'!$A$1:$O$100,15,0)),0,VLOOKUP($T$192,'TAR FIN'!$A$1:$O$100,15,0))</f>
        <v>43.65</v>
      </c>
      <c r="X192" s="6">
        <f>IF(ISERROR(VLOOKUP($U$192,'TAR FIN'!$A$1:$O$100,15,0)),0,VLOOKUP($U$192,'TAR FIN'!$A$1:$O$100,15,0))</f>
        <v>219.03</v>
      </c>
      <c r="Y192" s="6">
        <f ca="1">('TUSD BE'!$AM$13+'TUSD BF'!$AM$13+'TUSD CVA'!$AM$13)*1</f>
        <v>17.856842567448453</v>
      </c>
      <c r="Z192" s="6">
        <f ca="1">('TUSD BE'!$AM$14+'TUSD BF'!$AM$14+'TUSD CVA'!$AM$14)*1</f>
        <v>49.78704102185678</v>
      </c>
      <c r="AA192" s="6">
        <f>('TE BE'!$AA$8+'TE BF'!$AA$8+'TE CVA'!$AA$8)*1</f>
        <v>238.55077890362423</v>
      </c>
      <c r="AB192" s="6">
        <f>$K$192*$V$192</f>
        <v>8648.64</v>
      </c>
      <c r="AC192" s="6">
        <f>$M$192*$W$192</f>
        <v>2311.9659000000001</v>
      </c>
      <c r="AD192" s="6">
        <f>$O$192*$X$192</f>
        <v>11601.142980000001</v>
      </c>
      <c r="AE192" s="6">
        <f ca="1">$K$192*$Y$192</f>
        <v>8357.0023215658766</v>
      </c>
      <c r="AF192" s="6">
        <f ca="1">$M$192*$Z$192</f>
        <v>2637.0204147636664</v>
      </c>
      <c r="AG192" s="6">
        <f>$O$192*$AA$192</f>
        <v>12635.080555409362</v>
      </c>
    </row>
    <row r="193" spans="1:33" ht="11.25" customHeight="1" x14ac:dyDescent="0.25">
      <c r="A193" s="4" t="s">
        <v>21</v>
      </c>
      <c r="B193" s="4" t="s">
        <v>39</v>
      </c>
      <c r="C193" s="4" t="s">
        <v>40</v>
      </c>
      <c r="D193" s="4" t="s">
        <v>45</v>
      </c>
      <c r="E193" s="4" t="s">
        <v>25</v>
      </c>
      <c r="F193" s="4" t="s">
        <v>25</v>
      </c>
      <c r="G193" s="4" t="s">
        <v>25</v>
      </c>
      <c r="H193" s="4" t="s">
        <v>35</v>
      </c>
      <c r="I193" s="5">
        <v>44501</v>
      </c>
      <c r="J193" s="6">
        <v>468</v>
      </c>
      <c r="K193" s="6">
        <v>468</v>
      </c>
      <c r="L193" s="6">
        <v>58.508000000000003</v>
      </c>
      <c r="M193" s="6">
        <v>58.508000000000003</v>
      </c>
      <c r="N193" s="6">
        <v>58.508000000000003</v>
      </c>
      <c r="O193" s="6">
        <v>58.508000000000003</v>
      </c>
      <c r="P193" s="6">
        <v>0</v>
      </c>
      <c r="Q193" s="4" t="s">
        <v>26</v>
      </c>
      <c r="R193" s="4">
        <v>0</v>
      </c>
      <c r="S193" s="6">
        <v>10</v>
      </c>
      <c r="T193" s="6">
        <v>11</v>
      </c>
      <c r="U193" s="6">
        <v>68</v>
      </c>
      <c r="V193" s="6">
        <f>IF(ISERROR(VLOOKUP($S$193,'TAR FIN'!$A$1:$O$100,15,0)),0,VLOOKUP($S$193,'TAR FIN'!$A$1:$O$100,15,0))</f>
        <v>18.48</v>
      </c>
      <c r="W193" s="6">
        <f>IF(ISERROR(VLOOKUP($T$193,'TAR FIN'!$A$1:$O$100,15,0)),0,VLOOKUP($T$193,'TAR FIN'!$A$1:$O$100,15,0))</f>
        <v>43.65</v>
      </c>
      <c r="X193" s="6">
        <f>IF(ISERROR(VLOOKUP($U$193,'TAR FIN'!$A$1:$O$100,15,0)),0,VLOOKUP($U$193,'TAR FIN'!$A$1:$O$100,15,0))</f>
        <v>219.03</v>
      </c>
      <c r="Y193" s="6">
        <f ca="1">('TUSD BE'!$AM$13+'TUSD BF'!$AM$13+'TUSD CVA'!$AM$13)*1</f>
        <v>17.856842567448453</v>
      </c>
      <c r="Z193" s="6">
        <f ca="1">('TUSD BE'!$AM$14+'TUSD BF'!$AM$14+'TUSD CVA'!$AM$14)*1</f>
        <v>49.78704102185678</v>
      </c>
      <c r="AA193" s="6">
        <f>('TE BE'!$AA$8+'TE BF'!$AA$8+'TE CVA'!$AA$8)*1</f>
        <v>238.55077890362423</v>
      </c>
      <c r="AB193" s="6">
        <f>$K$193*$V$193</f>
        <v>8648.64</v>
      </c>
      <c r="AC193" s="6">
        <f>$M$193*$W$193</f>
        <v>2553.8742000000002</v>
      </c>
      <c r="AD193" s="6">
        <f>$O$193*$X$193</f>
        <v>12815.007240000001</v>
      </c>
      <c r="AE193" s="6">
        <f ca="1">$K$193*$Y$193</f>
        <v>8357.0023215658766</v>
      </c>
      <c r="AF193" s="6">
        <f ca="1">$M$193*$Z$193</f>
        <v>2912.9401961067965</v>
      </c>
      <c r="AG193" s="6">
        <f>$O$193*$AA$193</f>
        <v>13957.128972093247</v>
      </c>
    </row>
    <row r="194" spans="1:33" ht="11.25" customHeight="1" x14ac:dyDescent="0.25">
      <c r="A194" s="4" t="s">
        <v>21</v>
      </c>
      <c r="B194" s="4" t="s">
        <v>39</v>
      </c>
      <c r="C194" s="4" t="s">
        <v>40</v>
      </c>
      <c r="D194" s="4" t="s">
        <v>45</v>
      </c>
      <c r="E194" s="4" t="s">
        <v>25</v>
      </c>
      <c r="F194" s="4" t="s">
        <v>25</v>
      </c>
      <c r="G194" s="4" t="s">
        <v>25</v>
      </c>
      <c r="H194" s="4" t="s">
        <v>35</v>
      </c>
      <c r="I194" s="5">
        <v>44531</v>
      </c>
      <c r="J194" s="6">
        <v>470</v>
      </c>
      <c r="K194" s="6">
        <v>470</v>
      </c>
      <c r="L194" s="6">
        <v>60.901000000000003</v>
      </c>
      <c r="M194" s="6">
        <v>60.901000000000003</v>
      </c>
      <c r="N194" s="6">
        <v>60.901000000000003</v>
      </c>
      <c r="O194" s="6">
        <v>60.901000000000003</v>
      </c>
      <c r="P194" s="6">
        <v>0</v>
      </c>
      <c r="Q194" s="4" t="s">
        <v>26</v>
      </c>
      <c r="R194" s="4">
        <v>0</v>
      </c>
      <c r="S194" s="6">
        <v>10</v>
      </c>
      <c r="T194" s="6">
        <v>11</v>
      </c>
      <c r="U194" s="6">
        <v>68</v>
      </c>
      <c r="V194" s="6">
        <f>IF(ISERROR(VLOOKUP($S$194,'TAR FIN'!$A$1:$O$100,15,0)),0,VLOOKUP($S$194,'TAR FIN'!$A$1:$O$100,15,0))</f>
        <v>18.48</v>
      </c>
      <c r="W194" s="6">
        <f>IF(ISERROR(VLOOKUP($T$194,'TAR FIN'!$A$1:$O$100,15,0)),0,VLOOKUP($T$194,'TAR FIN'!$A$1:$O$100,15,0))</f>
        <v>43.65</v>
      </c>
      <c r="X194" s="6">
        <f>IF(ISERROR(VLOOKUP($U$194,'TAR FIN'!$A$1:$O$100,15,0)),0,VLOOKUP($U$194,'TAR FIN'!$A$1:$O$100,15,0))</f>
        <v>219.03</v>
      </c>
      <c r="Y194" s="6">
        <f ca="1">('TUSD BE'!$AM$13+'TUSD BF'!$AM$13+'TUSD CVA'!$AM$13)*1</f>
        <v>17.856842567448453</v>
      </c>
      <c r="Z194" s="6">
        <f ca="1">('TUSD BE'!$AM$14+'TUSD BF'!$AM$14+'TUSD CVA'!$AM$14)*1</f>
        <v>49.78704102185678</v>
      </c>
      <c r="AA194" s="6">
        <f>('TE BE'!$AA$8+'TE BF'!$AA$8+'TE CVA'!$AA$8)*1</f>
        <v>238.55077890362423</v>
      </c>
      <c r="AB194" s="6">
        <f>$K$194*$V$194</f>
        <v>8685.6</v>
      </c>
      <c r="AC194" s="6">
        <f>$M$194*$W$194</f>
        <v>2658.3286499999999</v>
      </c>
      <c r="AD194" s="6">
        <f>$O$194*$X$194</f>
        <v>13339.146030000002</v>
      </c>
      <c r="AE194" s="6">
        <f ca="1">$K$194*$Y$194</f>
        <v>8392.7160067007735</v>
      </c>
      <c r="AF194" s="6">
        <f ca="1">$M$194*$Z$194</f>
        <v>3032.0805852721001</v>
      </c>
      <c r="AG194" s="6">
        <f>$O$194*$AA$194</f>
        <v>14527.980986009621</v>
      </c>
    </row>
    <row r="195" spans="1:33" ht="11.25" customHeight="1" x14ac:dyDescent="0.25">
      <c r="A195" s="4" t="s">
        <v>55</v>
      </c>
      <c r="B195" s="4" t="s">
        <v>39</v>
      </c>
      <c r="C195" s="4" t="s">
        <v>40</v>
      </c>
      <c r="D195" s="4" t="s">
        <v>45</v>
      </c>
      <c r="E195" s="4" t="s">
        <v>25</v>
      </c>
      <c r="F195" s="4" t="s">
        <v>25</v>
      </c>
      <c r="G195" s="4" t="s">
        <v>25</v>
      </c>
      <c r="H195" s="4" t="s">
        <v>35</v>
      </c>
      <c r="I195" s="5">
        <v>44562</v>
      </c>
      <c r="J195" s="6">
        <v>470</v>
      </c>
      <c r="K195" s="6">
        <v>470</v>
      </c>
      <c r="L195" s="6">
        <v>60.901000000000003</v>
      </c>
      <c r="M195" s="6">
        <v>60.901000000000003</v>
      </c>
      <c r="N195" s="6">
        <v>60.901000000000003</v>
      </c>
      <c r="O195" s="6">
        <v>60.901000000000003</v>
      </c>
      <c r="P195" s="6">
        <v>0</v>
      </c>
      <c r="Q195" s="4" t="s">
        <v>26</v>
      </c>
      <c r="R195" s="4">
        <v>0</v>
      </c>
      <c r="S195" s="6">
        <v>10</v>
      </c>
      <c r="T195" s="6">
        <v>11</v>
      </c>
      <c r="U195" s="6">
        <v>68</v>
      </c>
      <c r="V195" s="6">
        <f>IF(ISERROR(VLOOKUP($S$195,'TAR FIN'!$A$1:$O$100,15,0)),0,VLOOKUP($S$195,'TAR FIN'!$A$1:$O$100,15,0))</f>
        <v>18.48</v>
      </c>
      <c r="W195" s="6">
        <f>IF(ISERROR(VLOOKUP($T$195,'TAR FIN'!$A$1:$O$100,15,0)),0,VLOOKUP($T$195,'TAR FIN'!$A$1:$O$100,15,0))</f>
        <v>43.65</v>
      </c>
      <c r="X195" s="6">
        <f>IF(ISERROR(VLOOKUP($U$195,'TAR FIN'!$A$1:$O$100,15,0)),0,VLOOKUP($U$195,'TAR FIN'!$A$1:$O$100,15,0))</f>
        <v>219.03</v>
      </c>
      <c r="Y195" s="6">
        <f ca="1">('TUSD BE'!$AM$13+'TUSD BF'!$AM$13+'TUSD CVA'!$AM$13)*1</f>
        <v>17.856842567448453</v>
      </c>
      <c r="Z195" s="6">
        <f ca="1">('TUSD BE'!$AM$14+'TUSD BF'!$AM$14+'TUSD CVA'!$AM$14)*1</f>
        <v>49.78704102185678</v>
      </c>
      <c r="AA195" s="6">
        <f>('TE BE'!$AA$8+'TE BF'!$AA$8+'TE CVA'!$AA$8)*1</f>
        <v>238.55077890362423</v>
      </c>
      <c r="AB195" s="6">
        <f>$K$195*$V$195</f>
        <v>8685.6</v>
      </c>
      <c r="AC195" s="6">
        <f>$M$195*$W$195</f>
        <v>2658.3286499999999</v>
      </c>
      <c r="AD195" s="6">
        <f>$O$195*$X$195</f>
        <v>13339.146030000002</v>
      </c>
      <c r="AE195" s="6">
        <f ca="1">$K$195*$Y$195</f>
        <v>8392.7160067007735</v>
      </c>
      <c r="AF195" s="6">
        <f ca="1">$M$195*$Z$195</f>
        <v>3032.0805852721001</v>
      </c>
      <c r="AG195" s="6">
        <f>$O$195*$AA$195</f>
        <v>14527.980986009621</v>
      </c>
    </row>
    <row r="196" spans="1:33" ht="11.25" customHeight="1" x14ac:dyDescent="0.25">
      <c r="A196" s="4" t="s">
        <v>21</v>
      </c>
      <c r="B196" s="4" t="s">
        <v>39</v>
      </c>
      <c r="C196" s="4" t="s">
        <v>40</v>
      </c>
      <c r="D196" s="4" t="s">
        <v>45</v>
      </c>
      <c r="E196" s="4" t="s">
        <v>25</v>
      </c>
      <c r="F196" s="4" t="s">
        <v>25</v>
      </c>
      <c r="G196" s="4" t="s">
        <v>25</v>
      </c>
      <c r="H196" s="4" t="s">
        <v>34</v>
      </c>
      <c r="I196" s="5">
        <v>44228</v>
      </c>
      <c r="J196" s="6">
        <v>337</v>
      </c>
      <c r="K196" s="6">
        <v>337</v>
      </c>
      <c r="L196" s="6">
        <v>5.6589999999999998</v>
      </c>
      <c r="M196" s="6">
        <v>5.6589999999999998</v>
      </c>
      <c r="N196" s="6">
        <v>5.6589999999999998</v>
      </c>
      <c r="O196" s="6">
        <v>5.6589999999999998</v>
      </c>
      <c r="P196" s="6">
        <v>0</v>
      </c>
      <c r="Q196" s="4" t="s">
        <v>26</v>
      </c>
      <c r="R196" s="4">
        <v>0</v>
      </c>
      <c r="S196" s="6">
        <v>9</v>
      </c>
      <c r="T196" s="6">
        <v>11</v>
      </c>
      <c r="U196" s="6">
        <v>67</v>
      </c>
      <c r="V196" s="6">
        <f>IF(ISERROR(VLOOKUP($S$196,'TAR FIN'!$A$1:$O$100,15,0)),0,VLOOKUP($S$196,'TAR FIN'!$A$1:$O$100,15,0))</f>
        <v>37.01</v>
      </c>
      <c r="W196" s="6">
        <f>IF(ISERROR(VLOOKUP($T$196,'TAR FIN'!$A$1:$O$100,15,0)),0,VLOOKUP($T$196,'TAR FIN'!$A$1:$O$100,15,0))</f>
        <v>43.65</v>
      </c>
      <c r="X196" s="6">
        <f>IF(ISERROR(VLOOKUP($U$196,'TAR FIN'!$A$1:$O$100,15,0)),0,VLOOKUP($U$196,'TAR FIN'!$A$1:$O$100,15,0))</f>
        <v>366.6</v>
      </c>
      <c r="Y196" s="6">
        <f ca="1">('TUSD BE'!$AM$12+'TUSD BF'!$AM$12+'TUSD CVA'!$AM$12)*1</f>
        <v>36.177295232618533</v>
      </c>
      <c r="Z196" s="6">
        <f ca="1">('TUSD BE'!$AM$14+'TUSD BF'!$AM$14+'TUSD CVA'!$AM$14)*1</f>
        <v>49.78704102185678</v>
      </c>
      <c r="AA196" s="6">
        <f>('TE BE'!$AA$7+'TE BF'!$AA$7+'TE CVA'!$AA$7)*1</f>
        <v>385.46556634281501</v>
      </c>
      <c r="AB196" s="6">
        <f>$K$196*$V$196</f>
        <v>12472.369999999999</v>
      </c>
      <c r="AC196" s="6">
        <f>$M$196*$W$196</f>
        <v>247.01534999999998</v>
      </c>
      <c r="AD196" s="6">
        <f>$O$196*$X$196</f>
        <v>2074.5893999999998</v>
      </c>
      <c r="AE196" s="6">
        <f ca="1">$K$196*$Y$196</f>
        <v>12191.748493392446</v>
      </c>
      <c r="AF196" s="6">
        <f ca="1">$M$196*$Z$196</f>
        <v>281.7448651426875</v>
      </c>
      <c r="AG196" s="6">
        <f>$O$196*$AA$196</f>
        <v>2181.3496399339901</v>
      </c>
    </row>
    <row r="197" spans="1:33" ht="11.25" customHeight="1" x14ac:dyDescent="0.25">
      <c r="A197" s="4" t="s">
        <v>21</v>
      </c>
      <c r="B197" s="4" t="s">
        <v>39</v>
      </c>
      <c r="C197" s="4" t="s">
        <v>40</v>
      </c>
      <c r="D197" s="4" t="s">
        <v>45</v>
      </c>
      <c r="E197" s="4" t="s">
        <v>25</v>
      </c>
      <c r="F197" s="4" t="s">
        <v>25</v>
      </c>
      <c r="G197" s="4" t="s">
        <v>25</v>
      </c>
      <c r="H197" s="4" t="s">
        <v>34</v>
      </c>
      <c r="I197" s="5">
        <v>44256</v>
      </c>
      <c r="J197" s="6">
        <v>340</v>
      </c>
      <c r="K197" s="6">
        <v>340</v>
      </c>
      <c r="L197" s="6">
        <v>6.0730000000000004</v>
      </c>
      <c r="M197" s="6">
        <v>6.0730000000000004</v>
      </c>
      <c r="N197" s="6">
        <v>6.0730000000000004</v>
      </c>
      <c r="O197" s="6">
        <v>6.0730000000000004</v>
      </c>
      <c r="P197" s="6">
        <v>0</v>
      </c>
      <c r="Q197" s="4" t="s">
        <v>26</v>
      </c>
      <c r="R197" s="4">
        <v>0</v>
      </c>
      <c r="S197" s="6">
        <v>9</v>
      </c>
      <c r="T197" s="6">
        <v>11</v>
      </c>
      <c r="U197" s="6">
        <v>67</v>
      </c>
      <c r="V197" s="6">
        <f>IF(ISERROR(VLOOKUP($S$197,'TAR FIN'!$A$1:$O$100,15,0)),0,VLOOKUP($S$197,'TAR FIN'!$A$1:$O$100,15,0))</f>
        <v>37.01</v>
      </c>
      <c r="W197" s="6">
        <f>IF(ISERROR(VLOOKUP($T$197,'TAR FIN'!$A$1:$O$100,15,0)),0,VLOOKUP($T$197,'TAR FIN'!$A$1:$O$100,15,0))</f>
        <v>43.65</v>
      </c>
      <c r="X197" s="6">
        <f>IF(ISERROR(VLOOKUP($U$197,'TAR FIN'!$A$1:$O$100,15,0)),0,VLOOKUP($U$197,'TAR FIN'!$A$1:$O$100,15,0))</f>
        <v>366.6</v>
      </c>
      <c r="Y197" s="6">
        <f ca="1">('TUSD BE'!$AM$12+'TUSD BF'!$AM$12+'TUSD CVA'!$AM$12)*1</f>
        <v>36.177295232618533</v>
      </c>
      <c r="Z197" s="6">
        <f ca="1">('TUSD BE'!$AM$14+'TUSD BF'!$AM$14+'TUSD CVA'!$AM$14)*1</f>
        <v>49.78704102185678</v>
      </c>
      <c r="AA197" s="6">
        <f>('TE BE'!$AA$7+'TE BF'!$AA$7+'TE CVA'!$AA$7)*1</f>
        <v>385.46556634281501</v>
      </c>
      <c r="AB197" s="6">
        <f>$K$197*$V$197</f>
        <v>12583.4</v>
      </c>
      <c r="AC197" s="6">
        <f>$M$197*$W$197</f>
        <v>265.08645000000001</v>
      </c>
      <c r="AD197" s="6">
        <f>$O$197*$X$197</f>
        <v>2226.3618000000001</v>
      </c>
      <c r="AE197" s="6">
        <f ca="1">$K$197*$Y$197</f>
        <v>12300.280379090302</v>
      </c>
      <c r="AF197" s="6">
        <f ca="1">$M$197*$Z$197</f>
        <v>302.35670012573627</v>
      </c>
      <c r="AG197" s="6">
        <f>$O$197*$AA$197</f>
        <v>2340.9323843999159</v>
      </c>
    </row>
    <row r="198" spans="1:33" ht="11.25" customHeight="1" x14ac:dyDescent="0.25">
      <c r="A198" s="4" t="s">
        <v>21</v>
      </c>
      <c r="B198" s="4" t="s">
        <v>39</v>
      </c>
      <c r="C198" s="4" t="s">
        <v>40</v>
      </c>
      <c r="D198" s="4" t="s">
        <v>45</v>
      </c>
      <c r="E198" s="4" t="s">
        <v>25</v>
      </c>
      <c r="F198" s="4" t="s">
        <v>25</v>
      </c>
      <c r="G198" s="4" t="s">
        <v>25</v>
      </c>
      <c r="H198" s="4" t="s">
        <v>34</v>
      </c>
      <c r="I198" s="5">
        <v>44287</v>
      </c>
      <c r="J198" s="6">
        <v>338</v>
      </c>
      <c r="K198" s="6">
        <v>338</v>
      </c>
      <c r="L198" s="6">
        <v>5.1970000000000001</v>
      </c>
      <c r="M198" s="6">
        <v>5.1970000000000001</v>
      </c>
      <c r="N198" s="6">
        <v>5.1970000000000001</v>
      </c>
      <c r="O198" s="6">
        <v>5.1970000000000001</v>
      </c>
      <c r="P198" s="6">
        <v>0</v>
      </c>
      <c r="Q198" s="4" t="s">
        <v>26</v>
      </c>
      <c r="R198" s="4">
        <v>0</v>
      </c>
      <c r="S198" s="6">
        <v>9</v>
      </c>
      <c r="T198" s="6">
        <v>11</v>
      </c>
      <c r="U198" s="6">
        <v>67</v>
      </c>
      <c r="V198" s="6">
        <f>IF(ISERROR(VLOOKUP($S$198,'TAR FIN'!$A$1:$O$100,15,0)),0,VLOOKUP($S$198,'TAR FIN'!$A$1:$O$100,15,0))</f>
        <v>37.01</v>
      </c>
      <c r="W198" s="6">
        <f>IF(ISERROR(VLOOKUP($T$198,'TAR FIN'!$A$1:$O$100,15,0)),0,VLOOKUP($T$198,'TAR FIN'!$A$1:$O$100,15,0))</f>
        <v>43.65</v>
      </c>
      <c r="X198" s="6">
        <f>IF(ISERROR(VLOOKUP($U$198,'TAR FIN'!$A$1:$O$100,15,0)),0,VLOOKUP($U$198,'TAR FIN'!$A$1:$O$100,15,0))</f>
        <v>366.6</v>
      </c>
      <c r="Y198" s="6">
        <f ca="1">('TUSD BE'!$AM$12+'TUSD BF'!$AM$12+'TUSD CVA'!$AM$12)*1</f>
        <v>36.177295232618533</v>
      </c>
      <c r="Z198" s="6">
        <f ca="1">('TUSD BE'!$AM$14+'TUSD BF'!$AM$14+'TUSD CVA'!$AM$14)*1</f>
        <v>49.78704102185678</v>
      </c>
      <c r="AA198" s="6">
        <f>('TE BE'!$AA$7+'TE BF'!$AA$7+'TE CVA'!$AA$7)*1</f>
        <v>385.46556634281501</v>
      </c>
      <c r="AB198" s="6">
        <f>$K$198*$V$198</f>
        <v>12509.38</v>
      </c>
      <c r="AC198" s="6">
        <f>$M$198*$W$198</f>
        <v>226.84905000000001</v>
      </c>
      <c r="AD198" s="6">
        <f>$O$198*$X$198</f>
        <v>1905.2202000000002</v>
      </c>
      <c r="AE198" s="6">
        <f ca="1">$K$198*$Y$198</f>
        <v>12227.925788625063</v>
      </c>
      <c r="AF198" s="6">
        <f ca="1">$M$198*$Z$198</f>
        <v>258.74325219058971</v>
      </c>
      <c r="AG198" s="6">
        <f>$O$198*$AA$198</f>
        <v>2003.2645482836097</v>
      </c>
    </row>
    <row r="199" spans="1:33" ht="11.25" customHeight="1" x14ac:dyDescent="0.25">
      <c r="A199" s="4" t="s">
        <v>21</v>
      </c>
      <c r="B199" s="4" t="s">
        <v>39</v>
      </c>
      <c r="C199" s="4" t="s">
        <v>40</v>
      </c>
      <c r="D199" s="4" t="s">
        <v>45</v>
      </c>
      <c r="E199" s="4" t="s">
        <v>25</v>
      </c>
      <c r="F199" s="4" t="s">
        <v>25</v>
      </c>
      <c r="G199" s="4" t="s">
        <v>25</v>
      </c>
      <c r="H199" s="4" t="s">
        <v>34</v>
      </c>
      <c r="I199" s="5">
        <v>44317</v>
      </c>
      <c r="J199" s="6">
        <v>337</v>
      </c>
      <c r="K199" s="6">
        <v>337</v>
      </c>
      <c r="L199" s="6">
        <v>5.585</v>
      </c>
      <c r="M199" s="6">
        <v>5.585</v>
      </c>
      <c r="N199" s="6">
        <v>5.585</v>
      </c>
      <c r="O199" s="6">
        <v>5.585</v>
      </c>
      <c r="P199" s="6">
        <v>0</v>
      </c>
      <c r="Q199" s="4" t="s">
        <v>26</v>
      </c>
      <c r="R199" s="4">
        <v>0</v>
      </c>
      <c r="S199" s="6">
        <v>9</v>
      </c>
      <c r="T199" s="6">
        <v>11</v>
      </c>
      <c r="U199" s="6">
        <v>67</v>
      </c>
      <c r="V199" s="6">
        <f>IF(ISERROR(VLOOKUP($S$199,'TAR FIN'!$A$1:$O$100,15,0)),0,VLOOKUP($S$199,'TAR FIN'!$A$1:$O$100,15,0))</f>
        <v>37.01</v>
      </c>
      <c r="W199" s="6">
        <f>IF(ISERROR(VLOOKUP($T$199,'TAR FIN'!$A$1:$O$100,15,0)),0,VLOOKUP($T$199,'TAR FIN'!$A$1:$O$100,15,0))</f>
        <v>43.65</v>
      </c>
      <c r="X199" s="6">
        <f>IF(ISERROR(VLOOKUP($U$199,'TAR FIN'!$A$1:$O$100,15,0)),0,VLOOKUP($U$199,'TAR FIN'!$A$1:$O$100,15,0))</f>
        <v>366.6</v>
      </c>
      <c r="Y199" s="6">
        <f ca="1">('TUSD BE'!$AM$12+'TUSD BF'!$AM$12+'TUSD CVA'!$AM$12)*1</f>
        <v>36.177295232618533</v>
      </c>
      <c r="Z199" s="6">
        <f ca="1">('TUSD BE'!$AM$14+'TUSD BF'!$AM$14+'TUSD CVA'!$AM$14)*1</f>
        <v>49.78704102185678</v>
      </c>
      <c r="AA199" s="6">
        <f>('TE BE'!$AA$7+'TE BF'!$AA$7+'TE CVA'!$AA$7)*1</f>
        <v>385.46556634281501</v>
      </c>
      <c r="AB199" s="6">
        <f>$K$199*$V$199</f>
        <v>12472.369999999999</v>
      </c>
      <c r="AC199" s="6">
        <f>$M$199*$W$199</f>
        <v>243.78524999999999</v>
      </c>
      <c r="AD199" s="6">
        <f>$O$199*$X$199</f>
        <v>2047.461</v>
      </c>
      <c r="AE199" s="6">
        <f ca="1">$K$199*$Y$199</f>
        <v>12191.748493392446</v>
      </c>
      <c r="AF199" s="6">
        <f ca="1">$M$199*$Z$199</f>
        <v>278.06062410707011</v>
      </c>
      <c r="AG199" s="6">
        <f>$O$199*$AA$199</f>
        <v>2152.8251880246216</v>
      </c>
    </row>
    <row r="200" spans="1:33" ht="11.25" customHeight="1" x14ac:dyDescent="0.25">
      <c r="A200" s="4" t="s">
        <v>21</v>
      </c>
      <c r="B200" s="4" t="s">
        <v>39</v>
      </c>
      <c r="C200" s="4" t="s">
        <v>40</v>
      </c>
      <c r="D200" s="4" t="s">
        <v>45</v>
      </c>
      <c r="E200" s="4" t="s">
        <v>25</v>
      </c>
      <c r="F200" s="4" t="s">
        <v>25</v>
      </c>
      <c r="G200" s="4" t="s">
        <v>25</v>
      </c>
      <c r="H200" s="4" t="s">
        <v>34</v>
      </c>
      <c r="I200" s="5">
        <v>44348</v>
      </c>
      <c r="J200" s="6">
        <v>336</v>
      </c>
      <c r="K200" s="6">
        <v>336</v>
      </c>
      <c r="L200" s="6">
        <v>5.4820000000000002</v>
      </c>
      <c r="M200" s="6">
        <v>5.4820000000000002</v>
      </c>
      <c r="N200" s="6">
        <v>5.4820000000000002</v>
      </c>
      <c r="O200" s="6">
        <v>5.4820000000000002</v>
      </c>
      <c r="P200" s="6">
        <v>0</v>
      </c>
      <c r="Q200" s="4" t="s">
        <v>26</v>
      </c>
      <c r="R200" s="4">
        <v>0</v>
      </c>
      <c r="S200" s="6">
        <v>9</v>
      </c>
      <c r="T200" s="6">
        <v>11</v>
      </c>
      <c r="U200" s="6">
        <v>67</v>
      </c>
      <c r="V200" s="6">
        <f>IF(ISERROR(VLOOKUP($S$200,'TAR FIN'!$A$1:$O$100,15,0)),0,VLOOKUP($S$200,'TAR FIN'!$A$1:$O$100,15,0))</f>
        <v>37.01</v>
      </c>
      <c r="W200" s="6">
        <f>IF(ISERROR(VLOOKUP($T$200,'TAR FIN'!$A$1:$O$100,15,0)),0,VLOOKUP($T$200,'TAR FIN'!$A$1:$O$100,15,0))</f>
        <v>43.65</v>
      </c>
      <c r="X200" s="6">
        <f>IF(ISERROR(VLOOKUP($U$200,'TAR FIN'!$A$1:$O$100,15,0)),0,VLOOKUP($U$200,'TAR FIN'!$A$1:$O$100,15,0))</f>
        <v>366.6</v>
      </c>
      <c r="Y200" s="6">
        <f ca="1">('TUSD BE'!$AM$12+'TUSD BF'!$AM$12+'TUSD CVA'!$AM$12)*1</f>
        <v>36.177295232618533</v>
      </c>
      <c r="Z200" s="6">
        <f ca="1">('TUSD BE'!$AM$14+'TUSD BF'!$AM$14+'TUSD CVA'!$AM$14)*1</f>
        <v>49.78704102185678</v>
      </c>
      <c r="AA200" s="6">
        <f>('TE BE'!$AA$7+'TE BF'!$AA$7+'TE CVA'!$AA$7)*1</f>
        <v>385.46556634281501</v>
      </c>
      <c r="AB200" s="6">
        <f>$K$200*$V$200</f>
        <v>12435.359999999999</v>
      </c>
      <c r="AC200" s="6">
        <f>$M$200*$W$200</f>
        <v>239.2893</v>
      </c>
      <c r="AD200" s="6">
        <f>$O$200*$X$200</f>
        <v>2009.7012000000002</v>
      </c>
      <c r="AE200" s="6">
        <f ca="1">$K$200*$Y$200</f>
        <v>12155.571198159827</v>
      </c>
      <c r="AF200" s="6">
        <f ca="1">$M$200*$Z$200</f>
        <v>272.93255888181886</v>
      </c>
      <c r="AG200" s="6">
        <f>$O$200*$AA$200</f>
        <v>2113.1222346913119</v>
      </c>
    </row>
    <row r="201" spans="1:33" ht="11.25" customHeight="1" x14ac:dyDescent="0.25">
      <c r="A201" s="4" t="s">
        <v>21</v>
      </c>
      <c r="B201" s="4" t="s">
        <v>39</v>
      </c>
      <c r="C201" s="4" t="s">
        <v>40</v>
      </c>
      <c r="D201" s="4" t="s">
        <v>45</v>
      </c>
      <c r="E201" s="4" t="s">
        <v>25</v>
      </c>
      <c r="F201" s="4" t="s">
        <v>25</v>
      </c>
      <c r="G201" s="4" t="s">
        <v>25</v>
      </c>
      <c r="H201" s="4" t="s">
        <v>34</v>
      </c>
      <c r="I201" s="5">
        <v>44378</v>
      </c>
      <c r="J201" s="6">
        <v>332</v>
      </c>
      <c r="K201" s="6">
        <v>332</v>
      </c>
      <c r="L201" s="6">
        <v>5.1219999999999999</v>
      </c>
      <c r="M201" s="6">
        <v>5.1219999999999999</v>
      </c>
      <c r="N201" s="6">
        <v>5.1219999999999999</v>
      </c>
      <c r="O201" s="6">
        <v>5.1219999999999999</v>
      </c>
      <c r="P201" s="6">
        <v>0</v>
      </c>
      <c r="Q201" s="4" t="s">
        <v>26</v>
      </c>
      <c r="R201" s="4">
        <v>0</v>
      </c>
      <c r="S201" s="6">
        <v>9</v>
      </c>
      <c r="T201" s="6">
        <v>11</v>
      </c>
      <c r="U201" s="6">
        <v>67</v>
      </c>
      <c r="V201" s="6">
        <f>IF(ISERROR(VLOOKUP($S$201,'TAR FIN'!$A$1:$O$100,15,0)),0,VLOOKUP($S$201,'TAR FIN'!$A$1:$O$100,15,0))</f>
        <v>37.01</v>
      </c>
      <c r="W201" s="6">
        <f>IF(ISERROR(VLOOKUP($T$201,'TAR FIN'!$A$1:$O$100,15,0)),0,VLOOKUP($T$201,'TAR FIN'!$A$1:$O$100,15,0))</f>
        <v>43.65</v>
      </c>
      <c r="X201" s="6">
        <f>IF(ISERROR(VLOOKUP($U$201,'TAR FIN'!$A$1:$O$100,15,0)),0,VLOOKUP($U$201,'TAR FIN'!$A$1:$O$100,15,0))</f>
        <v>366.6</v>
      </c>
      <c r="Y201" s="6">
        <f ca="1">('TUSD BE'!$AM$12+'TUSD BF'!$AM$12+'TUSD CVA'!$AM$12)*1</f>
        <v>36.177295232618533</v>
      </c>
      <c r="Z201" s="6">
        <f ca="1">('TUSD BE'!$AM$14+'TUSD BF'!$AM$14+'TUSD CVA'!$AM$14)*1</f>
        <v>49.78704102185678</v>
      </c>
      <c r="AA201" s="6">
        <f>('TE BE'!$AA$7+'TE BF'!$AA$7+'TE CVA'!$AA$7)*1</f>
        <v>385.46556634281501</v>
      </c>
      <c r="AB201" s="6">
        <f>$K$201*$V$201</f>
        <v>12287.32</v>
      </c>
      <c r="AC201" s="6">
        <f>$M$201*$W$201</f>
        <v>223.5753</v>
      </c>
      <c r="AD201" s="6">
        <f>$O$201*$X$201</f>
        <v>1877.7252000000001</v>
      </c>
      <c r="AE201" s="6">
        <f ca="1">$K$201*$Y$201</f>
        <v>12010.862017229352</v>
      </c>
      <c r="AF201" s="6">
        <f ca="1">$M$201*$Z$201</f>
        <v>255.00922411395041</v>
      </c>
      <c r="AG201" s="6">
        <f>$O$201*$AA$201</f>
        <v>1974.3546308078985</v>
      </c>
    </row>
    <row r="202" spans="1:33" ht="11.25" customHeight="1" x14ac:dyDescent="0.25">
      <c r="A202" s="4" t="s">
        <v>21</v>
      </c>
      <c r="B202" s="4" t="s">
        <v>39</v>
      </c>
      <c r="C202" s="4" t="s">
        <v>40</v>
      </c>
      <c r="D202" s="4" t="s">
        <v>45</v>
      </c>
      <c r="E202" s="4" t="s">
        <v>25</v>
      </c>
      <c r="F202" s="4" t="s">
        <v>25</v>
      </c>
      <c r="G202" s="4" t="s">
        <v>25</v>
      </c>
      <c r="H202" s="4" t="s">
        <v>34</v>
      </c>
      <c r="I202" s="5">
        <v>44409</v>
      </c>
      <c r="J202" s="6">
        <v>332</v>
      </c>
      <c r="K202" s="6">
        <v>332</v>
      </c>
      <c r="L202" s="6">
        <v>5.165</v>
      </c>
      <c r="M202" s="6">
        <v>5.165</v>
      </c>
      <c r="N202" s="6">
        <v>5.165</v>
      </c>
      <c r="O202" s="6">
        <v>5.165</v>
      </c>
      <c r="P202" s="6">
        <v>0</v>
      </c>
      <c r="Q202" s="4" t="s">
        <v>26</v>
      </c>
      <c r="R202" s="4">
        <v>0</v>
      </c>
      <c r="S202" s="6">
        <v>9</v>
      </c>
      <c r="T202" s="6">
        <v>11</v>
      </c>
      <c r="U202" s="6">
        <v>67</v>
      </c>
      <c r="V202" s="6">
        <f>IF(ISERROR(VLOOKUP($S$202,'TAR FIN'!$A$1:$O$100,15,0)),0,VLOOKUP($S$202,'TAR FIN'!$A$1:$O$100,15,0))</f>
        <v>37.01</v>
      </c>
      <c r="W202" s="6">
        <f>IF(ISERROR(VLOOKUP($T$202,'TAR FIN'!$A$1:$O$100,15,0)),0,VLOOKUP($T$202,'TAR FIN'!$A$1:$O$100,15,0))</f>
        <v>43.65</v>
      </c>
      <c r="X202" s="6">
        <f>IF(ISERROR(VLOOKUP($U$202,'TAR FIN'!$A$1:$O$100,15,0)),0,VLOOKUP($U$202,'TAR FIN'!$A$1:$O$100,15,0))</f>
        <v>366.6</v>
      </c>
      <c r="Y202" s="6">
        <f ca="1">('TUSD BE'!$AM$12+'TUSD BF'!$AM$12+'TUSD CVA'!$AM$12)*1</f>
        <v>36.177295232618533</v>
      </c>
      <c r="Z202" s="6">
        <f ca="1">('TUSD BE'!$AM$14+'TUSD BF'!$AM$14+'TUSD CVA'!$AM$14)*1</f>
        <v>49.78704102185678</v>
      </c>
      <c r="AA202" s="6">
        <f>('TE BE'!$AA$7+'TE BF'!$AA$7+'TE CVA'!$AA$7)*1</f>
        <v>385.46556634281501</v>
      </c>
      <c r="AB202" s="6">
        <f>$K$202*$V$202</f>
        <v>12287.32</v>
      </c>
      <c r="AC202" s="6">
        <f>$M$202*$W$202</f>
        <v>225.45224999999999</v>
      </c>
      <c r="AD202" s="6">
        <f>$O$202*$X$202</f>
        <v>1893.489</v>
      </c>
      <c r="AE202" s="6">
        <f ca="1">$K$202*$Y$202</f>
        <v>12010.862017229352</v>
      </c>
      <c r="AF202" s="6">
        <f ca="1">$M$202*$Z$202</f>
        <v>257.15006687789025</v>
      </c>
      <c r="AG202" s="6">
        <f>$O$202*$AA$202</f>
        <v>1990.9296501606395</v>
      </c>
    </row>
    <row r="203" spans="1:33" ht="11.25" customHeight="1" x14ac:dyDescent="0.25">
      <c r="A203" s="4" t="s">
        <v>21</v>
      </c>
      <c r="B203" s="4" t="s">
        <v>39</v>
      </c>
      <c r="C203" s="4" t="s">
        <v>40</v>
      </c>
      <c r="D203" s="4" t="s">
        <v>45</v>
      </c>
      <c r="E203" s="4" t="s">
        <v>25</v>
      </c>
      <c r="F203" s="4" t="s">
        <v>25</v>
      </c>
      <c r="G203" s="4" t="s">
        <v>25</v>
      </c>
      <c r="H203" s="4" t="s">
        <v>34</v>
      </c>
      <c r="I203" s="5">
        <v>44440</v>
      </c>
      <c r="J203" s="6">
        <v>332</v>
      </c>
      <c r="K203" s="6">
        <v>332</v>
      </c>
      <c r="L203" s="6">
        <v>5.2670000000000003</v>
      </c>
      <c r="M203" s="6">
        <v>5.2670000000000003</v>
      </c>
      <c r="N203" s="6">
        <v>5.2670000000000003</v>
      </c>
      <c r="O203" s="6">
        <v>5.2670000000000003</v>
      </c>
      <c r="P203" s="6">
        <v>0</v>
      </c>
      <c r="Q203" s="4" t="s">
        <v>26</v>
      </c>
      <c r="R203" s="4">
        <v>0</v>
      </c>
      <c r="S203" s="6">
        <v>9</v>
      </c>
      <c r="T203" s="6">
        <v>11</v>
      </c>
      <c r="U203" s="6">
        <v>67</v>
      </c>
      <c r="V203" s="6">
        <f>IF(ISERROR(VLOOKUP($S$203,'TAR FIN'!$A$1:$O$100,15,0)),0,VLOOKUP($S$203,'TAR FIN'!$A$1:$O$100,15,0))</f>
        <v>37.01</v>
      </c>
      <c r="W203" s="6">
        <f>IF(ISERROR(VLOOKUP($T$203,'TAR FIN'!$A$1:$O$100,15,0)),0,VLOOKUP($T$203,'TAR FIN'!$A$1:$O$100,15,0))</f>
        <v>43.65</v>
      </c>
      <c r="X203" s="6">
        <f>IF(ISERROR(VLOOKUP($U$203,'TAR FIN'!$A$1:$O$100,15,0)),0,VLOOKUP($U$203,'TAR FIN'!$A$1:$O$100,15,0))</f>
        <v>366.6</v>
      </c>
      <c r="Y203" s="6">
        <f ca="1">('TUSD BE'!$AM$12+'TUSD BF'!$AM$12+'TUSD CVA'!$AM$12)*1</f>
        <v>36.177295232618533</v>
      </c>
      <c r="Z203" s="6">
        <f ca="1">('TUSD BE'!$AM$14+'TUSD BF'!$AM$14+'TUSD CVA'!$AM$14)*1</f>
        <v>49.78704102185678</v>
      </c>
      <c r="AA203" s="6">
        <f>('TE BE'!$AA$7+'TE BF'!$AA$7+'TE CVA'!$AA$7)*1</f>
        <v>385.46556634281501</v>
      </c>
      <c r="AB203" s="6">
        <f>$K$203*$V$203</f>
        <v>12287.32</v>
      </c>
      <c r="AC203" s="6">
        <f>$M$203*$W$203</f>
        <v>229.90455</v>
      </c>
      <c r="AD203" s="6">
        <f>$O$203*$X$203</f>
        <v>1930.8822000000002</v>
      </c>
      <c r="AE203" s="6">
        <f ca="1">$K$203*$Y$203</f>
        <v>12010.862017229352</v>
      </c>
      <c r="AF203" s="6">
        <f ca="1">$M$203*$Z$203</f>
        <v>262.22834506211967</v>
      </c>
      <c r="AG203" s="6">
        <f>$O$203*$AA$203</f>
        <v>2030.2471379276069</v>
      </c>
    </row>
    <row r="204" spans="1:33" ht="11.25" customHeight="1" x14ac:dyDescent="0.25">
      <c r="A204" s="4" t="s">
        <v>21</v>
      </c>
      <c r="B204" s="4" t="s">
        <v>39</v>
      </c>
      <c r="C204" s="4" t="s">
        <v>40</v>
      </c>
      <c r="D204" s="4" t="s">
        <v>45</v>
      </c>
      <c r="E204" s="4" t="s">
        <v>25</v>
      </c>
      <c r="F204" s="4" t="s">
        <v>25</v>
      </c>
      <c r="G204" s="4" t="s">
        <v>25</v>
      </c>
      <c r="H204" s="4" t="s">
        <v>34</v>
      </c>
      <c r="I204" s="5">
        <v>44470</v>
      </c>
      <c r="J204" s="6">
        <v>339</v>
      </c>
      <c r="K204" s="6">
        <v>339</v>
      </c>
      <c r="L204" s="6">
        <v>5.7130000000000001</v>
      </c>
      <c r="M204" s="6">
        <v>5.7130000000000001</v>
      </c>
      <c r="N204" s="6">
        <v>5.7130000000000001</v>
      </c>
      <c r="O204" s="6">
        <v>5.7130000000000001</v>
      </c>
      <c r="P204" s="6">
        <v>0</v>
      </c>
      <c r="Q204" s="4" t="s">
        <v>26</v>
      </c>
      <c r="R204" s="4">
        <v>0</v>
      </c>
      <c r="S204" s="6">
        <v>9</v>
      </c>
      <c r="T204" s="6">
        <v>11</v>
      </c>
      <c r="U204" s="6">
        <v>67</v>
      </c>
      <c r="V204" s="6">
        <f>IF(ISERROR(VLOOKUP($S$204,'TAR FIN'!$A$1:$O$100,15,0)),0,VLOOKUP($S$204,'TAR FIN'!$A$1:$O$100,15,0))</f>
        <v>37.01</v>
      </c>
      <c r="W204" s="6">
        <f>IF(ISERROR(VLOOKUP($T$204,'TAR FIN'!$A$1:$O$100,15,0)),0,VLOOKUP($T$204,'TAR FIN'!$A$1:$O$100,15,0))</f>
        <v>43.65</v>
      </c>
      <c r="X204" s="6">
        <f>IF(ISERROR(VLOOKUP($U$204,'TAR FIN'!$A$1:$O$100,15,0)),0,VLOOKUP($U$204,'TAR FIN'!$A$1:$O$100,15,0))</f>
        <v>366.6</v>
      </c>
      <c r="Y204" s="6">
        <f ca="1">('TUSD BE'!$AM$12+'TUSD BF'!$AM$12+'TUSD CVA'!$AM$12)*1</f>
        <v>36.177295232618533</v>
      </c>
      <c r="Z204" s="6">
        <f ca="1">('TUSD BE'!$AM$14+'TUSD BF'!$AM$14+'TUSD CVA'!$AM$14)*1</f>
        <v>49.78704102185678</v>
      </c>
      <c r="AA204" s="6">
        <f>('TE BE'!$AA$7+'TE BF'!$AA$7+'TE CVA'!$AA$7)*1</f>
        <v>385.46556634281501</v>
      </c>
      <c r="AB204" s="6">
        <f>$K$204*$V$204</f>
        <v>12546.39</v>
      </c>
      <c r="AC204" s="6">
        <f>$M$204*$W$204</f>
        <v>249.37244999999999</v>
      </c>
      <c r="AD204" s="6">
        <f>$O$204*$X$204</f>
        <v>2094.3858</v>
      </c>
      <c r="AE204" s="6">
        <f ca="1">$K$204*$Y$204</f>
        <v>12264.103083857683</v>
      </c>
      <c r="AF204" s="6">
        <f ca="1">$M$204*$Z$204</f>
        <v>284.43336535786779</v>
      </c>
      <c r="AG204" s="6">
        <f>$O$204*$AA$204</f>
        <v>2202.1647805165021</v>
      </c>
    </row>
    <row r="205" spans="1:33" ht="11.25" customHeight="1" x14ac:dyDescent="0.25">
      <c r="A205" s="4" t="s">
        <v>21</v>
      </c>
      <c r="B205" s="4" t="s">
        <v>39</v>
      </c>
      <c r="C205" s="4" t="s">
        <v>40</v>
      </c>
      <c r="D205" s="4" t="s">
        <v>45</v>
      </c>
      <c r="E205" s="4" t="s">
        <v>25</v>
      </c>
      <c r="F205" s="4" t="s">
        <v>25</v>
      </c>
      <c r="G205" s="4" t="s">
        <v>25</v>
      </c>
      <c r="H205" s="4" t="s">
        <v>34</v>
      </c>
      <c r="I205" s="5">
        <v>44501</v>
      </c>
      <c r="J205" s="6">
        <v>339</v>
      </c>
      <c r="K205" s="6">
        <v>339</v>
      </c>
      <c r="L205" s="6">
        <v>5.726</v>
      </c>
      <c r="M205" s="6">
        <v>5.726</v>
      </c>
      <c r="N205" s="6">
        <v>5.726</v>
      </c>
      <c r="O205" s="6">
        <v>5.726</v>
      </c>
      <c r="P205" s="6">
        <v>0</v>
      </c>
      <c r="Q205" s="4" t="s">
        <v>26</v>
      </c>
      <c r="R205" s="4">
        <v>0</v>
      </c>
      <c r="S205" s="6">
        <v>9</v>
      </c>
      <c r="T205" s="6">
        <v>11</v>
      </c>
      <c r="U205" s="6">
        <v>67</v>
      </c>
      <c r="V205" s="6">
        <f>IF(ISERROR(VLOOKUP($S$205,'TAR FIN'!$A$1:$O$100,15,0)),0,VLOOKUP($S$205,'TAR FIN'!$A$1:$O$100,15,0))</f>
        <v>37.01</v>
      </c>
      <c r="W205" s="6">
        <f>IF(ISERROR(VLOOKUP($T$205,'TAR FIN'!$A$1:$O$100,15,0)),0,VLOOKUP($T$205,'TAR FIN'!$A$1:$O$100,15,0))</f>
        <v>43.65</v>
      </c>
      <c r="X205" s="6">
        <f>IF(ISERROR(VLOOKUP($U$205,'TAR FIN'!$A$1:$O$100,15,0)),0,VLOOKUP($U$205,'TAR FIN'!$A$1:$O$100,15,0))</f>
        <v>366.6</v>
      </c>
      <c r="Y205" s="6">
        <f ca="1">('TUSD BE'!$AM$12+'TUSD BF'!$AM$12+'TUSD CVA'!$AM$12)*1</f>
        <v>36.177295232618533</v>
      </c>
      <c r="Z205" s="6">
        <f ca="1">('TUSD BE'!$AM$14+'TUSD BF'!$AM$14+'TUSD CVA'!$AM$14)*1</f>
        <v>49.78704102185678</v>
      </c>
      <c r="AA205" s="6">
        <f>('TE BE'!$AA$7+'TE BF'!$AA$7+'TE CVA'!$AA$7)*1</f>
        <v>385.46556634281501</v>
      </c>
      <c r="AB205" s="6">
        <f>$K$205*$V$205</f>
        <v>12546.39</v>
      </c>
      <c r="AC205" s="6">
        <f>$M$205*$W$205</f>
        <v>249.93989999999999</v>
      </c>
      <c r="AD205" s="6">
        <f>$O$205*$X$205</f>
        <v>2099.1516000000001</v>
      </c>
      <c r="AE205" s="6">
        <f ca="1">$K$205*$Y$205</f>
        <v>12264.103083857683</v>
      </c>
      <c r="AF205" s="6">
        <f ca="1">$M$205*$Z$205</f>
        <v>285.08059689115191</v>
      </c>
      <c r="AG205" s="6">
        <f>$O$205*$AA$205</f>
        <v>2207.1758328789588</v>
      </c>
    </row>
    <row r="206" spans="1:33" ht="11.25" customHeight="1" x14ac:dyDescent="0.25">
      <c r="A206" s="4" t="s">
        <v>21</v>
      </c>
      <c r="B206" s="4" t="s">
        <v>39</v>
      </c>
      <c r="C206" s="4" t="s">
        <v>40</v>
      </c>
      <c r="D206" s="4" t="s">
        <v>45</v>
      </c>
      <c r="E206" s="4" t="s">
        <v>25</v>
      </c>
      <c r="F206" s="4" t="s">
        <v>25</v>
      </c>
      <c r="G206" s="4" t="s">
        <v>25</v>
      </c>
      <c r="H206" s="4" t="s">
        <v>34</v>
      </c>
      <c r="I206" s="5">
        <v>44531</v>
      </c>
      <c r="J206" s="6">
        <v>339</v>
      </c>
      <c r="K206" s="6">
        <v>339</v>
      </c>
      <c r="L206" s="6">
        <v>6.3410000000000002</v>
      </c>
      <c r="M206" s="6">
        <v>6.3410000000000002</v>
      </c>
      <c r="N206" s="6">
        <v>6.3410000000000002</v>
      </c>
      <c r="O206" s="6">
        <v>6.3410000000000002</v>
      </c>
      <c r="P206" s="6">
        <v>0</v>
      </c>
      <c r="Q206" s="4" t="s">
        <v>26</v>
      </c>
      <c r="R206" s="4">
        <v>0</v>
      </c>
      <c r="S206" s="6">
        <v>9</v>
      </c>
      <c r="T206" s="6">
        <v>11</v>
      </c>
      <c r="U206" s="6">
        <v>67</v>
      </c>
      <c r="V206" s="6">
        <f>IF(ISERROR(VLOOKUP($S$206,'TAR FIN'!$A$1:$O$100,15,0)),0,VLOOKUP($S$206,'TAR FIN'!$A$1:$O$100,15,0))</f>
        <v>37.01</v>
      </c>
      <c r="W206" s="6">
        <f>IF(ISERROR(VLOOKUP($T$206,'TAR FIN'!$A$1:$O$100,15,0)),0,VLOOKUP($T$206,'TAR FIN'!$A$1:$O$100,15,0))</f>
        <v>43.65</v>
      </c>
      <c r="X206" s="6">
        <f>IF(ISERROR(VLOOKUP($U$206,'TAR FIN'!$A$1:$O$100,15,0)),0,VLOOKUP($U$206,'TAR FIN'!$A$1:$O$100,15,0))</f>
        <v>366.6</v>
      </c>
      <c r="Y206" s="6">
        <f ca="1">('TUSD BE'!$AM$12+'TUSD BF'!$AM$12+'TUSD CVA'!$AM$12)*1</f>
        <v>36.177295232618533</v>
      </c>
      <c r="Z206" s="6">
        <f ca="1">('TUSD BE'!$AM$14+'TUSD BF'!$AM$14+'TUSD CVA'!$AM$14)*1</f>
        <v>49.78704102185678</v>
      </c>
      <c r="AA206" s="6">
        <f>('TE BE'!$AA$7+'TE BF'!$AA$7+'TE CVA'!$AA$7)*1</f>
        <v>385.46556634281501</v>
      </c>
      <c r="AB206" s="6">
        <f>$K$206*$V$206</f>
        <v>12546.39</v>
      </c>
      <c r="AC206" s="6">
        <f>$M$206*$W$206</f>
        <v>276.78465</v>
      </c>
      <c r="AD206" s="6">
        <f>$O$206*$X$206</f>
        <v>2324.6106000000004</v>
      </c>
      <c r="AE206" s="6">
        <f ca="1">$K$206*$Y$206</f>
        <v>12264.103083857683</v>
      </c>
      <c r="AF206" s="6">
        <f ca="1">$M$206*$Z$206</f>
        <v>315.69962711959386</v>
      </c>
      <c r="AG206" s="6">
        <f>$O$206*$AA$206</f>
        <v>2444.23715617979</v>
      </c>
    </row>
    <row r="207" spans="1:33" ht="11.25" customHeight="1" x14ac:dyDescent="0.25">
      <c r="A207" s="4" t="s">
        <v>55</v>
      </c>
      <c r="B207" s="4" t="s">
        <v>39</v>
      </c>
      <c r="C207" s="4" t="s">
        <v>40</v>
      </c>
      <c r="D207" s="4" t="s">
        <v>45</v>
      </c>
      <c r="E207" s="4" t="s">
        <v>25</v>
      </c>
      <c r="F207" s="4" t="s">
        <v>25</v>
      </c>
      <c r="G207" s="4" t="s">
        <v>25</v>
      </c>
      <c r="H207" s="4" t="s">
        <v>34</v>
      </c>
      <c r="I207" s="5">
        <v>44562</v>
      </c>
      <c r="J207" s="6">
        <v>339</v>
      </c>
      <c r="K207" s="6">
        <v>339</v>
      </c>
      <c r="L207" s="6">
        <v>6.3410000000000002</v>
      </c>
      <c r="M207" s="6">
        <v>6.3410000000000002</v>
      </c>
      <c r="N207" s="6">
        <v>6.3410000000000002</v>
      </c>
      <c r="O207" s="6">
        <v>6.3410000000000002</v>
      </c>
      <c r="P207" s="6">
        <v>0</v>
      </c>
      <c r="Q207" s="4" t="s">
        <v>26</v>
      </c>
      <c r="R207" s="4">
        <v>0</v>
      </c>
      <c r="S207" s="6">
        <v>9</v>
      </c>
      <c r="T207" s="6">
        <v>11</v>
      </c>
      <c r="U207" s="6">
        <v>67</v>
      </c>
      <c r="V207" s="6">
        <f>IF(ISERROR(VLOOKUP($S$207,'TAR FIN'!$A$1:$O$100,15,0)),0,VLOOKUP($S$207,'TAR FIN'!$A$1:$O$100,15,0))</f>
        <v>37.01</v>
      </c>
      <c r="W207" s="6">
        <f>IF(ISERROR(VLOOKUP($T$207,'TAR FIN'!$A$1:$O$100,15,0)),0,VLOOKUP($T$207,'TAR FIN'!$A$1:$O$100,15,0))</f>
        <v>43.65</v>
      </c>
      <c r="X207" s="6">
        <f>IF(ISERROR(VLOOKUP($U$207,'TAR FIN'!$A$1:$O$100,15,0)),0,VLOOKUP($U$207,'TAR FIN'!$A$1:$O$100,15,0))</f>
        <v>366.6</v>
      </c>
      <c r="Y207" s="6">
        <f ca="1">('TUSD BE'!$AM$12+'TUSD BF'!$AM$12+'TUSD CVA'!$AM$12)*1</f>
        <v>36.177295232618533</v>
      </c>
      <c r="Z207" s="6">
        <f ca="1">('TUSD BE'!$AM$14+'TUSD BF'!$AM$14+'TUSD CVA'!$AM$14)*1</f>
        <v>49.78704102185678</v>
      </c>
      <c r="AA207" s="6">
        <f>('TE BE'!$AA$7+'TE BF'!$AA$7+'TE CVA'!$AA$7)*1</f>
        <v>385.46556634281501</v>
      </c>
      <c r="AB207" s="6">
        <f>$K$207*$V$207</f>
        <v>12546.39</v>
      </c>
      <c r="AC207" s="6">
        <f>$M$207*$W$207</f>
        <v>276.78465</v>
      </c>
      <c r="AD207" s="6">
        <f>$O$207*$X$207</f>
        <v>2324.6106000000004</v>
      </c>
      <c r="AE207" s="6">
        <f ca="1">$K$207*$Y$207</f>
        <v>12264.103083857683</v>
      </c>
      <c r="AF207" s="6">
        <f ca="1">$M$207*$Z$207</f>
        <v>315.69962711959386</v>
      </c>
      <c r="AG207" s="6">
        <f>$O$207*$AA$207</f>
        <v>2444.23715617979</v>
      </c>
    </row>
    <row r="208" spans="1:33" ht="11.25" customHeight="1" x14ac:dyDescent="0.25">
      <c r="A208" s="4" t="s">
        <v>21</v>
      </c>
      <c r="B208" s="4" t="s">
        <v>39</v>
      </c>
      <c r="C208" s="4" t="s">
        <v>40</v>
      </c>
      <c r="D208" s="4" t="s">
        <v>49</v>
      </c>
      <c r="E208" s="4" t="s">
        <v>50</v>
      </c>
      <c r="F208" s="4" t="s">
        <v>25</v>
      </c>
      <c r="G208" s="4" t="s">
        <v>25</v>
      </c>
      <c r="H208" s="4" t="s">
        <v>35</v>
      </c>
      <c r="I208" s="5">
        <v>44228</v>
      </c>
      <c r="J208" s="6">
        <v>1414</v>
      </c>
      <c r="K208" s="42">
        <v>1414</v>
      </c>
      <c r="L208" s="6">
        <v>678.25300000000004</v>
      </c>
      <c r="M208" s="43">
        <v>678.25300000000004</v>
      </c>
      <c r="N208" s="6">
        <v>678.25300000000004</v>
      </c>
      <c r="O208" s="43">
        <v>678.25300000000004</v>
      </c>
      <c r="P208" s="6">
        <v>0</v>
      </c>
      <c r="Q208" s="4" t="s">
        <v>26</v>
      </c>
      <c r="R208" s="4">
        <v>0</v>
      </c>
      <c r="S208" s="6">
        <v>10</v>
      </c>
      <c r="T208" s="6">
        <v>11</v>
      </c>
      <c r="U208" s="6">
        <v>68</v>
      </c>
      <c r="V208" s="43">
        <f>IF(ISERROR(VLOOKUP($S$208,'TAR FIN'!$A$1:$O$100,15,0)),0,VLOOKUP($S$208,'TAR FIN'!$A$1:$O$100,15,0))*(1-0.06)</f>
        <v>17.371199999999998</v>
      </c>
      <c r="W208" s="43">
        <f>IF(ISERROR(VLOOKUP($T$208,'TAR FIN'!$A$1:$O$100,15,0)),0,VLOOKUP($T$208,'TAR FIN'!$A$1:$O$100,15,0))*(1-0.06)</f>
        <v>41.030999999999999</v>
      </c>
      <c r="X208" s="43">
        <f>IF(ISERROR(VLOOKUP($U$208,'TAR FIN'!$A$1:$O$100,15,0)),0,VLOOKUP($U$208,'TAR FIN'!$A$1:$O$100,15,0))*(1-0.06)</f>
        <v>205.88819999999998</v>
      </c>
      <c r="Y208" s="43">
        <f ca="1">('TUSD BE'!$AM$13+'TUSD BF'!$AM$13+'TUSD CVA'!$AM$13)*1*(1-0.03)</f>
        <v>17.321137290425</v>
      </c>
      <c r="Z208" s="43">
        <f ca="1">('TUSD BE'!$AM$14+'TUSD BF'!$AM$14+'TUSD CVA'!$AM$14)*1*(1-0.03)</f>
        <v>48.293429791201078</v>
      </c>
      <c r="AA208" s="43">
        <f>('TE BE'!$AA$8+'TE BF'!$AA$8+'TE CVA'!$AA$8)*1*(1-0.03)</f>
        <v>231.39425553651549</v>
      </c>
      <c r="AB208" s="6">
        <f>$K$208*$V$208</f>
        <v>24562.876799999998</v>
      </c>
      <c r="AC208" s="6">
        <f>$M$208*$W$208</f>
        <v>27829.398843000003</v>
      </c>
      <c r="AD208" s="6">
        <f>$O$208*$X$208</f>
        <v>139644.2893146</v>
      </c>
      <c r="AE208" s="6">
        <f ca="1">$K$208*$Y$208</f>
        <v>24492.088128660951</v>
      </c>
      <c r="AF208" s="6">
        <f ca="1">$M$208*$Z$208</f>
        <v>32755.163636171506</v>
      </c>
      <c r="AG208" s="6">
        <f>$O$208*$AA$208</f>
        <v>156943.84800040824</v>
      </c>
    </row>
    <row r="209" spans="1:33" ht="11.25" customHeight="1" x14ac:dyDescent="0.25">
      <c r="A209" s="4" t="s">
        <v>21</v>
      </c>
      <c r="B209" s="4" t="s">
        <v>39</v>
      </c>
      <c r="C209" s="4" t="s">
        <v>40</v>
      </c>
      <c r="D209" s="4" t="s">
        <v>49</v>
      </c>
      <c r="E209" s="4" t="s">
        <v>50</v>
      </c>
      <c r="F209" s="4" t="s">
        <v>25</v>
      </c>
      <c r="G209" s="4" t="s">
        <v>25</v>
      </c>
      <c r="H209" s="4" t="s">
        <v>35</v>
      </c>
      <c r="I209" s="5">
        <v>44256</v>
      </c>
      <c r="J209" s="6">
        <v>1427</v>
      </c>
      <c r="K209" s="42">
        <v>1427</v>
      </c>
      <c r="L209" s="6">
        <v>716.32799999999997</v>
      </c>
      <c r="M209" s="43">
        <v>716.32799999999997</v>
      </c>
      <c r="N209" s="6">
        <v>716.32799999999997</v>
      </c>
      <c r="O209" s="43">
        <v>716.32799999999997</v>
      </c>
      <c r="P209" s="6">
        <v>0</v>
      </c>
      <c r="Q209" s="4" t="s">
        <v>26</v>
      </c>
      <c r="R209" s="4">
        <v>0</v>
      </c>
      <c r="S209" s="6">
        <v>10</v>
      </c>
      <c r="T209" s="6">
        <v>11</v>
      </c>
      <c r="U209" s="6">
        <v>68</v>
      </c>
      <c r="V209" s="43">
        <f>IF(ISERROR(VLOOKUP($S$209,'TAR FIN'!$A$1:$O$100,15,0)),0,VLOOKUP($S$209,'TAR FIN'!$A$1:$O$100,15,0))*(1-0.06)</f>
        <v>17.371199999999998</v>
      </c>
      <c r="W209" s="43">
        <f>IF(ISERROR(VLOOKUP($T$209,'TAR FIN'!$A$1:$O$100,15,0)),0,VLOOKUP($T$209,'TAR FIN'!$A$1:$O$100,15,0))*(1-0.06)</f>
        <v>41.030999999999999</v>
      </c>
      <c r="X209" s="43">
        <f>IF(ISERROR(VLOOKUP($U$209,'TAR FIN'!$A$1:$O$100,15,0)),0,VLOOKUP($U$209,'TAR FIN'!$A$1:$O$100,15,0))*(1-0.06)</f>
        <v>205.88819999999998</v>
      </c>
      <c r="Y209" s="43">
        <f ca="1">('TUSD BE'!$AM$13+'TUSD BF'!$AM$13+'TUSD CVA'!$AM$13)*1*(1-0.03)</f>
        <v>17.321137290425</v>
      </c>
      <c r="Z209" s="43">
        <f ca="1">('TUSD BE'!$AM$14+'TUSD BF'!$AM$14+'TUSD CVA'!$AM$14)*1*(1-0.03)</f>
        <v>48.293429791201078</v>
      </c>
      <c r="AA209" s="43">
        <f>('TE BE'!$AA$8+'TE BF'!$AA$8+'TE CVA'!$AA$8)*1*(1-0.03)</f>
        <v>231.39425553651549</v>
      </c>
      <c r="AB209" s="6">
        <f>$K$209*$V$209</f>
        <v>24788.702399999998</v>
      </c>
      <c r="AC209" s="6">
        <f>$M$209*$W$209</f>
        <v>29391.654167999997</v>
      </c>
      <c r="AD209" s="6">
        <f>$O$209*$X$209</f>
        <v>147483.48252959998</v>
      </c>
      <c r="AE209" s="6">
        <f ca="1">$K$209*$Y$209</f>
        <v>24717.262913436476</v>
      </c>
      <c r="AF209" s="6">
        <f ca="1">$M$209*$Z$209</f>
        <v>34593.935975471482</v>
      </c>
      <c r="AG209" s="6">
        <f>$O$209*$AA$209</f>
        <v>165754.18427996105</v>
      </c>
    </row>
    <row r="210" spans="1:33" ht="11.25" customHeight="1" x14ac:dyDescent="0.25">
      <c r="A210" s="4" t="s">
        <v>21</v>
      </c>
      <c r="B210" s="4" t="s">
        <v>39</v>
      </c>
      <c r="C210" s="4" t="s">
        <v>40</v>
      </c>
      <c r="D210" s="4" t="s">
        <v>49</v>
      </c>
      <c r="E210" s="4" t="s">
        <v>50</v>
      </c>
      <c r="F210" s="4" t="s">
        <v>25</v>
      </c>
      <c r="G210" s="4" t="s">
        <v>25</v>
      </c>
      <c r="H210" s="4" t="s">
        <v>35</v>
      </c>
      <c r="I210" s="5">
        <v>44287</v>
      </c>
      <c r="J210" s="6">
        <v>1426</v>
      </c>
      <c r="K210" s="42">
        <v>1426</v>
      </c>
      <c r="L210" s="6">
        <v>698.07299999999998</v>
      </c>
      <c r="M210" s="43">
        <v>698.07299999999998</v>
      </c>
      <c r="N210" s="6">
        <v>698.07299999999998</v>
      </c>
      <c r="O210" s="43">
        <v>698.07299999999998</v>
      </c>
      <c r="P210" s="6">
        <v>0</v>
      </c>
      <c r="Q210" s="4" t="s">
        <v>26</v>
      </c>
      <c r="R210" s="4">
        <v>0</v>
      </c>
      <c r="S210" s="6">
        <v>10</v>
      </c>
      <c r="T210" s="6">
        <v>11</v>
      </c>
      <c r="U210" s="6">
        <v>68</v>
      </c>
      <c r="V210" s="43">
        <f>IF(ISERROR(VLOOKUP($S$210,'TAR FIN'!$A$1:$O$100,15,0)),0,VLOOKUP($S$210,'TAR FIN'!$A$1:$O$100,15,0))*(1-0.06)</f>
        <v>17.371199999999998</v>
      </c>
      <c r="W210" s="43">
        <f>IF(ISERROR(VLOOKUP($T$210,'TAR FIN'!$A$1:$O$100,15,0)),0,VLOOKUP($T$210,'TAR FIN'!$A$1:$O$100,15,0))*(1-0.06)</f>
        <v>41.030999999999999</v>
      </c>
      <c r="X210" s="43">
        <f>IF(ISERROR(VLOOKUP($U$210,'TAR FIN'!$A$1:$O$100,15,0)),0,VLOOKUP($U$210,'TAR FIN'!$A$1:$O$100,15,0))*(1-0.06)</f>
        <v>205.88819999999998</v>
      </c>
      <c r="Y210" s="43">
        <f ca="1">('TUSD BE'!$AM$13+'TUSD BF'!$AM$13+'TUSD CVA'!$AM$13)*1*(1-0.03)</f>
        <v>17.321137290425</v>
      </c>
      <c r="Z210" s="43">
        <f ca="1">('TUSD BE'!$AM$14+'TUSD BF'!$AM$14+'TUSD CVA'!$AM$14)*1*(1-0.03)</f>
        <v>48.293429791201078</v>
      </c>
      <c r="AA210" s="43">
        <f>('TE BE'!$AA$8+'TE BF'!$AA$8+'TE CVA'!$AA$8)*1*(1-0.03)</f>
        <v>231.39425553651549</v>
      </c>
      <c r="AB210" s="6">
        <f>$K$210*$V$210</f>
        <v>24771.331199999997</v>
      </c>
      <c r="AC210" s="6">
        <f>$M$210*$W$210</f>
        <v>28642.633263</v>
      </c>
      <c r="AD210" s="6">
        <f>$O$210*$X$210</f>
        <v>143724.99343859998</v>
      </c>
      <c r="AE210" s="6">
        <f ca="1">$K$210*$Y$210</f>
        <v>24699.94177614605</v>
      </c>
      <c r="AF210" s="6">
        <f ca="1">$M$210*$Z$210</f>
        <v>33712.339414633112</v>
      </c>
      <c r="AG210" s="6">
        <f>$O$210*$AA$210</f>
        <v>161530.08214514196</v>
      </c>
    </row>
    <row r="211" spans="1:33" ht="11.25" customHeight="1" x14ac:dyDescent="0.25">
      <c r="A211" s="4" t="s">
        <v>21</v>
      </c>
      <c r="B211" s="4" t="s">
        <v>39</v>
      </c>
      <c r="C211" s="4" t="s">
        <v>40</v>
      </c>
      <c r="D211" s="4" t="s">
        <v>49</v>
      </c>
      <c r="E211" s="4" t="s">
        <v>50</v>
      </c>
      <c r="F211" s="4" t="s">
        <v>25</v>
      </c>
      <c r="G211" s="4" t="s">
        <v>25</v>
      </c>
      <c r="H211" s="4" t="s">
        <v>35</v>
      </c>
      <c r="I211" s="5">
        <v>44317</v>
      </c>
      <c r="J211" s="6">
        <v>1394</v>
      </c>
      <c r="K211" s="42">
        <v>1394</v>
      </c>
      <c r="L211" s="6">
        <v>692.47199999999998</v>
      </c>
      <c r="M211" s="43">
        <v>692.47199999999998</v>
      </c>
      <c r="N211" s="6">
        <v>692.47199999999998</v>
      </c>
      <c r="O211" s="43">
        <v>692.47199999999998</v>
      </c>
      <c r="P211" s="6">
        <v>0</v>
      </c>
      <c r="Q211" s="4" t="s">
        <v>26</v>
      </c>
      <c r="R211" s="4">
        <v>0</v>
      </c>
      <c r="S211" s="6">
        <v>10</v>
      </c>
      <c r="T211" s="6">
        <v>11</v>
      </c>
      <c r="U211" s="6">
        <v>68</v>
      </c>
      <c r="V211" s="43">
        <f>IF(ISERROR(VLOOKUP($S$211,'TAR FIN'!$A$1:$O$100,15,0)),0,VLOOKUP($S$211,'TAR FIN'!$A$1:$O$100,15,0))*(1-0.06)</f>
        <v>17.371199999999998</v>
      </c>
      <c r="W211" s="43">
        <f>IF(ISERROR(VLOOKUP($T$211,'TAR FIN'!$A$1:$O$100,15,0)),0,VLOOKUP($T$211,'TAR FIN'!$A$1:$O$100,15,0))*(1-0.06)</f>
        <v>41.030999999999999</v>
      </c>
      <c r="X211" s="43">
        <f>IF(ISERROR(VLOOKUP($U$211,'TAR FIN'!$A$1:$O$100,15,0)),0,VLOOKUP($U$211,'TAR FIN'!$A$1:$O$100,15,0))*(1-0.06)</f>
        <v>205.88819999999998</v>
      </c>
      <c r="Y211" s="43">
        <f ca="1">('TUSD BE'!$AM$13+'TUSD BF'!$AM$13+'TUSD CVA'!$AM$13)*1*(1-0.03)</f>
        <v>17.321137290425</v>
      </c>
      <c r="Z211" s="43">
        <f ca="1">('TUSD BE'!$AM$14+'TUSD BF'!$AM$14+'TUSD CVA'!$AM$14)*1*(1-0.03)</f>
        <v>48.293429791201078</v>
      </c>
      <c r="AA211" s="43">
        <f>('TE BE'!$AA$8+'TE BF'!$AA$8+'TE CVA'!$AA$8)*1*(1-0.03)</f>
        <v>231.39425553651549</v>
      </c>
      <c r="AB211" s="6">
        <f>$K$211*$V$211</f>
        <v>24215.452799999999</v>
      </c>
      <c r="AC211" s="6">
        <f>$M$211*$W$211</f>
        <v>28412.818631999999</v>
      </c>
      <c r="AD211" s="6">
        <f>$O$211*$X$211</f>
        <v>142571.81363039999</v>
      </c>
      <c r="AE211" s="6">
        <f ca="1">$K$211*$Y$211</f>
        <v>24145.66538285245</v>
      </c>
      <c r="AF211" s="6">
        <f ca="1">$M$211*$Z$211</f>
        <v>33441.847914372593</v>
      </c>
      <c r="AG211" s="6">
        <f>$O$211*$AA$211</f>
        <v>160234.04291988196</v>
      </c>
    </row>
    <row r="212" spans="1:33" ht="11.25" customHeight="1" x14ac:dyDescent="0.25">
      <c r="A212" s="4" t="s">
        <v>21</v>
      </c>
      <c r="B212" s="4" t="s">
        <v>39</v>
      </c>
      <c r="C212" s="4" t="s">
        <v>40</v>
      </c>
      <c r="D212" s="4" t="s">
        <v>49</v>
      </c>
      <c r="E212" s="4" t="s">
        <v>50</v>
      </c>
      <c r="F212" s="4" t="s">
        <v>25</v>
      </c>
      <c r="G212" s="4" t="s">
        <v>25</v>
      </c>
      <c r="H212" s="4" t="s">
        <v>35</v>
      </c>
      <c r="I212" s="5">
        <v>44348</v>
      </c>
      <c r="J212" s="6">
        <v>1406</v>
      </c>
      <c r="K212" s="42">
        <v>1406</v>
      </c>
      <c r="L212" s="6">
        <v>738.70799999999997</v>
      </c>
      <c r="M212" s="43">
        <v>738.70799999999997</v>
      </c>
      <c r="N212" s="6">
        <v>738.70799999999997</v>
      </c>
      <c r="O212" s="43">
        <v>738.70799999999997</v>
      </c>
      <c r="P212" s="6">
        <v>0</v>
      </c>
      <c r="Q212" s="4" t="s">
        <v>26</v>
      </c>
      <c r="R212" s="4">
        <v>0</v>
      </c>
      <c r="S212" s="6">
        <v>10</v>
      </c>
      <c r="T212" s="6">
        <v>11</v>
      </c>
      <c r="U212" s="6">
        <v>68</v>
      </c>
      <c r="V212" s="43">
        <f>IF(ISERROR(VLOOKUP($S$212,'TAR FIN'!$A$1:$O$100,15,0)),0,VLOOKUP($S$212,'TAR FIN'!$A$1:$O$100,15,0))*(1-0.06)</f>
        <v>17.371199999999998</v>
      </c>
      <c r="W212" s="43">
        <f>IF(ISERROR(VLOOKUP($T$212,'TAR FIN'!$A$1:$O$100,15,0)),0,VLOOKUP($T$212,'TAR FIN'!$A$1:$O$100,15,0))*(1-0.06)</f>
        <v>41.030999999999999</v>
      </c>
      <c r="X212" s="43">
        <f>IF(ISERROR(VLOOKUP($U$212,'TAR FIN'!$A$1:$O$100,15,0)),0,VLOOKUP($U$212,'TAR FIN'!$A$1:$O$100,15,0))*(1-0.06)</f>
        <v>205.88819999999998</v>
      </c>
      <c r="Y212" s="43">
        <f ca="1">('TUSD BE'!$AM$13+'TUSD BF'!$AM$13+'TUSD CVA'!$AM$13)*1*(1-0.03)</f>
        <v>17.321137290425</v>
      </c>
      <c r="Z212" s="43">
        <f ca="1">('TUSD BE'!$AM$14+'TUSD BF'!$AM$14+'TUSD CVA'!$AM$14)*1*(1-0.03)</f>
        <v>48.293429791201078</v>
      </c>
      <c r="AA212" s="43">
        <f>('TE BE'!$AA$8+'TE BF'!$AA$8+'TE CVA'!$AA$8)*1*(1-0.03)</f>
        <v>231.39425553651549</v>
      </c>
      <c r="AB212" s="6">
        <f>$K$212*$V$212</f>
        <v>24423.907199999998</v>
      </c>
      <c r="AC212" s="6">
        <f>$M$212*$W$212</f>
        <v>30309.927947999997</v>
      </c>
      <c r="AD212" s="6">
        <f>$O$212*$X$212</f>
        <v>152091.26044559997</v>
      </c>
      <c r="AE212" s="6">
        <f ca="1">$K$212*$Y$212</f>
        <v>24353.519030337549</v>
      </c>
      <c r="AF212" s="6">
        <f ca="1">$M$212*$Z$212</f>
        <v>35674.742934198563</v>
      </c>
      <c r="AG212" s="6">
        <f>$O$212*$AA$212</f>
        <v>170932.78771886826</v>
      </c>
    </row>
    <row r="213" spans="1:33" ht="11.25" customHeight="1" x14ac:dyDescent="0.25">
      <c r="A213" s="4" t="s">
        <v>21</v>
      </c>
      <c r="B213" s="4" t="s">
        <v>39</v>
      </c>
      <c r="C213" s="4" t="s">
        <v>40</v>
      </c>
      <c r="D213" s="4" t="s">
        <v>49</v>
      </c>
      <c r="E213" s="4" t="s">
        <v>50</v>
      </c>
      <c r="F213" s="4" t="s">
        <v>25</v>
      </c>
      <c r="G213" s="4" t="s">
        <v>25</v>
      </c>
      <c r="H213" s="4" t="s">
        <v>35</v>
      </c>
      <c r="I213" s="5">
        <v>44378</v>
      </c>
      <c r="J213" s="6">
        <v>1425</v>
      </c>
      <c r="K213" s="42">
        <v>1425</v>
      </c>
      <c r="L213" s="6">
        <v>693.28700000000003</v>
      </c>
      <c r="M213" s="43">
        <v>693.28700000000003</v>
      </c>
      <c r="N213" s="6">
        <v>693.28700000000003</v>
      </c>
      <c r="O213" s="43">
        <v>693.28700000000003</v>
      </c>
      <c r="P213" s="6">
        <v>0</v>
      </c>
      <c r="Q213" s="4" t="s">
        <v>26</v>
      </c>
      <c r="R213" s="4">
        <v>0</v>
      </c>
      <c r="S213" s="6">
        <v>10</v>
      </c>
      <c r="T213" s="6">
        <v>11</v>
      </c>
      <c r="U213" s="6">
        <v>68</v>
      </c>
      <c r="V213" s="43">
        <f>IF(ISERROR(VLOOKUP($S$213,'TAR FIN'!$A$1:$O$100,15,0)),0,VLOOKUP($S$213,'TAR FIN'!$A$1:$O$100,15,0))*(1-0.06)</f>
        <v>17.371199999999998</v>
      </c>
      <c r="W213" s="43">
        <f>IF(ISERROR(VLOOKUP($T$213,'TAR FIN'!$A$1:$O$100,15,0)),0,VLOOKUP($T$213,'TAR FIN'!$A$1:$O$100,15,0))*(1-0.06)</f>
        <v>41.030999999999999</v>
      </c>
      <c r="X213" s="43">
        <f>IF(ISERROR(VLOOKUP($U$213,'TAR FIN'!$A$1:$O$100,15,0)),0,VLOOKUP($U$213,'TAR FIN'!$A$1:$O$100,15,0))*(1-0.06)</f>
        <v>205.88819999999998</v>
      </c>
      <c r="Y213" s="43">
        <f ca="1">('TUSD BE'!$AM$13+'TUSD BF'!$AM$13+'TUSD CVA'!$AM$13)*1*(1-0.03)</f>
        <v>17.321137290425</v>
      </c>
      <c r="Z213" s="43">
        <f ca="1">('TUSD BE'!$AM$14+'TUSD BF'!$AM$14+'TUSD CVA'!$AM$14)*1*(1-0.03)</f>
        <v>48.293429791201078</v>
      </c>
      <c r="AA213" s="43">
        <f>('TE BE'!$AA$8+'TE BF'!$AA$8+'TE CVA'!$AA$8)*1*(1-0.03)</f>
        <v>231.39425553651549</v>
      </c>
      <c r="AB213" s="6">
        <f>$K$213*$V$213</f>
        <v>24753.96</v>
      </c>
      <c r="AC213" s="6">
        <f>$M$213*$W$213</f>
        <v>28446.258897</v>
      </c>
      <c r="AD213" s="6">
        <f>$O$213*$X$213</f>
        <v>142739.6125134</v>
      </c>
      <c r="AE213" s="6">
        <f ca="1">$K$213*$Y$213</f>
        <v>24682.620638855624</v>
      </c>
      <c r="AF213" s="6">
        <f ca="1">$M$213*$Z$213</f>
        <v>33481.207059652421</v>
      </c>
      <c r="AG213" s="6">
        <f>$O$213*$AA$213</f>
        <v>160422.62923814423</v>
      </c>
    </row>
    <row r="214" spans="1:33" ht="11.25" customHeight="1" x14ac:dyDescent="0.25">
      <c r="A214" s="4" t="s">
        <v>21</v>
      </c>
      <c r="B214" s="4" t="s">
        <v>39</v>
      </c>
      <c r="C214" s="4" t="s">
        <v>40</v>
      </c>
      <c r="D214" s="4" t="s">
        <v>49</v>
      </c>
      <c r="E214" s="4" t="s">
        <v>50</v>
      </c>
      <c r="F214" s="4" t="s">
        <v>25</v>
      </c>
      <c r="G214" s="4" t="s">
        <v>25</v>
      </c>
      <c r="H214" s="4" t="s">
        <v>35</v>
      </c>
      <c r="I214" s="5">
        <v>44409</v>
      </c>
      <c r="J214" s="6">
        <v>1396</v>
      </c>
      <c r="K214" s="42">
        <v>1396</v>
      </c>
      <c r="L214" s="6">
        <v>709.65800000000002</v>
      </c>
      <c r="M214" s="43">
        <v>709.65800000000002</v>
      </c>
      <c r="N214" s="6">
        <v>709.65800000000002</v>
      </c>
      <c r="O214" s="43">
        <v>709.65800000000002</v>
      </c>
      <c r="P214" s="6">
        <v>0</v>
      </c>
      <c r="Q214" s="4" t="s">
        <v>26</v>
      </c>
      <c r="R214" s="4">
        <v>0</v>
      </c>
      <c r="S214" s="6">
        <v>10</v>
      </c>
      <c r="T214" s="6">
        <v>11</v>
      </c>
      <c r="U214" s="6">
        <v>68</v>
      </c>
      <c r="V214" s="43">
        <f>IF(ISERROR(VLOOKUP($S$214,'TAR FIN'!$A$1:$O$100,15,0)),0,VLOOKUP($S$214,'TAR FIN'!$A$1:$O$100,15,0))*(1-0.06)</f>
        <v>17.371199999999998</v>
      </c>
      <c r="W214" s="43">
        <f>IF(ISERROR(VLOOKUP($T$214,'TAR FIN'!$A$1:$O$100,15,0)),0,VLOOKUP($T$214,'TAR FIN'!$A$1:$O$100,15,0))*(1-0.06)</f>
        <v>41.030999999999999</v>
      </c>
      <c r="X214" s="43">
        <f>IF(ISERROR(VLOOKUP($U$214,'TAR FIN'!$A$1:$O$100,15,0)),0,VLOOKUP($U$214,'TAR FIN'!$A$1:$O$100,15,0))*(1-0.06)</f>
        <v>205.88819999999998</v>
      </c>
      <c r="Y214" s="43">
        <f ca="1">('TUSD BE'!$AM$13+'TUSD BF'!$AM$13+'TUSD CVA'!$AM$13)*1*(1-0.03)</f>
        <v>17.321137290425</v>
      </c>
      <c r="Z214" s="43">
        <f ca="1">('TUSD BE'!$AM$14+'TUSD BF'!$AM$14+'TUSD CVA'!$AM$14)*1*(1-0.03)</f>
        <v>48.293429791201078</v>
      </c>
      <c r="AA214" s="43">
        <f>('TE BE'!$AA$8+'TE BF'!$AA$8+'TE CVA'!$AA$8)*1*(1-0.03)</f>
        <v>231.39425553651549</v>
      </c>
      <c r="AB214" s="6">
        <f>$K$214*$V$214</f>
        <v>24250.195199999998</v>
      </c>
      <c r="AC214" s="6">
        <f>$M$214*$W$214</f>
        <v>29117.977397999999</v>
      </c>
      <c r="AD214" s="6">
        <f>$O$214*$X$214</f>
        <v>146110.2082356</v>
      </c>
      <c r="AE214" s="6">
        <f ca="1">$K$214*$Y$214</f>
        <v>24180.307657433299</v>
      </c>
      <c r="AF214" s="6">
        <f ca="1">$M$214*$Z$214</f>
        <v>34271.818798764172</v>
      </c>
      <c r="AG214" s="6">
        <f>$O$214*$AA$214</f>
        <v>164210.78459553252</v>
      </c>
    </row>
    <row r="215" spans="1:33" ht="11.25" customHeight="1" x14ac:dyDescent="0.25">
      <c r="A215" s="4" t="s">
        <v>21</v>
      </c>
      <c r="B215" s="4" t="s">
        <v>39</v>
      </c>
      <c r="C215" s="4" t="s">
        <v>40</v>
      </c>
      <c r="D215" s="4" t="s">
        <v>49</v>
      </c>
      <c r="E215" s="4" t="s">
        <v>50</v>
      </c>
      <c r="F215" s="4" t="s">
        <v>25</v>
      </c>
      <c r="G215" s="4" t="s">
        <v>25</v>
      </c>
      <c r="H215" s="4" t="s">
        <v>35</v>
      </c>
      <c r="I215" s="5">
        <v>44440</v>
      </c>
      <c r="J215" s="6">
        <v>1412</v>
      </c>
      <c r="K215" s="42">
        <v>1412</v>
      </c>
      <c r="L215" s="6">
        <v>700.89499999999998</v>
      </c>
      <c r="M215" s="43">
        <v>700.89499999999998</v>
      </c>
      <c r="N215" s="6">
        <v>700.89499999999998</v>
      </c>
      <c r="O215" s="43">
        <v>700.89499999999998</v>
      </c>
      <c r="P215" s="6">
        <v>0</v>
      </c>
      <c r="Q215" s="4" t="s">
        <v>26</v>
      </c>
      <c r="R215" s="4">
        <v>0</v>
      </c>
      <c r="S215" s="6">
        <v>10</v>
      </c>
      <c r="T215" s="6">
        <v>11</v>
      </c>
      <c r="U215" s="6">
        <v>68</v>
      </c>
      <c r="V215" s="43">
        <f>IF(ISERROR(VLOOKUP($S$215,'TAR FIN'!$A$1:$O$100,15,0)),0,VLOOKUP($S$215,'TAR FIN'!$A$1:$O$100,15,0))*(1-0.06)</f>
        <v>17.371199999999998</v>
      </c>
      <c r="W215" s="43">
        <f>IF(ISERROR(VLOOKUP($T$215,'TAR FIN'!$A$1:$O$100,15,0)),0,VLOOKUP($T$215,'TAR FIN'!$A$1:$O$100,15,0))*(1-0.06)</f>
        <v>41.030999999999999</v>
      </c>
      <c r="X215" s="43">
        <f>IF(ISERROR(VLOOKUP($U$215,'TAR FIN'!$A$1:$O$100,15,0)),0,VLOOKUP($U$215,'TAR FIN'!$A$1:$O$100,15,0))*(1-0.06)</f>
        <v>205.88819999999998</v>
      </c>
      <c r="Y215" s="43">
        <f ca="1">('TUSD BE'!$AM$13+'TUSD BF'!$AM$13+'TUSD CVA'!$AM$13)*1*(1-0.03)</f>
        <v>17.321137290425</v>
      </c>
      <c r="Z215" s="43">
        <f ca="1">('TUSD BE'!$AM$14+'TUSD BF'!$AM$14+'TUSD CVA'!$AM$14)*1*(1-0.03)</f>
        <v>48.293429791201078</v>
      </c>
      <c r="AA215" s="43">
        <f>('TE BE'!$AA$8+'TE BF'!$AA$8+'TE CVA'!$AA$8)*1*(1-0.03)</f>
        <v>231.39425553651549</v>
      </c>
      <c r="AB215" s="6">
        <f>$K$215*$V$215</f>
        <v>24528.134399999999</v>
      </c>
      <c r="AC215" s="6">
        <f>$M$215*$W$215</f>
        <v>28758.422745</v>
      </c>
      <c r="AD215" s="6">
        <f>$O$215*$X$215</f>
        <v>144306.00993899998</v>
      </c>
      <c r="AE215" s="6">
        <f ca="1">$K$215*$Y$215</f>
        <v>24457.445854080099</v>
      </c>
      <c r="AF215" s="6">
        <f ca="1">$M$215*$Z$215</f>
        <v>33848.623473503882</v>
      </c>
      <c r="AG215" s="6">
        <f>$O$215*$AA$215</f>
        <v>162183.07673426601</v>
      </c>
    </row>
    <row r="216" spans="1:33" ht="11.25" customHeight="1" x14ac:dyDescent="0.25">
      <c r="A216" s="4" t="s">
        <v>21</v>
      </c>
      <c r="B216" s="4" t="s">
        <v>39</v>
      </c>
      <c r="C216" s="4" t="s">
        <v>40</v>
      </c>
      <c r="D216" s="4" t="s">
        <v>49</v>
      </c>
      <c r="E216" s="4" t="s">
        <v>50</v>
      </c>
      <c r="F216" s="4" t="s">
        <v>25</v>
      </c>
      <c r="G216" s="4" t="s">
        <v>25</v>
      </c>
      <c r="H216" s="4" t="s">
        <v>35</v>
      </c>
      <c r="I216" s="5">
        <v>44470</v>
      </c>
      <c r="J216" s="6">
        <v>1430</v>
      </c>
      <c r="K216" s="42">
        <v>1430</v>
      </c>
      <c r="L216" s="6">
        <v>723.44799999999998</v>
      </c>
      <c r="M216" s="43">
        <v>723.44799999999998</v>
      </c>
      <c r="N216" s="6">
        <v>723.44799999999998</v>
      </c>
      <c r="O216" s="43">
        <v>723.44799999999998</v>
      </c>
      <c r="P216" s="6">
        <v>0</v>
      </c>
      <c r="Q216" s="4" t="s">
        <v>26</v>
      </c>
      <c r="R216" s="4">
        <v>0</v>
      </c>
      <c r="S216" s="6">
        <v>10</v>
      </c>
      <c r="T216" s="6">
        <v>11</v>
      </c>
      <c r="U216" s="6">
        <v>68</v>
      </c>
      <c r="V216" s="43">
        <f>IF(ISERROR(VLOOKUP($S$216,'TAR FIN'!$A$1:$O$100,15,0)),0,VLOOKUP($S$216,'TAR FIN'!$A$1:$O$100,15,0))*(1-0.06)</f>
        <v>17.371199999999998</v>
      </c>
      <c r="W216" s="43">
        <f>IF(ISERROR(VLOOKUP($T$216,'TAR FIN'!$A$1:$O$100,15,0)),0,VLOOKUP($T$216,'TAR FIN'!$A$1:$O$100,15,0))*(1-0.06)</f>
        <v>41.030999999999999</v>
      </c>
      <c r="X216" s="43">
        <f>IF(ISERROR(VLOOKUP($U$216,'TAR FIN'!$A$1:$O$100,15,0)),0,VLOOKUP($U$216,'TAR FIN'!$A$1:$O$100,15,0))*(1-0.06)</f>
        <v>205.88819999999998</v>
      </c>
      <c r="Y216" s="43">
        <f ca="1">('TUSD BE'!$AM$13+'TUSD BF'!$AM$13+'TUSD CVA'!$AM$13)*1*(1-0.03)</f>
        <v>17.321137290425</v>
      </c>
      <c r="Z216" s="43">
        <f ca="1">('TUSD BE'!$AM$14+'TUSD BF'!$AM$14+'TUSD CVA'!$AM$14)*1*(1-0.03)</f>
        <v>48.293429791201078</v>
      </c>
      <c r="AA216" s="43">
        <f>('TE BE'!$AA$8+'TE BF'!$AA$8+'TE CVA'!$AA$8)*1*(1-0.03)</f>
        <v>231.39425553651549</v>
      </c>
      <c r="AB216" s="6">
        <f>$K$216*$V$216</f>
        <v>24840.815999999999</v>
      </c>
      <c r="AC216" s="6">
        <f>$M$216*$W$216</f>
        <v>29683.794887999997</v>
      </c>
      <c r="AD216" s="6">
        <f>$O$216*$X$216</f>
        <v>148949.40651359997</v>
      </c>
      <c r="AE216" s="6">
        <f ca="1">$K$216*$Y$216</f>
        <v>24769.226325307751</v>
      </c>
      <c r="AF216" s="6">
        <f ca="1">$M$216*$Z$216</f>
        <v>34937.785195584838</v>
      </c>
      <c r="AG216" s="6">
        <f>$O$216*$AA$216</f>
        <v>167401.71137938104</v>
      </c>
    </row>
    <row r="217" spans="1:33" ht="11.25" customHeight="1" x14ac:dyDescent="0.25">
      <c r="A217" s="4" t="s">
        <v>21</v>
      </c>
      <c r="B217" s="4" t="s">
        <v>39</v>
      </c>
      <c r="C217" s="4" t="s">
        <v>40</v>
      </c>
      <c r="D217" s="4" t="s">
        <v>49</v>
      </c>
      <c r="E217" s="4" t="s">
        <v>50</v>
      </c>
      <c r="F217" s="4" t="s">
        <v>25</v>
      </c>
      <c r="G217" s="4" t="s">
        <v>25</v>
      </c>
      <c r="H217" s="4" t="s">
        <v>35</v>
      </c>
      <c r="I217" s="5">
        <v>44501</v>
      </c>
      <c r="J217" s="6">
        <v>1427</v>
      </c>
      <c r="K217" s="42">
        <v>1427</v>
      </c>
      <c r="L217" s="6">
        <v>752.68200000000002</v>
      </c>
      <c r="M217" s="43">
        <v>752.68200000000002</v>
      </c>
      <c r="N217" s="6">
        <v>752.68200000000002</v>
      </c>
      <c r="O217" s="43">
        <v>752.68200000000002</v>
      </c>
      <c r="P217" s="6">
        <v>0</v>
      </c>
      <c r="Q217" s="4" t="s">
        <v>26</v>
      </c>
      <c r="R217" s="4">
        <v>0</v>
      </c>
      <c r="S217" s="6">
        <v>10</v>
      </c>
      <c r="T217" s="6">
        <v>11</v>
      </c>
      <c r="U217" s="6">
        <v>68</v>
      </c>
      <c r="V217" s="43">
        <f>IF(ISERROR(VLOOKUP($S$217,'TAR FIN'!$A$1:$O$100,15,0)),0,VLOOKUP($S$217,'TAR FIN'!$A$1:$O$100,15,0))*(1-0.06)</f>
        <v>17.371199999999998</v>
      </c>
      <c r="W217" s="43">
        <f>IF(ISERROR(VLOOKUP($T$217,'TAR FIN'!$A$1:$O$100,15,0)),0,VLOOKUP($T$217,'TAR FIN'!$A$1:$O$100,15,0))*(1-0.06)</f>
        <v>41.030999999999999</v>
      </c>
      <c r="X217" s="43">
        <f>IF(ISERROR(VLOOKUP($U$217,'TAR FIN'!$A$1:$O$100,15,0)),0,VLOOKUP($U$217,'TAR FIN'!$A$1:$O$100,15,0))*(1-0.06)</f>
        <v>205.88819999999998</v>
      </c>
      <c r="Y217" s="43">
        <f ca="1">('TUSD BE'!$AM$13+'TUSD BF'!$AM$13+'TUSD CVA'!$AM$13)*1*(1-0.03)</f>
        <v>17.321137290425</v>
      </c>
      <c r="Z217" s="43">
        <f ca="1">('TUSD BE'!$AM$14+'TUSD BF'!$AM$14+'TUSD CVA'!$AM$14)*1*(1-0.03)</f>
        <v>48.293429791201078</v>
      </c>
      <c r="AA217" s="43">
        <f>('TE BE'!$AA$8+'TE BF'!$AA$8+'TE CVA'!$AA$8)*1*(1-0.03)</f>
        <v>231.39425553651549</v>
      </c>
      <c r="AB217" s="6">
        <f>$K$217*$V$217</f>
        <v>24788.702399999998</v>
      </c>
      <c r="AC217" s="6">
        <f>$M$217*$W$217</f>
        <v>30883.295141999999</v>
      </c>
      <c r="AD217" s="6">
        <f>$O$217*$X$217</f>
        <v>154968.3421524</v>
      </c>
      <c r="AE217" s="6">
        <f ca="1">$K$217*$Y$217</f>
        <v>24717.262913436476</v>
      </c>
      <c r="AF217" s="6">
        <f ca="1">$M$217*$Z$217</f>
        <v>36349.595322100809</v>
      </c>
      <c r="AG217" s="6">
        <f>$O$217*$AA$217</f>
        <v>174166.29104573556</v>
      </c>
    </row>
    <row r="218" spans="1:33" ht="11.25" customHeight="1" x14ac:dyDescent="0.25">
      <c r="A218" s="4" t="s">
        <v>21</v>
      </c>
      <c r="B218" s="4" t="s">
        <v>39</v>
      </c>
      <c r="C218" s="4" t="s">
        <v>40</v>
      </c>
      <c r="D218" s="4" t="s">
        <v>49</v>
      </c>
      <c r="E218" s="4" t="s">
        <v>50</v>
      </c>
      <c r="F218" s="4" t="s">
        <v>25</v>
      </c>
      <c r="G218" s="4" t="s">
        <v>25</v>
      </c>
      <c r="H218" s="4" t="s">
        <v>35</v>
      </c>
      <c r="I218" s="5">
        <v>44531</v>
      </c>
      <c r="J218" s="6">
        <v>1427</v>
      </c>
      <c r="K218" s="42">
        <v>1427</v>
      </c>
      <c r="L218" s="6">
        <v>766.65099999999995</v>
      </c>
      <c r="M218" s="43">
        <v>766.65099999999995</v>
      </c>
      <c r="N218" s="6">
        <v>766.65099999999995</v>
      </c>
      <c r="O218" s="43">
        <v>766.65099999999995</v>
      </c>
      <c r="P218" s="6">
        <v>0</v>
      </c>
      <c r="Q218" s="4" t="s">
        <v>26</v>
      </c>
      <c r="R218" s="4">
        <v>0</v>
      </c>
      <c r="S218" s="6">
        <v>10</v>
      </c>
      <c r="T218" s="6">
        <v>11</v>
      </c>
      <c r="U218" s="6">
        <v>68</v>
      </c>
      <c r="V218" s="43">
        <f>IF(ISERROR(VLOOKUP($S$218,'TAR FIN'!$A$1:$O$100,15,0)),0,VLOOKUP($S$218,'TAR FIN'!$A$1:$O$100,15,0))*(1-0.06)</f>
        <v>17.371199999999998</v>
      </c>
      <c r="W218" s="43">
        <f>IF(ISERROR(VLOOKUP($T$218,'TAR FIN'!$A$1:$O$100,15,0)),0,VLOOKUP($T$218,'TAR FIN'!$A$1:$O$100,15,0))*(1-0.06)</f>
        <v>41.030999999999999</v>
      </c>
      <c r="X218" s="43">
        <f>IF(ISERROR(VLOOKUP($U$218,'TAR FIN'!$A$1:$O$100,15,0)),0,VLOOKUP($U$218,'TAR FIN'!$A$1:$O$100,15,0))*(1-0.06)</f>
        <v>205.88819999999998</v>
      </c>
      <c r="Y218" s="43">
        <f ca="1">('TUSD BE'!$AM$13+'TUSD BF'!$AM$13+'TUSD CVA'!$AM$13)*1*(1-0.03)</f>
        <v>17.321137290425</v>
      </c>
      <c r="Z218" s="43">
        <f ca="1">('TUSD BE'!$AM$14+'TUSD BF'!$AM$14+'TUSD CVA'!$AM$14)*1*(1-0.03)</f>
        <v>48.293429791201078</v>
      </c>
      <c r="AA218" s="43">
        <f>('TE BE'!$AA$8+'TE BF'!$AA$8+'TE CVA'!$AA$8)*1*(1-0.03)</f>
        <v>231.39425553651549</v>
      </c>
      <c r="AB218" s="6">
        <f>$K$218*$V$218</f>
        <v>24788.702399999998</v>
      </c>
      <c r="AC218" s="6">
        <f>$M$218*$W$218</f>
        <v>31456.457180999998</v>
      </c>
      <c r="AD218" s="6">
        <f>$O$218*$X$218</f>
        <v>157844.39441819998</v>
      </c>
      <c r="AE218" s="6">
        <f ca="1">$K$218*$Y$218</f>
        <v>24717.262913436476</v>
      </c>
      <c r="AF218" s="6">
        <f ca="1">$M$218*$Z$218</f>
        <v>37024.206242854096</v>
      </c>
      <c r="AG218" s="6">
        <f>$O$218*$AA$218</f>
        <v>177398.63740132513</v>
      </c>
    </row>
    <row r="219" spans="1:33" ht="11.25" customHeight="1" x14ac:dyDescent="0.25">
      <c r="A219" s="4" t="s">
        <v>55</v>
      </c>
      <c r="B219" s="4" t="s">
        <v>39</v>
      </c>
      <c r="C219" s="4" t="s">
        <v>40</v>
      </c>
      <c r="D219" s="4" t="s">
        <v>49</v>
      </c>
      <c r="E219" s="4" t="s">
        <v>50</v>
      </c>
      <c r="F219" s="4" t="s">
        <v>25</v>
      </c>
      <c r="G219" s="4" t="s">
        <v>25</v>
      </c>
      <c r="H219" s="4" t="s">
        <v>35</v>
      </c>
      <c r="I219" s="5">
        <v>44562</v>
      </c>
      <c r="J219" s="6">
        <v>1427</v>
      </c>
      <c r="K219" s="42">
        <v>1427</v>
      </c>
      <c r="L219" s="6">
        <v>766.65099999999995</v>
      </c>
      <c r="M219" s="43">
        <v>766.65099999999995</v>
      </c>
      <c r="N219" s="6">
        <v>766.65099999999995</v>
      </c>
      <c r="O219" s="43">
        <v>766.65099999999995</v>
      </c>
      <c r="P219" s="6">
        <v>0</v>
      </c>
      <c r="Q219" s="4" t="s">
        <v>26</v>
      </c>
      <c r="R219" s="4">
        <v>0</v>
      </c>
      <c r="S219" s="6">
        <v>10</v>
      </c>
      <c r="T219" s="6">
        <v>11</v>
      </c>
      <c r="U219" s="6">
        <v>68</v>
      </c>
      <c r="V219" s="43">
        <f>IF(ISERROR(VLOOKUP($S$219,'TAR FIN'!$A$1:$O$100,15,0)),0,VLOOKUP($S$219,'TAR FIN'!$A$1:$O$100,15,0))*(1-0.06)</f>
        <v>17.371199999999998</v>
      </c>
      <c r="W219" s="43">
        <f>IF(ISERROR(VLOOKUP($T$219,'TAR FIN'!$A$1:$O$100,15,0)),0,VLOOKUP($T$219,'TAR FIN'!$A$1:$O$100,15,0))*(1-0.06)</f>
        <v>41.030999999999999</v>
      </c>
      <c r="X219" s="43">
        <f>IF(ISERROR(VLOOKUP($U$219,'TAR FIN'!$A$1:$O$100,15,0)),0,VLOOKUP($U$219,'TAR FIN'!$A$1:$O$100,15,0))*(1-0.06)</f>
        <v>205.88819999999998</v>
      </c>
      <c r="Y219" s="43">
        <f ca="1">('TUSD BE'!$AM$13+'TUSD BF'!$AM$13+'TUSD CVA'!$AM$13)*1*(1-0.03)</f>
        <v>17.321137290425</v>
      </c>
      <c r="Z219" s="43">
        <f ca="1">('TUSD BE'!$AM$14+'TUSD BF'!$AM$14+'TUSD CVA'!$AM$14)*1*(1-0.03)</f>
        <v>48.293429791201078</v>
      </c>
      <c r="AA219" s="43">
        <f>('TE BE'!$AA$8+'TE BF'!$AA$8+'TE CVA'!$AA$8)*1*(1-0.03)</f>
        <v>231.39425553651549</v>
      </c>
      <c r="AB219" s="6">
        <f>$K$219*$V$219</f>
        <v>24788.702399999998</v>
      </c>
      <c r="AC219" s="6">
        <f>$M$219*$W$219</f>
        <v>31456.457180999998</v>
      </c>
      <c r="AD219" s="6">
        <f>$O$219*$X$219</f>
        <v>157844.39441819998</v>
      </c>
      <c r="AE219" s="6">
        <f ca="1">$K$219*$Y$219</f>
        <v>24717.262913436476</v>
      </c>
      <c r="AF219" s="6">
        <f ca="1">$M$219*$Z$219</f>
        <v>37024.206242854096</v>
      </c>
      <c r="AG219" s="6">
        <f>$O$219*$AA$219</f>
        <v>177398.63740132513</v>
      </c>
    </row>
    <row r="220" spans="1:33" ht="11.25" customHeight="1" x14ac:dyDescent="0.25">
      <c r="A220" s="4" t="s">
        <v>21</v>
      </c>
      <c r="B220" s="4" t="s">
        <v>39</v>
      </c>
      <c r="C220" s="4" t="s">
        <v>40</v>
      </c>
      <c r="D220" s="4" t="s">
        <v>49</v>
      </c>
      <c r="E220" s="4" t="s">
        <v>50</v>
      </c>
      <c r="F220" s="4" t="s">
        <v>25</v>
      </c>
      <c r="G220" s="4" t="s">
        <v>25</v>
      </c>
      <c r="H220" s="4" t="s">
        <v>34</v>
      </c>
      <c r="I220" s="5">
        <v>44228</v>
      </c>
      <c r="J220" s="6">
        <v>1365</v>
      </c>
      <c r="K220" s="42">
        <v>1365</v>
      </c>
      <c r="L220" s="6">
        <v>70.594999999999999</v>
      </c>
      <c r="M220" s="43">
        <v>70.594999999999999</v>
      </c>
      <c r="N220" s="6">
        <v>70.594999999999999</v>
      </c>
      <c r="O220" s="43">
        <v>70.594999999999999</v>
      </c>
      <c r="P220" s="6">
        <v>0</v>
      </c>
      <c r="Q220" s="4" t="s">
        <v>26</v>
      </c>
      <c r="R220" s="4">
        <v>0</v>
      </c>
      <c r="S220" s="6">
        <v>9</v>
      </c>
      <c r="T220" s="6">
        <v>11</v>
      </c>
      <c r="U220" s="6">
        <v>67</v>
      </c>
      <c r="V220" s="43">
        <f>IF(ISERROR(VLOOKUP($S$220,'TAR FIN'!$A$1:$O$100,15,0)),0,VLOOKUP($S$220,'TAR FIN'!$A$1:$O$100,15,0))*(1-0.06)</f>
        <v>34.789399999999993</v>
      </c>
      <c r="W220" s="43">
        <f>IF(ISERROR(VLOOKUP($T$220,'TAR FIN'!$A$1:$O$100,15,0)),0,VLOOKUP($T$220,'TAR FIN'!$A$1:$O$100,15,0))*(1-0.06)</f>
        <v>41.030999999999999</v>
      </c>
      <c r="X220" s="43">
        <f>IF(ISERROR(VLOOKUP($U$220,'TAR FIN'!$A$1:$O$100,15,0)),0,VLOOKUP($U$220,'TAR FIN'!$A$1:$O$100,15,0))*(1-0.06)</f>
        <v>344.60399999999998</v>
      </c>
      <c r="Y220" s="43">
        <f ca="1">('TUSD BE'!$AM$12+'TUSD BF'!$AM$12+'TUSD CVA'!$AM$12)*1*(1-0.03)</f>
        <v>35.091976375639973</v>
      </c>
      <c r="Z220" s="43">
        <f ca="1">('TUSD BE'!$AM$14+'TUSD BF'!$AM$14+'TUSD CVA'!$AM$14)*1*(1-0.03)</f>
        <v>48.293429791201078</v>
      </c>
      <c r="AA220" s="43">
        <f>('TE BE'!$AA$7+'TE BF'!$AA$7+'TE CVA'!$AA$7)*1*(1-0.03)</f>
        <v>373.90159935253052</v>
      </c>
      <c r="AB220" s="6">
        <f>$K$220*$V$220</f>
        <v>47487.530999999988</v>
      </c>
      <c r="AC220" s="6">
        <f>$M$220*$W$220</f>
        <v>2896.5834449999998</v>
      </c>
      <c r="AD220" s="6">
        <f>$O$220*$X$220</f>
        <v>24327.319379999997</v>
      </c>
      <c r="AE220" s="6">
        <f ca="1">$K$220*$Y$220</f>
        <v>47900.547752748564</v>
      </c>
      <c r="AF220" s="6">
        <f ca="1">$M$220*$Z$220</f>
        <v>3409.2746761098401</v>
      </c>
      <c r="AG220" s="6">
        <f>$O$220*$AA$220</f>
        <v>26395.583406291891</v>
      </c>
    </row>
    <row r="221" spans="1:33" ht="11.25" customHeight="1" x14ac:dyDescent="0.25">
      <c r="A221" s="4" t="s">
        <v>21</v>
      </c>
      <c r="B221" s="4" t="s">
        <v>39</v>
      </c>
      <c r="C221" s="4" t="s">
        <v>40</v>
      </c>
      <c r="D221" s="4" t="s">
        <v>49</v>
      </c>
      <c r="E221" s="4" t="s">
        <v>50</v>
      </c>
      <c r="F221" s="4" t="s">
        <v>25</v>
      </c>
      <c r="G221" s="4" t="s">
        <v>25</v>
      </c>
      <c r="H221" s="4" t="s">
        <v>34</v>
      </c>
      <c r="I221" s="5">
        <v>44256</v>
      </c>
      <c r="J221" s="6">
        <v>1361</v>
      </c>
      <c r="K221" s="42">
        <v>1361</v>
      </c>
      <c r="L221" s="6">
        <v>77.448999999999998</v>
      </c>
      <c r="M221" s="43">
        <v>77.448999999999998</v>
      </c>
      <c r="N221" s="6">
        <v>77.448999999999998</v>
      </c>
      <c r="O221" s="43">
        <v>77.448999999999998</v>
      </c>
      <c r="P221" s="6">
        <v>0</v>
      </c>
      <c r="Q221" s="4" t="s">
        <v>26</v>
      </c>
      <c r="R221" s="4">
        <v>0</v>
      </c>
      <c r="S221" s="6">
        <v>9</v>
      </c>
      <c r="T221" s="6">
        <v>11</v>
      </c>
      <c r="U221" s="6">
        <v>67</v>
      </c>
      <c r="V221" s="43">
        <f>IF(ISERROR(VLOOKUP($S$221,'TAR FIN'!$A$1:$O$100,15,0)),0,VLOOKUP($S$221,'TAR FIN'!$A$1:$O$100,15,0))*(1-0.06)</f>
        <v>34.789399999999993</v>
      </c>
      <c r="W221" s="43">
        <f>IF(ISERROR(VLOOKUP($T$221,'TAR FIN'!$A$1:$O$100,15,0)),0,VLOOKUP($T$221,'TAR FIN'!$A$1:$O$100,15,0))*(1-0.06)</f>
        <v>41.030999999999999</v>
      </c>
      <c r="X221" s="43">
        <f>IF(ISERROR(VLOOKUP($U$221,'TAR FIN'!$A$1:$O$100,15,0)),0,VLOOKUP($U$221,'TAR FIN'!$A$1:$O$100,15,0))*(1-0.06)</f>
        <v>344.60399999999998</v>
      </c>
      <c r="Y221" s="43">
        <f ca="1">('TUSD BE'!$AM$12+'TUSD BF'!$AM$12+'TUSD CVA'!$AM$12)*1*(1-0.03)</f>
        <v>35.091976375639973</v>
      </c>
      <c r="Z221" s="43">
        <f ca="1">('TUSD BE'!$AM$14+'TUSD BF'!$AM$14+'TUSD CVA'!$AM$14)*1*(1-0.03)</f>
        <v>48.293429791201078</v>
      </c>
      <c r="AA221" s="43">
        <f>('TE BE'!$AA$7+'TE BF'!$AA$7+'TE CVA'!$AA$7)*1*(1-0.03)</f>
        <v>373.90159935253052</v>
      </c>
      <c r="AB221" s="6">
        <f>$K$221*$V$221</f>
        <v>47348.373399999989</v>
      </c>
      <c r="AC221" s="6">
        <f>$M$221*$W$221</f>
        <v>3177.8099189999998</v>
      </c>
      <c r="AD221" s="6">
        <f>$O$221*$X$221</f>
        <v>26689.235195999998</v>
      </c>
      <c r="AE221" s="6">
        <f ca="1">$K$221*$Y$221</f>
        <v>47760.179847246007</v>
      </c>
      <c r="AF221" s="6">
        <f ca="1">$M$221*$Z$221</f>
        <v>3740.277843898732</v>
      </c>
      <c r="AG221" s="6">
        <f>$O$221*$AA$221</f>
        <v>28958.304968254135</v>
      </c>
    </row>
    <row r="222" spans="1:33" ht="11.25" customHeight="1" x14ac:dyDescent="0.25">
      <c r="A222" s="4" t="s">
        <v>21</v>
      </c>
      <c r="B222" s="4" t="s">
        <v>39</v>
      </c>
      <c r="C222" s="4" t="s">
        <v>40</v>
      </c>
      <c r="D222" s="4" t="s">
        <v>49</v>
      </c>
      <c r="E222" s="4" t="s">
        <v>50</v>
      </c>
      <c r="F222" s="4" t="s">
        <v>25</v>
      </c>
      <c r="G222" s="4" t="s">
        <v>25</v>
      </c>
      <c r="H222" s="4" t="s">
        <v>34</v>
      </c>
      <c r="I222" s="5">
        <v>44287</v>
      </c>
      <c r="J222" s="6">
        <v>1359</v>
      </c>
      <c r="K222" s="42">
        <v>1359</v>
      </c>
      <c r="L222" s="6">
        <v>66.813000000000002</v>
      </c>
      <c r="M222" s="43">
        <v>66.813000000000002</v>
      </c>
      <c r="N222" s="6">
        <v>66.813000000000002</v>
      </c>
      <c r="O222" s="43">
        <v>66.813000000000002</v>
      </c>
      <c r="P222" s="6">
        <v>0</v>
      </c>
      <c r="Q222" s="4" t="s">
        <v>26</v>
      </c>
      <c r="R222" s="4">
        <v>0</v>
      </c>
      <c r="S222" s="6">
        <v>9</v>
      </c>
      <c r="T222" s="6">
        <v>11</v>
      </c>
      <c r="U222" s="6">
        <v>67</v>
      </c>
      <c r="V222" s="43">
        <f>IF(ISERROR(VLOOKUP($S$222,'TAR FIN'!$A$1:$O$100,15,0)),0,VLOOKUP($S$222,'TAR FIN'!$A$1:$O$100,15,0))*(1-0.06)</f>
        <v>34.789399999999993</v>
      </c>
      <c r="W222" s="43">
        <f>IF(ISERROR(VLOOKUP($T$222,'TAR FIN'!$A$1:$O$100,15,0)),0,VLOOKUP($T$222,'TAR FIN'!$A$1:$O$100,15,0))*(1-0.06)</f>
        <v>41.030999999999999</v>
      </c>
      <c r="X222" s="43">
        <f>IF(ISERROR(VLOOKUP($U$222,'TAR FIN'!$A$1:$O$100,15,0)),0,VLOOKUP($U$222,'TAR FIN'!$A$1:$O$100,15,0))*(1-0.06)</f>
        <v>344.60399999999998</v>
      </c>
      <c r="Y222" s="43">
        <f ca="1">('TUSD BE'!$AM$12+'TUSD BF'!$AM$12+'TUSD CVA'!$AM$12)*1*(1-0.03)</f>
        <v>35.091976375639973</v>
      </c>
      <c r="Z222" s="43">
        <f ca="1">('TUSD BE'!$AM$14+'TUSD BF'!$AM$14+'TUSD CVA'!$AM$14)*1*(1-0.03)</f>
        <v>48.293429791201078</v>
      </c>
      <c r="AA222" s="43">
        <f>('TE BE'!$AA$7+'TE BF'!$AA$7+'TE CVA'!$AA$7)*1*(1-0.03)</f>
        <v>373.90159935253052</v>
      </c>
      <c r="AB222" s="6">
        <f>$K$222*$V$222</f>
        <v>47278.794599999994</v>
      </c>
      <c r="AC222" s="6">
        <f>$M$222*$W$222</f>
        <v>2741.4042030000001</v>
      </c>
      <c r="AD222" s="6">
        <f>$O$222*$X$222</f>
        <v>23024.027052000001</v>
      </c>
      <c r="AE222" s="6">
        <f ca="1">$K$222*$Y$222</f>
        <v>47689.995894494721</v>
      </c>
      <c r="AF222" s="6">
        <f ca="1">$M$222*$Z$222</f>
        <v>3226.6289246395177</v>
      </c>
      <c r="AG222" s="6">
        <f>$O$222*$AA$222</f>
        <v>24981.487557540622</v>
      </c>
    </row>
    <row r="223" spans="1:33" ht="11.25" customHeight="1" x14ac:dyDescent="0.25">
      <c r="A223" s="4" t="s">
        <v>21</v>
      </c>
      <c r="B223" s="4" t="s">
        <v>39</v>
      </c>
      <c r="C223" s="4" t="s">
        <v>40</v>
      </c>
      <c r="D223" s="4" t="s">
        <v>49</v>
      </c>
      <c r="E223" s="4" t="s">
        <v>50</v>
      </c>
      <c r="F223" s="4" t="s">
        <v>25</v>
      </c>
      <c r="G223" s="4" t="s">
        <v>25</v>
      </c>
      <c r="H223" s="4" t="s">
        <v>34</v>
      </c>
      <c r="I223" s="5">
        <v>44317</v>
      </c>
      <c r="J223" s="6">
        <v>1345</v>
      </c>
      <c r="K223" s="42">
        <v>1345</v>
      </c>
      <c r="L223" s="6">
        <v>64.272000000000006</v>
      </c>
      <c r="M223" s="43">
        <v>64.272000000000006</v>
      </c>
      <c r="N223" s="6">
        <v>64.272000000000006</v>
      </c>
      <c r="O223" s="43">
        <v>64.272000000000006</v>
      </c>
      <c r="P223" s="6">
        <v>0</v>
      </c>
      <c r="Q223" s="4" t="s">
        <v>26</v>
      </c>
      <c r="R223" s="4">
        <v>0</v>
      </c>
      <c r="S223" s="6">
        <v>9</v>
      </c>
      <c r="T223" s="6">
        <v>11</v>
      </c>
      <c r="U223" s="6">
        <v>67</v>
      </c>
      <c r="V223" s="43">
        <f>IF(ISERROR(VLOOKUP($S$223,'TAR FIN'!$A$1:$O$100,15,0)),0,VLOOKUP($S$223,'TAR FIN'!$A$1:$O$100,15,0))*(1-0.06)</f>
        <v>34.789399999999993</v>
      </c>
      <c r="W223" s="43">
        <f>IF(ISERROR(VLOOKUP($T$223,'TAR FIN'!$A$1:$O$100,15,0)),0,VLOOKUP($T$223,'TAR FIN'!$A$1:$O$100,15,0))*(1-0.06)</f>
        <v>41.030999999999999</v>
      </c>
      <c r="X223" s="43">
        <f>IF(ISERROR(VLOOKUP($U$223,'TAR FIN'!$A$1:$O$100,15,0)),0,VLOOKUP($U$223,'TAR FIN'!$A$1:$O$100,15,0))*(1-0.06)</f>
        <v>344.60399999999998</v>
      </c>
      <c r="Y223" s="43">
        <f ca="1">('TUSD BE'!$AM$12+'TUSD BF'!$AM$12+'TUSD CVA'!$AM$12)*1*(1-0.03)</f>
        <v>35.091976375639973</v>
      </c>
      <c r="Z223" s="43">
        <f ca="1">('TUSD BE'!$AM$14+'TUSD BF'!$AM$14+'TUSD CVA'!$AM$14)*1*(1-0.03)</f>
        <v>48.293429791201078</v>
      </c>
      <c r="AA223" s="43">
        <f>('TE BE'!$AA$7+'TE BF'!$AA$7+'TE CVA'!$AA$7)*1*(1-0.03)</f>
        <v>373.90159935253052</v>
      </c>
      <c r="AB223" s="6">
        <f>$K$223*$V$223</f>
        <v>46791.742999999988</v>
      </c>
      <c r="AC223" s="6">
        <f>$M$223*$W$223</f>
        <v>2637.1444320000001</v>
      </c>
      <c r="AD223" s="6">
        <f>$O$223*$X$223</f>
        <v>22148.388288000002</v>
      </c>
      <c r="AE223" s="6">
        <f ca="1">$K$223*$Y$223</f>
        <v>47198.708225235765</v>
      </c>
      <c r="AF223" s="6">
        <f ca="1">$M$223*$Z$223</f>
        <v>3103.9153195400759</v>
      </c>
      <c r="AG223" s="6">
        <f>$O$223*$AA$223</f>
        <v>24031.403593585845</v>
      </c>
    </row>
    <row r="224" spans="1:33" ht="11.25" customHeight="1" x14ac:dyDescent="0.25">
      <c r="A224" s="4" t="s">
        <v>21</v>
      </c>
      <c r="B224" s="4" t="s">
        <v>39</v>
      </c>
      <c r="C224" s="4" t="s">
        <v>40</v>
      </c>
      <c r="D224" s="4" t="s">
        <v>49</v>
      </c>
      <c r="E224" s="4" t="s">
        <v>50</v>
      </c>
      <c r="F224" s="4" t="s">
        <v>25</v>
      </c>
      <c r="G224" s="4" t="s">
        <v>25</v>
      </c>
      <c r="H224" s="4" t="s">
        <v>34</v>
      </c>
      <c r="I224" s="5">
        <v>44348</v>
      </c>
      <c r="J224" s="6">
        <v>1378</v>
      </c>
      <c r="K224" s="42">
        <v>1378</v>
      </c>
      <c r="L224" s="6">
        <v>67.081000000000003</v>
      </c>
      <c r="M224" s="43">
        <v>67.081000000000003</v>
      </c>
      <c r="N224" s="6">
        <v>67.081000000000003</v>
      </c>
      <c r="O224" s="43">
        <v>67.081000000000003</v>
      </c>
      <c r="P224" s="6">
        <v>0</v>
      </c>
      <c r="Q224" s="4" t="s">
        <v>26</v>
      </c>
      <c r="R224" s="4">
        <v>0</v>
      </c>
      <c r="S224" s="6">
        <v>9</v>
      </c>
      <c r="T224" s="6">
        <v>11</v>
      </c>
      <c r="U224" s="6">
        <v>67</v>
      </c>
      <c r="V224" s="43">
        <f>IF(ISERROR(VLOOKUP($S$224,'TAR FIN'!$A$1:$O$100,15,0)),0,VLOOKUP($S$224,'TAR FIN'!$A$1:$O$100,15,0))*(1-0.06)</f>
        <v>34.789399999999993</v>
      </c>
      <c r="W224" s="43">
        <f>IF(ISERROR(VLOOKUP($T$224,'TAR FIN'!$A$1:$O$100,15,0)),0,VLOOKUP($T$224,'TAR FIN'!$A$1:$O$100,15,0))*(1-0.06)</f>
        <v>41.030999999999999</v>
      </c>
      <c r="X224" s="43">
        <f>IF(ISERROR(VLOOKUP($U$224,'TAR FIN'!$A$1:$O$100,15,0)),0,VLOOKUP($U$224,'TAR FIN'!$A$1:$O$100,15,0))*(1-0.06)</f>
        <v>344.60399999999998</v>
      </c>
      <c r="Y224" s="43">
        <f ca="1">('TUSD BE'!$AM$12+'TUSD BF'!$AM$12+'TUSD CVA'!$AM$12)*1*(1-0.03)</f>
        <v>35.091976375639973</v>
      </c>
      <c r="Z224" s="43">
        <f ca="1">('TUSD BE'!$AM$14+'TUSD BF'!$AM$14+'TUSD CVA'!$AM$14)*1*(1-0.03)</f>
        <v>48.293429791201078</v>
      </c>
      <c r="AA224" s="43">
        <f>('TE BE'!$AA$7+'TE BF'!$AA$7+'TE CVA'!$AA$7)*1*(1-0.03)</f>
        <v>373.90159935253052</v>
      </c>
      <c r="AB224" s="6">
        <f>$K$224*$V$224</f>
        <v>47939.793199999993</v>
      </c>
      <c r="AC224" s="6">
        <f>$M$224*$W$224</f>
        <v>2752.4005109999998</v>
      </c>
      <c r="AD224" s="6">
        <f>$O$224*$X$224</f>
        <v>23116.380924000001</v>
      </c>
      <c r="AE224" s="6">
        <f ca="1">$K$224*$Y$224</f>
        <v>48356.743445631881</v>
      </c>
      <c r="AF224" s="6">
        <f ca="1">$M$224*$Z$224</f>
        <v>3239.5715638235597</v>
      </c>
      <c r="AG224" s="6">
        <f>$O$224*$AA$224</f>
        <v>25081.6931861671</v>
      </c>
    </row>
    <row r="225" spans="1:33" ht="11.25" customHeight="1" x14ac:dyDescent="0.25">
      <c r="A225" s="4" t="s">
        <v>21</v>
      </c>
      <c r="B225" s="4" t="s">
        <v>39</v>
      </c>
      <c r="C225" s="4" t="s">
        <v>40</v>
      </c>
      <c r="D225" s="4" t="s">
        <v>49</v>
      </c>
      <c r="E225" s="4" t="s">
        <v>50</v>
      </c>
      <c r="F225" s="4" t="s">
        <v>25</v>
      </c>
      <c r="G225" s="4" t="s">
        <v>25</v>
      </c>
      <c r="H225" s="4" t="s">
        <v>34</v>
      </c>
      <c r="I225" s="5">
        <v>44378</v>
      </c>
      <c r="J225" s="6">
        <v>1403</v>
      </c>
      <c r="K225" s="42">
        <v>1403</v>
      </c>
      <c r="L225" s="6">
        <v>71.475999999999999</v>
      </c>
      <c r="M225" s="43">
        <v>71.475999999999999</v>
      </c>
      <c r="N225" s="6">
        <v>71.475999999999999</v>
      </c>
      <c r="O225" s="43">
        <v>71.475999999999999</v>
      </c>
      <c r="P225" s="6">
        <v>0</v>
      </c>
      <c r="Q225" s="4" t="s">
        <v>26</v>
      </c>
      <c r="R225" s="4">
        <v>0</v>
      </c>
      <c r="S225" s="6">
        <v>9</v>
      </c>
      <c r="T225" s="6">
        <v>11</v>
      </c>
      <c r="U225" s="6">
        <v>67</v>
      </c>
      <c r="V225" s="43">
        <f>IF(ISERROR(VLOOKUP($S$225,'TAR FIN'!$A$1:$O$100,15,0)),0,VLOOKUP($S$225,'TAR FIN'!$A$1:$O$100,15,0))*(1-0.06)</f>
        <v>34.789399999999993</v>
      </c>
      <c r="W225" s="43">
        <f>IF(ISERROR(VLOOKUP($T$225,'TAR FIN'!$A$1:$O$100,15,0)),0,VLOOKUP($T$225,'TAR FIN'!$A$1:$O$100,15,0))*(1-0.06)</f>
        <v>41.030999999999999</v>
      </c>
      <c r="X225" s="43">
        <f>IF(ISERROR(VLOOKUP($U$225,'TAR FIN'!$A$1:$O$100,15,0)),0,VLOOKUP($U$225,'TAR FIN'!$A$1:$O$100,15,0))*(1-0.06)</f>
        <v>344.60399999999998</v>
      </c>
      <c r="Y225" s="43">
        <f ca="1">('TUSD BE'!$AM$12+'TUSD BF'!$AM$12+'TUSD CVA'!$AM$12)*1*(1-0.03)</f>
        <v>35.091976375639973</v>
      </c>
      <c r="Z225" s="43">
        <f ca="1">('TUSD BE'!$AM$14+'TUSD BF'!$AM$14+'TUSD CVA'!$AM$14)*1*(1-0.03)</f>
        <v>48.293429791201078</v>
      </c>
      <c r="AA225" s="43">
        <f>('TE BE'!$AA$7+'TE BF'!$AA$7+'TE CVA'!$AA$7)*1*(1-0.03)</f>
        <v>373.90159935253052</v>
      </c>
      <c r="AB225" s="6">
        <f>$K$225*$V$225</f>
        <v>48809.528199999993</v>
      </c>
      <c r="AC225" s="6">
        <f>$M$225*$W$225</f>
        <v>2932.7317559999997</v>
      </c>
      <c r="AD225" s="6">
        <f>$O$225*$X$225</f>
        <v>24630.915503999997</v>
      </c>
      <c r="AE225" s="6">
        <f ca="1">$K$225*$Y$225</f>
        <v>49234.042855022883</v>
      </c>
      <c r="AF225" s="6">
        <f ca="1">$M$225*$Z$225</f>
        <v>3451.8211877558883</v>
      </c>
      <c r="AG225" s="6">
        <f>$O$225*$AA$225</f>
        <v>26724.99071532147</v>
      </c>
    </row>
    <row r="226" spans="1:33" ht="11.25" customHeight="1" x14ac:dyDescent="0.25">
      <c r="A226" s="4" t="s">
        <v>21</v>
      </c>
      <c r="B226" s="4" t="s">
        <v>39</v>
      </c>
      <c r="C226" s="4" t="s">
        <v>40</v>
      </c>
      <c r="D226" s="4" t="s">
        <v>49</v>
      </c>
      <c r="E226" s="4" t="s">
        <v>50</v>
      </c>
      <c r="F226" s="4" t="s">
        <v>25</v>
      </c>
      <c r="G226" s="4" t="s">
        <v>25</v>
      </c>
      <c r="H226" s="4" t="s">
        <v>34</v>
      </c>
      <c r="I226" s="5">
        <v>44409</v>
      </c>
      <c r="J226" s="6">
        <v>1207</v>
      </c>
      <c r="K226" s="42">
        <v>1207</v>
      </c>
      <c r="L226" s="6">
        <v>70.837999999999994</v>
      </c>
      <c r="M226" s="43">
        <v>70.837999999999994</v>
      </c>
      <c r="N226" s="6">
        <v>70.837999999999994</v>
      </c>
      <c r="O226" s="43">
        <v>70.837999999999994</v>
      </c>
      <c r="P226" s="6">
        <v>0</v>
      </c>
      <c r="Q226" s="4" t="s">
        <v>26</v>
      </c>
      <c r="R226" s="4">
        <v>0</v>
      </c>
      <c r="S226" s="6">
        <v>9</v>
      </c>
      <c r="T226" s="6">
        <v>11</v>
      </c>
      <c r="U226" s="6">
        <v>67</v>
      </c>
      <c r="V226" s="43">
        <f>IF(ISERROR(VLOOKUP($S$226,'TAR FIN'!$A$1:$O$100,15,0)),0,VLOOKUP($S$226,'TAR FIN'!$A$1:$O$100,15,0))*(1-0.06)</f>
        <v>34.789399999999993</v>
      </c>
      <c r="W226" s="43">
        <f>IF(ISERROR(VLOOKUP($T$226,'TAR FIN'!$A$1:$O$100,15,0)),0,VLOOKUP($T$226,'TAR FIN'!$A$1:$O$100,15,0))*(1-0.06)</f>
        <v>41.030999999999999</v>
      </c>
      <c r="X226" s="43">
        <f>IF(ISERROR(VLOOKUP($U$226,'TAR FIN'!$A$1:$O$100,15,0)),0,VLOOKUP($U$226,'TAR FIN'!$A$1:$O$100,15,0))*(1-0.06)</f>
        <v>344.60399999999998</v>
      </c>
      <c r="Y226" s="43">
        <f ca="1">('TUSD BE'!$AM$12+'TUSD BF'!$AM$12+'TUSD CVA'!$AM$12)*1*(1-0.03)</f>
        <v>35.091976375639973</v>
      </c>
      <c r="Z226" s="43">
        <f ca="1">('TUSD BE'!$AM$14+'TUSD BF'!$AM$14+'TUSD CVA'!$AM$14)*1*(1-0.03)</f>
        <v>48.293429791201078</v>
      </c>
      <c r="AA226" s="43">
        <f>('TE BE'!$AA$7+'TE BF'!$AA$7+'TE CVA'!$AA$7)*1*(1-0.03)</f>
        <v>373.90159935253052</v>
      </c>
      <c r="AB226" s="6">
        <f>$K$226*$V$226</f>
        <v>41990.805799999995</v>
      </c>
      <c r="AC226" s="6">
        <f>$M$226*$W$226</f>
        <v>2906.5539779999995</v>
      </c>
      <c r="AD226" s="6">
        <f>$O$226*$X$226</f>
        <v>24411.058151999998</v>
      </c>
      <c r="AE226" s="6">
        <f ca="1">$K$226*$Y$226</f>
        <v>42356.015485397445</v>
      </c>
      <c r="AF226" s="6">
        <f ca="1">$M$226*$Z$226</f>
        <v>3421.0099795491014</v>
      </c>
      <c r="AG226" s="6">
        <f>$O$226*$AA$226</f>
        <v>26486.441494934556</v>
      </c>
    </row>
    <row r="227" spans="1:33" ht="11.25" customHeight="1" x14ac:dyDescent="0.25">
      <c r="A227" s="4" t="s">
        <v>21</v>
      </c>
      <c r="B227" s="4" t="s">
        <v>39</v>
      </c>
      <c r="C227" s="4" t="s">
        <v>40</v>
      </c>
      <c r="D227" s="4" t="s">
        <v>49</v>
      </c>
      <c r="E227" s="4" t="s">
        <v>50</v>
      </c>
      <c r="F227" s="4" t="s">
        <v>25</v>
      </c>
      <c r="G227" s="4" t="s">
        <v>25</v>
      </c>
      <c r="H227" s="4" t="s">
        <v>34</v>
      </c>
      <c r="I227" s="5">
        <v>44440</v>
      </c>
      <c r="J227" s="6">
        <v>1342</v>
      </c>
      <c r="K227" s="42">
        <v>1342</v>
      </c>
      <c r="L227" s="6">
        <v>71.135000000000005</v>
      </c>
      <c r="M227" s="43">
        <v>71.135000000000005</v>
      </c>
      <c r="N227" s="6">
        <v>71.135000000000005</v>
      </c>
      <c r="O227" s="43">
        <v>71.135000000000005</v>
      </c>
      <c r="P227" s="6">
        <v>0</v>
      </c>
      <c r="Q227" s="4" t="s">
        <v>26</v>
      </c>
      <c r="R227" s="4">
        <v>0</v>
      </c>
      <c r="S227" s="6">
        <v>9</v>
      </c>
      <c r="T227" s="6">
        <v>11</v>
      </c>
      <c r="U227" s="6">
        <v>67</v>
      </c>
      <c r="V227" s="43">
        <f>IF(ISERROR(VLOOKUP($S$227,'TAR FIN'!$A$1:$O$100,15,0)),0,VLOOKUP($S$227,'TAR FIN'!$A$1:$O$100,15,0))*(1-0.06)</f>
        <v>34.789399999999993</v>
      </c>
      <c r="W227" s="43">
        <f>IF(ISERROR(VLOOKUP($T$227,'TAR FIN'!$A$1:$O$100,15,0)),0,VLOOKUP($T$227,'TAR FIN'!$A$1:$O$100,15,0))*(1-0.06)</f>
        <v>41.030999999999999</v>
      </c>
      <c r="X227" s="43">
        <f>IF(ISERROR(VLOOKUP($U$227,'TAR FIN'!$A$1:$O$100,15,0)),0,VLOOKUP($U$227,'TAR FIN'!$A$1:$O$100,15,0))*(1-0.06)</f>
        <v>344.60399999999998</v>
      </c>
      <c r="Y227" s="43">
        <f ca="1">('TUSD BE'!$AM$12+'TUSD BF'!$AM$12+'TUSD CVA'!$AM$12)*1*(1-0.03)</f>
        <v>35.091976375639973</v>
      </c>
      <c r="Z227" s="43">
        <f ca="1">('TUSD BE'!$AM$14+'TUSD BF'!$AM$14+'TUSD CVA'!$AM$14)*1*(1-0.03)</f>
        <v>48.293429791201078</v>
      </c>
      <c r="AA227" s="43">
        <f>('TE BE'!$AA$7+'TE BF'!$AA$7+'TE CVA'!$AA$7)*1*(1-0.03)</f>
        <v>373.90159935253052</v>
      </c>
      <c r="AB227" s="6">
        <f>$K$227*$V$227</f>
        <v>46687.374799999991</v>
      </c>
      <c r="AC227" s="6">
        <f>$M$227*$W$227</f>
        <v>2918.7401850000001</v>
      </c>
      <c r="AD227" s="6">
        <f>$O$227*$X$227</f>
        <v>24513.40554</v>
      </c>
      <c r="AE227" s="6">
        <f ca="1">$K$227*$Y$227</f>
        <v>47093.432296108847</v>
      </c>
      <c r="AF227" s="6">
        <f ca="1">$M$227*$Z$227</f>
        <v>3435.3531281970891</v>
      </c>
      <c r="AG227" s="6">
        <f>$O$227*$AA$227</f>
        <v>26597.49026994226</v>
      </c>
    </row>
    <row r="228" spans="1:33" ht="11.25" customHeight="1" x14ac:dyDescent="0.25">
      <c r="A228" s="4" t="s">
        <v>21</v>
      </c>
      <c r="B228" s="4" t="s">
        <v>39</v>
      </c>
      <c r="C228" s="4" t="s">
        <v>40</v>
      </c>
      <c r="D228" s="4" t="s">
        <v>49</v>
      </c>
      <c r="E228" s="4" t="s">
        <v>50</v>
      </c>
      <c r="F228" s="4" t="s">
        <v>25</v>
      </c>
      <c r="G228" s="4" t="s">
        <v>25</v>
      </c>
      <c r="H228" s="4" t="s">
        <v>34</v>
      </c>
      <c r="I228" s="5">
        <v>44470</v>
      </c>
      <c r="J228" s="6">
        <v>1407</v>
      </c>
      <c r="K228" s="42">
        <v>1407</v>
      </c>
      <c r="L228" s="6">
        <v>70.917000000000002</v>
      </c>
      <c r="M228" s="43">
        <v>70.917000000000002</v>
      </c>
      <c r="N228" s="6">
        <v>70.917000000000002</v>
      </c>
      <c r="O228" s="43">
        <v>70.917000000000002</v>
      </c>
      <c r="P228" s="6">
        <v>0</v>
      </c>
      <c r="Q228" s="4" t="s">
        <v>26</v>
      </c>
      <c r="R228" s="4">
        <v>0</v>
      </c>
      <c r="S228" s="6">
        <v>9</v>
      </c>
      <c r="T228" s="6">
        <v>11</v>
      </c>
      <c r="U228" s="6">
        <v>67</v>
      </c>
      <c r="V228" s="43">
        <f>IF(ISERROR(VLOOKUP($S$228,'TAR FIN'!$A$1:$O$100,15,0)),0,VLOOKUP($S$228,'TAR FIN'!$A$1:$O$100,15,0))*(1-0.06)</f>
        <v>34.789399999999993</v>
      </c>
      <c r="W228" s="43">
        <f>IF(ISERROR(VLOOKUP($T$228,'TAR FIN'!$A$1:$O$100,15,0)),0,VLOOKUP($T$228,'TAR FIN'!$A$1:$O$100,15,0))*(1-0.06)</f>
        <v>41.030999999999999</v>
      </c>
      <c r="X228" s="43">
        <f>IF(ISERROR(VLOOKUP($U$228,'TAR FIN'!$A$1:$O$100,15,0)),0,VLOOKUP($U$228,'TAR FIN'!$A$1:$O$100,15,0))*(1-0.06)</f>
        <v>344.60399999999998</v>
      </c>
      <c r="Y228" s="43">
        <f ca="1">('TUSD BE'!$AM$12+'TUSD BF'!$AM$12+'TUSD CVA'!$AM$12)*1*(1-0.03)</f>
        <v>35.091976375639973</v>
      </c>
      <c r="Z228" s="43">
        <f ca="1">('TUSD BE'!$AM$14+'TUSD BF'!$AM$14+'TUSD CVA'!$AM$14)*1*(1-0.03)</f>
        <v>48.293429791201078</v>
      </c>
      <c r="AA228" s="43">
        <f>('TE BE'!$AA$7+'TE BF'!$AA$7+'TE CVA'!$AA$7)*1*(1-0.03)</f>
        <v>373.90159935253052</v>
      </c>
      <c r="AB228" s="6">
        <f>$K$228*$V$228</f>
        <v>48948.685799999992</v>
      </c>
      <c r="AC228" s="6">
        <f>$M$228*$W$228</f>
        <v>2909.795427</v>
      </c>
      <c r="AD228" s="6">
        <f>$O$228*$X$228</f>
        <v>24438.281867999998</v>
      </c>
      <c r="AE228" s="6">
        <f ca="1">$K$228*$Y$228</f>
        <v>49374.410760525439</v>
      </c>
      <c r="AF228" s="6">
        <f ca="1">$M$228*$Z$228</f>
        <v>3424.8251605026071</v>
      </c>
      <c r="AG228" s="6">
        <f>$O$228*$AA$228</f>
        <v>26515.979721283409</v>
      </c>
    </row>
    <row r="229" spans="1:33" ht="11.25" customHeight="1" x14ac:dyDescent="0.25">
      <c r="A229" s="4" t="s">
        <v>21</v>
      </c>
      <c r="B229" s="4" t="s">
        <v>39</v>
      </c>
      <c r="C229" s="4" t="s">
        <v>40</v>
      </c>
      <c r="D229" s="4" t="s">
        <v>49</v>
      </c>
      <c r="E229" s="4" t="s">
        <v>50</v>
      </c>
      <c r="F229" s="4" t="s">
        <v>25</v>
      </c>
      <c r="G229" s="4" t="s">
        <v>25</v>
      </c>
      <c r="H229" s="4" t="s">
        <v>34</v>
      </c>
      <c r="I229" s="5">
        <v>44501</v>
      </c>
      <c r="J229" s="6">
        <v>1408</v>
      </c>
      <c r="K229" s="42">
        <v>1408</v>
      </c>
      <c r="L229" s="6">
        <v>72.337999999999994</v>
      </c>
      <c r="M229" s="43">
        <v>72.337999999999994</v>
      </c>
      <c r="N229" s="6">
        <v>72.337999999999994</v>
      </c>
      <c r="O229" s="43">
        <v>72.337999999999994</v>
      </c>
      <c r="P229" s="6">
        <v>0</v>
      </c>
      <c r="Q229" s="4" t="s">
        <v>26</v>
      </c>
      <c r="R229" s="4">
        <v>0</v>
      </c>
      <c r="S229" s="6">
        <v>9</v>
      </c>
      <c r="T229" s="6">
        <v>11</v>
      </c>
      <c r="U229" s="6">
        <v>67</v>
      </c>
      <c r="V229" s="43">
        <f>IF(ISERROR(VLOOKUP($S$229,'TAR FIN'!$A$1:$O$100,15,0)),0,VLOOKUP($S$229,'TAR FIN'!$A$1:$O$100,15,0))*(1-0.06)</f>
        <v>34.789399999999993</v>
      </c>
      <c r="W229" s="43">
        <f>IF(ISERROR(VLOOKUP($T$229,'TAR FIN'!$A$1:$O$100,15,0)),0,VLOOKUP($T$229,'TAR FIN'!$A$1:$O$100,15,0))*(1-0.06)</f>
        <v>41.030999999999999</v>
      </c>
      <c r="X229" s="43">
        <f>IF(ISERROR(VLOOKUP($U$229,'TAR FIN'!$A$1:$O$100,15,0)),0,VLOOKUP($U$229,'TAR FIN'!$A$1:$O$100,15,0))*(1-0.06)</f>
        <v>344.60399999999998</v>
      </c>
      <c r="Y229" s="43">
        <f ca="1">('TUSD BE'!$AM$12+'TUSD BF'!$AM$12+'TUSD CVA'!$AM$12)*1*(1-0.03)</f>
        <v>35.091976375639973</v>
      </c>
      <c r="Z229" s="43">
        <f ca="1">('TUSD BE'!$AM$14+'TUSD BF'!$AM$14+'TUSD CVA'!$AM$14)*1*(1-0.03)</f>
        <v>48.293429791201078</v>
      </c>
      <c r="AA229" s="43">
        <f>('TE BE'!$AA$7+'TE BF'!$AA$7+'TE CVA'!$AA$7)*1*(1-0.03)</f>
        <v>373.90159935253052</v>
      </c>
      <c r="AB229" s="6">
        <f>$K$229*$V$229</f>
        <v>48983.475199999993</v>
      </c>
      <c r="AC229" s="6">
        <f>$M$229*$W$229</f>
        <v>2968.1004779999998</v>
      </c>
      <c r="AD229" s="6">
        <f>$O$229*$X$229</f>
        <v>24927.964151999997</v>
      </c>
      <c r="AE229" s="6">
        <f ca="1">$K$229*$Y$229</f>
        <v>49409.502736901079</v>
      </c>
      <c r="AF229" s="6">
        <f ca="1">$M$229*$Z$229</f>
        <v>3493.4501242359033</v>
      </c>
      <c r="AG229" s="6">
        <f>$O$229*$AA$229</f>
        <v>27047.29389396335</v>
      </c>
    </row>
    <row r="230" spans="1:33" ht="11.25" customHeight="1" x14ac:dyDescent="0.25">
      <c r="A230" s="4" t="s">
        <v>21</v>
      </c>
      <c r="B230" s="4" t="s">
        <v>39</v>
      </c>
      <c r="C230" s="4" t="s">
        <v>40</v>
      </c>
      <c r="D230" s="4" t="s">
        <v>49</v>
      </c>
      <c r="E230" s="4" t="s">
        <v>50</v>
      </c>
      <c r="F230" s="4" t="s">
        <v>25</v>
      </c>
      <c r="G230" s="4" t="s">
        <v>25</v>
      </c>
      <c r="H230" s="4" t="s">
        <v>34</v>
      </c>
      <c r="I230" s="5">
        <v>44531</v>
      </c>
      <c r="J230" s="6">
        <v>1412</v>
      </c>
      <c r="K230" s="42">
        <v>1412</v>
      </c>
      <c r="L230" s="6">
        <v>80.700999999999993</v>
      </c>
      <c r="M230" s="43">
        <v>80.700999999999993</v>
      </c>
      <c r="N230" s="6">
        <v>80.700999999999993</v>
      </c>
      <c r="O230" s="43">
        <v>80.700999999999993</v>
      </c>
      <c r="P230" s="6">
        <v>0</v>
      </c>
      <c r="Q230" s="4" t="s">
        <v>26</v>
      </c>
      <c r="R230" s="4">
        <v>0</v>
      </c>
      <c r="S230" s="6">
        <v>9</v>
      </c>
      <c r="T230" s="6">
        <v>11</v>
      </c>
      <c r="U230" s="6">
        <v>67</v>
      </c>
      <c r="V230" s="43">
        <f>IF(ISERROR(VLOOKUP($S$230,'TAR FIN'!$A$1:$O$100,15,0)),0,VLOOKUP($S$230,'TAR FIN'!$A$1:$O$100,15,0))*(1-0.06)</f>
        <v>34.789399999999993</v>
      </c>
      <c r="W230" s="43">
        <f>IF(ISERROR(VLOOKUP($T$230,'TAR FIN'!$A$1:$O$100,15,0)),0,VLOOKUP($T$230,'TAR FIN'!$A$1:$O$100,15,0))*(1-0.06)</f>
        <v>41.030999999999999</v>
      </c>
      <c r="X230" s="43">
        <f>IF(ISERROR(VLOOKUP($U$230,'TAR FIN'!$A$1:$O$100,15,0)),0,VLOOKUP($U$230,'TAR FIN'!$A$1:$O$100,15,0))*(1-0.06)</f>
        <v>344.60399999999998</v>
      </c>
      <c r="Y230" s="43">
        <f ca="1">('TUSD BE'!$AM$12+'TUSD BF'!$AM$12+'TUSD CVA'!$AM$12)*1*(1-0.03)</f>
        <v>35.091976375639973</v>
      </c>
      <c r="Z230" s="43">
        <f ca="1">('TUSD BE'!$AM$14+'TUSD BF'!$AM$14+'TUSD CVA'!$AM$14)*1*(1-0.03)</f>
        <v>48.293429791201078</v>
      </c>
      <c r="AA230" s="43">
        <f>('TE BE'!$AA$7+'TE BF'!$AA$7+'TE CVA'!$AA$7)*1*(1-0.03)</f>
        <v>373.90159935253052</v>
      </c>
      <c r="AB230" s="6">
        <f>$K$230*$V$230</f>
        <v>49122.632799999992</v>
      </c>
      <c r="AC230" s="6">
        <f>$M$230*$W$230</f>
        <v>3311.2427309999998</v>
      </c>
      <c r="AD230" s="6">
        <f>$O$230*$X$230</f>
        <v>27809.887403999997</v>
      </c>
      <c r="AE230" s="6">
        <f ca="1">$K$230*$Y$230</f>
        <v>49549.870642403643</v>
      </c>
      <c r="AF230" s="6">
        <f ca="1">$M$230*$Z$230</f>
        <v>3897.328077579718</v>
      </c>
      <c r="AG230" s="6">
        <f>$O$230*$AA$230</f>
        <v>30174.232969348563</v>
      </c>
    </row>
    <row r="231" spans="1:33" ht="11.25" customHeight="1" x14ac:dyDescent="0.25">
      <c r="A231" s="4" t="s">
        <v>55</v>
      </c>
      <c r="B231" s="4" t="s">
        <v>39</v>
      </c>
      <c r="C231" s="4" t="s">
        <v>40</v>
      </c>
      <c r="D231" s="4" t="s">
        <v>49</v>
      </c>
      <c r="E231" s="4" t="s">
        <v>50</v>
      </c>
      <c r="F231" s="4" t="s">
        <v>25</v>
      </c>
      <c r="G231" s="4" t="s">
        <v>25</v>
      </c>
      <c r="H231" s="4" t="s">
        <v>34</v>
      </c>
      <c r="I231" s="5">
        <v>44562</v>
      </c>
      <c r="J231" s="6">
        <v>1412</v>
      </c>
      <c r="K231" s="42">
        <v>1412</v>
      </c>
      <c r="L231" s="6">
        <v>80.700999999999993</v>
      </c>
      <c r="M231" s="43">
        <v>80.700999999999993</v>
      </c>
      <c r="N231" s="6">
        <v>80.700999999999993</v>
      </c>
      <c r="O231" s="43">
        <v>80.700999999999993</v>
      </c>
      <c r="P231" s="6">
        <v>0</v>
      </c>
      <c r="Q231" s="4" t="s">
        <v>26</v>
      </c>
      <c r="R231" s="4">
        <v>0</v>
      </c>
      <c r="S231" s="6">
        <v>9</v>
      </c>
      <c r="T231" s="6">
        <v>11</v>
      </c>
      <c r="U231" s="6">
        <v>67</v>
      </c>
      <c r="V231" s="43">
        <f>IF(ISERROR(VLOOKUP($S$231,'TAR FIN'!$A$1:$O$100,15,0)),0,VLOOKUP($S$231,'TAR FIN'!$A$1:$O$100,15,0))*(1-0.06)</f>
        <v>34.789399999999993</v>
      </c>
      <c r="W231" s="43">
        <f>IF(ISERROR(VLOOKUP($T$231,'TAR FIN'!$A$1:$O$100,15,0)),0,VLOOKUP($T$231,'TAR FIN'!$A$1:$O$100,15,0))*(1-0.06)</f>
        <v>41.030999999999999</v>
      </c>
      <c r="X231" s="43">
        <f>IF(ISERROR(VLOOKUP($U$231,'TAR FIN'!$A$1:$O$100,15,0)),0,VLOOKUP($U$231,'TAR FIN'!$A$1:$O$100,15,0))*(1-0.06)</f>
        <v>344.60399999999998</v>
      </c>
      <c r="Y231" s="43">
        <f ca="1">('TUSD BE'!$AM$12+'TUSD BF'!$AM$12+'TUSD CVA'!$AM$12)*1*(1-0.03)</f>
        <v>35.091976375639973</v>
      </c>
      <c r="Z231" s="43">
        <f ca="1">('TUSD BE'!$AM$14+'TUSD BF'!$AM$14+'TUSD CVA'!$AM$14)*1*(1-0.03)</f>
        <v>48.293429791201078</v>
      </c>
      <c r="AA231" s="43">
        <f>('TE BE'!$AA$7+'TE BF'!$AA$7+'TE CVA'!$AA$7)*1*(1-0.03)</f>
        <v>373.90159935253052</v>
      </c>
      <c r="AB231" s="6">
        <f>$K$231*$V$231</f>
        <v>49122.632799999992</v>
      </c>
      <c r="AC231" s="6">
        <f>$M$231*$W$231</f>
        <v>3311.2427309999998</v>
      </c>
      <c r="AD231" s="6">
        <f>$O$231*$X$231</f>
        <v>27809.887403999997</v>
      </c>
      <c r="AE231" s="6">
        <f ca="1">$K$231*$Y$231</f>
        <v>49549.870642403643</v>
      </c>
      <c r="AF231" s="6">
        <f ca="1">$M$231*$Z$231</f>
        <v>3897.328077579718</v>
      </c>
      <c r="AG231" s="6">
        <f>$O$231*$AA$231</f>
        <v>30174.232969348563</v>
      </c>
    </row>
    <row r="232" spans="1:33" ht="11.25" customHeight="1" x14ac:dyDescent="0.25">
      <c r="A232" s="4" t="s">
        <v>21</v>
      </c>
      <c r="B232" s="4" t="s">
        <v>39</v>
      </c>
      <c r="C232" s="4" t="s">
        <v>59</v>
      </c>
      <c r="D232" s="4" t="s">
        <v>25</v>
      </c>
      <c r="E232" s="4" t="s">
        <v>25</v>
      </c>
      <c r="F232" s="4" t="s">
        <v>25</v>
      </c>
      <c r="G232" s="4" t="s">
        <v>60</v>
      </c>
      <c r="H232" s="4" t="s">
        <v>35</v>
      </c>
      <c r="I232" s="5">
        <v>44228</v>
      </c>
      <c r="J232" s="6">
        <v>150</v>
      </c>
      <c r="K232" s="6">
        <v>150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61</v>
      </c>
      <c r="R232" s="4">
        <v>6600</v>
      </c>
      <c r="S232" s="6">
        <v>20</v>
      </c>
      <c r="T232" s="6">
        <v>0</v>
      </c>
      <c r="U232" s="6">
        <v>0</v>
      </c>
      <c r="V232" s="6">
        <f>IF(ISERROR(VLOOKUP($S$232,'TAR FIN'!$A$1:$O$100,15,0)),0,VLOOKUP($S$232,'TAR FIN'!$A$1:$O$100,15,0))</f>
        <v>11.82</v>
      </c>
      <c r="W232" s="6">
        <f>IF(ISERROR(VLOOKUP($T$232,'TAR FIN'!$A$1:$O$100,15,0)),0,VLOOKUP($T$232,'TAR FIN'!$A$1:$O$100,15,0))</f>
        <v>0</v>
      </c>
      <c r="X232" s="6">
        <f>IF(ISERROR(VLOOKUP($U$232,'TAR FIN'!$A$1:$O$100,15,0)),0,VLOOKUP($U$232,'TAR FIN'!$A$1:$O$100,15,0))</f>
        <v>0</v>
      </c>
      <c r="Y232" s="6">
        <f ca="1">('TUSD BE'!$AM$17+'TUSD BF'!$AM$17+'TUSD CVA'!$AM$17)*1</f>
        <v>11.63703738243964</v>
      </c>
      <c r="Z232" s="6">
        <f ca="1">('TUSD BE'!$AM$18+'TUSD BF'!$AM$18+'TUSD CVA'!$AM$18)*1</f>
        <v>6.2775353492949444</v>
      </c>
      <c r="AA232" s="6"/>
      <c r="AB232" s="6">
        <f>$K$232*$V$232</f>
        <v>1773</v>
      </c>
      <c r="AC232" s="6">
        <f>$M$232*$W$232</f>
        <v>0</v>
      </c>
      <c r="AD232" s="6">
        <f>$O$232*$X$232</f>
        <v>0</v>
      </c>
      <c r="AE232" s="6">
        <f ca="1">$K$232*$Y$232</f>
        <v>1745.5556073659461</v>
      </c>
      <c r="AF232" s="6">
        <f ca="1"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39</v>
      </c>
      <c r="C233" s="4" t="s">
        <v>59</v>
      </c>
      <c r="D233" s="4" t="s">
        <v>25</v>
      </c>
      <c r="E233" s="4" t="s">
        <v>25</v>
      </c>
      <c r="F233" s="4" t="s">
        <v>25</v>
      </c>
      <c r="G233" s="4" t="s">
        <v>60</v>
      </c>
      <c r="H233" s="4" t="s">
        <v>35</v>
      </c>
      <c r="I233" s="5">
        <v>44256</v>
      </c>
      <c r="J233" s="6">
        <v>150</v>
      </c>
      <c r="K233" s="6">
        <v>150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61</v>
      </c>
      <c r="R233" s="4">
        <v>6600</v>
      </c>
      <c r="S233" s="6">
        <v>20</v>
      </c>
      <c r="T233" s="6">
        <v>0</v>
      </c>
      <c r="U233" s="6">
        <v>0</v>
      </c>
      <c r="V233" s="6">
        <f>IF(ISERROR(VLOOKUP($S$233,'TAR FIN'!$A$1:$O$100,15,0)),0,VLOOKUP($S$233,'TAR FIN'!$A$1:$O$100,15,0))</f>
        <v>11.82</v>
      </c>
      <c r="W233" s="6">
        <f>IF(ISERROR(VLOOKUP($T$233,'TAR FIN'!$A$1:$O$100,15,0)),0,VLOOKUP($T$233,'TAR FIN'!$A$1:$O$100,15,0))</f>
        <v>0</v>
      </c>
      <c r="X233" s="6">
        <f>IF(ISERROR(VLOOKUP($U$233,'TAR FIN'!$A$1:$O$100,15,0)),0,VLOOKUP($U$233,'TAR FIN'!$A$1:$O$100,15,0))</f>
        <v>0</v>
      </c>
      <c r="Y233" s="6">
        <f ca="1">('TUSD BE'!$AM$17+'TUSD BF'!$AM$17+'TUSD CVA'!$AM$17)*1</f>
        <v>11.63703738243964</v>
      </c>
      <c r="Z233" s="6">
        <f ca="1">('TUSD BE'!$AM$18+'TUSD BF'!$AM$18+'TUSD CVA'!$AM$18)*1</f>
        <v>6.2775353492949444</v>
      </c>
      <c r="AA233" s="6"/>
      <c r="AB233" s="6">
        <f>$K$233*$V$233</f>
        <v>1773</v>
      </c>
      <c r="AC233" s="6">
        <f>$M$233*$W$233</f>
        <v>0</v>
      </c>
      <c r="AD233" s="6">
        <f>$O$233*$X$233</f>
        <v>0</v>
      </c>
      <c r="AE233" s="6">
        <f ca="1">$K$233*$Y$233</f>
        <v>1745.5556073659461</v>
      </c>
      <c r="AF233" s="6">
        <f ca="1">$M$233*$Z$233</f>
        <v>0</v>
      </c>
      <c r="AG233" s="6">
        <f>$O$233*$AA$233</f>
        <v>0</v>
      </c>
    </row>
    <row r="234" spans="1:33" ht="11.25" customHeight="1" x14ac:dyDescent="0.25">
      <c r="A234" s="4" t="s">
        <v>21</v>
      </c>
      <c r="B234" s="4" t="s">
        <v>39</v>
      </c>
      <c r="C234" s="4" t="s">
        <v>59</v>
      </c>
      <c r="D234" s="4" t="s">
        <v>25</v>
      </c>
      <c r="E234" s="4" t="s">
        <v>25</v>
      </c>
      <c r="F234" s="4" t="s">
        <v>25</v>
      </c>
      <c r="G234" s="4" t="s">
        <v>60</v>
      </c>
      <c r="H234" s="4" t="s">
        <v>35</v>
      </c>
      <c r="I234" s="5">
        <v>44287</v>
      </c>
      <c r="J234" s="6">
        <v>150</v>
      </c>
      <c r="K234" s="6">
        <v>150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61</v>
      </c>
      <c r="R234" s="4">
        <v>6600</v>
      </c>
      <c r="S234" s="6">
        <v>20</v>
      </c>
      <c r="T234" s="6">
        <v>0</v>
      </c>
      <c r="U234" s="6">
        <v>0</v>
      </c>
      <c r="V234" s="6">
        <f>IF(ISERROR(VLOOKUP($S$234,'TAR FIN'!$A$1:$O$100,15,0)),0,VLOOKUP($S$234,'TAR FIN'!$A$1:$O$100,15,0))</f>
        <v>11.82</v>
      </c>
      <c r="W234" s="6">
        <f>IF(ISERROR(VLOOKUP($T$234,'TAR FIN'!$A$1:$O$100,15,0)),0,VLOOKUP($T$234,'TAR FIN'!$A$1:$O$100,15,0))</f>
        <v>0</v>
      </c>
      <c r="X234" s="6">
        <f>IF(ISERROR(VLOOKUP($U$234,'TAR FIN'!$A$1:$O$100,15,0)),0,VLOOKUP($U$234,'TAR FIN'!$A$1:$O$100,15,0))</f>
        <v>0</v>
      </c>
      <c r="Y234" s="6">
        <f ca="1">('TUSD BE'!$AM$17+'TUSD BF'!$AM$17+'TUSD CVA'!$AM$17)*1</f>
        <v>11.63703738243964</v>
      </c>
      <c r="Z234" s="6">
        <f ca="1">('TUSD BE'!$AM$18+'TUSD BF'!$AM$18+'TUSD CVA'!$AM$18)*1</f>
        <v>6.2775353492949444</v>
      </c>
      <c r="AA234" s="6"/>
      <c r="AB234" s="6">
        <f>$K$234*$V$234</f>
        <v>1773</v>
      </c>
      <c r="AC234" s="6">
        <f>$M$234*$W$234</f>
        <v>0</v>
      </c>
      <c r="AD234" s="6">
        <f>$O$234*$X$234</f>
        <v>0</v>
      </c>
      <c r="AE234" s="6">
        <f ca="1">$K$234*$Y$234</f>
        <v>1745.5556073659461</v>
      </c>
      <c r="AF234" s="6">
        <f ca="1">$M$234*$Z$234</f>
        <v>0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39</v>
      </c>
      <c r="C235" s="4" t="s">
        <v>59</v>
      </c>
      <c r="D235" s="4" t="s">
        <v>25</v>
      </c>
      <c r="E235" s="4" t="s">
        <v>25</v>
      </c>
      <c r="F235" s="4" t="s">
        <v>25</v>
      </c>
      <c r="G235" s="4" t="s">
        <v>60</v>
      </c>
      <c r="H235" s="4" t="s">
        <v>35</v>
      </c>
      <c r="I235" s="5">
        <v>44317</v>
      </c>
      <c r="J235" s="6">
        <v>150</v>
      </c>
      <c r="K235" s="6">
        <v>150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61</v>
      </c>
      <c r="R235" s="4">
        <v>6600</v>
      </c>
      <c r="S235" s="6">
        <v>20</v>
      </c>
      <c r="T235" s="6">
        <v>0</v>
      </c>
      <c r="U235" s="6">
        <v>0</v>
      </c>
      <c r="V235" s="6">
        <f>IF(ISERROR(VLOOKUP($S$235,'TAR FIN'!$A$1:$O$100,15,0)),0,VLOOKUP($S$235,'TAR FIN'!$A$1:$O$100,15,0))</f>
        <v>11.82</v>
      </c>
      <c r="W235" s="6">
        <f>IF(ISERROR(VLOOKUP($T$235,'TAR FIN'!$A$1:$O$100,15,0)),0,VLOOKUP($T$235,'TAR FIN'!$A$1:$O$100,15,0))</f>
        <v>0</v>
      </c>
      <c r="X235" s="6">
        <f>IF(ISERROR(VLOOKUP($U$235,'TAR FIN'!$A$1:$O$100,15,0)),0,VLOOKUP($U$235,'TAR FIN'!$A$1:$O$100,15,0))</f>
        <v>0</v>
      </c>
      <c r="Y235" s="6">
        <f ca="1">('TUSD BE'!$AM$17+'TUSD BF'!$AM$17+'TUSD CVA'!$AM$17)*1</f>
        <v>11.63703738243964</v>
      </c>
      <c r="Z235" s="6">
        <f ca="1">('TUSD BE'!$AM$18+'TUSD BF'!$AM$18+'TUSD CVA'!$AM$18)*1</f>
        <v>6.2775353492949444</v>
      </c>
      <c r="AA235" s="6"/>
      <c r="AB235" s="6">
        <f>$K$235*$V$235</f>
        <v>1773</v>
      </c>
      <c r="AC235" s="6">
        <f>$M$235*$W$235</f>
        <v>0</v>
      </c>
      <c r="AD235" s="6">
        <f>$O$235*$X$235</f>
        <v>0</v>
      </c>
      <c r="AE235" s="6">
        <f ca="1">$K$235*$Y$235</f>
        <v>1745.5556073659461</v>
      </c>
      <c r="AF235" s="6">
        <f ca="1">$M$235*$Z$235</f>
        <v>0</v>
      </c>
      <c r="AG235" s="6">
        <f>$O$235*$AA$235</f>
        <v>0</v>
      </c>
    </row>
    <row r="236" spans="1:33" ht="11.25" customHeight="1" x14ac:dyDescent="0.25">
      <c r="A236" s="4" t="s">
        <v>21</v>
      </c>
      <c r="B236" s="4" t="s">
        <v>39</v>
      </c>
      <c r="C236" s="4" t="s">
        <v>59</v>
      </c>
      <c r="D236" s="4" t="s">
        <v>25</v>
      </c>
      <c r="E236" s="4" t="s">
        <v>25</v>
      </c>
      <c r="F236" s="4" t="s">
        <v>25</v>
      </c>
      <c r="G236" s="4" t="s">
        <v>60</v>
      </c>
      <c r="H236" s="4" t="s">
        <v>35</v>
      </c>
      <c r="I236" s="5">
        <v>44348</v>
      </c>
      <c r="J236" s="6">
        <v>150</v>
      </c>
      <c r="K236" s="6">
        <v>150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61</v>
      </c>
      <c r="R236" s="4">
        <v>6600</v>
      </c>
      <c r="S236" s="6">
        <v>20</v>
      </c>
      <c r="T236" s="6">
        <v>0</v>
      </c>
      <c r="U236" s="6">
        <v>0</v>
      </c>
      <c r="V236" s="6">
        <f>IF(ISERROR(VLOOKUP($S$236,'TAR FIN'!$A$1:$O$100,15,0)),0,VLOOKUP($S$236,'TAR FIN'!$A$1:$O$100,15,0))</f>
        <v>11.82</v>
      </c>
      <c r="W236" s="6">
        <f>IF(ISERROR(VLOOKUP($T$236,'TAR FIN'!$A$1:$O$100,15,0)),0,VLOOKUP($T$236,'TAR FIN'!$A$1:$O$100,15,0))</f>
        <v>0</v>
      </c>
      <c r="X236" s="6">
        <f>IF(ISERROR(VLOOKUP($U$236,'TAR FIN'!$A$1:$O$100,15,0)),0,VLOOKUP($U$236,'TAR FIN'!$A$1:$O$100,15,0))</f>
        <v>0</v>
      </c>
      <c r="Y236" s="6">
        <f ca="1">('TUSD BE'!$AM$17+'TUSD BF'!$AM$17+'TUSD CVA'!$AM$17)*1</f>
        <v>11.63703738243964</v>
      </c>
      <c r="Z236" s="6">
        <f ca="1">('TUSD BE'!$AM$18+'TUSD BF'!$AM$18+'TUSD CVA'!$AM$18)*1</f>
        <v>6.2775353492949444</v>
      </c>
      <c r="AA236" s="6"/>
      <c r="AB236" s="6">
        <f>$K$236*$V$236</f>
        <v>1773</v>
      </c>
      <c r="AC236" s="6">
        <f>$M$236*$W$236</f>
        <v>0</v>
      </c>
      <c r="AD236" s="6">
        <f>$O$236*$X$236</f>
        <v>0</v>
      </c>
      <c r="AE236" s="6">
        <f ca="1">$K$236*$Y$236</f>
        <v>1745.5556073659461</v>
      </c>
      <c r="AF236" s="6">
        <f ca="1">$M$236*$Z$236</f>
        <v>0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39</v>
      </c>
      <c r="C237" s="4" t="s">
        <v>59</v>
      </c>
      <c r="D237" s="4" t="s">
        <v>25</v>
      </c>
      <c r="E237" s="4" t="s">
        <v>25</v>
      </c>
      <c r="F237" s="4" t="s">
        <v>25</v>
      </c>
      <c r="G237" s="4" t="s">
        <v>60</v>
      </c>
      <c r="H237" s="4" t="s">
        <v>35</v>
      </c>
      <c r="I237" s="5">
        <v>44378</v>
      </c>
      <c r="J237" s="6">
        <v>150</v>
      </c>
      <c r="K237" s="6">
        <v>150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61</v>
      </c>
      <c r="R237" s="4">
        <v>6600</v>
      </c>
      <c r="S237" s="6">
        <v>20</v>
      </c>
      <c r="T237" s="6">
        <v>0</v>
      </c>
      <c r="U237" s="6">
        <v>0</v>
      </c>
      <c r="V237" s="6">
        <f>IF(ISERROR(VLOOKUP($S$237,'TAR FIN'!$A$1:$O$100,15,0)),0,VLOOKUP($S$237,'TAR FIN'!$A$1:$O$100,15,0))</f>
        <v>11.82</v>
      </c>
      <c r="W237" s="6">
        <f>IF(ISERROR(VLOOKUP($T$237,'TAR FIN'!$A$1:$O$100,15,0)),0,VLOOKUP($T$237,'TAR FIN'!$A$1:$O$100,15,0))</f>
        <v>0</v>
      </c>
      <c r="X237" s="6">
        <f>IF(ISERROR(VLOOKUP($U$237,'TAR FIN'!$A$1:$O$100,15,0)),0,VLOOKUP($U$237,'TAR FIN'!$A$1:$O$100,15,0))</f>
        <v>0</v>
      </c>
      <c r="Y237" s="6">
        <f ca="1">('TUSD BE'!$AM$17+'TUSD BF'!$AM$17+'TUSD CVA'!$AM$17)*1</f>
        <v>11.63703738243964</v>
      </c>
      <c r="Z237" s="6">
        <f ca="1">('TUSD BE'!$AM$18+'TUSD BF'!$AM$18+'TUSD CVA'!$AM$18)*1</f>
        <v>6.2775353492949444</v>
      </c>
      <c r="AA237" s="6"/>
      <c r="AB237" s="6">
        <f>$K$237*$V$237</f>
        <v>1773</v>
      </c>
      <c r="AC237" s="6">
        <f>$M$237*$W$237</f>
        <v>0</v>
      </c>
      <c r="AD237" s="6">
        <f>$O$237*$X$237</f>
        <v>0</v>
      </c>
      <c r="AE237" s="6">
        <f ca="1">$K$237*$Y$237</f>
        <v>1745.5556073659461</v>
      </c>
      <c r="AF237" s="6">
        <f ca="1">$M$237*$Z$237</f>
        <v>0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39</v>
      </c>
      <c r="C238" s="4" t="s">
        <v>59</v>
      </c>
      <c r="D238" s="4" t="s">
        <v>25</v>
      </c>
      <c r="E238" s="4" t="s">
        <v>25</v>
      </c>
      <c r="F238" s="4" t="s">
        <v>25</v>
      </c>
      <c r="G238" s="4" t="s">
        <v>60</v>
      </c>
      <c r="H238" s="4" t="s">
        <v>35</v>
      </c>
      <c r="I238" s="5">
        <v>44409</v>
      </c>
      <c r="J238" s="6">
        <v>150</v>
      </c>
      <c r="K238" s="6">
        <v>150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61</v>
      </c>
      <c r="R238" s="4">
        <v>6600</v>
      </c>
      <c r="S238" s="6">
        <v>20</v>
      </c>
      <c r="T238" s="6">
        <v>0</v>
      </c>
      <c r="U238" s="6">
        <v>0</v>
      </c>
      <c r="V238" s="6">
        <f>IF(ISERROR(VLOOKUP($S$238,'TAR FIN'!$A$1:$O$100,15,0)),0,VLOOKUP($S$238,'TAR FIN'!$A$1:$O$100,15,0))</f>
        <v>11.82</v>
      </c>
      <c r="W238" s="6">
        <f>IF(ISERROR(VLOOKUP($T$238,'TAR FIN'!$A$1:$O$100,15,0)),0,VLOOKUP($T$238,'TAR FIN'!$A$1:$O$100,15,0))</f>
        <v>0</v>
      </c>
      <c r="X238" s="6">
        <f>IF(ISERROR(VLOOKUP($U$238,'TAR FIN'!$A$1:$O$100,15,0)),0,VLOOKUP($U$238,'TAR FIN'!$A$1:$O$100,15,0))</f>
        <v>0</v>
      </c>
      <c r="Y238" s="6">
        <f ca="1">('TUSD BE'!$AM$17+'TUSD BF'!$AM$17+'TUSD CVA'!$AM$17)*1</f>
        <v>11.63703738243964</v>
      </c>
      <c r="Z238" s="6">
        <f ca="1">('TUSD BE'!$AM$18+'TUSD BF'!$AM$18+'TUSD CVA'!$AM$18)*1</f>
        <v>6.2775353492949444</v>
      </c>
      <c r="AA238" s="6"/>
      <c r="AB238" s="6">
        <f>$K$238*$V$238</f>
        <v>1773</v>
      </c>
      <c r="AC238" s="6">
        <f>$M$238*$W$238</f>
        <v>0</v>
      </c>
      <c r="AD238" s="6">
        <f>$O$238*$X$238</f>
        <v>0</v>
      </c>
      <c r="AE238" s="6">
        <f ca="1">$K$238*$Y$238</f>
        <v>1745.5556073659461</v>
      </c>
      <c r="AF238" s="6">
        <f ca="1">$M$238*$Z$238</f>
        <v>0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39</v>
      </c>
      <c r="C239" s="4" t="s">
        <v>59</v>
      </c>
      <c r="D239" s="4" t="s">
        <v>25</v>
      </c>
      <c r="E239" s="4" t="s">
        <v>25</v>
      </c>
      <c r="F239" s="4" t="s">
        <v>25</v>
      </c>
      <c r="G239" s="4" t="s">
        <v>60</v>
      </c>
      <c r="H239" s="4" t="s">
        <v>35</v>
      </c>
      <c r="I239" s="5">
        <v>44440</v>
      </c>
      <c r="J239" s="6">
        <v>150</v>
      </c>
      <c r="K239" s="6">
        <v>150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61</v>
      </c>
      <c r="R239" s="4">
        <v>6600</v>
      </c>
      <c r="S239" s="6">
        <v>20</v>
      </c>
      <c r="T239" s="6">
        <v>0</v>
      </c>
      <c r="U239" s="6">
        <v>0</v>
      </c>
      <c r="V239" s="6">
        <f>IF(ISERROR(VLOOKUP($S$239,'TAR FIN'!$A$1:$O$100,15,0)),0,VLOOKUP($S$239,'TAR FIN'!$A$1:$O$100,15,0))</f>
        <v>11.82</v>
      </c>
      <c r="W239" s="6">
        <f>IF(ISERROR(VLOOKUP($T$239,'TAR FIN'!$A$1:$O$100,15,0)),0,VLOOKUP($T$239,'TAR FIN'!$A$1:$O$100,15,0))</f>
        <v>0</v>
      </c>
      <c r="X239" s="6">
        <f>IF(ISERROR(VLOOKUP($U$239,'TAR FIN'!$A$1:$O$100,15,0)),0,VLOOKUP($U$239,'TAR FIN'!$A$1:$O$100,15,0))</f>
        <v>0</v>
      </c>
      <c r="Y239" s="6">
        <f ca="1">('TUSD BE'!$AM$17+'TUSD BF'!$AM$17+'TUSD CVA'!$AM$17)*1</f>
        <v>11.63703738243964</v>
      </c>
      <c r="Z239" s="6">
        <f ca="1">('TUSD BE'!$AM$18+'TUSD BF'!$AM$18+'TUSD CVA'!$AM$18)*1</f>
        <v>6.2775353492949444</v>
      </c>
      <c r="AA239" s="6"/>
      <c r="AB239" s="6">
        <f>$K$239*$V$239</f>
        <v>1773</v>
      </c>
      <c r="AC239" s="6">
        <f>$M$239*$W$239</f>
        <v>0</v>
      </c>
      <c r="AD239" s="6">
        <f>$O$239*$X$239</f>
        <v>0</v>
      </c>
      <c r="AE239" s="6">
        <f ca="1">$K$239*$Y$239</f>
        <v>1745.5556073659461</v>
      </c>
      <c r="AF239" s="6">
        <f ca="1">$M$239*$Z$239</f>
        <v>0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39</v>
      </c>
      <c r="C240" s="4" t="s">
        <v>59</v>
      </c>
      <c r="D240" s="4" t="s">
        <v>25</v>
      </c>
      <c r="E240" s="4" t="s">
        <v>25</v>
      </c>
      <c r="F240" s="4" t="s">
        <v>25</v>
      </c>
      <c r="G240" s="4" t="s">
        <v>60</v>
      </c>
      <c r="H240" s="4" t="s">
        <v>35</v>
      </c>
      <c r="I240" s="5">
        <v>44470</v>
      </c>
      <c r="J240" s="6">
        <v>150</v>
      </c>
      <c r="K240" s="6">
        <v>150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61</v>
      </c>
      <c r="R240" s="4">
        <v>6600</v>
      </c>
      <c r="S240" s="6">
        <v>20</v>
      </c>
      <c r="T240" s="6">
        <v>0</v>
      </c>
      <c r="U240" s="6">
        <v>0</v>
      </c>
      <c r="V240" s="6">
        <f>IF(ISERROR(VLOOKUP($S$240,'TAR FIN'!$A$1:$O$100,15,0)),0,VLOOKUP($S$240,'TAR FIN'!$A$1:$O$100,15,0))</f>
        <v>11.82</v>
      </c>
      <c r="W240" s="6">
        <f>IF(ISERROR(VLOOKUP($T$240,'TAR FIN'!$A$1:$O$100,15,0)),0,VLOOKUP($T$240,'TAR FIN'!$A$1:$O$100,15,0))</f>
        <v>0</v>
      </c>
      <c r="X240" s="6">
        <f>IF(ISERROR(VLOOKUP($U$240,'TAR FIN'!$A$1:$O$100,15,0)),0,VLOOKUP($U$240,'TAR FIN'!$A$1:$O$100,15,0))</f>
        <v>0</v>
      </c>
      <c r="Y240" s="6">
        <f ca="1">('TUSD BE'!$AM$17+'TUSD BF'!$AM$17+'TUSD CVA'!$AM$17)*1</f>
        <v>11.63703738243964</v>
      </c>
      <c r="Z240" s="6">
        <f ca="1">('TUSD BE'!$AM$18+'TUSD BF'!$AM$18+'TUSD CVA'!$AM$18)*1</f>
        <v>6.2775353492949444</v>
      </c>
      <c r="AA240" s="6"/>
      <c r="AB240" s="6">
        <f>$K$240*$V$240</f>
        <v>1773</v>
      </c>
      <c r="AC240" s="6">
        <f>$M$240*$W$240</f>
        <v>0</v>
      </c>
      <c r="AD240" s="6">
        <f>$O$240*$X$240</f>
        <v>0</v>
      </c>
      <c r="AE240" s="6">
        <f ca="1">$K$240*$Y$240</f>
        <v>1745.5556073659461</v>
      </c>
      <c r="AF240" s="6">
        <f ca="1">$M$240*$Z$240</f>
        <v>0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39</v>
      </c>
      <c r="C241" s="4" t="s">
        <v>59</v>
      </c>
      <c r="D241" s="4" t="s">
        <v>25</v>
      </c>
      <c r="E241" s="4" t="s">
        <v>25</v>
      </c>
      <c r="F241" s="4" t="s">
        <v>25</v>
      </c>
      <c r="G241" s="4" t="s">
        <v>60</v>
      </c>
      <c r="H241" s="4" t="s">
        <v>35</v>
      </c>
      <c r="I241" s="5">
        <v>44501</v>
      </c>
      <c r="J241" s="6">
        <v>150</v>
      </c>
      <c r="K241" s="6">
        <v>150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61</v>
      </c>
      <c r="R241" s="4">
        <v>6600</v>
      </c>
      <c r="S241" s="6">
        <v>20</v>
      </c>
      <c r="T241" s="6">
        <v>0</v>
      </c>
      <c r="U241" s="6">
        <v>0</v>
      </c>
      <c r="V241" s="6">
        <f>IF(ISERROR(VLOOKUP($S$241,'TAR FIN'!$A$1:$O$100,15,0)),0,VLOOKUP($S$241,'TAR FIN'!$A$1:$O$100,15,0))</f>
        <v>11.82</v>
      </c>
      <c r="W241" s="6">
        <f>IF(ISERROR(VLOOKUP($T$241,'TAR FIN'!$A$1:$O$100,15,0)),0,VLOOKUP($T$241,'TAR FIN'!$A$1:$O$100,15,0))</f>
        <v>0</v>
      </c>
      <c r="X241" s="6">
        <f>IF(ISERROR(VLOOKUP($U$241,'TAR FIN'!$A$1:$O$100,15,0)),0,VLOOKUP($U$241,'TAR FIN'!$A$1:$O$100,15,0))</f>
        <v>0</v>
      </c>
      <c r="Y241" s="6">
        <f ca="1">('TUSD BE'!$AM$17+'TUSD BF'!$AM$17+'TUSD CVA'!$AM$17)*1</f>
        <v>11.63703738243964</v>
      </c>
      <c r="Z241" s="6">
        <f ca="1">('TUSD BE'!$AM$18+'TUSD BF'!$AM$18+'TUSD CVA'!$AM$18)*1</f>
        <v>6.2775353492949444</v>
      </c>
      <c r="AA241" s="6"/>
      <c r="AB241" s="6">
        <f>$K$241*$V$241</f>
        <v>1773</v>
      </c>
      <c r="AC241" s="6">
        <f>$M$241*$W$241</f>
        <v>0</v>
      </c>
      <c r="AD241" s="6">
        <f>$O$241*$X$241</f>
        <v>0</v>
      </c>
      <c r="AE241" s="6">
        <f ca="1">$K$241*$Y$241</f>
        <v>1745.5556073659461</v>
      </c>
      <c r="AF241" s="6">
        <f ca="1">$M$241*$Z$241</f>
        <v>0</v>
      </c>
      <c r="AG241" s="6">
        <f>$O$241*$AA$241</f>
        <v>0</v>
      </c>
    </row>
    <row r="242" spans="1:33" ht="11.25" customHeight="1" x14ac:dyDescent="0.25">
      <c r="A242" s="4" t="s">
        <v>21</v>
      </c>
      <c r="B242" s="4" t="s">
        <v>39</v>
      </c>
      <c r="C242" s="4" t="s">
        <v>59</v>
      </c>
      <c r="D242" s="4" t="s">
        <v>25</v>
      </c>
      <c r="E242" s="4" t="s">
        <v>25</v>
      </c>
      <c r="F242" s="4" t="s">
        <v>25</v>
      </c>
      <c r="G242" s="4" t="s">
        <v>60</v>
      </c>
      <c r="H242" s="4" t="s">
        <v>35</v>
      </c>
      <c r="I242" s="5">
        <v>44531</v>
      </c>
      <c r="J242" s="6">
        <v>152</v>
      </c>
      <c r="K242" s="6">
        <v>152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61</v>
      </c>
      <c r="R242" s="4">
        <v>6600</v>
      </c>
      <c r="S242" s="6">
        <v>20</v>
      </c>
      <c r="T242" s="6">
        <v>0</v>
      </c>
      <c r="U242" s="6">
        <v>0</v>
      </c>
      <c r="V242" s="6">
        <f>IF(ISERROR(VLOOKUP($S$242,'TAR FIN'!$A$1:$O$100,15,0)),0,VLOOKUP($S$242,'TAR FIN'!$A$1:$O$100,15,0))</f>
        <v>11.82</v>
      </c>
      <c r="W242" s="6">
        <f>IF(ISERROR(VLOOKUP($T$242,'TAR FIN'!$A$1:$O$100,15,0)),0,VLOOKUP($T$242,'TAR FIN'!$A$1:$O$100,15,0))</f>
        <v>0</v>
      </c>
      <c r="X242" s="6">
        <f>IF(ISERROR(VLOOKUP($U$242,'TAR FIN'!$A$1:$O$100,15,0)),0,VLOOKUP($U$242,'TAR FIN'!$A$1:$O$100,15,0))</f>
        <v>0</v>
      </c>
      <c r="Y242" s="6">
        <f ca="1">('TUSD BE'!$AM$17+'TUSD BF'!$AM$17+'TUSD CVA'!$AM$17)*1</f>
        <v>11.63703738243964</v>
      </c>
      <c r="Z242" s="6">
        <f ca="1">('TUSD BE'!$AM$18+'TUSD BF'!$AM$18+'TUSD CVA'!$AM$18)*1</f>
        <v>6.2775353492949444</v>
      </c>
      <c r="AA242" s="6"/>
      <c r="AB242" s="6">
        <f>$K$242*$V$242</f>
        <v>1796.64</v>
      </c>
      <c r="AC242" s="6">
        <f>$M$242*$W$242</f>
        <v>0</v>
      </c>
      <c r="AD242" s="6">
        <f>$O$242*$X$242</f>
        <v>0</v>
      </c>
      <c r="AE242" s="6">
        <f ca="1">$K$242*$Y$242</f>
        <v>1768.8296821308254</v>
      </c>
      <c r="AF242" s="6">
        <f ca="1">$M$242*$Z$242</f>
        <v>0</v>
      </c>
      <c r="AG242" s="6">
        <f>$O$242*$AA$242</f>
        <v>0</v>
      </c>
    </row>
    <row r="243" spans="1:33" ht="11.25" customHeight="1" x14ac:dyDescent="0.25">
      <c r="A243" s="4" t="s">
        <v>55</v>
      </c>
      <c r="B243" s="4" t="s">
        <v>39</v>
      </c>
      <c r="C243" s="4" t="s">
        <v>59</v>
      </c>
      <c r="D243" s="4" t="s">
        <v>25</v>
      </c>
      <c r="E243" s="4" t="s">
        <v>25</v>
      </c>
      <c r="F243" s="4" t="s">
        <v>25</v>
      </c>
      <c r="G243" s="4" t="s">
        <v>60</v>
      </c>
      <c r="H243" s="4" t="s">
        <v>35</v>
      </c>
      <c r="I243" s="5">
        <v>44562</v>
      </c>
      <c r="J243" s="6">
        <v>152</v>
      </c>
      <c r="K243" s="6">
        <v>152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61</v>
      </c>
      <c r="R243" s="4">
        <v>6600</v>
      </c>
      <c r="S243" s="6">
        <v>20</v>
      </c>
      <c r="T243" s="6">
        <v>0</v>
      </c>
      <c r="U243" s="6">
        <v>0</v>
      </c>
      <c r="V243" s="6">
        <f>IF(ISERROR(VLOOKUP($S$243,'TAR FIN'!$A$1:$O$100,15,0)),0,VLOOKUP($S$243,'TAR FIN'!$A$1:$O$100,15,0))</f>
        <v>11.82</v>
      </c>
      <c r="W243" s="6">
        <f>IF(ISERROR(VLOOKUP($T$243,'TAR FIN'!$A$1:$O$100,15,0)),0,VLOOKUP($T$243,'TAR FIN'!$A$1:$O$100,15,0))</f>
        <v>0</v>
      </c>
      <c r="X243" s="6">
        <f>IF(ISERROR(VLOOKUP($U$243,'TAR FIN'!$A$1:$O$100,15,0)),0,VLOOKUP($U$243,'TAR FIN'!$A$1:$O$100,15,0))</f>
        <v>0</v>
      </c>
      <c r="Y243" s="6">
        <f ca="1">('TUSD BE'!$AM$17+'TUSD BF'!$AM$17+'TUSD CVA'!$AM$17)*1</f>
        <v>11.63703738243964</v>
      </c>
      <c r="Z243" s="6">
        <f ca="1">('TUSD BE'!$AM$18+'TUSD BF'!$AM$18+'TUSD CVA'!$AM$18)*1</f>
        <v>6.2775353492949444</v>
      </c>
      <c r="AA243" s="6"/>
      <c r="AB243" s="6">
        <f>$K$243*$V$243</f>
        <v>1796.64</v>
      </c>
      <c r="AC243" s="6">
        <f>$M$243*$W$243</f>
        <v>0</v>
      </c>
      <c r="AD243" s="6">
        <f>$O$243*$X$243</f>
        <v>0</v>
      </c>
      <c r="AE243" s="6">
        <f ca="1">$K$243*$Y$243</f>
        <v>1768.8296821308254</v>
      </c>
      <c r="AF243" s="6">
        <f ca="1"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39</v>
      </c>
      <c r="C244" s="4" t="s">
        <v>59</v>
      </c>
      <c r="D244" s="4" t="s">
        <v>25</v>
      </c>
      <c r="E244" s="4" t="s">
        <v>25</v>
      </c>
      <c r="F244" s="4" t="s">
        <v>25</v>
      </c>
      <c r="G244" s="4" t="s">
        <v>60</v>
      </c>
      <c r="H244" s="4" t="s">
        <v>25</v>
      </c>
      <c r="I244" s="5">
        <v>44228</v>
      </c>
      <c r="J244" s="6">
        <v>0</v>
      </c>
      <c r="K244" s="6">
        <v>0</v>
      </c>
      <c r="L244" s="6">
        <v>63.761000000000003</v>
      </c>
      <c r="M244" s="6">
        <v>63.761000000000003</v>
      </c>
      <c r="N244" s="6">
        <v>0</v>
      </c>
      <c r="O244" s="6">
        <v>0</v>
      </c>
      <c r="P244" s="6">
        <v>0</v>
      </c>
      <c r="Q244" s="4" t="s">
        <v>61</v>
      </c>
      <c r="R244" s="4">
        <v>6600</v>
      </c>
      <c r="S244" s="6">
        <v>0</v>
      </c>
      <c r="T244" s="6">
        <v>21</v>
      </c>
      <c r="U244" s="6">
        <v>0</v>
      </c>
      <c r="V244" s="6">
        <f>IF(ISERROR(VLOOKUP($S$244,'TAR FIN'!$A$1:$O$100,15,0)),0,VLOOKUP($S$244,'TAR FIN'!$A$1:$O$100,15,0))</f>
        <v>0</v>
      </c>
      <c r="W244" s="6">
        <f>IF(ISERROR(VLOOKUP($T$244,'TAR FIN'!$A$1:$O$100,15,0)),0,VLOOKUP($T$244,'TAR FIN'!$A$1:$O$100,15,0))</f>
        <v>5.76</v>
      </c>
      <c r="X244" s="6">
        <f>IF(ISERROR(VLOOKUP($U$244,'TAR FIN'!$A$1:$O$100,15,0)),0,VLOOKUP($U$244,'TAR FIN'!$A$1:$O$100,15,0))</f>
        <v>0</v>
      </c>
      <c r="Y244" s="6">
        <f ca="1">0.72*('TUSD BE'!$AM$16+'TUSD BF'!$AM$16+'TUSD CVA'!$AM$16)*1+('TUSD BE'!$AM$17+'TUSD BF'!$AM$17+'TUSD CVA'!$AM$17)*1</f>
        <v>27.67349483799768</v>
      </c>
      <c r="Z244" s="6">
        <f ca="1">('TUSD BE'!$AM$18+'TUSD BF'!$AM$18+'TUSD CVA'!$AM$18)*1</f>
        <v>6.2775353492949444</v>
      </c>
      <c r="AA244" s="6"/>
      <c r="AB244" s="6">
        <f>$K$244*$V$244</f>
        <v>0</v>
      </c>
      <c r="AC244" s="6">
        <f>$M$244*$W$244</f>
        <v>367.26335999999998</v>
      </c>
      <c r="AD244" s="6">
        <f>$O$244*$X$244</f>
        <v>0</v>
      </c>
      <c r="AE244" s="6">
        <f ca="1">$K$244*$Y$244</f>
        <v>0</v>
      </c>
      <c r="AF244" s="6">
        <f ca="1">$M$244*$Z$244</f>
        <v>400.26193140639498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39</v>
      </c>
      <c r="C245" s="4" t="s">
        <v>59</v>
      </c>
      <c r="D245" s="4" t="s">
        <v>25</v>
      </c>
      <c r="E245" s="4" t="s">
        <v>25</v>
      </c>
      <c r="F245" s="4" t="s">
        <v>25</v>
      </c>
      <c r="G245" s="4" t="s">
        <v>60</v>
      </c>
      <c r="H245" s="4" t="s">
        <v>25</v>
      </c>
      <c r="I245" s="5">
        <v>44256</v>
      </c>
      <c r="J245" s="6">
        <v>0</v>
      </c>
      <c r="K245" s="6">
        <v>0</v>
      </c>
      <c r="L245" s="6">
        <v>56.863</v>
      </c>
      <c r="M245" s="6">
        <v>56.863</v>
      </c>
      <c r="N245" s="6">
        <v>0</v>
      </c>
      <c r="O245" s="6">
        <v>0</v>
      </c>
      <c r="P245" s="6">
        <v>0</v>
      </c>
      <c r="Q245" s="4" t="s">
        <v>61</v>
      </c>
      <c r="R245" s="4">
        <v>6600</v>
      </c>
      <c r="S245" s="6">
        <v>0</v>
      </c>
      <c r="T245" s="6">
        <v>21</v>
      </c>
      <c r="U245" s="6">
        <v>0</v>
      </c>
      <c r="V245" s="6">
        <f>IF(ISERROR(VLOOKUP($S$245,'TAR FIN'!$A$1:$O$100,15,0)),0,VLOOKUP($S$245,'TAR FIN'!$A$1:$O$100,15,0))</f>
        <v>0</v>
      </c>
      <c r="W245" s="6">
        <f>IF(ISERROR(VLOOKUP($T$245,'TAR FIN'!$A$1:$O$100,15,0)),0,VLOOKUP($T$245,'TAR FIN'!$A$1:$O$100,15,0))</f>
        <v>5.76</v>
      </c>
      <c r="X245" s="6">
        <f>IF(ISERROR(VLOOKUP($U$245,'TAR FIN'!$A$1:$O$100,15,0)),0,VLOOKUP($U$245,'TAR FIN'!$A$1:$O$100,15,0))</f>
        <v>0</v>
      </c>
      <c r="Y245" s="6">
        <f ca="1">0.72*('TUSD BE'!$AM$16+'TUSD BF'!$AM$16+'TUSD CVA'!$AM$16)*1+('TUSD BE'!$AM$17+'TUSD BF'!$AM$17+'TUSD CVA'!$AM$17)*1</f>
        <v>27.67349483799768</v>
      </c>
      <c r="Z245" s="6">
        <f ca="1">('TUSD BE'!$AM$18+'TUSD BF'!$AM$18+'TUSD CVA'!$AM$18)*1</f>
        <v>6.2775353492949444</v>
      </c>
      <c r="AA245" s="6"/>
      <c r="AB245" s="6">
        <f>$K$245*$V$245</f>
        <v>0</v>
      </c>
      <c r="AC245" s="6">
        <f>$M$245*$W$245</f>
        <v>327.53087999999997</v>
      </c>
      <c r="AD245" s="6">
        <f>$O$245*$X$245</f>
        <v>0</v>
      </c>
      <c r="AE245" s="6">
        <f ca="1">$K$245*$Y$245</f>
        <v>0</v>
      </c>
      <c r="AF245" s="6">
        <f ca="1">$M$245*$Z$245</f>
        <v>356.95949256695843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39</v>
      </c>
      <c r="C246" s="4" t="s">
        <v>59</v>
      </c>
      <c r="D246" s="4" t="s">
        <v>25</v>
      </c>
      <c r="E246" s="4" t="s">
        <v>25</v>
      </c>
      <c r="F246" s="4" t="s">
        <v>25</v>
      </c>
      <c r="G246" s="4" t="s">
        <v>60</v>
      </c>
      <c r="H246" s="4" t="s">
        <v>25</v>
      </c>
      <c r="I246" s="5">
        <v>44287</v>
      </c>
      <c r="J246" s="6">
        <v>0</v>
      </c>
      <c r="K246" s="6">
        <v>0</v>
      </c>
      <c r="L246" s="6">
        <v>57.767000000000003</v>
      </c>
      <c r="M246" s="6">
        <v>57.767000000000003</v>
      </c>
      <c r="N246" s="6">
        <v>0</v>
      </c>
      <c r="O246" s="6">
        <v>0</v>
      </c>
      <c r="P246" s="6">
        <v>0</v>
      </c>
      <c r="Q246" s="4" t="s">
        <v>61</v>
      </c>
      <c r="R246" s="4">
        <v>6600</v>
      </c>
      <c r="S246" s="6">
        <v>0</v>
      </c>
      <c r="T246" s="6">
        <v>21</v>
      </c>
      <c r="U246" s="6">
        <v>0</v>
      </c>
      <c r="V246" s="6">
        <f>IF(ISERROR(VLOOKUP($S$246,'TAR FIN'!$A$1:$O$100,15,0)),0,VLOOKUP($S$246,'TAR FIN'!$A$1:$O$100,15,0))</f>
        <v>0</v>
      </c>
      <c r="W246" s="6">
        <f>IF(ISERROR(VLOOKUP($T$246,'TAR FIN'!$A$1:$O$100,15,0)),0,VLOOKUP($T$246,'TAR FIN'!$A$1:$O$100,15,0))</f>
        <v>5.76</v>
      </c>
      <c r="X246" s="6">
        <f>IF(ISERROR(VLOOKUP($U$246,'TAR FIN'!$A$1:$O$100,15,0)),0,VLOOKUP($U$246,'TAR FIN'!$A$1:$O$100,15,0))</f>
        <v>0</v>
      </c>
      <c r="Y246" s="6">
        <f ca="1">0.72*('TUSD BE'!$AM$16+'TUSD BF'!$AM$16+'TUSD CVA'!$AM$16)*1+('TUSD BE'!$AM$17+'TUSD BF'!$AM$17+'TUSD CVA'!$AM$17)*1</f>
        <v>27.67349483799768</v>
      </c>
      <c r="Z246" s="6">
        <f ca="1">('TUSD BE'!$AM$18+'TUSD BF'!$AM$18+'TUSD CVA'!$AM$18)*1</f>
        <v>6.2775353492949444</v>
      </c>
      <c r="AA246" s="6"/>
      <c r="AB246" s="6">
        <f>$K$246*$V$246</f>
        <v>0</v>
      </c>
      <c r="AC246" s="6">
        <f>$M$246*$W$246</f>
        <v>332.73792000000003</v>
      </c>
      <c r="AD246" s="6">
        <f>$O$246*$X$246</f>
        <v>0</v>
      </c>
      <c r="AE246" s="6">
        <f ca="1">$K$246*$Y$246</f>
        <v>0</v>
      </c>
      <c r="AF246" s="6">
        <f ca="1">$M$246*$Z$246</f>
        <v>362.63438452272106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39</v>
      </c>
      <c r="C247" s="4" t="s">
        <v>59</v>
      </c>
      <c r="D247" s="4" t="s">
        <v>25</v>
      </c>
      <c r="E247" s="4" t="s">
        <v>25</v>
      </c>
      <c r="F247" s="4" t="s">
        <v>25</v>
      </c>
      <c r="G247" s="4" t="s">
        <v>60</v>
      </c>
      <c r="H247" s="4" t="s">
        <v>25</v>
      </c>
      <c r="I247" s="5">
        <v>44317</v>
      </c>
      <c r="J247" s="6">
        <v>0</v>
      </c>
      <c r="K247" s="6">
        <v>0</v>
      </c>
      <c r="L247" s="6">
        <v>58.203000000000003</v>
      </c>
      <c r="M247" s="6">
        <v>58.203000000000003</v>
      </c>
      <c r="N247" s="6">
        <v>0</v>
      </c>
      <c r="O247" s="6">
        <v>0</v>
      </c>
      <c r="P247" s="6">
        <v>0</v>
      </c>
      <c r="Q247" s="4" t="s">
        <v>61</v>
      </c>
      <c r="R247" s="4">
        <v>6600</v>
      </c>
      <c r="S247" s="6">
        <v>0</v>
      </c>
      <c r="T247" s="6">
        <v>21</v>
      </c>
      <c r="U247" s="6">
        <v>0</v>
      </c>
      <c r="V247" s="6">
        <f>IF(ISERROR(VLOOKUP($S$247,'TAR FIN'!$A$1:$O$100,15,0)),0,VLOOKUP($S$247,'TAR FIN'!$A$1:$O$100,15,0))</f>
        <v>0</v>
      </c>
      <c r="W247" s="6">
        <f>IF(ISERROR(VLOOKUP($T$247,'TAR FIN'!$A$1:$O$100,15,0)),0,VLOOKUP($T$247,'TAR FIN'!$A$1:$O$100,15,0))</f>
        <v>5.76</v>
      </c>
      <c r="X247" s="6">
        <f>IF(ISERROR(VLOOKUP($U$247,'TAR FIN'!$A$1:$O$100,15,0)),0,VLOOKUP($U$247,'TAR FIN'!$A$1:$O$100,15,0))</f>
        <v>0</v>
      </c>
      <c r="Y247" s="6">
        <f ca="1">0.72*('TUSD BE'!$AM$16+'TUSD BF'!$AM$16+'TUSD CVA'!$AM$16)*1+('TUSD BE'!$AM$17+'TUSD BF'!$AM$17+'TUSD CVA'!$AM$17)*1</f>
        <v>27.67349483799768</v>
      </c>
      <c r="Z247" s="6">
        <f ca="1">('TUSD BE'!$AM$18+'TUSD BF'!$AM$18+'TUSD CVA'!$AM$18)*1</f>
        <v>6.2775353492949444</v>
      </c>
      <c r="AA247" s="6"/>
      <c r="AB247" s="6">
        <f>$K$247*$V$247</f>
        <v>0</v>
      </c>
      <c r="AC247" s="6">
        <f>$M$247*$W$247</f>
        <v>335.24928</v>
      </c>
      <c r="AD247" s="6">
        <f>$O$247*$X$247</f>
        <v>0</v>
      </c>
      <c r="AE247" s="6">
        <f ca="1">$K$247*$Y$247</f>
        <v>0</v>
      </c>
      <c r="AF247" s="6">
        <f ca="1">$M$247*$Z$247</f>
        <v>365.37138993501367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39</v>
      </c>
      <c r="C248" s="4" t="s">
        <v>59</v>
      </c>
      <c r="D248" s="4" t="s">
        <v>25</v>
      </c>
      <c r="E248" s="4" t="s">
        <v>25</v>
      </c>
      <c r="F248" s="4" t="s">
        <v>25</v>
      </c>
      <c r="G248" s="4" t="s">
        <v>60</v>
      </c>
      <c r="H248" s="4" t="s">
        <v>25</v>
      </c>
      <c r="I248" s="5">
        <v>44348</v>
      </c>
      <c r="J248" s="6">
        <v>0</v>
      </c>
      <c r="K248" s="6">
        <v>0</v>
      </c>
      <c r="L248" s="6">
        <v>55.857999999999997</v>
      </c>
      <c r="M248" s="6">
        <v>55.857999999999997</v>
      </c>
      <c r="N248" s="6">
        <v>0</v>
      </c>
      <c r="O248" s="6">
        <v>0</v>
      </c>
      <c r="P248" s="6">
        <v>0</v>
      </c>
      <c r="Q248" s="4" t="s">
        <v>61</v>
      </c>
      <c r="R248" s="4">
        <v>6600</v>
      </c>
      <c r="S248" s="6">
        <v>0</v>
      </c>
      <c r="T248" s="6">
        <v>21</v>
      </c>
      <c r="U248" s="6">
        <v>0</v>
      </c>
      <c r="V248" s="6">
        <f>IF(ISERROR(VLOOKUP($S$248,'TAR FIN'!$A$1:$O$100,15,0)),0,VLOOKUP($S$248,'TAR FIN'!$A$1:$O$100,15,0))</f>
        <v>0</v>
      </c>
      <c r="W248" s="6">
        <f>IF(ISERROR(VLOOKUP($T$248,'TAR FIN'!$A$1:$O$100,15,0)),0,VLOOKUP($T$248,'TAR FIN'!$A$1:$O$100,15,0))</f>
        <v>5.76</v>
      </c>
      <c r="X248" s="6">
        <f>IF(ISERROR(VLOOKUP($U$248,'TAR FIN'!$A$1:$O$100,15,0)),0,VLOOKUP($U$248,'TAR FIN'!$A$1:$O$100,15,0))</f>
        <v>0</v>
      </c>
      <c r="Y248" s="6">
        <f ca="1">0.72*('TUSD BE'!$AM$16+'TUSD BF'!$AM$16+'TUSD CVA'!$AM$16)*1+('TUSD BE'!$AM$17+'TUSD BF'!$AM$17+'TUSD CVA'!$AM$17)*1</f>
        <v>27.67349483799768</v>
      </c>
      <c r="Z248" s="6">
        <f ca="1">('TUSD BE'!$AM$18+'TUSD BF'!$AM$18+'TUSD CVA'!$AM$18)*1</f>
        <v>6.2775353492949444</v>
      </c>
      <c r="AA248" s="6"/>
      <c r="AB248" s="6">
        <f>$K$248*$V$248</f>
        <v>0</v>
      </c>
      <c r="AC248" s="6">
        <f>$M$248*$W$248</f>
        <v>321.74207999999999</v>
      </c>
      <c r="AD248" s="6">
        <f>$O$248*$X$248</f>
        <v>0</v>
      </c>
      <c r="AE248" s="6">
        <f ca="1">$K$248*$Y$248</f>
        <v>0</v>
      </c>
      <c r="AF248" s="6">
        <f ca="1">$M$248*$Z$248</f>
        <v>350.65056954091699</v>
      </c>
      <c r="AG248" s="6">
        <f>$O$248*$AA$248</f>
        <v>0</v>
      </c>
    </row>
    <row r="249" spans="1:33" ht="11.25" customHeight="1" x14ac:dyDescent="0.25">
      <c r="A249" s="4" t="s">
        <v>21</v>
      </c>
      <c r="B249" s="4" t="s">
        <v>39</v>
      </c>
      <c r="C249" s="4" t="s">
        <v>59</v>
      </c>
      <c r="D249" s="4" t="s">
        <v>25</v>
      </c>
      <c r="E249" s="4" t="s">
        <v>25</v>
      </c>
      <c r="F249" s="4" t="s">
        <v>25</v>
      </c>
      <c r="G249" s="4" t="s">
        <v>60</v>
      </c>
      <c r="H249" s="4" t="s">
        <v>25</v>
      </c>
      <c r="I249" s="5">
        <v>44378</v>
      </c>
      <c r="J249" s="6">
        <v>0</v>
      </c>
      <c r="K249" s="6">
        <v>0</v>
      </c>
      <c r="L249" s="6">
        <v>56.055999999999997</v>
      </c>
      <c r="M249" s="6">
        <v>56.055999999999997</v>
      </c>
      <c r="N249" s="6">
        <v>0</v>
      </c>
      <c r="O249" s="6">
        <v>0</v>
      </c>
      <c r="P249" s="6">
        <v>0</v>
      </c>
      <c r="Q249" s="4" t="s">
        <v>61</v>
      </c>
      <c r="R249" s="4">
        <v>6600</v>
      </c>
      <c r="S249" s="6">
        <v>0</v>
      </c>
      <c r="T249" s="6">
        <v>21</v>
      </c>
      <c r="U249" s="6">
        <v>0</v>
      </c>
      <c r="V249" s="6">
        <f>IF(ISERROR(VLOOKUP($S$249,'TAR FIN'!$A$1:$O$100,15,0)),0,VLOOKUP($S$249,'TAR FIN'!$A$1:$O$100,15,0))</f>
        <v>0</v>
      </c>
      <c r="W249" s="6">
        <f>IF(ISERROR(VLOOKUP($T$249,'TAR FIN'!$A$1:$O$100,15,0)),0,VLOOKUP($T$249,'TAR FIN'!$A$1:$O$100,15,0))</f>
        <v>5.76</v>
      </c>
      <c r="X249" s="6">
        <f>IF(ISERROR(VLOOKUP($U$249,'TAR FIN'!$A$1:$O$100,15,0)),0,VLOOKUP($U$249,'TAR FIN'!$A$1:$O$100,15,0))</f>
        <v>0</v>
      </c>
      <c r="Y249" s="6">
        <f ca="1">0.72*('TUSD BE'!$AM$16+'TUSD BF'!$AM$16+'TUSD CVA'!$AM$16)*1+('TUSD BE'!$AM$17+'TUSD BF'!$AM$17+'TUSD CVA'!$AM$17)*1</f>
        <v>27.67349483799768</v>
      </c>
      <c r="Z249" s="6">
        <f ca="1">('TUSD BE'!$AM$18+'TUSD BF'!$AM$18+'TUSD CVA'!$AM$18)*1</f>
        <v>6.2775353492949444</v>
      </c>
      <c r="AA249" s="6"/>
      <c r="AB249" s="6">
        <f>$K$249*$V$249</f>
        <v>0</v>
      </c>
      <c r="AC249" s="6">
        <f>$M$249*$W$249</f>
        <v>322.88255999999996</v>
      </c>
      <c r="AD249" s="6">
        <f>$O$249*$X$249</f>
        <v>0</v>
      </c>
      <c r="AE249" s="6">
        <f ca="1">$K$249*$Y$249</f>
        <v>0</v>
      </c>
      <c r="AF249" s="6">
        <f ca="1">$M$249*$Z$249</f>
        <v>351.89352154007736</v>
      </c>
      <c r="AG249" s="6">
        <f>$O$249*$AA$249</f>
        <v>0</v>
      </c>
    </row>
    <row r="250" spans="1:33" ht="11.25" customHeight="1" x14ac:dyDescent="0.25">
      <c r="A250" s="4" t="s">
        <v>21</v>
      </c>
      <c r="B250" s="4" t="s">
        <v>39</v>
      </c>
      <c r="C250" s="4" t="s">
        <v>59</v>
      </c>
      <c r="D250" s="4" t="s">
        <v>25</v>
      </c>
      <c r="E250" s="4" t="s">
        <v>25</v>
      </c>
      <c r="F250" s="4" t="s">
        <v>25</v>
      </c>
      <c r="G250" s="4" t="s">
        <v>60</v>
      </c>
      <c r="H250" s="4" t="s">
        <v>25</v>
      </c>
      <c r="I250" s="5">
        <v>44409</v>
      </c>
      <c r="J250" s="6">
        <v>0</v>
      </c>
      <c r="K250" s="6">
        <v>0</v>
      </c>
      <c r="L250" s="6">
        <v>58.896999999999998</v>
      </c>
      <c r="M250" s="6">
        <v>58.896999999999998</v>
      </c>
      <c r="N250" s="6">
        <v>0</v>
      </c>
      <c r="O250" s="6">
        <v>0</v>
      </c>
      <c r="P250" s="6">
        <v>0</v>
      </c>
      <c r="Q250" s="4" t="s">
        <v>61</v>
      </c>
      <c r="R250" s="4">
        <v>6600</v>
      </c>
      <c r="S250" s="6">
        <v>0</v>
      </c>
      <c r="T250" s="6">
        <v>21</v>
      </c>
      <c r="U250" s="6">
        <v>0</v>
      </c>
      <c r="V250" s="6">
        <f>IF(ISERROR(VLOOKUP($S$250,'TAR FIN'!$A$1:$O$100,15,0)),0,VLOOKUP($S$250,'TAR FIN'!$A$1:$O$100,15,0))</f>
        <v>0</v>
      </c>
      <c r="W250" s="6">
        <f>IF(ISERROR(VLOOKUP($T$250,'TAR FIN'!$A$1:$O$100,15,0)),0,VLOOKUP($T$250,'TAR FIN'!$A$1:$O$100,15,0))</f>
        <v>5.76</v>
      </c>
      <c r="X250" s="6">
        <f>IF(ISERROR(VLOOKUP($U$250,'TAR FIN'!$A$1:$O$100,15,0)),0,VLOOKUP($U$250,'TAR FIN'!$A$1:$O$100,15,0))</f>
        <v>0</v>
      </c>
      <c r="Y250" s="6">
        <f ca="1">0.72*('TUSD BE'!$AM$16+'TUSD BF'!$AM$16+'TUSD CVA'!$AM$16)*1+('TUSD BE'!$AM$17+'TUSD BF'!$AM$17+'TUSD CVA'!$AM$17)*1</f>
        <v>27.67349483799768</v>
      </c>
      <c r="Z250" s="6">
        <f ca="1">('TUSD BE'!$AM$18+'TUSD BF'!$AM$18+'TUSD CVA'!$AM$18)*1</f>
        <v>6.2775353492949444</v>
      </c>
      <c r="AA250" s="6"/>
      <c r="AB250" s="6">
        <f>$K$250*$V$250</f>
        <v>0</v>
      </c>
      <c r="AC250" s="6">
        <f>$M$250*$W$250</f>
        <v>339.24671999999998</v>
      </c>
      <c r="AD250" s="6">
        <f>$O$250*$X$250</f>
        <v>0</v>
      </c>
      <c r="AE250" s="6">
        <f ca="1">$K$250*$Y$250</f>
        <v>0</v>
      </c>
      <c r="AF250" s="6">
        <f ca="1">$M$250*$Z$250</f>
        <v>369.72799946742435</v>
      </c>
      <c r="AG250" s="6">
        <f>$O$250*$AA$250</f>
        <v>0</v>
      </c>
    </row>
    <row r="251" spans="1:33" ht="11.25" customHeight="1" x14ac:dyDescent="0.25">
      <c r="A251" s="4" t="s">
        <v>21</v>
      </c>
      <c r="B251" s="4" t="s">
        <v>39</v>
      </c>
      <c r="C251" s="4" t="s">
        <v>59</v>
      </c>
      <c r="D251" s="4" t="s">
        <v>25</v>
      </c>
      <c r="E251" s="4" t="s">
        <v>25</v>
      </c>
      <c r="F251" s="4" t="s">
        <v>25</v>
      </c>
      <c r="G251" s="4" t="s">
        <v>60</v>
      </c>
      <c r="H251" s="4" t="s">
        <v>25</v>
      </c>
      <c r="I251" s="5">
        <v>44440</v>
      </c>
      <c r="J251" s="6">
        <v>0</v>
      </c>
      <c r="K251" s="6">
        <v>0</v>
      </c>
      <c r="L251" s="6">
        <v>55.802</v>
      </c>
      <c r="M251" s="6">
        <v>55.802</v>
      </c>
      <c r="N251" s="6">
        <v>0</v>
      </c>
      <c r="O251" s="6">
        <v>0</v>
      </c>
      <c r="P251" s="6">
        <v>0</v>
      </c>
      <c r="Q251" s="4" t="s">
        <v>61</v>
      </c>
      <c r="R251" s="4">
        <v>6600</v>
      </c>
      <c r="S251" s="6">
        <v>0</v>
      </c>
      <c r="T251" s="6">
        <v>21</v>
      </c>
      <c r="U251" s="6">
        <v>0</v>
      </c>
      <c r="V251" s="6">
        <f>IF(ISERROR(VLOOKUP($S$251,'TAR FIN'!$A$1:$O$100,15,0)),0,VLOOKUP($S$251,'TAR FIN'!$A$1:$O$100,15,0))</f>
        <v>0</v>
      </c>
      <c r="W251" s="6">
        <f>IF(ISERROR(VLOOKUP($T$251,'TAR FIN'!$A$1:$O$100,15,0)),0,VLOOKUP($T$251,'TAR FIN'!$A$1:$O$100,15,0))</f>
        <v>5.76</v>
      </c>
      <c r="X251" s="6">
        <f>IF(ISERROR(VLOOKUP($U$251,'TAR FIN'!$A$1:$O$100,15,0)),0,VLOOKUP($U$251,'TAR FIN'!$A$1:$O$100,15,0))</f>
        <v>0</v>
      </c>
      <c r="Y251" s="6">
        <f ca="1">0.72*('TUSD BE'!$AM$16+'TUSD BF'!$AM$16+'TUSD CVA'!$AM$16)*1+('TUSD BE'!$AM$17+'TUSD BF'!$AM$17+'TUSD CVA'!$AM$17)*1</f>
        <v>27.67349483799768</v>
      </c>
      <c r="Z251" s="6">
        <f ca="1">('TUSD BE'!$AM$18+'TUSD BF'!$AM$18+'TUSD CVA'!$AM$18)*1</f>
        <v>6.2775353492949444</v>
      </c>
      <c r="AA251" s="6"/>
      <c r="AB251" s="6">
        <f>$K$251*$V$251</f>
        <v>0</v>
      </c>
      <c r="AC251" s="6">
        <f>$M$251*$W$251</f>
        <v>321.41951999999998</v>
      </c>
      <c r="AD251" s="6">
        <f>$O$251*$X$251</f>
        <v>0</v>
      </c>
      <c r="AE251" s="6">
        <f ca="1">$K$251*$Y$251</f>
        <v>0</v>
      </c>
      <c r="AF251" s="6">
        <f ca="1">$M$251*$Z$251</f>
        <v>350.29902756135647</v>
      </c>
      <c r="AG251" s="6">
        <f>$O$251*$AA$251</f>
        <v>0</v>
      </c>
    </row>
    <row r="252" spans="1:33" ht="11.25" customHeight="1" x14ac:dyDescent="0.25">
      <c r="A252" s="4" t="s">
        <v>21</v>
      </c>
      <c r="B252" s="4" t="s">
        <v>39</v>
      </c>
      <c r="C252" s="4" t="s">
        <v>59</v>
      </c>
      <c r="D252" s="4" t="s">
        <v>25</v>
      </c>
      <c r="E252" s="4" t="s">
        <v>25</v>
      </c>
      <c r="F252" s="4" t="s">
        <v>25</v>
      </c>
      <c r="G252" s="4" t="s">
        <v>60</v>
      </c>
      <c r="H252" s="4" t="s">
        <v>25</v>
      </c>
      <c r="I252" s="5">
        <v>44470</v>
      </c>
      <c r="J252" s="6">
        <v>0</v>
      </c>
      <c r="K252" s="6">
        <v>0</v>
      </c>
      <c r="L252" s="6">
        <v>58.435000000000002</v>
      </c>
      <c r="M252" s="6">
        <v>58.435000000000002</v>
      </c>
      <c r="N252" s="6">
        <v>0</v>
      </c>
      <c r="O252" s="6">
        <v>0</v>
      </c>
      <c r="P252" s="6">
        <v>0</v>
      </c>
      <c r="Q252" s="4" t="s">
        <v>61</v>
      </c>
      <c r="R252" s="4">
        <v>6600</v>
      </c>
      <c r="S252" s="6">
        <v>0</v>
      </c>
      <c r="T252" s="6">
        <v>21</v>
      </c>
      <c r="U252" s="6">
        <v>0</v>
      </c>
      <c r="V252" s="6">
        <f>IF(ISERROR(VLOOKUP($S$252,'TAR FIN'!$A$1:$O$100,15,0)),0,VLOOKUP($S$252,'TAR FIN'!$A$1:$O$100,15,0))</f>
        <v>0</v>
      </c>
      <c r="W252" s="6">
        <f>IF(ISERROR(VLOOKUP($T$252,'TAR FIN'!$A$1:$O$100,15,0)),0,VLOOKUP($T$252,'TAR FIN'!$A$1:$O$100,15,0))</f>
        <v>5.76</v>
      </c>
      <c r="X252" s="6">
        <f>IF(ISERROR(VLOOKUP($U$252,'TAR FIN'!$A$1:$O$100,15,0)),0,VLOOKUP($U$252,'TAR FIN'!$A$1:$O$100,15,0))</f>
        <v>0</v>
      </c>
      <c r="Y252" s="6">
        <f ca="1">0.72*('TUSD BE'!$AM$16+'TUSD BF'!$AM$16+'TUSD CVA'!$AM$16)*1+('TUSD BE'!$AM$17+'TUSD BF'!$AM$17+'TUSD CVA'!$AM$17)*1</f>
        <v>27.67349483799768</v>
      </c>
      <c r="Z252" s="6">
        <f ca="1">('TUSD BE'!$AM$18+'TUSD BF'!$AM$18+'TUSD CVA'!$AM$18)*1</f>
        <v>6.2775353492949444</v>
      </c>
      <c r="AA252" s="6"/>
      <c r="AB252" s="6">
        <f>$K$252*$V$252</f>
        <v>0</v>
      </c>
      <c r="AC252" s="6">
        <f>$M$252*$W$252</f>
        <v>336.5856</v>
      </c>
      <c r="AD252" s="6">
        <f>$O$252*$X$252</f>
        <v>0</v>
      </c>
      <c r="AE252" s="6">
        <f ca="1">$K$252*$Y$252</f>
        <v>0</v>
      </c>
      <c r="AF252" s="6">
        <f ca="1">$M$252*$Z$252</f>
        <v>366.82777813605009</v>
      </c>
      <c r="AG252" s="6">
        <f>$O$252*$AA$252</f>
        <v>0</v>
      </c>
    </row>
    <row r="253" spans="1:33" ht="11.25" customHeight="1" x14ac:dyDescent="0.25">
      <c r="A253" s="4" t="s">
        <v>21</v>
      </c>
      <c r="B253" s="4" t="s">
        <v>39</v>
      </c>
      <c r="C253" s="4" t="s">
        <v>59</v>
      </c>
      <c r="D253" s="4" t="s">
        <v>25</v>
      </c>
      <c r="E253" s="4" t="s">
        <v>25</v>
      </c>
      <c r="F253" s="4" t="s">
        <v>25</v>
      </c>
      <c r="G253" s="4" t="s">
        <v>60</v>
      </c>
      <c r="H253" s="4" t="s">
        <v>25</v>
      </c>
      <c r="I253" s="5">
        <v>44501</v>
      </c>
      <c r="J253" s="6">
        <v>0</v>
      </c>
      <c r="K253" s="6">
        <v>0</v>
      </c>
      <c r="L253" s="6">
        <v>63.966999999999999</v>
      </c>
      <c r="M253" s="6">
        <v>63.966999999999999</v>
      </c>
      <c r="N253" s="6">
        <v>0</v>
      </c>
      <c r="O253" s="6">
        <v>0</v>
      </c>
      <c r="P253" s="6">
        <v>0</v>
      </c>
      <c r="Q253" s="4" t="s">
        <v>61</v>
      </c>
      <c r="R253" s="4">
        <v>6600</v>
      </c>
      <c r="S253" s="6">
        <v>0</v>
      </c>
      <c r="T253" s="6">
        <v>21</v>
      </c>
      <c r="U253" s="6">
        <v>0</v>
      </c>
      <c r="V253" s="6">
        <f>IF(ISERROR(VLOOKUP($S$253,'TAR FIN'!$A$1:$O$100,15,0)),0,VLOOKUP($S$253,'TAR FIN'!$A$1:$O$100,15,0))</f>
        <v>0</v>
      </c>
      <c r="W253" s="6">
        <f>IF(ISERROR(VLOOKUP($T$253,'TAR FIN'!$A$1:$O$100,15,0)),0,VLOOKUP($T$253,'TAR FIN'!$A$1:$O$100,15,0))</f>
        <v>5.76</v>
      </c>
      <c r="X253" s="6">
        <f>IF(ISERROR(VLOOKUP($U$253,'TAR FIN'!$A$1:$O$100,15,0)),0,VLOOKUP($U$253,'TAR FIN'!$A$1:$O$100,15,0))</f>
        <v>0</v>
      </c>
      <c r="Y253" s="6">
        <f ca="1">0.72*('TUSD BE'!$AM$16+'TUSD BF'!$AM$16+'TUSD CVA'!$AM$16)*1+('TUSD BE'!$AM$17+'TUSD BF'!$AM$17+'TUSD CVA'!$AM$17)*1</f>
        <v>27.67349483799768</v>
      </c>
      <c r="Z253" s="6">
        <f ca="1">('TUSD BE'!$AM$18+'TUSD BF'!$AM$18+'TUSD CVA'!$AM$18)*1</f>
        <v>6.2775353492949444</v>
      </c>
      <c r="AA253" s="6"/>
      <c r="AB253" s="6">
        <f>$K$253*$V$253</f>
        <v>0</v>
      </c>
      <c r="AC253" s="6">
        <f>$M$253*$W$253</f>
        <v>368.44991999999996</v>
      </c>
      <c r="AD253" s="6">
        <f>$O$253*$X$253</f>
        <v>0</v>
      </c>
      <c r="AE253" s="6">
        <f ca="1">$K$253*$Y$253</f>
        <v>0</v>
      </c>
      <c r="AF253" s="6">
        <f ca="1">$M$253*$Z$253</f>
        <v>401.55510368834967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39</v>
      </c>
      <c r="C254" s="4" t="s">
        <v>59</v>
      </c>
      <c r="D254" s="4" t="s">
        <v>25</v>
      </c>
      <c r="E254" s="4" t="s">
        <v>25</v>
      </c>
      <c r="F254" s="4" t="s">
        <v>25</v>
      </c>
      <c r="G254" s="4" t="s">
        <v>60</v>
      </c>
      <c r="H254" s="4" t="s">
        <v>25</v>
      </c>
      <c r="I254" s="5">
        <v>44531</v>
      </c>
      <c r="J254" s="6">
        <v>0</v>
      </c>
      <c r="K254" s="6">
        <v>0</v>
      </c>
      <c r="L254" s="6">
        <v>72.697000000000003</v>
      </c>
      <c r="M254" s="6">
        <v>72.697000000000003</v>
      </c>
      <c r="N254" s="6">
        <v>0</v>
      </c>
      <c r="O254" s="6">
        <v>0</v>
      </c>
      <c r="P254" s="6">
        <v>0</v>
      </c>
      <c r="Q254" s="4" t="s">
        <v>61</v>
      </c>
      <c r="R254" s="4">
        <v>6600</v>
      </c>
      <c r="S254" s="6">
        <v>0</v>
      </c>
      <c r="T254" s="6">
        <v>21</v>
      </c>
      <c r="U254" s="6">
        <v>0</v>
      </c>
      <c r="V254" s="6">
        <f>IF(ISERROR(VLOOKUP($S$254,'TAR FIN'!$A$1:$O$100,15,0)),0,VLOOKUP($S$254,'TAR FIN'!$A$1:$O$100,15,0))</f>
        <v>0</v>
      </c>
      <c r="W254" s="6">
        <f>IF(ISERROR(VLOOKUP($T$254,'TAR FIN'!$A$1:$O$100,15,0)),0,VLOOKUP($T$254,'TAR FIN'!$A$1:$O$100,15,0))</f>
        <v>5.76</v>
      </c>
      <c r="X254" s="6">
        <f>IF(ISERROR(VLOOKUP($U$254,'TAR FIN'!$A$1:$O$100,15,0)),0,VLOOKUP($U$254,'TAR FIN'!$A$1:$O$100,15,0))</f>
        <v>0</v>
      </c>
      <c r="Y254" s="6">
        <f ca="1">0.72*('TUSD BE'!$AM$16+'TUSD BF'!$AM$16+'TUSD CVA'!$AM$16)*1+('TUSD BE'!$AM$17+'TUSD BF'!$AM$17+'TUSD CVA'!$AM$17)*1</f>
        <v>27.67349483799768</v>
      </c>
      <c r="Z254" s="6">
        <f ca="1">('TUSD BE'!$AM$18+'TUSD BF'!$AM$18+'TUSD CVA'!$AM$18)*1</f>
        <v>6.2775353492949444</v>
      </c>
      <c r="AA254" s="6"/>
      <c r="AB254" s="6">
        <f>$K$254*$V$254</f>
        <v>0</v>
      </c>
      <c r="AC254" s="6">
        <f>$M$254*$W$254</f>
        <v>418.73471999999998</v>
      </c>
      <c r="AD254" s="6">
        <f>$O$254*$X$254</f>
        <v>0</v>
      </c>
      <c r="AE254" s="6">
        <f ca="1">$K$254*$Y$254</f>
        <v>0</v>
      </c>
      <c r="AF254" s="6">
        <f ca="1">$M$254*$Z$254</f>
        <v>456.35798728769458</v>
      </c>
      <c r="AG254" s="6">
        <f>$O$254*$AA$254</f>
        <v>0</v>
      </c>
    </row>
    <row r="255" spans="1:33" ht="11.25" customHeight="1" x14ac:dyDescent="0.25">
      <c r="A255" s="4" t="s">
        <v>55</v>
      </c>
      <c r="B255" s="4" t="s">
        <v>39</v>
      </c>
      <c r="C255" s="4" t="s">
        <v>59</v>
      </c>
      <c r="D255" s="4" t="s">
        <v>25</v>
      </c>
      <c r="E255" s="4" t="s">
        <v>25</v>
      </c>
      <c r="F255" s="4" t="s">
        <v>25</v>
      </c>
      <c r="G255" s="4" t="s">
        <v>60</v>
      </c>
      <c r="H255" s="4" t="s">
        <v>25</v>
      </c>
      <c r="I255" s="5">
        <v>44562</v>
      </c>
      <c r="J255" s="6">
        <v>0</v>
      </c>
      <c r="K255" s="6">
        <v>0</v>
      </c>
      <c r="L255" s="6">
        <v>72.697000000000003</v>
      </c>
      <c r="M255" s="6">
        <v>72.697000000000003</v>
      </c>
      <c r="N255" s="6">
        <v>0</v>
      </c>
      <c r="O255" s="6">
        <v>0</v>
      </c>
      <c r="P255" s="6">
        <v>0</v>
      </c>
      <c r="Q255" s="4" t="s">
        <v>61</v>
      </c>
      <c r="R255" s="4">
        <v>6600</v>
      </c>
      <c r="S255" s="6">
        <v>0</v>
      </c>
      <c r="T255" s="6">
        <v>21</v>
      </c>
      <c r="U255" s="6">
        <v>0</v>
      </c>
      <c r="V255" s="6">
        <f>IF(ISERROR(VLOOKUP($S$255,'TAR FIN'!$A$1:$O$100,15,0)),0,VLOOKUP($S$255,'TAR FIN'!$A$1:$O$100,15,0))</f>
        <v>0</v>
      </c>
      <c r="W255" s="6">
        <f>IF(ISERROR(VLOOKUP($T$255,'TAR FIN'!$A$1:$O$100,15,0)),0,VLOOKUP($T$255,'TAR FIN'!$A$1:$O$100,15,0))</f>
        <v>5.76</v>
      </c>
      <c r="X255" s="6">
        <f>IF(ISERROR(VLOOKUP($U$255,'TAR FIN'!$A$1:$O$100,15,0)),0,VLOOKUP($U$255,'TAR FIN'!$A$1:$O$100,15,0))</f>
        <v>0</v>
      </c>
      <c r="Y255" s="6">
        <f ca="1">0.72*('TUSD BE'!$AM$16+'TUSD BF'!$AM$16+'TUSD CVA'!$AM$16)*1+('TUSD BE'!$AM$17+'TUSD BF'!$AM$17+'TUSD CVA'!$AM$17)*1</f>
        <v>27.67349483799768</v>
      </c>
      <c r="Z255" s="6">
        <f ca="1">('TUSD BE'!$AM$18+'TUSD BF'!$AM$18+'TUSD CVA'!$AM$18)*1</f>
        <v>6.2775353492949444</v>
      </c>
      <c r="AA255" s="6"/>
      <c r="AB255" s="6">
        <f>$K$255*$V$255</f>
        <v>0</v>
      </c>
      <c r="AC255" s="6">
        <f>$M$255*$W$255</f>
        <v>418.73471999999998</v>
      </c>
      <c r="AD255" s="6">
        <f>$O$255*$X$255</f>
        <v>0</v>
      </c>
      <c r="AE255" s="6">
        <f ca="1">$K$255*$Y$255</f>
        <v>0</v>
      </c>
      <c r="AF255" s="6">
        <f ca="1">$M$255*$Z$255</f>
        <v>456.35798728769458</v>
      </c>
      <c r="AG255" s="6">
        <f>$O$255*$AA$255</f>
        <v>0</v>
      </c>
    </row>
    <row r="256" spans="1:33" ht="11.25" customHeight="1" x14ac:dyDescent="0.25">
      <c r="A256" s="4" t="s">
        <v>21</v>
      </c>
      <c r="B256" s="4" t="s">
        <v>39</v>
      </c>
      <c r="C256" s="4" t="s">
        <v>59</v>
      </c>
      <c r="D256" s="4" t="s">
        <v>25</v>
      </c>
      <c r="E256" s="4" t="s">
        <v>25</v>
      </c>
      <c r="F256" s="4" t="s">
        <v>25</v>
      </c>
      <c r="G256" s="4" t="s">
        <v>60</v>
      </c>
      <c r="H256" s="4" t="s">
        <v>34</v>
      </c>
      <c r="I256" s="5">
        <v>44228</v>
      </c>
      <c r="J256" s="6">
        <v>150</v>
      </c>
      <c r="K256" s="6">
        <v>150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4" t="s">
        <v>61</v>
      </c>
      <c r="R256" s="4">
        <v>6600</v>
      </c>
      <c r="S256" s="6">
        <v>30</v>
      </c>
      <c r="T256" s="6">
        <v>0</v>
      </c>
      <c r="U256" s="6">
        <v>0</v>
      </c>
      <c r="V256" s="6">
        <f>IF(ISERROR(VLOOKUP($S$256,'TAR FIN'!$A$1:$O$100,15,0)),0,VLOOKUP($S$256,'TAR FIN'!$A$1:$O$100,15,0))</f>
        <v>22.39</v>
      </c>
      <c r="W256" s="6">
        <f>IF(ISERROR(VLOOKUP($T$256,'TAR FIN'!$A$1:$O$100,15,0)),0,VLOOKUP($T$256,'TAR FIN'!$A$1:$O$100,15,0))</f>
        <v>0</v>
      </c>
      <c r="X256" s="6">
        <f>IF(ISERROR(VLOOKUP($U$256,'TAR FIN'!$A$1:$O$100,15,0)),0,VLOOKUP($U$256,'TAR FIN'!$A$1:$O$100,15,0))</f>
        <v>0</v>
      </c>
      <c r="Y256" s="6">
        <f ca="1">('TUSD BE'!$AM$16+'TUSD BF'!$AM$16+'TUSD CVA'!$AM$16)*1</f>
        <v>22.272857577163947</v>
      </c>
      <c r="Z256" s="6">
        <f ca="1">('TUSD BE'!$AM$18+'TUSD BF'!$AM$18+'TUSD CVA'!$AM$18)*1</f>
        <v>6.2775353492949444</v>
      </c>
      <c r="AA256" s="6"/>
      <c r="AB256" s="6">
        <f>$K$256*$V$256</f>
        <v>3358.5</v>
      </c>
      <c r="AC256" s="6">
        <f>$M$256*$W$256</f>
        <v>0</v>
      </c>
      <c r="AD256" s="6">
        <f>$O$256*$X$256</f>
        <v>0</v>
      </c>
      <c r="AE256" s="6">
        <f ca="1">$K$256*$Y$256</f>
        <v>3340.928636574592</v>
      </c>
      <c r="AF256" s="6">
        <f ca="1">$M$256*$Z$256</f>
        <v>0</v>
      </c>
      <c r="AG256" s="6">
        <f>$O$256*$AA$256</f>
        <v>0</v>
      </c>
    </row>
    <row r="257" spans="1:33" ht="11.25" customHeight="1" x14ac:dyDescent="0.25">
      <c r="A257" s="4" t="s">
        <v>21</v>
      </c>
      <c r="B257" s="4" t="s">
        <v>39</v>
      </c>
      <c r="C257" s="4" t="s">
        <v>59</v>
      </c>
      <c r="D257" s="4" t="s">
        <v>25</v>
      </c>
      <c r="E257" s="4" t="s">
        <v>25</v>
      </c>
      <c r="F257" s="4" t="s">
        <v>25</v>
      </c>
      <c r="G257" s="4" t="s">
        <v>60</v>
      </c>
      <c r="H257" s="4" t="s">
        <v>34</v>
      </c>
      <c r="I257" s="5">
        <v>44256</v>
      </c>
      <c r="J257" s="6">
        <v>150</v>
      </c>
      <c r="K257" s="6">
        <v>150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4" t="s">
        <v>61</v>
      </c>
      <c r="R257" s="4">
        <v>6600</v>
      </c>
      <c r="S257" s="6">
        <v>30</v>
      </c>
      <c r="T257" s="6">
        <v>0</v>
      </c>
      <c r="U257" s="6">
        <v>0</v>
      </c>
      <c r="V257" s="6">
        <f>IF(ISERROR(VLOOKUP($S$257,'TAR FIN'!$A$1:$O$100,15,0)),0,VLOOKUP($S$257,'TAR FIN'!$A$1:$O$100,15,0))</f>
        <v>22.39</v>
      </c>
      <c r="W257" s="6">
        <f>IF(ISERROR(VLOOKUP($T$257,'TAR FIN'!$A$1:$O$100,15,0)),0,VLOOKUP($T$257,'TAR FIN'!$A$1:$O$100,15,0))</f>
        <v>0</v>
      </c>
      <c r="X257" s="6">
        <f>IF(ISERROR(VLOOKUP($U$257,'TAR FIN'!$A$1:$O$100,15,0)),0,VLOOKUP($U$257,'TAR FIN'!$A$1:$O$100,15,0))</f>
        <v>0</v>
      </c>
      <c r="Y257" s="6">
        <f ca="1">('TUSD BE'!$AM$16+'TUSD BF'!$AM$16+'TUSD CVA'!$AM$16)*1</f>
        <v>22.272857577163947</v>
      </c>
      <c r="Z257" s="6">
        <f ca="1">('TUSD BE'!$AM$18+'TUSD BF'!$AM$18+'TUSD CVA'!$AM$18)*1</f>
        <v>6.2775353492949444</v>
      </c>
      <c r="AA257" s="6"/>
      <c r="AB257" s="6">
        <f>$K$257*$V$257</f>
        <v>3358.5</v>
      </c>
      <c r="AC257" s="6">
        <f>$M$257*$W$257</f>
        <v>0</v>
      </c>
      <c r="AD257" s="6">
        <f>$O$257*$X$257</f>
        <v>0</v>
      </c>
      <c r="AE257" s="6">
        <f ca="1">$K$257*$Y$257</f>
        <v>3340.928636574592</v>
      </c>
      <c r="AF257" s="6">
        <f ca="1">$M$257*$Z$257</f>
        <v>0</v>
      </c>
      <c r="AG257" s="6">
        <f>$O$257*$AA$257</f>
        <v>0</v>
      </c>
    </row>
    <row r="258" spans="1:33" ht="11.25" customHeight="1" x14ac:dyDescent="0.25">
      <c r="A258" s="4" t="s">
        <v>21</v>
      </c>
      <c r="B258" s="4" t="s">
        <v>39</v>
      </c>
      <c r="C258" s="4" t="s">
        <v>59</v>
      </c>
      <c r="D258" s="4" t="s">
        <v>25</v>
      </c>
      <c r="E258" s="4" t="s">
        <v>25</v>
      </c>
      <c r="F258" s="4" t="s">
        <v>25</v>
      </c>
      <c r="G258" s="4" t="s">
        <v>60</v>
      </c>
      <c r="H258" s="4" t="s">
        <v>34</v>
      </c>
      <c r="I258" s="5">
        <v>44287</v>
      </c>
      <c r="J258" s="6">
        <v>150</v>
      </c>
      <c r="K258" s="6">
        <v>150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4" t="s">
        <v>61</v>
      </c>
      <c r="R258" s="4">
        <v>6600</v>
      </c>
      <c r="S258" s="6">
        <v>30</v>
      </c>
      <c r="T258" s="6">
        <v>0</v>
      </c>
      <c r="U258" s="6">
        <v>0</v>
      </c>
      <c r="V258" s="6">
        <f>IF(ISERROR(VLOOKUP($S$258,'TAR FIN'!$A$1:$O$100,15,0)),0,VLOOKUP($S$258,'TAR FIN'!$A$1:$O$100,15,0))</f>
        <v>22.39</v>
      </c>
      <c r="W258" s="6">
        <f>IF(ISERROR(VLOOKUP($T$258,'TAR FIN'!$A$1:$O$100,15,0)),0,VLOOKUP($T$258,'TAR FIN'!$A$1:$O$100,15,0))</f>
        <v>0</v>
      </c>
      <c r="X258" s="6">
        <f>IF(ISERROR(VLOOKUP($U$258,'TAR FIN'!$A$1:$O$100,15,0)),0,VLOOKUP($U$258,'TAR FIN'!$A$1:$O$100,15,0))</f>
        <v>0</v>
      </c>
      <c r="Y258" s="6">
        <f ca="1">('TUSD BE'!$AM$16+'TUSD BF'!$AM$16+'TUSD CVA'!$AM$16)*1</f>
        <v>22.272857577163947</v>
      </c>
      <c r="Z258" s="6">
        <f ca="1">('TUSD BE'!$AM$18+'TUSD BF'!$AM$18+'TUSD CVA'!$AM$18)*1</f>
        <v>6.2775353492949444</v>
      </c>
      <c r="AA258" s="6"/>
      <c r="AB258" s="6">
        <f>$K$258*$V$258</f>
        <v>3358.5</v>
      </c>
      <c r="AC258" s="6">
        <f>$M$258*$W$258</f>
        <v>0</v>
      </c>
      <c r="AD258" s="6">
        <f>$O$258*$X$258</f>
        <v>0</v>
      </c>
      <c r="AE258" s="6">
        <f ca="1">$K$258*$Y$258</f>
        <v>3340.928636574592</v>
      </c>
      <c r="AF258" s="6">
        <f ca="1">$M$258*$Z$258</f>
        <v>0</v>
      </c>
      <c r="AG258" s="6">
        <f>$O$258*$AA$258</f>
        <v>0</v>
      </c>
    </row>
    <row r="259" spans="1:33" ht="11.25" customHeight="1" x14ac:dyDescent="0.25">
      <c r="A259" s="4" t="s">
        <v>21</v>
      </c>
      <c r="B259" s="4" t="s">
        <v>39</v>
      </c>
      <c r="C259" s="4" t="s">
        <v>59</v>
      </c>
      <c r="D259" s="4" t="s">
        <v>25</v>
      </c>
      <c r="E259" s="4" t="s">
        <v>25</v>
      </c>
      <c r="F259" s="4" t="s">
        <v>25</v>
      </c>
      <c r="G259" s="4" t="s">
        <v>60</v>
      </c>
      <c r="H259" s="4" t="s">
        <v>34</v>
      </c>
      <c r="I259" s="5">
        <v>44317</v>
      </c>
      <c r="J259" s="6">
        <v>150</v>
      </c>
      <c r="K259" s="6">
        <v>150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4" t="s">
        <v>61</v>
      </c>
      <c r="R259" s="4">
        <v>6600</v>
      </c>
      <c r="S259" s="6">
        <v>30</v>
      </c>
      <c r="T259" s="6">
        <v>0</v>
      </c>
      <c r="U259" s="6">
        <v>0</v>
      </c>
      <c r="V259" s="6">
        <f>IF(ISERROR(VLOOKUP($S$259,'TAR FIN'!$A$1:$O$100,15,0)),0,VLOOKUP($S$259,'TAR FIN'!$A$1:$O$100,15,0))</f>
        <v>22.39</v>
      </c>
      <c r="W259" s="6">
        <f>IF(ISERROR(VLOOKUP($T$259,'TAR FIN'!$A$1:$O$100,15,0)),0,VLOOKUP($T$259,'TAR FIN'!$A$1:$O$100,15,0))</f>
        <v>0</v>
      </c>
      <c r="X259" s="6">
        <f>IF(ISERROR(VLOOKUP($U$259,'TAR FIN'!$A$1:$O$100,15,0)),0,VLOOKUP($U$259,'TAR FIN'!$A$1:$O$100,15,0))</f>
        <v>0</v>
      </c>
      <c r="Y259" s="6">
        <f ca="1">('TUSD BE'!$AM$16+'TUSD BF'!$AM$16+'TUSD CVA'!$AM$16)*1</f>
        <v>22.272857577163947</v>
      </c>
      <c r="Z259" s="6">
        <f ca="1">('TUSD BE'!$AM$18+'TUSD BF'!$AM$18+'TUSD CVA'!$AM$18)*1</f>
        <v>6.2775353492949444</v>
      </c>
      <c r="AA259" s="6"/>
      <c r="AB259" s="6">
        <f>$K$259*$V$259</f>
        <v>3358.5</v>
      </c>
      <c r="AC259" s="6">
        <f>$M$259*$W$259</f>
        <v>0</v>
      </c>
      <c r="AD259" s="6">
        <f>$O$259*$X$259</f>
        <v>0</v>
      </c>
      <c r="AE259" s="6">
        <f ca="1">$K$259*$Y$259</f>
        <v>3340.928636574592</v>
      </c>
      <c r="AF259" s="6">
        <f ca="1">$M$259*$Z$259</f>
        <v>0</v>
      </c>
      <c r="AG259" s="6">
        <f>$O$259*$AA$259</f>
        <v>0</v>
      </c>
    </row>
    <row r="260" spans="1:33" ht="11.25" customHeight="1" x14ac:dyDescent="0.25">
      <c r="A260" s="4" t="s">
        <v>21</v>
      </c>
      <c r="B260" s="4" t="s">
        <v>39</v>
      </c>
      <c r="C260" s="4" t="s">
        <v>59</v>
      </c>
      <c r="D260" s="4" t="s">
        <v>25</v>
      </c>
      <c r="E260" s="4" t="s">
        <v>25</v>
      </c>
      <c r="F260" s="4" t="s">
        <v>25</v>
      </c>
      <c r="G260" s="4" t="s">
        <v>60</v>
      </c>
      <c r="H260" s="4" t="s">
        <v>34</v>
      </c>
      <c r="I260" s="5">
        <v>44348</v>
      </c>
      <c r="J260" s="6">
        <v>150</v>
      </c>
      <c r="K260" s="6">
        <v>150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4" t="s">
        <v>61</v>
      </c>
      <c r="R260" s="4">
        <v>6600</v>
      </c>
      <c r="S260" s="6">
        <v>30</v>
      </c>
      <c r="T260" s="6">
        <v>0</v>
      </c>
      <c r="U260" s="6">
        <v>0</v>
      </c>
      <c r="V260" s="6">
        <f>IF(ISERROR(VLOOKUP($S$260,'TAR FIN'!$A$1:$O$100,15,0)),0,VLOOKUP($S$260,'TAR FIN'!$A$1:$O$100,15,0))</f>
        <v>22.39</v>
      </c>
      <c r="W260" s="6">
        <f>IF(ISERROR(VLOOKUP($T$260,'TAR FIN'!$A$1:$O$100,15,0)),0,VLOOKUP($T$260,'TAR FIN'!$A$1:$O$100,15,0))</f>
        <v>0</v>
      </c>
      <c r="X260" s="6">
        <f>IF(ISERROR(VLOOKUP($U$260,'TAR FIN'!$A$1:$O$100,15,0)),0,VLOOKUP($U$260,'TAR FIN'!$A$1:$O$100,15,0))</f>
        <v>0</v>
      </c>
      <c r="Y260" s="6">
        <f ca="1">('TUSD BE'!$AM$16+'TUSD BF'!$AM$16+'TUSD CVA'!$AM$16)*1</f>
        <v>22.272857577163947</v>
      </c>
      <c r="Z260" s="6">
        <f ca="1">('TUSD BE'!$AM$18+'TUSD BF'!$AM$18+'TUSD CVA'!$AM$18)*1</f>
        <v>6.2775353492949444</v>
      </c>
      <c r="AA260" s="6"/>
      <c r="AB260" s="6">
        <f>$K$260*$V$260</f>
        <v>3358.5</v>
      </c>
      <c r="AC260" s="6">
        <f>$M$260*$W$260</f>
        <v>0</v>
      </c>
      <c r="AD260" s="6">
        <f>$O$260*$X$260</f>
        <v>0</v>
      </c>
      <c r="AE260" s="6">
        <f ca="1">$K$260*$Y$260</f>
        <v>3340.928636574592</v>
      </c>
      <c r="AF260" s="6">
        <f ca="1">$M$260*$Z$260</f>
        <v>0</v>
      </c>
      <c r="AG260" s="6">
        <f>$O$260*$AA$260</f>
        <v>0</v>
      </c>
    </row>
    <row r="261" spans="1:33" ht="11.25" customHeight="1" x14ac:dyDescent="0.25">
      <c r="A261" s="4" t="s">
        <v>21</v>
      </c>
      <c r="B261" s="4" t="s">
        <v>39</v>
      </c>
      <c r="C261" s="4" t="s">
        <v>59</v>
      </c>
      <c r="D261" s="4" t="s">
        <v>25</v>
      </c>
      <c r="E261" s="4" t="s">
        <v>25</v>
      </c>
      <c r="F261" s="4" t="s">
        <v>25</v>
      </c>
      <c r="G261" s="4" t="s">
        <v>60</v>
      </c>
      <c r="H261" s="4" t="s">
        <v>34</v>
      </c>
      <c r="I261" s="5">
        <v>44378</v>
      </c>
      <c r="J261" s="6">
        <v>150</v>
      </c>
      <c r="K261" s="6">
        <v>150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4" t="s">
        <v>61</v>
      </c>
      <c r="R261" s="4">
        <v>6600</v>
      </c>
      <c r="S261" s="6">
        <v>30</v>
      </c>
      <c r="T261" s="6">
        <v>0</v>
      </c>
      <c r="U261" s="6">
        <v>0</v>
      </c>
      <c r="V261" s="6">
        <f>IF(ISERROR(VLOOKUP($S$261,'TAR FIN'!$A$1:$O$100,15,0)),0,VLOOKUP($S$261,'TAR FIN'!$A$1:$O$100,15,0))</f>
        <v>22.39</v>
      </c>
      <c r="W261" s="6">
        <f>IF(ISERROR(VLOOKUP($T$261,'TAR FIN'!$A$1:$O$100,15,0)),0,VLOOKUP($T$261,'TAR FIN'!$A$1:$O$100,15,0))</f>
        <v>0</v>
      </c>
      <c r="X261" s="6">
        <f>IF(ISERROR(VLOOKUP($U$261,'TAR FIN'!$A$1:$O$100,15,0)),0,VLOOKUP($U$261,'TAR FIN'!$A$1:$O$100,15,0))</f>
        <v>0</v>
      </c>
      <c r="Y261" s="6">
        <f ca="1">('TUSD BE'!$AM$16+'TUSD BF'!$AM$16+'TUSD CVA'!$AM$16)*1</f>
        <v>22.272857577163947</v>
      </c>
      <c r="Z261" s="6">
        <f ca="1">('TUSD BE'!$AM$18+'TUSD BF'!$AM$18+'TUSD CVA'!$AM$18)*1</f>
        <v>6.2775353492949444</v>
      </c>
      <c r="AA261" s="6"/>
      <c r="AB261" s="6">
        <f>$K$261*$V$261</f>
        <v>3358.5</v>
      </c>
      <c r="AC261" s="6">
        <f>$M$261*$W$261</f>
        <v>0</v>
      </c>
      <c r="AD261" s="6">
        <f>$O$261*$X$261</f>
        <v>0</v>
      </c>
      <c r="AE261" s="6">
        <f ca="1">$K$261*$Y$261</f>
        <v>3340.928636574592</v>
      </c>
      <c r="AF261" s="6">
        <f ca="1">$M$261*$Z$261</f>
        <v>0</v>
      </c>
      <c r="AG261" s="6">
        <f>$O$261*$AA$261</f>
        <v>0</v>
      </c>
    </row>
    <row r="262" spans="1:33" ht="11.25" customHeight="1" x14ac:dyDescent="0.25">
      <c r="A262" s="4" t="s">
        <v>21</v>
      </c>
      <c r="B262" s="4" t="s">
        <v>39</v>
      </c>
      <c r="C262" s="4" t="s">
        <v>59</v>
      </c>
      <c r="D262" s="4" t="s">
        <v>25</v>
      </c>
      <c r="E262" s="4" t="s">
        <v>25</v>
      </c>
      <c r="F262" s="4" t="s">
        <v>25</v>
      </c>
      <c r="G262" s="4" t="s">
        <v>60</v>
      </c>
      <c r="H262" s="4" t="s">
        <v>34</v>
      </c>
      <c r="I262" s="5">
        <v>44409</v>
      </c>
      <c r="J262" s="6">
        <v>150</v>
      </c>
      <c r="K262" s="6">
        <v>150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4" t="s">
        <v>61</v>
      </c>
      <c r="R262" s="4">
        <v>6600</v>
      </c>
      <c r="S262" s="6">
        <v>30</v>
      </c>
      <c r="T262" s="6">
        <v>0</v>
      </c>
      <c r="U262" s="6">
        <v>0</v>
      </c>
      <c r="V262" s="6">
        <f>IF(ISERROR(VLOOKUP($S$262,'TAR FIN'!$A$1:$O$100,15,0)),0,VLOOKUP($S$262,'TAR FIN'!$A$1:$O$100,15,0))</f>
        <v>22.39</v>
      </c>
      <c r="W262" s="6">
        <f>IF(ISERROR(VLOOKUP($T$262,'TAR FIN'!$A$1:$O$100,15,0)),0,VLOOKUP($T$262,'TAR FIN'!$A$1:$O$100,15,0))</f>
        <v>0</v>
      </c>
      <c r="X262" s="6">
        <f>IF(ISERROR(VLOOKUP($U$262,'TAR FIN'!$A$1:$O$100,15,0)),0,VLOOKUP($U$262,'TAR FIN'!$A$1:$O$100,15,0))</f>
        <v>0</v>
      </c>
      <c r="Y262" s="6">
        <f ca="1">('TUSD BE'!$AM$16+'TUSD BF'!$AM$16+'TUSD CVA'!$AM$16)*1</f>
        <v>22.272857577163947</v>
      </c>
      <c r="Z262" s="6">
        <f ca="1">('TUSD BE'!$AM$18+'TUSD BF'!$AM$18+'TUSD CVA'!$AM$18)*1</f>
        <v>6.2775353492949444</v>
      </c>
      <c r="AA262" s="6"/>
      <c r="AB262" s="6">
        <f>$K$262*$V$262</f>
        <v>3358.5</v>
      </c>
      <c r="AC262" s="6">
        <f>$M$262*$W$262</f>
        <v>0</v>
      </c>
      <c r="AD262" s="6">
        <f>$O$262*$X$262</f>
        <v>0</v>
      </c>
      <c r="AE262" s="6">
        <f ca="1">$K$262*$Y$262</f>
        <v>3340.928636574592</v>
      </c>
      <c r="AF262" s="6">
        <f ca="1">$M$262*$Z$262</f>
        <v>0</v>
      </c>
      <c r="AG262" s="6">
        <f>$O$262*$AA$262</f>
        <v>0</v>
      </c>
    </row>
    <row r="263" spans="1:33" ht="11.25" customHeight="1" x14ac:dyDescent="0.25">
      <c r="A263" s="4" t="s">
        <v>21</v>
      </c>
      <c r="B263" s="4" t="s">
        <v>39</v>
      </c>
      <c r="C263" s="4" t="s">
        <v>59</v>
      </c>
      <c r="D263" s="4" t="s">
        <v>25</v>
      </c>
      <c r="E263" s="4" t="s">
        <v>25</v>
      </c>
      <c r="F263" s="4" t="s">
        <v>25</v>
      </c>
      <c r="G263" s="4" t="s">
        <v>60</v>
      </c>
      <c r="H263" s="4" t="s">
        <v>34</v>
      </c>
      <c r="I263" s="5">
        <v>44440</v>
      </c>
      <c r="J263" s="6">
        <v>150</v>
      </c>
      <c r="K263" s="6">
        <v>150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4" t="s">
        <v>61</v>
      </c>
      <c r="R263" s="4">
        <v>6600</v>
      </c>
      <c r="S263" s="6">
        <v>30</v>
      </c>
      <c r="T263" s="6">
        <v>0</v>
      </c>
      <c r="U263" s="6">
        <v>0</v>
      </c>
      <c r="V263" s="6">
        <f>IF(ISERROR(VLOOKUP($S$263,'TAR FIN'!$A$1:$O$100,15,0)),0,VLOOKUP($S$263,'TAR FIN'!$A$1:$O$100,15,0))</f>
        <v>22.39</v>
      </c>
      <c r="W263" s="6">
        <f>IF(ISERROR(VLOOKUP($T$263,'TAR FIN'!$A$1:$O$100,15,0)),0,VLOOKUP($T$263,'TAR FIN'!$A$1:$O$100,15,0))</f>
        <v>0</v>
      </c>
      <c r="X263" s="6">
        <f>IF(ISERROR(VLOOKUP($U$263,'TAR FIN'!$A$1:$O$100,15,0)),0,VLOOKUP($U$263,'TAR FIN'!$A$1:$O$100,15,0))</f>
        <v>0</v>
      </c>
      <c r="Y263" s="6">
        <f ca="1">('TUSD BE'!$AM$16+'TUSD BF'!$AM$16+'TUSD CVA'!$AM$16)*1</f>
        <v>22.272857577163947</v>
      </c>
      <c r="Z263" s="6">
        <f ca="1">('TUSD BE'!$AM$18+'TUSD BF'!$AM$18+'TUSD CVA'!$AM$18)*1</f>
        <v>6.2775353492949444</v>
      </c>
      <c r="AA263" s="6"/>
      <c r="AB263" s="6">
        <f>$K$263*$V$263</f>
        <v>3358.5</v>
      </c>
      <c r="AC263" s="6">
        <f>$M$263*$W$263</f>
        <v>0</v>
      </c>
      <c r="AD263" s="6">
        <f>$O$263*$X$263</f>
        <v>0</v>
      </c>
      <c r="AE263" s="6">
        <f ca="1">$K$263*$Y$263</f>
        <v>3340.928636574592</v>
      </c>
      <c r="AF263" s="6">
        <f ca="1">$M$263*$Z$263</f>
        <v>0</v>
      </c>
      <c r="AG263" s="6">
        <f>$O$263*$AA$263</f>
        <v>0</v>
      </c>
    </row>
    <row r="264" spans="1:33" ht="11.25" customHeight="1" x14ac:dyDescent="0.25">
      <c r="A264" s="4" t="s">
        <v>21</v>
      </c>
      <c r="B264" s="4" t="s">
        <v>39</v>
      </c>
      <c r="C264" s="4" t="s">
        <v>59</v>
      </c>
      <c r="D264" s="4" t="s">
        <v>25</v>
      </c>
      <c r="E264" s="4" t="s">
        <v>25</v>
      </c>
      <c r="F264" s="4" t="s">
        <v>25</v>
      </c>
      <c r="G264" s="4" t="s">
        <v>60</v>
      </c>
      <c r="H264" s="4" t="s">
        <v>34</v>
      </c>
      <c r="I264" s="5">
        <v>44470</v>
      </c>
      <c r="J264" s="6">
        <v>150</v>
      </c>
      <c r="K264" s="6">
        <v>150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4" t="s">
        <v>61</v>
      </c>
      <c r="R264" s="4">
        <v>6600</v>
      </c>
      <c r="S264" s="6">
        <v>30</v>
      </c>
      <c r="T264" s="6">
        <v>0</v>
      </c>
      <c r="U264" s="6">
        <v>0</v>
      </c>
      <c r="V264" s="6">
        <f>IF(ISERROR(VLOOKUP($S$264,'TAR FIN'!$A$1:$O$100,15,0)),0,VLOOKUP($S$264,'TAR FIN'!$A$1:$O$100,15,0))</f>
        <v>22.39</v>
      </c>
      <c r="W264" s="6">
        <f>IF(ISERROR(VLOOKUP($T$264,'TAR FIN'!$A$1:$O$100,15,0)),0,VLOOKUP($T$264,'TAR FIN'!$A$1:$O$100,15,0))</f>
        <v>0</v>
      </c>
      <c r="X264" s="6">
        <f>IF(ISERROR(VLOOKUP($U$264,'TAR FIN'!$A$1:$O$100,15,0)),0,VLOOKUP($U$264,'TAR FIN'!$A$1:$O$100,15,0))</f>
        <v>0</v>
      </c>
      <c r="Y264" s="6">
        <f ca="1">('TUSD BE'!$AM$16+'TUSD BF'!$AM$16+'TUSD CVA'!$AM$16)*1</f>
        <v>22.272857577163947</v>
      </c>
      <c r="Z264" s="6">
        <f ca="1">('TUSD BE'!$AM$18+'TUSD BF'!$AM$18+'TUSD CVA'!$AM$18)*1</f>
        <v>6.2775353492949444</v>
      </c>
      <c r="AA264" s="6"/>
      <c r="AB264" s="6">
        <f>$K$264*$V$264</f>
        <v>3358.5</v>
      </c>
      <c r="AC264" s="6">
        <f>$M$264*$W$264</f>
        <v>0</v>
      </c>
      <c r="AD264" s="6">
        <f>$O$264*$X$264</f>
        <v>0</v>
      </c>
      <c r="AE264" s="6">
        <f ca="1">$K$264*$Y$264</f>
        <v>3340.928636574592</v>
      </c>
      <c r="AF264" s="6">
        <f ca="1">$M$264*$Z$264</f>
        <v>0</v>
      </c>
      <c r="AG264" s="6">
        <f>$O$264*$AA$264</f>
        <v>0</v>
      </c>
    </row>
    <row r="265" spans="1:33" ht="11.25" customHeight="1" x14ac:dyDescent="0.25">
      <c r="A265" s="4" t="s">
        <v>21</v>
      </c>
      <c r="B265" s="4" t="s">
        <v>39</v>
      </c>
      <c r="C265" s="4" t="s">
        <v>59</v>
      </c>
      <c r="D265" s="4" t="s">
        <v>25</v>
      </c>
      <c r="E265" s="4" t="s">
        <v>25</v>
      </c>
      <c r="F265" s="4" t="s">
        <v>25</v>
      </c>
      <c r="G265" s="4" t="s">
        <v>60</v>
      </c>
      <c r="H265" s="4" t="s">
        <v>34</v>
      </c>
      <c r="I265" s="5">
        <v>44501</v>
      </c>
      <c r="J265" s="6">
        <v>150</v>
      </c>
      <c r="K265" s="6">
        <v>150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4" t="s">
        <v>61</v>
      </c>
      <c r="R265" s="4">
        <v>6600</v>
      </c>
      <c r="S265" s="6">
        <v>30</v>
      </c>
      <c r="T265" s="6">
        <v>0</v>
      </c>
      <c r="U265" s="6">
        <v>0</v>
      </c>
      <c r="V265" s="6">
        <f>IF(ISERROR(VLOOKUP($S$265,'TAR FIN'!$A$1:$O$100,15,0)),0,VLOOKUP($S$265,'TAR FIN'!$A$1:$O$100,15,0))</f>
        <v>22.39</v>
      </c>
      <c r="W265" s="6">
        <f>IF(ISERROR(VLOOKUP($T$265,'TAR FIN'!$A$1:$O$100,15,0)),0,VLOOKUP($T$265,'TAR FIN'!$A$1:$O$100,15,0))</f>
        <v>0</v>
      </c>
      <c r="X265" s="6">
        <f>IF(ISERROR(VLOOKUP($U$265,'TAR FIN'!$A$1:$O$100,15,0)),0,VLOOKUP($U$265,'TAR FIN'!$A$1:$O$100,15,0))</f>
        <v>0</v>
      </c>
      <c r="Y265" s="6">
        <f ca="1">('TUSD BE'!$AM$16+'TUSD BF'!$AM$16+'TUSD CVA'!$AM$16)*1</f>
        <v>22.272857577163947</v>
      </c>
      <c r="Z265" s="6">
        <f ca="1">('TUSD BE'!$AM$18+'TUSD BF'!$AM$18+'TUSD CVA'!$AM$18)*1</f>
        <v>6.2775353492949444</v>
      </c>
      <c r="AA265" s="6"/>
      <c r="AB265" s="6">
        <f>$K$265*$V$265</f>
        <v>3358.5</v>
      </c>
      <c r="AC265" s="6">
        <f>$M$265*$W$265</f>
        <v>0</v>
      </c>
      <c r="AD265" s="6">
        <f>$O$265*$X$265</f>
        <v>0</v>
      </c>
      <c r="AE265" s="6">
        <f ca="1">$K$265*$Y$265</f>
        <v>3340.928636574592</v>
      </c>
      <c r="AF265" s="6">
        <f ca="1">$M$265*$Z$265</f>
        <v>0</v>
      </c>
      <c r="AG265" s="6">
        <f>$O$265*$AA$265</f>
        <v>0</v>
      </c>
    </row>
    <row r="266" spans="1:33" ht="11.25" customHeight="1" x14ac:dyDescent="0.25">
      <c r="A266" s="4" t="s">
        <v>21</v>
      </c>
      <c r="B266" s="4" t="s">
        <v>39</v>
      </c>
      <c r="C266" s="4" t="s">
        <v>59</v>
      </c>
      <c r="D266" s="4" t="s">
        <v>25</v>
      </c>
      <c r="E266" s="4" t="s">
        <v>25</v>
      </c>
      <c r="F266" s="4" t="s">
        <v>25</v>
      </c>
      <c r="G266" s="4" t="s">
        <v>60</v>
      </c>
      <c r="H266" s="4" t="s">
        <v>34</v>
      </c>
      <c r="I266" s="5">
        <v>44531</v>
      </c>
      <c r="J266" s="6">
        <v>152</v>
      </c>
      <c r="K266" s="6">
        <v>152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4" t="s">
        <v>61</v>
      </c>
      <c r="R266" s="4">
        <v>6600</v>
      </c>
      <c r="S266" s="6">
        <v>30</v>
      </c>
      <c r="T266" s="6">
        <v>0</v>
      </c>
      <c r="U266" s="6">
        <v>0</v>
      </c>
      <c r="V266" s="6">
        <f>IF(ISERROR(VLOOKUP($S$266,'TAR FIN'!$A$1:$O$100,15,0)),0,VLOOKUP($S$266,'TAR FIN'!$A$1:$O$100,15,0))</f>
        <v>22.39</v>
      </c>
      <c r="W266" s="6">
        <f>IF(ISERROR(VLOOKUP($T$266,'TAR FIN'!$A$1:$O$100,15,0)),0,VLOOKUP($T$266,'TAR FIN'!$A$1:$O$100,15,0))</f>
        <v>0</v>
      </c>
      <c r="X266" s="6">
        <f>IF(ISERROR(VLOOKUP($U$266,'TAR FIN'!$A$1:$O$100,15,0)),0,VLOOKUP($U$266,'TAR FIN'!$A$1:$O$100,15,0))</f>
        <v>0</v>
      </c>
      <c r="Y266" s="6">
        <f ca="1">('TUSD BE'!$AM$16+'TUSD BF'!$AM$16+'TUSD CVA'!$AM$16)*1</f>
        <v>22.272857577163947</v>
      </c>
      <c r="Z266" s="6">
        <f ca="1">('TUSD BE'!$AM$18+'TUSD BF'!$AM$18+'TUSD CVA'!$AM$18)*1</f>
        <v>6.2775353492949444</v>
      </c>
      <c r="AA266" s="6"/>
      <c r="AB266" s="6">
        <f>$K$266*$V$266</f>
        <v>3403.28</v>
      </c>
      <c r="AC266" s="6">
        <f>$M$266*$W$266</f>
        <v>0</v>
      </c>
      <c r="AD266" s="6">
        <f>$O$266*$X$266</f>
        <v>0</v>
      </c>
      <c r="AE266" s="6">
        <f ca="1">$K$266*$Y$266</f>
        <v>3385.4743517289198</v>
      </c>
      <c r="AF266" s="6">
        <f ca="1">$M$266*$Z$266</f>
        <v>0</v>
      </c>
      <c r="AG266" s="6">
        <f>$O$266*$AA$266</f>
        <v>0</v>
      </c>
    </row>
    <row r="267" spans="1:33" ht="11.25" customHeight="1" x14ac:dyDescent="0.25">
      <c r="A267" s="4" t="s">
        <v>55</v>
      </c>
      <c r="B267" s="4" t="s">
        <v>39</v>
      </c>
      <c r="C267" s="4" t="s">
        <v>59</v>
      </c>
      <c r="D267" s="4" t="s">
        <v>25</v>
      </c>
      <c r="E267" s="4" t="s">
        <v>25</v>
      </c>
      <c r="F267" s="4" t="s">
        <v>25</v>
      </c>
      <c r="G267" s="4" t="s">
        <v>60</v>
      </c>
      <c r="H267" s="4" t="s">
        <v>34</v>
      </c>
      <c r="I267" s="5">
        <v>44562</v>
      </c>
      <c r="J267" s="6">
        <v>152</v>
      </c>
      <c r="K267" s="6">
        <v>152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4" t="s">
        <v>61</v>
      </c>
      <c r="R267" s="4">
        <v>6600</v>
      </c>
      <c r="S267" s="6">
        <v>30</v>
      </c>
      <c r="T267" s="6">
        <v>0</v>
      </c>
      <c r="U267" s="6">
        <v>0</v>
      </c>
      <c r="V267" s="6">
        <f>IF(ISERROR(VLOOKUP($S$267,'TAR FIN'!$A$1:$O$100,15,0)),0,VLOOKUP($S$267,'TAR FIN'!$A$1:$O$100,15,0))</f>
        <v>22.39</v>
      </c>
      <c r="W267" s="6">
        <f>IF(ISERROR(VLOOKUP($T$267,'TAR FIN'!$A$1:$O$100,15,0)),0,VLOOKUP($T$267,'TAR FIN'!$A$1:$O$100,15,0))</f>
        <v>0</v>
      </c>
      <c r="X267" s="6">
        <f>IF(ISERROR(VLOOKUP($U$267,'TAR FIN'!$A$1:$O$100,15,0)),0,VLOOKUP($U$267,'TAR FIN'!$A$1:$O$100,15,0))</f>
        <v>0</v>
      </c>
      <c r="Y267" s="6">
        <f ca="1">('TUSD BE'!$AM$16+'TUSD BF'!$AM$16+'TUSD CVA'!$AM$16)*1</f>
        <v>22.272857577163947</v>
      </c>
      <c r="Z267" s="6">
        <f ca="1">('TUSD BE'!$AM$18+'TUSD BF'!$AM$18+'TUSD CVA'!$AM$18)*1</f>
        <v>6.2775353492949444</v>
      </c>
      <c r="AA267" s="6"/>
      <c r="AB267" s="6">
        <f>$K$267*$V$267</f>
        <v>3403.28</v>
      </c>
      <c r="AC267" s="6">
        <f>$M$267*$W$267</f>
        <v>0</v>
      </c>
      <c r="AD267" s="6">
        <f>$O$267*$X$267</f>
        <v>0</v>
      </c>
      <c r="AE267" s="6">
        <f ca="1">$K$267*$Y$267</f>
        <v>3385.4743517289198</v>
      </c>
      <c r="AF267" s="6">
        <f ca="1">$M$267*$Z$267</f>
        <v>0</v>
      </c>
      <c r="AG267" s="6">
        <f>$O$267*$AA$267</f>
        <v>0</v>
      </c>
    </row>
    <row r="268" spans="1:33" ht="11.25" customHeight="1" x14ac:dyDescent="0.25">
      <c r="A268" s="4" t="s">
        <v>21</v>
      </c>
      <c r="B268" s="4" t="s">
        <v>39</v>
      </c>
      <c r="C268" s="4" t="s">
        <v>41</v>
      </c>
      <c r="D268" s="4" t="s">
        <v>42</v>
      </c>
      <c r="E268" s="4" t="s">
        <v>25</v>
      </c>
      <c r="F268" s="4" t="s">
        <v>25</v>
      </c>
      <c r="G268" s="4" t="s">
        <v>25</v>
      </c>
      <c r="H268" s="4" t="s">
        <v>35</v>
      </c>
      <c r="I268" s="5">
        <v>44228</v>
      </c>
      <c r="J268" s="6">
        <v>0</v>
      </c>
      <c r="K268" s="6">
        <v>0</v>
      </c>
      <c r="L268" s="6">
        <v>2306.8510000000001</v>
      </c>
      <c r="M268" s="6">
        <v>2306.8510000000001</v>
      </c>
      <c r="N268" s="6">
        <v>2306.8510000000001</v>
      </c>
      <c r="O268" s="6">
        <v>2306.8510000000001</v>
      </c>
      <c r="P268" s="6">
        <v>0</v>
      </c>
      <c r="Q268" s="4" t="s">
        <v>26</v>
      </c>
      <c r="R268" s="4">
        <v>0</v>
      </c>
      <c r="S268" s="6">
        <v>0</v>
      </c>
      <c r="T268" s="6">
        <v>25</v>
      </c>
      <c r="U268" s="6">
        <v>68</v>
      </c>
      <c r="V268" s="6">
        <f>IF(ISERROR(VLOOKUP($S$268,'TAR FIN'!$A$1:$O$100,15,0)),0,VLOOKUP($S$268,'TAR FIN'!$A$1:$O$100,15,0))</f>
        <v>0</v>
      </c>
      <c r="W268" s="6">
        <f>IF(ISERROR(VLOOKUP($T$268,'TAR FIN'!$A$1:$O$100,15,0)),0,VLOOKUP($T$268,'TAR FIN'!$A$1:$O$100,15,0))</f>
        <v>43.65</v>
      </c>
      <c r="X268" s="6">
        <f>IF(ISERROR(VLOOKUP($U$268,'TAR FIN'!$A$1:$O$100,15,0)),0,VLOOKUP($U$268,'TAR FIN'!$A$1:$O$100,15,0))</f>
        <v>219.03</v>
      </c>
      <c r="Y268" s="6"/>
      <c r="Z268" s="6">
        <f ca="1">('TUSD BE'!$AM$22+'TUSD BF'!$AM$22+'TUSD CVA'!$AM$22)*1</f>
        <v>49.78704102185678</v>
      </c>
      <c r="AA268" s="6">
        <f>('TE BE'!$AA$8+'TE BF'!$AA$8+'TE CVA'!$AA$8)*1</f>
        <v>238.55077890362423</v>
      </c>
      <c r="AB268" s="6">
        <f>$K$268*$V$268</f>
        <v>0</v>
      </c>
      <c r="AC268" s="6">
        <f>$M$268*$W$268</f>
        <v>100694.04614999999</v>
      </c>
      <c r="AD268" s="6">
        <f>$O$268*$X$268</f>
        <v>505269.57453000004</v>
      </c>
      <c r="AE268" s="6">
        <f>$K$268*$Y$268</f>
        <v>0</v>
      </c>
      <c r="AF268" s="6">
        <f ca="1">$M$268*$Z$268</f>
        <v>114851.28536831134</v>
      </c>
      <c r="AG268" s="6">
        <f>$O$268*$AA$268</f>
        <v>550301.10286460444</v>
      </c>
    </row>
    <row r="269" spans="1:33" ht="11.25" customHeight="1" x14ac:dyDescent="0.25">
      <c r="A269" s="4" t="s">
        <v>27</v>
      </c>
      <c r="B269" s="4" t="s">
        <v>39</v>
      </c>
      <c r="C269" s="4" t="s">
        <v>41</v>
      </c>
      <c r="D269" s="4" t="s">
        <v>42</v>
      </c>
      <c r="E269" s="4" t="s">
        <v>25</v>
      </c>
      <c r="F269" s="4" t="s">
        <v>25</v>
      </c>
      <c r="G269" s="4" t="s">
        <v>25</v>
      </c>
      <c r="H269" s="4" t="s">
        <v>35</v>
      </c>
      <c r="I269" s="5">
        <v>44228</v>
      </c>
      <c r="J269" s="6">
        <v>0</v>
      </c>
      <c r="K269" s="6">
        <v>0</v>
      </c>
      <c r="L269" s="6">
        <v>-36.494999999999997</v>
      </c>
      <c r="M269" s="6">
        <v>-36.494999999999997</v>
      </c>
      <c r="N269" s="6">
        <v>-36.494999999999997</v>
      </c>
      <c r="O269" s="6">
        <v>-36.494999999999997</v>
      </c>
      <c r="P269" s="6">
        <v>0</v>
      </c>
      <c r="Q269" s="4" t="s">
        <v>26</v>
      </c>
      <c r="R269" s="4">
        <v>0</v>
      </c>
      <c r="S269" s="6">
        <v>0</v>
      </c>
      <c r="T269" s="6">
        <v>25</v>
      </c>
      <c r="U269" s="6">
        <v>68</v>
      </c>
      <c r="V269" s="6">
        <f>IF(ISERROR(VLOOKUP($S$269,'TAR FIN'!$A$1:$O$100,15,0)),0,VLOOKUP($S$269,'TAR FIN'!$A$1:$O$100,15,0))</f>
        <v>0</v>
      </c>
      <c r="W269" s="6">
        <f>IF(ISERROR(VLOOKUP($T$269,'TAR FIN'!$A$1:$O$100,15,0)),0,VLOOKUP($T$269,'TAR FIN'!$A$1:$O$100,15,0))</f>
        <v>43.65</v>
      </c>
      <c r="X269" s="6">
        <f>IF(ISERROR(VLOOKUP($U$269,'TAR FIN'!$A$1:$O$100,15,0)),0,VLOOKUP($U$269,'TAR FIN'!$A$1:$O$100,15,0))</f>
        <v>219.03</v>
      </c>
      <c r="Y269" s="6"/>
      <c r="Z269" s="6">
        <f ca="1">('TUSD BE'!$AM$22+'TUSD BF'!$AM$22+'TUSD CVA'!$AM$22)*1</f>
        <v>49.78704102185678</v>
      </c>
      <c r="AA269" s="6">
        <f>('TE BE'!$AA$8+'TE BF'!$AA$8+'TE CVA'!$AA$8)*1</f>
        <v>238.55077890362423</v>
      </c>
      <c r="AB269" s="6">
        <f>$K$269*$V$269</f>
        <v>0</v>
      </c>
      <c r="AC269" s="6">
        <f>$M$269*$W$269</f>
        <v>-1593.0067499999998</v>
      </c>
      <c r="AD269" s="6">
        <f>$O$269*$X$269</f>
        <v>-7993.4998499999992</v>
      </c>
      <c r="AE269" s="6">
        <f>$K$269*$Y$269</f>
        <v>0</v>
      </c>
      <c r="AF269" s="6">
        <f ca="1">$M$269*$Z$269</f>
        <v>-1816.9780620926631</v>
      </c>
      <c r="AG269" s="6">
        <f>$O$269*$AA$269</f>
        <v>-8705.9106760877658</v>
      </c>
    </row>
    <row r="270" spans="1:33" ht="11.25" customHeight="1" x14ac:dyDescent="0.25">
      <c r="A270" s="4" t="s">
        <v>28</v>
      </c>
      <c r="B270" s="4" t="s">
        <v>39</v>
      </c>
      <c r="C270" s="4" t="s">
        <v>41</v>
      </c>
      <c r="D270" s="4" t="s">
        <v>42</v>
      </c>
      <c r="E270" s="4" t="s">
        <v>25</v>
      </c>
      <c r="F270" s="4" t="s">
        <v>25</v>
      </c>
      <c r="G270" s="4" t="s">
        <v>25</v>
      </c>
      <c r="H270" s="4" t="s">
        <v>35</v>
      </c>
      <c r="I270" s="5">
        <v>44228</v>
      </c>
      <c r="J270" s="6">
        <v>0</v>
      </c>
      <c r="K270" s="6">
        <v>0</v>
      </c>
      <c r="L270" s="6">
        <v>69.009</v>
      </c>
      <c r="M270" s="6">
        <v>69.009</v>
      </c>
      <c r="N270" s="6">
        <v>69.009</v>
      </c>
      <c r="O270" s="6">
        <v>69.009</v>
      </c>
      <c r="P270" s="6">
        <v>0</v>
      </c>
      <c r="Q270" s="4" t="s">
        <v>26</v>
      </c>
      <c r="R270" s="4">
        <v>0</v>
      </c>
      <c r="S270" s="6">
        <v>0</v>
      </c>
      <c r="T270" s="6">
        <v>25</v>
      </c>
      <c r="U270" s="6">
        <v>68</v>
      </c>
      <c r="V270" s="6">
        <f>IF(ISERROR(VLOOKUP($S$270,'TAR FIN'!$A$1:$O$100,15,0)),0,VLOOKUP($S$270,'TAR FIN'!$A$1:$O$100,15,0))</f>
        <v>0</v>
      </c>
      <c r="W270" s="6">
        <f>IF(ISERROR(VLOOKUP($T$270,'TAR FIN'!$A$1:$O$100,15,0)),0,VLOOKUP($T$270,'TAR FIN'!$A$1:$O$100,15,0))</f>
        <v>43.65</v>
      </c>
      <c r="X270" s="6">
        <f>IF(ISERROR(VLOOKUP($U$270,'TAR FIN'!$A$1:$O$100,15,0)),0,VLOOKUP($U$270,'TAR FIN'!$A$1:$O$100,15,0))</f>
        <v>219.03</v>
      </c>
      <c r="Y270" s="6"/>
      <c r="Z270" s="6">
        <f ca="1">('TUSD BE'!$AM$22+'TUSD BF'!$AM$22+'TUSD CVA'!$AM$22)*1</f>
        <v>49.78704102185678</v>
      </c>
      <c r="AA270" s="6">
        <f>('TE BE'!$AA$8+'TE BF'!$AA$8+'TE CVA'!$AA$8)*1</f>
        <v>238.55077890362423</v>
      </c>
      <c r="AB270" s="6">
        <f>$K$270*$V$270</f>
        <v>0</v>
      </c>
      <c r="AC270" s="6">
        <f>$M$270*$W$270</f>
        <v>3012.2428500000001</v>
      </c>
      <c r="AD270" s="6">
        <f>$O$270*$X$270</f>
        <v>15115.04127</v>
      </c>
      <c r="AE270" s="6">
        <f>$K$270*$Y$270</f>
        <v>0</v>
      </c>
      <c r="AF270" s="6">
        <f ca="1">$M$270*$Z$270</f>
        <v>3435.7539138773145</v>
      </c>
      <c r="AG270" s="6">
        <f>$O$270*$AA$270</f>
        <v>16462.150701360206</v>
      </c>
    </row>
    <row r="271" spans="1:33" ht="11.25" customHeight="1" x14ac:dyDescent="0.25">
      <c r="A271" s="4" t="s">
        <v>21</v>
      </c>
      <c r="B271" s="4" t="s">
        <v>39</v>
      </c>
      <c r="C271" s="4" t="s">
        <v>41</v>
      </c>
      <c r="D271" s="4" t="s">
        <v>42</v>
      </c>
      <c r="E271" s="4" t="s">
        <v>25</v>
      </c>
      <c r="F271" s="4" t="s">
        <v>25</v>
      </c>
      <c r="G271" s="4" t="s">
        <v>25</v>
      </c>
      <c r="H271" s="4" t="s">
        <v>35</v>
      </c>
      <c r="I271" s="5">
        <v>44228</v>
      </c>
      <c r="J271" s="6">
        <v>0</v>
      </c>
      <c r="K271" s="6">
        <v>0</v>
      </c>
      <c r="L271" s="6">
        <v>19.748000000000001</v>
      </c>
      <c r="M271" s="6">
        <v>19.748000000000001</v>
      </c>
      <c r="N271" s="6">
        <v>0</v>
      </c>
      <c r="O271" s="6">
        <v>0</v>
      </c>
      <c r="P271" s="6">
        <v>0</v>
      </c>
      <c r="Q271" s="4" t="s">
        <v>57</v>
      </c>
      <c r="R271" s="4">
        <v>0</v>
      </c>
      <c r="S271" s="6">
        <v>0</v>
      </c>
      <c r="T271" s="6">
        <v>25</v>
      </c>
      <c r="U271" s="6">
        <v>0</v>
      </c>
      <c r="V271" s="6">
        <f>IF(ISERROR(VLOOKUP($S$271,'TAR FIN'!$A$1:$O$100,15,0)),0,VLOOKUP($S$271,'TAR FIN'!$A$1:$O$100,15,0))</f>
        <v>0</v>
      </c>
      <c r="W271" s="6">
        <f>IF(ISERROR(VLOOKUP($T$271,'TAR FIN'!$A$1:$O$100,15,0)),0,VLOOKUP($T$271,'TAR FIN'!$A$1:$O$100,15,0))</f>
        <v>43.65</v>
      </c>
      <c r="X271" s="6">
        <f>IF(ISERROR(VLOOKUP($U$271,'TAR FIN'!$A$1:$O$100,15,0)),0,VLOOKUP($U$271,'TAR FIN'!$A$1:$O$100,15,0))</f>
        <v>0</v>
      </c>
      <c r="Y271" s="6"/>
      <c r="Z271" s="6">
        <f ca="1">('TUSD BE'!$AM$22+'TUSD BF'!$AM$22+'TUSD CVA'!$AM$22)*1</f>
        <v>49.78704102185678</v>
      </c>
      <c r="AA271" s="6"/>
      <c r="AB271" s="6">
        <f>$K$271*$V$271</f>
        <v>0</v>
      </c>
      <c r="AC271" s="6">
        <f>$M$271*$W$271</f>
        <v>862.00020000000006</v>
      </c>
      <c r="AD271" s="6">
        <f>$O$271*$X$271</f>
        <v>0</v>
      </c>
      <c r="AE271" s="6">
        <f>$K$271*$Y$271</f>
        <v>0</v>
      </c>
      <c r="AF271" s="6">
        <f ca="1">$M$271*$Z$271</f>
        <v>983.19448609962774</v>
      </c>
      <c r="AG271" s="6">
        <f>$O$271*$AA$271</f>
        <v>0</v>
      </c>
    </row>
    <row r="272" spans="1:33" ht="11.25" customHeight="1" x14ac:dyDescent="0.25">
      <c r="A272" s="4" t="s">
        <v>21</v>
      </c>
      <c r="B272" s="4" t="s">
        <v>39</v>
      </c>
      <c r="C272" s="4" t="s">
        <v>41</v>
      </c>
      <c r="D272" s="4" t="s">
        <v>42</v>
      </c>
      <c r="E272" s="4" t="s">
        <v>25</v>
      </c>
      <c r="F272" s="4" t="s">
        <v>25</v>
      </c>
      <c r="G272" s="4" t="s">
        <v>25</v>
      </c>
      <c r="H272" s="4" t="s">
        <v>35</v>
      </c>
      <c r="I272" s="5">
        <v>44256</v>
      </c>
      <c r="J272" s="6">
        <v>0</v>
      </c>
      <c r="K272" s="6">
        <v>0</v>
      </c>
      <c r="L272" s="6">
        <v>2294.0990000000002</v>
      </c>
      <c r="M272" s="6">
        <v>2294.0990000000002</v>
      </c>
      <c r="N272" s="6">
        <v>2294.0990000000002</v>
      </c>
      <c r="O272" s="6">
        <v>2294.0990000000002</v>
      </c>
      <c r="P272" s="6">
        <v>0</v>
      </c>
      <c r="Q272" s="4" t="s">
        <v>26</v>
      </c>
      <c r="R272" s="4">
        <v>0</v>
      </c>
      <c r="S272" s="6">
        <v>0</v>
      </c>
      <c r="T272" s="6">
        <v>25</v>
      </c>
      <c r="U272" s="6">
        <v>68</v>
      </c>
      <c r="V272" s="6">
        <f>IF(ISERROR(VLOOKUP($S$272,'TAR FIN'!$A$1:$O$100,15,0)),0,VLOOKUP($S$272,'TAR FIN'!$A$1:$O$100,15,0))</f>
        <v>0</v>
      </c>
      <c r="W272" s="6">
        <f>IF(ISERROR(VLOOKUP($T$272,'TAR FIN'!$A$1:$O$100,15,0)),0,VLOOKUP($T$272,'TAR FIN'!$A$1:$O$100,15,0))</f>
        <v>43.65</v>
      </c>
      <c r="X272" s="6">
        <f>IF(ISERROR(VLOOKUP($U$272,'TAR FIN'!$A$1:$O$100,15,0)),0,VLOOKUP($U$272,'TAR FIN'!$A$1:$O$100,15,0))</f>
        <v>219.03</v>
      </c>
      <c r="Y272" s="6"/>
      <c r="Z272" s="6">
        <f ca="1">('TUSD BE'!$AM$22+'TUSD BF'!$AM$22+'TUSD CVA'!$AM$22)*1</f>
        <v>49.78704102185678</v>
      </c>
      <c r="AA272" s="6">
        <f>('TE BE'!$AA$8+'TE BF'!$AA$8+'TE CVA'!$AA$8)*1</f>
        <v>238.55077890362423</v>
      </c>
      <c r="AB272" s="6">
        <f>$K$272*$V$272</f>
        <v>0</v>
      </c>
      <c r="AC272" s="6">
        <f>$M$272*$W$272</f>
        <v>100137.42135</v>
      </c>
      <c r="AD272" s="6">
        <f>$O$272*$X$272</f>
        <v>502476.50397000002</v>
      </c>
      <c r="AE272" s="6">
        <f>$K$272*$Y$272</f>
        <v>0</v>
      </c>
      <c r="AF272" s="6">
        <f ca="1">$M$272*$Z$272</f>
        <v>114216.40102120063</v>
      </c>
      <c r="AG272" s="6">
        <f>$O$272*$AA$272</f>
        <v>547259.10333202546</v>
      </c>
    </row>
    <row r="273" spans="1:33" ht="11.25" customHeight="1" x14ac:dyDescent="0.25">
      <c r="A273" s="4" t="s">
        <v>28</v>
      </c>
      <c r="B273" s="4" t="s">
        <v>39</v>
      </c>
      <c r="C273" s="4" t="s">
        <v>41</v>
      </c>
      <c r="D273" s="4" t="s">
        <v>42</v>
      </c>
      <c r="E273" s="4" t="s">
        <v>25</v>
      </c>
      <c r="F273" s="4" t="s">
        <v>25</v>
      </c>
      <c r="G273" s="4" t="s">
        <v>25</v>
      </c>
      <c r="H273" s="4" t="s">
        <v>35</v>
      </c>
      <c r="I273" s="5">
        <v>44256</v>
      </c>
      <c r="J273" s="6">
        <v>0</v>
      </c>
      <c r="K273" s="6">
        <v>0</v>
      </c>
      <c r="L273" s="6">
        <v>131.018</v>
      </c>
      <c r="M273" s="6">
        <v>131.018</v>
      </c>
      <c r="N273" s="6">
        <v>131.018</v>
      </c>
      <c r="O273" s="6">
        <v>131.018</v>
      </c>
      <c r="P273" s="6">
        <v>0</v>
      </c>
      <c r="Q273" s="4" t="s">
        <v>26</v>
      </c>
      <c r="R273" s="4">
        <v>0</v>
      </c>
      <c r="S273" s="6">
        <v>0</v>
      </c>
      <c r="T273" s="6">
        <v>25</v>
      </c>
      <c r="U273" s="6">
        <v>68</v>
      </c>
      <c r="V273" s="6">
        <f>IF(ISERROR(VLOOKUP($S$273,'TAR FIN'!$A$1:$O$100,15,0)),0,VLOOKUP($S$273,'TAR FIN'!$A$1:$O$100,15,0))</f>
        <v>0</v>
      </c>
      <c r="W273" s="6">
        <f>IF(ISERROR(VLOOKUP($T$273,'TAR FIN'!$A$1:$O$100,15,0)),0,VLOOKUP($T$273,'TAR FIN'!$A$1:$O$100,15,0))</f>
        <v>43.65</v>
      </c>
      <c r="X273" s="6">
        <f>IF(ISERROR(VLOOKUP($U$273,'TAR FIN'!$A$1:$O$100,15,0)),0,VLOOKUP($U$273,'TAR FIN'!$A$1:$O$100,15,0))</f>
        <v>219.03</v>
      </c>
      <c r="Y273" s="6"/>
      <c r="Z273" s="6">
        <f ca="1">('TUSD BE'!$AM$22+'TUSD BF'!$AM$22+'TUSD CVA'!$AM$22)*1</f>
        <v>49.78704102185678</v>
      </c>
      <c r="AA273" s="6">
        <f>('TE BE'!$AA$8+'TE BF'!$AA$8+'TE CVA'!$AA$8)*1</f>
        <v>238.55077890362423</v>
      </c>
      <c r="AB273" s="6">
        <f>$K$273*$V$273</f>
        <v>0</v>
      </c>
      <c r="AC273" s="6">
        <f>$M$273*$W$273</f>
        <v>5718.9357</v>
      </c>
      <c r="AD273" s="6">
        <f>$O$273*$X$273</f>
        <v>28696.87254</v>
      </c>
      <c r="AE273" s="6">
        <f>$K$273*$Y$273</f>
        <v>0</v>
      </c>
      <c r="AF273" s="6">
        <f ca="1">$M$273*$Z$273</f>
        <v>6522.9985406016312</v>
      </c>
      <c r="AG273" s="6">
        <f>$O$273*$AA$273</f>
        <v>31254.445950395038</v>
      </c>
    </row>
    <row r="274" spans="1:33" ht="11.25" customHeight="1" x14ac:dyDescent="0.25">
      <c r="A274" s="4" t="s">
        <v>21</v>
      </c>
      <c r="B274" s="4" t="s">
        <v>39</v>
      </c>
      <c r="C274" s="4" t="s">
        <v>41</v>
      </c>
      <c r="D274" s="4" t="s">
        <v>42</v>
      </c>
      <c r="E274" s="4" t="s">
        <v>25</v>
      </c>
      <c r="F274" s="4" t="s">
        <v>25</v>
      </c>
      <c r="G274" s="4" t="s">
        <v>25</v>
      </c>
      <c r="H274" s="4" t="s">
        <v>35</v>
      </c>
      <c r="I274" s="5">
        <v>44256</v>
      </c>
      <c r="J274" s="6">
        <v>0</v>
      </c>
      <c r="K274" s="6">
        <v>0</v>
      </c>
      <c r="L274" s="6">
        <v>17.541</v>
      </c>
      <c r="M274" s="6">
        <v>17.541</v>
      </c>
      <c r="N274" s="6">
        <v>0</v>
      </c>
      <c r="O274" s="6">
        <v>0</v>
      </c>
      <c r="P274" s="6">
        <v>0</v>
      </c>
      <c r="Q274" s="4" t="s">
        <v>57</v>
      </c>
      <c r="R274" s="4">
        <v>0</v>
      </c>
      <c r="S274" s="6">
        <v>0</v>
      </c>
      <c r="T274" s="6">
        <v>25</v>
      </c>
      <c r="U274" s="6">
        <v>0</v>
      </c>
      <c r="V274" s="6">
        <f>IF(ISERROR(VLOOKUP($S$274,'TAR FIN'!$A$1:$O$100,15,0)),0,VLOOKUP($S$274,'TAR FIN'!$A$1:$O$100,15,0))</f>
        <v>0</v>
      </c>
      <c r="W274" s="6">
        <f>IF(ISERROR(VLOOKUP($T$274,'TAR FIN'!$A$1:$O$100,15,0)),0,VLOOKUP($T$274,'TAR FIN'!$A$1:$O$100,15,0))</f>
        <v>43.65</v>
      </c>
      <c r="X274" s="6">
        <f>IF(ISERROR(VLOOKUP($U$274,'TAR FIN'!$A$1:$O$100,15,0)),0,VLOOKUP($U$274,'TAR FIN'!$A$1:$O$100,15,0))</f>
        <v>0</v>
      </c>
      <c r="Y274" s="6"/>
      <c r="Z274" s="6">
        <f ca="1">('TUSD BE'!$AM$22+'TUSD BF'!$AM$22+'TUSD CVA'!$AM$22)*1</f>
        <v>49.78704102185678</v>
      </c>
      <c r="AA274" s="6"/>
      <c r="AB274" s="6">
        <f>$K$274*$V$274</f>
        <v>0</v>
      </c>
      <c r="AC274" s="6">
        <f>$M$274*$W$274</f>
        <v>765.66464999999994</v>
      </c>
      <c r="AD274" s="6">
        <f>$O$274*$X$274</f>
        <v>0</v>
      </c>
      <c r="AE274" s="6">
        <f>$K$274*$Y$274</f>
        <v>0</v>
      </c>
      <c r="AF274" s="6">
        <f ca="1">$M$274*$Z$274</f>
        <v>873.31448656438977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39</v>
      </c>
      <c r="C275" s="4" t="s">
        <v>41</v>
      </c>
      <c r="D275" s="4" t="s">
        <v>42</v>
      </c>
      <c r="E275" s="4" t="s">
        <v>25</v>
      </c>
      <c r="F275" s="4" t="s">
        <v>25</v>
      </c>
      <c r="G275" s="4" t="s">
        <v>25</v>
      </c>
      <c r="H275" s="4" t="s">
        <v>35</v>
      </c>
      <c r="I275" s="5">
        <v>44287</v>
      </c>
      <c r="J275" s="6">
        <v>0</v>
      </c>
      <c r="K275" s="6">
        <v>0</v>
      </c>
      <c r="L275" s="6">
        <v>2291.538</v>
      </c>
      <c r="M275" s="6">
        <v>2291.538</v>
      </c>
      <c r="N275" s="6">
        <v>2291.538</v>
      </c>
      <c r="O275" s="6">
        <v>2291.538</v>
      </c>
      <c r="P275" s="6">
        <v>0</v>
      </c>
      <c r="Q275" s="4" t="s">
        <v>26</v>
      </c>
      <c r="R275" s="4">
        <v>0</v>
      </c>
      <c r="S275" s="6">
        <v>0</v>
      </c>
      <c r="T275" s="6">
        <v>25</v>
      </c>
      <c r="U275" s="6">
        <v>68</v>
      </c>
      <c r="V275" s="6">
        <f>IF(ISERROR(VLOOKUP($S$275,'TAR FIN'!$A$1:$O$100,15,0)),0,VLOOKUP($S$275,'TAR FIN'!$A$1:$O$100,15,0))</f>
        <v>0</v>
      </c>
      <c r="W275" s="6">
        <f>IF(ISERROR(VLOOKUP($T$275,'TAR FIN'!$A$1:$O$100,15,0)),0,VLOOKUP($T$275,'TAR FIN'!$A$1:$O$100,15,0))</f>
        <v>43.65</v>
      </c>
      <c r="X275" s="6">
        <f>IF(ISERROR(VLOOKUP($U$275,'TAR FIN'!$A$1:$O$100,15,0)),0,VLOOKUP($U$275,'TAR FIN'!$A$1:$O$100,15,0))</f>
        <v>219.03</v>
      </c>
      <c r="Y275" s="6"/>
      <c r="Z275" s="6">
        <f ca="1">('TUSD BE'!$AM$22+'TUSD BF'!$AM$22+'TUSD CVA'!$AM$22)*1</f>
        <v>49.78704102185678</v>
      </c>
      <c r="AA275" s="6">
        <f>('TE BE'!$AA$8+'TE BF'!$AA$8+'TE CVA'!$AA$8)*1</f>
        <v>238.55077890362423</v>
      </c>
      <c r="AB275" s="6">
        <f>$K$275*$V$275</f>
        <v>0</v>
      </c>
      <c r="AC275" s="6">
        <f>$M$275*$W$275</f>
        <v>100025.63369999999</v>
      </c>
      <c r="AD275" s="6">
        <f>$O$275*$X$275</f>
        <v>501915.56813999999</v>
      </c>
      <c r="AE275" s="6">
        <f>$K$275*$Y$275</f>
        <v>0</v>
      </c>
      <c r="AF275" s="6">
        <f ca="1">$M$275*$Z$275</f>
        <v>114088.89640914364</v>
      </c>
      <c r="AG275" s="6">
        <f>$O$275*$AA$275</f>
        <v>546648.17478725326</v>
      </c>
    </row>
    <row r="276" spans="1:33" ht="11.25" customHeight="1" x14ac:dyDescent="0.25">
      <c r="A276" s="4" t="s">
        <v>28</v>
      </c>
      <c r="B276" s="4" t="s">
        <v>39</v>
      </c>
      <c r="C276" s="4" t="s">
        <v>41</v>
      </c>
      <c r="D276" s="4" t="s">
        <v>42</v>
      </c>
      <c r="E276" s="4" t="s">
        <v>25</v>
      </c>
      <c r="F276" s="4" t="s">
        <v>25</v>
      </c>
      <c r="G276" s="4" t="s">
        <v>25</v>
      </c>
      <c r="H276" s="4" t="s">
        <v>35</v>
      </c>
      <c r="I276" s="5">
        <v>44287</v>
      </c>
      <c r="J276" s="6">
        <v>0</v>
      </c>
      <c r="K276" s="6">
        <v>0</v>
      </c>
      <c r="L276" s="6">
        <v>124.126</v>
      </c>
      <c r="M276" s="6">
        <v>124.126</v>
      </c>
      <c r="N276" s="6">
        <v>124.126</v>
      </c>
      <c r="O276" s="6">
        <v>124.126</v>
      </c>
      <c r="P276" s="6">
        <v>0</v>
      </c>
      <c r="Q276" s="4" t="s">
        <v>26</v>
      </c>
      <c r="R276" s="4">
        <v>0</v>
      </c>
      <c r="S276" s="6">
        <v>0</v>
      </c>
      <c r="T276" s="6">
        <v>25</v>
      </c>
      <c r="U276" s="6">
        <v>68</v>
      </c>
      <c r="V276" s="6">
        <f>IF(ISERROR(VLOOKUP($S$276,'TAR FIN'!$A$1:$O$100,15,0)),0,VLOOKUP($S$276,'TAR FIN'!$A$1:$O$100,15,0))</f>
        <v>0</v>
      </c>
      <c r="W276" s="6">
        <f>IF(ISERROR(VLOOKUP($T$276,'TAR FIN'!$A$1:$O$100,15,0)),0,VLOOKUP($T$276,'TAR FIN'!$A$1:$O$100,15,0))</f>
        <v>43.65</v>
      </c>
      <c r="X276" s="6">
        <f>IF(ISERROR(VLOOKUP($U$276,'TAR FIN'!$A$1:$O$100,15,0)),0,VLOOKUP($U$276,'TAR FIN'!$A$1:$O$100,15,0))</f>
        <v>219.03</v>
      </c>
      <c r="Y276" s="6"/>
      <c r="Z276" s="6">
        <f ca="1">('TUSD BE'!$AM$22+'TUSD BF'!$AM$22+'TUSD CVA'!$AM$22)*1</f>
        <v>49.78704102185678</v>
      </c>
      <c r="AA276" s="6">
        <f>('TE BE'!$AA$8+'TE BF'!$AA$8+'TE CVA'!$AA$8)*1</f>
        <v>238.55077890362423</v>
      </c>
      <c r="AB276" s="6">
        <f>$K$276*$V$276</f>
        <v>0</v>
      </c>
      <c r="AC276" s="6">
        <f>$M$276*$W$276</f>
        <v>5418.0999000000002</v>
      </c>
      <c r="AD276" s="6">
        <f>$O$276*$X$276</f>
        <v>27187.317780000001</v>
      </c>
      <c r="AE276" s="6">
        <f>$K$276*$Y$276</f>
        <v>0</v>
      </c>
      <c r="AF276" s="6">
        <f ca="1">$M$276*$Z$276</f>
        <v>6179.8662538789949</v>
      </c>
      <c r="AG276" s="6">
        <f>$O$276*$AA$276</f>
        <v>29610.353982191264</v>
      </c>
    </row>
    <row r="277" spans="1:33" ht="11.25" customHeight="1" x14ac:dyDescent="0.25">
      <c r="A277" s="4" t="s">
        <v>21</v>
      </c>
      <c r="B277" s="4" t="s">
        <v>39</v>
      </c>
      <c r="C277" s="4" t="s">
        <v>41</v>
      </c>
      <c r="D277" s="4" t="s">
        <v>42</v>
      </c>
      <c r="E277" s="4" t="s">
        <v>25</v>
      </c>
      <c r="F277" s="4" t="s">
        <v>25</v>
      </c>
      <c r="G277" s="4" t="s">
        <v>25</v>
      </c>
      <c r="H277" s="4" t="s">
        <v>35</v>
      </c>
      <c r="I277" s="5">
        <v>44317</v>
      </c>
      <c r="J277" s="6">
        <v>0</v>
      </c>
      <c r="K277" s="6">
        <v>0</v>
      </c>
      <c r="L277" s="6">
        <v>2251.297</v>
      </c>
      <c r="M277" s="6">
        <v>2251.297</v>
      </c>
      <c r="N277" s="6">
        <v>2251.297</v>
      </c>
      <c r="O277" s="6">
        <v>2251.297</v>
      </c>
      <c r="P277" s="6">
        <v>0</v>
      </c>
      <c r="Q277" s="4" t="s">
        <v>26</v>
      </c>
      <c r="R277" s="4">
        <v>0</v>
      </c>
      <c r="S277" s="6">
        <v>0</v>
      </c>
      <c r="T277" s="6">
        <v>25</v>
      </c>
      <c r="U277" s="6">
        <v>68</v>
      </c>
      <c r="V277" s="6">
        <f>IF(ISERROR(VLOOKUP($S$277,'TAR FIN'!$A$1:$O$100,15,0)),0,VLOOKUP($S$277,'TAR FIN'!$A$1:$O$100,15,0))</f>
        <v>0</v>
      </c>
      <c r="W277" s="6">
        <f>IF(ISERROR(VLOOKUP($T$277,'TAR FIN'!$A$1:$O$100,15,0)),0,VLOOKUP($T$277,'TAR FIN'!$A$1:$O$100,15,0))</f>
        <v>43.65</v>
      </c>
      <c r="X277" s="6">
        <f>IF(ISERROR(VLOOKUP($U$277,'TAR FIN'!$A$1:$O$100,15,0)),0,VLOOKUP($U$277,'TAR FIN'!$A$1:$O$100,15,0))</f>
        <v>219.03</v>
      </c>
      <c r="Y277" s="6"/>
      <c r="Z277" s="6">
        <f ca="1">('TUSD BE'!$AM$22+'TUSD BF'!$AM$22+'TUSD CVA'!$AM$22)*1</f>
        <v>49.78704102185678</v>
      </c>
      <c r="AA277" s="6">
        <f>('TE BE'!$AA$8+'TE BF'!$AA$8+'TE CVA'!$AA$8)*1</f>
        <v>238.55077890362423</v>
      </c>
      <c r="AB277" s="6">
        <f>$K$277*$V$277</f>
        <v>0</v>
      </c>
      <c r="AC277" s="6">
        <f>$M$277*$W$277</f>
        <v>98269.114050000004</v>
      </c>
      <c r="AD277" s="6">
        <f>$O$277*$X$277</f>
        <v>493101.58191000001</v>
      </c>
      <c r="AE277" s="6">
        <f>$K$277*$Y$277</f>
        <v>0</v>
      </c>
      <c r="AF277" s="6">
        <f ca="1">$M$277*$Z$277</f>
        <v>112085.4160913831</v>
      </c>
      <c r="AG277" s="6">
        <f>$O$277*$AA$277</f>
        <v>537048.65289339249</v>
      </c>
    </row>
    <row r="278" spans="1:33" ht="11.25" customHeight="1" x14ac:dyDescent="0.25">
      <c r="A278" s="4" t="s">
        <v>28</v>
      </c>
      <c r="B278" s="4" t="s">
        <v>39</v>
      </c>
      <c r="C278" s="4" t="s">
        <v>41</v>
      </c>
      <c r="D278" s="4" t="s">
        <v>42</v>
      </c>
      <c r="E278" s="4" t="s">
        <v>25</v>
      </c>
      <c r="F278" s="4" t="s">
        <v>25</v>
      </c>
      <c r="G278" s="4" t="s">
        <v>25</v>
      </c>
      <c r="H278" s="4" t="s">
        <v>35</v>
      </c>
      <c r="I278" s="5">
        <v>44317</v>
      </c>
      <c r="J278" s="6">
        <v>0</v>
      </c>
      <c r="K278" s="6">
        <v>0</v>
      </c>
      <c r="L278" s="6">
        <v>143.03800000000001</v>
      </c>
      <c r="M278" s="6">
        <v>143.03800000000001</v>
      </c>
      <c r="N278" s="6">
        <v>143.03800000000001</v>
      </c>
      <c r="O278" s="6">
        <v>143.03800000000001</v>
      </c>
      <c r="P278" s="6">
        <v>0</v>
      </c>
      <c r="Q278" s="4" t="s">
        <v>26</v>
      </c>
      <c r="R278" s="4">
        <v>0</v>
      </c>
      <c r="S278" s="6">
        <v>0</v>
      </c>
      <c r="T278" s="6">
        <v>25</v>
      </c>
      <c r="U278" s="6">
        <v>68</v>
      </c>
      <c r="V278" s="6">
        <f>IF(ISERROR(VLOOKUP($S$278,'TAR FIN'!$A$1:$O$100,15,0)),0,VLOOKUP($S$278,'TAR FIN'!$A$1:$O$100,15,0))</f>
        <v>0</v>
      </c>
      <c r="W278" s="6">
        <f>IF(ISERROR(VLOOKUP($T$278,'TAR FIN'!$A$1:$O$100,15,0)),0,VLOOKUP($T$278,'TAR FIN'!$A$1:$O$100,15,0))</f>
        <v>43.65</v>
      </c>
      <c r="X278" s="6">
        <f>IF(ISERROR(VLOOKUP($U$278,'TAR FIN'!$A$1:$O$100,15,0)),0,VLOOKUP($U$278,'TAR FIN'!$A$1:$O$100,15,0))</f>
        <v>219.03</v>
      </c>
      <c r="Y278" s="6"/>
      <c r="Z278" s="6">
        <f ca="1">('TUSD BE'!$AM$22+'TUSD BF'!$AM$22+'TUSD CVA'!$AM$22)*1</f>
        <v>49.78704102185678</v>
      </c>
      <c r="AA278" s="6">
        <f>('TE BE'!$AA$8+'TE BF'!$AA$8+'TE CVA'!$AA$8)*1</f>
        <v>238.55077890362423</v>
      </c>
      <c r="AB278" s="6">
        <f>$K$278*$V$278</f>
        <v>0</v>
      </c>
      <c r="AC278" s="6">
        <f>$M$278*$W$278</f>
        <v>6243.6087000000007</v>
      </c>
      <c r="AD278" s="6">
        <f>$O$278*$X$278</f>
        <v>31329.613140000001</v>
      </c>
      <c r="AE278" s="6">
        <f>$K$278*$Y$278</f>
        <v>0</v>
      </c>
      <c r="AF278" s="6">
        <f ca="1">$M$278*$Z$278</f>
        <v>7121.438773684351</v>
      </c>
      <c r="AG278" s="6">
        <f>$O$278*$AA$278</f>
        <v>34121.826312816607</v>
      </c>
    </row>
    <row r="279" spans="1:33" ht="11.25" customHeight="1" x14ac:dyDescent="0.25">
      <c r="A279" s="4" t="s">
        <v>21</v>
      </c>
      <c r="B279" s="4" t="s">
        <v>39</v>
      </c>
      <c r="C279" s="4" t="s">
        <v>41</v>
      </c>
      <c r="D279" s="4" t="s">
        <v>42</v>
      </c>
      <c r="E279" s="4" t="s">
        <v>25</v>
      </c>
      <c r="F279" s="4" t="s">
        <v>25</v>
      </c>
      <c r="G279" s="4" t="s">
        <v>25</v>
      </c>
      <c r="H279" s="4" t="s">
        <v>35</v>
      </c>
      <c r="I279" s="5">
        <v>44348</v>
      </c>
      <c r="J279" s="6">
        <v>0</v>
      </c>
      <c r="K279" s="6">
        <v>0</v>
      </c>
      <c r="L279" s="6">
        <v>1952.595</v>
      </c>
      <c r="M279" s="6">
        <v>1952.595</v>
      </c>
      <c r="N279" s="6">
        <v>1952.595</v>
      </c>
      <c r="O279" s="6">
        <v>1952.595</v>
      </c>
      <c r="P279" s="6">
        <v>0</v>
      </c>
      <c r="Q279" s="4" t="s">
        <v>26</v>
      </c>
      <c r="R279" s="4">
        <v>0</v>
      </c>
      <c r="S279" s="6">
        <v>0</v>
      </c>
      <c r="T279" s="6">
        <v>25</v>
      </c>
      <c r="U279" s="6">
        <v>68</v>
      </c>
      <c r="V279" s="6">
        <f>IF(ISERROR(VLOOKUP($S$279,'TAR FIN'!$A$1:$O$100,15,0)),0,VLOOKUP($S$279,'TAR FIN'!$A$1:$O$100,15,0))</f>
        <v>0</v>
      </c>
      <c r="W279" s="6">
        <f>IF(ISERROR(VLOOKUP($T$279,'TAR FIN'!$A$1:$O$100,15,0)),0,VLOOKUP($T$279,'TAR FIN'!$A$1:$O$100,15,0))</f>
        <v>43.65</v>
      </c>
      <c r="X279" s="6">
        <f>IF(ISERROR(VLOOKUP($U$279,'TAR FIN'!$A$1:$O$100,15,0)),0,VLOOKUP($U$279,'TAR FIN'!$A$1:$O$100,15,0))</f>
        <v>219.03</v>
      </c>
      <c r="Y279" s="6"/>
      <c r="Z279" s="6">
        <f ca="1">('TUSD BE'!$AM$22+'TUSD BF'!$AM$22+'TUSD CVA'!$AM$22)*1</f>
        <v>49.78704102185678</v>
      </c>
      <c r="AA279" s="6">
        <f>('TE BE'!$AA$8+'TE BF'!$AA$8+'TE CVA'!$AA$8)*1</f>
        <v>238.55077890362423</v>
      </c>
      <c r="AB279" s="6">
        <f>$K$279*$V$279</f>
        <v>0</v>
      </c>
      <c r="AC279" s="6">
        <f>$M$279*$W$279</f>
        <v>85230.77175</v>
      </c>
      <c r="AD279" s="6">
        <f>$O$279*$X$279</f>
        <v>427676.88284999999</v>
      </c>
      <c r="AE279" s="6">
        <f>$K$279*$Y$279</f>
        <v>0</v>
      </c>
      <c r="AF279" s="6">
        <f ca="1">$M$279*$Z$279</f>
        <v>97213.927364072442</v>
      </c>
      <c r="AG279" s="6">
        <f>$O$279*$AA$279</f>
        <v>465793.05813332216</v>
      </c>
    </row>
    <row r="280" spans="1:33" ht="11.25" customHeight="1" x14ac:dyDescent="0.25">
      <c r="A280" s="4" t="s">
        <v>28</v>
      </c>
      <c r="B280" s="4" t="s">
        <v>39</v>
      </c>
      <c r="C280" s="4" t="s">
        <v>41</v>
      </c>
      <c r="D280" s="4" t="s">
        <v>42</v>
      </c>
      <c r="E280" s="4" t="s">
        <v>25</v>
      </c>
      <c r="F280" s="4" t="s">
        <v>25</v>
      </c>
      <c r="G280" s="4" t="s">
        <v>25</v>
      </c>
      <c r="H280" s="4" t="s">
        <v>35</v>
      </c>
      <c r="I280" s="5">
        <v>44348</v>
      </c>
      <c r="J280" s="6">
        <v>0</v>
      </c>
      <c r="K280" s="6">
        <v>0</v>
      </c>
      <c r="L280" s="6">
        <v>132.74600000000001</v>
      </c>
      <c r="M280" s="6">
        <v>132.74600000000001</v>
      </c>
      <c r="N280" s="6">
        <v>132.74600000000001</v>
      </c>
      <c r="O280" s="6">
        <v>132.74600000000001</v>
      </c>
      <c r="P280" s="6">
        <v>0</v>
      </c>
      <c r="Q280" s="4" t="s">
        <v>26</v>
      </c>
      <c r="R280" s="4">
        <v>0</v>
      </c>
      <c r="S280" s="6">
        <v>0</v>
      </c>
      <c r="T280" s="6">
        <v>25</v>
      </c>
      <c r="U280" s="6">
        <v>68</v>
      </c>
      <c r="V280" s="6">
        <f>IF(ISERROR(VLOOKUP($S$280,'TAR FIN'!$A$1:$O$100,15,0)),0,VLOOKUP($S$280,'TAR FIN'!$A$1:$O$100,15,0))</f>
        <v>0</v>
      </c>
      <c r="W280" s="6">
        <f>IF(ISERROR(VLOOKUP($T$280,'TAR FIN'!$A$1:$O$100,15,0)),0,VLOOKUP($T$280,'TAR FIN'!$A$1:$O$100,15,0))</f>
        <v>43.65</v>
      </c>
      <c r="X280" s="6">
        <f>IF(ISERROR(VLOOKUP($U$280,'TAR FIN'!$A$1:$O$100,15,0)),0,VLOOKUP($U$280,'TAR FIN'!$A$1:$O$100,15,0))</f>
        <v>219.03</v>
      </c>
      <c r="Y280" s="6"/>
      <c r="Z280" s="6">
        <f ca="1">('TUSD BE'!$AM$22+'TUSD BF'!$AM$22+'TUSD CVA'!$AM$22)*1</f>
        <v>49.78704102185678</v>
      </c>
      <c r="AA280" s="6">
        <f>('TE BE'!$AA$8+'TE BF'!$AA$8+'TE CVA'!$AA$8)*1</f>
        <v>238.55077890362423</v>
      </c>
      <c r="AB280" s="6">
        <f>$K$280*$V$280</f>
        <v>0</v>
      </c>
      <c r="AC280" s="6">
        <f>$M$280*$W$280</f>
        <v>5794.3629000000001</v>
      </c>
      <c r="AD280" s="6">
        <f>$O$280*$X$280</f>
        <v>29075.356380000001</v>
      </c>
      <c r="AE280" s="6">
        <f>$K$280*$Y$280</f>
        <v>0</v>
      </c>
      <c r="AF280" s="6">
        <f ca="1">$M$280*$Z$280</f>
        <v>6609.0305474874003</v>
      </c>
      <c r="AG280" s="6">
        <f>$O$280*$AA$280</f>
        <v>31666.661696340503</v>
      </c>
    </row>
    <row r="281" spans="1:33" ht="11.25" customHeight="1" x14ac:dyDescent="0.25">
      <c r="A281" s="4" t="s">
        <v>21</v>
      </c>
      <c r="B281" s="4" t="s">
        <v>39</v>
      </c>
      <c r="C281" s="4" t="s">
        <v>41</v>
      </c>
      <c r="D281" s="4" t="s">
        <v>42</v>
      </c>
      <c r="E281" s="4" t="s">
        <v>25</v>
      </c>
      <c r="F281" s="4" t="s">
        <v>25</v>
      </c>
      <c r="G281" s="4" t="s">
        <v>25</v>
      </c>
      <c r="H281" s="4" t="s">
        <v>35</v>
      </c>
      <c r="I281" s="5">
        <v>44378</v>
      </c>
      <c r="J281" s="6">
        <v>0</v>
      </c>
      <c r="K281" s="6">
        <v>0</v>
      </c>
      <c r="L281" s="6">
        <v>1859.2339999999999</v>
      </c>
      <c r="M281" s="6">
        <v>1859.2339999999999</v>
      </c>
      <c r="N281" s="6">
        <v>1859.2339999999999</v>
      </c>
      <c r="O281" s="6">
        <v>1859.2339999999999</v>
      </c>
      <c r="P281" s="6">
        <v>0</v>
      </c>
      <c r="Q281" s="4" t="s">
        <v>26</v>
      </c>
      <c r="R281" s="4">
        <v>0</v>
      </c>
      <c r="S281" s="6">
        <v>0</v>
      </c>
      <c r="T281" s="6">
        <v>25</v>
      </c>
      <c r="U281" s="6">
        <v>68</v>
      </c>
      <c r="V281" s="6">
        <f>IF(ISERROR(VLOOKUP($S$281,'TAR FIN'!$A$1:$O$100,15,0)),0,VLOOKUP($S$281,'TAR FIN'!$A$1:$O$100,15,0))</f>
        <v>0</v>
      </c>
      <c r="W281" s="6">
        <f>IF(ISERROR(VLOOKUP($T$281,'TAR FIN'!$A$1:$O$100,15,0)),0,VLOOKUP($T$281,'TAR FIN'!$A$1:$O$100,15,0))</f>
        <v>43.65</v>
      </c>
      <c r="X281" s="6">
        <f>IF(ISERROR(VLOOKUP($U$281,'TAR FIN'!$A$1:$O$100,15,0)),0,VLOOKUP($U$281,'TAR FIN'!$A$1:$O$100,15,0))</f>
        <v>219.03</v>
      </c>
      <c r="Y281" s="6"/>
      <c r="Z281" s="6">
        <f ca="1">('TUSD BE'!$AM$22+'TUSD BF'!$AM$22+'TUSD CVA'!$AM$22)*1</f>
        <v>49.78704102185678</v>
      </c>
      <c r="AA281" s="6">
        <f>('TE BE'!$AA$8+'TE BF'!$AA$8+'TE CVA'!$AA$8)*1</f>
        <v>238.55077890362423</v>
      </c>
      <c r="AB281" s="6">
        <f>$K$281*$V$281</f>
        <v>0</v>
      </c>
      <c r="AC281" s="6">
        <f>$M$281*$W$281</f>
        <v>81155.564099999989</v>
      </c>
      <c r="AD281" s="6">
        <f>$O$281*$X$281</f>
        <v>407228.02301999996</v>
      </c>
      <c r="AE281" s="6">
        <f>$K$281*$Y$281</f>
        <v>0</v>
      </c>
      <c r="AF281" s="6">
        <f ca="1">$M$281*$Z$281</f>
        <v>92565.759427230863</v>
      </c>
      <c r="AG281" s="6">
        <f>$O$281*$AA$281</f>
        <v>443521.71886410087</v>
      </c>
    </row>
    <row r="282" spans="1:33" ht="11.25" customHeight="1" x14ac:dyDescent="0.25">
      <c r="A282" s="4" t="s">
        <v>28</v>
      </c>
      <c r="B282" s="4" t="s">
        <v>39</v>
      </c>
      <c r="C282" s="4" t="s">
        <v>41</v>
      </c>
      <c r="D282" s="4" t="s">
        <v>42</v>
      </c>
      <c r="E282" s="4" t="s">
        <v>25</v>
      </c>
      <c r="F282" s="4" t="s">
        <v>25</v>
      </c>
      <c r="G282" s="4" t="s">
        <v>25</v>
      </c>
      <c r="H282" s="4" t="s">
        <v>35</v>
      </c>
      <c r="I282" s="5">
        <v>44378</v>
      </c>
      <c r="J282" s="6">
        <v>0</v>
      </c>
      <c r="K282" s="6">
        <v>0</v>
      </c>
      <c r="L282" s="6">
        <v>239.047</v>
      </c>
      <c r="M282" s="6">
        <v>239.047</v>
      </c>
      <c r="N282" s="6">
        <v>239.047</v>
      </c>
      <c r="O282" s="6">
        <v>239.047</v>
      </c>
      <c r="P282" s="6">
        <v>0</v>
      </c>
      <c r="Q282" s="4" t="s">
        <v>26</v>
      </c>
      <c r="R282" s="4">
        <v>0</v>
      </c>
      <c r="S282" s="6">
        <v>0</v>
      </c>
      <c r="T282" s="6">
        <v>25</v>
      </c>
      <c r="U282" s="6">
        <v>68</v>
      </c>
      <c r="V282" s="6">
        <f>IF(ISERROR(VLOOKUP($S$282,'TAR FIN'!$A$1:$O$100,15,0)),0,VLOOKUP($S$282,'TAR FIN'!$A$1:$O$100,15,0))</f>
        <v>0</v>
      </c>
      <c r="W282" s="6">
        <f>IF(ISERROR(VLOOKUP($T$282,'TAR FIN'!$A$1:$O$100,15,0)),0,VLOOKUP($T$282,'TAR FIN'!$A$1:$O$100,15,0))</f>
        <v>43.65</v>
      </c>
      <c r="X282" s="6">
        <f>IF(ISERROR(VLOOKUP($U$282,'TAR FIN'!$A$1:$O$100,15,0)),0,VLOOKUP($U$282,'TAR FIN'!$A$1:$O$100,15,0))</f>
        <v>219.03</v>
      </c>
      <c r="Y282" s="6"/>
      <c r="Z282" s="6">
        <f ca="1">('TUSD BE'!$AM$22+'TUSD BF'!$AM$22+'TUSD CVA'!$AM$22)*1</f>
        <v>49.78704102185678</v>
      </c>
      <c r="AA282" s="6">
        <f>('TE BE'!$AA$8+'TE BF'!$AA$8+'TE CVA'!$AA$8)*1</f>
        <v>238.55077890362423</v>
      </c>
      <c r="AB282" s="6">
        <f>$K$282*$V$282</f>
        <v>0</v>
      </c>
      <c r="AC282" s="6">
        <f>$M$282*$W$282</f>
        <v>10434.401549999999</v>
      </c>
      <c r="AD282" s="6">
        <f>$O$282*$X$282</f>
        <v>52358.46441</v>
      </c>
      <c r="AE282" s="6">
        <f>$K$282*$Y$282</f>
        <v>0</v>
      </c>
      <c r="AF282" s="6">
        <f ca="1">$M$282*$Z$282</f>
        <v>11901.442795151797</v>
      </c>
      <c r="AG282" s="6">
        <f>$O$282*$AA$282</f>
        <v>57024.848044574661</v>
      </c>
    </row>
    <row r="283" spans="1:33" ht="11.25" customHeight="1" x14ac:dyDescent="0.25">
      <c r="A283" s="4" t="s">
        <v>21</v>
      </c>
      <c r="B283" s="4" t="s">
        <v>39</v>
      </c>
      <c r="C283" s="4" t="s">
        <v>41</v>
      </c>
      <c r="D283" s="4" t="s">
        <v>42</v>
      </c>
      <c r="E283" s="4" t="s">
        <v>25</v>
      </c>
      <c r="F283" s="4" t="s">
        <v>25</v>
      </c>
      <c r="G283" s="4" t="s">
        <v>25</v>
      </c>
      <c r="H283" s="4" t="s">
        <v>35</v>
      </c>
      <c r="I283" s="5">
        <v>44409</v>
      </c>
      <c r="J283" s="6">
        <v>0</v>
      </c>
      <c r="K283" s="6">
        <v>0</v>
      </c>
      <c r="L283" s="6">
        <v>1770.7670000000001</v>
      </c>
      <c r="M283" s="6">
        <v>1770.7670000000001</v>
      </c>
      <c r="N283" s="6">
        <v>1770.7670000000001</v>
      </c>
      <c r="O283" s="6">
        <v>1770.7670000000001</v>
      </c>
      <c r="P283" s="6">
        <v>0</v>
      </c>
      <c r="Q283" s="4" t="s">
        <v>26</v>
      </c>
      <c r="R283" s="4">
        <v>0</v>
      </c>
      <c r="S283" s="6">
        <v>0</v>
      </c>
      <c r="T283" s="6">
        <v>25</v>
      </c>
      <c r="U283" s="6">
        <v>68</v>
      </c>
      <c r="V283" s="6">
        <f>IF(ISERROR(VLOOKUP($S$283,'TAR FIN'!$A$1:$O$100,15,0)),0,VLOOKUP($S$283,'TAR FIN'!$A$1:$O$100,15,0))</f>
        <v>0</v>
      </c>
      <c r="W283" s="6">
        <f>IF(ISERROR(VLOOKUP($T$283,'TAR FIN'!$A$1:$O$100,15,0)),0,VLOOKUP($T$283,'TAR FIN'!$A$1:$O$100,15,0))</f>
        <v>43.65</v>
      </c>
      <c r="X283" s="6">
        <f>IF(ISERROR(VLOOKUP($U$283,'TAR FIN'!$A$1:$O$100,15,0)),0,VLOOKUP($U$283,'TAR FIN'!$A$1:$O$100,15,0))</f>
        <v>219.03</v>
      </c>
      <c r="Y283" s="6"/>
      <c r="Z283" s="6">
        <f ca="1">('TUSD BE'!$AM$22+'TUSD BF'!$AM$22+'TUSD CVA'!$AM$22)*1</f>
        <v>49.78704102185678</v>
      </c>
      <c r="AA283" s="6">
        <f>('TE BE'!$AA$8+'TE BF'!$AA$8+'TE CVA'!$AA$8)*1</f>
        <v>238.55077890362423</v>
      </c>
      <c r="AB283" s="6">
        <f>$K$283*$V$283</f>
        <v>0</v>
      </c>
      <c r="AC283" s="6">
        <f>$M$283*$W$283</f>
        <v>77293.979550000004</v>
      </c>
      <c r="AD283" s="6">
        <f>$O$283*$X$283</f>
        <v>387851.09601000004</v>
      </c>
      <c r="AE283" s="6">
        <f>$K$283*$Y$283</f>
        <v>0</v>
      </c>
      <c r="AF283" s="6">
        <f ca="1">$M$283*$Z$283</f>
        <v>88161.24926915027</v>
      </c>
      <c r="AG283" s="6">
        <f>$O$283*$AA$283</f>
        <v>422417.847106834</v>
      </c>
    </row>
    <row r="284" spans="1:33" ht="11.25" customHeight="1" x14ac:dyDescent="0.25">
      <c r="A284" s="4" t="s">
        <v>28</v>
      </c>
      <c r="B284" s="4" t="s">
        <v>39</v>
      </c>
      <c r="C284" s="4" t="s">
        <v>41</v>
      </c>
      <c r="D284" s="4" t="s">
        <v>42</v>
      </c>
      <c r="E284" s="4" t="s">
        <v>25</v>
      </c>
      <c r="F284" s="4" t="s">
        <v>25</v>
      </c>
      <c r="G284" s="4" t="s">
        <v>25</v>
      </c>
      <c r="H284" s="4" t="s">
        <v>35</v>
      </c>
      <c r="I284" s="5">
        <v>44409</v>
      </c>
      <c r="J284" s="6">
        <v>0</v>
      </c>
      <c r="K284" s="6">
        <v>0</v>
      </c>
      <c r="L284" s="6">
        <v>229.97300000000001</v>
      </c>
      <c r="M284" s="6">
        <v>229.97300000000001</v>
      </c>
      <c r="N284" s="6">
        <v>229.97300000000001</v>
      </c>
      <c r="O284" s="6">
        <v>229.97300000000001</v>
      </c>
      <c r="P284" s="6">
        <v>0</v>
      </c>
      <c r="Q284" s="4" t="s">
        <v>26</v>
      </c>
      <c r="R284" s="4">
        <v>0</v>
      </c>
      <c r="S284" s="6">
        <v>0</v>
      </c>
      <c r="T284" s="6">
        <v>25</v>
      </c>
      <c r="U284" s="6">
        <v>68</v>
      </c>
      <c r="V284" s="6">
        <f>IF(ISERROR(VLOOKUP($S$284,'TAR FIN'!$A$1:$O$100,15,0)),0,VLOOKUP($S$284,'TAR FIN'!$A$1:$O$100,15,0))</f>
        <v>0</v>
      </c>
      <c r="W284" s="6">
        <f>IF(ISERROR(VLOOKUP($T$284,'TAR FIN'!$A$1:$O$100,15,0)),0,VLOOKUP($T$284,'TAR FIN'!$A$1:$O$100,15,0))</f>
        <v>43.65</v>
      </c>
      <c r="X284" s="6">
        <f>IF(ISERROR(VLOOKUP($U$284,'TAR FIN'!$A$1:$O$100,15,0)),0,VLOOKUP($U$284,'TAR FIN'!$A$1:$O$100,15,0))</f>
        <v>219.03</v>
      </c>
      <c r="Y284" s="6"/>
      <c r="Z284" s="6">
        <f ca="1">('TUSD BE'!$AM$22+'TUSD BF'!$AM$22+'TUSD CVA'!$AM$22)*1</f>
        <v>49.78704102185678</v>
      </c>
      <c r="AA284" s="6">
        <f>('TE BE'!$AA$8+'TE BF'!$AA$8+'TE CVA'!$AA$8)*1</f>
        <v>238.55077890362423</v>
      </c>
      <c r="AB284" s="6">
        <f>$K$284*$V$284</f>
        <v>0</v>
      </c>
      <c r="AC284" s="6">
        <f>$M$284*$W$284</f>
        <v>10038.321449999999</v>
      </c>
      <c r="AD284" s="6">
        <f>$O$284*$X$284</f>
        <v>50370.986190000003</v>
      </c>
      <c r="AE284" s="6">
        <f>$K$284*$Y$284</f>
        <v>0</v>
      </c>
      <c r="AF284" s="6">
        <f ca="1">$M$284*$Z$284</f>
        <v>11449.67518491947</v>
      </c>
      <c r="AG284" s="6">
        <f>$O$284*$AA$284</f>
        <v>54860.238276803182</v>
      </c>
    </row>
    <row r="285" spans="1:33" ht="11.25" customHeight="1" x14ac:dyDescent="0.25">
      <c r="A285" s="4" t="s">
        <v>21</v>
      </c>
      <c r="B285" s="4" t="s">
        <v>39</v>
      </c>
      <c r="C285" s="4" t="s">
        <v>41</v>
      </c>
      <c r="D285" s="4" t="s">
        <v>42</v>
      </c>
      <c r="E285" s="4" t="s">
        <v>25</v>
      </c>
      <c r="F285" s="4" t="s">
        <v>25</v>
      </c>
      <c r="G285" s="4" t="s">
        <v>25</v>
      </c>
      <c r="H285" s="4" t="s">
        <v>35</v>
      </c>
      <c r="I285" s="5">
        <v>44409</v>
      </c>
      <c r="J285" s="6">
        <v>0</v>
      </c>
      <c r="K285" s="6">
        <v>0</v>
      </c>
      <c r="L285" s="6">
        <v>225.64599999999999</v>
      </c>
      <c r="M285" s="6">
        <v>225.64599999999999</v>
      </c>
      <c r="N285" s="6">
        <v>0</v>
      </c>
      <c r="O285" s="6">
        <v>0</v>
      </c>
      <c r="P285" s="6">
        <v>0</v>
      </c>
      <c r="Q285" s="4" t="s">
        <v>57</v>
      </c>
      <c r="R285" s="4">
        <v>0</v>
      </c>
      <c r="S285" s="6">
        <v>0</v>
      </c>
      <c r="T285" s="6">
        <v>25</v>
      </c>
      <c r="U285" s="6">
        <v>0</v>
      </c>
      <c r="V285" s="6">
        <f>IF(ISERROR(VLOOKUP($S$285,'TAR FIN'!$A$1:$O$100,15,0)),0,VLOOKUP($S$285,'TAR FIN'!$A$1:$O$100,15,0))</f>
        <v>0</v>
      </c>
      <c r="W285" s="6">
        <f>IF(ISERROR(VLOOKUP($T$285,'TAR FIN'!$A$1:$O$100,15,0)),0,VLOOKUP($T$285,'TAR FIN'!$A$1:$O$100,15,0))</f>
        <v>43.65</v>
      </c>
      <c r="X285" s="6">
        <f>IF(ISERROR(VLOOKUP($U$285,'TAR FIN'!$A$1:$O$100,15,0)),0,VLOOKUP($U$285,'TAR FIN'!$A$1:$O$100,15,0))</f>
        <v>0</v>
      </c>
      <c r="Y285" s="6"/>
      <c r="Z285" s="6">
        <f ca="1">('TUSD BE'!$AM$22+'TUSD BF'!$AM$22+'TUSD CVA'!$AM$22)*1</f>
        <v>49.78704102185678</v>
      </c>
      <c r="AA285" s="6"/>
      <c r="AB285" s="6">
        <f>$K$285*$V$285</f>
        <v>0</v>
      </c>
      <c r="AC285" s="6">
        <f>$M$285*$W$285</f>
        <v>9849.4478999999992</v>
      </c>
      <c r="AD285" s="6">
        <f>$O$285*$X$285</f>
        <v>0</v>
      </c>
      <c r="AE285" s="6">
        <f>$K$285*$Y$285</f>
        <v>0</v>
      </c>
      <c r="AF285" s="6">
        <f ca="1">$M$285*$Z$285</f>
        <v>11234.246658417895</v>
      </c>
      <c r="AG285" s="6">
        <f>$O$285*$AA$285</f>
        <v>0</v>
      </c>
    </row>
    <row r="286" spans="1:33" ht="11.25" customHeight="1" x14ac:dyDescent="0.25">
      <c r="A286" s="4" t="s">
        <v>21</v>
      </c>
      <c r="B286" s="4" t="s">
        <v>39</v>
      </c>
      <c r="C286" s="4" t="s">
        <v>41</v>
      </c>
      <c r="D286" s="4" t="s">
        <v>42</v>
      </c>
      <c r="E286" s="4" t="s">
        <v>25</v>
      </c>
      <c r="F286" s="4" t="s">
        <v>25</v>
      </c>
      <c r="G286" s="4" t="s">
        <v>25</v>
      </c>
      <c r="H286" s="4" t="s">
        <v>35</v>
      </c>
      <c r="I286" s="5">
        <v>44440</v>
      </c>
      <c r="J286" s="6">
        <v>0</v>
      </c>
      <c r="K286" s="6">
        <v>0</v>
      </c>
      <c r="L286" s="6">
        <v>1871.1179999999999</v>
      </c>
      <c r="M286" s="6">
        <v>1871.1179999999999</v>
      </c>
      <c r="N286" s="6">
        <v>1871.1179999999999</v>
      </c>
      <c r="O286" s="6">
        <v>1871.1179999999999</v>
      </c>
      <c r="P286" s="6">
        <v>0</v>
      </c>
      <c r="Q286" s="4" t="s">
        <v>26</v>
      </c>
      <c r="R286" s="4">
        <v>0</v>
      </c>
      <c r="S286" s="6">
        <v>0</v>
      </c>
      <c r="T286" s="6">
        <v>25</v>
      </c>
      <c r="U286" s="6">
        <v>68</v>
      </c>
      <c r="V286" s="6">
        <f>IF(ISERROR(VLOOKUP($S$286,'TAR FIN'!$A$1:$O$100,15,0)),0,VLOOKUP($S$286,'TAR FIN'!$A$1:$O$100,15,0))</f>
        <v>0</v>
      </c>
      <c r="W286" s="6">
        <f>IF(ISERROR(VLOOKUP($T$286,'TAR FIN'!$A$1:$O$100,15,0)),0,VLOOKUP($T$286,'TAR FIN'!$A$1:$O$100,15,0))</f>
        <v>43.65</v>
      </c>
      <c r="X286" s="6">
        <f>IF(ISERROR(VLOOKUP($U$286,'TAR FIN'!$A$1:$O$100,15,0)),0,VLOOKUP($U$286,'TAR FIN'!$A$1:$O$100,15,0))</f>
        <v>219.03</v>
      </c>
      <c r="Y286" s="6"/>
      <c r="Z286" s="6">
        <f ca="1">('TUSD BE'!$AM$22+'TUSD BF'!$AM$22+'TUSD CVA'!$AM$22)*1</f>
        <v>49.78704102185678</v>
      </c>
      <c r="AA286" s="6">
        <f>('TE BE'!$AA$8+'TE BF'!$AA$8+'TE CVA'!$AA$8)*1</f>
        <v>238.55077890362423</v>
      </c>
      <c r="AB286" s="6">
        <f>$K$286*$V$286</f>
        <v>0</v>
      </c>
      <c r="AC286" s="6">
        <f>$M$286*$W$286</f>
        <v>81674.300699999993</v>
      </c>
      <c r="AD286" s="6">
        <f>$O$286*$X$286</f>
        <v>409830.97554000001</v>
      </c>
      <c r="AE286" s="6">
        <f>$K$286*$Y$286</f>
        <v>0</v>
      </c>
      <c r="AF286" s="6">
        <f ca="1">$M$286*$Z$286</f>
        <v>93157.428622734617</v>
      </c>
      <c r="AG286" s="6">
        <f>$O$286*$AA$286</f>
        <v>446356.65632059157</v>
      </c>
    </row>
    <row r="287" spans="1:33" ht="11.25" customHeight="1" x14ac:dyDescent="0.25">
      <c r="A287" s="4" t="s">
        <v>28</v>
      </c>
      <c r="B287" s="4" t="s">
        <v>39</v>
      </c>
      <c r="C287" s="4" t="s">
        <v>41</v>
      </c>
      <c r="D287" s="4" t="s">
        <v>42</v>
      </c>
      <c r="E287" s="4" t="s">
        <v>25</v>
      </c>
      <c r="F287" s="4" t="s">
        <v>25</v>
      </c>
      <c r="G287" s="4" t="s">
        <v>25</v>
      </c>
      <c r="H287" s="4" t="s">
        <v>35</v>
      </c>
      <c r="I287" s="5">
        <v>44440</v>
      </c>
      <c r="J287" s="6">
        <v>0</v>
      </c>
      <c r="K287" s="6">
        <v>0</v>
      </c>
      <c r="L287" s="6">
        <v>226.03399999999999</v>
      </c>
      <c r="M287" s="6">
        <v>226.03399999999999</v>
      </c>
      <c r="N287" s="6">
        <v>226.03399999999999</v>
      </c>
      <c r="O287" s="6">
        <v>226.03399999999999</v>
      </c>
      <c r="P287" s="6">
        <v>0</v>
      </c>
      <c r="Q287" s="4" t="s">
        <v>26</v>
      </c>
      <c r="R287" s="4">
        <v>0</v>
      </c>
      <c r="S287" s="6">
        <v>0</v>
      </c>
      <c r="T287" s="6">
        <v>25</v>
      </c>
      <c r="U287" s="6">
        <v>68</v>
      </c>
      <c r="V287" s="6">
        <f>IF(ISERROR(VLOOKUP($S$287,'TAR FIN'!$A$1:$O$100,15,0)),0,VLOOKUP($S$287,'TAR FIN'!$A$1:$O$100,15,0))</f>
        <v>0</v>
      </c>
      <c r="W287" s="6">
        <f>IF(ISERROR(VLOOKUP($T$287,'TAR FIN'!$A$1:$O$100,15,0)),0,VLOOKUP($T$287,'TAR FIN'!$A$1:$O$100,15,0))</f>
        <v>43.65</v>
      </c>
      <c r="X287" s="6">
        <f>IF(ISERROR(VLOOKUP($U$287,'TAR FIN'!$A$1:$O$100,15,0)),0,VLOOKUP($U$287,'TAR FIN'!$A$1:$O$100,15,0))</f>
        <v>219.03</v>
      </c>
      <c r="Y287" s="6"/>
      <c r="Z287" s="6">
        <f ca="1">('TUSD BE'!$AM$22+'TUSD BF'!$AM$22+'TUSD CVA'!$AM$22)*1</f>
        <v>49.78704102185678</v>
      </c>
      <c r="AA287" s="6">
        <f>('TE BE'!$AA$8+'TE BF'!$AA$8+'TE CVA'!$AA$8)*1</f>
        <v>238.55077890362423</v>
      </c>
      <c r="AB287" s="6">
        <f>$K$287*$V$287</f>
        <v>0</v>
      </c>
      <c r="AC287" s="6">
        <f>$M$287*$W$287</f>
        <v>9866.3840999999993</v>
      </c>
      <c r="AD287" s="6">
        <f>$O$287*$X$287</f>
        <v>49508.227019999998</v>
      </c>
      <c r="AE287" s="6">
        <f>$K$287*$Y$287</f>
        <v>0</v>
      </c>
      <c r="AF287" s="6">
        <f ca="1">$M$287*$Z$287</f>
        <v>11253.564030334375</v>
      </c>
      <c r="AG287" s="6">
        <f>$O$287*$AA$287</f>
        <v>53920.5867587018</v>
      </c>
    </row>
    <row r="288" spans="1:33" ht="11.25" customHeight="1" x14ac:dyDescent="0.25">
      <c r="A288" s="4" t="s">
        <v>28</v>
      </c>
      <c r="B288" s="4" t="s">
        <v>39</v>
      </c>
      <c r="C288" s="4" t="s">
        <v>41</v>
      </c>
      <c r="D288" s="4" t="s">
        <v>42</v>
      </c>
      <c r="E288" s="4" t="s">
        <v>25</v>
      </c>
      <c r="F288" s="4" t="s">
        <v>25</v>
      </c>
      <c r="G288" s="4" t="s">
        <v>25</v>
      </c>
      <c r="H288" s="4" t="s">
        <v>35</v>
      </c>
      <c r="I288" s="5">
        <v>44440</v>
      </c>
      <c r="J288" s="6">
        <v>0</v>
      </c>
      <c r="K288" s="6">
        <v>0</v>
      </c>
      <c r="L288" s="6">
        <v>-14.91</v>
      </c>
      <c r="M288" s="6">
        <v>-14.91</v>
      </c>
      <c r="N288" s="6">
        <v>-14.91</v>
      </c>
      <c r="O288" s="6">
        <v>-14.91</v>
      </c>
      <c r="P288" s="6">
        <v>0</v>
      </c>
      <c r="Q288" s="4" t="s">
        <v>26</v>
      </c>
      <c r="R288" s="4">
        <v>0</v>
      </c>
      <c r="S288" s="6">
        <v>0</v>
      </c>
      <c r="T288" s="6">
        <v>25</v>
      </c>
      <c r="U288" s="6">
        <v>68</v>
      </c>
      <c r="V288" s="6">
        <f>IF(ISERROR(VLOOKUP($S$288,'TAR FIN'!$A$1:$O$100,15,0)),0,VLOOKUP($S$288,'TAR FIN'!$A$1:$O$100,15,0))</f>
        <v>0</v>
      </c>
      <c r="W288" s="6">
        <f>IF(ISERROR(VLOOKUP($T$288,'TAR FIN'!$A$1:$O$100,15,0)),0,VLOOKUP($T$288,'TAR FIN'!$A$1:$O$100,15,0))</f>
        <v>43.65</v>
      </c>
      <c r="X288" s="6">
        <f>IF(ISERROR(VLOOKUP($U$288,'TAR FIN'!$A$1:$O$100,15,0)),0,VLOOKUP($U$288,'TAR FIN'!$A$1:$O$100,15,0))</f>
        <v>219.03</v>
      </c>
      <c r="Y288" s="6"/>
      <c r="Z288" s="6">
        <f ca="1">('TUSD BE'!$AM$22+'TUSD BF'!$AM$22+'TUSD CVA'!$AM$22)*1</f>
        <v>49.78704102185678</v>
      </c>
      <c r="AA288" s="6">
        <f>('TE BE'!$AA$8+'TE BF'!$AA$8+'TE CVA'!$AA$8)*1</f>
        <v>238.55077890362423</v>
      </c>
      <c r="AB288" s="6">
        <f>$K$288*$V$288</f>
        <v>0</v>
      </c>
      <c r="AC288" s="6">
        <f>$M$288*$W$288</f>
        <v>-650.82150000000001</v>
      </c>
      <c r="AD288" s="6">
        <f>$O$288*$X$288</f>
        <v>-3265.7373000000002</v>
      </c>
      <c r="AE288" s="6">
        <f>$K$288*$Y$288</f>
        <v>0</v>
      </c>
      <c r="AF288" s="6">
        <f ca="1">$M$288*$Z$288</f>
        <v>-742.32478163588462</v>
      </c>
      <c r="AG288" s="6">
        <f>$O$288*$AA$288</f>
        <v>-3556.7921134530375</v>
      </c>
    </row>
    <row r="289" spans="1:33" ht="11.25" customHeight="1" x14ac:dyDescent="0.25">
      <c r="A289" s="4" t="s">
        <v>21</v>
      </c>
      <c r="B289" s="4" t="s">
        <v>39</v>
      </c>
      <c r="C289" s="4" t="s">
        <v>41</v>
      </c>
      <c r="D289" s="4" t="s">
        <v>42</v>
      </c>
      <c r="E289" s="4" t="s">
        <v>25</v>
      </c>
      <c r="F289" s="4" t="s">
        <v>25</v>
      </c>
      <c r="G289" s="4" t="s">
        <v>25</v>
      </c>
      <c r="H289" s="4" t="s">
        <v>35</v>
      </c>
      <c r="I289" s="5">
        <v>44440</v>
      </c>
      <c r="J289" s="6">
        <v>0</v>
      </c>
      <c r="K289" s="6">
        <v>0</v>
      </c>
      <c r="L289" s="6">
        <v>229.39</v>
      </c>
      <c r="M289" s="6">
        <v>229.39</v>
      </c>
      <c r="N289" s="6">
        <v>0</v>
      </c>
      <c r="O289" s="6">
        <v>0</v>
      </c>
      <c r="P289" s="6">
        <v>0</v>
      </c>
      <c r="Q289" s="4" t="s">
        <v>57</v>
      </c>
      <c r="R289" s="4">
        <v>0</v>
      </c>
      <c r="S289" s="6">
        <v>0</v>
      </c>
      <c r="T289" s="6">
        <v>25</v>
      </c>
      <c r="U289" s="6">
        <v>0</v>
      </c>
      <c r="V289" s="6">
        <f>IF(ISERROR(VLOOKUP($S$289,'TAR FIN'!$A$1:$O$100,15,0)),0,VLOOKUP($S$289,'TAR FIN'!$A$1:$O$100,15,0))</f>
        <v>0</v>
      </c>
      <c r="W289" s="6">
        <f>IF(ISERROR(VLOOKUP($T$289,'TAR FIN'!$A$1:$O$100,15,0)),0,VLOOKUP($T$289,'TAR FIN'!$A$1:$O$100,15,0))</f>
        <v>43.65</v>
      </c>
      <c r="X289" s="6">
        <f>IF(ISERROR(VLOOKUP($U$289,'TAR FIN'!$A$1:$O$100,15,0)),0,VLOOKUP($U$289,'TAR FIN'!$A$1:$O$100,15,0))</f>
        <v>0</v>
      </c>
      <c r="Y289" s="6"/>
      <c r="Z289" s="6">
        <f ca="1">('TUSD BE'!$AM$22+'TUSD BF'!$AM$22+'TUSD CVA'!$AM$22)*1</f>
        <v>49.78704102185678</v>
      </c>
      <c r="AA289" s="6"/>
      <c r="AB289" s="6">
        <f>$K$289*$V$289</f>
        <v>0</v>
      </c>
      <c r="AC289" s="6">
        <f>$M$289*$W$289</f>
        <v>10012.8735</v>
      </c>
      <c r="AD289" s="6">
        <f>$O$289*$X$289</f>
        <v>0</v>
      </c>
      <c r="AE289" s="6">
        <f>$K$289*$Y$289</f>
        <v>0</v>
      </c>
      <c r="AF289" s="6">
        <f ca="1">$M$289*$Z$289</f>
        <v>11420.649340003725</v>
      </c>
      <c r="AG289" s="6">
        <f>$O$289*$AA$289</f>
        <v>0</v>
      </c>
    </row>
    <row r="290" spans="1:33" ht="11.25" customHeight="1" x14ac:dyDescent="0.25">
      <c r="A290" s="4" t="s">
        <v>21</v>
      </c>
      <c r="B290" s="4" t="s">
        <v>39</v>
      </c>
      <c r="C290" s="4" t="s">
        <v>41</v>
      </c>
      <c r="D290" s="4" t="s">
        <v>42</v>
      </c>
      <c r="E290" s="4" t="s">
        <v>25</v>
      </c>
      <c r="F290" s="4" t="s">
        <v>25</v>
      </c>
      <c r="G290" s="4" t="s">
        <v>25</v>
      </c>
      <c r="H290" s="4" t="s">
        <v>35</v>
      </c>
      <c r="I290" s="5">
        <v>44470</v>
      </c>
      <c r="J290" s="6">
        <v>0</v>
      </c>
      <c r="K290" s="6">
        <v>0</v>
      </c>
      <c r="L290" s="6">
        <v>2082.4140000000002</v>
      </c>
      <c r="M290" s="6">
        <v>2082.4140000000002</v>
      </c>
      <c r="N290" s="6">
        <v>2082.4140000000002</v>
      </c>
      <c r="O290" s="6">
        <v>2082.4140000000002</v>
      </c>
      <c r="P290" s="6">
        <v>0</v>
      </c>
      <c r="Q290" s="4" t="s">
        <v>26</v>
      </c>
      <c r="R290" s="4">
        <v>0</v>
      </c>
      <c r="S290" s="6">
        <v>0</v>
      </c>
      <c r="T290" s="6">
        <v>25</v>
      </c>
      <c r="U290" s="6">
        <v>68</v>
      </c>
      <c r="V290" s="6">
        <f>IF(ISERROR(VLOOKUP($S$290,'TAR FIN'!$A$1:$O$100,15,0)),0,VLOOKUP($S$290,'TAR FIN'!$A$1:$O$100,15,0))</f>
        <v>0</v>
      </c>
      <c r="W290" s="6">
        <f>IF(ISERROR(VLOOKUP($T$290,'TAR FIN'!$A$1:$O$100,15,0)),0,VLOOKUP($T$290,'TAR FIN'!$A$1:$O$100,15,0))</f>
        <v>43.65</v>
      </c>
      <c r="X290" s="6">
        <f>IF(ISERROR(VLOOKUP($U$290,'TAR FIN'!$A$1:$O$100,15,0)),0,VLOOKUP($U$290,'TAR FIN'!$A$1:$O$100,15,0))</f>
        <v>219.03</v>
      </c>
      <c r="Y290" s="6"/>
      <c r="Z290" s="6">
        <f ca="1">('TUSD BE'!$AM$22+'TUSD BF'!$AM$22+'TUSD CVA'!$AM$22)*1</f>
        <v>49.78704102185678</v>
      </c>
      <c r="AA290" s="6">
        <f>('TE BE'!$AA$8+'TE BF'!$AA$8+'TE CVA'!$AA$8)*1</f>
        <v>238.55077890362423</v>
      </c>
      <c r="AB290" s="6">
        <f>$K$290*$V$290</f>
        <v>0</v>
      </c>
      <c r="AC290" s="6">
        <f>$M$290*$W$290</f>
        <v>90897.371100000004</v>
      </c>
      <c r="AD290" s="6">
        <f>$O$290*$X$290</f>
        <v>456111.13842000003</v>
      </c>
      <c r="AE290" s="6">
        <f>$K$290*$Y$290</f>
        <v>0</v>
      </c>
      <c r="AF290" s="6">
        <f ca="1">$M$290*$Z$290</f>
        <v>103677.23124248888</v>
      </c>
      <c r="AG290" s="6">
        <f>$O$290*$AA$290</f>
        <v>496761.48169981182</v>
      </c>
    </row>
    <row r="291" spans="1:33" ht="11.25" customHeight="1" x14ac:dyDescent="0.25">
      <c r="A291" s="4" t="s">
        <v>28</v>
      </c>
      <c r="B291" s="4" t="s">
        <v>39</v>
      </c>
      <c r="C291" s="4" t="s">
        <v>41</v>
      </c>
      <c r="D291" s="4" t="s">
        <v>42</v>
      </c>
      <c r="E291" s="4" t="s">
        <v>25</v>
      </c>
      <c r="F291" s="4" t="s">
        <v>25</v>
      </c>
      <c r="G291" s="4" t="s">
        <v>25</v>
      </c>
      <c r="H291" s="4" t="s">
        <v>35</v>
      </c>
      <c r="I291" s="5">
        <v>44470</v>
      </c>
      <c r="J291" s="6">
        <v>0</v>
      </c>
      <c r="K291" s="6">
        <v>0</v>
      </c>
      <c r="L291" s="6">
        <v>247.19800000000001</v>
      </c>
      <c r="M291" s="6">
        <v>247.19800000000001</v>
      </c>
      <c r="N291" s="6">
        <v>247.19800000000001</v>
      </c>
      <c r="O291" s="6">
        <v>247.19800000000001</v>
      </c>
      <c r="P291" s="6">
        <v>0</v>
      </c>
      <c r="Q291" s="4" t="s">
        <v>26</v>
      </c>
      <c r="R291" s="4">
        <v>0</v>
      </c>
      <c r="S291" s="6">
        <v>0</v>
      </c>
      <c r="T291" s="6">
        <v>25</v>
      </c>
      <c r="U291" s="6">
        <v>68</v>
      </c>
      <c r="V291" s="6">
        <f>IF(ISERROR(VLOOKUP($S$291,'TAR FIN'!$A$1:$O$100,15,0)),0,VLOOKUP($S$291,'TAR FIN'!$A$1:$O$100,15,0))</f>
        <v>0</v>
      </c>
      <c r="W291" s="6">
        <f>IF(ISERROR(VLOOKUP($T$291,'TAR FIN'!$A$1:$O$100,15,0)),0,VLOOKUP($T$291,'TAR FIN'!$A$1:$O$100,15,0))</f>
        <v>43.65</v>
      </c>
      <c r="X291" s="6">
        <f>IF(ISERROR(VLOOKUP($U$291,'TAR FIN'!$A$1:$O$100,15,0)),0,VLOOKUP($U$291,'TAR FIN'!$A$1:$O$100,15,0))</f>
        <v>219.03</v>
      </c>
      <c r="Y291" s="6"/>
      <c r="Z291" s="6">
        <f ca="1">('TUSD BE'!$AM$22+'TUSD BF'!$AM$22+'TUSD CVA'!$AM$22)*1</f>
        <v>49.78704102185678</v>
      </c>
      <c r="AA291" s="6">
        <f>('TE BE'!$AA$8+'TE BF'!$AA$8+'TE CVA'!$AA$8)*1</f>
        <v>238.55077890362423</v>
      </c>
      <c r="AB291" s="6">
        <f>$K$291*$V$291</f>
        <v>0</v>
      </c>
      <c r="AC291" s="6">
        <f>$M$291*$W$291</f>
        <v>10790.1927</v>
      </c>
      <c r="AD291" s="6">
        <f>$O$291*$X$291</f>
        <v>54143.77794</v>
      </c>
      <c r="AE291" s="6">
        <f>$K$291*$Y$291</f>
        <v>0</v>
      </c>
      <c r="AF291" s="6">
        <f ca="1">$M$291*$Z$291</f>
        <v>12307.256966520952</v>
      </c>
      <c r="AG291" s="6">
        <f>$O$291*$AA$291</f>
        <v>58969.275443418104</v>
      </c>
    </row>
    <row r="292" spans="1:33" ht="11.25" customHeight="1" x14ac:dyDescent="0.25">
      <c r="A292" s="4" t="s">
        <v>21</v>
      </c>
      <c r="B292" s="4" t="s">
        <v>39</v>
      </c>
      <c r="C292" s="4" t="s">
        <v>41</v>
      </c>
      <c r="D292" s="4" t="s">
        <v>42</v>
      </c>
      <c r="E292" s="4" t="s">
        <v>25</v>
      </c>
      <c r="F292" s="4" t="s">
        <v>25</v>
      </c>
      <c r="G292" s="4" t="s">
        <v>25</v>
      </c>
      <c r="H292" s="4" t="s">
        <v>35</v>
      </c>
      <c r="I292" s="5">
        <v>44501</v>
      </c>
      <c r="J292" s="6">
        <v>0</v>
      </c>
      <c r="K292" s="6">
        <v>0</v>
      </c>
      <c r="L292" s="6">
        <v>2128.8130000000001</v>
      </c>
      <c r="M292" s="6">
        <v>2128.8130000000001</v>
      </c>
      <c r="N292" s="6">
        <v>2128.8130000000001</v>
      </c>
      <c r="O292" s="6">
        <v>2128.8130000000001</v>
      </c>
      <c r="P292" s="6">
        <v>0</v>
      </c>
      <c r="Q292" s="4" t="s">
        <v>26</v>
      </c>
      <c r="R292" s="4">
        <v>0</v>
      </c>
      <c r="S292" s="6">
        <v>0</v>
      </c>
      <c r="T292" s="6">
        <v>25</v>
      </c>
      <c r="U292" s="6">
        <v>68</v>
      </c>
      <c r="V292" s="6">
        <f>IF(ISERROR(VLOOKUP($S$292,'TAR FIN'!$A$1:$O$100,15,0)),0,VLOOKUP($S$292,'TAR FIN'!$A$1:$O$100,15,0))</f>
        <v>0</v>
      </c>
      <c r="W292" s="6">
        <f>IF(ISERROR(VLOOKUP($T$292,'TAR FIN'!$A$1:$O$100,15,0)),0,VLOOKUP($T$292,'TAR FIN'!$A$1:$O$100,15,0))</f>
        <v>43.65</v>
      </c>
      <c r="X292" s="6">
        <f>IF(ISERROR(VLOOKUP($U$292,'TAR FIN'!$A$1:$O$100,15,0)),0,VLOOKUP($U$292,'TAR FIN'!$A$1:$O$100,15,0))</f>
        <v>219.03</v>
      </c>
      <c r="Y292" s="6"/>
      <c r="Z292" s="6">
        <f ca="1">('TUSD BE'!$AM$22+'TUSD BF'!$AM$22+'TUSD CVA'!$AM$22)*1</f>
        <v>49.78704102185678</v>
      </c>
      <c r="AA292" s="6">
        <f>('TE BE'!$AA$8+'TE BF'!$AA$8+'TE CVA'!$AA$8)*1</f>
        <v>238.55077890362423</v>
      </c>
      <c r="AB292" s="6">
        <f>$K$292*$V$292</f>
        <v>0</v>
      </c>
      <c r="AC292" s="6">
        <f>$M$292*$W$292</f>
        <v>92922.687449999998</v>
      </c>
      <c r="AD292" s="6">
        <f>$O$292*$X$292</f>
        <v>466273.91139000002</v>
      </c>
      <c r="AE292" s="6">
        <f>$K$292*$Y$292</f>
        <v>0</v>
      </c>
      <c r="AF292" s="6">
        <f ca="1">$M$292*$Z$292</f>
        <v>105987.300158862</v>
      </c>
      <c r="AG292" s="6">
        <f>$O$292*$AA$292</f>
        <v>507829.99929016107</v>
      </c>
    </row>
    <row r="293" spans="1:33" ht="11.25" customHeight="1" x14ac:dyDescent="0.25">
      <c r="A293" s="4" t="s">
        <v>28</v>
      </c>
      <c r="B293" s="4" t="s">
        <v>39</v>
      </c>
      <c r="C293" s="4" t="s">
        <v>41</v>
      </c>
      <c r="D293" s="4" t="s">
        <v>42</v>
      </c>
      <c r="E293" s="4" t="s">
        <v>25</v>
      </c>
      <c r="F293" s="4" t="s">
        <v>25</v>
      </c>
      <c r="G293" s="4" t="s">
        <v>25</v>
      </c>
      <c r="H293" s="4" t="s">
        <v>35</v>
      </c>
      <c r="I293" s="5">
        <v>44501</v>
      </c>
      <c r="J293" s="6">
        <v>0</v>
      </c>
      <c r="K293" s="6">
        <v>0</v>
      </c>
      <c r="L293" s="6">
        <v>184.01499999999999</v>
      </c>
      <c r="M293" s="6">
        <v>184.01499999999999</v>
      </c>
      <c r="N293" s="6">
        <v>184.01499999999999</v>
      </c>
      <c r="O293" s="6">
        <v>184.01499999999999</v>
      </c>
      <c r="P293" s="6">
        <v>0</v>
      </c>
      <c r="Q293" s="4" t="s">
        <v>26</v>
      </c>
      <c r="R293" s="4">
        <v>0</v>
      </c>
      <c r="S293" s="6">
        <v>0</v>
      </c>
      <c r="T293" s="6">
        <v>25</v>
      </c>
      <c r="U293" s="6">
        <v>68</v>
      </c>
      <c r="V293" s="6">
        <f>IF(ISERROR(VLOOKUP($S$293,'TAR FIN'!$A$1:$O$100,15,0)),0,VLOOKUP($S$293,'TAR FIN'!$A$1:$O$100,15,0))</f>
        <v>0</v>
      </c>
      <c r="W293" s="6">
        <f>IF(ISERROR(VLOOKUP($T$293,'TAR FIN'!$A$1:$O$100,15,0)),0,VLOOKUP($T$293,'TAR FIN'!$A$1:$O$100,15,0))</f>
        <v>43.65</v>
      </c>
      <c r="X293" s="6">
        <f>IF(ISERROR(VLOOKUP($U$293,'TAR FIN'!$A$1:$O$100,15,0)),0,VLOOKUP($U$293,'TAR FIN'!$A$1:$O$100,15,0))</f>
        <v>219.03</v>
      </c>
      <c r="Y293" s="6"/>
      <c r="Z293" s="6">
        <f ca="1">('TUSD BE'!$AM$22+'TUSD BF'!$AM$22+'TUSD CVA'!$AM$22)*1</f>
        <v>49.78704102185678</v>
      </c>
      <c r="AA293" s="6">
        <f>('TE BE'!$AA$8+'TE BF'!$AA$8+'TE CVA'!$AA$8)*1</f>
        <v>238.55077890362423</v>
      </c>
      <c r="AB293" s="6">
        <f>$K$293*$V$293</f>
        <v>0</v>
      </c>
      <c r="AC293" s="6">
        <f>$M$293*$W$293</f>
        <v>8032.2547499999991</v>
      </c>
      <c r="AD293" s="6">
        <f>$O$293*$X$293</f>
        <v>40304.80545</v>
      </c>
      <c r="AE293" s="6">
        <f>$K$293*$Y$293</f>
        <v>0</v>
      </c>
      <c r="AF293" s="6">
        <f ca="1">$M$293*$Z$293</f>
        <v>9161.5623536369749</v>
      </c>
      <c r="AG293" s="6">
        <f>$O$293*$AA$293</f>
        <v>43896.921579950409</v>
      </c>
    </row>
    <row r="294" spans="1:33" ht="11.25" customHeight="1" x14ac:dyDescent="0.25">
      <c r="A294" s="4" t="s">
        <v>21</v>
      </c>
      <c r="B294" s="4" t="s">
        <v>39</v>
      </c>
      <c r="C294" s="4" t="s">
        <v>41</v>
      </c>
      <c r="D294" s="4" t="s">
        <v>42</v>
      </c>
      <c r="E294" s="4" t="s">
        <v>25</v>
      </c>
      <c r="F294" s="4" t="s">
        <v>25</v>
      </c>
      <c r="G294" s="4" t="s">
        <v>25</v>
      </c>
      <c r="H294" s="4" t="s">
        <v>35</v>
      </c>
      <c r="I294" s="5">
        <v>44531</v>
      </c>
      <c r="J294" s="6">
        <v>0</v>
      </c>
      <c r="K294" s="6">
        <v>0</v>
      </c>
      <c r="L294" s="6">
        <v>2145.5210000000002</v>
      </c>
      <c r="M294" s="6">
        <v>2145.5210000000002</v>
      </c>
      <c r="N294" s="6">
        <v>2145.5210000000002</v>
      </c>
      <c r="O294" s="6">
        <v>2145.5210000000002</v>
      </c>
      <c r="P294" s="6">
        <v>0</v>
      </c>
      <c r="Q294" s="4" t="s">
        <v>26</v>
      </c>
      <c r="R294" s="4">
        <v>0</v>
      </c>
      <c r="S294" s="6">
        <v>0</v>
      </c>
      <c r="T294" s="6">
        <v>25</v>
      </c>
      <c r="U294" s="6">
        <v>68</v>
      </c>
      <c r="V294" s="6">
        <f>IF(ISERROR(VLOOKUP($S$294,'TAR FIN'!$A$1:$O$100,15,0)),0,VLOOKUP($S$294,'TAR FIN'!$A$1:$O$100,15,0))</f>
        <v>0</v>
      </c>
      <c r="W294" s="6">
        <f>IF(ISERROR(VLOOKUP($T$294,'TAR FIN'!$A$1:$O$100,15,0)),0,VLOOKUP($T$294,'TAR FIN'!$A$1:$O$100,15,0))</f>
        <v>43.65</v>
      </c>
      <c r="X294" s="6">
        <f>IF(ISERROR(VLOOKUP($U$294,'TAR FIN'!$A$1:$O$100,15,0)),0,VLOOKUP($U$294,'TAR FIN'!$A$1:$O$100,15,0))</f>
        <v>219.03</v>
      </c>
      <c r="Y294" s="6"/>
      <c r="Z294" s="6">
        <f ca="1">('TUSD BE'!$AM$22+'TUSD BF'!$AM$22+'TUSD CVA'!$AM$22)*1</f>
        <v>49.78704102185678</v>
      </c>
      <c r="AA294" s="6">
        <f>('TE BE'!$AA$8+'TE BF'!$AA$8+'TE CVA'!$AA$8)*1</f>
        <v>238.55077890362423</v>
      </c>
      <c r="AB294" s="6">
        <f>$K$294*$V$294</f>
        <v>0</v>
      </c>
      <c r="AC294" s="6">
        <f>$M$294*$W$294</f>
        <v>93651.991650000011</v>
      </c>
      <c r="AD294" s="6">
        <f>$O$294*$X$294</f>
        <v>469933.46463000006</v>
      </c>
      <c r="AE294" s="6">
        <f>$K$294*$Y$294</f>
        <v>0</v>
      </c>
      <c r="AF294" s="6">
        <f ca="1">$M$294*$Z$294</f>
        <v>106819.14204025519</v>
      </c>
      <c r="AG294" s="6">
        <f>$O$294*$AA$294</f>
        <v>511815.70570408279</v>
      </c>
    </row>
    <row r="295" spans="1:33" ht="11.25" customHeight="1" x14ac:dyDescent="0.25">
      <c r="A295" s="4" t="s">
        <v>28</v>
      </c>
      <c r="B295" s="4" t="s">
        <v>39</v>
      </c>
      <c r="C295" s="4" t="s">
        <v>41</v>
      </c>
      <c r="D295" s="4" t="s">
        <v>42</v>
      </c>
      <c r="E295" s="4" t="s">
        <v>25</v>
      </c>
      <c r="F295" s="4" t="s">
        <v>25</v>
      </c>
      <c r="G295" s="4" t="s">
        <v>25</v>
      </c>
      <c r="H295" s="4" t="s">
        <v>35</v>
      </c>
      <c r="I295" s="5">
        <v>44531</v>
      </c>
      <c r="J295" s="6">
        <v>0</v>
      </c>
      <c r="K295" s="6">
        <v>0</v>
      </c>
      <c r="L295" s="6">
        <v>157.102</v>
      </c>
      <c r="M295" s="6">
        <v>157.102</v>
      </c>
      <c r="N295" s="6">
        <v>157.102</v>
      </c>
      <c r="O295" s="6">
        <v>157.102</v>
      </c>
      <c r="P295" s="6">
        <v>0</v>
      </c>
      <c r="Q295" s="4" t="s">
        <v>26</v>
      </c>
      <c r="R295" s="4">
        <v>0</v>
      </c>
      <c r="S295" s="6">
        <v>0</v>
      </c>
      <c r="T295" s="6">
        <v>25</v>
      </c>
      <c r="U295" s="6">
        <v>68</v>
      </c>
      <c r="V295" s="6">
        <f>IF(ISERROR(VLOOKUP($S$295,'TAR FIN'!$A$1:$O$100,15,0)),0,VLOOKUP($S$295,'TAR FIN'!$A$1:$O$100,15,0))</f>
        <v>0</v>
      </c>
      <c r="W295" s="6">
        <f>IF(ISERROR(VLOOKUP($T$295,'TAR FIN'!$A$1:$O$100,15,0)),0,VLOOKUP($T$295,'TAR FIN'!$A$1:$O$100,15,0))</f>
        <v>43.65</v>
      </c>
      <c r="X295" s="6">
        <f>IF(ISERROR(VLOOKUP($U$295,'TAR FIN'!$A$1:$O$100,15,0)),0,VLOOKUP($U$295,'TAR FIN'!$A$1:$O$100,15,0))</f>
        <v>219.03</v>
      </c>
      <c r="Y295" s="6"/>
      <c r="Z295" s="6">
        <f ca="1">('TUSD BE'!$AM$22+'TUSD BF'!$AM$22+'TUSD CVA'!$AM$22)*1</f>
        <v>49.78704102185678</v>
      </c>
      <c r="AA295" s="6">
        <f>('TE BE'!$AA$8+'TE BF'!$AA$8+'TE CVA'!$AA$8)*1</f>
        <v>238.55077890362423</v>
      </c>
      <c r="AB295" s="6">
        <f>$K$295*$V$295</f>
        <v>0</v>
      </c>
      <c r="AC295" s="6">
        <f>$M$295*$W$295</f>
        <v>6857.5023000000001</v>
      </c>
      <c r="AD295" s="6">
        <f>$O$295*$X$295</f>
        <v>34410.051059999998</v>
      </c>
      <c r="AE295" s="6">
        <f>$K$295*$Y$295</f>
        <v>0</v>
      </c>
      <c r="AF295" s="6">
        <f ca="1">$M$295*$Z$295</f>
        <v>7821.6437186157436</v>
      </c>
      <c r="AG295" s="6">
        <f>$O$295*$AA$295</f>
        <v>37476.804467317175</v>
      </c>
    </row>
    <row r="296" spans="1:33" ht="11.25" customHeight="1" x14ac:dyDescent="0.25">
      <c r="A296" s="4" t="s">
        <v>55</v>
      </c>
      <c r="B296" s="4" t="s">
        <v>39</v>
      </c>
      <c r="C296" s="4" t="s">
        <v>41</v>
      </c>
      <c r="D296" s="4" t="s">
        <v>42</v>
      </c>
      <c r="E296" s="4" t="s">
        <v>25</v>
      </c>
      <c r="F296" s="4" t="s">
        <v>25</v>
      </c>
      <c r="G296" s="4" t="s">
        <v>25</v>
      </c>
      <c r="H296" s="4" t="s">
        <v>35</v>
      </c>
      <c r="I296" s="5">
        <v>44562</v>
      </c>
      <c r="J296" s="6">
        <v>0</v>
      </c>
      <c r="K296" s="6">
        <v>0</v>
      </c>
      <c r="L296" s="6">
        <v>2145.5210000000002</v>
      </c>
      <c r="M296" s="6">
        <v>2145.5210000000002</v>
      </c>
      <c r="N296" s="6">
        <v>2145.5210000000002</v>
      </c>
      <c r="O296" s="6">
        <v>2145.5210000000002</v>
      </c>
      <c r="P296" s="6">
        <v>0</v>
      </c>
      <c r="Q296" s="4" t="s">
        <v>26</v>
      </c>
      <c r="R296" s="4">
        <v>0</v>
      </c>
      <c r="S296" s="6">
        <v>0</v>
      </c>
      <c r="T296" s="6">
        <v>25</v>
      </c>
      <c r="U296" s="6">
        <v>68</v>
      </c>
      <c r="V296" s="6">
        <f>IF(ISERROR(VLOOKUP($S$296,'TAR FIN'!$A$1:$O$100,15,0)),0,VLOOKUP($S$296,'TAR FIN'!$A$1:$O$100,15,0))</f>
        <v>0</v>
      </c>
      <c r="W296" s="6">
        <f>IF(ISERROR(VLOOKUP($T$296,'TAR FIN'!$A$1:$O$100,15,0)),0,VLOOKUP($T$296,'TAR FIN'!$A$1:$O$100,15,0))</f>
        <v>43.65</v>
      </c>
      <c r="X296" s="6">
        <f>IF(ISERROR(VLOOKUP($U$296,'TAR FIN'!$A$1:$O$100,15,0)),0,VLOOKUP($U$296,'TAR FIN'!$A$1:$O$100,15,0))</f>
        <v>219.03</v>
      </c>
      <c r="Y296" s="6"/>
      <c r="Z296" s="6">
        <f ca="1">('TUSD BE'!$AM$22+'TUSD BF'!$AM$22+'TUSD CVA'!$AM$22)*1</f>
        <v>49.78704102185678</v>
      </c>
      <c r="AA296" s="6">
        <f>('TE BE'!$AA$8+'TE BF'!$AA$8+'TE CVA'!$AA$8)*1</f>
        <v>238.55077890362423</v>
      </c>
      <c r="AB296" s="6">
        <f>$K$296*$V$296</f>
        <v>0</v>
      </c>
      <c r="AC296" s="6">
        <f>$M$296*$W$296</f>
        <v>93651.991650000011</v>
      </c>
      <c r="AD296" s="6">
        <f>$O$296*$X$296</f>
        <v>469933.46463000006</v>
      </c>
      <c r="AE296" s="6">
        <f>$K$296*$Y$296</f>
        <v>0</v>
      </c>
      <c r="AF296" s="6">
        <f ca="1">$M$296*$Z$296</f>
        <v>106819.14204025519</v>
      </c>
      <c r="AG296" s="6">
        <f>$O$296*$AA$296</f>
        <v>511815.70570408279</v>
      </c>
    </row>
    <row r="297" spans="1:33" ht="11.25" customHeight="1" x14ac:dyDescent="0.25">
      <c r="A297" s="4" t="s">
        <v>55</v>
      </c>
      <c r="B297" s="4" t="s">
        <v>39</v>
      </c>
      <c r="C297" s="4" t="s">
        <v>41</v>
      </c>
      <c r="D297" s="4" t="s">
        <v>42</v>
      </c>
      <c r="E297" s="4" t="s">
        <v>25</v>
      </c>
      <c r="F297" s="4" t="s">
        <v>25</v>
      </c>
      <c r="G297" s="4" t="s">
        <v>25</v>
      </c>
      <c r="H297" s="4" t="s">
        <v>35</v>
      </c>
      <c r="I297" s="5">
        <v>44562</v>
      </c>
      <c r="J297" s="6">
        <v>0</v>
      </c>
      <c r="K297" s="6">
        <v>0</v>
      </c>
      <c r="L297" s="6">
        <v>157.102</v>
      </c>
      <c r="M297" s="6">
        <v>157.102</v>
      </c>
      <c r="N297" s="6">
        <v>157.102</v>
      </c>
      <c r="O297" s="6">
        <v>157.102</v>
      </c>
      <c r="P297" s="6">
        <v>0</v>
      </c>
      <c r="Q297" s="4" t="s">
        <v>26</v>
      </c>
      <c r="R297" s="4">
        <v>0</v>
      </c>
      <c r="S297" s="6">
        <v>0</v>
      </c>
      <c r="T297" s="6">
        <v>25</v>
      </c>
      <c r="U297" s="6">
        <v>68</v>
      </c>
      <c r="V297" s="6">
        <f>IF(ISERROR(VLOOKUP($S$297,'TAR FIN'!$A$1:$O$100,15,0)),0,VLOOKUP($S$297,'TAR FIN'!$A$1:$O$100,15,0))</f>
        <v>0</v>
      </c>
      <c r="W297" s="6">
        <f>IF(ISERROR(VLOOKUP($T$297,'TAR FIN'!$A$1:$O$100,15,0)),0,VLOOKUP($T$297,'TAR FIN'!$A$1:$O$100,15,0))</f>
        <v>43.65</v>
      </c>
      <c r="X297" s="6">
        <f>IF(ISERROR(VLOOKUP($U$297,'TAR FIN'!$A$1:$O$100,15,0)),0,VLOOKUP($U$297,'TAR FIN'!$A$1:$O$100,15,0))</f>
        <v>219.03</v>
      </c>
      <c r="Y297" s="6"/>
      <c r="Z297" s="6">
        <f ca="1">('TUSD BE'!$AM$22+'TUSD BF'!$AM$22+'TUSD CVA'!$AM$22)*1</f>
        <v>49.78704102185678</v>
      </c>
      <c r="AA297" s="6">
        <f>('TE BE'!$AA$8+'TE BF'!$AA$8+'TE CVA'!$AA$8)*1</f>
        <v>238.55077890362423</v>
      </c>
      <c r="AB297" s="6">
        <f>$K$297*$V$297</f>
        <v>0</v>
      </c>
      <c r="AC297" s="6">
        <f>$M$297*$W$297</f>
        <v>6857.5023000000001</v>
      </c>
      <c r="AD297" s="6">
        <f>$O$297*$X$297</f>
        <v>34410.051059999998</v>
      </c>
      <c r="AE297" s="6">
        <f>$K$297*$Y$297</f>
        <v>0</v>
      </c>
      <c r="AF297" s="6">
        <f ca="1">$M$297*$Z$297</f>
        <v>7821.6437186157436</v>
      </c>
      <c r="AG297" s="6">
        <f>$O$297*$AA$297</f>
        <v>37476.804467317175</v>
      </c>
    </row>
    <row r="298" spans="1:33" ht="11.25" customHeight="1" x14ac:dyDescent="0.25">
      <c r="A298" s="4" t="s">
        <v>21</v>
      </c>
      <c r="B298" s="4" t="s">
        <v>39</v>
      </c>
      <c r="C298" s="4" t="s">
        <v>41</v>
      </c>
      <c r="D298" s="4" t="s">
        <v>42</v>
      </c>
      <c r="E298" s="4" t="s">
        <v>25</v>
      </c>
      <c r="F298" s="4" t="s">
        <v>25</v>
      </c>
      <c r="G298" s="4" t="s">
        <v>25</v>
      </c>
      <c r="H298" s="4" t="s">
        <v>25</v>
      </c>
      <c r="I298" s="5">
        <v>44228</v>
      </c>
      <c r="J298" s="6">
        <v>14628</v>
      </c>
      <c r="K298" s="6">
        <v>14628</v>
      </c>
      <c r="L298" s="6">
        <v>0</v>
      </c>
      <c r="M298" s="6">
        <v>0</v>
      </c>
      <c r="N298" s="6">
        <v>0</v>
      </c>
      <c r="O298" s="6">
        <v>0</v>
      </c>
      <c r="P298" s="6">
        <v>140</v>
      </c>
      <c r="Q298" s="4" t="s">
        <v>26</v>
      </c>
      <c r="R298" s="4">
        <v>0</v>
      </c>
      <c r="S298" s="6">
        <v>23</v>
      </c>
      <c r="T298" s="6">
        <v>0</v>
      </c>
      <c r="U298" s="6">
        <v>0</v>
      </c>
      <c r="V298" s="6">
        <f>IF(ISERROR(VLOOKUP($S$298,'TAR FIN'!$A$1:$O$100,15,0)),0,VLOOKUP($S$298,'TAR FIN'!$A$1:$O$100,15,0))</f>
        <v>18.48</v>
      </c>
      <c r="W298" s="6">
        <f>IF(ISERROR(VLOOKUP($T$298,'TAR FIN'!$A$1:$O$100,15,0)),0,VLOOKUP($T$298,'TAR FIN'!$A$1:$O$100,15,0))</f>
        <v>0</v>
      </c>
      <c r="X298" s="6">
        <f>IF(ISERROR(VLOOKUP($U$298,'TAR FIN'!$A$1:$O$100,15,0)),0,VLOOKUP($U$298,'TAR FIN'!$A$1:$O$100,15,0))</f>
        <v>0</v>
      </c>
      <c r="Y298" s="6">
        <f ca="1">('TUSD BE'!$AM$20+'TUSD BF'!$AM$20+'TUSD CVA'!$AM$20)*1</f>
        <v>17.856842567448453</v>
      </c>
      <c r="Z298" s="6"/>
      <c r="AA298" s="6"/>
      <c r="AB298" s="6">
        <f>$K$298*$V$298</f>
        <v>270325.44</v>
      </c>
      <c r="AC298" s="6">
        <f>$M$298*$W$298</f>
        <v>0</v>
      </c>
      <c r="AD298" s="6">
        <f>$O$298*$X$298</f>
        <v>0</v>
      </c>
      <c r="AE298" s="6">
        <f ca="1">$K$298*$Y$298</f>
        <v>261209.89307663598</v>
      </c>
      <c r="AF298" s="6">
        <f>$M$298*$Z$298</f>
        <v>0</v>
      </c>
      <c r="AG298" s="6">
        <f>$O$298*$AA$298</f>
        <v>0</v>
      </c>
    </row>
    <row r="299" spans="1:33" ht="11.25" customHeight="1" x14ac:dyDescent="0.25">
      <c r="A299" s="4" t="s">
        <v>28</v>
      </c>
      <c r="B299" s="4" t="s">
        <v>39</v>
      </c>
      <c r="C299" s="4" t="s">
        <v>41</v>
      </c>
      <c r="D299" s="4" t="s">
        <v>42</v>
      </c>
      <c r="E299" s="4" t="s">
        <v>25</v>
      </c>
      <c r="F299" s="4" t="s">
        <v>25</v>
      </c>
      <c r="G299" s="4" t="s">
        <v>25</v>
      </c>
      <c r="H299" s="4" t="s">
        <v>25</v>
      </c>
      <c r="I299" s="5">
        <v>44228</v>
      </c>
      <c r="J299" s="6">
        <v>1020</v>
      </c>
      <c r="K299" s="6">
        <v>1020</v>
      </c>
      <c r="L299" s="6">
        <v>0</v>
      </c>
      <c r="M299" s="6">
        <v>0</v>
      </c>
      <c r="N299" s="6">
        <v>0</v>
      </c>
      <c r="O299" s="6">
        <v>0</v>
      </c>
      <c r="P299" s="6">
        <v>7</v>
      </c>
      <c r="Q299" s="4" t="s">
        <v>26</v>
      </c>
      <c r="R299" s="4">
        <v>0</v>
      </c>
      <c r="S299" s="6">
        <v>23</v>
      </c>
      <c r="T299" s="6">
        <v>0</v>
      </c>
      <c r="U299" s="6">
        <v>0</v>
      </c>
      <c r="V299" s="6">
        <f>IF(ISERROR(VLOOKUP($S$299,'TAR FIN'!$A$1:$O$100,15,0)),0,VLOOKUP($S$299,'TAR FIN'!$A$1:$O$100,15,0))</f>
        <v>18.48</v>
      </c>
      <c r="W299" s="6">
        <f>IF(ISERROR(VLOOKUP($T$299,'TAR FIN'!$A$1:$O$100,15,0)),0,VLOOKUP($T$299,'TAR FIN'!$A$1:$O$100,15,0))</f>
        <v>0</v>
      </c>
      <c r="X299" s="6">
        <f>IF(ISERROR(VLOOKUP($U$299,'TAR FIN'!$A$1:$O$100,15,0)),0,VLOOKUP($U$299,'TAR FIN'!$A$1:$O$100,15,0))</f>
        <v>0</v>
      </c>
      <c r="Y299" s="6">
        <f ca="1">('TUSD BE'!$AM$20+'TUSD BF'!$AM$20+'TUSD CVA'!$AM$20)*1</f>
        <v>17.856842567448453</v>
      </c>
      <c r="Z299" s="6"/>
      <c r="AA299" s="6"/>
      <c r="AB299" s="6">
        <f>$K$299*$V$299</f>
        <v>18849.600000000002</v>
      </c>
      <c r="AC299" s="6">
        <f>$M$299*$W$299</f>
        <v>0</v>
      </c>
      <c r="AD299" s="6">
        <f>$O$299*$X$299</f>
        <v>0</v>
      </c>
      <c r="AE299" s="6">
        <f ca="1">$K$299*$Y$299</f>
        <v>18213.979418797422</v>
      </c>
      <c r="AF299" s="6">
        <f>$M$299*$Z$299</f>
        <v>0</v>
      </c>
      <c r="AG299" s="6">
        <f>$O$299*$AA$299</f>
        <v>0</v>
      </c>
    </row>
    <row r="300" spans="1:33" ht="11.25" customHeight="1" x14ac:dyDescent="0.25">
      <c r="A300" s="4" t="s">
        <v>21</v>
      </c>
      <c r="B300" s="4" t="s">
        <v>39</v>
      </c>
      <c r="C300" s="4" t="s">
        <v>41</v>
      </c>
      <c r="D300" s="4" t="s">
        <v>42</v>
      </c>
      <c r="E300" s="4" t="s">
        <v>25</v>
      </c>
      <c r="F300" s="4" t="s">
        <v>25</v>
      </c>
      <c r="G300" s="4" t="s">
        <v>25</v>
      </c>
      <c r="H300" s="4" t="s">
        <v>25</v>
      </c>
      <c r="I300" s="5">
        <v>44228</v>
      </c>
      <c r="J300" s="6">
        <v>120</v>
      </c>
      <c r="K300" s="6">
        <v>120</v>
      </c>
      <c r="L300" s="6">
        <v>0</v>
      </c>
      <c r="M300" s="6">
        <v>0</v>
      </c>
      <c r="N300" s="6">
        <v>0</v>
      </c>
      <c r="O300" s="6">
        <v>0</v>
      </c>
      <c r="P300" s="6">
        <v>1</v>
      </c>
      <c r="Q300" s="4" t="s">
        <v>57</v>
      </c>
      <c r="R300" s="4">
        <v>0</v>
      </c>
      <c r="S300" s="6">
        <v>23</v>
      </c>
      <c r="T300" s="6">
        <v>0</v>
      </c>
      <c r="U300" s="6">
        <v>0</v>
      </c>
      <c r="V300" s="6">
        <f>IF(ISERROR(VLOOKUP($S$300,'TAR FIN'!$A$1:$O$100,15,0)),0,VLOOKUP($S$300,'TAR FIN'!$A$1:$O$100,15,0))</f>
        <v>18.48</v>
      </c>
      <c r="W300" s="6">
        <f>IF(ISERROR(VLOOKUP($T$300,'TAR FIN'!$A$1:$O$100,15,0)),0,VLOOKUP($T$300,'TAR FIN'!$A$1:$O$100,15,0))</f>
        <v>0</v>
      </c>
      <c r="X300" s="6">
        <f>IF(ISERROR(VLOOKUP($U$300,'TAR FIN'!$A$1:$O$100,15,0)),0,VLOOKUP($U$300,'TAR FIN'!$A$1:$O$100,15,0))</f>
        <v>0</v>
      </c>
      <c r="Y300" s="6">
        <f ca="1">('TUSD BE'!$AM$20+'TUSD BF'!$AM$20+'TUSD CVA'!$AM$20)*1</f>
        <v>17.856842567448453</v>
      </c>
      <c r="Z300" s="6"/>
      <c r="AA300" s="6"/>
      <c r="AB300" s="6">
        <f>$K$300*$V$300</f>
        <v>2217.6</v>
      </c>
      <c r="AC300" s="6">
        <f>$M$300*$W$300</f>
        <v>0</v>
      </c>
      <c r="AD300" s="6">
        <f>$O$300*$X$300</f>
        <v>0</v>
      </c>
      <c r="AE300" s="6">
        <f ca="1">$K$300*$Y$300</f>
        <v>2142.8211080938145</v>
      </c>
      <c r="AF300" s="6">
        <f>$M$300*$Z$300</f>
        <v>0</v>
      </c>
      <c r="AG300" s="6">
        <f>$O$300*$AA$300</f>
        <v>0</v>
      </c>
    </row>
    <row r="301" spans="1:33" ht="11.25" customHeight="1" x14ac:dyDescent="0.25">
      <c r="A301" s="4" t="s">
        <v>21</v>
      </c>
      <c r="B301" s="4" t="s">
        <v>39</v>
      </c>
      <c r="C301" s="4" t="s">
        <v>41</v>
      </c>
      <c r="D301" s="4" t="s">
        <v>42</v>
      </c>
      <c r="E301" s="4" t="s">
        <v>25</v>
      </c>
      <c r="F301" s="4" t="s">
        <v>25</v>
      </c>
      <c r="G301" s="4" t="s">
        <v>25</v>
      </c>
      <c r="H301" s="4" t="s">
        <v>25</v>
      </c>
      <c r="I301" s="5">
        <v>44256</v>
      </c>
      <c r="J301" s="6">
        <v>14404</v>
      </c>
      <c r="K301" s="6">
        <v>14404</v>
      </c>
      <c r="L301" s="6">
        <v>0</v>
      </c>
      <c r="M301" s="6">
        <v>0</v>
      </c>
      <c r="N301" s="6">
        <v>0</v>
      </c>
      <c r="O301" s="6">
        <v>0</v>
      </c>
      <c r="P301" s="6">
        <v>140</v>
      </c>
      <c r="Q301" s="4" t="s">
        <v>26</v>
      </c>
      <c r="R301" s="4">
        <v>0</v>
      </c>
      <c r="S301" s="6">
        <v>23</v>
      </c>
      <c r="T301" s="6">
        <v>0</v>
      </c>
      <c r="U301" s="6">
        <v>0</v>
      </c>
      <c r="V301" s="6">
        <f>IF(ISERROR(VLOOKUP($S$301,'TAR FIN'!$A$1:$O$100,15,0)),0,VLOOKUP($S$301,'TAR FIN'!$A$1:$O$100,15,0))</f>
        <v>18.48</v>
      </c>
      <c r="W301" s="6">
        <f>IF(ISERROR(VLOOKUP($T$301,'TAR FIN'!$A$1:$O$100,15,0)),0,VLOOKUP($T$301,'TAR FIN'!$A$1:$O$100,15,0))</f>
        <v>0</v>
      </c>
      <c r="X301" s="6">
        <f>IF(ISERROR(VLOOKUP($U$301,'TAR FIN'!$A$1:$O$100,15,0)),0,VLOOKUP($U$301,'TAR FIN'!$A$1:$O$100,15,0))</f>
        <v>0</v>
      </c>
      <c r="Y301" s="6">
        <f ca="1">('TUSD BE'!$AM$20+'TUSD BF'!$AM$20+'TUSD CVA'!$AM$20)*1</f>
        <v>17.856842567448453</v>
      </c>
      <c r="Z301" s="6"/>
      <c r="AA301" s="6"/>
      <c r="AB301" s="6">
        <f>$K$301*$V$301</f>
        <v>266185.92</v>
      </c>
      <c r="AC301" s="6">
        <f>$M$301*$W$301</f>
        <v>0</v>
      </c>
      <c r="AD301" s="6">
        <f>$O$301*$X$301</f>
        <v>0</v>
      </c>
      <c r="AE301" s="6">
        <f ca="1">$K$301*$Y$301</f>
        <v>257209.96034152751</v>
      </c>
      <c r="AF301" s="6">
        <f>$M$301*$Z$301</f>
        <v>0</v>
      </c>
      <c r="AG301" s="6">
        <f>$O$301*$AA$301</f>
        <v>0</v>
      </c>
    </row>
    <row r="302" spans="1:33" ht="11.25" customHeight="1" x14ac:dyDescent="0.25">
      <c r="A302" s="4" t="s">
        <v>27</v>
      </c>
      <c r="B302" s="4" t="s">
        <v>39</v>
      </c>
      <c r="C302" s="4" t="s">
        <v>41</v>
      </c>
      <c r="D302" s="4" t="s">
        <v>42</v>
      </c>
      <c r="E302" s="4" t="s">
        <v>25</v>
      </c>
      <c r="F302" s="4" t="s">
        <v>25</v>
      </c>
      <c r="G302" s="4" t="s">
        <v>25</v>
      </c>
      <c r="H302" s="4" t="s">
        <v>25</v>
      </c>
      <c r="I302" s="5">
        <v>44256</v>
      </c>
      <c r="J302" s="6">
        <v>-120</v>
      </c>
      <c r="K302" s="6">
        <v>-120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4" t="s">
        <v>26</v>
      </c>
      <c r="R302" s="4">
        <v>0</v>
      </c>
      <c r="S302" s="6">
        <v>23</v>
      </c>
      <c r="T302" s="6">
        <v>0</v>
      </c>
      <c r="U302" s="6">
        <v>0</v>
      </c>
      <c r="V302" s="6">
        <f>IF(ISERROR(VLOOKUP($S$302,'TAR FIN'!$A$1:$O$100,15,0)),0,VLOOKUP($S$302,'TAR FIN'!$A$1:$O$100,15,0))</f>
        <v>18.48</v>
      </c>
      <c r="W302" s="6">
        <f>IF(ISERROR(VLOOKUP($T$302,'TAR FIN'!$A$1:$O$100,15,0)),0,VLOOKUP($T$302,'TAR FIN'!$A$1:$O$100,15,0))</f>
        <v>0</v>
      </c>
      <c r="X302" s="6">
        <f>IF(ISERROR(VLOOKUP($U$302,'TAR FIN'!$A$1:$O$100,15,0)),0,VLOOKUP($U$302,'TAR FIN'!$A$1:$O$100,15,0))</f>
        <v>0</v>
      </c>
      <c r="Y302" s="6">
        <f ca="1">('TUSD BE'!$AM$20+'TUSD BF'!$AM$20+'TUSD CVA'!$AM$20)*1</f>
        <v>17.856842567448453</v>
      </c>
      <c r="Z302" s="6"/>
      <c r="AA302" s="6"/>
      <c r="AB302" s="6">
        <f>$K$302*$V$302</f>
        <v>-2217.6</v>
      </c>
      <c r="AC302" s="6">
        <f>$M$302*$W$302</f>
        <v>0</v>
      </c>
      <c r="AD302" s="6">
        <f>$O$302*$X$302</f>
        <v>0</v>
      </c>
      <c r="AE302" s="6">
        <f ca="1">$K$302*$Y$302</f>
        <v>-2142.8211080938145</v>
      </c>
      <c r="AF302" s="6">
        <f>$M$302*$Z$302</f>
        <v>0</v>
      </c>
      <c r="AG302" s="6">
        <f>$O$302*$AA$302</f>
        <v>0</v>
      </c>
    </row>
    <row r="303" spans="1:33" ht="11.25" customHeight="1" x14ac:dyDescent="0.25">
      <c r="A303" s="4" t="s">
        <v>28</v>
      </c>
      <c r="B303" s="4" t="s">
        <v>39</v>
      </c>
      <c r="C303" s="4" t="s">
        <v>41</v>
      </c>
      <c r="D303" s="4" t="s">
        <v>42</v>
      </c>
      <c r="E303" s="4" t="s">
        <v>25</v>
      </c>
      <c r="F303" s="4" t="s">
        <v>25</v>
      </c>
      <c r="G303" s="4" t="s">
        <v>25</v>
      </c>
      <c r="H303" s="4" t="s">
        <v>25</v>
      </c>
      <c r="I303" s="5">
        <v>44256</v>
      </c>
      <c r="J303" s="6">
        <v>1222</v>
      </c>
      <c r="K303" s="6">
        <v>1222</v>
      </c>
      <c r="L303" s="6">
        <v>0</v>
      </c>
      <c r="M303" s="6">
        <v>0</v>
      </c>
      <c r="N303" s="6">
        <v>0</v>
      </c>
      <c r="O303" s="6">
        <v>0</v>
      </c>
      <c r="P303" s="6">
        <v>8</v>
      </c>
      <c r="Q303" s="4" t="s">
        <v>26</v>
      </c>
      <c r="R303" s="4">
        <v>0</v>
      </c>
      <c r="S303" s="6">
        <v>23</v>
      </c>
      <c r="T303" s="6">
        <v>0</v>
      </c>
      <c r="U303" s="6">
        <v>0</v>
      </c>
      <c r="V303" s="6">
        <f>IF(ISERROR(VLOOKUP($S$303,'TAR FIN'!$A$1:$O$100,15,0)),0,VLOOKUP($S$303,'TAR FIN'!$A$1:$O$100,15,0))</f>
        <v>18.48</v>
      </c>
      <c r="W303" s="6">
        <f>IF(ISERROR(VLOOKUP($T$303,'TAR FIN'!$A$1:$O$100,15,0)),0,VLOOKUP($T$303,'TAR FIN'!$A$1:$O$100,15,0))</f>
        <v>0</v>
      </c>
      <c r="X303" s="6">
        <f>IF(ISERROR(VLOOKUP($U$303,'TAR FIN'!$A$1:$O$100,15,0)),0,VLOOKUP($U$303,'TAR FIN'!$A$1:$O$100,15,0))</f>
        <v>0</v>
      </c>
      <c r="Y303" s="6">
        <f ca="1">('TUSD BE'!$AM$20+'TUSD BF'!$AM$20+'TUSD CVA'!$AM$20)*1</f>
        <v>17.856842567448453</v>
      </c>
      <c r="Z303" s="6"/>
      <c r="AA303" s="6"/>
      <c r="AB303" s="6">
        <f>$K$303*$V$303</f>
        <v>22582.560000000001</v>
      </c>
      <c r="AC303" s="6">
        <f>$M$303*$W$303</f>
        <v>0</v>
      </c>
      <c r="AD303" s="6">
        <f>$O$303*$X$303</f>
        <v>0</v>
      </c>
      <c r="AE303" s="6">
        <f ca="1">$K$303*$Y$303</f>
        <v>21821.061617422009</v>
      </c>
      <c r="AF303" s="6">
        <f>$M$303*$Z$303</f>
        <v>0</v>
      </c>
      <c r="AG303" s="6">
        <f>$O$303*$AA$303</f>
        <v>0</v>
      </c>
    </row>
    <row r="304" spans="1:33" ht="11.25" customHeight="1" x14ac:dyDescent="0.25">
      <c r="A304" s="4" t="s">
        <v>21</v>
      </c>
      <c r="B304" s="4" t="s">
        <v>39</v>
      </c>
      <c r="C304" s="4" t="s">
        <v>41</v>
      </c>
      <c r="D304" s="4" t="s">
        <v>42</v>
      </c>
      <c r="E304" s="4" t="s">
        <v>25</v>
      </c>
      <c r="F304" s="4" t="s">
        <v>25</v>
      </c>
      <c r="G304" s="4" t="s">
        <v>25</v>
      </c>
      <c r="H304" s="4" t="s">
        <v>25</v>
      </c>
      <c r="I304" s="5">
        <v>44256</v>
      </c>
      <c r="J304" s="6">
        <v>120</v>
      </c>
      <c r="K304" s="6">
        <v>120</v>
      </c>
      <c r="L304" s="6">
        <v>0</v>
      </c>
      <c r="M304" s="6">
        <v>0</v>
      </c>
      <c r="N304" s="6">
        <v>0</v>
      </c>
      <c r="O304" s="6">
        <v>0</v>
      </c>
      <c r="P304" s="6">
        <v>1</v>
      </c>
      <c r="Q304" s="4" t="s">
        <v>57</v>
      </c>
      <c r="R304" s="4">
        <v>0</v>
      </c>
      <c r="S304" s="6">
        <v>23</v>
      </c>
      <c r="T304" s="6">
        <v>0</v>
      </c>
      <c r="U304" s="6">
        <v>0</v>
      </c>
      <c r="V304" s="6">
        <f>IF(ISERROR(VLOOKUP($S$304,'TAR FIN'!$A$1:$O$100,15,0)),0,VLOOKUP($S$304,'TAR FIN'!$A$1:$O$100,15,0))</f>
        <v>18.48</v>
      </c>
      <c r="W304" s="6">
        <f>IF(ISERROR(VLOOKUP($T$304,'TAR FIN'!$A$1:$O$100,15,0)),0,VLOOKUP($T$304,'TAR FIN'!$A$1:$O$100,15,0))</f>
        <v>0</v>
      </c>
      <c r="X304" s="6">
        <f>IF(ISERROR(VLOOKUP($U$304,'TAR FIN'!$A$1:$O$100,15,0)),0,VLOOKUP($U$304,'TAR FIN'!$A$1:$O$100,15,0))</f>
        <v>0</v>
      </c>
      <c r="Y304" s="6">
        <f ca="1">('TUSD BE'!$AM$20+'TUSD BF'!$AM$20+'TUSD CVA'!$AM$20)*1</f>
        <v>17.856842567448453</v>
      </c>
      <c r="Z304" s="6"/>
      <c r="AA304" s="6"/>
      <c r="AB304" s="6">
        <f>$K$304*$V$304</f>
        <v>2217.6</v>
      </c>
      <c r="AC304" s="6">
        <f>$M$304*$W$304</f>
        <v>0</v>
      </c>
      <c r="AD304" s="6">
        <f>$O$304*$X$304</f>
        <v>0</v>
      </c>
      <c r="AE304" s="6">
        <f ca="1">$K$304*$Y$304</f>
        <v>2142.8211080938145</v>
      </c>
      <c r="AF304" s="6">
        <f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39</v>
      </c>
      <c r="C305" s="4" t="s">
        <v>41</v>
      </c>
      <c r="D305" s="4" t="s">
        <v>42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44287</v>
      </c>
      <c r="J305" s="6">
        <v>14350</v>
      </c>
      <c r="K305" s="6">
        <v>14350</v>
      </c>
      <c r="L305" s="6">
        <v>0</v>
      </c>
      <c r="M305" s="6">
        <v>0</v>
      </c>
      <c r="N305" s="6">
        <v>0</v>
      </c>
      <c r="O305" s="6">
        <v>0</v>
      </c>
      <c r="P305" s="6">
        <v>145</v>
      </c>
      <c r="Q305" s="4" t="s">
        <v>26</v>
      </c>
      <c r="R305" s="4">
        <v>0</v>
      </c>
      <c r="S305" s="6">
        <v>23</v>
      </c>
      <c r="T305" s="6">
        <v>0</v>
      </c>
      <c r="U305" s="6">
        <v>0</v>
      </c>
      <c r="V305" s="6">
        <f>IF(ISERROR(VLOOKUP($S$305,'TAR FIN'!$A$1:$O$100,15,0)),0,VLOOKUP($S$305,'TAR FIN'!$A$1:$O$100,15,0))</f>
        <v>18.48</v>
      </c>
      <c r="W305" s="6">
        <f>IF(ISERROR(VLOOKUP($T$305,'TAR FIN'!$A$1:$O$100,15,0)),0,VLOOKUP($T$305,'TAR FIN'!$A$1:$O$100,15,0))</f>
        <v>0</v>
      </c>
      <c r="X305" s="6">
        <f>IF(ISERROR(VLOOKUP($U$305,'TAR FIN'!$A$1:$O$100,15,0)),0,VLOOKUP($U$305,'TAR FIN'!$A$1:$O$100,15,0))</f>
        <v>0</v>
      </c>
      <c r="Y305" s="6">
        <f ca="1">('TUSD BE'!$AM$20+'TUSD BF'!$AM$20+'TUSD CVA'!$AM$20)*1</f>
        <v>17.856842567448453</v>
      </c>
      <c r="Z305" s="6"/>
      <c r="AA305" s="6"/>
      <c r="AB305" s="6">
        <f>$K$305*$V$305</f>
        <v>265188</v>
      </c>
      <c r="AC305" s="6">
        <f>$M$305*$W$305</f>
        <v>0</v>
      </c>
      <c r="AD305" s="6">
        <f>$O$305*$X$305</f>
        <v>0</v>
      </c>
      <c r="AE305" s="6">
        <f ca="1">$K$305*$Y$305</f>
        <v>256245.69084288529</v>
      </c>
      <c r="AF305" s="6">
        <f>$M$305*$Z$305</f>
        <v>0</v>
      </c>
      <c r="AG305" s="6">
        <f>$O$305*$AA$305</f>
        <v>0</v>
      </c>
    </row>
    <row r="306" spans="1:33" ht="11.25" customHeight="1" x14ac:dyDescent="0.25">
      <c r="A306" s="4" t="s">
        <v>28</v>
      </c>
      <c r="B306" s="4" t="s">
        <v>39</v>
      </c>
      <c r="C306" s="4" t="s">
        <v>41</v>
      </c>
      <c r="D306" s="4" t="s">
        <v>42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44287</v>
      </c>
      <c r="J306" s="6">
        <v>1450</v>
      </c>
      <c r="K306" s="6">
        <v>1450</v>
      </c>
      <c r="L306" s="6">
        <v>0</v>
      </c>
      <c r="M306" s="6">
        <v>0</v>
      </c>
      <c r="N306" s="6">
        <v>0</v>
      </c>
      <c r="O306" s="6">
        <v>0</v>
      </c>
      <c r="P306" s="6">
        <v>8</v>
      </c>
      <c r="Q306" s="4" t="s">
        <v>26</v>
      </c>
      <c r="R306" s="4">
        <v>0</v>
      </c>
      <c r="S306" s="6">
        <v>23</v>
      </c>
      <c r="T306" s="6">
        <v>0</v>
      </c>
      <c r="U306" s="6">
        <v>0</v>
      </c>
      <c r="V306" s="6">
        <f>IF(ISERROR(VLOOKUP($S$306,'TAR FIN'!$A$1:$O$100,15,0)),0,VLOOKUP($S$306,'TAR FIN'!$A$1:$O$100,15,0))</f>
        <v>18.48</v>
      </c>
      <c r="W306" s="6">
        <f>IF(ISERROR(VLOOKUP($T$306,'TAR FIN'!$A$1:$O$100,15,0)),0,VLOOKUP($T$306,'TAR FIN'!$A$1:$O$100,15,0))</f>
        <v>0</v>
      </c>
      <c r="X306" s="6">
        <f>IF(ISERROR(VLOOKUP($U$306,'TAR FIN'!$A$1:$O$100,15,0)),0,VLOOKUP($U$306,'TAR FIN'!$A$1:$O$100,15,0))</f>
        <v>0</v>
      </c>
      <c r="Y306" s="6">
        <f ca="1">('TUSD BE'!$AM$20+'TUSD BF'!$AM$20+'TUSD CVA'!$AM$20)*1</f>
        <v>17.856842567448453</v>
      </c>
      <c r="Z306" s="6"/>
      <c r="AA306" s="6"/>
      <c r="AB306" s="6">
        <f>$K$306*$V$306</f>
        <v>26796</v>
      </c>
      <c r="AC306" s="6">
        <f>$M$306*$W$306</f>
        <v>0</v>
      </c>
      <c r="AD306" s="6">
        <f>$O$306*$X$306</f>
        <v>0</v>
      </c>
      <c r="AE306" s="6">
        <f ca="1">$K$306*$Y$306</f>
        <v>25892.421722800256</v>
      </c>
      <c r="AF306" s="6">
        <f>$M$306*$Z$306</f>
        <v>0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39</v>
      </c>
      <c r="C307" s="4" t="s">
        <v>41</v>
      </c>
      <c r="D307" s="4" t="s">
        <v>42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44317</v>
      </c>
      <c r="J307" s="6">
        <v>14470</v>
      </c>
      <c r="K307" s="6">
        <v>14470</v>
      </c>
      <c r="L307" s="6">
        <v>0</v>
      </c>
      <c r="M307" s="6">
        <v>0</v>
      </c>
      <c r="N307" s="6">
        <v>0</v>
      </c>
      <c r="O307" s="6">
        <v>0</v>
      </c>
      <c r="P307" s="6">
        <v>145</v>
      </c>
      <c r="Q307" s="4" t="s">
        <v>26</v>
      </c>
      <c r="R307" s="4">
        <v>0</v>
      </c>
      <c r="S307" s="6">
        <v>23</v>
      </c>
      <c r="T307" s="6">
        <v>0</v>
      </c>
      <c r="U307" s="6">
        <v>0</v>
      </c>
      <c r="V307" s="6">
        <f>IF(ISERROR(VLOOKUP($S$307,'TAR FIN'!$A$1:$O$100,15,0)),0,VLOOKUP($S$307,'TAR FIN'!$A$1:$O$100,15,0))</f>
        <v>18.48</v>
      </c>
      <c r="W307" s="6">
        <f>IF(ISERROR(VLOOKUP($T$307,'TAR FIN'!$A$1:$O$100,15,0)),0,VLOOKUP($T$307,'TAR FIN'!$A$1:$O$100,15,0))</f>
        <v>0</v>
      </c>
      <c r="X307" s="6">
        <f>IF(ISERROR(VLOOKUP($U$307,'TAR FIN'!$A$1:$O$100,15,0)),0,VLOOKUP($U$307,'TAR FIN'!$A$1:$O$100,15,0))</f>
        <v>0</v>
      </c>
      <c r="Y307" s="6">
        <f ca="1">('TUSD BE'!$AM$20+'TUSD BF'!$AM$20+'TUSD CVA'!$AM$20)*1</f>
        <v>17.856842567448453</v>
      </c>
      <c r="Z307" s="6"/>
      <c r="AA307" s="6"/>
      <c r="AB307" s="6">
        <f>$K$307*$V$307</f>
        <v>267405.60000000003</v>
      </c>
      <c r="AC307" s="6">
        <f>$M$307*$W$307</f>
        <v>0</v>
      </c>
      <c r="AD307" s="6">
        <f>$O$307*$X$307</f>
        <v>0</v>
      </c>
      <c r="AE307" s="6">
        <f ca="1">$K$307*$Y$307</f>
        <v>258388.51195097913</v>
      </c>
      <c r="AF307" s="6">
        <f>$M$307*$Z$307</f>
        <v>0</v>
      </c>
      <c r="AG307" s="6">
        <f>$O$307*$AA$307</f>
        <v>0</v>
      </c>
    </row>
    <row r="308" spans="1:33" ht="11.25" customHeight="1" x14ac:dyDescent="0.25">
      <c r="A308" s="4" t="s">
        <v>28</v>
      </c>
      <c r="B308" s="4" t="s">
        <v>39</v>
      </c>
      <c r="C308" s="4" t="s">
        <v>41</v>
      </c>
      <c r="D308" s="4" t="s">
        <v>42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44317</v>
      </c>
      <c r="J308" s="6">
        <v>1456</v>
      </c>
      <c r="K308" s="6">
        <v>1456</v>
      </c>
      <c r="L308" s="6">
        <v>0</v>
      </c>
      <c r="M308" s="6">
        <v>0</v>
      </c>
      <c r="N308" s="6">
        <v>0</v>
      </c>
      <c r="O308" s="6">
        <v>0</v>
      </c>
      <c r="P308" s="6">
        <v>8</v>
      </c>
      <c r="Q308" s="4" t="s">
        <v>26</v>
      </c>
      <c r="R308" s="4">
        <v>0</v>
      </c>
      <c r="S308" s="6">
        <v>23</v>
      </c>
      <c r="T308" s="6">
        <v>0</v>
      </c>
      <c r="U308" s="6">
        <v>0</v>
      </c>
      <c r="V308" s="6">
        <f>IF(ISERROR(VLOOKUP($S$308,'TAR FIN'!$A$1:$O$100,15,0)),0,VLOOKUP($S$308,'TAR FIN'!$A$1:$O$100,15,0))</f>
        <v>18.48</v>
      </c>
      <c r="W308" s="6">
        <f>IF(ISERROR(VLOOKUP($T$308,'TAR FIN'!$A$1:$O$100,15,0)),0,VLOOKUP($T$308,'TAR FIN'!$A$1:$O$100,15,0))</f>
        <v>0</v>
      </c>
      <c r="X308" s="6">
        <f>IF(ISERROR(VLOOKUP($U$308,'TAR FIN'!$A$1:$O$100,15,0)),0,VLOOKUP($U$308,'TAR FIN'!$A$1:$O$100,15,0))</f>
        <v>0</v>
      </c>
      <c r="Y308" s="6">
        <f ca="1">('TUSD BE'!$AM$20+'TUSD BF'!$AM$20+'TUSD CVA'!$AM$20)*1</f>
        <v>17.856842567448453</v>
      </c>
      <c r="Z308" s="6"/>
      <c r="AA308" s="6"/>
      <c r="AB308" s="6">
        <f>$K$308*$V$308</f>
        <v>26906.880000000001</v>
      </c>
      <c r="AC308" s="6">
        <f>$M$308*$W$308</f>
        <v>0</v>
      </c>
      <c r="AD308" s="6">
        <f>$O$308*$X$308</f>
        <v>0</v>
      </c>
      <c r="AE308" s="6">
        <f ca="1">$K$308*$Y$308</f>
        <v>25999.562778204949</v>
      </c>
      <c r="AF308" s="6">
        <f>$M$308*$Z$308</f>
        <v>0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39</v>
      </c>
      <c r="C309" s="4" t="s">
        <v>41</v>
      </c>
      <c r="D309" s="4" t="s">
        <v>42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44348</v>
      </c>
      <c r="J309" s="6">
        <v>13638</v>
      </c>
      <c r="K309" s="6">
        <v>13638</v>
      </c>
      <c r="L309" s="6">
        <v>0</v>
      </c>
      <c r="M309" s="6">
        <v>0</v>
      </c>
      <c r="N309" s="6">
        <v>0</v>
      </c>
      <c r="O309" s="6">
        <v>0</v>
      </c>
      <c r="P309" s="6">
        <v>141</v>
      </c>
      <c r="Q309" s="4" t="s">
        <v>26</v>
      </c>
      <c r="R309" s="4">
        <v>0</v>
      </c>
      <c r="S309" s="6">
        <v>23</v>
      </c>
      <c r="T309" s="6">
        <v>0</v>
      </c>
      <c r="U309" s="6">
        <v>0</v>
      </c>
      <c r="V309" s="6">
        <f>IF(ISERROR(VLOOKUP($S$309,'TAR FIN'!$A$1:$O$100,15,0)),0,VLOOKUP($S$309,'TAR FIN'!$A$1:$O$100,15,0))</f>
        <v>18.48</v>
      </c>
      <c r="W309" s="6">
        <f>IF(ISERROR(VLOOKUP($T$309,'TAR FIN'!$A$1:$O$100,15,0)),0,VLOOKUP($T$309,'TAR FIN'!$A$1:$O$100,15,0))</f>
        <v>0</v>
      </c>
      <c r="X309" s="6">
        <f>IF(ISERROR(VLOOKUP($U$309,'TAR FIN'!$A$1:$O$100,15,0)),0,VLOOKUP($U$309,'TAR FIN'!$A$1:$O$100,15,0))</f>
        <v>0</v>
      </c>
      <c r="Y309" s="6">
        <f ca="1">('TUSD BE'!$AM$20+'TUSD BF'!$AM$20+'TUSD CVA'!$AM$20)*1</f>
        <v>17.856842567448453</v>
      </c>
      <c r="Z309" s="6"/>
      <c r="AA309" s="6"/>
      <c r="AB309" s="6">
        <f>$K$309*$V$309</f>
        <v>252030.24000000002</v>
      </c>
      <c r="AC309" s="6">
        <f>$M$309*$W$309</f>
        <v>0</v>
      </c>
      <c r="AD309" s="6">
        <f>$O$309*$X$309</f>
        <v>0</v>
      </c>
      <c r="AE309" s="6">
        <f ca="1">$K$309*$Y$309</f>
        <v>243531.618934862</v>
      </c>
      <c r="AF309" s="6">
        <f>$M$309*$Z$309</f>
        <v>0</v>
      </c>
      <c r="AG309" s="6">
        <f>$O$309*$AA$309</f>
        <v>0</v>
      </c>
    </row>
    <row r="310" spans="1:33" ht="11.25" customHeight="1" x14ac:dyDescent="0.25">
      <c r="A310" s="4" t="s">
        <v>28</v>
      </c>
      <c r="B310" s="4" t="s">
        <v>39</v>
      </c>
      <c r="C310" s="4" t="s">
        <v>41</v>
      </c>
      <c r="D310" s="4" t="s">
        <v>42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44348</v>
      </c>
      <c r="J310" s="6">
        <v>1440</v>
      </c>
      <c r="K310" s="6">
        <v>1440</v>
      </c>
      <c r="L310" s="6">
        <v>0</v>
      </c>
      <c r="M310" s="6">
        <v>0</v>
      </c>
      <c r="N310" s="6">
        <v>0</v>
      </c>
      <c r="O310" s="6">
        <v>0</v>
      </c>
      <c r="P310" s="6">
        <v>8</v>
      </c>
      <c r="Q310" s="4" t="s">
        <v>26</v>
      </c>
      <c r="R310" s="4">
        <v>0</v>
      </c>
      <c r="S310" s="6">
        <v>23</v>
      </c>
      <c r="T310" s="6">
        <v>0</v>
      </c>
      <c r="U310" s="6">
        <v>0</v>
      </c>
      <c r="V310" s="6">
        <f>IF(ISERROR(VLOOKUP($S$310,'TAR FIN'!$A$1:$O$100,15,0)),0,VLOOKUP($S$310,'TAR FIN'!$A$1:$O$100,15,0))</f>
        <v>18.48</v>
      </c>
      <c r="W310" s="6">
        <f>IF(ISERROR(VLOOKUP($T$310,'TAR FIN'!$A$1:$O$100,15,0)),0,VLOOKUP($T$310,'TAR FIN'!$A$1:$O$100,15,0))</f>
        <v>0</v>
      </c>
      <c r="X310" s="6">
        <f>IF(ISERROR(VLOOKUP($U$310,'TAR FIN'!$A$1:$O$100,15,0)),0,VLOOKUP($U$310,'TAR FIN'!$A$1:$O$100,15,0))</f>
        <v>0</v>
      </c>
      <c r="Y310" s="6">
        <f ca="1">('TUSD BE'!$AM$20+'TUSD BF'!$AM$20+'TUSD CVA'!$AM$20)*1</f>
        <v>17.856842567448453</v>
      </c>
      <c r="Z310" s="6"/>
      <c r="AA310" s="6"/>
      <c r="AB310" s="6">
        <f>$K$310*$V$310</f>
        <v>26611.200000000001</v>
      </c>
      <c r="AC310" s="6">
        <f>$M$310*$W$310</f>
        <v>0</v>
      </c>
      <c r="AD310" s="6">
        <f>$O$310*$X$310</f>
        <v>0</v>
      </c>
      <c r="AE310" s="6">
        <f ca="1">$K$310*$Y$310</f>
        <v>25713.853297125774</v>
      </c>
      <c r="AF310" s="6">
        <f>$M$310*$Z$310</f>
        <v>0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39</v>
      </c>
      <c r="C311" s="4" t="s">
        <v>41</v>
      </c>
      <c r="D311" s="4" t="s">
        <v>42</v>
      </c>
      <c r="E311" s="4" t="s">
        <v>25</v>
      </c>
      <c r="F311" s="4" t="s">
        <v>25</v>
      </c>
      <c r="G311" s="4" t="s">
        <v>25</v>
      </c>
      <c r="H311" s="4" t="s">
        <v>25</v>
      </c>
      <c r="I311" s="5">
        <v>44378</v>
      </c>
      <c r="J311" s="6">
        <v>13250</v>
      </c>
      <c r="K311" s="6">
        <v>13250</v>
      </c>
      <c r="L311" s="6">
        <v>0</v>
      </c>
      <c r="M311" s="6">
        <v>0</v>
      </c>
      <c r="N311" s="6">
        <v>0</v>
      </c>
      <c r="O311" s="6">
        <v>0</v>
      </c>
      <c r="P311" s="6">
        <v>138</v>
      </c>
      <c r="Q311" s="4" t="s">
        <v>26</v>
      </c>
      <c r="R311" s="4">
        <v>0</v>
      </c>
      <c r="S311" s="6">
        <v>23</v>
      </c>
      <c r="T311" s="6">
        <v>0</v>
      </c>
      <c r="U311" s="6">
        <v>0</v>
      </c>
      <c r="V311" s="6">
        <f>IF(ISERROR(VLOOKUP($S$311,'TAR FIN'!$A$1:$O$100,15,0)),0,VLOOKUP($S$311,'TAR FIN'!$A$1:$O$100,15,0))</f>
        <v>18.48</v>
      </c>
      <c r="W311" s="6">
        <f>IF(ISERROR(VLOOKUP($T$311,'TAR FIN'!$A$1:$O$100,15,0)),0,VLOOKUP($T$311,'TAR FIN'!$A$1:$O$100,15,0))</f>
        <v>0</v>
      </c>
      <c r="X311" s="6">
        <f>IF(ISERROR(VLOOKUP($U$311,'TAR FIN'!$A$1:$O$100,15,0)),0,VLOOKUP($U$311,'TAR FIN'!$A$1:$O$100,15,0))</f>
        <v>0</v>
      </c>
      <c r="Y311" s="6">
        <f ca="1">('TUSD BE'!$AM$20+'TUSD BF'!$AM$20+'TUSD CVA'!$AM$20)*1</f>
        <v>17.856842567448453</v>
      </c>
      <c r="Z311" s="6"/>
      <c r="AA311" s="6"/>
      <c r="AB311" s="6">
        <f>$K$311*$V$311</f>
        <v>244860</v>
      </c>
      <c r="AC311" s="6">
        <f>$M$311*$W$311</f>
        <v>0</v>
      </c>
      <c r="AD311" s="6">
        <f>$O$311*$X$311</f>
        <v>0</v>
      </c>
      <c r="AE311" s="6">
        <f ca="1">$K$311*$Y$311</f>
        <v>236603.16401869201</v>
      </c>
      <c r="AF311" s="6">
        <f>$M$311*$Z$311</f>
        <v>0</v>
      </c>
      <c r="AG311" s="6">
        <f>$O$311*$AA$311</f>
        <v>0</v>
      </c>
    </row>
    <row r="312" spans="1:33" ht="11.25" customHeight="1" x14ac:dyDescent="0.25">
      <c r="A312" s="4" t="s">
        <v>28</v>
      </c>
      <c r="B312" s="4" t="s">
        <v>39</v>
      </c>
      <c r="C312" s="4" t="s">
        <v>41</v>
      </c>
      <c r="D312" s="4" t="s">
        <v>42</v>
      </c>
      <c r="E312" s="4" t="s">
        <v>25</v>
      </c>
      <c r="F312" s="4" t="s">
        <v>25</v>
      </c>
      <c r="G312" s="4" t="s">
        <v>25</v>
      </c>
      <c r="H312" s="4" t="s">
        <v>25</v>
      </c>
      <c r="I312" s="5">
        <v>44378</v>
      </c>
      <c r="J312" s="6">
        <v>1786</v>
      </c>
      <c r="K312" s="6">
        <v>1786</v>
      </c>
      <c r="L312" s="6">
        <v>0</v>
      </c>
      <c r="M312" s="6">
        <v>0</v>
      </c>
      <c r="N312" s="6">
        <v>0</v>
      </c>
      <c r="O312" s="6">
        <v>0</v>
      </c>
      <c r="P312" s="6">
        <v>11</v>
      </c>
      <c r="Q312" s="4" t="s">
        <v>26</v>
      </c>
      <c r="R312" s="4">
        <v>0</v>
      </c>
      <c r="S312" s="6">
        <v>23</v>
      </c>
      <c r="T312" s="6">
        <v>0</v>
      </c>
      <c r="U312" s="6">
        <v>0</v>
      </c>
      <c r="V312" s="6">
        <f>IF(ISERROR(VLOOKUP($S$312,'TAR FIN'!$A$1:$O$100,15,0)),0,VLOOKUP($S$312,'TAR FIN'!$A$1:$O$100,15,0))</f>
        <v>18.48</v>
      </c>
      <c r="W312" s="6">
        <f>IF(ISERROR(VLOOKUP($T$312,'TAR FIN'!$A$1:$O$100,15,0)),0,VLOOKUP($T$312,'TAR FIN'!$A$1:$O$100,15,0))</f>
        <v>0</v>
      </c>
      <c r="X312" s="6">
        <f>IF(ISERROR(VLOOKUP($U$312,'TAR FIN'!$A$1:$O$100,15,0)),0,VLOOKUP($U$312,'TAR FIN'!$A$1:$O$100,15,0))</f>
        <v>0</v>
      </c>
      <c r="Y312" s="6">
        <f ca="1">('TUSD BE'!$AM$20+'TUSD BF'!$AM$20+'TUSD CVA'!$AM$20)*1</f>
        <v>17.856842567448453</v>
      </c>
      <c r="Z312" s="6"/>
      <c r="AA312" s="6"/>
      <c r="AB312" s="6">
        <f>$K$312*$V$312</f>
        <v>33005.279999999999</v>
      </c>
      <c r="AC312" s="6">
        <f>$M$312*$W$312</f>
        <v>0</v>
      </c>
      <c r="AD312" s="6">
        <f>$O$312*$X$312</f>
        <v>0</v>
      </c>
      <c r="AE312" s="6">
        <f ca="1">$K$312*$Y$312</f>
        <v>31892.320825462935</v>
      </c>
      <c r="AF312" s="6">
        <f>$M$312*$Z$312</f>
        <v>0</v>
      </c>
      <c r="AG312" s="6">
        <f>$O$312*$AA$312</f>
        <v>0</v>
      </c>
    </row>
    <row r="313" spans="1:33" ht="11.25" customHeight="1" x14ac:dyDescent="0.25">
      <c r="A313" s="4" t="s">
        <v>21</v>
      </c>
      <c r="B313" s="4" t="s">
        <v>39</v>
      </c>
      <c r="C313" s="4" t="s">
        <v>41</v>
      </c>
      <c r="D313" s="4" t="s">
        <v>42</v>
      </c>
      <c r="E313" s="4" t="s">
        <v>25</v>
      </c>
      <c r="F313" s="4" t="s">
        <v>25</v>
      </c>
      <c r="G313" s="4" t="s">
        <v>25</v>
      </c>
      <c r="H313" s="4" t="s">
        <v>25</v>
      </c>
      <c r="I313" s="5">
        <v>44409</v>
      </c>
      <c r="J313" s="6">
        <v>13126</v>
      </c>
      <c r="K313" s="6">
        <v>13126</v>
      </c>
      <c r="L313" s="6">
        <v>0</v>
      </c>
      <c r="M313" s="6">
        <v>0</v>
      </c>
      <c r="N313" s="6">
        <v>0</v>
      </c>
      <c r="O313" s="6">
        <v>0</v>
      </c>
      <c r="P313" s="6">
        <v>137</v>
      </c>
      <c r="Q313" s="4" t="s">
        <v>26</v>
      </c>
      <c r="R313" s="4">
        <v>0</v>
      </c>
      <c r="S313" s="6">
        <v>23</v>
      </c>
      <c r="T313" s="6">
        <v>0</v>
      </c>
      <c r="U313" s="6">
        <v>0</v>
      </c>
      <c r="V313" s="6">
        <f>IF(ISERROR(VLOOKUP($S$313,'TAR FIN'!$A$1:$O$100,15,0)),0,VLOOKUP($S$313,'TAR FIN'!$A$1:$O$100,15,0))</f>
        <v>18.48</v>
      </c>
      <c r="W313" s="6">
        <f>IF(ISERROR(VLOOKUP($T$313,'TAR FIN'!$A$1:$O$100,15,0)),0,VLOOKUP($T$313,'TAR FIN'!$A$1:$O$100,15,0))</f>
        <v>0</v>
      </c>
      <c r="X313" s="6">
        <f>IF(ISERROR(VLOOKUP($U$313,'TAR FIN'!$A$1:$O$100,15,0)),0,VLOOKUP($U$313,'TAR FIN'!$A$1:$O$100,15,0))</f>
        <v>0</v>
      </c>
      <c r="Y313" s="6">
        <f ca="1">('TUSD BE'!$AM$20+'TUSD BF'!$AM$20+'TUSD CVA'!$AM$20)*1</f>
        <v>17.856842567448453</v>
      </c>
      <c r="Z313" s="6"/>
      <c r="AA313" s="6"/>
      <c r="AB313" s="6">
        <f>$K$313*$V$313</f>
        <v>242568.48</v>
      </c>
      <c r="AC313" s="6">
        <f>$M$313*$W$313</f>
        <v>0</v>
      </c>
      <c r="AD313" s="6">
        <f>$O$313*$X$313</f>
        <v>0</v>
      </c>
      <c r="AE313" s="6">
        <f ca="1">$K$313*$Y$313</f>
        <v>234388.91554032839</v>
      </c>
      <c r="AF313" s="6">
        <f>$M$313*$Z$313</f>
        <v>0</v>
      </c>
      <c r="AG313" s="6">
        <f>$O$313*$AA$313</f>
        <v>0</v>
      </c>
    </row>
    <row r="314" spans="1:33" ht="11.25" customHeight="1" x14ac:dyDescent="0.25">
      <c r="A314" s="4" t="s">
        <v>28</v>
      </c>
      <c r="B314" s="4" t="s">
        <v>39</v>
      </c>
      <c r="C314" s="4" t="s">
        <v>41</v>
      </c>
      <c r="D314" s="4" t="s">
        <v>42</v>
      </c>
      <c r="E314" s="4" t="s">
        <v>25</v>
      </c>
      <c r="F314" s="4" t="s">
        <v>25</v>
      </c>
      <c r="G314" s="4" t="s">
        <v>25</v>
      </c>
      <c r="H314" s="4" t="s">
        <v>25</v>
      </c>
      <c r="I314" s="5">
        <v>44409</v>
      </c>
      <c r="J314" s="6">
        <v>1795</v>
      </c>
      <c r="K314" s="6">
        <v>1795</v>
      </c>
      <c r="L314" s="6">
        <v>0</v>
      </c>
      <c r="M314" s="6">
        <v>0</v>
      </c>
      <c r="N314" s="6">
        <v>0</v>
      </c>
      <c r="O314" s="6">
        <v>0</v>
      </c>
      <c r="P314" s="6">
        <v>11</v>
      </c>
      <c r="Q314" s="4" t="s">
        <v>26</v>
      </c>
      <c r="R314" s="4">
        <v>0</v>
      </c>
      <c r="S314" s="6">
        <v>23</v>
      </c>
      <c r="T314" s="6">
        <v>0</v>
      </c>
      <c r="U314" s="6">
        <v>0</v>
      </c>
      <c r="V314" s="6">
        <f>IF(ISERROR(VLOOKUP($S$314,'TAR FIN'!$A$1:$O$100,15,0)),0,VLOOKUP($S$314,'TAR FIN'!$A$1:$O$100,15,0))</f>
        <v>18.48</v>
      </c>
      <c r="W314" s="6">
        <f>IF(ISERROR(VLOOKUP($T$314,'TAR FIN'!$A$1:$O$100,15,0)),0,VLOOKUP($T$314,'TAR FIN'!$A$1:$O$100,15,0))</f>
        <v>0</v>
      </c>
      <c r="X314" s="6">
        <f>IF(ISERROR(VLOOKUP($U$314,'TAR FIN'!$A$1:$O$100,15,0)),0,VLOOKUP($U$314,'TAR FIN'!$A$1:$O$100,15,0))</f>
        <v>0</v>
      </c>
      <c r="Y314" s="6">
        <f ca="1">('TUSD BE'!$AM$20+'TUSD BF'!$AM$20+'TUSD CVA'!$AM$20)*1</f>
        <v>17.856842567448453</v>
      </c>
      <c r="Z314" s="6"/>
      <c r="AA314" s="6"/>
      <c r="AB314" s="6">
        <f>$K$314*$V$314</f>
        <v>33171.599999999999</v>
      </c>
      <c r="AC314" s="6">
        <f>$M$314*$W$314</f>
        <v>0</v>
      </c>
      <c r="AD314" s="6">
        <f>$O$314*$X$314</f>
        <v>0</v>
      </c>
      <c r="AE314" s="6">
        <f ca="1">$K$314*$Y$314</f>
        <v>32053.032408569972</v>
      </c>
      <c r="AF314" s="6">
        <f>$M$314*$Z$314</f>
        <v>0</v>
      </c>
      <c r="AG314" s="6">
        <f>$O$314*$AA$314</f>
        <v>0</v>
      </c>
    </row>
    <row r="315" spans="1:33" ht="11.25" customHeight="1" x14ac:dyDescent="0.25">
      <c r="A315" s="4" t="s">
        <v>21</v>
      </c>
      <c r="B315" s="4" t="s">
        <v>39</v>
      </c>
      <c r="C315" s="4" t="s">
        <v>41</v>
      </c>
      <c r="D315" s="4" t="s">
        <v>42</v>
      </c>
      <c r="E315" s="4" t="s">
        <v>25</v>
      </c>
      <c r="F315" s="4" t="s">
        <v>25</v>
      </c>
      <c r="G315" s="4" t="s">
        <v>25</v>
      </c>
      <c r="H315" s="4" t="s">
        <v>25</v>
      </c>
      <c r="I315" s="5">
        <v>44409</v>
      </c>
      <c r="J315" s="6">
        <v>650</v>
      </c>
      <c r="K315" s="6">
        <v>650</v>
      </c>
      <c r="L315" s="6">
        <v>0</v>
      </c>
      <c r="M315" s="6">
        <v>0</v>
      </c>
      <c r="N315" s="6">
        <v>0</v>
      </c>
      <c r="O315" s="6">
        <v>0</v>
      </c>
      <c r="P315" s="6">
        <v>1</v>
      </c>
      <c r="Q315" s="4" t="s">
        <v>57</v>
      </c>
      <c r="R315" s="4">
        <v>0</v>
      </c>
      <c r="S315" s="6">
        <v>23</v>
      </c>
      <c r="T315" s="6">
        <v>0</v>
      </c>
      <c r="U315" s="6">
        <v>0</v>
      </c>
      <c r="V315" s="6">
        <f>IF(ISERROR(VLOOKUP($S$315,'TAR FIN'!$A$1:$O$100,15,0)),0,VLOOKUP($S$315,'TAR FIN'!$A$1:$O$100,15,0))</f>
        <v>18.48</v>
      </c>
      <c r="W315" s="6">
        <f>IF(ISERROR(VLOOKUP($T$315,'TAR FIN'!$A$1:$O$100,15,0)),0,VLOOKUP($T$315,'TAR FIN'!$A$1:$O$100,15,0))</f>
        <v>0</v>
      </c>
      <c r="X315" s="6">
        <f>IF(ISERROR(VLOOKUP($U$315,'TAR FIN'!$A$1:$O$100,15,0)),0,VLOOKUP($U$315,'TAR FIN'!$A$1:$O$100,15,0))</f>
        <v>0</v>
      </c>
      <c r="Y315" s="6">
        <f ca="1">('TUSD BE'!$AM$20+'TUSD BF'!$AM$20+'TUSD CVA'!$AM$20)*1</f>
        <v>17.856842567448453</v>
      </c>
      <c r="Z315" s="6"/>
      <c r="AA315" s="6"/>
      <c r="AB315" s="6">
        <f>$K$315*$V$315</f>
        <v>12012</v>
      </c>
      <c r="AC315" s="6">
        <f>$M$315*$W$315</f>
        <v>0</v>
      </c>
      <c r="AD315" s="6">
        <f>$O$315*$X$315</f>
        <v>0</v>
      </c>
      <c r="AE315" s="6">
        <f ca="1">$K$315*$Y$315</f>
        <v>11606.947668841494</v>
      </c>
      <c r="AF315" s="6">
        <f>$M$315*$Z$315</f>
        <v>0</v>
      </c>
      <c r="AG315" s="6">
        <f>$O$315*$AA$315</f>
        <v>0</v>
      </c>
    </row>
    <row r="316" spans="1:33" ht="11.25" customHeight="1" x14ac:dyDescent="0.25">
      <c r="A316" s="4" t="s">
        <v>21</v>
      </c>
      <c r="B316" s="4" t="s">
        <v>39</v>
      </c>
      <c r="C316" s="4" t="s">
        <v>41</v>
      </c>
      <c r="D316" s="4" t="s">
        <v>42</v>
      </c>
      <c r="E316" s="4" t="s">
        <v>25</v>
      </c>
      <c r="F316" s="4" t="s">
        <v>25</v>
      </c>
      <c r="G316" s="4" t="s">
        <v>25</v>
      </c>
      <c r="H316" s="4" t="s">
        <v>25</v>
      </c>
      <c r="I316" s="5">
        <v>44440</v>
      </c>
      <c r="J316" s="6">
        <v>13168</v>
      </c>
      <c r="K316" s="6">
        <v>13168</v>
      </c>
      <c r="L316" s="6">
        <v>0</v>
      </c>
      <c r="M316" s="6">
        <v>0</v>
      </c>
      <c r="N316" s="6">
        <v>0</v>
      </c>
      <c r="O316" s="6">
        <v>0</v>
      </c>
      <c r="P316" s="6">
        <v>137</v>
      </c>
      <c r="Q316" s="4" t="s">
        <v>26</v>
      </c>
      <c r="R316" s="4">
        <v>0</v>
      </c>
      <c r="S316" s="6">
        <v>23</v>
      </c>
      <c r="T316" s="6">
        <v>0</v>
      </c>
      <c r="U316" s="6">
        <v>0</v>
      </c>
      <c r="V316" s="6">
        <f>IF(ISERROR(VLOOKUP($S$316,'TAR FIN'!$A$1:$O$100,15,0)),0,VLOOKUP($S$316,'TAR FIN'!$A$1:$O$100,15,0))</f>
        <v>18.48</v>
      </c>
      <c r="W316" s="6">
        <f>IF(ISERROR(VLOOKUP($T$316,'TAR FIN'!$A$1:$O$100,15,0)),0,VLOOKUP($T$316,'TAR FIN'!$A$1:$O$100,15,0))</f>
        <v>0</v>
      </c>
      <c r="X316" s="6">
        <f>IF(ISERROR(VLOOKUP($U$316,'TAR FIN'!$A$1:$O$100,15,0)),0,VLOOKUP($U$316,'TAR FIN'!$A$1:$O$100,15,0))</f>
        <v>0</v>
      </c>
      <c r="Y316" s="6">
        <f ca="1">('TUSD BE'!$AM$20+'TUSD BF'!$AM$20+'TUSD CVA'!$AM$20)*1</f>
        <v>17.856842567448453</v>
      </c>
      <c r="Z316" s="6"/>
      <c r="AA316" s="6"/>
      <c r="AB316" s="6">
        <f>$K$316*$V$316</f>
        <v>243344.64000000001</v>
      </c>
      <c r="AC316" s="6">
        <f>$M$316*$W$316</f>
        <v>0</v>
      </c>
      <c r="AD316" s="6">
        <f>$O$316*$X$316</f>
        <v>0</v>
      </c>
      <c r="AE316" s="6">
        <f ca="1">$K$316*$Y$316</f>
        <v>235138.90292816123</v>
      </c>
      <c r="AF316" s="6">
        <f>$M$316*$Z$316</f>
        <v>0</v>
      </c>
      <c r="AG316" s="6">
        <f>$O$316*$AA$316</f>
        <v>0</v>
      </c>
    </row>
    <row r="317" spans="1:33" ht="11.25" customHeight="1" x14ac:dyDescent="0.25">
      <c r="A317" s="4" t="s">
        <v>28</v>
      </c>
      <c r="B317" s="4" t="s">
        <v>39</v>
      </c>
      <c r="C317" s="4" t="s">
        <v>41</v>
      </c>
      <c r="D317" s="4" t="s">
        <v>42</v>
      </c>
      <c r="E317" s="4" t="s">
        <v>25</v>
      </c>
      <c r="F317" s="4" t="s">
        <v>25</v>
      </c>
      <c r="G317" s="4" t="s">
        <v>25</v>
      </c>
      <c r="H317" s="4" t="s">
        <v>25</v>
      </c>
      <c r="I317" s="5">
        <v>44440</v>
      </c>
      <c r="J317" s="6">
        <v>2516</v>
      </c>
      <c r="K317" s="6">
        <v>2516</v>
      </c>
      <c r="L317" s="6">
        <v>0</v>
      </c>
      <c r="M317" s="6">
        <v>0</v>
      </c>
      <c r="N317" s="6">
        <v>0</v>
      </c>
      <c r="O317" s="6">
        <v>0</v>
      </c>
      <c r="P317" s="6">
        <v>11</v>
      </c>
      <c r="Q317" s="4" t="s">
        <v>26</v>
      </c>
      <c r="R317" s="4">
        <v>0</v>
      </c>
      <c r="S317" s="6">
        <v>23</v>
      </c>
      <c r="T317" s="6">
        <v>0</v>
      </c>
      <c r="U317" s="6">
        <v>0</v>
      </c>
      <c r="V317" s="6">
        <f>IF(ISERROR(VLOOKUP($S$317,'TAR FIN'!$A$1:$O$100,15,0)),0,VLOOKUP($S$317,'TAR FIN'!$A$1:$O$100,15,0))</f>
        <v>18.48</v>
      </c>
      <c r="W317" s="6">
        <f>IF(ISERROR(VLOOKUP($T$317,'TAR FIN'!$A$1:$O$100,15,0)),0,VLOOKUP($T$317,'TAR FIN'!$A$1:$O$100,15,0))</f>
        <v>0</v>
      </c>
      <c r="X317" s="6">
        <f>IF(ISERROR(VLOOKUP($U$317,'TAR FIN'!$A$1:$O$100,15,0)),0,VLOOKUP($U$317,'TAR FIN'!$A$1:$O$100,15,0))</f>
        <v>0</v>
      </c>
      <c r="Y317" s="6">
        <f ca="1">('TUSD BE'!$AM$20+'TUSD BF'!$AM$20+'TUSD CVA'!$AM$20)*1</f>
        <v>17.856842567448453</v>
      </c>
      <c r="Z317" s="6"/>
      <c r="AA317" s="6"/>
      <c r="AB317" s="6">
        <f>$K$317*$V$317</f>
        <v>46495.68</v>
      </c>
      <c r="AC317" s="6">
        <f>$M$317*$W$317</f>
        <v>0</v>
      </c>
      <c r="AD317" s="6">
        <f>$O$317*$X$317</f>
        <v>0</v>
      </c>
      <c r="AE317" s="6">
        <f ca="1">$K$317*$Y$317</f>
        <v>44927.815899700305</v>
      </c>
      <c r="AF317" s="6">
        <f>$M$317*$Z$317</f>
        <v>0</v>
      </c>
      <c r="AG317" s="6">
        <f>$O$317*$AA$317</f>
        <v>0</v>
      </c>
    </row>
    <row r="318" spans="1:33" ht="11.25" customHeight="1" x14ac:dyDescent="0.25">
      <c r="A318" s="4" t="s">
        <v>21</v>
      </c>
      <c r="B318" s="4" t="s">
        <v>39</v>
      </c>
      <c r="C318" s="4" t="s">
        <v>41</v>
      </c>
      <c r="D318" s="4" t="s">
        <v>42</v>
      </c>
      <c r="E318" s="4" t="s">
        <v>25</v>
      </c>
      <c r="F318" s="4" t="s">
        <v>25</v>
      </c>
      <c r="G318" s="4" t="s">
        <v>25</v>
      </c>
      <c r="H318" s="4" t="s">
        <v>25</v>
      </c>
      <c r="I318" s="5">
        <v>44440</v>
      </c>
      <c r="J318" s="6">
        <v>650</v>
      </c>
      <c r="K318" s="6">
        <v>650</v>
      </c>
      <c r="L318" s="6">
        <v>0</v>
      </c>
      <c r="M318" s="6">
        <v>0</v>
      </c>
      <c r="N318" s="6">
        <v>0</v>
      </c>
      <c r="O318" s="6">
        <v>0</v>
      </c>
      <c r="P318" s="6">
        <v>1</v>
      </c>
      <c r="Q318" s="4" t="s">
        <v>57</v>
      </c>
      <c r="R318" s="4">
        <v>0</v>
      </c>
      <c r="S318" s="6">
        <v>23</v>
      </c>
      <c r="T318" s="6">
        <v>0</v>
      </c>
      <c r="U318" s="6">
        <v>0</v>
      </c>
      <c r="V318" s="6">
        <f>IF(ISERROR(VLOOKUP($S$318,'TAR FIN'!$A$1:$O$100,15,0)),0,VLOOKUP($S$318,'TAR FIN'!$A$1:$O$100,15,0))</f>
        <v>18.48</v>
      </c>
      <c r="W318" s="6">
        <f>IF(ISERROR(VLOOKUP($T$318,'TAR FIN'!$A$1:$O$100,15,0)),0,VLOOKUP($T$318,'TAR FIN'!$A$1:$O$100,15,0))</f>
        <v>0</v>
      </c>
      <c r="X318" s="6">
        <f>IF(ISERROR(VLOOKUP($U$318,'TAR FIN'!$A$1:$O$100,15,0)),0,VLOOKUP($U$318,'TAR FIN'!$A$1:$O$100,15,0))</f>
        <v>0</v>
      </c>
      <c r="Y318" s="6">
        <f ca="1">('TUSD BE'!$AM$20+'TUSD BF'!$AM$20+'TUSD CVA'!$AM$20)*1</f>
        <v>17.856842567448453</v>
      </c>
      <c r="Z318" s="6"/>
      <c r="AA318" s="6"/>
      <c r="AB318" s="6">
        <f>$K$318*$V$318</f>
        <v>12012</v>
      </c>
      <c r="AC318" s="6">
        <f>$M$318*$W$318</f>
        <v>0</v>
      </c>
      <c r="AD318" s="6">
        <f>$O$318*$X$318</f>
        <v>0</v>
      </c>
      <c r="AE318" s="6">
        <f ca="1">$K$318*$Y$318</f>
        <v>11606.947668841494</v>
      </c>
      <c r="AF318" s="6">
        <f>$M$318*$Z$318</f>
        <v>0</v>
      </c>
      <c r="AG318" s="6">
        <f>$O$318*$AA$318</f>
        <v>0</v>
      </c>
    </row>
    <row r="319" spans="1:33" ht="11.25" customHeight="1" x14ac:dyDescent="0.25">
      <c r="A319" s="4" t="s">
        <v>21</v>
      </c>
      <c r="B319" s="4" t="s">
        <v>39</v>
      </c>
      <c r="C319" s="4" t="s">
        <v>41</v>
      </c>
      <c r="D319" s="4" t="s">
        <v>42</v>
      </c>
      <c r="E319" s="4" t="s">
        <v>25</v>
      </c>
      <c r="F319" s="4" t="s">
        <v>25</v>
      </c>
      <c r="G319" s="4" t="s">
        <v>25</v>
      </c>
      <c r="H319" s="4" t="s">
        <v>25</v>
      </c>
      <c r="I319" s="5">
        <v>44470</v>
      </c>
      <c r="J319" s="6">
        <v>13164</v>
      </c>
      <c r="K319" s="6">
        <v>13164</v>
      </c>
      <c r="L319" s="6">
        <v>0</v>
      </c>
      <c r="M319" s="6">
        <v>0</v>
      </c>
      <c r="N319" s="6">
        <v>0</v>
      </c>
      <c r="O319" s="6">
        <v>0</v>
      </c>
      <c r="P319" s="6">
        <v>132</v>
      </c>
      <c r="Q319" s="4" t="s">
        <v>26</v>
      </c>
      <c r="R319" s="4">
        <v>0</v>
      </c>
      <c r="S319" s="6">
        <v>23</v>
      </c>
      <c r="T319" s="6">
        <v>0</v>
      </c>
      <c r="U319" s="6">
        <v>0</v>
      </c>
      <c r="V319" s="6">
        <f>IF(ISERROR(VLOOKUP($S$319,'TAR FIN'!$A$1:$O$100,15,0)),0,VLOOKUP($S$319,'TAR FIN'!$A$1:$O$100,15,0))</f>
        <v>18.48</v>
      </c>
      <c r="W319" s="6">
        <f>IF(ISERROR(VLOOKUP($T$319,'TAR FIN'!$A$1:$O$100,15,0)),0,VLOOKUP($T$319,'TAR FIN'!$A$1:$O$100,15,0))</f>
        <v>0</v>
      </c>
      <c r="X319" s="6">
        <f>IF(ISERROR(VLOOKUP($U$319,'TAR FIN'!$A$1:$O$100,15,0)),0,VLOOKUP($U$319,'TAR FIN'!$A$1:$O$100,15,0))</f>
        <v>0</v>
      </c>
      <c r="Y319" s="6">
        <f ca="1">('TUSD BE'!$AM$20+'TUSD BF'!$AM$20+'TUSD CVA'!$AM$20)*1</f>
        <v>17.856842567448453</v>
      </c>
      <c r="Z319" s="6"/>
      <c r="AA319" s="6"/>
      <c r="AB319" s="6">
        <f>$K$319*$V$319</f>
        <v>243270.72</v>
      </c>
      <c r="AC319" s="6">
        <f>$M$319*$W$319</f>
        <v>0</v>
      </c>
      <c r="AD319" s="6">
        <f>$O$319*$X$319</f>
        <v>0</v>
      </c>
      <c r="AE319" s="6">
        <f ca="1">$K$319*$Y$319</f>
        <v>235067.47555789145</v>
      </c>
      <c r="AF319" s="6">
        <f>$M$319*$Z$319</f>
        <v>0</v>
      </c>
      <c r="AG319" s="6">
        <f>$O$319*$AA$319</f>
        <v>0</v>
      </c>
    </row>
    <row r="320" spans="1:33" ht="11.25" customHeight="1" x14ac:dyDescent="0.25">
      <c r="A320" s="4" t="s">
        <v>28</v>
      </c>
      <c r="B320" s="4" t="s">
        <v>39</v>
      </c>
      <c r="C320" s="4" t="s">
        <v>41</v>
      </c>
      <c r="D320" s="4" t="s">
        <v>42</v>
      </c>
      <c r="E320" s="4" t="s">
        <v>25</v>
      </c>
      <c r="F320" s="4" t="s">
        <v>25</v>
      </c>
      <c r="G320" s="4" t="s">
        <v>25</v>
      </c>
      <c r="H320" s="4" t="s">
        <v>25</v>
      </c>
      <c r="I320" s="5">
        <v>44470</v>
      </c>
      <c r="J320" s="6">
        <v>3076</v>
      </c>
      <c r="K320" s="6">
        <v>3076</v>
      </c>
      <c r="L320" s="6">
        <v>0</v>
      </c>
      <c r="M320" s="6">
        <v>0</v>
      </c>
      <c r="N320" s="6">
        <v>0</v>
      </c>
      <c r="O320" s="6">
        <v>0</v>
      </c>
      <c r="P320" s="6">
        <v>14</v>
      </c>
      <c r="Q320" s="4" t="s">
        <v>26</v>
      </c>
      <c r="R320" s="4">
        <v>0</v>
      </c>
      <c r="S320" s="6">
        <v>23</v>
      </c>
      <c r="T320" s="6">
        <v>0</v>
      </c>
      <c r="U320" s="6">
        <v>0</v>
      </c>
      <c r="V320" s="6">
        <f>IF(ISERROR(VLOOKUP($S$320,'TAR FIN'!$A$1:$O$100,15,0)),0,VLOOKUP($S$320,'TAR FIN'!$A$1:$O$100,15,0))</f>
        <v>18.48</v>
      </c>
      <c r="W320" s="6">
        <f>IF(ISERROR(VLOOKUP($T$320,'TAR FIN'!$A$1:$O$100,15,0)),0,VLOOKUP($T$320,'TAR FIN'!$A$1:$O$100,15,0))</f>
        <v>0</v>
      </c>
      <c r="X320" s="6">
        <f>IF(ISERROR(VLOOKUP($U$320,'TAR FIN'!$A$1:$O$100,15,0)),0,VLOOKUP($U$320,'TAR FIN'!$A$1:$O$100,15,0))</f>
        <v>0</v>
      </c>
      <c r="Y320" s="6">
        <f ca="1">('TUSD BE'!$AM$20+'TUSD BF'!$AM$20+'TUSD CVA'!$AM$20)*1</f>
        <v>17.856842567448453</v>
      </c>
      <c r="Z320" s="6"/>
      <c r="AA320" s="6"/>
      <c r="AB320" s="6">
        <f>$K$320*$V$320</f>
        <v>56844.480000000003</v>
      </c>
      <c r="AC320" s="6">
        <f>$M$320*$W$320</f>
        <v>0</v>
      </c>
      <c r="AD320" s="6">
        <f>$O$320*$X$320</f>
        <v>0</v>
      </c>
      <c r="AE320" s="6">
        <f ca="1">$K$320*$Y$320</f>
        <v>54927.647737471445</v>
      </c>
      <c r="AF320" s="6">
        <f>$M$320*$Z$320</f>
        <v>0</v>
      </c>
      <c r="AG320" s="6">
        <f>$O$320*$AA$320</f>
        <v>0</v>
      </c>
    </row>
    <row r="321" spans="1:33" ht="11.25" customHeight="1" x14ac:dyDescent="0.25">
      <c r="A321" s="4" t="s">
        <v>21</v>
      </c>
      <c r="B321" s="4" t="s">
        <v>39</v>
      </c>
      <c r="C321" s="4" t="s">
        <v>41</v>
      </c>
      <c r="D321" s="4" t="s">
        <v>42</v>
      </c>
      <c r="E321" s="4" t="s">
        <v>25</v>
      </c>
      <c r="F321" s="4" t="s">
        <v>25</v>
      </c>
      <c r="G321" s="4" t="s">
        <v>25</v>
      </c>
      <c r="H321" s="4" t="s">
        <v>25</v>
      </c>
      <c r="I321" s="5">
        <v>44501</v>
      </c>
      <c r="J321" s="6">
        <v>13264</v>
      </c>
      <c r="K321" s="6">
        <v>13264</v>
      </c>
      <c r="L321" s="6">
        <v>0</v>
      </c>
      <c r="M321" s="6">
        <v>0</v>
      </c>
      <c r="N321" s="6">
        <v>0</v>
      </c>
      <c r="O321" s="6">
        <v>0</v>
      </c>
      <c r="P321" s="6">
        <v>132</v>
      </c>
      <c r="Q321" s="4" t="s">
        <v>26</v>
      </c>
      <c r="R321" s="4">
        <v>0</v>
      </c>
      <c r="S321" s="6">
        <v>23</v>
      </c>
      <c r="T321" s="6">
        <v>0</v>
      </c>
      <c r="U321" s="6">
        <v>0</v>
      </c>
      <c r="V321" s="6">
        <f>IF(ISERROR(VLOOKUP($S$321,'TAR FIN'!$A$1:$O$100,15,0)),0,VLOOKUP($S$321,'TAR FIN'!$A$1:$O$100,15,0))</f>
        <v>18.48</v>
      </c>
      <c r="W321" s="6">
        <f>IF(ISERROR(VLOOKUP($T$321,'TAR FIN'!$A$1:$O$100,15,0)),0,VLOOKUP($T$321,'TAR FIN'!$A$1:$O$100,15,0))</f>
        <v>0</v>
      </c>
      <c r="X321" s="6">
        <f>IF(ISERROR(VLOOKUP($U$321,'TAR FIN'!$A$1:$O$100,15,0)),0,VLOOKUP($U$321,'TAR FIN'!$A$1:$O$100,15,0))</f>
        <v>0</v>
      </c>
      <c r="Y321" s="6">
        <f ca="1">('TUSD BE'!$AM$20+'TUSD BF'!$AM$20+'TUSD CVA'!$AM$20)*1</f>
        <v>17.856842567448453</v>
      </c>
      <c r="Z321" s="6"/>
      <c r="AA321" s="6"/>
      <c r="AB321" s="6">
        <f>$K$321*$V$321</f>
        <v>245118.72</v>
      </c>
      <c r="AC321" s="6">
        <f>$M$321*$W$321</f>
        <v>0</v>
      </c>
      <c r="AD321" s="6">
        <f>$O$321*$X$321</f>
        <v>0</v>
      </c>
      <c r="AE321" s="6">
        <f ca="1">$K$321*$Y$321</f>
        <v>236853.15981463628</v>
      </c>
      <c r="AF321" s="6">
        <f>$M$321*$Z$321</f>
        <v>0</v>
      </c>
      <c r="AG321" s="6">
        <f>$O$321*$AA$321</f>
        <v>0</v>
      </c>
    </row>
    <row r="322" spans="1:33" ht="11.25" customHeight="1" x14ac:dyDescent="0.25">
      <c r="A322" s="4" t="s">
        <v>28</v>
      </c>
      <c r="B322" s="4" t="s">
        <v>39</v>
      </c>
      <c r="C322" s="4" t="s">
        <v>41</v>
      </c>
      <c r="D322" s="4" t="s">
        <v>42</v>
      </c>
      <c r="E322" s="4" t="s">
        <v>25</v>
      </c>
      <c r="F322" s="4" t="s">
        <v>25</v>
      </c>
      <c r="G322" s="4" t="s">
        <v>25</v>
      </c>
      <c r="H322" s="4" t="s">
        <v>25</v>
      </c>
      <c r="I322" s="5">
        <v>44501</v>
      </c>
      <c r="J322" s="6">
        <v>3304</v>
      </c>
      <c r="K322" s="6">
        <v>3304</v>
      </c>
      <c r="L322" s="6">
        <v>0</v>
      </c>
      <c r="M322" s="6">
        <v>0</v>
      </c>
      <c r="N322" s="6">
        <v>0</v>
      </c>
      <c r="O322" s="6">
        <v>0</v>
      </c>
      <c r="P322" s="6">
        <v>15</v>
      </c>
      <c r="Q322" s="4" t="s">
        <v>26</v>
      </c>
      <c r="R322" s="4">
        <v>0</v>
      </c>
      <c r="S322" s="6">
        <v>23</v>
      </c>
      <c r="T322" s="6">
        <v>0</v>
      </c>
      <c r="U322" s="6">
        <v>0</v>
      </c>
      <c r="V322" s="6">
        <f>IF(ISERROR(VLOOKUP($S$322,'TAR FIN'!$A$1:$O$100,15,0)),0,VLOOKUP($S$322,'TAR FIN'!$A$1:$O$100,15,0))</f>
        <v>18.48</v>
      </c>
      <c r="W322" s="6">
        <f>IF(ISERROR(VLOOKUP($T$322,'TAR FIN'!$A$1:$O$100,15,0)),0,VLOOKUP($T$322,'TAR FIN'!$A$1:$O$100,15,0))</f>
        <v>0</v>
      </c>
      <c r="X322" s="6">
        <f>IF(ISERROR(VLOOKUP($U$322,'TAR FIN'!$A$1:$O$100,15,0)),0,VLOOKUP($U$322,'TAR FIN'!$A$1:$O$100,15,0))</f>
        <v>0</v>
      </c>
      <c r="Y322" s="6">
        <f ca="1">('TUSD BE'!$AM$20+'TUSD BF'!$AM$20+'TUSD CVA'!$AM$20)*1</f>
        <v>17.856842567448453</v>
      </c>
      <c r="Z322" s="6"/>
      <c r="AA322" s="6"/>
      <c r="AB322" s="6">
        <f>$K$322*$V$322</f>
        <v>61057.919999999998</v>
      </c>
      <c r="AC322" s="6">
        <f>$M$322*$W$322</f>
        <v>0</v>
      </c>
      <c r="AD322" s="6">
        <f>$O$322*$X$322</f>
        <v>0</v>
      </c>
      <c r="AE322" s="6">
        <f ca="1">$K$322*$Y$322</f>
        <v>58999.007842849685</v>
      </c>
      <c r="AF322" s="6">
        <f>$M$322*$Z$322</f>
        <v>0</v>
      </c>
      <c r="AG322" s="6">
        <f>$O$322*$AA$322</f>
        <v>0</v>
      </c>
    </row>
    <row r="323" spans="1:33" ht="11.25" customHeight="1" x14ac:dyDescent="0.25">
      <c r="A323" s="4" t="s">
        <v>21</v>
      </c>
      <c r="B323" s="4" t="s">
        <v>39</v>
      </c>
      <c r="C323" s="4" t="s">
        <v>41</v>
      </c>
      <c r="D323" s="4" t="s">
        <v>42</v>
      </c>
      <c r="E323" s="4" t="s">
        <v>25</v>
      </c>
      <c r="F323" s="4" t="s">
        <v>25</v>
      </c>
      <c r="G323" s="4" t="s">
        <v>25</v>
      </c>
      <c r="H323" s="4" t="s">
        <v>25</v>
      </c>
      <c r="I323" s="5">
        <v>44531</v>
      </c>
      <c r="J323" s="6">
        <v>13228</v>
      </c>
      <c r="K323" s="6">
        <v>13228</v>
      </c>
      <c r="L323" s="6">
        <v>0</v>
      </c>
      <c r="M323" s="6">
        <v>0</v>
      </c>
      <c r="N323" s="6">
        <v>0</v>
      </c>
      <c r="O323" s="6">
        <v>0</v>
      </c>
      <c r="P323" s="6">
        <v>130</v>
      </c>
      <c r="Q323" s="4" t="s">
        <v>26</v>
      </c>
      <c r="R323" s="4">
        <v>0</v>
      </c>
      <c r="S323" s="6">
        <v>23</v>
      </c>
      <c r="T323" s="6">
        <v>0</v>
      </c>
      <c r="U323" s="6">
        <v>0</v>
      </c>
      <c r="V323" s="6">
        <f>IF(ISERROR(VLOOKUP($S$323,'TAR FIN'!$A$1:$O$100,15,0)),0,VLOOKUP($S$323,'TAR FIN'!$A$1:$O$100,15,0))</f>
        <v>18.48</v>
      </c>
      <c r="W323" s="6">
        <f>IF(ISERROR(VLOOKUP($T$323,'TAR FIN'!$A$1:$O$100,15,0)),0,VLOOKUP($T$323,'TAR FIN'!$A$1:$O$100,15,0))</f>
        <v>0</v>
      </c>
      <c r="X323" s="6">
        <f>IF(ISERROR(VLOOKUP($U$323,'TAR FIN'!$A$1:$O$100,15,0)),0,VLOOKUP($U$323,'TAR FIN'!$A$1:$O$100,15,0))</f>
        <v>0</v>
      </c>
      <c r="Y323" s="6">
        <f ca="1">('TUSD BE'!$AM$20+'TUSD BF'!$AM$20+'TUSD CVA'!$AM$20)*1</f>
        <v>17.856842567448453</v>
      </c>
      <c r="Z323" s="6"/>
      <c r="AA323" s="6"/>
      <c r="AB323" s="6">
        <f>$K$323*$V$323</f>
        <v>244453.44</v>
      </c>
      <c r="AC323" s="6">
        <f>$M$323*$W$323</f>
        <v>0</v>
      </c>
      <c r="AD323" s="6">
        <f>$O$323*$X$323</f>
        <v>0</v>
      </c>
      <c r="AE323" s="6">
        <f ca="1">$K$323*$Y$323</f>
        <v>236210.31348220815</v>
      </c>
      <c r="AF323" s="6">
        <f>$M$323*$Z$323</f>
        <v>0</v>
      </c>
      <c r="AG323" s="6">
        <f>$O$323*$AA$323</f>
        <v>0</v>
      </c>
    </row>
    <row r="324" spans="1:33" ht="11.25" customHeight="1" x14ac:dyDescent="0.25">
      <c r="A324" s="4" t="s">
        <v>27</v>
      </c>
      <c r="B324" s="4" t="s">
        <v>39</v>
      </c>
      <c r="C324" s="4" t="s">
        <v>41</v>
      </c>
      <c r="D324" s="4" t="s">
        <v>42</v>
      </c>
      <c r="E324" s="4" t="s">
        <v>25</v>
      </c>
      <c r="F324" s="4" t="s">
        <v>25</v>
      </c>
      <c r="G324" s="4" t="s">
        <v>25</v>
      </c>
      <c r="H324" s="4" t="s">
        <v>25</v>
      </c>
      <c r="I324" s="5">
        <v>44531</v>
      </c>
      <c r="J324" s="6">
        <v>30</v>
      </c>
      <c r="K324" s="6">
        <v>30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4" t="s">
        <v>26</v>
      </c>
      <c r="R324" s="4">
        <v>0</v>
      </c>
      <c r="S324" s="6">
        <v>23</v>
      </c>
      <c r="T324" s="6">
        <v>0</v>
      </c>
      <c r="U324" s="6">
        <v>0</v>
      </c>
      <c r="V324" s="6">
        <f>IF(ISERROR(VLOOKUP($S$324,'TAR FIN'!$A$1:$O$100,15,0)),0,VLOOKUP($S$324,'TAR FIN'!$A$1:$O$100,15,0))</f>
        <v>18.48</v>
      </c>
      <c r="W324" s="6">
        <f>IF(ISERROR(VLOOKUP($T$324,'TAR FIN'!$A$1:$O$100,15,0)),0,VLOOKUP($T$324,'TAR FIN'!$A$1:$O$100,15,0))</f>
        <v>0</v>
      </c>
      <c r="X324" s="6">
        <f>IF(ISERROR(VLOOKUP($U$324,'TAR FIN'!$A$1:$O$100,15,0)),0,VLOOKUP($U$324,'TAR FIN'!$A$1:$O$100,15,0))</f>
        <v>0</v>
      </c>
      <c r="Y324" s="6">
        <f ca="1">('TUSD BE'!$AM$20+'TUSD BF'!$AM$20+'TUSD CVA'!$AM$20)*1</f>
        <v>17.856842567448453</v>
      </c>
      <c r="Z324" s="6"/>
      <c r="AA324" s="6"/>
      <c r="AB324" s="6">
        <f>$K$324*$V$324</f>
        <v>554.4</v>
      </c>
      <c r="AC324" s="6">
        <f>$M$324*$W$324</f>
        <v>0</v>
      </c>
      <c r="AD324" s="6">
        <f>$O$324*$X$324</f>
        <v>0</v>
      </c>
      <c r="AE324" s="6">
        <f ca="1">$K$324*$Y$324</f>
        <v>535.70527702345362</v>
      </c>
      <c r="AF324" s="6">
        <f>$M$324*$Z$324</f>
        <v>0</v>
      </c>
      <c r="AG324" s="6">
        <f>$O$324*$AA$324</f>
        <v>0</v>
      </c>
    </row>
    <row r="325" spans="1:33" ht="11.25" customHeight="1" x14ac:dyDescent="0.25">
      <c r="A325" s="4" t="s">
        <v>28</v>
      </c>
      <c r="B325" s="4" t="s">
        <v>39</v>
      </c>
      <c r="C325" s="4" t="s">
        <v>41</v>
      </c>
      <c r="D325" s="4" t="s">
        <v>42</v>
      </c>
      <c r="E325" s="4" t="s">
        <v>25</v>
      </c>
      <c r="F325" s="4" t="s">
        <v>25</v>
      </c>
      <c r="G325" s="4" t="s">
        <v>25</v>
      </c>
      <c r="H325" s="4" t="s">
        <v>25</v>
      </c>
      <c r="I325" s="5">
        <v>44531</v>
      </c>
      <c r="J325" s="6">
        <v>3353</v>
      </c>
      <c r="K325" s="6">
        <v>3353</v>
      </c>
      <c r="L325" s="6">
        <v>0</v>
      </c>
      <c r="M325" s="6">
        <v>0</v>
      </c>
      <c r="N325" s="6">
        <v>0</v>
      </c>
      <c r="O325" s="6">
        <v>0</v>
      </c>
      <c r="P325" s="6">
        <v>16</v>
      </c>
      <c r="Q325" s="4" t="s">
        <v>26</v>
      </c>
      <c r="R325" s="4">
        <v>0</v>
      </c>
      <c r="S325" s="6">
        <v>23</v>
      </c>
      <c r="T325" s="6">
        <v>0</v>
      </c>
      <c r="U325" s="6">
        <v>0</v>
      </c>
      <c r="V325" s="6">
        <f>IF(ISERROR(VLOOKUP($S$325,'TAR FIN'!$A$1:$O$100,15,0)),0,VLOOKUP($S$325,'TAR FIN'!$A$1:$O$100,15,0))</f>
        <v>18.48</v>
      </c>
      <c r="W325" s="6">
        <f>IF(ISERROR(VLOOKUP($T$325,'TAR FIN'!$A$1:$O$100,15,0)),0,VLOOKUP($T$325,'TAR FIN'!$A$1:$O$100,15,0))</f>
        <v>0</v>
      </c>
      <c r="X325" s="6">
        <f>IF(ISERROR(VLOOKUP($U$325,'TAR FIN'!$A$1:$O$100,15,0)),0,VLOOKUP($U$325,'TAR FIN'!$A$1:$O$100,15,0))</f>
        <v>0</v>
      </c>
      <c r="Y325" s="6">
        <f ca="1">('TUSD BE'!$AM$20+'TUSD BF'!$AM$20+'TUSD CVA'!$AM$20)*1</f>
        <v>17.856842567448453</v>
      </c>
      <c r="Z325" s="6"/>
      <c r="AA325" s="6"/>
      <c r="AB325" s="6">
        <f>$K$325*$V$325</f>
        <v>61963.44</v>
      </c>
      <c r="AC325" s="6">
        <f>$M$325*$W$325</f>
        <v>0</v>
      </c>
      <c r="AD325" s="6">
        <f>$O$325*$X$325</f>
        <v>0</v>
      </c>
      <c r="AE325" s="6">
        <f ca="1">$K$325*$Y$325</f>
        <v>59873.993128654663</v>
      </c>
      <c r="AF325" s="6">
        <f>$M$325*$Z$325</f>
        <v>0</v>
      </c>
      <c r="AG325" s="6">
        <f>$O$325*$AA$325</f>
        <v>0</v>
      </c>
    </row>
    <row r="326" spans="1:33" ht="11.25" customHeight="1" x14ac:dyDescent="0.25">
      <c r="A326" s="4" t="s">
        <v>55</v>
      </c>
      <c r="B326" s="4" t="s">
        <v>39</v>
      </c>
      <c r="C326" s="4" t="s">
        <v>41</v>
      </c>
      <c r="D326" s="4" t="s">
        <v>42</v>
      </c>
      <c r="E326" s="4" t="s">
        <v>25</v>
      </c>
      <c r="F326" s="4" t="s">
        <v>25</v>
      </c>
      <c r="G326" s="4" t="s">
        <v>25</v>
      </c>
      <c r="H326" s="4" t="s">
        <v>25</v>
      </c>
      <c r="I326" s="5">
        <v>44562</v>
      </c>
      <c r="J326" s="6">
        <v>13228</v>
      </c>
      <c r="K326" s="6">
        <v>13228</v>
      </c>
      <c r="L326" s="6">
        <v>0</v>
      </c>
      <c r="M326" s="6">
        <v>0</v>
      </c>
      <c r="N326" s="6">
        <v>0</v>
      </c>
      <c r="O326" s="6">
        <v>0</v>
      </c>
      <c r="P326" s="6">
        <v>130</v>
      </c>
      <c r="Q326" s="4" t="s">
        <v>26</v>
      </c>
      <c r="R326" s="4">
        <v>0</v>
      </c>
      <c r="S326" s="6">
        <v>23</v>
      </c>
      <c r="T326" s="6">
        <v>0</v>
      </c>
      <c r="U326" s="6">
        <v>0</v>
      </c>
      <c r="V326" s="6">
        <f>IF(ISERROR(VLOOKUP($S$326,'TAR FIN'!$A$1:$O$100,15,0)),0,VLOOKUP($S$326,'TAR FIN'!$A$1:$O$100,15,0))</f>
        <v>18.48</v>
      </c>
      <c r="W326" s="6">
        <f>IF(ISERROR(VLOOKUP($T$326,'TAR FIN'!$A$1:$O$100,15,0)),0,VLOOKUP($T$326,'TAR FIN'!$A$1:$O$100,15,0))</f>
        <v>0</v>
      </c>
      <c r="X326" s="6">
        <f>IF(ISERROR(VLOOKUP($U$326,'TAR FIN'!$A$1:$O$100,15,0)),0,VLOOKUP($U$326,'TAR FIN'!$A$1:$O$100,15,0))</f>
        <v>0</v>
      </c>
      <c r="Y326" s="6">
        <f ca="1">('TUSD BE'!$AM$20+'TUSD BF'!$AM$20+'TUSD CVA'!$AM$20)*1</f>
        <v>17.856842567448453</v>
      </c>
      <c r="Z326" s="6"/>
      <c r="AA326" s="6"/>
      <c r="AB326" s="6">
        <f>$K$326*$V$326</f>
        <v>244453.44</v>
      </c>
      <c r="AC326" s="6">
        <f>$M$326*$W$326</f>
        <v>0</v>
      </c>
      <c r="AD326" s="6">
        <f>$O$326*$X$326</f>
        <v>0</v>
      </c>
      <c r="AE326" s="6">
        <f ca="1">$K$326*$Y$326</f>
        <v>236210.31348220815</v>
      </c>
      <c r="AF326" s="6">
        <f>$M$326*$Z$326</f>
        <v>0</v>
      </c>
      <c r="AG326" s="6">
        <f>$O$326*$AA$326</f>
        <v>0</v>
      </c>
    </row>
    <row r="327" spans="1:33" ht="11.25" customHeight="1" x14ac:dyDescent="0.25">
      <c r="A327" s="4" t="s">
        <v>55</v>
      </c>
      <c r="B327" s="4" t="s">
        <v>39</v>
      </c>
      <c r="C327" s="4" t="s">
        <v>41</v>
      </c>
      <c r="D327" s="4" t="s">
        <v>42</v>
      </c>
      <c r="E327" s="4" t="s">
        <v>25</v>
      </c>
      <c r="F327" s="4" t="s">
        <v>25</v>
      </c>
      <c r="G327" s="4" t="s">
        <v>25</v>
      </c>
      <c r="H327" s="4" t="s">
        <v>25</v>
      </c>
      <c r="I327" s="5">
        <v>44562</v>
      </c>
      <c r="J327" s="6">
        <v>30</v>
      </c>
      <c r="K327" s="6">
        <v>30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4" t="s">
        <v>26</v>
      </c>
      <c r="R327" s="4">
        <v>0</v>
      </c>
      <c r="S327" s="6">
        <v>23</v>
      </c>
      <c r="T327" s="6">
        <v>0</v>
      </c>
      <c r="U327" s="6">
        <v>0</v>
      </c>
      <c r="V327" s="6">
        <f>IF(ISERROR(VLOOKUP($S$327,'TAR FIN'!$A$1:$O$100,15,0)),0,VLOOKUP($S$327,'TAR FIN'!$A$1:$O$100,15,0))</f>
        <v>18.48</v>
      </c>
      <c r="W327" s="6">
        <f>IF(ISERROR(VLOOKUP($T$327,'TAR FIN'!$A$1:$O$100,15,0)),0,VLOOKUP($T$327,'TAR FIN'!$A$1:$O$100,15,0))</f>
        <v>0</v>
      </c>
      <c r="X327" s="6">
        <f>IF(ISERROR(VLOOKUP($U$327,'TAR FIN'!$A$1:$O$100,15,0)),0,VLOOKUP($U$327,'TAR FIN'!$A$1:$O$100,15,0))</f>
        <v>0</v>
      </c>
      <c r="Y327" s="6">
        <f ca="1">('TUSD BE'!$AM$20+'TUSD BF'!$AM$20+'TUSD CVA'!$AM$20)*1</f>
        <v>17.856842567448453</v>
      </c>
      <c r="Z327" s="6"/>
      <c r="AA327" s="6"/>
      <c r="AB327" s="6">
        <f>$K$327*$V$327</f>
        <v>554.4</v>
      </c>
      <c r="AC327" s="6">
        <f>$M$327*$W$327</f>
        <v>0</v>
      </c>
      <c r="AD327" s="6">
        <f>$O$327*$X$327</f>
        <v>0</v>
      </c>
      <c r="AE327" s="6">
        <f ca="1">$K$327*$Y$327</f>
        <v>535.70527702345362</v>
      </c>
      <c r="AF327" s="6">
        <f>$M$327*$Z$327</f>
        <v>0</v>
      </c>
      <c r="AG327" s="6">
        <f>$O$327*$AA$327</f>
        <v>0</v>
      </c>
    </row>
    <row r="328" spans="1:33" ht="11.25" customHeight="1" x14ac:dyDescent="0.25">
      <c r="A328" s="4" t="s">
        <v>55</v>
      </c>
      <c r="B328" s="4" t="s">
        <v>39</v>
      </c>
      <c r="C328" s="4" t="s">
        <v>41</v>
      </c>
      <c r="D328" s="4" t="s">
        <v>42</v>
      </c>
      <c r="E328" s="4" t="s">
        <v>25</v>
      </c>
      <c r="F328" s="4" t="s">
        <v>25</v>
      </c>
      <c r="G328" s="4" t="s">
        <v>25</v>
      </c>
      <c r="H328" s="4" t="s">
        <v>25</v>
      </c>
      <c r="I328" s="5">
        <v>44562</v>
      </c>
      <c r="J328" s="6">
        <v>3353</v>
      </c>
      <c r="K328" s="6">
        <v>3353</v>
      </c>
      <c r="L328" s="6">
        <v>0</v>
      </c>
      <c r="M328" s="6">
        <v>0</v>
      </c>
      <c r="N328" s="6">
        <v>0</v>
      </c>
      <c r="O328" s="6">
        <v>0</v>
      </c>
      <c r="P328" s="6">
        <v>16</v>
      </c>
      <c r="Q328" s="4" t="s">
        <v>26</v>
      </c>
      <c r="R328" s="4">
        <v>0</v>
      </c>
      <c r="S328" s="6">
        <v>23</v>
      </c>
      <c r="T328" s="6">
        <v>0</v>
      </c>
      <c r="U328" s="6">
        <v>0</v>
      </c>
      <c r="V328" s="6">
        <f>IF(ISERROR(VLOOKUP($S$328,'TAR FIN'!$A$1:$O$100,15,0)),0,VLOOKUP($S$328,'TAR FIN'!$A$1:$O$100,15,0))</f>
        <v>18.48</v>
      </c>
      <c r="W328" s="6">
        <f>IF(ISERROR(VLOOKUP($T$328,'TAR FIN'!$A$1:$O$100,15,0)),0,VLOOKUP($T$328,'TAR FIN'!$A$1:$O$100,15,0))</f>
        <v>0</v>
      </c>
      <c r="X328" s="6">
        <f>IF(ISERROR(VLOOKUP($U$328,'TAR FIN'!$A$1:$O$100,15,0)),0,VLOOKUP($U$328,'TAR FIN'!$A$1:$O$100,15,0))</f>
        <v>0</v>
      </c>
      <c r="Y328" s="6">
        <f ca="1">('TUSD BE'!$AM$20+'TUSD BF'!$AM$20+'TUSD CVA'!$AM$20)*1</f>
        <v>17.856842567448453</v>
      </c>
      <c r="Z328" s="6"/>
      <c r="AA328" s="6"/>
      <c r="AB328" s="6">
        <f>$K$328*$V$328</f>
        <v>61963.44</v>
      </c>
      <c r="AC328" s="6">
        <f>$M$328*$W$328</f>
        <v>0</v>
      </c>
      <c r="AD328" s="6">
        <f>$O$328*$X$328</f>
        <v>0</v>
      </c>
      <c r="AE328" s="6">
        <f ca="1">$K$328*$Y$328</f>
        <v>59873.993128654663</v>
      </c>
      <c r="AF328" s="6">
        <f>$M$328*$Z$328</f>
        <v>0</v>
      </c>
      <c r="AG328" s="6">
        <f>$O$328*$AA$328</f>
        <v>0</v>
      </c>
    </row>
    <row r="329" spans="1:33" ht="11.25" customHeight="1" x14ac:dyDescent="0.25">
      <c r="A329" s="4" t="s">
        <v>21</v>
      </c>
      <c r="B329" s="4" t="s">
        <v>39</v>
      </c>
      <c r="C329" s="4" t="s">
        <v>41</v>
      </c>
      <c r="D329" s="4" t="s">
        <v>42</v>
      </c>
      <c r="E329" s="4" t="s">
        <v>25</v>
      </c>
      <c r="F329" s="4" t="s">
        <v>25</v>
      </c>
      <c r="G329" s="4" t="s">
        <v>25</v>
      </c>
      <c r="H329" s="4" t="s">
        <v>34</v>
      </c>
      <c r="I329" s="5">
        <v>44228</v>
      </c>
      <c r="J329" s="6">
        <v>0</v>
      </c>
      <c r="K329" s="6">
        <v>0</v>
      </c>
      <c r="L329" s="6">
        <v>173.36600000000001</v>
      </c>
      <c r="M329" s="6">
        <v>173.36600000000001</v>
      </c>
      <c r="N329" s="6">
        <v>173.36600000000001</v>
      </c>
      <c r="O329" s="6">
        <v>173.36600000000001</v>
      </c>
      <c r="P329" s="6">
        <v>0</v>
      </c>
      <c r="Q329" s="4" t="s">
        <v>26</v>
      </c>
      <c r="R329" s="4">
        <v>0</v>
      </c>
      <c r="S329" s="6">
        <v>0</v>
      </c>
      <c r="T329" s="6">
        <v>24</v>
      </c>
      <c r="U329" s="6">
        <v>67</v>
      </c>
      <c r="V329" s="6">
        <f>IF(ISERROR(VLOOKUP($S$329,'TAR FIN'!$A$1:$O$100,15,0)),0,VLOOKUP($S$329,'TAR FIN'!$A$1:$O$100,15,0))</f>
        <v>0</v>
      </c>
      <c r="W329" s="6">
        <f>IF(ISERROR(VLOOKUP($T$329,'TAR FIN'!$A$1:$O$100,15,0)),0,VLOOKUP($T$329,'TAR FIN'!$A$1:$O$100,15,0))</f>
        <v>943.81</v>
      </c>
      <c r="X329" s="6">
        <f>IF(ISERROR(VLOOKUP($U$329,'TAR FIN'!$A$1:$O$100,15,0)),0,VLOOKUP($U$329,'TAR FIN'!$A$1:$O$100,15,0))</f>
        <v>366.6</v>
      </c>
      <c r="Y329" s="6"/>
      <c r="Z329" s="6">
        <f ca="1">('TUSD BE'!$AM$21+'TUSD BF'!$AM$21+'TUSD CVA'!$AM$21)*1</f>
        <v>928.87102242938545</v>
      </c>
      <c r="AA329" s="6">
        <f>('TE BE'!$AA$7+'TE BF'!$AA$7+'TE CVA'!$AA$7)*1</f>
        <v>385.46556634281501</v>
      </c>
      <c r="AB329" s="6">
        <f>$K$329*$V$329</f>
        <v>0</v>
      </c>
      <c r="AC329" s="6">
        <f>$M$329*$W$329</f>
        <v>163624.56445999999</v>
      </c>
      <c r="AD329" s="6">
        <f>$O$329*$X$329</f>
        <v>63555.975600000012</v>
      </c>
      <c r="AE329" s="6">
        <f>$K$329*$Y$329</f>
        <v>0</v>
      </c>
      <c r="AF329" s="6">
        <f ca="1">$M$329*$Z$329</f>
        <v>161034.65367449285</v>
      </c>
      <c r="AG329" s="6">
        <f>$O$329*$AA$329</f>
        <v>66826.623374588467</v>
      </c>
    </row>
    <row r="330" spans="1:33" ht="11.25" customHeight="1" x14ac:dyDescent="0.25">
      <c r="A330" s="4" t="s">
        <v>27</v>
      </c>
      <c r="B330" s="4" t="s">
        <v>39</v>
      </c>
      <c r="C330" s="4" t="s">
        <v>41</v>
      </c>
      <c r="D330" s="4" t="s">
        <v>42</v>
      </c>
      <c r="E330" s="4" t="s">
        <v>25</v>
      </c>
      <c r="F330" s="4" t="s">
        <v>25</v>
      </c>
      <c r="G330" s="4" t="s">
        <v>25</v>
      </c>
      <c r="H330" s="4" t="s">
        <v>34</v>
      </c>
      <c r="I330" s="5">
        <v>44228</v>
      </c>
      <c r="J330" s="6">
        <v>0</v>
      </c>
      <c r="K330" s="6">
        <v>0</v>
      </c>
      <c r="L330" s="6">
        <v>-0.315</v>
      </c>
      <c r="M330" s="6">
        <v>-0.315</v>
      </c>
      <c r="N330" s="6">
        <v>-0.315</v>
      </c>
      <c r="O330" s="6">
        <v>-0.315</v>
      </c>
      <c r="P330" s="6">
        <v>0</v>
      </c>
      <c r="Q330" s="4" t="s">
        <v>26</v>
      </c>
      <c r="R330" s="4">
        <v>0</v>
      </c>
      <c r="S330" s="6">
        <v>0</v>
      </c>
      <c r="T330" s="6">
        <v>24</v>
      </c>
      <c r="U330" s="6">
        <v>67</v>
      </c>
      <c r="V330" s="6">
        <f>IF(ISERROR(VLOOKUP($S$330,'TAR FIN'!$A$1:$O$100,15,0)),0,VLOOKUP($S$330,'TAR FIN'!$A$1:$O$100,15,0))</f>
        <v>0</v>
      </c>
      <c r="W330" s="6">
        <f>IF(ISERROR(VLOOKUP($T$330,'TAR FIN'!$A$1:$O$100,15,0)),0,VLOOKUP($T$330,'TAR FIN'!$A$1:$O$100,15,0))</f>
        <v>943.81</v>
      </c>
      <c r="X330" s="6">
        <f>IF(ISERROR(VLOOKUP($U$330,'TAR FIN'!$A$1:$O$100,15,0)),0,VLOOKUP($U$330,'TAR FIN'!$A$1:$O$100,15,0))</f>
        <v>366.6</v>
      </c>
      <c r="Y330" s="6"/>
      <c r="Z330" s="6">
        <f ca="1">('TUSD BE'!$AM$21+'TUSD BF'!$AM$21+'TUSD CVA'!$AM$21)*1</f>
        <v>928.87102242938545</v>
      </c>
      <c r="AA330" s="6">
        <f>('TE BE'!$AA$7+'TE BF'!$AA$7+'TE CVA'!$AA$7)*1</f>
        <v>385.46556634281501</v>
      </c>
      <c r="AB330" s="6">
        <f>$K$330*$V$330</f>
        <v>0</v>
      </c>
      <c r="AC330" s="6">
        <f>$M$330*$W$330</f>
        <v>-297.30014999999997</v>
      </c>
      <c r="AD330" s="6">
        <f>$O$330*$X$330</f>
        <v>-115.47900000000001</v>
      </c>
      <c r="AE330" s="6">
        <f>$K$330*$Y$330</f>
        <v>0</v>
      </c>
      <c r="AF330" s="6">
        <f ca="1">$M$330*$Z$330</f>
        <v>-292.59437206525644</v>
      </c>
      <c r="AG330" s="6">
        <f>$O$330*$AA$330</f>
        <v>-121.42165339798673</v>
      </c>
    </row>
    <row r="331" spans="1:33" ht="11.25" customHeight="1" x14ac:dyDescent="0.25">
      <c r="A331" s="4" t="s">
        <v>28</v>
      </c>
      <c r="B331" s="4" t="s">
        <v>39</v>
      </c>
      <c r="C331" s="4" t="s">
        <v>41</v>
      </c>
      <c r="D331" s="4" t="s">
        <v>42</v>
      </c>
      <c r="E331" s="4" t="s">
        <v>25</v>
      </c>
      <c r="F331" s="4" t="s">
        <v>25</v>
      </c>
      <c r="G331" s="4" t="s">
        <v>25</v>
      </c>
      <c r="H331" s="4" t="s">
        <v>34</v>
      </c>
      <c r="I331" s="5">
        <v>44228</v>
      </c>
      <c r="J331" s="6">
        <v>0</v>
      </c>
      <c r="K331" s="6">
        <v>0</v>
      </c>
      <c r="L331" s="6">
        <v>10.997999999999999</v>
      </c>
      <c r="M331" s="6">
        <v>10.997999999999999</v>
      </c>
      <c r="N331" s="6">
        <v>10.997999999999999</v>
      </c>
      <c r="O331" s="6">
        <v>10.997999999999999</v>
      </c>
      <c r="P331" s="6">
        <v>0</v>
      </c>
      <c r="Q331" s="4" t="s">
        <v>26</v>
      </c>
      <c r="R331" s="4">
        <v>0</v>
      </c>
      <c r="S331" s="6">
        <v>0</v>
      </c>
      <c r="T331" s="6">
        <v>24</v>
      </c>
      <c r="U331" s="6">
        <v>67</v>
      </c>
      <c r="V331" s="6">
        <f>IF(ISERROR(VLOOKUP($S$331,'TAR FIN'!$A$1:$O$100,15,0)),0,VLOOKUP($S$331,'TAR FIN'!$A$1:$O$100,15,0))</f>
        <v>0</v>
      </c>
      <c r="W331" s="6">
        <f>IF(ISERROR(VLOOKUP($T$331,'TAR FIN'!$A$1:$O$100,15,0)),0,VLOOKUP($T$331,'TAR FIN'!$A$1:$O$100,15,0))</f>
        <v>943.81</v>
      </c>
      <c r="X331" s="6">
        <f>IF(ISERROR(VLOOKUP($U$331,'TAR FIN'!$A$1:$O$100,15,0)),0,VLOOKUP($U$331,'TAR FIN'!$A$1:$O$100,15,0))</f>
        <v>366.6</v>
      </c>
      <c r="Y331" s="6"/>
      <c r="Z331" s="6">
        <f ca="1">('TUSD BE'!$AM$21+'TUSD BF'!$AM$21+'TUSD CVA'!$AM$21)*1</f>
        <v>928.87102242938545</v>
      </c>
      <c r="AA331" s="6">
        <f>('TE BE'!$AA$7+'TE BF'!$AA$7+'TE CVA'!$AA$7)*1</f>
        <v>385.46556634281501</v>
      </c>
      <c r="AB331" s="6">
        <f>$K$331*$V$331</f>
        <v>0</v>
      </c>
      <c r="AC331" s="6">
        <f>$M$331*$W$331</f>
        <v>10380.022379999999</v>
      </c>
      <c r="AD331" s="6">
        <f>$O$331*$X$331</f>
        <v>4031.8667999999998</v>
      </c>
      <c r="AE331" s="6">
        <f>$K$331*$Y$331</f>
        <v>0</v>
      </c>
      <c r="AF331" s="6">
        <f ca="1">$M$331*$Z$331</f>
        <v>10215.723504678381</v>
      </c>
      <c r="AG331" s="6">
        <f>$O$331*$AA$331</f>
        <v>4239.3502986382791</v>
      </c>
    </row>
    <row r="332" spans="1:33" ht="11.25" customHeight="1" x14ac:dyDescent="0.25">
      <c r="A332" s="4" t="s">
        <v>21</v>
      </c>
      <c r="B332" s="4" t="s">
        <v>39</v>
      </c>
      <c r="C332" s="4" t="s">
        <v>41</v>
      </c>
      <c r="D332" s="4" t="s">
        <v>42</v>
      </c>
      <c r="E332" s="4" t="s">
        <v>25</v>
      </c>
      <c r="F332" s="4" t="s">
        <v>25</v>
      </c>
      <c r="G332" s="4" t="s">
        <v>25</v>
      </c>
      <c r="H332" s="4" t="s">
        <v>34</v>
      </c>
      <c r="I332" s="5">
        <v>44228</v>
      </c>
      <c r="J332" s="6">
        <v>0</v>
      </c>
      <c r="K332" s="6">
        <v>0</v>
      </c>
      <c r="L332" s="6">
        <v>3.1859999999999999</v>
      </c>
      <c r="M332" s="6">
        <v>3.1859999999999999</v>
      </c>
      <c r="N332" s="6">
        <v>0</v>
      </c>
      <c r="O332" s="6">
        <v>0</v>
      </c>
      <c r="P332" s="6">
        <v>0</v>
      </c>
      <c r="Q332" s="4" t="s">
        <v>57</v>
      </c>
      <c r="R332" s="4">
        <v>0</v>
      </c>
      <c r="S332" s="6">
        <v>0</v>
      </c>
      <c r="T332" s="6">
        <v>24</v>
      </c>
      <c r="U332" s="6">
        <v>0</v>
      </c>
      <c r="V332" s="6">
        <f>IF(ISERROR(VLOOKUP($S$332,'TAR FIN'!$A$1:$O$100,15,0)),0,VLOOKUP($S$332,'TAR FIN'!$A$1:$O$100,15,0))</f>
        <v>0</v>
      </c>
      <c r="W332" s="6">
        <f>IF(ISERROR(VLOOKUP($T$332,'TAR FIN'!$A$1:$O$100,15,0)),0,VLOOKUP($T$332,'TAR FIN'!$A$1:$O$100,15,0))</f>
        <v>943.81</v>
      </c>
      <c r="X332" s="6">
        <f>IF(ISERROR(VLOOKUP($U$332,'TAR FIN'!$A$1:$O$100,15,0)),0,VLOOKUP($U$332,'TAR FIN'!$A$1:$O$100,15,0))</f>
        <v>0</v>
      </c>
      <c r="Y332" s="6"/>
      <c r="Z332" s="6">
        <f ca="1">('TUSD BE'!$AM$21+'TUSD BF'!$AM$21+'TUSD CVA'!$AM$21)*1</f>
        <v>928.87102242938545</v>
      </c>
      <c r="AA332" s="6"/>
      <c r="AB332" s="6">
        <f>$K$332*$V$332</f>
        <v>0</v>
      </c>
      <c r="AC332" s="6">
        <f>$M$332*$W$332</f>
        <v>3006.9786599999998</v>
      </c>
      <c r="AD332" s="6">
        <f>$O$332*$X$332</f>
        <v>0</v>
      </c>
      <c r="AE332" s="6">
        <f>$K$332*$Y$332</f>
        <v>0</v>
      </c>
      <c r="AF332" s="6">
        <f ca="1">$M$332*$Z$332</f>
        <v>2959.3830774600219</v>
      </c>
      <c r="AG332" s="6">
        <f>$O$332*$AA$332</f>
        <v>0</v>
      </c>
    </row>
    <row r="333" spans="1:33" ht="11.25" customHeight="1" x14ac:dyDescent="0.25">
      <c r="A333" s="4" t="s">
        <v>21</v>
      </c>
      <c r="B333" s="4" t="s">
        <v>39</v>
      </c>
      <c r="C333" s="4" t="s">
        <v>41</v>
      </c>
      <c r="D333" s="4" t="s">
        <v>42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44256</v>
      </c>
      <c r="J333" s="6">
        <v>0</v>
      </c>
      <c r="K333" s="6">
        <v>0</v>
      </c>
      <c r="L333" s="6">
        <v>173.99799999999999</v>
      </c>
      <c r="M333" s="6">
        <v>173.99799999999999</v>
      </c>
      <c r="N333" s="6">
        <v>173.99799999999999</v>
      </c>
      <c r="O333" s="6">
        <v>173.99799999999999</v>
      </c>
      <c r="P333" s="6">
        <v>0</v>
      </c>
      <c r="Q333" s="4" t="s">
        <v>26</v>
      </c>
      <c r="R333" s="4">
        <v>0</v>
      </c>
      <c r="S333" s="6">
        <v>0</v>
      </c>
      <c r="T333" s="6">
        <v>24</v>
      </c>
      <c r="U333" s="6">
        <v>67</v>
      </c>
      <c r="V333" s="6">
        <f>IF(ISERROR(VLOOKUP($S$333,'TAR FIN'!$A$1:$O$100,15,0)),0,VLOOKUP($S$333,'TAR FIN'!$A$1:$O$100,15,0))</f>
        <v>0</v>
      </c>
      <c r="W333" s="6">
        <f>IF(ISERROR(VLOOKUP($T$333,'TAR FIN'!$A$1:$O$100,15,0)),0,VLOOKUP($T$333,'TAR FIN'!$A$1:$O$100,15,0))</f>
        <v>943.81</v>
      </c>
      <c r="X333" s="6">
        <f>IF(ISERROR(VLOOKUP($U$333,'TAR FIN'!$A$1:$O$100,15,0)),0,VLOOKUP($U$333,'TAR FIN'!$A$1:$O$100,15,0))</f>
        <v>366.6</v>
      </c>
      <c r="Y333" s="6"/>
      <c r="Z333" s="6">
        <f ca="1">('TUSD BE'!$AM$21+'TUSD BF'!$AM$21+'TUSD CVA'!$AM$21)*1</f>
        <v>928.87102242938545</v>
      </c>
      <c r="AA333" s="6">
        <f>('TE BE'!$AA$7+'TE BF'!$AA$7+'TE CVA'!$AA$7)*1</f>
        <v>385.46556634281501</v>
      </c>
      <c r="AB333" s="6">
        <f>$K$333*$V$333</f>
        <v>0</v>
      </c>
      <c r="AC333" s="6">
        <f>$M$333*$W$333</f>
        <v>164221.05237999998</v>
      </c>
      <c r="AD333" s="6">
        <f>$O$333*$X$333</f>
        <v>63787.666799999999</v>
      </c>
      <c r="AE333" s="6">
        <f>$K$333*$Y$333</f>
        <v>0</v>
      </c>
      <c r="AF333" s="6">
        <f ca="1">$M$333*$Z$333</f>
        <v>161621.7001606682</v>
      </c>
      <c r="AG333" s="6">
        <f>$O$333*$AA$333</f>
        <v>67070.237612517129</v>
      </c>
    </row>
    <row r="334" spans="1:33" ht="11.25" customHeight="1" x14ac:dyDescent="0.25">
      <c r="A334" s="4" t="s">
        <v>28</v>
      </c>
      <c r="B334" s="4" t="s">
        <v>39</v>
      </c>
      <c r="C334" s="4" t="s">
        <v>41</v>
      </c>
      <c r="D334" s="4" t="s">
        <v>42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44256</v>
      </c>
      <c r="J334" s="6">
        <v>0</v>
      </c>
      <c r="K334" s="6">
        <v>0</v>
      </c>
      <c r="L334" s="6">
        <v>21.936</v>
      </c>
      <c r="M334" s="6">
        <v>21.936</v>
      </c>
      <c r="N334" s="6">
        <v>21.936</v>
      </c>
      <c r="O334" s="6">
        <v>21.936</v>
      </c>
      <c r="P334" s="6">
        <v>0</v>
      </c>
      <c r="Q334" s="4" t="s">
        <v>26</v>
      </c>
      <c r="R334" s="4">
        <v>0</v>
      </c>
      <c r="S334" s="6">
        <v>0</v>
      </c>
      <c r="T334" s="6">
        <v>24</v>
      </c>
      <c r="U334" s="6">
        <v>67</v>
      </c>
      <c r="V334" s="6">
        <f>IF(ISERROR(VLOOKUP($S$334,'TAR FIN'!$A$1:$O$100,15,0)),0,VLOOKUP($S$334,'TAR FIN'!$A$1:$O$100,15,0))</f>
        <v>0</v>
      </c>
      <c r="W334" s="6">
        <f>IF(ISERROR(VLOOKUP($T$334,'TAR FIN'!$A$1:$O$100,15,0)),0,VLOOKUP($T$334,'TAR FIN'!$A$1:$O$100,15,0))</f>
        <v>943.81</v>
      </c>
      <c r="X334" s="6">
        <f>IF(ISERROR(VLOOKUP($U$334,'TAR FIN'!$A$1:$O$100,15,0)),0,VLOOKUP($U$334,'TAR FIN'!$A$1:$O$100,15,0))</f>
        <v>366.6</v>
      </c>
      <c r="Y334" s="6"/>
      <c r="Z334" s="6">
        <f ca="1">('TUSD BE'!$AM$21+'TUSD BF'!$AM$21+'TUSD CVA'!$AM$21)*1</f>
        <v>928.87102242938545</v>
      </c>
      <c r="AA334" s="6">
        <f>('TE BE'!$AA$7+'TE BF'!$AA$7+'TE CVA'!$AA$7)*1</f>
        <v>385.46556634281501</v>
      </c>
      <c r="AB334" s="6">
        <f>$K$334*$V$334</f>
        <v>0</v>
      </c>
      <c r="AC334" s="6">
        <f>$M$334*$W$334</f>
        <v>20703.416159999997</v>
      </c>
      <c r="AD334" s="6">
        <f>$O$334*$X$334</f>
        <v>8041.7376000000004</v>
      </c>
      <c r="AE334" s="6">
        <f>$K$334*$Y$334</f>
        <v>0</v>
      </c>
      <c r="AF334" s="6">
        <f ca="1">$M$334*$Z$334</f>
        <v>20375.714748011</v>
      </c>
      <c r="AG334" s="6">
        <f>$O$334*$AA$334</f>
        <v>8455.5726632959904</v>
      </c>
    </row>
    <row r="335" spans="1:33" ht="11.25" customHeight="1" x14ac:dyDescent="0.25">
      <c r="A335" s="4" t="s">
        <v>21</v>
      </c>
      <c r="B335" s="4" t="s">
        <v>39</v>
      </c>
      <c r="C335" s="4" t="s">
        <v>41</v>
      </c>
      <c r="D335" s="4" t="s">
        <v>42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44256</v>
      </c>
      <c r="J335" s="6">
        <v>0</v>
      </c>
      <c r="K335" s="6">
        <v>0</v>
      </c>
      <c r="L335" s="6">
        <v>2.875</v>
      </c>
      <c r="M335" s="6">
        <v>2.875</v>
      </c>
      <c r="N335" s="6">
        <v>0</v>
      </c>
      <c r="O335" s="6">
        <v>0</v>
      </c>
      <c r="P335" s="6">
        <v>0</v>
      </c>
      <c r="Q335" s="4" t="s">
        <v>57</v>
      </c>
      <c r="R335" s="4">
        <v>0</v>
      </c>
      <c r="S335" s="6">
        <v>0</v>
      </c>
      <c r="T335" s="6">
        <v>24</v>
      </c>
      <c r="U335" s="6">
        <v>0</v>
      </c>
      <c r="V335" s="6">
        <f>IF(ISERROR(VLOOKUP($S$335,'TAR FIN'!$A$1:$O$100,15,0)),0,VLOOKUP($S$335,'TAR FIN'!$A$1:$O$100,15,0))</f>
        <v>0</v>
      </c>
      <c r="W335" s="6">
        <f>IF(ISERROR(VLOOKUP($T$335,'TAR FIN'!$A$1:$O$100,15,0)),0,VLOOKUP($T$335,'TAR FIN'!$A$1:$O$100,15,0))</f>
        <v>943.81</v>
      </c>
      <c r="X335" s="6">
        <f>IF(ISERROR(VLOOKUP($U$335,'TAR FIN'!$A$1:$O$100,15,0)),0,VLOOKUP($U$335,'TAR FIN'!$A$1:$O$100,15,0))</f>
        <v>0</v>
      </c>
      <c r="Y335" s="6"/>
      <c r="Z335" s="6">
        <f ca="1">('TUSD BE'!$AM$21+'TUSD BF'!$AM$21+'TUSD CVA'!$AM$21)*1</f>
        <v>928.87102242938545</v>
      </c>
      <c r="AA335" s="6"/>
      <c r="AB335" s="6">
        <f>$K$335*$V$335</f>
        <v>0</v>
      </c>
      <c r="AC335" s="6">
        <f>$M$335*$W$335</f>
        <v>2713.4537499999997</v>
      </c>
      <c r="AD335" s="6">
        <f>$O$335*$X$335</f>
        <v>0</v>
      </c>
      <c r="AE335" s="6">
        <f>$K$335*$Y$335</f>
        <v>0</v>
      </c>
      <c r="AF335" s="6">
        <f ca="1">$M$335*$Z$335</f>
        <v>2670.504189484483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39</v>
      </c>
      <c r="C336" s="4" t="s">
        <v>41</v>
      </c>
      <c r="D336" s="4" t="s">
        <v>42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44287</v>
      </c>
      <c r="J336" s="6">
        <v>0</v>
      </c>
      <c r="K336" s="6">
        <v>0</v>
      </c>
      <c r="L336" s="6">
        <v>171.767</v>
      </c>
      <c r="M336" s="6">
        <v>171.767</v>
      </c>
      <c r="N336" s="6">
        <v>171.767</v>
      </c>
      <c r="O336" s="6">
        <v>171.767</v>
      </c>
      <c r="P336" s="6">
        <v>0</v>
      </c>
      <c r="Q336" s="4" t="s">
        <v>26</v>
      </c>
      <c r="R336" s="4">
        <v>0</v>
      </c>
      <c r="S336" s="6">
        <v>0</v>
      </c>
      <c r="T336" s="6">
        <v>24</v>
      </c>
      <c r="U336" s="6">
        <v>67</v>
      </c>
      <c r="V336" s="6">
        <f>IF(ISERROR(VLOOKUP($S$336,'TAR FIN'!$A$1:$O$100,15,0)),0,VLOOKUP($S$336,'TAR FIN'!$A$1:$O$100,15,0))</f>
        <v>0</v>
      </c>
      <c r="W336" s="6">
        <f>IF(ISERROR(VLOOKUP($T$336,'TAR FIN'!$A$1:$O$100,15,0)),0,VLOOKUP($T$336,'TAR FIN'!$A$1:$O$100,15,0))</f>
        <v>943.81</v>
      </c>
      <c r="X336" s="6">
        <f>IF(ISERROR(VLOOKUP($U$336,'TAR FIN'!$A$1:$O$100,15,0)),0,VLOOKUP($U$336,'TAR FIN'!$A$1:$O$100,15,0))</f>
        <v>366.6</v>
      </c>
      <c r="Y336" s="6"/>
      <c r="Z336" s="6">
        <f ca="1">('TUSD BE'!$AM$21+'TUSD BF'!$AM$21+'TUSD CVA'!$AM$21)*1</f>
        <v>928.87102242938545</v>
      </c>
      <c r="AA336" s="6">
        <f>('TE BE'!$AA$7+'TE BF'!$AA$7+'TE CVA'!$AA$7)*1</f>
        <v>385.46556634281501</v>
      </c>
      <c r="AB336" s="6">
        <f>$K$336*$V$336</f>
        <v>0</v>
      </c>
      <c r="AC336" s="6">
        <f>$M$336*$W$336</f>
        <v>162115.41227</v>
      </c>
      <c r="AD336" s="6">
        <f>$O$336*$X$336</f>
        <v>62969.782200000001</v>
      </c>
      <c r="AE336" s="6">
        <f>$K$336*$Y$336</f>
        <v>0</v>
      </c>
      <c r="AF336" s="6">
        <f ca="1">$M$336*$Z$336</f>
        <v>159549.38890962824</v>
      </c>
      <c r="AG336" s="6">
        <f>$O$336*$AA$336</f>
        <v>66210.263934006303</v>
      </c>
    </row>
    <row r="337" spans="1:33" ht="11.25" customHeight="1" x14ac:dyDescent="0.25">
      <c r="A337" s="4" t="s">
        <v>28</v>
      </c>
      <c r="B337" s="4" t="s">
        <v>39</v>
      </c>
      <c r="C337" s="4" t="s">
        <v>41</v>
      </c>
      <c r="D337" s="4" t="s">
        <v>42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44287</v>
      </c>
      <c r="J337" s="6">
        <v>0</v>
      </c>
      <c r="K337" s="6">
        <v>0</v>
      </c>
      <c r="L337" s="6">
        <v>19.146999999999998</v>
      </c>
      <c r="M337" s="6">
        <v>19.146999999999998</v>
      </c>
      <c r="N337" s="6">
        <v>19.146999999999998</v>
      </c>
      <c r="O337" s="6">
        <v>19.146999999999998</v>
      </c>
      <c r="P337" s="6">
        <v>0</v>
      </c>
      <c r="Q337" s="4" t="s">
        <v>26</v>
      </c>
      <c r="R337" s="4">
        <v>0</v>
      </c>
      <c r="S337" s="6">
        <v>0</v>
      </c>
      <c r="T337" s="6">
        <v>24</v>
      </c>
      <c r="U337" s="6">
        <v>67</v>
      </c>
      <c r="V337" s="6">
        <f>IF(ISERROR(VLOOKUP($S$337,'TAR FIN'!$A$1:$O$100,15,0)),0,VLOOKUP($S$337,'TAR FIN'!$A$1:$O$100,15,0))</f>
        <v>0</v>
      </c>
      <c r="W337" s="6">
        <f>IF(ISERROR(VLOOKUP($T$337,'TAR FIN'!$A$1:$O$100,15,0)),0,VLOOKUP($T$337,'TAR FIN'!$A$1:$O$100,15,0))</f>
        <v>943.81</v>
      </c>
      <c r="X337" s="6">
        <f>IF(ISERROR(VLOOKUP($U$337,'TAR FIN'!$A$1:$O$100,15,0)),0,VLOOKUP($U$337,'TAR FIN'!$A$1:$O$100,15,0))</f>
        <v>366.6</v>
      </c>
      <c r="Y337" s="6"/>
      <c r="Z337" s="6">
        <f ca="1">('TUSD BE'!$AM$21+'TUSD BF'!$AM$21+'TUSD CVA'!$AM$21)*1</f>
        <v>928.87102242938545</v>
      </c>
      <c r="AA337" s="6">
        <f>('TE BE'!$AA$7+'TE BF'!$AA$7+'TE CVA'!$AA$7)*1</f>
        <v>385.46556634281501</v>
      </c>
      <c r="AB337" s="6">
        <f>$K$337*$V$337</f>
        <v>0</v>
      </c>
      <c r="AC337" s="6">
        <f>$M$337*$W$337</f>
        <v>18071.130069999999</v>
      </c>
      <c r="AD337" s="6">
        <f>$O$337*$X$337</f>
        <v>7019.2901999999995</v>
      </c>
      <c r="AE337" s="6">
        <f>$K$337*$Y$337</f>
        <v>0</v>
      </c>
      <c r="AF337" s="6">
        <f ca="1">$M$337*$Z$337</f>
        <v>17785.093466455441</v>
      </c>
      <c r="AG337" s="6">
        <f>$O$337*$AA$337</f>
        <v>7380.509198765878</v>
      </c>
    </row>
    <row r="338" spans="1:33" ht="11.25" customHeight="1" x14ac:dyDescent="0.25">
      <c r="A338" s="4" t="s">
        <v>21</v>
      </c>
      <c r="B338" s="4" t="s">
        <v>39</v>
      </c>
      <c r="C338" s="4" t="s">
        <v>41</v>
      </c>
      <c r="D338" s="4" t="s">
        <v>42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44317</v>
      </c>
      <c r="J338" s="6">
        <v>0</v>
      </c>
      <c r="K338" s="6">
        <v>0</v>
      </c>
      <c r="L338" s="6">
        <v>170.976</v>
      </c>
      <c r="M338" s="6">
        <v>170.976</v>
      </c>
      <c r="N338" s="6">
        <v>170.976</v>
      </c>
      <c r="O338" s="6">
        <v>170.976</v>
      </c>
      <c r="P338" s="6">
        <v>0</v>
      </c>
      <c r="Q338" s="4" t="s">
        <v>26</v>
      </c>
      <c r="R338" s="4">
        <v>0</v>
      </c>
      <c r="S338" s="6">
        <v>0</v>
      </c>
      <c r="T338" s="6">
        <v>24</v>
      </c>
      <c r="U338" s="6">
        <v>67</v>
      </c>
      <c r="V338" s="6">
        <f>IF(ISERROR(VLOOKUP($S$338,'TAR FIN'!$A$1:$O$100,15,0)),0,VLOOKUP($S$338,'TAR FIN'!$A$1:$O$100,15,0))</f>
        <v>0</v>
      </c>
      <c r="W338" s="6">
        <f>IF(ISERROR(VLOOKUP($T$338,'TAR FIN'!$A$1:$O$100,15,0)),0,VLOOKUP($T$338,'TAR FIN'!$A$1:$O$100,15,0))</f>
        <v>943.81</v>
      </c>
      <c r="X338" s="6">
        <f>IF(ISERROR(VLOOKUP($U$338,'TAR FIN'!$A$1:$O$100,15,0)),0,VLOOKUP($U$338,'TAR FIN'!$A$1:$O$100,15,0))</f>
        <v>366.6</v>
      </c>
      <c r="Y338" s="6"/>
      <c r="Z338" s="6">
        <f ca="1">('TUSD BE'!$AM$21+'TUSD BF'!$AM$21+'TUSD CVA'!$AM$21)*1</f>
        <v>928.87102242938545</v>
      </c>
      <c r="AA338" s="6">
        <f>('TE BE'!$AA$7+'TE BF'!$AA$7+'TE CVA'!$AA$7)*1</f>
        <v>385.46556634281501</v>
      </c>
      <c r="AB338" s="6">
        <f>$K$338*$V$338</f>
        <v>0</v>
      </c>
      <c r="AC338" s="6">
        <f>$M$338*$W$338</f>
        <v>161368.85855999999</v>
      </c>
      <c r="AD338" s="6">
        <f>$O$338*$X$338</f>
        <v>62679.801600000006</v>
      </c>
      <c r="AE338" s="6">
        <f>$K$338*$Y$338</f>
        <v>0</v>
      </c>
      <c r="AF338" s="6">
        <f ca="1">$M$338*$Z$338</f>
        <v>158814.65193088661</v>
      </c>
      <c r="AG338" s="6">
        <f>$O$338*$AA$338</f>
        <v>65905.360671029135</v>
      </c>
    </row>
    <row r="339" spans="1:33" ht="11.25" customHeight="1" x14ac:dyDescent="0.25">
      <c r="A339" s="4" t="s">
        <v>28</v>
      </c>
      <c r="B339" s="4" t="s">
        <v>39</v>
      </c>
      <c r="C339" s="4" t="s">
        <v>41</v>
      </c>
      <c r="D339" s="4" t="s">
        <v>42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44317</v>
      </c>
      <c r="J339" s="6">
        <v>0</v>
      </c>
      <c r="K339" s="6">
        <v>0</v>
      </c>
      <c r="L339" s="6">
        <v>20.213999999999999</v>
      </c>
      <c r="M339" s="6">
        <v>20.213999999999999</v>
      </c>
      <c r="N339" s="6">
        <v>20.213999999999999</v>
      </c>
      <c r="O339" s="6">
        <v>20.213999999999999</v>
      </c>
      <c r="P339" s="6">
        <v>0</v>
      </c>
      <c r="Q339" s="4" t="s">
        <v>26</v>
      </c>
      <c r="R339" s="4">
        <v>0</v>
      </c>
      <c r="S339" s="6">
        <v>0</v>
      </c>
      <c r="T339" s="6">
        <v>24</v>
      </c>
      <c r="U339" s="6">
        <v>67</v>
      </c>
      <c r="V339" s="6">
        <f>IF(ISERROR(VLOOKUP($S$339,'TAR FIN'!$A$1:$O$100,15,0)),0,VLOOKUP($S$339,'TAR FIN'!$A$1:$O$100,15,0))</f>
        <v>0</v>
      </c>
      <c r="W339" s="6">
        <f>IF(ISERROR(VLOOKUP($T$339,'TAR FIN'!$A$1:$O$100,15,0)),0,VLOOKUP($T$339,'TAR FIN'!$A$1:$O$100,15,0))</f>
        <v>943.81</v>
      </c>
      <c r="X339" s="6">
        <f>IF(ISERROR(VLOOKUP($U$339,'TAR FIN'!$A$1:$O$100,15,0)),0,VLOOKUP($U$339,'TAR FIN'!$A$1:$O$100,15,0))</f>
        <v>366.6</v>
      </c>
      <c r="Y339" s="6"/>
      <c r="Z339" s="6">
        <f ca="1">('TUSD BE'!$AM$21+'TUSD BF'!$AM$21+'TUSD CVA'!$AM$21)*1</f>
        <v>928.87102242938545</v>
      </c>
      <c r="AA339" s="6">
        <f>('TE BE'!$AA$7+'TE BF'!$AA$7+'TE CVA'!$AA$7)*1</f>
        <v>385.46556634281501</v>
      </c>
      <c r="AB339" s="6">
        <f>$K$339*$V$339</f>
        <v>0</v>
      </c>
      <c r="AC339" s="6">
        <f>$M$339*$W$339</f>
        <v>19078.175339999998</v>
      </c>
      <c r="AD339" s="6">
        <f>$O$339*$X$339</f>
        <v>7410.4524000000001</v>
      </c>
      <c r="AE339" s="6">
        <f>$K$339*$Y$339</f>
        <v>0</v>
      </c>
      <c r="AF339" s="6">
        <f ca="1">$M$339*$Z$339</f>
        <v>18776.198847387597</v>
      </c>
      <c r="AG339" s="6">
        <f>$O$339*$AA$339</f>
        <v>7791.8009580536618</v>
      </c>
    </row>
    <row r="340" spans="1:33" ht="11.25" customHeight="1" x14ac:dyDescent="0.25">
      <c r="A340" s="4" t="s">
        <v>21</v>
      </c>
      <c r="B340" s="4" t="s">
        <v>39</v>
      </c>
      <c r="C340" s="4" t="s">
        <v>41</v>
      </c>
      <c r="D340" s="4" t="s">
        <v>42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44348</v>
      </c>
      <c r="J340" s="6">
        <v>0</v>
      </c>
      <c r="K340" s="6">
        <v>0</v>
      </c>
      <c r="L340" s="6">
        <v>161.262</v>
      </c>
      <c r="M340" s="6">
        <v>161.262</v>
      </c>
      <c r="N340" s="6">
        <v>161.262</v>
      </c>
      <c r="O340" s="6">
        <v>161.262</v>
      </c>
      <c r="P340" s="6">
        <v>0</v>
      </c>
      <c r="Q340" s="4" t="s">
        <v>26</v>
      </c>
      <c r="R340" s="4">
        <v>0</v>
      </c>
      <c r="S340" s="6">
        <v>0</v>
      </c>
      <c r="T340" s="6">
        <v>24</v>
      </c>
      <c r="U340" s="6">
        <v>67</v>
      </c>
      <c r="V340" s="6">
        <f>IF(ISERROR(VLOOKUP($S$340,'TAR FIN'!$A$1:$O$100,15,0)),0,VLOOKUP($S$340,'TAR FIN'!$A$1:$O$100,15,0))</f>
        <v>0</v>
      </c>
      <c r="W340" s="6">
        <f>IF(ISERROR(VLOOKUP($T$340,'TAR FIN'!$A$1:$O$100,15,0)),0,VLOOKUP($T$340,'TAR FIN'!$A$1:$O$100,15,0))</f>
        <v>943.81</v>
      </c>
      <c r="X340" s="6">
        <f>IF(ISERROR(VLOOKUP($U$340,'TAR FIN'!$A$1:$O$100,15,0)),0,VLOOKUP($U$340,'TAR FIN'!$A$1:$O$100,15,0))</f>
        <v>366.6</v>
      </c>
      <c r="Y340" s="6"/>
      <c r="Z340" s="6">
        <f ca="1">('TUSD BE'!$AM$21+'TUSD BF'!$AM$21+'TUSD CVA'!$AM$21)*1</f>
        <v>928.87102242938545</v>
      </c>
      <c r="AA340" s="6">
        <f>('TE BE'!$AA$7+'TE BF'!$AA$7+'TE CVA'!$AA$7)*1</f>
        <v>385.46556634281501</v>
      </c>
      <c r="AB340" s="6">
        <f>$K$340*$V$340</f>
        <v>0</v>
      </c>
      <c r="AC340" s="6">
        <f>$M$340*$W$340</f>
        <v>152200.68821999998</v>
      </c>
      <c r="AD340" s="6">
        <f>$O$340*$X$340</f>
        <v>59118.649200000007</v>
      </c>
      <c r="AE340" s="6">
        <f>$K$340*$Y$340</f>
        <v>0</v>
      </c>
      <c r="AF340" s="6">
        <f ca="1">$M$340*$Z$340</f>
        <v>149791.59881900754</v>
      </c>
      <c r="AG340" s="6">
        <f>$O$340*$AA$340</f>
        <v>62160.948159575033</v>
      </c>
    </row>
    <row r="341" spans="1:33" ht="11.25" customHeight="1" x14ac:dyDescent="0.25">
      <c r="A341" s="4" t="s">
        <v>28</v>
      </c>
      <c r="B341" s="4" t="s">
        <v>39</v>
      </c>
      <c r="C341" s="4" t="s">
        <v>41</v>
      </c>
      <c r="D341" s="4" t="s">
        <v>42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44348</v>
      </c>
      <c r="J341" s="6">
        <v>0</v>
      </c>
      <c r="K341" s="6">
        <v>0</v>
      </c>
      <c r="L341" s="6">
        <v>20.029</v>
      </c>
      <c r="M341" s="6">
        <v>20.029</v>
      </c>
      <c r="N341" s="6">
        <v>20.029</v>
      </c>
      <c r="O341" s="6">
        <v>20.029</v>
      </c>
      <c r="P341" s="6">
        <v>0</v>
      </c>
      <c r="Q341" s="4" t="s">
        <v>26</v>
      </c>
      <c r="R341" s="4">
        <v>0</v>
      </c>
      <c r="S341" s="6">
        <v>0</v>
      </c>
      <c r="T341" s="6">
        <v>24</v>
      </c>
      <c r="U341" s="6">
        <v>67</v>
      </c>
      <c r="V341" s="6">
        <f>IF(ISERROR(VLOOKUP($S$341,'TAR FIN'!$A$1:$O$100,15,0)),0,VLOOKUP($S$341,'TAR FIN'!$A$1:$O$100,15,0))</f>
        <v>0</v>
      </c>
      <c r="W341" s="6">
        <f>IF(ISERROR(VLOOKUP($T$341,'TAR FIN'!$A$1:$O$100,15,0)),0,VLOOKUP($T$341,'TAR FIN'!$A$1:$O$100,15,0))</f>
        <v>943.81</v>
      </c>
      <c r="X341" s="6">
        <f>IF(ISERROR(VLOOKUP($U$341,'TAR FIN'!$A$1:$O$100,15,0)),0,VLOOKUP($U$341,'TAR FIN'!$A$1:$O$100,15,0))</f>
        <v>366.6</v>
      </c>
      <c r="Y341" s="6"/>
      <c r="Z341" s="6">
        <f ca="1">('TUSD BE'!$AM$21+'TUSD BF'!$AM$21+'TUSD CVA'!$AM$21)*1</f>
        <v>928.87102242938545</v>
      </c>
      <c r="AA341" s="6">
        <f>('TE BE'!$AA$7+'TE BF'!$AA$7+'TE CVA'!$AA$7)*1</f>
        <v>385.46556634281501</v>
      </c>
      <c r="AB341" s="6">
        <f>$K$341*$V$341</f>
        <v>0</v>
      </c>
      <c r="AC341" s="6">
        <f>$M$341*$W$341</f>
        <v>18903.570489999998</v>
      </c>
      <c r="AD341" s="6">
        <f>$O$341*$X$341</f>
        <v>7342.6314000000002</v>
      </c>
      <c r="AE341" s="6">
        <f>$K$341*$Y$341</f>
        <v>0</v>
      </c>
      <c r="AF341" s="6">
        <f ca="1">$M$341*$Z$341</f>
        <v>18604.35770823816</v>
      </c>
      <c r="AG341" s="6">
        <f>$O$341*$AA$341</f>
        <v>7720.4898282802415</v>
      </c>
    </row>
    <row r="342" spans="1:33" ht="11.25" customHeight="1" x14ac:dyDescent="0.25">
      <c r="A342" s="4" t="s">
        <v>21</v>
      </c>
      <c r="B342" s="4" t="s">
        <v>39</v>
      </c>
      <c r="C342" s="4" t="s">
        <v>41</v>
      </c>
      <c r="D342" s="4" t="s">
        <v>42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44378</v>
      </c>
      <c r="J342" s="6">
        <v>0</v>
      </c>
      <c r="K342" s="6">
        <v>0</v>
      </c>
      <c r="L342" s="6">
        <v>163.68700000000001</v>
      </c>
      <c r="M342" s="6">
        <v>163.68700000000001</v>
      </c>
      <c r="N342" s="6">
        <v>163.68700000000001</v>
      </c>
      <c r="O342" s="6">
        <v>163.68700000000001</v>
      </c>
      <c r="P342" s="6">
        <v>0</v>
      </c>
      <c r="Q342" s="4" t="s">
        <v>26</v>
      </c>
      <c r="R342" s="4">
        <v>0</v>
      </c>
      <c r="S342" s="6">
        <v>0</v>
      </c>
      <c r="T342" s="6">
        <v>24</v>
      </c>
      <c r="U342" s="6">
        <v>67</v>
      </c>
      <c r="V342" s="6">
        <f>IF(ISERROR(VLOOKUP($S$342,'TAR FIN'!$A$1:$O$100,15,0)),0,VLOOKUP($S$342,'TAR FIN'!$A$1:$O$100,15,0))</f>
        <v>0</v>
      </c>
      <c r="W342" s="6">
        <f>IF(ISERROR(VLOOKUP($T$342,'TAR FIN'!$A$1:$O$100,15,0)),0,VLOOKUP($T$342,'TAR FIN'!$A$1:$O$100,15,0))</f>
        <v>943.81</v>
      </c>
      <c r="X342" s="6">
        <f>IF(ISERROR(VLOOKUP($U$342,'TAR FIN'!$A$1:$O$100,15,0)),0,VLOOKUP($U$342,'TAR FIN'!$A$1:$O$100,15,0))</f>
        <v>366.6</v>
      </c>
      <c r="Y342" s="6"/>
      <c r="Z342" s="6">
        <f ca="1">('TUSD BE'!$AM$21+'TUSD BF'!$AM$21+'TUSD CVA'!$AM$21)*1</f>
        <v>928.87102242938545</v>
      </c>
      <c r="AA342" s="6">
        <f>('TE BE'!$AA$7+'TE BF'!$AA$7+'TE CVA'!$AA$7)*1</f>
        <v>385.46556634281501</v>
      </c>
      <c r="AB342" s="6">
        <f>$K$342*$V$342</f>
        <v>0</v>
      </c>
      <c r="AC342" s="6">
        <f>$M$342*$W$342</f>
        <v>154489.42747</v>
      </c>
      <c r="AD342" s="6">
        <f>$O$342*$X$342</f>
        <v>60007.654200000004</v>
      </c>
      <c r="AE342" s="6">
        <f>$K$342*$Y$342</f>
        <v>0</v>
      </c>
      <c r="AF342" s="6">
        <f ca="1">$M$342*$Z$342</f>
        <v>152044.11104839883</v>
      </c>
      <c r="AG342" s="6">
        <f>$O$342*$AA$342</f>
        <v>63095.702157956366</v>
      </c>
    </row>
    <row r="343" spans="1:33" ht="11.25" customHeight="1" x14ac:dyDescent="0.25">
      <c r="A343" s="4" t="s">
        <v>28</v>
      </c>
      <c r="B343" s="4" t="s">
        <v>39</v>
      </c>
      <c r="C343" s="4" t="s">
        <v>41</v>
      </c>
      <c r="D343" s="4" t="s">
        <v>42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44378</v>
      </c>
      <c r="J343" s="6">
        <v>0</v>
      </c>
      <c r="K343" s="6">
        <v>0</v>
      </c>
      <c r="L343" s="6">
        <v>27.645</v>
      </c>
      <c r="M343" s="6">
        <v>27.645</v>
      </c>
      <c r="N343" s="6">
        <v>27.645</v>
      </c>
      <c r="O343" s="6">
        <v>27.645</v>
      </c>
      <c r="P343" s="6">
        <v>0</v>
      </c>
      <c r="Q343" s="4" t="s">
        <v>26</v>
      </c>
      <c r="R343" s="4">
        <v>0</v>
      </c>
      <c r="S343" s="6">
        <v>0</v>
      </c>
      <c r="T343" s="6">
        <v>24</v>
      </c>
      <c r="U343" s="6">
        <v>67</v>
      </c>
      <c r="V343" s="6">
        <f>IF(ISERROR(VLOOKUP($S$343,'TAR FIN'!$A$1:$O$100,15,0)),0,VLOOKUP($S$343,'TAR FIN'!$A$1:$O$100,15,0))</f>
        <v>0</v>
      </c>
      <c r="W343" s="6">
        <f>IF(ISERROR(VLOOKUP($T$343,'TAR FIN'!$A$1:$O$100,15,0)),0,VLOOKUP($T$343,'TAR FIN'!$A$1:$O$100,15,0))</f>
        <v>943.81</v>
      </c>
      <c r="X343" s="6">
        <f>IF(ISERROR(VLOOKUP($U$343,'TAR FIN'!$A$1:$O$100,15,0)),0,VLOOKUP($U$343,'TAR FIN'!$A$1:$O$100,15,0))</f>
        <v>366.6</v>
      </c>
      <c r="Y343" s="6"/>
      <c r="Z343" s="6">
        <f ca="1">('TUSD BE'!$AM$21+'TUSD BF'!$AM$21+'TUSD CVA'!$AM$21)*1</f>
        <v>928.87102242938545</v>
      </c>
      <c r="AA343" s="6">
        <f>('TE BE'!$AA$7+'TE BF'!$AA$7+'TE CVA'!$AA$7)*1</f>
        <v>385.46556634281501</v>
      </c>
      <c r="AB343" s="6">
        <f>$K$343*$V$343</f>
        <v>0</v>
      </c>
      <c r="AC343" s="6">
        <f>$M$343*$W$343</f>
        <v>26091.627449999996</v>
      </c>
      <c r="AD343" s="6">
        <f>$O$343*$X$343</f>
        <v>10134.657000000001</v>
      </c>
      <c r="AE343" s="6">
        <f>$K$343*$Y$343</f>
        <v>0</v>
      </c>
      <c r="AF343" s="6">
        <f ca="1">$M$343*$Z$343</f>
        <v>25678.639415060359</v>
      </c>
      <c r="AG343" s="6">
        <f>$O$343*$AA$343</f>
        <v>10656.195581547121</v>
      </c>
    </row>
    <row r="344" spans="1:33" ht="11.25" customHeight="1" x14ac:dyDescent="0.25">
      <c r="A344" s="4" t="s">
        <v>21</v>
      </c>
      <c r="B344" s="4" t="s">
        <v>39</v>
      </c>
      <c r="C344" s="4" t="s">
        <v>41</v>
      </c>
      <c r="D344" s="4" t="s">
        <v>42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44409</v>
      </c>
      <c r="J344" s="6">
        <v>0</v>
      </c>
      <c r="K344" s="6">
        <v>0</v>
      </c>
      <c r="L344" s="6">
        <v>154.27000000000001</v>
      </c>
      <c r="M344" s="6">
        <v>154.27000000000001</v>
      </c>
      <c r="N344" s="6">
        <v>154.27000000000001</v>
      </c>
      <c r="O344" s="6">
        <v>154.27000000000001</v>
      </c>
      <c r="P344" s="6">
        <v>0</v>
      </c>
      <c r="Q344" s="4" t="s">
        <v>26</v>
      </c>
      <c r="R344" s="4">
        <v>0</v>
      </c>
      <c r="S344" s="6">
        <v>0</v>
      </c>
      <c r="T344" s="6">
        <v>24</v>
      </c>
      <c r="U344" s="6">
        <v>67</v>
      </c>
      <c r="V344" s="6">
        <f>IF(ISERROR(VLOOKUP($S$344,'TAR FIN'!$A$1:$O$100,15,0)),0,VLOOKUP($S$344,'TAR FIN'!$A$1:$O$100,15,0))</f>
        <v>0</v>
      </c>
      <c r="W344" s="6">
        <f>IF(ISERROR(VLOOKUP($T$344,'TAR FIN'!$A$1:$O$100,15,0)),0,VLOOKUP($T$344,'TAR FIN'!$A$1:$O$100,15,0))</f>
        <v>943.81</v>
      </c>
      <c r="X344" s="6">
        <f>IF(ISERROR(VLOOKUP($U$344,'TAR FIN'!$A$1:$O$100,15,0)),0,VLOOKUP($U$344,'TAR FIN'!$A$1:$O$100,15,0))</f>
        <v>366.6</v>
      </c>
      <c r="Y344" s="6"/>
      <c r="Z344" s="6">
        <f ca="1">('TUSD BE'!$AM$21+'TUSD BF'!$AM$21+'TUSD CVA'!$AM$21)*1</f>
        <v>928.87102242938545</v>
      </c>
      <c r="AA344" s="6">
        <f>('TE BE'!$AA$7+'TE BF'!$AA$7+'TE CVA'!$AA$7)*1</f>
        <v>385.46556634281501</v>
      </c>
      <c r="AB344" s="6">
        <f>$K$344*$V$344</f>
        <v>0</v>
      </c>
      <c r="AC344" s="6">
        <f>$M$344*$W$344</f>
        <v>145601.5687</v>
      </c>
      <c r="AD344" s="6">
        <f>$O$344*$X$344</f>
        <v>56555.382000000005</v>
      </c>
      <c r="AE344" s="6">
        <f>$K$344*$Y$344</f>
        <v>0</v>
      </c>
      <c r="AF344" s="6">
        <f ca="1">$M$344*$Z$344</f>
        <v>143296.93263018131</v>
      </c>
      <c r="AG344" s="6">
        <f>$O$344*$AA$344</f>
        <v>59465.772919706076</v>
      </c>
    </row>
    <row r="345" spans="1:33" ht="11.25" customHeight="1" x14ac:dyDescent="0.25">
      <c r="A345" s="4" t="s">
        <v>28</v>
      </c>
      <c r="B345" s="4" t="s">
        <v>39</v>
      </c>
      <c r="C345" s="4" t="s">
        <v>41</v>
      </c>
      <c r="D345" s="4" t="s">
        <v>42</v>
      </c>
      <c r="E345" s="4" t="s">
        <v>25</v>
      </c>
      <c r="F345" s="4" t="s">
        <v>25</v>
      </c>
      <c r="G345" s="4" t="s">
        <v>25</v>
      </c>
      <c r="H345" s="4" t="s">
        <v>34</v>
      </c>
      <c r="I345" s="5">
        <v>44409</v>
      </c>
      <c r="J345" s="6">
        <v>0</v>
      </c>
      <c r="K345" s="6">
        <v>0</v>
      </c>
      <c r="L345" s="6">
        <v>29.376000000000001</v>
      </c>
      <c r="M345" s="6">
        <v>29.376000000000001</v>
      </c>
      <c r="N345" s="6">
        <v>29.376000000000001</v>
      </c>
      <c r="O345" s="6">
        <v>29.376000000000001</v>
      </c>
      <c r="P345" s="6">
        <v>0</v>
      </c>
      <c r="Q345" s="4" t="s">
        <v>26</v>
      </c>
      <c r="R345" s="4">
        <v>0</v>
      </c>
      <c r="S345" s="6">
        <v>0</v>
      </c>
      <c r="T345" s="6">
        <v>24</v>
      </c>
      <c r="U345" s="6">
        <v>67</v>
      </c>
      <c r="V345" s="6">
        <f>IF(ISERROR(VLOOKUP($S$345,'TAR FIN'!$A$1:$O$100,15,0)),0,VLOOKUP($S$345,'TAR FIN'!$A$1:$O$100,15,0))</f>
        <v>0</v>
      </c>
      <c r="W345" s="6">
        <f>IF(ISERROR(VLOOKUP($T$345,'TAR FIN'!$A$1:$O$100,15,0)),0,VLOOKUP($T$345,'TAR FIN'!$A$1:$O$100,15,0))</f>
        <v>943.81</v>
      </c>
      <c r="X345" s="6">
        <f>IF(ISERROR(VLOOKUP($U$345,'TAR FIN'!$A$1:$O$100,15,0)),0,VLOOKUP($U$345,'TAR FIN'!$A$1:$O$100,15,0))</f>
        <v>366.6</v>
      </c>
      <c r="Y345" s="6"/>
      <c r="Z345" s="6">
        <f ca="1">('TUSD BE'!$AM$21+'TUSD BF'!$AM$21+'TUSD CVA'!$AM$21)*1</f>
        <v>928.87102242938545</v>
      </c>
      <c r="AA345" s="6">
        <f>('TE BE'!$AA$7+'TE BF'!$AA$7+'TE CVA'!$AA$7)*1</f>
        <v>385.46556634281501</v>
      </c>
      <c r="AB345" s="6">
        <f>$K$345*$V$345</f>
        <v>0</v>
      </c>
      <c r="AC345" s="6">
        <f>$M$345*$W$345</f>
        <v>27725.362559999998</v>
      </c>
      <c r="AD345" s="6">
        <f>$O$345*$X$345</f>
        <v>10769.241600000001</v>
      </c>
      <c r="AE345" s="6">
        <f>$K$345*$Y$345</f>
        <v>0</v>
      </c>
      <c r="AF345" s="6">
        <f ca="1">$M$345*$Z$345</f>
        <v>27286.515154885627</v>
      </c>
      <c r="AG345" s="6">
        <f>$O$345*$AA$345</f>
        <v>11323.436476886534</v>
      </c>
    </row>
    <row r="346" spans="1:33" ht="11.25" customHeight="1" x14ac:dyDescent="0.25">
      <c r="A346" s="4" t="s">
        <v>21</v>
      </c>
      <c r="B346" s="4" t="s">
        <v>39</v>
      </c>
      <c r="C346" s="4" t="s">
        <v>41</v>
      </c>
      <c r="D346" s="4" t="s">
        <v>42</v>
      </c>
      <c r="E346" s="4" t="s">
        <v>25</v>
      </c>
      <c r="F346" s="4" t="s">
        <v>25</v>
      </c>
      <c r="G346" s="4" t="s">
        <v>25</v>
      </c>
      <c r="H346" s="4" t="s">
        <v>34</v>
      </c>
      <c r="I346" s="5">
        <v>44409</v>
      </c>
      <c r="J346" s="6">
        <v>0</v>
      </c>
      <c r="K346" s="6">
        <v>0</v>
      </c>
      <c r="L346" s="6">
        <v>21.254999999999999</v>
      </c>
      <c r="M346" s="6">
        <v>21.254999999999999</v>
      </c>
      <c r="N346" s="6">
        <v>0</v>
      </c>
      <c r="O346" s="6">
        <v>0</v>
      </c>
      <c r="P346" s="6">
        <v>0</v>
      </c>
      <c r="Q346" s="4" t="s">
        <v>57</v>
      </c>
      <c r="R346" s="4">
        <v>0</v>
      </c>
      <c r="S346" s="6">
        <v>0</v>
      </c>
      <c r="T346" s="6">
        <v>24</v>
      </c>
      <c r="U346" s="6">
        <v>0</v>
      </c>
      <c r="V346" s="6">
        <f>IF(ISERROR(VLOOKUP($S$346,'TAR FIN'!$A$1:$O$100,15,0)),0,VLOOKUP($S$346,'TAR FIN'!$A$1:$O$100,15,0))</f>
        <v>0</v>
      </c>
      <c r="W346" s="6">
        <f>IF(ISERROR(VLOOKUP($T$346,'TAR FIN'!$A$1:$O$100,15,0)),0,VLOOKUP($T$346,'TAR FIN'!$A$1:$O$100,15,0))</f>
        <v>943.81</v>
      </c>
      <c r="X346" s="6">
        <f>IF(ISERROR(VLOOKUP($U$346,'TAR FIN'!$A$1:$O$100,15,0)),0,VLOOKUP($U$346,'TAR FIN'!$A$1:$O$100,15,0))</f>
        <v>0</v>
      </c>
      <c r="Y346" s="6"/>
      <c r="Z346" s="6">
        <f ca="1">('TUSD BE'!$AM$21+'TUSD BF'!$AM$21+'TUSD CVA'!$AM$21)*1</f>
        <v>928.87102242938545</v>
      </c>
      <c r="AA346" s="6"/>
      <c r="AB346" s="6">
        <f>$K$346*$V$346</f>
        <v>0</v>
      </c>
      <c r="AC346" s="6">
        <f>$M$346*$W$346</f>
        <v>20060.681549999998</v>
      </c>
      <c r="AD346" s="6">
        <f>$O$346*$X$346</f>
        <v>0</v>
      </c>
      <c r="AE346" s="6">
        <f>$K$346*$Y$346</f>
        <v>0</v>
      </c>
      <c r="AF346" s="6">
        <f ca="1">$M$346*$Z$346</f>
        <v>19743.153581736588</v>
      </c>
      <c r="AG346" s="6">
        <f>$O$346*$AA$346</f>
        <v>0</v>
      </c>
    </row>
    <row r="347" spans="1:33" ht="11.25" customHeight="1" x14ac:dyDescent="0.25">
      <c r="A347" s="4" t="s">
        <v>21</v>
      </c>
      <c r="B347" s="4" t="s">
        <v>39</v>
      </c>
      <c r="C347" s="4" t="s">
        <v>41</v>
      </c>
      <c r="D347" s="4" t="s">
        <v>42</v>
      </c>
      <c r="E347" s="4" t="s">
        <v>25</v>
      </c>
      <c r="F347" s="4" t="s">
        <v>25</v>
      </c>
      <c r="G347" s="4" t="s">
        <v>25</v>
      </c>
      <c r="H347" s="4" t="s">
        <v>34</v>
      </c>
      <c r="I347" s="5">
        <v>44440</v>
      </c>
      <c r="J347" s="6">
        <v>0</v>
      </c>
      <c r="K347" s="6">
        <v>0</v>
      </c>
      <c r="L347" s="6">
        <v>162.05799999999999</v>
      </c>
      <c r="M347" s="6">
        <v>162.05799999999999</v>
      </c>
      <c r="N347" s="6">
        <v>162.05799999999999</v>
      </c>
      <c r="O347" s="6">
        <v>162.05799999999999</v>
      </c>
      <c r="P347" s="6">
        <v>0</v>
      </c>
      <c r="Q347" s="4" t="s">
        <v>26</v>
      </c>
      <c r="R347" s="4">
        <v>0</v>
      </c>
      <c r="S347" s="6">
        <v>0</v>
      </c>
      <c r="T347" s="6">
        <v>24</v>
      </c>
      <c r="U347" s="6">
        <v>67</v>
      </c>
      <c r="V347" s="6">
        <f>IF(ISERROR(VLOOKUP($S$347,'TAR FIN'!$A$1:$O$100,15,0)),0,VLOOKUP($S$347,'TAR FIN'!$A$1:$O$100,15,0))</f>
        <v>0</v>
      </c>
      <c r="W347" s="6">
        <f>IF(ISERROR(VLOOKUP($T$347,'TAR FIN'!$A$1:$O$100,15,0)),0,VLOOKUP($T$347,'TAR FIN'!$A$1:$O$100,15,0))</f>
        <v>943.81</v>
      </c>
      <c r="X347" s="6">
        <f>IF(ISERROR(VLOOKUP($U$347,'TAR FIN'!$A$1:$O$100,15,0)),0,VLOOKUP($U$347,'TAR FIN'!$A$1:$O$100,15,0))</f>
        <v>366.6</v>
      </c>
      <c r="Y347" s="6"/>
      <c r="Z347" s="6">
        <f ca="1">('TUSD BE'!$AM$21+'TUSD BF'!$AM$21+'TUSD CVA'!$AM$21)*1</f>
        <v>928.87102242938545</v>
      </c>
      <c r="AA347" s="6">
        <f>('TE BE'!$AA$7+'TE BF'!$AA$7+'TE CVA'!$AA$7)*1</f>
        <v>385.46556634281501</v>
      </c>
      <c r="AB347" s="6">
        <f>$K$347*$V$347</f>
        <v>0</v>
      </c>
      <c r="AC347" s="6">
        <f>$M$347*$W$347</f>
        <v>152951.96097999997</v>
      </c>
      <c r="AD347" s="6">
        <f>$O$347*$X$347</f>
        <v>59410.462800000001</v>
      </c>
      <c r="AE347" s="6">
        <f>$K$347*$Y$347</f>
        <v>0</v>
      </c>
      <c r="AF347" s="6">
        <f ca="1">$M$347*$Z$347</f>
        <v>150530.98015286133</v>
      </c>
      <c r="AG347" s="6">
        <f>$O$347*$AA$347</f>
        <v>62467.778750383914</v>
      </c>
    </row>
    <row r="348" spans="1:33" ht="11.25" customHeight="1" x14ac:dyDescent="0.25">
      <c r="A348" s="4" t="s">
        <v>28</v>
      </c>
      <c r="B348" s="4" t="s">
        <v>39</v>
      </c>
      <c r="C348" s="4" t="s">
        <v>41</v>
      </c>
      <c r="D348" s="4" t="s">
        <v>42</v>
      </c>
      <c r="E348" s="4" t="s">
        <v>25</v>
      </c>
      <c r="F348" s="4" t="s">
        <v>25</v>
      </c>
      <c r="G348" s="4" t="s">
        <v>25</v>
      </c>
      <c r="H348" s="4" t="s">
        <v>34</v>
      </c>
      <c r="I348" s="5">
        <v>44440</v>
      </c>
      <c r="J348" s="6">
        <v>0</v>
      </c>
      <c r="K348" s="6">
        <v>0</v>
      </c>
      <c r="L348" s="6">
        <v>30.436</v>
      </c>
      <c r="M348" s="6">
        <v>30.436</v>
      </c>
      <c r="N348" s="6">
        <v>30.436</v>
      </c>
      <c r="O348" s="6">
        <v>30.436</v>
      </c>
      <c r="P348" s="6">
        <v>0</v>
      </c>
      <c r="Q348" s="4" t="s">
        <v>26</v>
      </c>
      <c r="R348" s="4">
        <v>0</v>
      </c>
      <c r="S348" s="6">
        <v>0</v>
      </c>
      <c r="T348" s="6">
        <v>24</v>
      </c>
      <c r="U348" s="6">
        <v>67</v>
      </c>
      <c r="V348" s="6">
        <f>IF(ISERROR(VLOOKUP($S$348,'TAR FIN'!$A$1:$O$100,15,0)),0,VLOOKUP($S$348,'TAR FIN'!$A$1:$O$100,15,0))</f>
        <v>0</v>
      </c>
      <c r="W348" s="6">
        <f>IF(ISERROR(VLOOKUP($T$348,'TAR FIN'!$A$1:$O$100,15,0)),0,VLOOKUP($T$348,'TAR FIN'!$A$1:$O$100,15,0))</f>
        <v>943.81</v>
      </c>
      <c r="X348" s="6">
        <f>IF(ISERROR(VLOOKUP($U$348,'TAR FIN'!$A$1:$O$100,15,0)),0,VLOOKUP($U$348,'TAR FIN'!$A$1:$O$100,15,0))</f>
        <v>366.6</v>
      </c>
      <c r="Y348" s="6"/>
      <c r="Z348" s="6">
        <f ca="1">('TUSD BE'!$AM$21+'TUSD BF'!$AM$21+'TUSD CVA'!$AM$21)*1</f>
        <v>928.87102242938545</v>
      </c>
      <c r="AA348" s="6">
        <f>('TE BE'!$AA$7+'TE BF'!$AA$7+'TE CVA'!$AA$7)*1</f>
        <v>385.46556634281501</v>
      </c>
      <c r="AB348" s="6">
        <f>$K$348*$V$348</f>
        <v>0</v>
      </c>
      <c r="AC348" s="6">
        <f>$M$348*$W$348</f>
        <v>28725.801159999999</v>
      </c>
      <c r="AD348" s="6">
        <f>$O$348*$X$348</f>
        <v>11157.837600000001</v>
      </c>
      <c r="AE348" s="6">
        <f>$K$348*$Y$348</f>
        <v>0</v>
      </c>
      <c r="AF348" s="6">
        <f ca="1">$M$348*$Z$348</f>
        <v>28271.118438660775</v>
      </c>
      <c r="AG348" s="6">
        <f>$O$348*$AA$348</f>
        <v>11732.029977209917</v>
      </c>
    </row>
    <row r="349" spans="1:33" ht="11.25" customHeight="1" x14ac:dyDescent="0.25">
      <c r="A349" s="4" t="s">
        <v>28</v>
      </c>
      <c r="B349" s="4" t="s">
        <v>39</v>
      </c>
      <c r="C349" s="4" t="s">
        <v>41</v>
      </c>
      <c r="D349" s="4" t="s">
        <v>42</v>
      </c>
      <c r="E349" s="4" t="s">
        <v>25</v>
      </c>
      <c r="F349" s="4" t="s">
        <v>25</v>
      </c>
      <c r="G349" s="4" t="s">
        <v>25</v>
      </c>
      <c r="H349" s="4" t="s">
        <v>34</v>
      </c>
      <c r="I349" s="5">
        <v>44440</v>
      </c>
      <c r="J349" s="6">
        <v>0</v>
      </c>
      <c r="K349" s="6">
        <v>0</v>
      </c>
      <c r="L349" s="6">
        <v>-1.68</v>
      </c>
      <c r="M349" s="6">
        <v>-1.68</v>
      </c>
      <c r="N349" s="6">
        <v>-1.68</v>
      </c>
      <c r="O349" s="6">
        <v>-1.68</v>
      </c>
      <c r="P349" s="6">
        <v>0</v>
      </c>
      <c r="Q349" s="4" t="s">
        <v>26</v>
      </c>
      <c r="R349" s="4">
        <v>0</v>
      </c>
      <c r="S349" s="6">
        <v>0</v>
      </c>
      <c r="T349" s="6">
        <v>24</v>
      </c>
      <c r="U349" s="6">
        <v>67</v>
      </c>
      <c r="V349" s="6">
        <f>IF(ISERROR(VLOOKUP($S$349,'TAR FIN'!$A$1:$O$100,15,0)),0,VLOOKUP($S$349,'TAR FIN'!$A$1:$O$100,15,0))</f>
        <v>0</v>
      </c>
      <c r="W349" s="6">
        <f>IF(ISERROR(VLOOKUP($T$349,'TAR FIN'!$A$1:$O$100,15,0)),0,VLOOKUP($T$349,'TAR FIN'!$A$1:$O$100,15,0))</f>
        <v>943.81</v>
      </c>
      <c r="X349" s="6">
        <f>IF(ISERROR(VLOOKUP($U$349,'TAR FIN'!$A$1:$O$100,15,0)),0,VLOOKUP($U$349,'TAR FIN'!$A$1:$O$100,15,0))</f>
        <v>366.6</v>
      </c>
      <c r="Y349" s="6"/>
      <c r="Z349" s="6">
        <f ca="1">('TUSD BE'!$AM$21+'TUSD BF'!$AM$21+'TUSD CVA'!$AM$21)*1</f>
        <v>928.87102242938545</v>
      </c>
      <c r="AA349" s="6">
        <f>('TE BE'!$AA$7+'TE BF'!$AA$7+'TE CVA'!$AA$7)*1</f>
        <v>385.46556634281501</v>
      </c>
      <c r="AB349" s="6">
        <f>$K$349*$V$349</f>
        <v>0</v>
      </c>
      <c r="AC349" s="6">
        <f>$M$349*$W$349</f>
        <v>-1585.6007999999999</v>
      </c>
      <c r="AD349" s="6">
        <f>$O$349*$X$349</f>
        <v>-615.88800000000003</v>
      </c>
      <c r="AE349" s="6">
        <f>$K$349*$Y$349</f>
        <v>0</v>
      </c>
      <c r="AF349" s="6">
        <f ca="1">$M$349*$Z$349</f>
        <v>-1560.5033176813674</v>
      </c>
      <c r="AG349" s="6">
        <f>$O$349*$AA$349</f>
        <v>-647.58215145592919</v>
      </c>
    </row>
    <row r="350" spans="1:33" ht="11.25" customHeight="1" x14ac:dyDescent="0.25">
      <c r="A350" s="4" t="s">
        <v>21</v>
      </c>
      <c r="B350" s="4" t="s">
        <v>39</v>
      </c>
      <c r="C350" s="4" t="s">
        <v>41</v>
      </c>
      <c r="D350" s="4" t="s">
        <v>42</v>
      </c>
      <c r="E350" s="4" t="s">
        <v>25</v>
      </c>
      <c r="F350" s="4" t="s">
        <v>25</v>
      </c>
      <c r="G350" s="4" t="s">
        <v>25</v>
      </c>
      <c r="H350" s="4" t="s">
        <v>34</v>
      </c>
      <c r="I350" s="5">
        <v>44440</v>
      </c>
      <c r="J350" s="6">
        <v>0</v>
      </c>
      <c r="K350" s="6">
        <v>0</v>
      </c>
      <c r="L350" s="6">
        <v>21.91</v>
      </c>
      <c r="M350" s="6">
        <v>21.91</v>
      </c>
      <c r="N350" s="6">
        <v>0</v>
      </c>
      <c r="O350" s="6">
        <v>0</v>
      </c>
      <c r="P350" s="6">
        <v>0</v>
      </c>
      <c r="Q350" s="4" t="s">
        <v>57</v>
      </c>
      <c r="R350" s="4">
        <v>0</v>
      </c>
      <c r="S350" s="6">
        <v>0</v>
      </c>
      <c r="T350" s="6">
        <v>24</v>
      </c>
      <c r="U350" s="6">
        <v>0</v>
      </c>
      <c r="V350" s="6">
        <f>IF(ISERROR(VLOOKUP($S$350,'TAR FIN'!$A$1:$O$100,15,0)),0,VLOOKUP($S$350,'TAR FIN'!$A$1:$O$100,15,0))</f>
        <v>0</v>
      </c>
      <c r="W350" s="6">
        <f>IF(ISERROR(VLOOKUP($T$350,'TAR FIN'!$A$1:$O$100,15,0)),0,VLOOKUP($T$350,'TAR FIN'!$A$1:$O$100,15,0))</f>
        <v>943.81</v>
      </c>
      <c r="X350" s="6">
        <f>IF(ISERROR(VLOOKUP($U$350,'TAR FIN'!$A$1:$O$100,15,0)),0,VLOOKUP($U$350,'TAR FIN'!$A$1:$O$100,15,0))</f>
        <v>0</v>
      </c>
      <c r="Y350" s="6"/>
      <c r="Z350" s="6">
        <f ca="1">('TUSD BE'!$AM$21+'TUSD BF'!$AM$21+'TUSD CVA'!$AM$21)*1</f>
        <v>928.87102242938545</v>
      </c>
      <c r="AA350" s="6"/>
      <c r="AB350" s="6">
        <f>$K$350*$V$350</f>
        <v>0</v>
      </c>
      <c r="AC350" s="6">
        <f>$M$350*$W$350</f>
        <v>20678.877099999998</v>
      </c>
      <c r="AD350" s="6">
        <f>$O$350*$X$350</f>
        <v>0</v>
      </c>
      <c r="AE350" s="6">
        <f>$K$350*$Y$350</f>
        <v>0</v>
      </c>
      <c r="AF350" s="6">
        <f ca="1">$M$350*$Z$350</f>
        <v>20351.564101427834</v>
      </c>
      <c r="AG350" s="6">
        <f>$O$350*$AA$350</f>
        <v>0</v>
      </c>
    </row>
    <row r="351" spans="1:33" ht="11.25" customHeight="1" x14ac:dyDescent="0.25">
      <c r="A351" s="4" t="s">
        <v>21</v>
      </c>
      <c r="B351" s="4" t="s">
        <v>39</v>
      </c>
      <c r="C351" s="4" t="s">
        <v>41</v>
      </c>
      <c r="D351" s="4" t="s">
        <v>42</v>
      </c>
      <c r="E351" s="4" t="s">
        <v>25</v>
      </c>
      <c r="F351" s="4" t="s">
        <v>25</v>
      </c>
      <c r="G351" s="4" t="s">
        <v>25</v>
      </c>
      <c r="H351" s="4" t="s">
        <v>34</v>
      </c>
      <c r="I351" s="5">
        <v>44470</v>
      </c>
      <c r="J351" s="6">
        <v>0</v>
      </c>
      <c r="K351" s="6">
        <v>0</v>
      </c>
      <c r="L351" s="6">
        <v>172.59</v>
      </c>
      <c r="M351" s="6">
        <v>172.59</v>
      </c>
      <c r="N351" s="6">
        <v>172.59</v>
      </c>
      <c r="O351" s="6">
        <v>172.59</v>
      </c>
      <c r="P351" s="6">
        <v>0</v>
      </c>
      <c r="Q351" s="4" t="s">
        <v>26</v>
      </c>
      <c r="R351" s="4">
        <v>0</v>
      </c>
      <c r="S351" s="6">
        <v>0</v>
      </c>
      <c r="T351" s="6">
        <v>24</v>
      </c>
      <c r="U351" s="6">
        <v>67</v>
      </c>
      <c r="V351" s="6">
        <f>IF(ISERROR(VLOOKUP($S$351,'TAR FIN'!$A$1:$O$100,15,0)),0,VLOOKUP($S$351,'TAR FIN'!$A$1:$O$100,15,0))</f>
        <v>0</v>
      </c>
      <c r="W351" s="6">
        <f>IF(ISERROR(VLOOKUP($T$351,'TAR FIN'!$A$1:$O$100,15,0)),0,VLOOKUP($T$351,'TAR FIN'!$A$1:$O$100,15,0))</f>
        <v>943.81</v>
      </c>
      <c r="X351" s="6">
        <f>IF(ISERROR(VLOOKUP($U$351,'TAR FIN'!$A$1:$O$100,15,0)),0,VLOOKUP($U$351,'TAR FIN'!$A$1:$O$100,15,0))</f>
        <v>366.6</v>
      </c>
      <c r="Y351" s="6"/>
      <c r="Z351" s="6">
        <f ca="1">('TUSD BE'!$AM$21+'TUSD BF'!$AM$21+'TUSD CVA'!$AM$21)*1</f>
        <v>928.87102242938545</v>
      </c>
      <c r="AA351" s="6">
        <f>('TE BE'!$AA$7+'TE BF'!$AA$7+'TE CVA'!$AA$7)*1</f>
        <v>385.46556634281501</v>
      </c>
      <c r="AB351" s="6">
        <f>$K$351*$V$351</f>
        <v>0</v>
      </c>
      <c r="AC351" s="6">
        <f>$M$351*$W$351</f>
        <v>162892.1679</v>
      </c>
      <c r="AD351" s="6">
        <f>$O$351*$X$351</f>
        <v>63271.494000000006</v>
      </c>
      <c r="AE351" s="6">
        <f>$K$351*$Y$351</f>
        <v>0</v>
      </c>
      <c r="AF351" s="6">
        <f ca="1">$M$351*$Z$351</f>
        <v>160313.84976108765</v>
      </c>
      <c r="AG351" s="6">
        <f>$O$351*$AA$351</f>
        <v>66527.502095106451</v>
      </c>
    </row>
    <row r="352" spans="1:33" ht="11.25" customHeight="1" x14ac:dyDescent="0.25">
      <c r="A352" s="4" t="s">
        <v>28</v>
      </c>
      <c r="B352" s="4" t="s">
        <v>39</v>
      </c>
      <c r="C352" s="4" t="s">
        <v>41</v>
      </c>
      <c r="D352" s="4" t="s">
        <v>42</v>
      </c>
      <c r="E352" s="4" t="s">
        <v>25</v>
      </c>
      <c r="F352" s="4" t="s">
        <v>25</v>
      </c>
      <c r="G352" s="4" t="s">
        <v>25</v>
      </c>
      <c r="H352" s="4" t="s">
        <v>34</v>
      </c>
      <c r="I352" s="5">
        <v>44470</v>
      </c>
      <c r="J352" s="6">
        <v>0</v>
      </c>
      <c r="K352" s="6">
        <v>0</v>
      </c>
      <c r="L352" s="6">
        <v>28.795000000000002</v>
      </c>
      <c r="M352" s="6">
        <v>28.795000000000002</v>
      </c>
      <c r="N352" s="6">
        <v>28.795000000000002</v>
      </c>
      <c r="O352" s="6">
        <v>28.795000000000002</v>
      </c>
      <c r="P352" s="6">
        <v>0</v>
      </c>
      <c r="Q352" s="4" t="s">
        <v>26</v>
      </c>
      <c r="R352" s="4">
        <v>0</v>
      </c>
      <c r="S352" s="6">
        <v>0</v>
      </c>
      <c r="T352" s="6">
        <v>24</v>
      </c>
      <c r="U352" s="6">
        <v>67</v>
      </c>
      <c r="V352" s="6">
        <f>IF(ISERROR(VLOOKUP($S$352,'TAR FIN'!$A$1:$O$100,15,0)),0,VLOOKUP($S$352,'TAR FIN'!$A$1:$O$100,15,0))</f>
        <v>0</v>
      </c>
      <c r="W352" s="6">
        <f>IF(ISERROR(VLOOKUP($T$352,'TAR FIN'!$A$1:$O$100,15,0)),0,VLOOKUP($T$352,'TAR FIN'!$A$1:$O$100,15,0))</f>
        <v>943.81</v>
      </c>
      <c r="X352" s="6">
        <f>IF(ISERROR(VLOOKUP($U$352,'TAR FIN'!$A$1:$O$100,15,0)),0,VLOOKUP($U$352,'TAR FIN'!$A$1:$O$100,15,0))</f>
        <v>366.6</v>
      </c>
      <c r="Y352" s="6"/>
      <c r="Z352" s="6">
        <f ca="1">('TUSD BE'!$AM$21+'TUSD BF'!$AM$21+'TUSD CVA'!$AM$21)*1</f>
        <v>928.87102242938545</v>
      </c>
      <c r="AA352" s="6">
        <f>('TE BE'!$AA$7+'TE BF'!$AA$7+'TE CVA'!$AA$7)*1</f>
        <v>385.46556634281501</v>
      </c>
      <c r="AB352" s="6">
        <f>$K$352*$V$352</f>
        <v>0</v>
      </c>
      <c r="AC352" s="6">
        <f>$M$352*$W$352</f>
        <v>27177.008949999999</v>
      </c>
      <c r="AD352" s="6">
        <f>$O$352*$X$352</f>
        <v>10556.247000000001</v>
      </c>
      <c r="AE352" s="6">
        <f>$K$352*$Y$352</f>
        <v>0</v>
      </c>
      <c r="AF352" s="6">
        <f ca="1">$M$352*$Z$352</f>
        <v>26746.841090854155</v>
      </c>
      <c r="AG352" s="6">
        <f>$O$352*$AA$352</f>
        <v>11099.480982841358</v>
      </c>
    </row>
    <row r="353" spans="1:33" ht="11.25" customHeight="1" x14ac:dyDescent="0.25">
      <c r="A353" s="4" t="s">
        <v>21</v>
      </c>
      <c r="B353" s="4" t="s">
        <v>39</v>
      </c>
      <c r="C353" s="4" t="s">
        <v>41</v>
      </c>
      <c r="D353" s="4" t="s">
        <v>42</v>
      </c>
      <c r="E353" s="4" t="s">
        <v>25</v>
      </c>
      <c r="F353" s="4" t="s">
        <v>25</v>
      </c>
      <c r="G353" s="4" t="s">
        <v>25</v>
      </c>
      <c r="H353" s="4" t="s">
        <v>34</v>
      </c>
      <c r="I353" s="5">
        <v>44501</v>
      </c>
      <c r="J353" s="6">
        <v>0</v>
      </c>
      <c r="K353" s="6">
        <v>0</v>
      </c>
      <c r="L353" s="6">
        <v>173.96100000000001</v>
      </c>
      <c r="M353" s="6">
        <v>173.96100000000001</v>
      </c>
      <c r="N353" s="6">
        <v>173.96100000000001</v>
      </c>
      <c r="O353" s="6">
        <v>173.96100000000001</v>
      </c>
      <c r="P353" s="6">
        <v>0</v>
      </c>
      <c r="Q353" s="4" t="s">
        <v>26</v>
      </c>
      <c r="R353" s="4">
        <v>0</v>
      </c>
      <c r="S353" s="6">
        <v>0</v>
      </c>
      <c r="T353" s="6">
        <v>24</v>
      </c>
      <c r="U353" s="6">
        <v>67</v>
      </c>
      <c r="V353" s="6">
        <f>IF(ISERROR(VLOOKUP($S$353,'TAR FIN'!$A$1:$O$100,15,0)),0,VLOOKUP($S$353,'TAR FIN'!$A$1:$O$100,15,0))</f>
        <v>0</v>
      </c>
      <c r="W353" s="6">
        <f>IF(ISERROR(VLOOKUP($T$353,'TAR FIN'!$A$1:$O$100,15,0)),0,VLOOKUP($T$353,'TAR FIN'!$A$1:$O$100,15,0))</f>
        <v>943.81</v>
      </c>
      <c r="X353" s="6">
        <f>IF(ISERROR(VLOOKUP($U$353,'TAR FIN'!$A$1:$O$100,15,0)),0,VLOOKUP($U$353,'TAR FIN'!$A$1:$O$100,15,0))</f>
        <v>366.6</v>
      </c>
      <c r="Y353" s="6"/>
      <c r="Z353" s="6">
        <f ca="1">('TUSD BE'!$AM$21+'TUSD BF'!$AM$21+'TUSD CVA'!$AM$21)*1</f>
        <v>928.87102242938545</v>
      </c>
      <c r="AA353" s="6">
        <f>('TE BE'!$AA$7+'TE BF'!$AA$7+'TE CVA'!$AA$7)*1</f>
        <v>385.46556634281501</v>
      </c>
      <c r="AB353" s="6">
        <f>$K$353*$V$353</f>
        <v>0</v>
      </c>
      <c r="AC353" s="6">
        <f>$M$353*$W$353</f>
        <v>164186.13141</v>
      </c>
      <c r="AD353" s="6">
        <f>$O$353*$X$353</f>
        <v>63774.102600000006</v>
      </c>
      <c r="AE353" s="6">
        <f>$K$353*$Y$353</f>
        <v>0</v>
      </c>
      <c r="AF353" s="6">
        <f ca="1">$M$353*$Z$353</f>
        <v>161587.33193283834</v>
      </c>
      <c r="AG353" s="6">
        <f>$O$353*$AA$353</f>
        <v>67055.975386562452</v>
      </c>
    </row>
    <row r="354" spans="1:33" ht="11.25" customHeight="1" x14ac:dyDescent="0.25">
      <c r="A354" s="4" t="s">
        <v>28</v>
      </c>
      <c r="B354" s="4" t="s">
        <v>39</v>
      </c>
      <c r="C354" s="4" t="s">
        <v>41</v>
      </c>
      <c r="D354" s="4" t="s">
        <v>42</v>
      </c>
      <c r="E354" s="4" t="s">
        <v>25</v>
      </c>
      <c r="F354" s="4" t="s">
        <v>25</v>
      </c>
      <c r="G354" s="4" t="s">
        <v>25</v>
      </c>
      <c r="H354" s="4" t="s">
        <v>34</v>
      </c>
      <c r="I354" s="5">
        <v>44501</v>
      </c>
      <c r="J354" s="6">
        <v>0</v>
      </c>
      <c r="K354" s="6">
        <v>0</v>
      </c>
      <c r="L354" s="6">
        <v>28.105</v>
      </c>
      <c r="M354" s="6">
        <v>28.105</v>
      </c>
      <c r="N354" s="6">
        <v>28.105</v>
      </c>
      <c r="O354" s="6">
        <v>28.105</v>
      </c>
      <c r="P354" s="6">
        <v>0</v>
      </c>
      <c r="Q354" s="4" t="s">
        <v>26</v>
      </c>
      <c r="R354" s="4">
        <v>0</v>
      </c>
      <c r="S354" s="6">
        <v>0</v>
      </c>
      <c r="T354" s="6">
        <v>24</v>
      </c>
      <c r="U354" s="6">
        <v>67</v>
      </c>
      <c r="V354" s="6">
        <f>IF(ISERROR(VLOOKUP($S$354,'TAR FIN'!$A$1:$O$100,15,0)),0,VLOOKUP($S$354,'TAR FIN'!$A$1:$O$100,15,0))</f>
        <v>0</v>
      </c>
      <c r="W354" s="6">
        <f>IF(ISERROR(VLOOKUP($T$354,'TAR FIN'!$A$1:$O$100,15,0)),0,VLOOKUP($T$354,'TAR FIN'!$A$1:$O$100,15,0))</f>
        <v>943.81</v>
      </c>
      <c r="X354" s="6">
        <f>IF(ISERROR(VLOOKUP($U$354,'TAR FIN'!$A$1:$O$100,15,0)),0,VLOOKUP($U$354,'TAR FIN'!$A$1:$O$100,15,0))</f>
        <v>366.6</v>
      </c>
      <c r="Y354" s="6"/>
      <c r="Z354" s="6">
        <f ca="1">('TUSD BE'!$AM$21+'TUSD BF'!$AM$21+'TUSD CVA'!$AM$21)*1</f>
        <v>928.87102242938545</v>
      </c>
      <c r="AA354" s="6">
        <f>('TE BE'!$AA$7+'TE BF'!$AA$7+'TE CVA'!$AA$7)*1</f>
        <v>385.46556634281501</v>
      </c>
      <c r="AB354" s="6">
        <f>$K$354*$V$354</f>
        <v>0</v>
      </c>
      <c r="AC354" s="6">
        <f>$M$354*$W$354</f>
        <v>26525.780049999998</v>
      </c>
      <c r="AD354" s="6">
        <f>$O$354*$X$354</f>
        <v>10303.293000000001</v>
      </c>
      <c r="AE354" s="6">
        <f>$K$354*$Y$354</f>
        <v>0</v>
      </c>
      <c r="AF354" s="6">
        <f ca="1">$M$354*$Z$354</f>
        <v>26105.920085377878</v>
      </c>
      <c r="AG354" s="6">
        <f>$O$354*$AA$354</f>
        <v>10833.509742064816</v>
      </c>
    </row>
    <row r="355" spans="1:33" ht="11.25" customHeight="1" x14ac:dyDescent="0.25">
      <c r="A355" s="4" t="s">
        <v>21</v>
      </c>
      <c r="B355" s="4" t="s">
        <v>39</v>
      </c>
      <c r="C355" s="4" t="s">
        <v>41</v>
      </c>
      <c r="D355" s="4" t="s">
        <v>42</v>
      </c>
      <c r="E355" s="4" t="s">
        <v>25</v>
      </c>
      <c r="F355" s="4" t="s">
        <v>25</v>
      </c>
      <c r="G355" s="4" t="s">
        <v>25</v>
      </c>
      <c r="H355" s="4" t="s">
        <v>34</v>
      </c>
      <c r="I355" s="5">
        <v>44531</v>
      </c>
      <c r="J355" s="6">
        <v>0</v>
      </c>
      <c r="K355" s="6">
        <v>0</v>
      </c>
      <c r="L355" s="6">
        <v>185.75700000000001</v>
      </c>
      <c r="M355" s="6">
        <v>185.75700000000001</v>
      </c>
      <c r="N355" s="6">
        <v>185.75700000000001</v>
      </c>
      <c r="O355" s="6">
        <v>185.75700000000001</v>
      </c>
      <c r="P355" s="6">
        <v>0</v>
      </c>
      <c r="Q355" s="4" t="s">
        <v>26</v>
      </c>
      <c r="R355" s="4">
        <v>0</v>
      </c>
      <c r="S355" s="6">
        <v>0</v>
      </c>
      <c r="T355" s="6">
        <v>24</v>
      </c>
      <c r="U355" s="6">
        <v>67</v>
      </c>
      <c r="V355" s="6">
        <f>IF(ISERROR(VLOOKUP($S$355,'TAR FIN'!$A$1:$O$100,15,0)),0,VLOOKUP($S$355,'TAR FIN'!$A$1:$O$100,15,0))</f>
        <v>0</v>
      </c>
      <c r="W355" s="6">
        <f>IF(ISERROR(VLOOKUP($T$355,'TAR FIN'!$A$1:$O$100,15,0)),0,VLOOKUP($T$355,'TAR FIN'!$A$1:$O$100,15,0))</f>
        <v>943.81</v>
      </c>
      <c r="X355" s="6">
        <f>IF(ISERROR(VLOOKUP($U$355,'TAR FIN'!$A$1:$O$100,15,0)),0,VLOOKUP($U$355,'TAR FIN'!$A$1:$O$100,15,0))</f>
        <v>366.6</v>
      </c>
      <c r="Y355" s="6"/>
      <c r="Z355" s="6">
        <f ca="1">('TUSD BE'!$AM$21+'TUSD BF'!$AM$21+'TUSD CVA'!$AM$21)*1</f>
        <v>928.87102242938545</v>
      </c>
      <c r="AA355" s="6">
        <f>('TE BE'!$AA$7+'TE BF'!$AA$7+'TE CVA'!$AA$7)*1</f>
        <v>385.46556634281501</v>
      </c>
      <c r="AB355" s="6">
        <f>$K$355*$V$355</f>
        <v>0</v>
      </c>
      <c r="AC355" s="6">
        <f>$M$355*$W$355</f>
        <v>175319.31417</v>
      </c>
      <c r="AD355" s="6">
        <f>$O$355*$X$355</f>
        <v>68098.516200000013</v>
      </c>
      <c r="AE355" s="6">
        <f>$K$355*$Y$355</f>
        <v>0</v>
      </c>
      <c r="AF355" s="6">
        <f ca="1">$M$355*$Z$355</f>
        <v>172544.29451341537</v>
      </c>
      <c r="AG355" s="6">
        <f>$O$355*$AA$355</f>
        <v>71602.927207142289</v>
      </c>
    </row>
    <row r="356" spans="1:33" ht="11.25" customHeight="1" x14ac:dyDescent="0.25">
      <c r="A356" s="4" t="s">
        <v>28</v>
      </c>
      <c r="B356" s="4" t="s">
        <v>39</v>
      </c>
      <c r="C356" s="4" t="s">
        <v>41</v>
      </c>
      <c r="D356" s="4" t="s">
        <v>42</v>
      </c>
      <c r="E356" s="4" t="s">
        <v>25</v>
      </c>
      <c r="F356" s="4" t="s">
        <v>25</v>
      </c>
      <c r="G356" s="4" t="s">
        <v>25</v>
      </c>
      <c r="H356" s="4" t="s">
        <v>34</v>
      </c>
      <c r="I356" s="5">
        <v>44531</v>
      </c>
      <c r="J356" s="6">
        <v>0</v>
      </c>
      <c r="K356" s="6">
        <v>0</v>
      </c>
      <c r="L356" s="6">
        <v>42.701000000000001</v>
      </c>
      <c r="M356" s="6">
        <v>42.701000000000001</v>
      </c>
      <c r="N356" s="6">
        <v>42.701000000000001</v>
      </c>
      <c r="O356" s="6">
        <v>42.701000000000001</v>
      </c>
      <c r="P356" s="6">
        <v>0</v>
      </c>
      <c r="Q356" s="4" t="s">
        <v>26</v>
      </c>
      <c r="R356" s="4">
        <v>0</v>
      </c>
      <c r="S356" s="6">
        <v>0</v>
      </c>
      <c r="T356" s="6">
        <v>24</v>
      </c>
      <c r="U356" s="6">
        <v>67</v>
      </c>
      <c r="V356" s="6">
        <f>IF(ISERROR(VLOOKUP($S$356,'TAR FIN'!$A$1:$O$100,15,0)),0,VLOOKUP($S$356,'TAR FIN'!$A$1:$O$100,15,0))</f>
        <v>0</v>
      </c>
      <c r="W356" s="6">
        <f>IF(ISERROR(VLOOKUP($T$356,'TAR FIN'!$A$1:$O$100,15,0)),0,VLOOKUP($T$356,'TAR FIN'!$A$1:$O$100,15,0))</f>
        <v>943.81</v>
      </c>
      <c r="X356" s="6">
        <f>IF(ISERROR(VLOOKUP($U$356,'TAR FIN'!$A$1:$O$100,15,0)),0,VLOOKUP($U$356,'TAR FIN'!$A$1:$O$100,15,0))</f>
        <v>366.6</v>
      </c>
      <c r="Y356" s="6"/>
      <c r="Z356" s="6">
        <f ca="1">('TUSD BE'!$AM$21+'TUSD BF'!$AM$21+'TUSD CVA'!$AM$21)*1</f>
        <v>928.87102242938545</v>
      </c>
      <c r="AA356" s="6">
        <f>('TE BE'!$AA$7+'TE BF'!$AA$7+'TE CVA'!$AA$7)*1</f>
        <v>385.46556634281501</v>
      </c>
      <c r="AB356" s="6">
        <f>$K$356*$V$356</f>
        <v>0</v>
      </c>
      <c r="AC356" s="6">
        <f>$M$356*$W$356</f>
        <v>40301.630809999995</v>
      </c>
      <c r="AD356" s="6">
        <f>$O$356*$X$356</f>
        <v>15654.186600000001</v>
      </c>
      <c r="AE356" s="6">
        <f>$K$356*$Y$356</f>
        <v>0</v>
      </c>
      <c r="AF356" s="6">
        <f ca="1">$M$356*$Z$356</f>
        <v>39663.721528757189</v>
      </c>
      <c r="AG356" s="6">
        <f>$O$356*$AA$356</f>
        <v>16459.765148404545</v>
      </c>
    </row>
    <row r="357" spans="1:33" ht="11.25" customHeight="1" x14ac:dyDescent="0.25">
      <c r="A357" s="4" t="s">
        <v>55</v>
      </c>
      <c r="B357" s="4" t="s">
        <v>39</v>
      </c>
      <c r="C357" s="4" t="s">
        <v>41</v>
      </c>
      <c r="D357" s="4" t="s">
        <v>42</v>
      </c>
      <c r="E357" s="4" t="s">
        <v>25</v>
      </c>
      <c r="F357" s="4" t="s">
        <v>25</v>
      </c>
      <c r="G357" s="4" t="s">
        <v>25</v>
      </c>
      <c r="H357" s="4" t="s">
        <v>34</v>
      </c>
      <c r="I357" s="5">
        <v>44562</v>
      </c>
      <c r="J357" s="6">
        <v>0</v>
      </c>
      <c r="K357" s="6">
        <v>0</v>
      </c>
      <c r="L357" s="6">
        <v>185.75700000000001</v>
      </c>
      <c r="M357" s="6">
        <v>185.75700000000001</v>
      </c>
      <c r="N357" s="6">
        <v>185.75700000000001</v>
      </c>
      <c r="O357" s="6">
        <v>185.75700000000001</v>
      </c>
      <c r="P357" s="6">
        <v>0</v>
      </c>
      <c r="Q357" s="4" t="s">
        <v>26</v>
      </c>
      <c r="R357" s="4">
        <v>0</v>
      </c>
      <c r="S357" s="6">
        <v>0</v>
      </c>
      <c r="T357" s="6">
        <v>24</v>
      </c>
      <c r="U357" s="6">
        <v>67</v>
      </c>
      <c r="V357" s="6">
        <f>IF(ISERROR(VLOOKUP($S$357,'TAR FIN'!$A$1:$O$100,15,0)),0,VLOOKUP($S$357,'TAR FIN'!$A$1:$O$100,15,0))</f>
        <v>0</v>
      </c>
      <c r="W357" s="6">
        <f>IF(ISERROR(VLOOKUP($T$357,'TAR FIN'!$A$1:$O$100,15,0)),0,VLOOKUP($T$357,'TAR FIN'!$A$1:$O$100,15,0))</f>
        <v>943.81</v>
      </c>
      <c r="X357" s="6">
        <f>IF(ISERROR(VLOOKUP($U$357,'TAR FIN'!$A$1:$O$100,15,0)),0,VLOOKUP($U$357,'TAR FIN'!$A$1:$O$100,15,0))</f>
        <v>366.6</v>
      </c>
      <c r="Y357" s="6"/>
      <c r="Z357" s="6">
        <f ca="1">('TUSD BE'!$AM$21+'TUSD BF'!$AM$21+'TUSD CVA'!$AM$21)*1</f>
        <v>928.87102242938545</v>
      </c>
      <c r="AA357" s="6">
        <f>('TE BE'!$AA$7+'TE BF'!$AA$7+'TE CVA'!$AA$7)*1</f>
        <v>385.46556634281501</v>
      </c>
      <c r="AB357" s="6">
        <f>$K$357*$V$357</f>
        <v>0</v>
      </c>
      <c r="AC357" s="6">
        <f>$M$357*$W$357</f>
        <v>175319.31417</v>
      </c>
      <c r="AD357" s="6">
        <f>$O$357*$X$357</f>
        <v>68098.516200000013</v>
      </c>
      <c r="AE357" s="6">
        <f>$K$357*$Y$357</f>
        <v>0</v>
      </c>
      <c r="AF357" s="6">
        <f ca="1">$M$357*$Z$357</f>
        <v>172544.29451341537</v>
      </c>
      <c r="AG357" s="6">
        <f>$O$357*$AA$357</f>
        <v>71602.927207142289</v>
      </c>
    </row>
    <row r="358" spans="1:33" ht="11.25" customHeight="1" x14ac:dyDescent="0.25">
      <c r="A358" s="4" t="s">
        <v>55</v>
      </c>
      <c r="B358" s="4" t="s">
        <v>39</v>
      </c>
      <c r="C358" s="4" t="s">
        <v>41</v>
      </c>
      <c r="D358" s="4" t="s">
        <v>42</v>
      </c>
      <c r="E358" s="4" t="s">
        <v>25</v>
      </c>
      <c r="F358" s="4" t="s">
        <v>25</v>
      </c>
      <c r="G358" s="4" t="s">
        <v>25</v>
      </c>
      <c r="H358" s="4" t="s">
        <v>34</v>
      </c>
      <c r="I358" s="5">
        <v>44562</v>
      </c>
      <c r="J358" s="6">
        <v>0</v>
      </c>
      <c r="K358" s="6">
        <v>0</v>
      </c>
      <c r="L358" s="6">
        <v>42.701000000000001</v>
      </c>
      <c r="M358" s="6">
        <v>42.701000000000001</v>
      </c>
      <c r="N358" s="6">
        <v>42.701000000000001</v>
      </c>
      <c r="O358" s="6">
        <v>42.701000000000001</v>
      </c>
      <c r="P358" s="6">
        <v>0</v>
      </c>
      <c r="Q358" s="4" t="s">
        <v>26</v>
      </c>
      <c r="R358" s="4">
        <v>0</v>
      </c>
      <c r="S358" s="6">
        <v>0</v>
      </c>
      <c r="T358" s="6">
        <v>24</v>
      </c>
      <c r="U358" s="6">
        <v>67</v>
      </c>
      <c r="V358" s="6">
        <f>IF(ISERROR(VLOOKUP($S$358,'TAR FIN'!$A$1:$O$100,15,0)),0,VLOOKUP($S$358,'TAR FIN'!$A$1:$O$100,15,0))</f>
        <v>0</v>
      </c>
      <c r="W358" s="6">
        <f>IF(ISERROR(VLOOKUP($T$358,'TAR FIN'!$A$1:$O$100,15,0)),0,VLOOKUP($T$358,'TAR FIN'!$A$1:$O$100,15,0))</f>
        <v>943.81</v>
      </c>
      <c r="X358" s="6">
        <f>IF(ISERROR(VLOOKUP($U$358,'TAR FIN'!$A$1:$O$100,15,0)),0,VLOOKUP($U$358,'TAR FIN'!$A$1:$O$100,15,0))</f>
        <v>366.6</v>
      </c>
      <c r="Y358" s="6"/>
      <c r="Z358" s="6">
        <f ca="1">('TUSD BE'!$AM$21+'TUSD BF'!$AM$21+'TUSD CVA'!$AM$21)*1</f>
        <v>928.87102242938545</v>
      </c>
      <c r="AA358" s="6">
        <f>('TE BE'!$AA$7+'TE BF'!$AA$7+'TE CVA'!$AA$7)*1</f>
        <v>385.46556634281501</v>
      </c>
      <c r="AB358" s="6">
        <f>$K$358*$V$358</f>
        <v>0</v>
      </c>
      <c r="AC358" s="6">
        <f>$M$358*$W$358</f>
        <v>40301.630809999995</v>
      </c>
      <c r="AD358" s="6">
        <f>$O$358*$X$358</f>
        <v>15654.186600000001</v>
      </c>
      <c r="AE358" s="6">
        <f>$K$358*$Y$358</f>
        <v>0</v>
      </c>
      <c r="AF358" s="6">
        <f ca="1">$M$358*$Z$358</f>
        <v>39663.721528757189</v>
      </c>
      <c r="AG358" s="6">
        <f>$O$358*$AA$358</f>
        <v>16459.765148404545</v>
      </c>
    </row>
    <row r="359" spans="1:33" ht="11.25" customHeight="1" x14ac:dyDescent="0.25">
      <c r="A359" s="4" t="s">
        <v>21</v>
      </c>
      <c r="B359" s="4" t="s">
        <v>39</v>
      </c>
      <c r="C359" s="4" t="s">
        <v>41</v>
      </c>
      <c r="D359" s="4" t="s">
        <v>51</v>
      </c>
      <c r="E359" s="4" t="s">
        <v>25</v>
      </c>
      <c r="F359" s="4" t="s">
        <v>25</v>
      </c>
      <c r="G359" s="4" t="s">
        <v>25</v>
      </c>
      <c r="H359" s="4" t="s">
        <v>35</v>
      </c>
      <c r="I359" s="5">
        <v>44228</v>
      </c>
      <c r="J359" s="6">
        <v>0</v>
      </c>
      <c r="K359" s="6">
        <v>0</v>
      </c>
      <c r="L359" s="6">
        <v>14.76</v>
      </c>
      <c r="M359" s="6">
        <v>14.76</v>
      </c>
      <c r="N359" s="6">
        <v>14.76</v>
      </c>
      <c r="O359" s="6">
        <v>14.76</v>
      </c>
      <c r="P359" s="6">
        <v>0</v>
      </c>
      <c r="Q359" s="4" t="s">
        <v>26</v>
      </c>
      <c r="R359" s="4">
        <v>0</v>
      </c>
      <c r="S359" s="6">
        <v>0</v>
      </c>
      <c r="T359" s="6">
        <v>25</v>
      </c>
      <c r="U359" s="6">
        <v>68</v>
      </c>
      <c r="V359" s="6">
        <f>IF(ISERROR(VLOOKUP($S$359,'TAR FIN'!$A$1:$O$100,15,0)),0,VLOOKUP($S$359,'TAR FIN'!$A$1:$O$100,15,0))</f>
        <v>0</v>
      </c>
      <c r="W359" s="6">
        <f>IF(ISERROR(VLOOKUP($T$359,'TAR FIN'!$A$1:$O$100,15,0)),0,VLOOKUP($T$359,'TAR FIN'!$A$1:$O$100,15,0))</f>
        <v>43.65</v>
      </c>
      <c r="X359" s="6">
        <f>IF(ISERROR(VLOOKUP($U$359,'TAR FIN'!$A$1:$O$100,15,0)),0,VLOOKUP($U$359,'TAR FIN'!$A$1:$O$100,15,0))</f>
        <v>219.03</v>
      </c>
      <c r="Y359" s="6"/>
      <c r="Z359" s="6">
        <f ca="1">('TUSD BE'!$AM$22+'TUSD BF'!$AM$22+'TUSD CVA'!$AM$22)*1</f>
        <v>49.78704102185678</v>
      </c>
      <c r="AA359" s="6">
        <f>('TE BE'!$AA$8+'TE BF'!$AA$8+'TE CVA'!$AA$8)*1</f>
        <v>238.55077890362423</v>
      </c>
      <c r="AB359" s="6">
        <f>$K$359*$V$359</f>
        <v>0</v>
      </c>
      <c r="AC359" s="6">
        <f>$M$359*$W$359</f>
        <v>644.274</v>
      </c>
      <c r="AD359" s="6">
        <f>$O$359*$X$359</f>
        <v>3232.8827999999999</v>
      </c>
      <c r="AE359" s="6">
        <f>$K$359*$Y$359</f>
        <v>0</v>
      </c>
      <c r="AF359" s="6">
        <f ca="1">$M$359*$Z$359</f>
        <v>734.85672548260607</v>
      </c>
      <c r="AG359" s="6">
        <f>$O$359*$AA$359</f>
        <v>3521.0094966174938</v>
      </c>
    </row>
    <row r="360" spans="1:33" ht="11.25" customHeight="1" x14ac:dyDescent="0.25">
      <c r="A360" s="4" t="s">
        <v>21</v>
      </c>
      <c r="B360" s="4" t="s">
        <v>39</v>
      </c>
      <c r="C360" s="4" t="s">
        <v>41</v>
      </c>
      <c r="D360" s="4" t="s">
        <v>51</v>
      </c>
      <c r="E360" s="4" t="s">
        <v>25</v>
      </c>
      <c r="F360" s="4" t="s">
        <v>25</v>
      </c>
      <c r="G360" s="4" t="s">
        <v>25</v>
      </c>
      <c r="H360" s="4" t="s">
        <v>35</v>
      </c>
      <c r="I360" s="5">
        <v>44256</v>
      </c>
      <c r="J360" s="6">
        <v>0</v>
      </c>
      <c r="K360" s="6">
        <v>0</v>
      </c>
      <c r="L360" s="6">
        <v>15.016</v>
      </c>
      <c r="M360" s="6">
        <v>15.016</v>
      </c>
      <c r="N360" s="6">
        <v>15.016</v>
      </c>
      <c r="O360" s="6">
        <v>15.016</v>
      </c>
      <c r="P360" s="6">
        <v>0</v>
      </c>
      <c r="Q360" s="4" t="s">
        <v>26</v>
      </c>
      <c r="R360" s="4">
        <v>0</v>
      </c>
      <c r="S360" s="6">
        <v>0</v>
      </c>
      <c r="T360" s="6">
        <v>25</v>
      </c>
      <c r="U360" s="6">
        <v>68</v>
      </c>
      <c r="V360" s="6">
        <f>IF(ISERROR(VLOOKUP($S$360,'TAR FIN'!$A$1:$O$100,15,0)),0,VLOOKUP($S$360,'TAR FIN'!$A$1:$O$100,15,0))</f>
        <v>0</v>
      </c>
      <c r="W360" s="6">
        <f>IF(ISERROR(VLOOKUP($T$360,'TAR FIN'!$A$1:$O$100,15,0)),0,VLOOKUP($T$360,'TAR FIN'!$A$1:$O$100,15,0))</f>
        <v>43.65</v>
      </c>
      <c r="X360" s="6">
        <f>IF(ISERROR(VLOOKUP($U$360,'TAR FIN'!$A$1:$O$100,15,0)),0,VLOOKUP($U$360,'TAR FIN'!$A$1:$O$100,15,0))</f>
        <v>219.03</v>
      </c>
      <c r="Y360" s="6"/>
      <c r="Z360" s="6">
        <f ca="1">('TUSD BE'!$AM$22+'TUSD BF'!$AM$22+'TUSD CVA'!$AM$22)*1</f>
        <v>49.78704102185678</v>
      </c>
      <c r="AA360" s="6">
        <f>('TE BE'!$AA$8+'TE BF'!$AA$8+'TE CVA'!$AA$8)*1</f>
        <v>238.55077890362423</v>
      </c>
      <c r="AB360" s="6">
        <f>$K$360*$V$360</f>
        <v>0</v>
      </c>
      <c r="AC360" s="6">
        <f>$M$360*$W$360</f>
        <v>655.44839999999999</v>
      </c>
      <c r="AD360" s="6">
        <f>$O$360*$X$360</f>
        <v>3288.9544799999999</v>
      </c>
      <c r="AE360" s="6">
        <f>$K$360*$Y$360</f>
        <v>0</v>
      </c>
      <c r="AF360" s="6">
        <f ca="1">$M$360*$Z$360</f>
        <v>747.60220798420141</v>
      </c>
      <c r="AG360" s="6">
        <f>$O$360*$AA$360</f>
        <v>3582.0784960168216</v>
      </c>
    </row>
    <row r="361" spans="1:33" ht="11.25" customHeight="1" x14ac:dyDescent="0.25">
      <c r="A361" s="4" t="s">
        <v>21</v>
      </c>
      <c r="B361" s="4" t="s">
        <v>39</v>
      </c>
      <c r="C361" s="4" t="s">
        <v>41</v>
      </c>
      <c r="D361" s="4" t="s">
        <v>51</v>
      </c>
      <c r="E361" s="4" t="s">
        <v>25</v>
      </c>
      <c r="F361" s="4" t="s">
        <v>25</v>
      </c>
      <c r="G361" s="4" t="s">
        <v>25</v>
      </c>
      <c r="H361" s="4" t="s">
        <v>35</v>
      </c>
      <c r="I361" s="5">
        <v>44287</v>
      </c>
      <c r="J361" s="6">
        <v>0</v>
      </c>
      <c r="K361" s="6">
        <v>0</v>
      </c>
      <c r="L361" s="6">
        <v>14.35</v>
      </c>
      <c r="M361" s="6">
        <v>14.35</v>
      </c>
      <c r="N361" s="6">
        <v>14.35</v>
      </c>
      <c r="O361" s="6">
        <v>14.35</v>
      </c>
      <c r="P361" s="6">
        <v>0</v>
      </c>
      <c r="Q361" s="4" t="s">
        <v>26</v>
      </c>
      <c r="R361" s="4">
        <v>0</v>
      </c>
      <c r="S361" s="6">
        <v>0</v>
      </c>
      <c r="T361" s="6">
        <v>25</v>
      </c>
      <c r="U361" s="6">
        <v>68</v>
      </c>
      <c r="V361" s="6">
        <f>IF(ISERROR(VLOOKUP($S$361,'TAR FIN'!$A$1:$O$100,15,0)),0,VLOOKUP($S$361,'TAR FIN'!$A$1:$O$100,15,0))</f>
        <v>0</v>
      </c>
      <c r="W361" s="6">
        <f>IF(ISERROR(VLOOKUP($T$361,'TAR FIN'!$A$1:$O$100,15,0)),0,VLOOKUP($T$361,'TAR FIN'!$A$1:$O$100,15,0))</f>
        <v>43.65</v>
      </c>
      <c r="X361" s="6">
        <f>IF(ISERROR(VLOOKUP($U$361,'TAR FIN'!$A$1:$O$100,15,0)),0,VLOOKUP($U$361,'TAR FIN'!$A$1:$O$100,15,0))</f>
        <v>219.03</v>
      </c>
      <c r="Y361" s="6"/>
      <c r="Z361" s="6">
        <f ca="1">('TUSD BE'!$AM$22+'TUSD BF'!$AM$22+'TUSD CVA'!$AM$22)*1</f>
        <v>49.78704102185678</v>
      </c>
      <c r="AA361" s="6">
        <f>('TE BE'!$AA$8+'TE BF'!$AA$8+'TE CVA'!$AA$8)*1</f>
        <v>238.55077890362423</v>
      </c>
      <c r="AB361" s="6">
        <f>$K$361*$V$361</f>
        <v>0</v>
      </c>
      <c r="AC361" s="6">
        <f>$M$361*$W$361</f>
        <v>626.37749999999994</v>
      </c>
      <c r="AD361" s="6">
        <f>$O$361*$X$361</f>
        <v>3143.0805</v>
      </c>
      <c r="AE361" s="6">
        <f>$K$361*$Y$361</f>
        <v>0</v>
      </c>
      <c r="AF361" s="6">
        <f ca="1">$M$361*$Z$361</f>
        <v>714.44403866364473</v>
      </c>
      <c r="AG361" s="6">
        <f>$O$361*$AA$361</f>
        <v>3423.2036772670076</v>
      </c>
    </row>
    <row r="362" spans="1:33" ht="11.25" customHeight="1" x14ac:dyDescent="0.25">
      <c r="A362" s="4" t="s">
        <v>21</v>
      </c>
      <c r="B362" s="4" t="s">
        <v>39</v>
      </c>
      <c r="C362" s="4" t="s">
        <v>41</v>
      </c>
      <c r="D362" s="4" t="s">
        <v>51</v>
      </c>
      <c r="E362" s="4" t="s">
        <v>25</v>
      </c>
      <c r="F362" s="4" t="s">
        <v>25</v>
      </c>
      <c r="G362" s="4" t="s">
        <v>25</v>
      </c>
      <c r="H362" s="4" t="s">
        <v>35</v>
      </c>
      <c r="I362" s="5">
        <v>44317</v>
      </c>
      <c r="J362" s="6">
        <v>0</v>
      </c>
      <c r="K362" s="6">
        <v>0</v>
      </c>
      <c r="L362" s="6">
        <v>15.478</v>
      </c>
      <c r="M362" s="6">
        <v>15.478</v>
      </c>
      <c r="N362" s="6">
        <v>15.478</v>
      </c>
      <c r="O362" s="6">
        <v>15.478</v>
      </c>
      <c r="P362" s="6">
        <v>0</v>
      </c>
      <c r="Q362" s="4" t="s">
        <v>26</v>
      </c>
      <c r="R362" s="4">
        <v>0</v>
      </c>
      <c r="S362" s="6">
        <v>0</v>
      </c>
      <c r="T362" s="6">
        <v>25</v>
      </c>
      <c r="U362" s="6">
        <v>68</v>
      </c>
      <c r="V362" s="6">
        <f>IF(ISERROR(VLOOKUP($S$362,'TAR FIN'!$A$1:$O$100,15,0)),0,VLOOKUP($S$362,'TAR FIN'!$A$1:$O$100,15,0))</f>
        <v>0</v>
      </c>
      <c r="W362" s="6">
        <f>IF(ISERROR(VLOOKUP($T$362,'TAR FIN'!$A$1:$O$100,15,0)),0,VLOOKUP($T$362,'TAR FIN'!$A$1:$O$100,15,0))</f>
        <v>43.65</v>
      </c>
      <c r="X362" s="6">
        <f>IF(ISERROR(VLOOKUP($U$362,'TAR FIN'!$A$1:$O$100,15,0)),0,VLOOKUP($U$362,'TAR FIN'!$A$1:$O$100,15,0))</f>
        <v>219.03</v>
      </c>
      <c r="Y362" s="6"/>
      <c r="Z362" s="6">
        <f ca="1">('TUSD BE'!$AM$22+'TUSD BF'!$AM$22+'TUSD CVA'!$AM$22)*1</f>
        <v>49.78704102185678</v>
      </c>
      <c r="AA362" s="6">
        <f>('TE BE'!$AA$8+'TE BF'!$AA$8+'TE CVA'!$AA$8)*1</f>
        <v>238.55077890362423</v>
      </c>
      <c r="AB362" s="6">
        <f>$K$362*$V$362</f>
        <v>0</v>
      </c>
      <c r="AC362" s="6">
        <f>$M$362*$W$362</f>
        <v>675.61469999999997</v>
      </c>
      <c r="AD362" s="6">
        <f>$O$362*$X$362</f>
        <v>3390.1463399999998</v>
      </c>
      <c r="AE362" s="6">
        <f>$K$362*$Y$362</f>
        <v>0</v>
      </c>
      <c r="AF362" s="6">
        <f ca="1">$M$362*$Z$362</f>
        <v>770.60382093629926</v>
      </c>
      <c r="AG362" s="6">
        <f>$O$362*$AA$362</f>
        <v>3692.2889558702959</v>
      </c>
    </row>
    <row r="363" spans="1:33" ht="11.25" customHeight="1" x14ac:dyDescent="0.25">
      <c r="A363" s="4" t="s">
        <v>21</v>
      </c>
      <c r="B363" s="4" t="s">
        <v>39</v>
      </c>
      <c r="C363" s="4" t="s">
        <v>41</v>
      </c>
      <c r="D363" s="4" t="s">
        <v>51</v>
      </c>
      <c r="E363" s="4" t="s">
        <v>25</v>
      </c>
      <c r="F363" s="4" t="s">
        <v>25</v>
      </c>
      <c r="G363" s="4" t="s">
        <v>25</v>
      </c>
      <c r="H363" s="4" t="s">
        <v>35</v>
      </c>
      <c r="I363" s="5">
        <v>44348</v>
      </c>
      <c r="J363" s="6">
        <v>0</v>
      </c>
      <c r="K363" s="6">
        <v>0</v>
      </c>
      <c r="L363" s="6">
        <v>12.3</v>
      </c>
      <c r="M363" s="6">
        <v>12.3</v>
      </c>
      <c r="N363" s="6">
        <v>12.3</v>
      </c>
      <c r="O363" s="6">
        <v>12.3</v>
      </c>
      <c r="P363" s="6">
        <v>0</v>
      </c>
      <c r="Q363" s="4" t="s">
        <v>26</v>
      </c>
      <c r="R363" s="4">
        <v>0</v>
      </c>
      <c r="S363" s="6">
        <v>0</v>
      </c>
      <c r="T363" s="6">
        <v>25</v>
      </c>
      <c r="U363" s="6">
        <v>68</v>
      </c>
      <c r="V363" s="6">
        <f>IF(ISERROR(VLOOKUP($S$363,'TAR FIN'!$A$1:$O$100,15,0)),0,VLOOKUP($S$363,'TAR FIN'!$A$1:$O$100,15,0))</f>
        <v>0</v>
      </c>
      <c r="W363" s="6">
        <f>IF(ISERROR(VLOOKUP($T$363,'TAR FIN'!$A$1:$O$100,15,0)),0,VLOOKUP($T$363,'TAR FIN'!$A$1:$O$100,15,0))</f>
        <v>43.65</v>
      </c>
      <c r="X363" s="6">
        <f>IF(ISERROR(VLOOKUP($U$363,'TAR FIN'!$A$1:$O$100,15,0)),0,VLOOKUP($U$363,'TAR FIN'!$A$1:$O$100,15,0))</f>
        <v>219.03</v>
      </c>
      <c r="Y363" s="6"/>
      <c r="Z363" s="6">
        <f ca="1">('TUSD BE'!$AM$22+'TUSD BF'!$AM$22+'TUSD CVA'!$AM$22)*1</f>
        <v>49.78704102185678</v>
      </c>
      <c r="AA363" s="6">
        <f>('TE BE'!$AA$8+'TE BF'!$AA$8+'TE CVA'!$AA$8)*1</f>
        <v>238.55077890362423</v>
      </c>
      <c r="AB363" s="6">
        <f>$K$363*$V$363</f>
        <v>0</v>
      </c>
      <c r="AC363" s="6">
        <f>$M$363*$W$363</f>
        <v>536.89499999999998</v>
      </c>
      <c r="AD363" s="6">
        <f>$O$363*$X$363</f>
        <v>2694.069</v>
      </c>
      <c r="AE363" s="6">
        <f>$K$363*$Y$363</f>
        <v>0</v>
      </c>
      <c r="AF363" s="6">
        <f ca="1">$M$363*$Z$363</f>
        <v>612.38060456883841</v>
      </c>
      <c r="AG363" s="6">
        <f>$O$363*$AA$363</f>
        <v>2934.1745805145783</v>
      </c>
    </row>
    <row r="364" spans="1:33" ht="11.25" customHeight="1" x14ac:dyDescent="0.25">
      <c r="A364" s="4" t="s">
        <v>21</v>
      </c>
      <c r="B364" s="4" t="s">
        <v>39</v>
      </c>
      <c r="C364" s="4" t="s">
        <v>41</v>
      </c>
      <c r="D364" s="4" t="s">
        <v>51</v>
      </c>
      <c r="E364" s="4" t="s">
        <v>25</v>
      </c>
      <c r="F364" s="4" t="s">
        <v>25</v>
      </c>
      <c r="G364" s="4" t="s">
        <v>25</v>
      </c>
      <c r="H364" s="4" t="s">
        <v>35</v>
      </c>
      <c r="I364" s="5">
        <v>44378</v>
      </c>
      <c r="J364" s="6">
        <v>0</v>
      </c>
      <c r="K364" s="6">
        <v>0</v>
      </c>
      <c r="L364" s="6">
        <v>11.224</v>
      </c>
      <c r="M364" s="6">
        <v>11.224</v>
      </c>
      <c r="N364" s="6">
        <v>11.224</v>
      </c>
      <c r="O364" s="6">
        <v>11.224</v>
      </c>
      <c r="P364" s="6">
        <v>0</v>
      </c>
      <c r="Q364" s="4" t="s">
        <v>26</v>
      </c>
      <c r="R364" s="4">
        <v>0</v>
      </c>
      <c r="S364" s="6">
        <v>0</v>
      </c>
      <c r="T364" s="6">
        <v>25</v>
      </c>
      <c r="U364" s="6">
        <v>68</v>
      </c>
      <c r="V364" s="6">
        <f>IF(ISERROR(VLOOKUP($S$364,'TAR FIN'!$A$1:$O$100,15,0)),0,VLOOKUP($S$364,'TAR FIN'!$A$1:$O$100,15,0))</f>
        <v>0</v>
      </c>
      <c r="W364" s="6">
        <f>IF(ISERROR(VLOOKUP($T$364,'TAR FIN'!$A$1:$O$100,15,0)),0,VLOOKUP($T$364,'TAR FIN'!$A$1:$O$100,15,0))</f>
        <v>43.65</v>
      </c>
      <c r="X364" s="6">
        <f>IF(ISERROR(VLOOKUP($U$364,'TAR FIN'!$A$1:$O$100,15,0)),0,VLOOKUP($U$364,'TAR FIN'!$A$1:$O$100,15,0))</f>
        <v>219.03</v>
      </c>
      <c r="Y364" s="6"/>
      <c r="Z364" s="6">
        <f ca="1">('TUSD BE'!$AM$22+'TUSD BF'!$AM$22+'TUSD CVA'!$AM$22)*1</f>
        <v>49.78704102185678</v>
      </c>
      <c r="AA364" s="6">
        <f>('TE BE'!$AA$8+'TE BF'!$AA$8+'TE CVA'!$AA$8)*1</f>
        <v>238.55077890362423</v>
      </c>
      <c r="AB364" s="6">
        <f>$K$364*$V$364</f>
        <v>0</v>
      </c>
      <c r="AC364" s="6">
        <f>$M$364*$W$364</f>
        <v>489.92759999999998</v>
      </c>
      <c r="AD364" s="6">
        <f>$O$364*$X$364</f>
        <v>2458.3927200000003</v>
      </c>
      <c r="AE364" s="6">
        <f>$K$364*$Y$364</f>
        <v>0</v>
      </c>
      <c r="AF364" s="6">
        <f ca="1">$M$364*$Z$364</f>
        <v>558.80974842932051</v>
      </c>
      <c r="AG364" s="6">
        <f>$O$364*$AA$364</f>
        <v>2677.4939424142785</v>
      </c>
    </row>
    <row r="365" spans="1:33" ht="11.25" customHeight="1" x14ac:dyDescent="0.25">
      <c r="A365" s="4" t="s">
        <v>21</v>
      </c>
      <c r="B365" s="4" t="s">
        <v>39</v>
      </c>
      <c r="C365" s="4" t="s">
        <v>41</v>
      </c>
      <c r="D365" s="4" t="s">
        <v>51</v>
      </c>
      <c r="E365" s="4" t="s">
        <v>25</v>
      </c>
      <c r="F365" s="4" t="s">
        <v>25</v>
      </c>
      <c r="G365" s="4" t="s">
        <v>25</v>
      </c>
      <c r="H365" s="4" t="s">
        <v>35</v>
      </c>
      <c r="I365" s="5">
        <v>44409</v>
      </c>
      <c r="J365" s="6">
        <v>0</v>
      </c>
      <c r="K365" s="6">
        <v>0</v>
      </c>
      <c r="L365" s="6">
        <v>11.634</v>
      </c>
      <c r="M365" s="6">
        <v>11.634</v>
      </c>
      <c r="N365" s="6">
        <v>11.634</v>
      </c>
      <c r="O365" s="6">
        <v>11.634</v>
      </c>
      <c r="P365" s="6">
        <v>0</v>
      </c>
      <c r="Q365" s="4" t="s">
        <v>26</v>
      </c>
      <c r="R365" s="4">
        <v>0</v>
      </c>
      <c r="S365" s="6">
        <v>0</v>
      </c>
      <c r="T365" s="6">
        <v>25</v>
      </c>
      <c r="U365" s="6">
        <v>68</v>
      </c>
      <c r="V365" s="6">
        <f>IF(ISERROR(VLOOKUP($S$365,'TAR FIN'!$A$1:$O$100,15,0)),0,VLOOKUP($S$365,'TAR FIN'!$A$1:$O$100,15,0))</f>
        <v>0</v>
      </c>
      <c r="W365" s="6">
        <f>IF(ISERROR(VLOOKUP($T$365,'TAR FIN'!$A$1:$O$100,15,0)),0,VLOOKUP($T$365,'TAR FIN'!$A$1:$O$100,15,0))</f>
        <v>43.65</v>
      </c>
      <c r="X365" s="6">
        <f>IF(ISERROR(VLOOKUP($U$365,'TAR FIN'!$A$1:$O$100,15,0)),0,VLOOKUP($U$365,'TAR FIN'!$A$1:$O$100,15,0))</f>
        <v>219.03</v>
      </c>
      <c r="Y365" s="6"/>
      <c r="Z365" s="6">
        <f ca="1">('TUSD BE'!$AM$22+'TUSD BF'!$AM$22+'TUSD CVA'!$AM$22)*1</f>
        <v>49.78704102185678</v>
      </c>
      <c r="AA365" s="6">
        <f>('TE BE'!$AA$8+'TE BF'!$AA$8+'TE CVA'!$AA$8)*1</f>
        <v>238.55077890362423</v>
      </c>
      <c r="AB365" s="6">
        <f>$K$365*$V$365</f>
        <v>0</v>
      </c>
      <c r="AC365" s="6">
        <f>$M$365*$W$365</f>
        <v>507.82409999999999</v>
      </c>
      <c r="AD365" s="6">
        <f>$O$365*$X$365</f>
        <v>2548.1950200000001</v>
      </c>
      <c r="AE365" s="6">
        <f>$K$365*$Y$365</f>
        <v>0</v>
      </c>
      <c r="AF365" s="6">
        <f ca="1">$M$365*$Z$365</f>
        <v>579.22243524828184</v>
      </c>
      <c r="AG365" s="6">
        <f>$O$365*$AA$365</f>
        <v>2775.2997617647643</v>
      </c>
    </row>
    <row r="366" spans="1:33" ht="11.25" customHeight="1" x14ac:dyDescent="0.25">
      <c r="A366" s="4" t="s">
        <v>21</v>
      </c>
      <c r="B366" s="4" t="s">
        <v>39</v>
      </c>
      <c r="C366" s="4" t="s">
        <v>41</v>
      </c>
      <c r="D366" s="4" t="s">
        <v>51</v>
      </c>
      <c r="E366" s="4" t="s">
        <v>25</v>
      </c>
      <c r="F366" s="4" t="s">
        <v>25</v>
      </c>
      <c r="G366" s="4" t="s">
        <v>25</v>
      </c>
      <c r="H366" s="4" t="s">
        <v>35</v>
      </c>
      <c r="I366" s="5">
        <v>44440</v>
      </c>
      <c r="J366" s="6">
        <v>0</v>
      </c>
      <c r="K366" s="6">
        <v>0</v>
      </c>
      <c r="L366" s="6">
        <v>10.353</v>
      </c>
      <c r="M366" s="6">
        <v>10.353</v>
      </c>
      <c r="N366" s="6">
        <v>10.353</v>
      </c>
      <c r="O366" s="6">
        <v>10.353</v>
      </c>
      <c r="P366" s="6">
        <v>0</v>
      </c>
      <c r="Q366" s="4" t="s">
        <v>26</v>
      </c>
      <c r="R366" s="4">
        <v>0</v>
      </c>
      <c r="S366" s="6">
        <v>0</v>
      </c>
      <c r="T366" s="6">
        <v>25</v>
      </c>
      <c r="U366" s="6">
        <v>68</v>
      </c>
      <c r="V366" s="6">
        <f>IF(ISERROR(VLOOKUP($S$366,'TAR FIN'!$A$1:$O$100,15,0)),0,VLOOKUP($S$366,'TAR FIN'!$A$1:$O$100,15,0))</f>
        <v>0</v>
      </c>
      <c r="W366" s="6">
        <f>IF(ISERROR(VLOOKUP($T$366,'TAR FIN'!$A$1:$O$100,15,0)),0,VLOOKUP($T$366,'TAR FIN'!$A$1:$O$100,15,0))</f>
        <v>43.65</v>
      </c>
      <c r="X366" s="6">
        <f>IF(ISERROR(VLOOKUP($U$366,'TAR FIN'!$A$1:$O$100,15,0)),0,VLOOKUP($U$366,'TAR FIN'!$A$1:$O$100,15,0))</f>
        <v>219.03</v>
      </c>
      <c r="Y366" s="6"/>
      <c r="Z366" s="6">
        <f ca="1">('TUSD BE'!$AM$22+'TUSD BF'!$AM$22+'TUSD CVA'!$AM$22)*1</f>
        <v>49.78704102185678</v>
      </c>
      <c r="AA366" s="6">
        <f>('TE BE'!$AA$8+'TE BF'!$AA$8+'TE CVA'!$AA$8)*1</f>
        <v>238.55077890362423</v>
      </c>
      <c r="AB366" s="6">
        <f>$K$366*$V$366</f>
        <v>0</v>
      </c>
      <c r="AC366" s="6">
        <f>$M$366*$W$366</f>
        <v>451.90844999999996</v>
      </c>
      <c r="AD366" s="6">
        <f>$O$366*$X$366</f>
        <v>2267.6175899999998</v>
      </c>
      <c r="AE366" s="6">
        <f>$K$366*$Y$366</f>
        <v>0</v>
      </c>
      <c r="AF366" s="6">
        <f ca="1">$M$366*$Z$366</f>
        <v>515.44523569928322</v>
      </c>
      <c r="AG366" s="6">
        <f>$O$366*$AA$366</f>
        <v>2469.7162139892216</v>
      </c>
    </row>
    <row r="367" spans="1:33" ht="11.25" customHeight="1" x14ac:dyDescent="0.25">
      <c r="A367" s="4" t="s">
        <v>21</v>
      </c>
      <c r="B367" s="4" t="s">
        <v>39</v>
      </c>
      <c r="C367" s="4" t="s">
        <v>41</v>
      </c>
      <c r="D367" s="4" t="s">
        <v>51</v>
      </c>
      <c r="E367" s="4" t="s">
        <v>25</v>
      </c>
      <c r="F367" s="4" t="s">
        <v>25</v>
      </c>
      <c r="G367" s="4" t="s">
        <v>25</v>
      </c>
      <c r="H367" s="4" t="s">
        <v>35</v>
      </c>
      <c r="I367" s="5">
        <v>44470</v>
      </c>
      <c r="J367" s="6">
        <v>0</v>
      </c>
      <c r="K367" s="6">
        <v>0</v>
      </c>
      <c r="L367" s="6">
        <v>11.993</v>
      </c>
      <c r="M367" s="6">
        <v>11.993</v>
      </c>
      <c r="N367" s="6">
        <v>11.993</v>
      </c>
      <c r="O367" s="6">
        <v>11.993</v>
      </c>
      <c r="P367" s="6">
        <v>0</v>
      </c>
      <c r="Q367" s="4" t="s">
        <v>26</v>
      </c>
      <c r="R367" s="4">
        <v>0</v>
      </c>
      <c r="S367" s="6">
        <v>0</v>
      </c>
      <c r="T367" s="6">
        <v>25</v>
      </c>
      <c r="U367" s="6">
        <v>68</v>
      </c>
      <c r="V367" s="6">
        <f>IF(ISERROR(VLOOKUP($S$367,'TAR FIN'!$A$1:$O$100,15,0)),0,VLOOKUP($S$367,'TAR FIN'!$A$1:$O$100,15,0))</f>
        <v>0</v>
      </c>
      <c r="W367" s="6">
        <f>IF(ISERROR(VLOOKUP($T$367,'TAR FIN'!$A$1:$O$100,15,0)),0,VLOOKUP($T$367,'TAR FIN'!$A$1:$O$100,15,0))</f>
        <v>43.65</v>
      </c>
      <c r="X367" s="6">
        <f>IF(ISERROR(VLOOKUP($U$367,'TAR FIN'!$A$1:$O$100,15,0)),0,VLOOKUP($U$367,'TAR FIN'!$A$1:$O$100,15,0))</f>
        <v>219.03</v>
      </c>
      <c r="Y367" s="6"/>
      <c r="Z367" s="6">
        <f ca="1">('TUSD BE'!$AM$22+'TUSD BF'!$AM$22+'TUSD CVA'!$AM$22)*1</f>
        <v>49.78704102185678</v>
      </c>
      <c r="AA367" s="6">
        <f>('TE BE'!$AA$8+'TE BF'!$AA$8+'TE CVA'!$AA$8)*1</f>
        <v>238.55077890362423</v>
      </c>
      <c r="AB367" s="6">
        <f>$K$367*$V$367</f>
        <v>0</v>
      </c>
      <c r="AC367" s="6">
        <f>$M$367*$W$367</f>
        <v>523.49445000000003</v>
      </c>
      <c r="AD367" s="6">
        <f>$O$367*$X$367</f>
        <v>2626.8267900000001</v>
      </c>
      <c r="AE367" s="6">
        <f>$K$367*$Y$367</f>
        <v>0</v>
      </c>
      <c r="AF367" s="6">
        <f ca="1">$M$367*$Z$367</f>
        <v>597.09598297512832</v>
      </c>
      <c r="AG367" s="6">
        <f>$O$367*$AA$367</f>
        <v>2860.9394913911656</v>
      </c>
    </row>
    <row r="368" spans="1:33" ht="11.25" customHeight="1" x14ac:dyDescent="0.25">
      <c r="A368" s="4" t="s">
        <v>21</v>
      </c>
      <c r="B368" s="4" t="s">
        <v>39</v>
      </c>
      <c r="C368" s="4" t="s">
        <v>41</v>
      </c>
      <c r="D368" s="4" t="s">
        <v>51</v>
      </c>
      <c r="E368" s="4" t="s">
        <v>25</v>
      </c>
      <c r="F368" s="4" t="s">
        <v>25</v>
      </c>
      <c r="G368" s="4" t="s">
        <v>25</v>
      </c>
      <c r="H368" s="4" t="s">
        <v>35</v>
      </c>
      <c r="I368" s="5">
        <v>44501</v>
      </c>
      <c r="J368" s="6">
        <v>0</v>
      </c>
      <c r="K368" s="6">
        <v>0</v>
      </c>
      <c r="L368" s="6">
        <v>12.403</v>
      </c>
      <c r="M368" s="6">
        <v>12.403</v>
      </c>
      <c r="N368" s="6">
        <v>12.403</v>
      </c>
      <c r="O368" s="6">
        <v>12.403</v>
      </c>
      <c r="P368" s="6">
        <v>0</v>
      </c>
      <c r="Q368" s="4" t="s">
        <v>26</v>
      </c>
      <c r="R368" s="4">
        <v>0</v>
      </c>
      <c r="S368" s="6">
        <v>0</v>
      </c>
      <c r="T368" s="6">
        <v>25</v>
      </c>
      <c r="U368" s="6">
        <v>68</v>
      </c>
      <c r="V368" s="6">
        <f>IF(ISERROR(VLOOKUP($S$368,'TAR FIN'!$A$1:$O$100,15,0)),0,VLOOKUP($S$368,'TAR FIN'!$A$1:$O$100,15,0))</f>
        <v>0</v>
      </c>
      <c r="W368" s="6">
        <f>IF(ISERROR(VLOOKUP($T$368,'TAR FIN'!$A$1:$O$100,15,0)),0,VLOOKUP($T$368,'TAR FIN'!$A$1:$O$100,15,0))</f>
        <v>43.65</v>
      </c>
      <c r="X368" s="6">
        <f>IF(ISERROR(VLOOKUP($U$368,'TAR FIN'!$A$1:$O$100,15,0)),0,VLOOKUP($U$368,'TAR FIN'!$A$1:$O$100,15,0))</f>
        <v>219.03</v>
      </c>
      <c r="Y368" s="6"/>
      <c r="Z368" s="6">
        <f ca="1">('TUSD BE'!$AM$22+'TUSD BF'!$AM$22+'TUSD CVA'!$AM$22)*1</f>
        <v>49.78704102185678</v>
      </c>
      <c r="AA368" s="6">
        <f>('TE BE'!$AA$8+'TE BF'!$AA$8+'TE CVA'!$AA$8)*1</f>
        <v>238.55077890362423</v>
      </c>
      <c r="AB368" s="6">
        <f>$K$368*$V$368</f>
        <v>0</v>
      </c>
      <c r="AC368" s="6">
        <f>$M$368*$W$368</f>
        <v>541.39094999999998</v>
      </c>
      <c r="AD368" s="6">
        <f>$O$368*$X$368</f>
        <v>2716.6290899999999</v>
      </c>
      <c r="AE368" s="6">
        <f>$K$368*$Y$368</f>
        <v>0</v>
      </c>
      <c r="AF368" s="6">
        <f ca="1">$M$368*$Z$368</f>
        <v>617.50866979408966</v>
      </c>
      <c r="AG368" s="6">
        <f>$O$368*$AA$368</f>
        <v>2958.7453107416513</v>
      </c>
    </row>
    <row r="369" spans="1:33" ht="11.25" customHeight="1" x14ac:dyDescent="0.25">
      <c r="A369" s="4" t="s">
        <v>21</v>
      </c>
      <c r="B369" s="4" t="s">
        <v>39</v>
      </c>
      <c r="C369" s="4" t="s">
        <v>41</v>
      </c>
      <c r="D369" s="4" t="s">
        <v>51</v>
      </c>
      <c r="E369" s="4" t="s">
        <v>25</v>
      </c>
      <c r="F369" s="4" t="s">
        <v>25</v>
      </c>
      <c r="G369" s="4" t="s">
        <v>25</v>
      </c>
      <c r="H369" s="4" t="s">
        <v>35</v>
      </c>
      <c r="I369" s="5">
        <v>44531</v>
      </c>
      <c r="J369" s="6">
        <v>0</v>
      </c>
      <c r="K369" s="6">
        <v>0</v>
      </c>
      <c r="L369" s="6">
        <v>13.324999999999999</v>
      </c>
      <c r="M369" s="6">
        <v>13.324999999999999</v>
      </c>
      <c r="N369" s="6">
        <v>13.324999999999999</v>
      </c>
      <c r="O369" s="6">
        <v>13.324999999999999</v>
      </c>
      <c r="P369" s="6">
        <v>0</v>
      </c>
      <c r="Q369" s="4" t="s">
        <v>26</v>
      </c>
      <c r="R369" s="4">
        <v>0</v>
      </c>
      <c r="S369" s="6">
        <v>0</v>
      </c>
      <c r="T369" s="6">
        <v>25</v>
      </c>
      <c r="U369" s="6">
        <v>68</v>
      </c>
      <c r="V369" s="6">
        <f>IF(ISERROR(VLOOKUP($S$369,'TAR FIN'!$A$1:$O$100,15,0)),0,VLOOKUP($S$369,'TAR FIN'!$A$1:$O$100,15,0))</f>
        <v>0</v>
      </c>
      <c r="W369" s="6">
        <f>IF(ISERROR(VLOOKUP($T$369,'TAR FIN'!$A$1:$O$100,15,0)),0,VLOOKUP($T$369,'TAR FIN'!$A$1:$O$100,15,0))</f>
        <v>43.65</v>
      </c>
      <c r="X369" s="6">
        <f>IF(ISERROR(VLOOKUP($U$369,'TAR FIN'!$A$1:$O$100,15,0)),0,VLOOKUP($U$369,'TAR FIN'!$A$1:$O$100,15,0))</f>
        <v>219.03</v>
      </c>
      <c r="Y369" s="6"/>
      <c r="Z369" s="6">
        <f ca="1">('TUSD BE'!$AM$22+'TUSD BF'!$AM$22+'TUSD CVA'!$AM$22)*1</f>
        <v>49.78704102185678</v>
      </c>
      <c r="AA369" s="6">
        <f>('TE BE'!$AA$8+'TE BF'!$AA$8+'TE CVA'!$AA$8)*1</f>
        <v>238.55077890362423</v>
      </c>
      <c r="AB369" s="6">
        <f>$K$369*$V$369</f>
        <v>0</v>
      </c>
      <c r="AC369" s="6">
        <f>$M$369*$W$369</f>
        <v>581.6362499999999</v>
      </c>
      <c r="AD369" s="6">
        <f>$O$369*$X$369</f>
        <v>2918.5747499999998</v>
      </c>
      <c r="AE369" s="6">
        <f>$K$369*$Y$369</f>
        <v>0</v>
      </c>
      <c r="AF369" s="6">
        <f ca="1">$M$369*$Z$369</f>
        <v>663.41232161624157</v>
      </c>
      <c r="AG369" s="6">
        <f>$O$369*$AA$369</f>
        <v>3178.6891288907927</v>
      </c>
    </row>
    <row r="370" spans="1:33" ht="11.25" customHeight="1" x14ac:dyDescent="0.25">
      <c r="A370" s="4" t="s">
        <v>55</v>
      </c>
      <c r="B370" s="4" t="s">
        <v>39</v>
      </c>
      <c r="C370" s="4" t="s">
        <v>41</v>
      </c>
      <c r="D370" s="4" t="s">
        <v>51</v>
      </c>
      <c r="E370" s="4" t="s">
        <v>25</v>
      </c>
      <c r="F370" s="4" t="s">
        <v>25</v>
      </c>
      <c r="G370" s="4" t="s">
        <v>25</v>
      </c>
      <c r="H370" s="4" t="s">
        <v>35</v>
      </c>
      <c r="I370" s="5">
        <v>44562</v>
      </c>
      <c r="J370" s="6">
        <v>0</v>
      </c>
      <c r="K370" s="6">
        <v>0</v>
      </c>
      <c r="L370" s="6">
        <v>13.324999999999999</v>
      </c>
      <c r="M370" s="6">
        <v>13.324999999999999</v>
      </c>
      <c r="N370" s="6">
        <v>13.324999999999999</v>
      </c>
      <c r="O370" s="6">
        <v>13.324999999999999</v>
      </c>
      <c r="P370" s="6">
        <v>0</v>
      </c>
      <c r="Q370" s="4" t="s">
        <v>26</v>
      </c>
      <c r="R370" s="4">
        <v>0</v>
      </c>
      <c r="S370" s="6">
        <v>0</v>
      </c>
      <c r="T370" s="6">
        <v>25</v>
      </c>
      <c r="U370" s="6">
        <v>68</v>
      </c>
      <c r="V370" s="6">
        <f>IF(ISERROR(VLOOKUP($S$370,'TAR FIN'!$A$1:$O$100,15,0)),0,VLOOKUP($S$370,'TAR FIN'!$A$1:$O$100,15,0))</f>
        <v>0</v>
      </c>
      <c r="W370" s="6">
        <f>IF(ISERROR(VLOOKUP($T$370,'TAR FIN'!$A$1:$O$100,15,0)),0,VLOOKUP($T$370,'TAR FIN'!$A$1:$O$100,15,0))</f>
        <v>43.65</v>
      </c>
      <c r="X370" s="6">
        <f>IF(ISERROR(VLOOKUP($U$370,'TAR FIN'!$A$1:$O$100,15,0)),0,VLOOKUP($U$370,'TAR FIN'!$A$1:$O$100,15,0))</f>
        <v>219.03</v>
      </c>
      <c r="Y370" s="6"/>
      <c r="Z370" s="6">
        <f ca="1">('TUSD BE'!$AM$22+'TUSD BF'!$AM$22+'TUSD CVA'!$AM$22)*1</f>
        <v>49.78704102185678</v>
      </c>
      <c r="AA370" s="6">
        <f>('TE BE'!$AA$8+'TE BF'!$AA$8+'TE CVA'!$AA$8)*1</f>
        <v>238.55077890362423</v>
      </c>
      <c r="AB370" s="6">
        <f>$K$370*$V$370</f>
        <v>0</v>
      </c>
      <c r="AC370" s="6">
        <f>$M$370*$W$370</f>
        <v>581.6362499999999</v>
      </c>
      <c r="AD370" s="6">
        <f>$O$370*$X$370</f>
        <v>2918.5747499999998</v>
      </c>
      <c r="AE370" s="6">
        <f>$K$370*$Y$370</f>
        <v>0</v>
      </c>
      <c r="AF370" s="6">
        <f ca="1">$M$370*$Z$370</f>
        <v>663.41232161624157</v>
      </c>
      <c r="AG370" s="6">
        <f>$O$370*$AA$370</f>
        <v>3178.6891288907927</v>
      </c>
    </row>
    <row r="371" spans="1:33" ht="11.25" customHeight="1" x14ac:dyDescent="0.25">
      <c r="A371" s="4" t="s">
        <v>21</v>
      </c>
      <c r="B371" s="4" t="s">
        <v>39</v>
      </c>
      <c r="C371" s="4" t="s">
        <v>41</v>
      </c>
      <c r="D371" s="4" t="s">
        <v>51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44228</v>
      </c>
      <c r="J371" s="6">
        <v>61</v>
      </c>
      <c r="K371" s="6">
        <v>61</v>
      </c>
      <c r="L371" s="6">
        <v>0</v>
      </c>
      <c r="M371" s="6">
        <v>0</v>
      </c>
      <c r="N371" s="6">
        <v>0</v>
      </c>
      <c r="O371" s="6">
        <v>0</v>
      </c>
      <c r="P371" s="6">
        <v>1</v>
      </c>
      <c r="Q371" s="4" t="s">
        <v>26</v>
      </c>
      <c r="R371" s="4">
        <v>0</v>
      </c>
      <c r="S371" s="6">
        <v>23</v>
      </c>
      <c r="T371" s="6">
        <v>0</v>
      </c>
      <c r="U371" s="6">
        <v>0</v>
      </c>
      <c r="V371" s="6">
        <f>IF(ISERROR(VLOOKUP($S$371,'TAR FIN'!$A$1:$O$100,15,0)),0,VLOOKUP($S$371,'TAR FIN'!$A$1:$O$100,15,0))</f>
        <v>18.48</v>
      </c>
      <c r="W371" s="6">
        <f>IF(ISERROR(VLOOKUP($T$371,'TAR FIN'!$A$1:$O$100,15,0)),0,VLOOKUP($T$371,'TAR FIN'!$A$1:$O$100,15,0))</f>
        <v>0</v>
      </c>
      <c r="X371" s="6">
        <f>IF(ISERROR(VLOOKUP($U$371,'TAR FIN'!$A$1:$O$100,15,0)),0,VLOOKUP($U$371,'TAR FIN'!$A$1:$O$100,15,0))</f>
        <v>0</v>
      </c>
      <c r="Y371" s="6">
        <f ca="1">('TUSD BE'!$AM$20+'TUSD BF'!$AM$20+'TUSD CVA'!$AM$20)*1</f>
        <v>17.856842567448453</v>
      </c>
      <c r="Z371" s="6"/>
      <c r="AA371" s="6"/>
      <c r="AB371" s="6">
        <f>$K$371*$V$371</f>
        <v>1127.28</v>
      </c>
      <c r="AC371" s="6">
        <f>$M$371*$W$371</f>
        <v>0</v>
      </c>
      <c r="AD371" s="6">
        <f>$O$371*$X$371</f>
        <v>0</v>
      </c>
      <c r="AE371" s="6">
        <f ca="1">$K$371*$Y$371</f>
        <v>1089.2673966143557</v>
      </c>
      <c r="AF371" s="6">
        <f>$M$371*$Z$371</f>
        <v>0</v>
      </c>
      <c r="AG371" s="6">
        <f>$O$371*$AA$371</f>
        <v>0</v>
      </c>
    </row>
    <row r="372" spans="1:33" ht="11.25" customHeight="1" x14ac:dyDescent="0.25">
      <c r="A372" s="4" t="s">
        <v>21</v>
      </c>
      <c r="B372" s="4" t="s">
        <v>39</v>
      </c>
      <c r="C372" s="4" t="s">
        <v>41</v>
      </c>
      <c r="D372" s="4" t="s">
        <v>51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44256</v>
      </c>
      <c r="J372" s="6">
        <v>61</v>
      </c>
      <c r="K372" s="6">
        <v>61</v>
      </c>
      <c r="L372" s="6">
        <v>0</v>
      </c>
      <c r="M372" s="6">
        <v>0</v>
      </c>
      <c r="N372" s="6">
        <v>0</v>
      </c>
      <c r="O372" s="6">
        <v>0</v>
      </c>
      <c r="P372" s="6">
        <v>1</v>
      </c>
      <c r="Q372" s="4" t="s">
        <v>26</v>
      </c>
      <c r="R372" s="4">
        <v>0</v>
      </c>
      <c r="S372" s="6">
        <v>23</v>
      </c>
      <c r="T372" s="6">
        <v>0</v>
      </c>
      <c r="U372" s="6">
        <v>0</v>
      </c>
      <c r="V372" s="6">
        <f>IF(ISERROR(VLOOKUP($S$372,'TAR FIN'!$A$1:$O$100,15,0)),0,VLOOKUP($S$372,'TAR FIN'!$A$1:$O$100,15,0))</f>
        <v>18.48</v>
      </c>
      <c r="W372" s="6">
        <f>IF(ISERROR(VLOOKUP($T$372,'TAR FIN'!$A$1:$O$100,15,0)),0,VLOOKUP($T$372,'TAR FIN'!$A$1:$O$100,15,0))</f>
        <v>0</v>
      </c>
      <c r="X372" s="6">
        <f>IF(ISERROR(VLOOKUP($U$372,'TAR FIN'!$A$1:$O$100,15,0)),0,VLOOKUP($U$372,'TAR FIN'!$A$1:$O$100,15,0))</f>
        <v>0</v>
      </c>
      <c r="Y372" s="6">
        <f ca="1">('TUSD BE'!$AM$20+'TUSD BF'!$AM$20+'TUSD CVA'!$AM$20)*1</f>
        <v>17.856842567448453</v>
      </c>
      <c r="Z372" s="6"/>
      <c r="AA372" s="6"/>
      <c r="AB372" s="6">
        <f>$K$372*$V$372</f>
        <v>1127.28</v>
      </c>
      <c r="AC372" s="6">
        <f>$M$372*$W$372</f>
        <v>0</v>
      </c>
      <c r="AD372" s="6">
        <f>$O$372*$X$372</f>
        <v>0</v>
      </c>
      <c r="AE372" s="6">
        <f ca="1">$K$372*$Y$372</f>
        <v>1089.2673966143557</v>
      </c>
      <c r="AF372" s="6">
        <f>$M$372*$Z$372</f>
        <v>0</v>
      </c>
      <c r="AG372" s="6">
        <f>$O$372*$AA$372</f>
        <v>0</v>
      </c>
    </row>
    <row r="373" spans="1:33" ht="11.25" customHeight="1" x14ac:dyDescent="0.25">
      <c r="A373" s="4" t="s">
        <v>21</v>
      </c>
      <c r="B373" s="4" t="s">
        <v>39</v>
      </c>
      <c r="C373" s="4" t="s">
        <v>41</v>
      </c>
      <c r="D373" s="4" t="s">
        <v>51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44287</v>
      </c>
      <c r="J373" s="6">
        <v>61</v>
      </c>
      <c r="K373" s="6">
        <v>61</v>
      </c>
      <c r="L373" s="6">
        <v>0</v>
      </c>
      <c r="M373" s="6">
        <v>0</v>
      </c>
      <c r="N373" s="6">
        <v>0</v>
      </c>
      <c r="O373" s="6">
        <v>0</v>
      </c>
      <c r="P373" s="6">
        <v>1</v>
      </c>
      <c r="Q373" s="4" t="s">
        <v>26</v>
      </c>
      <c r="R373" s="4">
        <v>0</v>
      </c>
      <c r="S373" s="6">
        <v>23</v>
      </c>
      <c r="T373" s="6">
        <v>0</v>
      </c>
      <c r="U373" s="6">
        <v>0</v>
      </c>
      <c r="V373" s="6">
        <f>IF(ISERROR(VLOOKUP($S$373,'TAR FIN'!$A$1:$O$100,15,0)),0,VLOOKUP($S$373,'TAR FIN'!$A$1:$O$100,15,0))</f>
        <v>18.48</v>
      </c>
      <c r="W373" s="6">
        <f>IF(ISERROR(VLOOKUP($T$373,'TAR FIN'!$A$1:$O$100,15,0)),0,VLOOKUP($T$373,'TAR FIN'!$A$1:$O$100,15,0))</f>
        <v>0</v>
      </c>
      <c r="X373" s="6">
        <f>IF(ISERROR(VLOOKUP($U$373,'TAR FIN'!$A$1:$O$100,15,0)),0,VLOOKUP($U$373,'TAR FIN'!$A$1:$O$100,15,0))</f>
        <v>0</v>
      </c>
      <c r="Y373" s="6">
        <f ca="1">('TUSD BE'!$AM$20+'TUSD BF'!$AM$20+'TUSD CVA'!$AM$20)*1</f>
        <v>17.856842567448453</v>
      </c>
      <c r="Z373" s="6"/>
      <c r="AA373" s="6"/>
      <c r="AB373" s="6">
        <f>$K$373*$V$373</f>
        <v>1127.28</v>
      </c>
      <c r="AC373" s="6">
        <f>$M$373*$W$373</f>
        <v>0</v>
      </c>
      <c r="AD373" s="6">
        <f>$O$373*$X$373</f>
        <v>0</v>
      </c>
      <c r="AE373" s="6">
        <f ca="1">$K$373*$Y$373</f>
        <v>1089.2673966143557</v>
      </c>
      <c r="AF373" s="6">
        <f>$M$373*$Z$373</f>
        <v>0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39</v>
      </c>
      <c r="C374" s="4" t="s">
        <v>41</v>
      </c>
      <c r="D374" s="4" t="s">
        <v>51</v>
      </c>
      <c r="E374" s="4" t="s">
        <v>25</v>
      </c>
      <c r="F374" s="4" t="s">
        <v>25</v>
      </c>
      <c r="G374" s="4" t="s">
        <v>25</v>
      </c>
      <c r="H374" s="4" t="s">
        <v>25</v>
      </c>
      <c r="I374" s="5">
        <v>44317</v>
      </c>
      <c r="J374" s="6">
        <v>61</v>
      </c>
      <c r="K374" s="6">
        <v>61</v>
      </c>
      <c r="L374" s="6">
        <v>0</v>
      </c>
      <c r="M374" s="6">
        <v>0</v>
      </c>
      <c r="N374" s="6">
        <v>0</v>
      </c>
      <c r="O374" s="6">
        <v>0</v>
      </c>
      <c r="P374" s="6">
        <v>1</v>
      </c>
      <c r="Q374" s="4" t="s">
        <v>26</v>
      </c>
      <c r="R374" s="4">
        <v>0</v>
      </c>
      <c r="S374" s="6">
        <v>23</v>
      </c>
      <c r="T374" s="6">
        <v>0</v>
      </c>
      <c r="U374" s="6">
        <v>0</v>
      </c>
      <c r="V374" s="6">
        <f>IF(ISERROR(VLOOKUP($S$374,'TAR FIN'!$A$1:$O$100,15,0)),0,VLOOKUP($S$374,'TAR FIN'!$A$1:$O$100,15,0))</f>
        <v>18.48</v>
      </c>
      <c r="W374" s="6">
        <f>IF(ISERROR(VLOOKUP($T$374,'TAR FIN'!$A$1:$O$100,15,0)),0,VLOOKUP($T$374,'TAR FIN'!$A$1:$O$100,15,0))</f>
        <v>0</v>
      </c>
      <c r="X374" s="6">
        <f>IF(ISERROR(VLOOKUP($U$374,'TAR FIN'!$A$1:$O$100,15,0)),0,VLOOKUP($U$374,'TAR FIN'!$A$1:$O$100,15,0))</f>
        <v>0</v>
      </c>
      <c r="Y374" s="6">
        <f ca="1">('TUSD BE'!$AM$20+'TUSD BF'!$AM$20+'TUSD CVA'!$AM$20)*1</f>
        <v>17.856842567448453</v>
      </c>
      <c r="Z374" s="6"/>
      <c r="AA374" s="6"/>
      <c r="AB374" s="6">
        <f>$K$374*$V$374</f>
        <v>1127.28</v>
      </c>
      <c r="AC374" s="6">
        <f>$M$374*$W$374</f>
        <v>0</v>
      </c>
      <c r="AD374" s="6">
        <f>$O$374*$X$374</f>
        <v>0</v>
      </c>
      <c r="AE374" s="6">
        <f ca="1">$K$374*$Y$374</f>
        <v>1089.2673966143557</v>
      </c>
      <c r="AF374" s="6">
        <f>$M$374*$Z$374</f>
        <v>0</v>
      </c>
      <c r="AG374" s="6">
        <f>$O$374*$AA$374</f>
        <v>0</v>
      </c>
    </row>
    <row r="375" spans="1:33" ht="11.25" customHeight="1" x14ac:dyDescent="0.25">
      <c r="A375" s="4" t="s">
        <v>21</v>
      </c>
      <c r="B375" s="4" t="s">
        <v>39</v>
      </c>
      <c r="C375" s="4" t="s">
        <v>41</v>
      </c>
      <c r="D375" s="4" t="s">
        <v>51</v>
      </c>
      <c r="E375" s="4" t="s">
        <v>25</v>
      </c>
      <c r="F375" s="4" t="s">
        <v>25</v>
      </c>
      <c r="G375" s="4" t="s">
        <v>25</v>
      </c>
      <c r="H375" s="4" t="s">
        <v>25</v>
      </c>
      <c r="I375" s="5">
        <v>44348</v>
      </c>
      <c r="J375" s="6">
        <v>61</v>
      </c>
      <c r="K375" s="6">
        <v>61</v>
      </c>
      <c r="L375" s="6">
        <v>0</v>
      </c>
      <c r="M375" s="6">
        <v>0</v>
      </c>
      <c r="N375" s="6">
        <v>0</v>
      </c>
      <c r="O375" s="6">
        <v>0</v>
      </c>
      <c r="P375" s="6">
        <v>1</v>
      </c>
      <c r="Q375" s="4" t="s">
        <v>26</v>
      </c>
      <c r="R375" s="4">
        <v>0</v>
      </c>
      <c r="S375" s="6">
        <v>23</v>
      </c>
      <c r="T375" s="6">
        <v>0</v>
      </c>
      <c r="U375" s="6">
        <v>0</v>
      </c>
      <c r="V375" s="6">
        <f>IF(ISERROR(VLOOKUP($S$375,'TAR FIN'!$A$1:$O$100,15,0)),0,VLOOKUP($S$375,'TAR FIN'!$A$1:$O$100,15,0))</f>
        <v>18.48</v>
      </c>
      <c r="W375" s="6">
        <f>IF(ISERROR(VLOOKUP($T$375,'TAR FIN'!$A$1:$O$100,15,0)),0,VLOOKUP($T$375,'TAR FIN'!$A$1:$O$100,15,0))</f>
        <v>0</v>
      </c>
      <c r="X375" s="6">
        <f>IF(ISERROR(VLOOKUP($U$375,'TAR FIN'!$A$1:$O$100,15,0)),0,VLOOKUP($U$375,'TAR FIN'!$A$1:$O$100,15,0))</f>
        <v>0</v>
      </c>
      <c r="Y375" s="6">
        <f ca="1">('TUSD BE'!$AM$20+'TUSD BF'!$AM$20+'TUSD CVA'!$AM$20)*1</f>
        <v>17.856842567448453</v>
      </c>
      <c r="Z375" s="6"/>
      <c r="AA375" s="6"/>
      <c r="AB375" s="6">
        <f>$K$375*$V$375</f>
        <v>1127.28</v>
      </c>
      <c r="AC375" s="6">
        <f>$M$375*$W$375</f>
        <v>0</v>
      </c>
      <c r="AD375" s="6">
        <f>$O$375*$X$375</f>
        <v>0</v>
      </c>
      <c r="AE375" s="6">
        <f ca="1">$K$375*$Y$375</f>
        <v>1089.2673966143557</v>
      </c>
      <c r="AF375" s="6">
        <f>$M$375*$Z$375</f>
        <v>0</v>
      </c>
      <c r="AG375" s="6">
        <f>$O$375*$AA$375</f>
        <v>0</v>
      </c>
    </row>
    <row r="376" spans="1:33" ht="11.25" customHeight="1" x14ac:dyDescent="0.25">
      <c r="A376" s="4" t="s">
        <v>21</v>
      </c>
      <c r="B376" s="4" t="s">
        <v>39</v>
      </c>
      <c r="C376" s="4" t="s">
        <v>41</v>
      </c>
      <c r="D376" s="4" t="s">
        <v>51</v>
      </c>
      <c r="E376" s="4" t="s">
        <v>25</v>
      </c>
      <c r="F376" s="4" t="s">
        <v>25</v>
      </c>
      <c r="G376" s="4" t="s">
        <v>25</v>
      </c>
      <c r="H376" s="4" t="s">
        <v>25</v>
      </c>
      <c r="I376" s="5">
        <v>44378</v>
      </c>
      <c r="J376" s="6">
        <v>61</v>
      </c>
      <c r="K376" s="6">
        <v>61</v>
      </c>
      <c r="L376" s="6">
        <v>0</v>
      </c>
      <c r="M376" s="6">
        <v>0</v>
      </c>
      <c r="N376" s="6">
        <v>0</v>
      </c>
      <c r="O376" s="6">
        <v>0</v>
      </c>
      <c r="P376" s="6">
        <v>1</v>
      </c>
      <c r="Q376" s="4" t="s">
        <v>26</v>
      </c>
      <c r="R376" s="4">
        <v>0</v>
      </c>
      <c r="S376" s="6">
        <v>23</v>
      </c>
      <c r="T376" s="6">
        <v>0</v>
      </c>
      <c r="U376" s="6">
        <v>0</v>
      </c>
      <c r="V376" s="6">
        <f>IF(ISERROR(VLOOKUP($S$376,'TAR FIN'!$A$1:$O$100,15,0)),0,VLOOKUP($S$376,'TAR FIN'!$A$1:$O$100,15,0))</f>
        <v>18.48</v>
      </c>
      <c r="W376" s="6">
        <f>IF(ISERROR(VLOOKUP($T$376,'TAR FIN'!$A$1:$O$100,15,0)),0,VLOOKUP($T$376,'TAR FIN'!$A$1:$O$100,15,0))</f>
        <v>0</v>
      </c>
      <c r="X376" s="6">
        <f>IF(ISERROR(VLOOKUP($U$376,'TAR FIN'!$A$1:$O$100,15,0)),0,VLOOKUP($U$376,'TAR FIN'!$A$1:$O$100,15,0))</f>
        <v>0</v>
      </c>
      <c r="Y376" s="6">
        <f ca="1">('TUSD BE'!$AM$20+'TUSD BF'!$AM$20+'TUSD CVA'!$AM$20)*1</f>
        <v>17.856842567448453</v>
      </c>
      <c r="Z376" s="6"/>
      <c r="AA376" s="6"/>
      <c r="AB376" s="6">
        <f>$K$376*$V$376</f>
        <v>1127.28</v>
      </c>
      <c r="AC376" s="6">
        <f>$M$376*$W$376</f>
        <v>0</v>
      </c>
      <c r="AD376" s="6">
        <f>$O$376*$X$376</f>
        <v>0</v>
      </c>
      <c r="AE376" s="6">
        <f ca="1">$K$376*$Y$376</f>
        <v>1089.2673966143557</v>
      </c>
      <c r="AF376" s="6">
        <f>$M$376*$Z$376</f>
        <v>0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39</v>
      </c>
      <c r="C377" s="4" t="s">
        <v>41</v>
      </c>
      <c r="D377" s="4" t="s">
        <v>51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44409</v>
      </c>
      <c r="J377" s="6">
        <v>62</v>
      </c>
      <c r="K377" s="6">
        <v>62</v>
      </c>
      <c r="L377" s="6">
        <v>0</v>
      </c>
      <c r="M377" s="6">
        <v>0</v>
      </c>
      <c r="N377" s="6">
        <v>0</v>
      </c>
      <c r="O377" s="6">
        <v>0</v>
      </c>
      <c r="P377" s="6">
        <v>1</v>
      </c>
      <c r="Q377" s="4" t="s">
        <v>26</v>
      </c>
      <c r="R377" s="4">
        <v>0</v>
      </c>
      <c r="S377" s="6">
        <v>23</v>
      </c>
      <c r="T377" s="6">
        <v>0</v>
      </c>
      <c r="U377" s="6">
        <v>0</v>
      </c>
      <c r="V377" s="6">
        <f>IF(ISERROR(VLOOKUP($S$377,'TAR FIN'!$A$1:$O$100,15,0)),0,VLOOKUP($S$377,'TAR FIN'!$A$1:$O$100,15,0))</f>
        <v>18.48</v>
      </c>
      <c r="W377" s="6">
        <f>IF(ISERROR(VLOOKUP($T$377,'TAR FIN'!$A$1:$O$100,15,0)),0,VLOOKUP($T$377,'TAR FIN'!$A$1:$O$100,15,0))</f>
        <v>0</v>
      </c>
      <c r="X377" s="6">
        <f>IF(ISERROR(VLOOKUP($U$377,'TAR FIN'!$A$1:$O$100,15,0)),0,VLOOKUP($U$377,'TAR FIN'!$A$1:$O$100,15,0))</f>
        <v>0</v>
      </c>
      <c r="Y377" s="6">
        <f ca="1">('TUSD BE'!$AM$20+'TUSD BF'!$AM$20+'TUSD CVA'!$AM$20)*1</f>
        <v>17.856842567448453</v>
      </c>
      <c r="Z377" s="6"/>
      <c r="AA377" s="6"/>
      <c r="AB377" s="6">
        <f>$K$377*$V$377</f>
        <v>1145.76</v>
      </c>
      <c r="AC377" s="6">
        <f>$M$377*$W$377</f>
        <v>0</v>
      </c>
      <c r="AD377" s="6">
        <f>$O$377*$X$377</f>
        <v>0</v>
      </c>
      <c r="AE377" s="6">
        <f ca="1">$K$377*$Y$377</f>
        <v>1107.1242391818041</v>
      </c>
      <c r="AF377" s="6">
        <f>$M$377*$Z$377</f>
        <v>0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39</v>
      </c>
      <c r="C378" s="4" t="s">
        <v>41</v>
      </c>
      <c r="D378" s="4" t="s">
        <v>51</v>
      </c>
      <c r="E378" s="4" t="s">
        <v>25</v>
      </c>
      <c r="F378" s="4" t="s">
        <v>25</v>
      </c>
      <c r="G378" s="4" t="s">
        <v>25</v>
      </c>
      <c r="H378" s="4" t="s">
        <v>25</v>
      </c>
      <c r="I378" s="5">
        <v>44440</v>
      </c>
      <c r="J378" s="6">
        <v>61</v>
      </c>
      <c r="K378" s="6">
        <v>61</v>
      </c>
      <c r="L378" s="6">
        <v>0</v>
      </c>
      <c r="M378" s="6">
        <v>0</v>
      </c>
      <c r="N378" s="6">
        <v>0</v>
      </c>
      <c r="O378" s="6">
        <v>0</v>
      </c>
      <c r="P378" s="6">
        <v>1</v>
      </c>
      <c r="Q378" s="4" t="s">
        <v>26</v>
      </c>
      <c r="R378" s="4">
        <v>0</v>
      </c>
      <c r="S378" s="6">
        <v>23</v>
      </c>
      <c r="T378" s="6">
        <v>0</v>
      </c>
      <c r="U378" s="6">
        <v>0</v>
      </c>
      <c r="V378" s="6">
        <f>IF(ISERROR(VLOOKUP($S$378,'TAR FIN'!$A$1:$O$100,15,0)),0,VLOOKUP($S$378,'TAR FIN'!$A$1:$O$100,15,0))</f>
        <v>18.48</v>
      </c>
      <c r="W378" s="6">
        <f>IF(ISERROR(VLOOKUP($T$378,'TAR FIN'!$A$1:$O$100,15,0)),0,VLOOKUP($T$378,'TAR FIN'!$A$1:$O$100,15,0))</f>
        <v>0</v>
      </c>
      <c r="X378" s="6">
        <f>IF(ISERROR(VLOOKUP($U$378,'TAR FIN'!$A$1:$O$100,15,0)),0,VLOOKUP($U$378,'TAR FIN'!$A$1:$O$100,15,0))</f>
        <v>0</v>
      </c>
      <c r="Y378" s="6">
        <f ca="1">('TUSD BE'!$AM$20+'TUSD BF'!$AM$20+'TUSD CVA'!$AM$20)*1</f>
        <v>17.856842567448453</v>
      </c>
      <c r="Z378" s="6"/>
      <c r="AA378" s="6"/>
      <c r="AB378" s="6">
        <f>$K$378*$V$378</f>
        <v>1127.28</v>
      </c>
      <c r="AC378" s="6">
        <f>$M$378*$W$378</f>
        <v>0</v>
      </c>
      <c r="AD378" s="6">
        <f>$O$378*$X$378</f>
        <v>0</v>
      </c>
      <c r="AE378" s="6">
        <f ca="1">$K$378*$Y$378</f>
        <v>1089.2673966143557</v>
      </c>
      <c r="AF378" s="6">
        <f>$M$378*$Z$378</f>
        <v>0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39</v>
      </c>
      <c r="C379" s="4" t="s">
        <v>41</v>
      </c>
      <c r="D379" s="4" t="s">
        <v>51</v>
      </c>
      <c r="E379" s="4" t="s">
        <v>25</v>
      </c>
      <c r="F379" s="4" t="s">
        <v>25</v>
      </c>
      <c r="G379" s="4" t="s">
        <v>25</v>
      </c>
      <c r="H379" s="4" t="s">
        <v>25</v>
      </c>
      <c r="I379" s="5">
        <v>44470</v>
      </c>
      <c r="J379" s="6">
        <v>61</v>
      </c>
      <c r="K379" s="6">
        <v>61</v>
      </c>
      <c r="L379" s="6">
        <v>0</v>
      </c>
      <c r="M379" s="6">
        <v>0</v>
      </c>
      <c r="N379" s="6">
        <v>0</v>
      </c>
      <c r="O379" s="6">
        <v>0</v>
      </c>
      <c r="P379" s="6">
        <v>1</v>
      </c>
      <c r="Q379" s="4" t="s">
        <v>26</v>
      </c>
      <c r="R379" s="4">
        <v>0</v>
      </c>
      <c r="S379" s="6">
        <v>23</v>
      </c>
      <c r="T379" s="6">
        <v>0</v>
      </c>
      <c r="U379" s="6">
        <v>0</v>
      </c>
      <c r="V379" s="6">
        <f>IF(ISERROR(VLOOKUP($S$379,'TAR FIN'!$A$1:$O$100,15,0)),0,VLOOKUP($S$379,'TAR FIN'!$A$1:$O$100,15,0))</f>
        <v>18.48</v>
      </c>
      <c r="W379" s="6">
        <f>IF(ISERROR(VLOOKUP($T$379,'TAR FIN'!$A$1:$O$100,15,0)),0,VLOOKUP($T$379,'TAR FIN'!$A$1:$O$100,15,0))</f>
        <v>0</v>
      </c>
      <c r="X379" s="6">
        <f>IF(ISERROR(VLOOKUP($U$379,'TAR FIN'!$A$1:$O$100,15,0)),0,VLOOKUP($U$379,'TAR FIN'!$A$1:$O$100,15,0))</f>
        <v>0</v>
      </c>
      <c r="Y379" s="6">
        <f ca="1">('TUSD BE'!$AM$20+'TUSD BF'!$AM$20+'TUSD CVA'!$AM$20)*1</f>
        <v>17.856842567448453</v>
      </c>
      <c r="Z379" s="6"/>
      <c r="AA379" s="6"/>
      <c r="AB379" s="6">
        <f>$K$379*$V$379</f>
        <v>1127.28</v>
      </c>
      <c r="AC379" s="6">
        <f>$M$379*$W$379</f>
        <v>0</v>
      </c>
      <c r="AD379" s="6">
        <f>$O$379*$X$379</f>
        <v>0</v>
      </c>
      <c r="AE379" s="6">
        <f ca="1">$K$379*$Y$379</f>
        <v>1089.2673966143557</v>
      </c>
      <c r="AF379" s="6">
        <f>$M$379*$Z$379</f>
        <v>0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39</v>
      </c>
      <c r="C380" s="4" t="s">
        <v>41</v>
      </c>
      <c r="D380" s="4" t="s">
        <v>51</v>
      </c>
      <c r="E380" s="4" t="s">
        <v>25</v>
      </c>
      <c r="F380" s="4" t="s">
        <v>25</v>
      </c>
      <c r="G380" s="4" t="s">
        <v>25</v>
      </c>
      <c r="H380" s="4" t="s">
        <v>25</v>
      </c>
      <c r="I380" s="5">
        <v>44501</v>
      </c>
      <c r="J380" s="6">
        <v>61</v>
      </c>
      <c r="K380" s="6">
        <v>61</v>
      </c>
      <c r="L380" s="6">
        <v>0</v>
      </c>
      <c r="M380" s="6">
        <v>0</v>
      </c>
      <c r="N380" s="6">
        <v>0</v>
      </c>
      <c r="O380" s="6">
        <v>0</v>
      </c>
      <c r="P380" s="6">
        <v>1</v>
      </c>
      <c r="Q380" s="4" t="s">
        <v>26</v>
      </c>
      <c r="R380" s="4">
        <v>0</v>
      </c>
      <c r="S380" s="6">
        <v>23</v>
      </c>
      <c r="T380" s="6">
        <v>0</v>
      </c>
      <c r="U380" s="6">
        <v>0</v>
      </c>
      <c r="V380" s="6">
        <f>IF(ISERROR(VLOOKUP($S$380,'TAR FIN'!$A$1:$O$100,15,0)),0,VLOOKUP($S$380,'TAR FIN'!$A$1:$O$100,15,0))</f>
        <v>18.48</v>
      </c>
      <c r="W380" s="6">
        <f>IF(ISERROR(VLOOKUP($T$380,'TAR FIN'!$A$1:$O$100,15,0)),0,VLOOKUP($T$380,'TAR FIN'!$A$1:$O$100,15,0))</f>
        <v>0</v>
      </c>
      <c r="X380" s="6">
        <f>IF(ISERROR(VLOOKUP($U$380,'TAR FIN'!$A$1:$O$100,15,0)),0,VLOOKUP($U$380,'TAR FIN'!$A$1:$O$100,15,0))</f>
        <v>0</v>
      </c>
      <c r="Y380" s="6">
        <f ca="1">('TUSD BE'!$AM$20+'TUSD BF'!$AM$20+'TUSD CVA'!$AM$20)*1</f>
        <v>17.856842567448453</v>
      </c>
      <c r="Z380" s="6"/>
      <c r="AA380" s="6"/>
      <c r="AB380" s="6">
        <f>$K$380*$V$380</f>
        <v>1127.28</v>
      </c>
      <c r="AC380" s="6">
        <f>$M$380*$W$380</f>
        <v>0</v>
      </c>
      <c r="AD380" s="6">
        <f>$O$380*$X$380</f>
        <v>0</v>
      </c>
      <c r="AE380" s="6">
        <f ca="1">$K$380*$Y$380</f>
        <v>1089.2673966143557</v>
      </c>
      <c r="AF380" s="6">
        <f>$M$380*$Z$380</f>
        <v>0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39</v>
      </c>
      <c r="C381" s="4" t="s">
        <v>41</v>
      </c>
      <c r="D381" s="4" t="s">
        <v>51</v>
      </c>
      <c r="E381" s="4" t="s">
        <v>25</v>
      </c>
      <c r="F381" s="4" t="s">
        <v>25</v>
      </c>
      <c r="G381" s="4" t="s">
        <v>25</v>
      </c>
      <c r="H381" s="4" t="s">
        <v>25</v>
      </c>
      <c r="I381" s="5">
        <v>44531</v>
      </c>
      <c r="J381" s="6">
        <v>61</v>
      </c>
      <c r="K381" s="6">
        <v>61</v>
      </c>
      <c r="L381" s="6">
        <v>0</v>
      </c>
      <c r="M381" s="6">
        <v>0</v>
      </c>
      <c r="N381" s="6">
        <v>0</v>
      </c>
      <c r="O381" s="6">
        <v>0</v>
      </c>
      <c r="P381" s="6">
        <v>1</v>
      </c>
      <c r="Q381" s="4" t="s">
        <v>26</v>
      </c>
      <c r="R381" s="4">
        <v>0</v>
      </c>
      <c r="S381" s="6">
        <v>23</v>
      </c>
      <c r="T381" s="6">
        <v>0</v>
      </c>
      <c r="U381" s="6">
        <v>0</v>
      </c>
      <c r="V381" s="6">
        <f>IF(ISERROR(VLOOKUP($S$381,'TAR FIN'!$A$1:$O$100,15,0)),0,VLOOKUP($S$381,'TAR FIN'!$A$1:$O$100,15,0))</f>
        <v>18.48</v>
      </c>
      <c r="W381" s="6">
        <f>IF(ISERROR(VLOOKUP($T$381,'TAR FIN'!$A$1:$O$100,15,0)),0,VLOOKUP($T$381,'TAR FIN'!$A$1:$O$100,15,0))</f>
        <v>0</v>
      </c>
      <c r="X381" s="6">
        <f>IF(ISERROR(VLOOKUP($U$381,'TAR FIN'!$A$1:$O$100,15,0)),0,VLOOKUP($U$381,'TAR FIN'!$A$1:$O$100,15,0))</f>
        <v>0</v>
      </c>
      <c r="Y381" s="6">
        <f ca="1">('TUSD BE'!$AM$20+'TUSD BF'!$AM$20+'TUSD CVA'!$AM$20)*1</f>
        <v>17.856842567448453</v>
      </c>
      <c r="Z381" s="6"/>
      <c r="AA381" s="6"/>
      <c r="AB381" s="6">
        <f>$K$381*$V$381</f>
        <v>1127.28</v>
      </c>
      <c r="AC381" s="6">
        <f>$M$381*$W$381</f>
        <v>0</v>
      </c>
      <c r="AD381" s="6">
        <f>$O$381*$X$381</f>
        <v>0</v>
      </c>
      <c r="AE381" s="6">
        <f ca="1">$K$381*$Y$381</f>
        <v>1089.2673966143557</v>
      </c>
      <c r="AF381" s="6">
        <f>$M$381*$Z$381</f>
        <v>0</v>
      </c>
      <c r="AG381" s="6">
        <f>$O$381*$AA$381</f>
        <v>0</v>
      </c>
    </row>
    <row r="382" spans="1:33" ht="11.25" customHeight="1" x14ac:dyDescent="0.25">
      <c r="A382" s="4" t="s">
        <v>55</v>
      </c>
      <c r="B382" s="4" t="s">
        <v>39</v>
      </c>
      <c r="C382" s="4" t="s">
        <v>41</v>
      </c>
      <c r="D382" s="4" t="s">
        <v>51</v>
      </c>
      <c r="E382" s="4" t="s">
        <v>25</v>
      </c>
      <c r="F382" s="4" t="s">
        <v>25</v>
      </c>
      <c r="G382" s="4" t="s">
        <v>25</v>
      </c>
      <c r="H382" s="4" t="s">
        <v>25</v>
      </c>
      <c r="I382" s="5">
        <v>44562</v>
      </c>
      <c r="J382" s="6">
        <v>61</v>
      </c>
      <c r="K382" s="6">
        <v>61</v>
      </c>
      <c r="L382" s="6">
        <v>0</v>
      </c>
      <c r="M382" s="6">
        <v>0</v>
      </c>
      <c r="N382" s="6">
        <v>0</v>
      </c>
      <c r="O382" s="6">
        <v>0</v>
      </c>
      <c r="P382" s="6">
        <v>1</v>
      </c>
      <c r="Q382" s="4" t="s">
        <v>26</v>
      </c>
      <c r="R382" s="4">
        <v>0</v>
      </c>
      <c r="S382" s="6">
        <v>23</v>
      </c>
      <c r="T382" s="6">
        <v>0</v>
      </c>
      <c r="U382" s="6">
        <v>0</v>
      </c>
      <c r="V382" s="6">
        <f>IF(ISERROR(VLOOKUP($S$382,'TAR FIN'!$A$1:$O$100,15,0)),0,VLOOKUP($S$382,'TAR FIN'!$A$1:$O$100,15,0))</f>
        <v>18.48</v>
      </c>
      <c r="W382" s="6">
        <f>IF(ISERROR(VLOOKUP($T$382,'TAR FIN'!$A$1:$O$100,15,0)),0,VLOOKUP($T$382,'TAR FIN'!$A$1:$O$100,15,0))</f>
        <v>0</v>
      </c>
      <c r="X382" s="6">
        <f>IF(ISERROR(VLOOKUP($U$382,'TAR FIN'!$A$1:$O$100,15,0)),0,VLOOKUP($U$382,'TAR FIN'!$A$1:$O$100,15,0))</f>
        <v>0</v>
      </c>
      <c r="Y382" s="6">
        <f ca="1">('TUSD BE'!$AM$20+'TUSD BF'!$AM$20+'TUSD CVA'!$AM$20)*1</f>
        <v>17.856842567448453</v>
      </c>
      <c r="Z382" s="6"/>
      <c r="AA382" s="6"/>
      <c r="AB382" s="6">
        <f>$K$382*$V$382</f>
        <v>1127.28</v>
      </c>
      <c r="AC382" s="6">
        <f>$M$382*$W$382</f>
        <v>0</v>
      </c>
      <c r="AD382" s="6">
        <f>$O$382*$X$382</f>
        <v>0</v>
      </c>
      <c r="AE382" s="6">
        <f ca="1">$K$382*$Y$382</f>
        <v>1089.2673966143557</v>
      </c>
      <c r="AF382" s="6">
        <f>$M$382*$Z$382</f>
        <v>0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39</v>
      </c>
      <c r="C383" s="4" t="s">
        <v>41</v>
      </c>
      <c r="D383" s="4" t="s">
        <v>51</v>
      </c>
      <c r="E383" s="4" t="s">
        <v>25</v>
      </c>
      <c r="F383" s="4" t="s">
        <v>25</v>
      </c>
      <c r="G383" s="4" t="s">
        <v>25</v>
      </c>
      <c r="H383" s="4" t="s">
        <v>34</v>
      </c>
      <c r="I383" s="5">
        <v>44228</v>
      </c>
      <c r="J383" s="6">
        <v>0</v>
      </c>
      <c r="K383" s="6">
        <v>0</v>
      </c>
      <c r="L383" s="6">
        <v>1.589</v>
      </c>
      <c r="M383" s="6">
        <v>1.589</v>
      </c>
      <c r="N383" s="6">
        <v>1.589</v>
      </c>
      <c r="O383" s="6">
        <v>1.589</v>
      </c>
      <c r="P383" s="6">
        <v>0</v>
      </c>
      <c r="Q383" s="4" t="s">
        <v>26</v>
      </c>
      <c r="R383" s="4">
        <v>0</v>
      </c>
      <c r="S383" s="6">
        <v>0</v>
      </c>
      <c r="T383" s="6">
        <v>24</v>
      </c>
      <c r="U383" s="6">
        <v>67</v>
      </c>
      <c r="V383" s="6">
        <f>IF(ISERROR(VLOOKUP($S$383,'TAR FIN'!$A$1:$O$100,15,0)),0,VLOOKUP($S$383,'TAR FIN'!$A$1:$O$100,15,0))</f>
        <v>0</v>
      </c>
      <c r="W383" s="6">
        <f>IF(ISERROR(VLOOKUP($T$383,'TAR FIN'!$A$1:$O$100,15,0)),0,VLOOKUP($T$383,'TAR FIN'!$A$1:$O$100,15,0))</f>
        <v>943.81</v>
      </c>
      <c r="X383" s="6">
        <f>IF(ISERROR(VLOOKUP($U$383,'TAR FIN'!$A$1:$O$100,15,0)),0,VLOOKUP($U$383,'TAR FIN'!$A$1:$O$100,15,0))</f>
        <v>366.6</v>
      </c>
      <c r="Y383" s="6"/>
      <c r="Z383" s="6">
        <f ca="1">('TUSD BE'!$AM$21+'TUSD BF'!$AM$21+'TUSD CVA'!$AM$21)*1</f>
        <v>928.87102242938545</v>
      </c>
      <c r="AA383" s="6">
        <f>('TE BE'!$AA$7+'TE BF'!$AA$7+'TE CVA'!$AA$7)*1</f>
        <v>385.46556634281501</v>
      </c>
      <c r="AB383" s="6">
        <f>$K$383*$V$383</f>
        <v>0</v>
      </c>
      <c r="AC383" s="6">
        <f>$M$383*$W$383</f>
        <v>1499.7140899999999</v>
      </c>
      <c r="AD383" s="6">
        <f>$O$383*$X$383</f>
        <v>582.52740000000006</v>
      </c>
      <c r="AE383" s="6">
        <f>$K$383*$Y$383</f>
        <v>0</v>
      </c>
      <c r="AF383" s="6">
        <f ca="1">$M$383*$Z$383</f>
        <v>1475.9760546402933</v>
      </c>
      <c r="AG383" s="6">
        <f>$O$383*$AA$383</f>
        <v>612.50478491873309</v>
      </c>
    </row>
    <row r="384" spans="1:33" ht="11.25" customHeight="1" x14ac:dyDescent="0.25">
      <c r="A384" s="4" t="s">
        <v>21</v>
      </c>
      <c r="B384" s="4" t="s">
        <v>39</v>
      </c>
      <c r="C384" s="4" t="s">
        <v>41</v>
      </c>
      <c r="D384" s="4" t="s">
        <v>51</v>
      </c>
      <c r="E384" s="4" t="s">
        <v>25</v>
      </c>
      <c r="F384" s="4" t="s">
        <v>25</v>
      </c>
      <c r="G384" s="4" t="s">
        <v>25</v>
      </c>
      <c r="H384" s="4" t="s">
        <v>34</v>
      </c>
      <c r="I384" s="5">
        <v>44256</v>
      </c>
      <c r="J384" s="6">
        <v>0</v>
      </c>
      <c r="K384" s="6">
        <v>0</v>
      </c>
      <c r="L384" s="6">
        <v>1.589</v>
      </c>
      <c r="M384" s="6">
        <v>1.589</v>
      </c>
      <c r="N384" s="6">
        <v>1.589</v>
      </c>
      <c r="O384" s="6">
        <v>1.589</v>
      </c>
      <c r="P384" s="6">
        <v>0</v>
      </c>
      <c r="Q384" s="4" t="s">
        <v>26</v>
      </c>
      <c r="R384" s="4">
        <v>0</v>
      </c>
      <c r="S384" s="6">
        <v>0</v>
      </c>
      <c r="T384" s="6">
        <v>24</v>
      </c>
      <c r="U384" s="6">
        <v>67</v>
      </c>
      <c r="V384" s="6">
        <f>IF(ISERROR(VLOOKUP($S$384,'TAR FIN'!$A$1:$O$100,15,0)),0,VLOOKUP($S$384,'TAR FIN'!$A$1:$O$100,15,0))</f>
        <v>0</v>
      </c>
      <c r="W384" s="6">
        <f>IF(ISERROR(VLOOKUP($T$384,'TAR FIN'!$A$1:$O$100,15,0)),0,VLOOKUP($T$384,'TAR FIN'!$A$1:$O$100,15,0))</f>
        <v>943.81</v>
      </c>
      <c r="X384" s="6">
        <f>IF(ISERROR(VLOOKUP($U$384,'TAR FIN'!$A$1:$O$100,15,0)),0,VLOOKUP($U$384,'TAR FIN'!$A$1:$O$100,15,0))</f>
        <v>366.6</v>
      </c>
      <c r="Y384" s="6"/>
      <c r="Z384" s="6">
        <f ca="1">('TUSD BE'!$AM$21+'TUSD BF'!$AM$21+'TUSD CVA'!$AM$21)*1</f>
        <v>928.87102242938545</v>
      </c>
      <c r="AA384" s="6">
        <f>('TE BE'!$AA$7+'TE BF'!$AA$7+'TE CVA'!$AA$7)*1</f>
        <v>385.46556634281501</v>
      </c>
      <c r="AB384" s="6">
        <f>$K$384*$V$384</f>
        <v>0</v>
      </c>
      <c r="AC384" s="6">
        <f>$M$384*$W$384</f>
        <v>1499.7140899999999</v>
      </c>
      <c r="AD384" s="6">
        <f>$O$384*$X$384</f>
        <v>582.52740000000006</v>
      </c>
      <c r="AE384" s="6">
        <f>$K$384*$Y$384</f>
        <v>0</v>
      </c>
      <c r="AF384" s="6">
        <f ca="1">$M$384*$Z$384</f>
        <v>1475.9760546402933</v>
      </c>
      <c r="AG384" s="6">
        <f>$O$384*$AA$384</f>
        <v>612.50478491873309</v>
      </c>
    </row>
    <row r="385" spans="1:33" ht="11.25" customHeight="1" x14ac:dyDescent="0.25">
      <c r="A385" s="4" t="s">
        <v>21</v>
      </c>
      <c r="B385" s="4" t="s">
        <v>39</v>
      </c>
      <c r="C385" s="4" t="s">
        <v>41</v>
      </c>
      <c r="D385" s="4" t="s">
        <v>51</v>
      </c>
      <c r="E385" s="4" t="s">
        <v>25</v>
      </c>
      <c r="F385" s="4" t="s">
        <v>25</v>
      </c>
      <c r="G385" s="4" t="s">
        <v>25</v>
      </c>
      <c r="H385" s="4" t="s">
        <v>34</v>
      </c>
      <c r="I385" s="5">
        <v>44287</v>
      </c>
      <c r="J385" s="6">
        <v>0</v>
      </c>
      <c r="K385" s="6">
        <v>0</v>
      </c>
      <c r="L385" s="6">
        <v>1.538</v>
      </c>
      <c r="M385" s="6">
        <v>1.538</v>
      </c>
      <c r="N385" s="6">
        <v>1.538</v>
      </c>
      <c r="O385" s="6">
        <v>1.538</v>
      </c>
      <c r="P385" s="6">
        <v>0</v>
      </c>
      <c r="Q385" s="4" t="s">
        <v>26</v>
      </c>
      <c r="R385" s="4">
        <v>0</v>
      </c>
      <c r="S385" s="6">
        <v>0</v>
      </c>
      <c r="T385" s="6">
        <v>24</v>
      </c>
      <c r="U385" s="6">
        <v>67</v>
      </c>
      <c r="V385" s="6">
        <f>IF(ISERROR(VLOOKUP($S$385,'TAR FIN'!$A$1:$O$100,15,0)),0,VLOOKUP($S$385,'TAR FIN'!$A$1:$O$100,15,0))</f>
        <v>0</v>
      </c>
      <c r="W385" s="6">
        <f>IF(ISERROR(VLOOKUP($T$385,'TAR FIN'!$A$1:$O$100,15,0)),0,VLOOKUP($T$385,'TAR FIN'!$A$1:$O$100,15,0))</f>
        <v>943.81</v>
      </c>
      <c r="X385" s="6">
        <f>IF(ISERROR(VLOOKUP($U$385,'TAR FIN'!$A$1:$O$100,15,0)),0,VLOOKUP($U$385,'TAR FIN'!$A$1:$O$100,15,0))</f>
        <v>366.6</v>
      </c>
      <c r="Y385" s="6"/>
      <c r="Z385" s="6">
        <f ca="1">('TUSD BE'!$AM$21+'TUSD BF'!$AM$21+'TUSD CVA'!$AM$21)*1</f>
        <v>928.87102242938545</v>
      </c>
      <c r="AA385" s="6">
        <f>('TE BE'!$AA$7+'TE BF'!$AA$7+'TE CVA'!$AA$7)*1</f>
        <v>385.46556634281501</v>
      </c>
      <c r="AB385" s="6">
        <f>$K$385*$V$385</f>
        <v>0</v>
      </c>
      <c r="AC385" s="6">
        <f>$M$385*$W$385</f>
        <v>1451.57978</v>
      </c>
      <c r="AD385" s="6">
        <f>$O$385*$X$385</f>
        <v>563.83080000000007</v>
      </c>
      <c r="AE385" s="6">
        <f>$K$385*$Y$385</f>
        <v>0</v>
      </c>
      <c r="AF385" s="6">
        <f ca="1">$M$385*$Z$385</f>
        <v>1428.6036324963948</v>
      </c>
      <c r="AG385" s="6">
        <f>$O$385*$AA$385</f>
        <v>592.84604103524953</v>
      </c>
    </row>
    <row r="386" spans="1:33" ht="11.25" customHeight="1" x14ac:dyDescent="0.25">
      <c r="A386" s="4" t="s">
        <v>21</v>
      </c>
      <c r="B386" s="4" t="s">
        <v>39</v>
      </c>
      <c r="C386" s="4" t="s">
        <v>41</v>
      </c>
      <c r="D386" s="4" t="s">
        <v>51</v>
      </c>
      <c r="E386" s="4" t="s">
        <v>25</v>
      </c>
      <c r="F386" s="4" t="s">
        <v>25</v>
      </c>
      <c r="G386" s="4" t="s">
        <v>25</v>
      </c>
      <c r="H386" s="4" t="s">
        <v>34</v>
      </c>
      <c r="I386" s="5">
        <v>44317</v>
      </c>
      <c r="J386" s="6">
        <v>0</v>
      </c>
      <c r="K386" s="6">
        <v>0</v>
      </c>
      <c r="L386" s="6">
        <v>1.7430000000000001</v>
      </c>
      <c r="M386" s="6">
        <v>1.7430000000000001</v>
      </c>
      <c r="N386" s="6">
        <v>1.7430000000000001</v>
      </c>
      <c r="O386" s="6">
        <v>1.7430000000000001</v>
      </c>
      <c r="P386" s="6">
        <v>0</v>
      </c>
      <c r="Q386" s="4" t="s">
        <v>26</v>
      </c>
      <c r="R386" s="4">
        <v>0</v>
      </c>
      <c r="S386" s="6">
        <v>0</v>
      </c>
      <c r="T386" s="6">
        <v>24</v>
      </c>
      <c r="U386" s="6">
        <v>67</v>
      </c>
      <c r="V386" s="6">
        <f>IF(ISERROR(VLOOKUP($S$386,'TAR FIN'!$A$1:$O$100,15,0)),0,VLOOKUP($S$386,'TAR FIN'!$A$1:$O$100,15,0))</f>
        <v>0</v>
      </c>
      <c r="W386" s="6">
        <f>IF(ISERROR(VLOOKUP($T$386,'TAR FIN'!$A$1:$O$100,15,0)),0,VLOOKUP($T$386,'TAR FIN'!$A$1:$O$100,15,0))</f>
        <v>943.81</v>
      </c>
      <c r="X386" s="6">
        <f>IF(ISERROR(VLOOKUP($U$386,'TAR FIN'!$A$1:$O$100,15,0)),0,VLOOKUP($U$386,'TAR FIN'!$A$1:$O$100,15,0))</f>
        <v>366.6</v>
      </c>
      <c r="Y386" s="6"/>
      <c r="Z386" s="6">
        <f ca="1">('TUSD BE'!$AM$21+'TUSD BF'!$AM$21+'TUSD CVA'!$AM$21)*1</f>
        <v>928.87102242938545</v>
      </c>
      <c r="AA386" s="6">
        <f>('TE BE'!$AA$7+'TE BF'!$AA$7+'TE CVA'!$AA$7)*1</f>
        <v>385.46556634281501</v>
      </c>
      <c r="AB386" s="6">
        <f>$K$386*$V$386</f>
        <v>0</v>
      </c>
      <c r="AC386" s="6">
        <f>$M$386*$W$386</f>
        <v>1645.0608299999999</v>
      </c>
      <c r="AD386" s="6">
        <f>$O$386*$X$386</f>
        <v>638.98380000000009</v>
      </c>
      <c r="AE386" s="6">
        <f>$K$386*$Y$386</f>
        <v>0</v>
      </c>
      <c r="AF386" s="6">
        <f ca="1">$M$386*$Z$386</f>
        <v>1619.0221920944189</v>
      </c>
      <c r="AG386" s="6">
        <f>$O$386*$AA$386</f>
        <v>671.86648213552655</v>
      </c>
    </row>
    <row r="387" spans="1:33" ht="11.25" customHeight="1" x14ac:dyDescent="0.25">
      <c r="A387" s="4" t="s">
        <v>21</v>
      </c>
      <c r="B387" s="4" t="s">
        <v>39</v>
      </c>
      <c r="C387" s="4" t="s">
        <v>41</v>
      </c>
      <c r="D387" s="4" t="s">
        <v>51</v>
      </c>
      <c r="E387" s="4" t="s">
        <v>25</v>
      </c>
      <c r="F387" s="4" t="s">
        <v>25</v>
      </c>
      <c r="G387" s="4" t="s">
        <v>25</v>
      </c>
      <c r="H387" s="4" t="s">
        <v>34</v>
      </c>
      <c r="I387" s="5">
        <v>44348</v>
      </c>
      <c r="J387" s="6">
        <v>0</v>
      </c>
      <c r="K387" s="6">
        <v>0</v>
      </c>
      <c r="L387" s="6">
        <v>1.23</v>
      </c>
      <c r="M387" s="6">
        <v>1.23</v>
      </c>
      <c r="N387" s="6">
        <v>1.23</v>
      </c>
      <c r="O387" s="6">
        <v>1.23</v>
      </c>
      <c r="P387" s="6">
        <v>0</v>
      </c>
      <c r="Q387" s="4" t="s">
        <v>26</v>
      </c>
      <c r="R387" s="4">
        <v>0</v>
      </c>
      <c r="S387" s="6">
        <v>0</v>
      </c>
      <c r="T387" s="6">
        <v>24</v>
      </c>
      <c r="U387" s="6">
        <v>67</v>
      </c>
      <c r="V387" s="6">
        <f>IF(ISERROR(VLOOKUP($S$387,'TAR FIN'!$A$1:$O$100,15,0)),0,VLOOKUP($S$387,'TAR FIN'!$A$1:$O$100,15,0))</f>
        <v>0</v>
      </c>
      <c r="W387" s="6">
        <f>IF(ISERROR(VLOOKUP($T$387,'TAR FIN'!$A$1:$O$100,15,0)),0,VLOOKUP($T$387,'TAR FIN'!$A$1:$O$100,15,0))</f>
        <v>943.81</v>
      </c>
      <c r="X387" s="6">
        <f>IF(ISERROR(VLOOKUP($U$387,'TAR FIN'!$A$1:$O$100,15,0)),0,VLOOKUP($U$387,'TAR FIN'!$A$1:$O$100,15,0))</f>
        <v>366.6</v>
      </c>
      <c r="Y387" s="6"/>
      <c r="Z387" s="6">
        <f ca="1">('TUSD BE'!$AM$21+'TUSD BF'!$AM$21+'TUSD CVA'!$AM$21)*1</f>
        <v>928.87102242938545</v>
      </c>
      <c r="AA387" s="6">
        <f>('TE BE'!$AA$7+'TE BF'!$AA$7+'TE CVA'!$AA$7)*1</f>
        <v>385.46556634281501</v>
      </c>
      <c r="AB387" s="6">
        <f>$K$387*$V$387</f>
        <v>0</v>
      </c>
      <c r="AC387" s="6">
        <f>$M$387*$W$387</f>
        <v>1160.8862999999999</v>
      </c>
      <c r="AD387" s="6">
        <f>$O$387*$X$387</f>
        <v>450.91800000000001</v>
      </c>
      <c r="AE387" s="6">
        <f>$K$387*$Y$387</f>
        <v>0</v>
      </c>
      <c r="AF387" s="6">
        <f ca="1">$M$387*$Z$387</f>
        <v>1142.5113575881442</v>
      </c>
      <c r="AG387" s="6">
        <f>$O$387*$AA$387</f>
        <v>474.12264660166244</v>
      </c>
    </row>
    <row r="388" spans="1:33" ht="11.25" customHeight="1" x14ac:dyDescent="0.25">
      <c r="A388" s="4" t="s">
        <v>21</v>
      </c>
      <c r="B388" s="4" t="s">
        <v>39</v>
      </c>
      <c r="C388" s="4" t="s">
        <v>41</v>
      </c>
      <c r="D388" s="4" t="s">
        <v>51</v>
      </c>
      <c r="E388" s="4" t="s">
        <v>25</v>
      </c>
      <c r="F388" s="4" t="s">
        <v>25</v>
      </c>
      <c r="G388" s="4" t="s">
        <v>25</v>
      </c>
      <c r="H388" s="4" t="s">
        <v>34</v>
      </c>
      <c r="I388" s="5">
        <v>44378</v>
      </c>
      <c r="J388" s="6">
        <v>0</v>
      </c>
      <c r="K388" s="6">
        <v>0</v>
      </c>
      <c r="L388" s="6">
        <v>1.333</v>
      </c>
      <c r="M388" s="6">
        <v>1.333</v>
      </c>
      <c r="N388" s="6">
        <v>1.333</v>
      </c>
      <c r="O388" s="6">
        <v>1.333</v>
      </c>
      <c r="P388" s="6">
        <v>0</v>
      </c>
      <c r="Q388" s="4" t="s">
        <v>26</v>
      </c>
      <c r="R388" s="4">
        <v>0</v>
      </c>
      <c r="S388" s="6">
        <v>0</v>
      </c>
      <c r="T388" s="6">
        <v>24</v>
      </c>
      <c r="U388" s="6">
        <v>67</v>
      </c>
      <c r="V388" s="6">
        <f>IF(ISERROR(VLOOKUP($S$388,'TAR FIN'!$A$1:$O$100,15,0)),0,VLOOKUP($S$388,'TAR FIN'!$A$1:$O$100,15,0))</f>
        <v>0</v>
      </c>
      <c r="W388" s="6">
        <f>IF(ISERROR(VLOOKUP($T$388,'TAR FIN'!$A$1:$O$100,15,0)),0,VLOOKUP($T$388,'TAR FIN'!$A$1:$O$100,15,0))</f>
        <v>943.81</v>
      </c>
      <c r="X388" s="6">
        <f>IF(ISERROR(VLOOKUP($U$388,'TAR FIN'!$A$1:$O$100,15,0)),0,VLOOKUP($U$388,'TAR FIN'!$A$1:$O$100,15,0))</f>
        <v>366.6</v>
      </c>
      <c r="Y388" s="6"/>
      <c r="Z388" s="6">
        <f ca="1">('TUSD BE'!$AM$21+'TUSD BF'!$AM$21+'TUSD CVA'!$AM$21)*1</f>
        <v>928.87102242938545</v>
      </c>
      <c r="AA388" s="6">
        <f>('TE BE'!$AA$7+'TE BF'!$AA$7+'TE CVA'!$AA$7)*1</f>
        <v>385.46556634281501</v>
      </c>
      <c r="AB388" s="6">
        <f>$K$388*$V$388</f>
        <v>0</v>
      </c>
      <c r="AC388" s="6">
        <f>$M$388*$W$388</f>
        <v>1258.0987299999999</v>
      </c>
      <c r="AD388" s="6">
        <f>$O$388*$X$388</f>
        <v>488.67779999999999</v>
      </c>
      <c r="AE388" s="6">
        <f>$K$388*$Y$388</f>
        <v>0</v>
      </c>
      <c r="AF388" s="6">
        <f ca="1">$M$388*$Z$388</f>
        <v>1238.1850728983707</v>
      </c>
      <c r="AG388" s="6">
        <f>$O$388*$AA$388</f>
        <v>513.82559993497239</v>
      </c>
    </row>
    <row r="389" spans="1:33" ht="11.25" customHeight="1" x14ac:dyDescent="0.25">
      <c r="A389" s="4" t="s">
        <v>21</v>
      </c>
      <c r="B389" s="4" t="s">
        <v>39</v>
      </c>
      <c r="C389" s="4" t="s">
        <v>41</v>
      </c>
      <c r="D389" s="4" t="s">
        <v>51</v>
      </c>
      <c r="E389" s="4" t="s">
        <v>25</v>
      </c>
      <c r="F389" s="4" t="s">
        <v>25</v>
      </c>
      <c r="G389" s="4" t="s">
        <v>25</v>
      </c>
      <c r="H389" s="4" t="s">
        <v>34</v>
      </c>
      <c r="I389" s="5">
        <v>44409</v>
      </c>
      <c r="J389" s="6">
        <v>0</v>
      </c>
      <c r="K389" s="6">
        <v>0</v>
      </c>
      <c r="L389" s="6">
        <v>1.3839999999999999</v>
      </c>
      <c r="M389" s="6">
        <v>1.3839999999999999</v>
      </c>
      <c r="N389" s="6">
        <v>1.3839999999999999</v>
      </c>
      <c r="O389" s="6">
        <v>1.3839999999999999</v>
      </c>
      <c r="P389" s="6">
        <v>0</v>
      </c>
      <c r="Q389" s="4" t="s">
        <v>26</v>
      </c>
      <c r="R389" s="4">
        <v>0</v>
      </c>
      <c r="S389" s="6">
        <v>0</v>
      </c>
      <c r="T389" s="6">
        <v>24</v>
      </c>
      <c r="U389" s="6">
        <v>67</v>
      </c>
      <c r="V389" s="6">
        <f>IF(ISERROR(VLOOKUP($S$389,'TAR FIN'!$A$1:$O$100,15,0)),0,VLOOKUP($S$389,'TAR FIN'!$A$1:$O$100,15,0))</f>
        <v>0</v>
      </c>
      <c r="W389" s="6">
        <f>IF(ISERROR(VLOOKUP($T$389,'TAR FIN'!$A$1:$O$100,15,0)),0,VLOOKUP($T$389,'TAR FIN'!$A$1:$O$100,15,0))</f>
        <v>943.81</v>
      </c>
      <c r="X389" s="6">
        <f>IF(ISERROR(VLOOKUP($U$389,'TAR FIN'!$A$1:$O$100,15,0)),0,VLOOKUP($U$389,'TAR FIN'!$A$1:$O$100,15,0))</f>
        <v>366.6</v>
      </c>
      <c r="Y389" s="6"/>
      <c r="Z389" s="6">
        <f ca="1">('TUSD BE'!$AM$21+'TUSD BF'!$AM$21+'TUSD CVA'!$AM$21)*1</f>
        <v>928.87102242938545</v>
      </c>
      <c r="AA389" s="6">
        <f>('TE BE'!$AA$7+'TE BF'!$AA$7+'TE CVA'!$AA$7)*1</f>
        <v>385.46556634281501</v>
      </c>
      <c r="AB389" s="6">
        <f>$K$389*$V$389</f>
        <v>0</v>
      </c>
      <c r="AC389" s="6">
        <f>$M$389*$W$389</f>
        <v>1306.2330399999998</v>
      </c>
      <c r="AD389" s="6">
        <f>$O$389*$X$389</f>
        <v>507.37439999999998</v>
      </c>
      <c r="AE389" s="6">
        <f>$K$389*$Y$389</f>
        <v>0</v>
      </c>
      <c r="AF389" s="6">
        <f ca="1">$M$389*$Z$389</f>
        <v>1285.5574950422695</v>
      </c>
      <c r="AG389" s="6">
        <f>$O$389*$AA$389</f>
        <v>533.48434381845595</v>
      </c>
    </row>
    <row r="390" spans="1:33" ht="11.25" customHeight="1" x14ac:dyDescent="0.25">
      <c r="A390" s="4" t="s">
        <v>21</v>
      </c>
      <c r="B390" s="4" t="s">
        <v>39</v>
      </c>
      <c r="C390" s="4" t="s">
        <v>41</v>
      </c>
      <c r="D390" s="4" t="s">
        <v>51</v>
      </c>
      <c r="E390" s="4" t="s">
        <v>25</v>
      </c>
      <c r="F390" s="4" t="s">
        <v>25</v>
      </c>
      <c r="G390" s="4" t="s">
        <v>25</v>
      </c>
      <c r="H390" s="4" t="s">
        <v>34</v>
      </c>
      <c r="I390" s="5">
        <v>44440</v>
      </c>
      <c r="J390" s="6">
        <v>0</v>
      </c>
      <c r="K390" s="6">
        <v>0</v>
      </c>
      <c r="L390" s="6">
        <v>1.179</v>
      </c>
      <c r="M390" s="6">
        <v>1.179</v>
      </c>
      <c r="N390" s="6">
        <v>1.179</v>
      </c>
      <c r="O390" s="6">
        <v>1.179</v>
      </c>
      <c r="P390" s="6">
        <v>0</v>
      </c>
      <c r="Q390" s="4" t="s">
        <v>26</v>
      </c>
      <c r="R390" s="4">
        <v>0</v>
      </c>
      <c r="S390" s="6">
        <v>0</v>
      </c>
      <c r="T390" s="6">
        <v>24</v>
      </c>
      <c r="U390" s="6">
        <v>67</v>
      </c>
      <c r="V390" s="6">
        <f>IF(ISERROR(VLOOKUP($S$390,'TAR FIN'!$A$1:$O$100,15,0)),0,VLOOKUP($S$390,'TAR FIN'!$A$1:$O$100,15,0))</f>
        <v>0</v>
      </c>
      <c r="W390" s="6">
        <f>IF(ISERROR(VLOOKUP($T$390,'TAR FIN'!$A$1:$O$100,15,0)),0,VLOOKUP($T$390,'TAR FIN'!$A$1:$O$100,15,0))</f>
        <v>943.81</v>
      </c>
      <c r="X390" s="6">
        <f>IF(ISERROR(VLOOKUP($U$390,'TAR FIN'!$A$1:$O$100,15,0)),0,VLOOKUP($U$390,'TAR FIN'!$A$1:$O$100,15,0))</f>
        <v>366.6</v>
      </c>
      <c r="Y390" s="6"/>
      <c r="Z390" s="6">
        <f ca="1">('TUSD BE'!$AM$21+'TUSD BF'!$AM$21+'TUSD CVA'!$AM$21)*1</f>
        <v>928.87102242938545</v>
      </c>
      <c r="AA390" s="6">
        <f>('TE BE'!$AA$7+'TE BF'!$AA$7+'TE CVA'!$AA$7)*1</f>
        <v>385.46556634281501</v>
      </c>
      <c r="AB390" s="6">
        <f>$K$390*$V$390</f>
        <v>0</v>
      </c>
      <c r="AC390" s="6">
        <f>$M$390*$W$390</f>
        <v>1112.75199</v>
      </c>
      <c r="AD390" s="6">
        <f>$O$390*$X$390</f>
        <v>432.22140000000002</v>
      </c>
      <c r="AE390" s="6">
        <f>$K$390*$Y$390</f>
        <v>0</v>
      </c>
      <c r="AF390" s="6">
        <f ca="1">$M$390*$Z$390</f>
        <v>1095.1389354442456</v>
      </c>
      <c r="AG390" s="6">
        <f>$O$390*$AA$390</f>
        <v>454.46390271817893</v>
      </c>
    </row>
    <row r="391" spans="1:33" ht="11.25" customHeight="1" x14ac:dyDescent="0.25">
      <c r="A391" s="4" t="s">
        <v>21</v>
      </c>
      <c r="B391" s="4" t="s">
        <v>39</v>
      </c>
      <c r="C391" s="4" t="s">
        <v>41</v>
      </c>
      <c r="D391" s="4" t="s">
        <v>51</v>
      </c>
      <c r="E391" s="4" t="s">
        <v>25</v>
      </c>
      <c r="F391" s="4" t="s">
        <v>25</v>
      </c>
      <c r="G391" s="4" t="s">
        <v>25</v>
      </c>
      <c r="H391" s="4" t="s">
        <v>34</v>
      </c>
      <c r="I391" s="5">
        <v>44470</v>
      </c>
      <c r="J391" s="6">
        <v>0</v>
      </c>
      <c r="K391" s="6">
        <v>0</v>
      </c>
      <c r="L391" s="6">
        <v>1.2809999999999999</v>
      </c>
      <c r="M391" s="6">
        <v>1.2809999999999999</v>
      </c>
      <c r="N391" s="6">
        <v>1.2809999999999999</v>
      </c>
      <c r="O391" s="6">
        <v>1.2809999999999999</v>
      </c>
      <c r="P391" s="6">
        <v>0</v>
      </c>
      <c r="Q391" s="4" t="s">
        <v>26</v>
      </c>
      <c r="R391" s="4">
        <v>0</v>
      </c>
      <c r="S391" s="6">
        <v>0</v>
      </c>
      <c r="T391" s="6">
        <v>24</v>
      </c>
      <c r="U391" s="6">
        <v>67</v>
      </c>
      <c r="V391" s="6">
        <f>IF(ISERROR(VLOOKUP($S$391,'TAR FIN'!$A$1:$O$100,15,0)),0,VLOOKUP($S$391,'TAR FIN'!$A$1:$O$100,15,0))</f>
        <v>0</v>
      </c>
      <c r="W391" s="6">
        <f>IF(ISERROR(VLOOKUP($T$391,'TAR FIN'!$A$1:$O$100,15,0)),0,VLOOKUP($T$391,'TAR FIN'!$A$1:$O$100,15,0))</f>
        <v>943.81</v>
      </c>
      <c r="X391" s="6">
        <f>IF(ISERROR(VLOOKUP($U$391,'TAR FIN'!$A$1:$O$100,15,0)),0,VLOOKUP($U$391,'TAR FIN'!$A$1:$O$100,15,0))</f>
        <v>366.6</v>
      </c>
      <c r="Y391" s="6"/>
      <c r="Z391" s="6">
        <f ca="1">('TUSD BE'!$AM$21+'TUSD BF'!$AM$21+'TUSD CVA'!$AM$21)*1</f>
        <v>928.87102242938545</v>
      </c>
      <c r="AA391" s="6">
        <f>('TE BE'!$AA$7+'TE BF'!$AA$7+'TE CVA'!$AA$7)*1</f>
        <v>385.46556634281501</v>
      </c>
      <c r="AB391" s="6">
        <f>$K$391*$V$391</f>
        <v>0</v>
      </c>
      <c r="AC391" s="6">
        <f>$M$391*$W$391</f>
        <v>1209.0206099999998</v>
      </c>
      <c r="AD391" s="6">
        <f>$O$391*$X$391</f>
        <v>469.6146</v>
      </c>
      <c r="AE391" s="6">
        <f>$K$391*$Y$391</f>
        <v>0</v>
      </c>
      <c r="AF391" s="6">
        <f ca="1">$M$391*$Z$391</f>
        <v>1189.8837797320427</v>
      </c>
      <c r="AG391" s="6">
        <f>$O$391*$AA$391</f>
        <v>493.78139048514601</v>
      </c>
    </row>
    <row r="392" spans="1:33" ht="11.25" customHeight="1" x14ac:dyDescent="0.25">
      <c r="A392" s="4" t="s">
        <v>21</v>
      </c>
      <c r="B392" s="4" t="s">
        <v>39</v>
      </c>
      <c r="C392" s="4" t="s">
        <v>41</v>
      </c>
      <c r="D392" s="4" t="s">
        <v>51</v>
      </c>
      <c r="E392" s="4" t="s">
        <v>25</v>
      </c>
      <c r="F392" s="4" t="s">
        <v>25</v>
      </c>
      <c r="G392" s="4" t="s">
        <v>25</v>
      </c>
      <c r="H392" s="4" t="s">
        <v>34</v>
      </c>
      <c r="I392" s="5">
        <v>44501</v>
      </c>
      <c r="J392" s="6">
        <v>0</v>
      </c>
      <c r="K392" s="6">
        <v>0</v>
      </c>
      <c r="L392" s="6">
        <v>1.1279999999999999</v>
      </c>
      <c r="M392" s="6">
        <v>1.1279999999999999</v>
      </c>
      <c r="N392" s="6">
        <v>1.1279999999999999</v>
      </c>
      <c r="O392" s="6">
        <v>1.1279999999999999</v>
      </c>
      <c r="P392" s="6">
        <v>0</v>
      </c>
      <c r="Q392" s="4" t="s">
        <v>26</v>
      </c>
      <c r="R392" s="4">
        <v>0</v>
      </c>
      <c r="S392" s="6">
        <v>0</v>
      </c>
      <c r="T392" s="6">
        <v>24</v>
      </c>
      <c r="U392" s="6">
        <v>67</v>
      </c>
      <c r="V392" s="6">
        <f>IF(ISERROR(VLOOKUP($S$392,'TAR FIN'!$A$1:$O$100,15,0)),0,VLOOKUP($S$392,'TAR FIN'!$A$1:$O$100,15,0))</f>
        <v>0</v>
      </c>
      <c r="W392" s="6">
        <f>IF(ISERROR(VLOOKUP($T$392,'TAR FIN'!$A$1:$O$100,15,0)),0,VLOOKUP($T$392,'TAR FIN'!$A$1:$O$100,15,0))</f>
        <v>943.81</v>
      </c>
      <c r="X392" s="6">
        <f>IF(ISERROR(VLOOKUP($U$392,'TAR FIN'!$A$1:$O$100,15,0)),0,VLOOKUP($U$392,'TAR FIN'!$A$1:$O$100,15,0))</f>
        <v>366.6</v>
      </c>
      <c r="Y392" s="6"/>
      <c r="Z392" s="6">
        <f ca="1">('TUSD BE'!$AM$21+'TUSD BF'!$AM$21+'TUSD CVA'!$AM$21)*1</f>
        <v>928.87102242938545</v>
      </c>
      <c r="AA392" s="6">
        <f>('TE BE'!$AA$7+'TE BF'!$AA$7+'TE CVA'!$AA$7)*1</f>
        <v>385.46556634281501</v>
      </c>
      <c r="AB392" s="6">
        <f>$K$392*$V$392</f>
        <v>0</v>
      </c>
      <c r="AC392" s="6">
        <f>$M$392*$W$392</f>
        <v>1064.6176799999998</v>
      </c>
      <c r="AD392" s="6">
        <f>$O$392*$X$392</f>
        <v>413.52479999999997</v>
      </c>
      <c r="AE392" s="6">
        <f>$K$392*$Y$392</f>
        <v>0</v>
      </c>
      <c r="AF392" s="6">
        <f ca="1">$M$392*$Z$392</f>
        <v>1047.7665133003468</v>
      </c>
      <c r="AG392" s="6">
        <f>$O$392*$AA$392</f>
        <v>434.80515883469531</v>
      </c>
    </row>
    <row r="393" spans="1:33" ht="11.25" customHeight="1" x14ac:dyDescent="0.25">
      <c r="A393" s="4" t="s">
        <v>21</v>
      </c>
      <c r="B393" s="4" t="s">
        <v>39</v>
      </c>
      <c r="C393" s="4" t="s">
        <v>41</v>
      </c>
      <c r="D393" s="4" t="s">
        <v>51</v>
      </c>
      <c r="E393" s="4" t="s">
        <v>25</v>
      </c>
      <c r="F393" s="4" t="s">
        <v>25</v>
      </c>
      <c r="G393" s="4" t="s">
        <v>25</v>
      </c>
      <c r="H393" s="4" t="s">
        <v>34</v>
      </c>
      <c r="I393" s="5">
        <v>44531</v>
      </c>
      <c r="J393" s="6">
        <v>0</v>
      </c>
      <c r="K393" s="6">
        <v>0</v>
      </c>
      <c r="L393" s="6">
        <v>1.1279999999999999</v>
      </c>
      <c r="M393" s="6">
        <v>1.1279999999999999</v>
      </c>
      <c r="N393" s="6">
        <v>1.1279999999999999</v>
      </c>
      <c r="O393" s="6">
        <v>1.1279999999999999</v>
      </c>
      <c r="P393" s="6">
        <v>0</v>
      </c>
      <c r="Q393" s="4" t="s">
        <v>26</v>
      </c>
      <c r="R393" s="4">
        <v>0</v>
      </c>
      <c r="S393" s="6">
        <v>0</v>
      </c>
      <c r="T393" s="6">
        <v>24</v>
      </c>
      <c r="U393" s="6">
        <v>67</v>
      </c>
      <c r="V393" s="6">
        <f>IF(ISERROR(VLOOKUP($S$393,'TAR FIN'!$A$1:$O$100,15,0)),0,VLOOKUP($S$393,'TAR FIN'!$A$1:$O$100,15,0))</f>
        <v>0</v>
      </c>
      <c r="W393" s="6">
        <f>IF(ISERROR(VLOOKUP($T$393,'TAR FIN'!$A$1:$O$100,15,0)),0,VLOOKUP($T$393,'TAR FIN'!$A$1:$O$100,15,0))</f>
        <v>943.81</v>
      </c>
      <c r="X393" s="6">
        <f>IF(ISERROR(VLOOKUP($U$393,'TAR FIN'!$A$1:$O$100,15,0)),0,VLOOKUP($U$393,'TAR FIN'!$A$1:$O$100,15,0))</f>
        <v>366.6</v>
      </c>
      <c r="Y393" s="6"/>
      <c r="Z393" s="6">
        <f ca="1">('TUSD BE'!$AM$21+'TUSD BF'!$AM$21+'TUSD CVA'!$AM$21)*1</f>
        <v>928.87102242938545</v>
      </c>
      <c r="AA393" s="6">
        <f>('TE BE'!$AA$7+'TE BF'!$AA$7+'TE CVA'!$AA$7)*1</f>
        <v>385.46556634281501</v>
      </c>
      <c r="AB393" s="6">
        <f>$K$393*$V$393</f>
        <v>0</v>
      </c>
      <c r="AC393" s="6">
        <f>$M$393*$W$393</f>
        <v>1064.6176799999998</v>
      </c>
      <c r="AD393" s="6">
        <f>$O$393*$X$393</f>
        <v>413.52479999999997</v>
      </c>
      <c r="AE393" s="6">
        <f>$K$393*$Y$393</f>
        <v>0</v>
      </c>
      <c r="AF393" s="6">
        <f ca="1">$M$393*$Z$393</f>
        <v>1047.7665133003468</v>
      </c>
      <c r="AG393" s="6">
        <f>$O$393*$AA$393</f>
        <v>434.80515883469531</v>
      </c>
    </row>
    <row r="394" spans="1:33" ht="11.25" customHeight="1" x14ac:dyDescent="0.25">
      <c r="A394" s="4" t="s">
        <v>55</v>
      </c>
      <c r="B394" s="4" t="s">
        <v>39</v>
      </c>
      <c r="C394" s="4" t="s">
        <v>41</v>
      </c>
      <c r="D394" s="4" t="s">
        <v>51</v>
      </c>
      <c r="E394" s="4" t="s">
        <v>25</v>
      </c>
      <c r="F394" s="4" t="s">
        <v>25</v>
      </c>
      <c r="G394" s="4" t="s">
        <v>25</v>
      </c>
      <c r="H394" s="4" t="s">
        <v>34</v>
      </c>
      <c r="I394" s="5">
        <v>44562</v>
      </c>
      <c r="J394" s="6">
        <v>0</v>
      </c>
      <c r="K394" s="6">
        <v>0</v>
      </c>
      <c r="L394" s="6">
        <v>1.1279999999999999</v>
      </c>
      <c r="M394" s="6">
        <v>1.1279999999999999</v>
      </c>
      <c r="N394" s="6">
        <v>1.1279999999999999</v>
      </c>
      <c r="O394" s="6">
        <v>1.1279999999999999</v>
      </c>
      <c r="P394" s="6">
        <v>0</v>
      </c>
      <c r="Q394" s="4" t="s">
        <v>26</v>
      </c>
      <c r="R394" s="4">
        <v>0</v>
      </c>
      <c r="S394" s="6">
        <v>0</v>
      </c>
      <c r="T394" s="6">
        <v>24</v>
      </c>
      <c r="U394" s="6">
        <v>67</v>
      </c>
      <c r="V394" s="6">
        <f>IF(ISERROR(VLOOKUP($S$394,'TAR FIN'!$A$1:$O$100,15,0)),0,VLOOKUP($S$394,'TAR FIN'!$A$1:$O$100,15,0))</f>
        <v>0</v>
      </c>
      <c r="W394" s="6">
        <f>IF(ISERROR(VLOOKUP($T$394,'TAR FIN'!$A$1:$O$100,15,0)),0,VLOOKUP($T$394,'TAR FIN'!$A$1:$O$100,15,0))</f>
        <v>943.81</v>
      </c>
      <c r="X394" s="6">
        <f>IF(ISERROR(VLOOKUP($U$394,'TAR FIN'!$A$1:$O$100,15,0)),0,VLOOKUP($U$394,'TAR FIN'!$A$1:$O$100,15,0))</f>
        <v>366.6</v>
      </c>
      <c r="Y394" s="6"/>
      <c r="Z394" s="6">
        <f ca="1">('TUSD BE'!$AM$21+'TUSD BF'!$AM$21+'TUSD CVA'!$AM$21)*1</f>
        <v>928.87102242938545</v>
      </c>
      <c r="AA394" s="6">
        <f>('TE BE'!$AA$7+'TE BF'!$AA$7+'TE CVA'!$AA$7)*1</f>
        <v>385.46556634281501</v>
      </c>
      <c r="AB394" s="6">
        <f>$K$394*$V$394</f>
        <v>0</v>
      </c>
      <c r="AC394" s="6">
        <f>$M$394*$W$394</f>
        <v>1064.6176799999998</v>
      </c>
      <c r="AD394" s="6">
        <f>$O$394*$X$394</f>
        <v>413.52479999999997</v>
      </c>
      <c r="AE394" s="6">
        <f>$K$394*$Y$394</f>
        <v>0</v>
      </c>
      <c r="AF394" s="6">
        <f ca="1">$M$394*$Z$394</f>
        <v>1047.7665133003468</v>
      </c>
      <c r="AG394" s="6">
        <f>$O$394*$AA$394</f>
        <v>434.80515883469531</v>
      </c>
    </row>
    <row r="395" spans="1:33" ht="11.25" customHeight="1" x14ac:dyDescent="0.25">
      <c r="A395" s="4" t="s">
        <v>21</v>
      </c>
      <c r="B395" s="4" t="s">
        <v>39</v>
      </c>
      <c r="C395" s="4" t="s">
        <v>41</v>
      </c>
      <c r="D395" s="4" t="s">
        <v>38</v>
      </c>
      <c r="E395" s="4" t="s">
        <v>25</v>
      </c>
      <c r="F395" s="4" t="s">
        <v>58</v>
      </c>
      <c r="G395" s="4" t="s">
        <v>25</v>
      </c>
      <c r="H395" s="4" t="s">
        <v>35</v>
      </c>
      <c r="I395" s="5">
        <v>44228</v>
      </c>
      <c r="J395" s="6">
        <v>0</v>
      </c>
      <c r="K395" s="6">
        <v>0</v>
      </c>
      <c r="L395" s="6">
        <v>3771.5549999999998</v>
      </c>
      <c r="M395" s="6">
        <v>3771.5549999999998</v>
      </c>
      <c r="N395" s="6">
        <v>0</v>
      </c>
      <c r="O395" s="6">
        <v>0</v>
      </c>
      <c r="P395" s="6">
        <v>0</v>
      </c>
      <c r="Q395" s="4" t="s">
        <v>57</v>
      </c>
      <c r="R395" s="4">
        <v>0</v>
      </c>
      <c r="S395" s="6">
        <v>0</v>
      </c>
      <c r="T395" s="6">
        <v>25</v>
      </c>
      <c r="U395" s="6">
        <v>0</v>
      </c>
      <c r="V395" s="6">
        <f>IF(ISERROR(VLOOKUP($S$395,'TAR FIN'!$A$1:$O$100,15,0)),0,VLOOKUP($S$395,'TAR FIN'!$A$1:$O$100,15,0))</f>
        <v>0</v>
      </c>
      <c r="W395" s="6">
        <f>IF(ISERROR(VLOOKUP($T$395,'TAR FIN'!$A$1:$O$100,15,0)),0,VLOOKUP($T$395,'TAR FIN'!$A$1:$O$100,15,0))</f>
        <v>43.65</v>
      </c>
      <c r="X395" s="6">
        <f>IF(ISERROR(VLOOKUP($U$395,'TAR FIN'!$A$1:$O$100,15,0)),0,VLOOKUP($U$395,'TAR FIN'!$A$1:$O$100,15,0))</f>
        <v>0</v>
      </c>
      <c r="Y395" s="6"/>
      <c r="Z395" s="6">
        <f ca="1">('TUSD BE'!$AM$22+'TUSD BF'!$AM$22+'TUSD CVA'!$AM$22)*1</f>
        <v>49.78704102185678</v>
      </c>
      <c r="AA395" s="6"/>
      <c r="AB395" s="6">
        <f>$K$395*$V$395</f>
        <v>0</v>
      </c>
      <c r="AC395" s="6">
        <f>$M$395*$W$395</f>
        <v>164628.37574999998</v>
      </c>
      <c r="AD395" s="6">
        <f>$O$395*$X$395</f>
        <v>0</v>
      </c>
      <c r="AE395" s="6">
        <f>$K$395*$Y$395</f>
        <v>0</v>
      </c>
      <c r="AF395" s="6">
        <f ca="1">$M$395*$Z$395</f>
        <v>187774.56350118903</v>
      </c>
      <c r="AG395" s="6">
        <f>$O$395*$AA$395</f>
        <v>0</v>
      </c>
    </row>
    <row r="396" spans="1:33" ht="11.25" customHeight="1" x14ac:dyDescent="0.25">
      <c r="A396" s="4" t="s">
        <v>21</v>
      </c>
      <c r="B396" s="4" t="s">
        <v>39</v>
      </c>
      <c r="C396" s="4" t="s">
        <v>41</v>
      </c>
      <c r="D396" s="4" t="s">
        <v>38</v>
      </c>
      <c r="E396" s="4" t="s">
        <v>25</v>
      </c>
      <c r="F396" s="4" t="s">
        <v>58</v>
      </c>
      <c r="G396" s="4" t="s">
        <v>25</v>
      </c>
      <c r="H396" s="4" t="s">
        <v>35</v>
      </c>
      <c r="I396" s="5">
        <v>44256</v>
      </c>
      <c r="J396" s="6">
        <v>0</v>
      </c>
      <c r="K396" s="6">
        <v>0</v>
      </c>
      <c r="L396" s="6">
        <v>3462.8890000000001</v>
      </c>
      <c r="M396" s="6">
        <v>3462.8890000000001</v>
      </c>
      <c r="N396" s="6">
        <v>0</v>
      </c>
      <c r="O396" s="6">
        <v>0</v>
      </c>
      <c r="P396" s="6">
        <v>0</v>
      </c>
      <c r="Q396" s="4" t="s">
        <v>57</v>
      </c>
      <c r="R396" s="4">
        <v>0</v>
      </c>
      <c r="S396" s="6">
        <v>0</v>
      </c>
      <c r="T396" s="6">
        <v>25</v>
      </c>
      <c r="U396" s="6">
        <v>0</v>
      </c>
      <c r="V396" s="6">
        <f>IF(ISERROR(VLOOKUP($S$396,'TAR FIN'!$A$1:$O$100,15,0)),0,VLOOKUP($S$396,'TAR FIN'!$A$1:$O$100,15,0))</f>
        <v>0</v>
      </c>
      <c r="W396" s="6">
        <f>IF(ISERROR(VLOOKUP($T$396,'TAR FIN'!$A$1:$O$100,15,0)),0,VLOOKUP($T$396,'TAR FIN'!$A$1:$O$100,15,0))</f>
        <v>43.65</v>
      </c>
      <c r="X396" s="6">
        <f>IF(ISERROR(VLOOKUP($U$396,'TAR FIN'!$A$1:$O$100,15,0)),0,VLOOKUP($U$396,'TAR FIN'!$A$1:$O$100,15,0))</f>
        <v>0</v>
      </c>
      <c r="Y396" s="6"/>
      <c r="Z396" s="6">
        <f ca="1">('TUSD BE'!$AM$22+'TUSD BF'!$AM$22+'TUSD CVA'!$AM$22)*1</f>
        <v>49.78704102185678</v>
      </c>
      <c r="AA396" s="6"/>
      <c r="AB396" s="6">
        <f>$K$396*$V$396</f>
        <v>0</v>
      </c>
      <c r="AC396" s="6">
        <f>$M$396*$W$396</f>
        <v>151155.10485</v>
      </c>
      <c r="AD396" s="6">
        <f>$O$396*$X$396</f>
        <v>0</v>
      </c>
      <c r="AE396" s="6">
        <f>$K$396*$Y$396</f>
        <v>0</v>
      </c>
      <c r="AF396" s="6">
        <f ca="1">$M$396*$Z$396</f>
        <v>172406.99669713661</v>
      </c>
      <c r="AG396" s="6">
        <f>$O$396*$AA$396</f>
        <v>0</v>
      </c>
    </row>
    <row r="397" spans="1:33" ht="11.25" customHeight="1" x14ac:dyDescent="0.25">
      <c r="A397" s="4" t="s">
        <v>21</v>
      </c>
      <c r="B397" s="4" t="s">
        <v>39</v>
      </c>
      <c r="C397" s="4" t="s">
        <v>41</v>
      </c>
      <c r="D397" s="4" t="s">
        <v>38</v>
      </c>
      <c r="E397" s="4" t="s">
        <v>25</v>
      </c>
      <c r="F397" s="4" t="s">
        <v>58</v>
      </c>
      <c r="G397" s="4" t="s">
        <v>25</v>
      </c>
      <c r="H397" s="4" t="s">
        <v>35</v>
      </c>
      <c r="I397" s="5">
        <v>44287</v>
      </c>
      <c r="J397" s="6">
        <v>0</v>
      </c>
      <c r="K397" s="6">
        <v>0</v>
      </c>
      <c r="L397" s="6">
        <v>3515.2710000000002</v>
      </c>
      <c r="M397" s="6">
        <v>3515.2710000000002</v>
      </c>
      <c r="N397" s="6">
        <v>0</v>
      </c>
      <c r="O397" s="6">
        <v>0</v>
      </c>
      <c r="P397" s="6">
        <v>0</v>
      </c>
      <c r="Q397" s="4" t="s">
        <v>57</v>
      </c>
      <c r="R397" s="4">
        <v>0</v>
      </c>
      <c r="S397" s="6">
        <v>0</v>
      </c>
      <c r="T397" s="6">
        <v>25</v>
      </c>
      <c r="U397" s="6">
        <v>0</v>
      </c>
      <c r="V397" s="6">
        <f>IF(ISERROR(VLOOKUP($S$397,'TAR FIN'!$A$1:$O$100,15,0)),0,VLOOKUP($S$397,'TAR FIN'!$A$1:$O$100,15,0))</f>
        <v>0</v>
      </c>
      <c r="W397" s="6">
        <f>IF(ISERROR(VLOOKUP($T$397,'TAR FIN'!$A$1:$O$100,15,0)),0,VLOOKUP($T$397,'TAR FIN'!$A$1:$O$100,15,0))</f>
        <v>43.65</v>
      </c>
      <c r="X397" s="6">
        <f>IF(ISERROR(VLOOKUP($U$397,'TAR FIN'!$A$1:$O$100,15,0)),0,VLOOKUP($U$397,'TAR FIN'!$A$1:$O$100,15,0))</f>
        <v>0</v>
      </c>
      <c r="Y397" s="6"/>
      <c r="Z397" s="6">
        <f ca="1">('TUSD BE'!$AM$22+'TUSD BF'!$AM$22+'TUSD CVA'!$AM$22)*1</f>
        <v>49.78704102185678</v>
      </c>
      <c r="AA397" s="6"/>
      <c r="AB397" s="6">
        <f>$K$397*$V$397</f>
        <v>0</v>
      </c>
      <c r="AC397" s="6">
        <f>$M$397*$W$397</f>
        <v>153441.57915000001</v>
      </c>
      <c r="AD397" s="6">
        <f>$O$397*$X$397</f>
        <v>0</v>
      </c>
      <c r="AE397" s="6">
        <f>$K$397*$Y$397</f>
        <v>0</v>
      </c>
      <c r="AF397" s="6">
        <f ca="1">$M$397*$Z$397</f>
        <v>175014.94147994352</v>
      </c>
      <c r="AG397" s="6">
        <f>$O$397*$AA$397</f>
        <v>0</v>
      </c>
    </row>
    <row r="398" spans="1:33" ht="11.25" customHeight="1" x14ac:dyDescent="0.25">
      <c r="A398" s="4" t="s">
        <v>21</v>
      </c>
      <c r="B398" s="4" t="s">
        <v>39</v>
      </c>
      <c r="C398" s="4" t="s">
        <v>41</v>
      </c>
      <c r="D398" s="4" t="s">
        <v>38</v>
      </c>
      <c r="E398" s="4" t="s">
        <v>25</v>
      </c>
      <c r="F398" s="4" t="s">
        <v>58</v>
      </c>
      <c r="G398" s="4" t="s">
        <v>25</v>
      </c>
      <c r="H398" s="4" t="s">
        <v>35</v>
      </c>
      <c r="I398" s="5">
        <v>44317</v>
      </c>
      <c r="J398" s="6">
        <v>0</v>
      </c>
      <c r="K398" s="6">
        <v>0</v>
      </c>
      <c r="L398" s="6">
        <v>3651.1619999999998</v>
      </c>
      <c r="M398" s="6">
        <v>3651.1619999999998</v>
      </c>
      <c r="N398" s="6">
        <v>0</v>
      </c>
      <c r="O398" s="6">
        <v>0</v>
      </c>
      <c r="P398" s="6">
        <v>0</v>
      </c>
      <c r="Q398" s="4" t="s">
        <v>57</v>
      </c>
      <c r="R398" s="4">
        <v>0</v>
      </c>
      <c r="S398" s="6">
        <v>0</v>
      </c>
      <c r="T398" s="6">
        <v>25</v>
      </c>
      <c r="U398" s="6">
        <v>0</v>
      </c>
      <c r="V398" s="6">
        <f>IF(ISERROR(VLOOKUP($S$398,'TAR FIN'!$A$1:$O$100,15,0)),0,VLOOKUP($S$398,'TAR FIN'!$A$1:$O$100,15,0))</f>
        <v>0</v>
      </c>
      <c r="W398" s="6">
        <f>IF(ISERROR(VLOOKUP($T$398,'TAR FIN'!$A$1:$O$100,15,0)),0,VLOOKUP($T$398,'TAR FIN'!$A$1:$O$100,15,0))</f>
        <v>43.65</v>
      </c>
      <c r="X398" s="6">
        <f>IF(ISERROR(VLOOKUP($U$398,'TAR FIN'!$A$1:$O$100,15,0)),0,VLOOKUP($U$398,'TAR FIN'!$A$1:$O$100,15,0))</f>
        <v>0</v>
      </c>
      <c r="Y398" s="6"/>
      <c r="Z398" s="6">
        <f ca="1">('TUSD BE'!$AM$22+'TUSD BF'!$AM$22+'TUSD CVA'!$AM$22)*1</f>
        <v>49.78704102185678</v>
      </c>
      <c r="AA398" s="6"/>
      <c r="AB398" s="6">
        <f>$K$398*$V$398</f>
        <v>0</v>
      </c>
      <c r="AC398" s="6">
        <f>$M$398*$W$398</f>
        <v>159373.22129999998</v>
      </c>
      <c r="AD398" s="6">
        <f>$O$398*$X$398</f>
        <v>0</v>
      </c>
      <c r="AE398" s="6">
        <f>$K$398*$Y$398</f>
        <v>0</v>
      </c>
      <c r="AF398" s="6">
        <f ca="1">$M$398*$Z$398</f>
        <v>181780.55227144464</v>
      </c>
      <c r="AG398" s="6">
        <f>$O$398*$AA$398</f>
        <v>0</v>
      </c>
    </row>
    <row r="399" spans="1:33" ht="11.25" customHeight="1" x14ac:dyDescent="0.25">
      <c r="A399" s="4" t="s">
        <v>21</v>
      </c>
      <c r="B399" s="4" t="s">
        <v>39</v>
      </c>
      <c r="C399" s="4" t="s">
        <v>41</v>
      </c>
      <c r="D399" s="4" t="s">
        <v>38</v>
      </c>
      <c r="E399" s="4" t="s">
        <v>25</v>
      </c>
      <c r="F399" s="4" t="s">
        <v>58</v>
      </c>
      <c r="G399" s="4" t="s">
        <v>25</v>
      </c>
      <c r="H399" s="4" t="s">
        <v>35</v>
      </c>
      <c r="I399" s="5">
        <v>44348</v>
      </c>
      <c r="J399" s="6">
        <v>0</v>
      </c>
      <c r="K399" s="6">
        <v>0</v>
      </c>
      <c r="L399" s="6">
        <v>3664.721</v>
      </c>
      <c r="M399" s="6">
        <v>3664.721</v>
      </c>
      <c r="N399" s="6">
        <v>0</v>
      </c>
      <c r="O399" s="6">
        <v>0</v>
      </c>
      <c r="P399" s="6">
        <v>0</v>
      </c>
      <c r="Q399" s="4" t="s">
        <v>57</v>
      </c>
      <c r="R399" s="4">
        <v>0</v>
      </c>
      <c r="S399" s="6">
        <v>0</v>
      </c>
      <c r="T399" s="6">
        <v>25</v>
      </c>
      <c r="U399" s="6">
        <v>0</v>
      </c>
      <c r="V399" s="6">
        <f>IF(ISERROR(VLOOKUP($S$399,'TAR FIN'!$A$1:$O$100,15,0)),0,VLOOKUP($S$399,'TAR FIN'!$A$1:$O$100,15,0))</f>
        <v>0</v>
      </c>
      <c r="W399" s="6">
        <f>IF(ISERROR(VLOOKUP($T$399,'TAR FIN'!$A$1:$O$100,15,0)),0,VLOOKUP($T$399,'TAR FIN'!$A$1:$O$100,15,0))</f>
        <v>43.65</v>
      </c>
      <c r="X399" s="6">
        <f>IF(ISERROR(VLOOKUP($U$399,'TAR FIN'!$A$1:$O$100,15,0)),0,VLOOKUP($U$399,'TAR FIN'!$A$1:$O$100,15,0))</f>
        <v>0</v>
      </c>
      <c r="Y399" s="6"/>
      <c r="Z399" s="6">
        <f ca="1">('TUSD BE'!$AM$22+'TUSD BF'!$AM$22+'TUSD CVA'!$AM$22)*1</f>
        <v>49.78704102185678</v>
      </c>
      <c r="AA399" s="6"/>
      <c r="AB399" s="6">
        <f>$K$399*$V$399</f>
        <v>0</v>
      </c>
      <c r="AC399" s="6">
        <f>$M$399*$W$399</f>
        <v>159965.07165</v>
      </c>
      <c r="AD399" s="6">
        <f>$O$399*$X$399</f>
        <v>0</v>
      </c>
      <c r="AE399" s="6">
        <f>$K$399*$Y$399</f>
        <v>0</v>
      </c>
      <c r="AF399" s="6">
        <f ca="1">$M$399*$Z$399</f>
        <v>182455.61476066001</v>
      </c>
      <c r="AG399" s="6">
        <f>$O$399*$AA$399</f>
        <v>0</v>
      </c>
    </row>
    <row r="400" spans="1:33" ht="11.25" customHeight="1" x14ac:dyDescent="0.25">
      <c r="A400" s="4" t="s">
        <v>21</v>
      </c>
      <c r="B400" s="4" t="s">
        <v>39</v>
      </c>
      <c r="C400" s="4" t="s">
        <v>41</v>
      </c>
      <c r="D400" s="4" t="s">
        <v>38</v>
      </c>
      <c r="E400" s="4" t="s">
        <v>25</v>
      </c>
      <c r="F400" s="4" t="s">
        <v>58</v>
      </c>
      <c r="G400" s="4" t="s">
        <v>25</v>
      </c>
      <c r="H400" s="4" t="s">
        <v>35</v>
      </c>
      <c r="I400" s="5">
        <v>44378</v>
      </c>
      <c r="J400" s="6">
        <v>0</v>
      </c>
      <c r="K400" s="6">
        <v>0</v>
      </c>
      <c r="L400" s="6">
        <v>3867.5659999999998</v>
      </c>
      <c r="M400" s="6">
        <v>3867.5659999999998</v>
      </c>
      <c r="N400" s="6">
        <v>0</v>
      </c>
      <c r="O400" s="6">
        <v>0</v>
      </c>
      <c r="P400" s="6">
        <v>0</v>
      </c>
      <c r="Q400" s="4" t="s">
        <v>57</v>
      </c>
      <c r="R400" s="4">
        <v>0</v>
      </c>
      <c r="S400" s="6">
        <v>0</v>
      </c>
      <c r="T400" s="6">
        <v>25</v>
      </c>
      <c r="U400" s="6">
        <v>0</v>
      </c>
      <c r="V400" s="6">
        <f>IF(ISERROR(VLOOKUP($S$400,'TAR FIN'!$A$1:$O$100,15,0)),0,VLOOKUP($S$400,'TAR FIN'!$A$1:$O$100,15,0))</f>
        <v>0</v>
      </c>
      <c r="W400" s="6">
        <f>IF(ISERROR(VLOOKUP($T$400,'TAR FIN'!$A$1:$O$100,15,0)),0,VLOOKUP($T$400,'TAR FIN'!$A$1:$O$100,15,0))</f>
        <v>43.65</v>
      </c>
      <c r="X400" s="6">
        <f>IF(ISERROR(VLOOKUP($U$400,'TAR FIN'!$A$1:$O$100,15,0)),0,VLOOKUP($U$400,'TAR FIN'!$A$1:$O$100,15,0))</f>
        <v>0</v>
      </c>
      <c r="Y400" s="6"/>
      <c r="Z400" s="6">
        <f ca="1">('TUSD BE'!$AM$22+'TUSD BF'!$AM$22+'TUSD CVA'!$AM$22)*1</f>
        <v>49.78704102185678</v>
      </c>
      <c r="AA400" s="6"/>
      <c r="AB400" s="6">
        <f>$K$400*$V$400</f>
        <v>0</v>
      </c>
      <c r="AC400" s="6">
        <f>$M$400*$W$400</f>
        <v>168819.25589999999</v>
      </c>
      <c r="AD400" s="6">
        <f>$O$400*$X$400</f>
        <v>0</v>
      </c>
      <c r="AE400" s="6">
        <f>$K$400*$Y$400</f>
        <v>0</v>
      </c>
      <c r="AF400" s="6">
        <f ca="1">$M$400*$Z$400</f>
        <v>192554.66709673853</v>
      </c>
      <c r="AG400" s="6">
        <f>$O$400*$AA$400</f>
        <v>0</v>
      </c>
    </row>
    <row r="401" spans="1:33" ht="11.25" customHeight="1" x14ac:dyDescent="0.25">
      <c r="A401" s="4" t="s">
        <v>21</v>
      </c>
      <c r="B401" s="4" t="s">
        <v>39</v>
      </c>
      <c r="C401" s="4" t="s">
        <v>41</v>
      </c>
      <c r="D401" s="4" t="s">
        <v>38</v>
      </c>
      <c r="E401" s="4" t="s">
        <v>25</v>
      </c>
      <c r="F401" s="4" t="s">
        <v>58</v>
      </c>
      <c r="G401" s="4" t="s">
        <v>25</v>
      </c>
      <c r="H401" s="4" t="s">
        <v>35</v>
      </c>
      <c r="I401" s="5">
        <v>44409</v>
      </c>
      <c r="J401" s="6">
        <v>0</v>
      </c>
      <c r="K401" s="6">
        <v>0</v>
      </c>
      <c r="L401" s="6">
        <v>3906.3690000000001</v>
      </c>
      <c r="M401" s="6">
        <v>3906.3690000000001</v>
      </c>
      <c r="N401" s="6">
        <v>0</v>
      </c>
      <c r="O401" s="6">
        <v>0</v>
      </c>
      <c r="P401" s="6">
        <v>0</v>
      </c>
      <c r="Q401" s="4" t="s">
        <v>57</v>
      </c>
      <c r="R401" s="4">
        <v>0</v>
      </c>
      <c r="S401" s="6">
        <v>0</v>
      </c>
      <c r="T401" s="6">
        <v>25</v>
      </c>
      <c r="U401" s="6">
        <v>0</v>
      </c>
      <c r="V401" s="6">
        <f>IF(ISERROR(VLOOKUP($S$401,'TAR FIN'!$A$1:$O$100,15,0)),0,VLOOKUP($S$401,'TAR FIN'!$A$1:$O$100,15,0))</f>
        <v>0</v>
      </c>
      <c r="W401" s="6">
        <f>IF(ISERROR(VLOOKUP($T$401,'TAR FIN'!$A$1:$O$100,15,0)),0,VLOOKUP($T$401,'TAR FIN'!$A$1:$O$100,15,0))</f>
        <v>43.65</v>
      </c>
      <c r="X401" s="6">
        <f>IF(ISERROR(VLOOKUP($U$401,'TAR FIN'!$A$1:$O$100,15,0)),0,VLOOKUP($U$401,'TAR FIN'!$A$1:$O$100,15,0))</f>
        <v>0</v>
      </c>
      <c r="Y401" s="6"/>
      <c r="Z401" s="6">
        <f ca="1">('TUSD BE'!$AM$22+'TUSD BF'!$AM$22+'TUSD CVA'!$AM$22)*1</f>
        <v>49.78704102185678</v>
      </c>
      <c r="AA401" s="6"/>
      <c r="AB401" s="6">
        <f>$K$401*$V$401</f>
        <v>0</v>
      </c>
      <c r="AC401" s="6">
        <f>$M$401*$W$401</f>
        <v>170513.00685000001</v>
      </c>
      <c r="AD401" s="6">
        <f>$O$401*$X$401</f>
        <v>0</v>
      </c>
      <c r="AE401" s="6">
        <f>$K$401*$Y$401</f>
        <v>0</v>
      </c>
      <c r="AF401" s="6">
        <f ca="1">$M$401*$Z$401</f>
        <v>194486.55364950965</v>
      </c>
      <c r="AG401" s="6">
        <f>$O$401*$AA$401</f>
        <v>0</v>
      </c>
    </row>
    <row r="402" spans="1:33" ht="11.25" customHeight="1" x14ac:dyDescent="0.25">
      <c r="A402" s="4" t="s">
        <v>21</v>
      </c>
      <c r="B402" s="4" t="s">
        <v>39</v>
      </c>
      <c r="C402" s="4" t="s">
        <v>41</v>
      </c>
      <c r="D402" s="4" t="s">
        <v>38</v>
      </c>
      <c r="E402" s="4" t="s">
        <v>25</v>
      </c>
      <c r="F402" s="4" t="s">
        <v>58</v>
      </c>
      <c r="G402" s="4" t="s">
        <v>25</v>
      </c>
      <c r="H402" s="4" t="s">
        <v>35</v>
      </c>
      <c r="I402" s="5">
        <v>44440</v>
      </c>
      <c r="J402" s="6">
        <v>0</v>
      </c>
      <c r="K402" s="6">
        <v>0</v>
      </c>
      <c r="L402" s="6">
        <v>3932.1239999999998</v>
      </c>
      <c r="M402" s="6">
        <v>3932.1239999999998</v>
      </c>
      <c r="N402" s="6">
        <v>0</v>
      </c>
      <c r="O402" s="6">
        <v>0</v>
      </c>
      <c r="P402" s="6">
        <v>0</v>
      </c>
      <c r="Q402" s="4" t="s">
        <v>57</v>
      </c>
      <c r="R402" s="4">
        <v>0</v>
      </c>
      <c r="S402" s="6">
        <v>0</v>
      </c>
      <c r="T402" s="6">
        <v>25</v>
      </c>
      <c r="U402" s="6">
        <v>0</v>
      </c>
      <c r="V402" s="6">
        <f>IF(ISERROR(VLOOKUP($S$402,'TAR FIN'!$A$1:$O$100,15,0)),0,VLOOKUP($S$402,'TAR FIN'!$A$1:$O$100,15,0))</f>
        <v>0</v>
      </c>
      <c r="W402" s="6">
        <f>IF(ISERROR(VLOOKUP($T$402,'TAR FIN'!$A$1:$O$100,15,0)),0,VLOOKUP($T$402,'TAR FIN'!$A$1:$O$100,15,0))</f>
        <v>43.65</v>
      </c>
      <c r="X402" s="6">
        <f>IF(ISERROR(VLOOKUP($U$402,'TAR FIN'!$A$1:$O$100,15,0)),0,VLOOKUP($U$402,'TAR FIN'!$A$1:$O$100,15,0))</f>
        <v>0</v>
      </c>
      <c r="Y402" s="6"/>
      <c r="Z402" s="6">
        <f ca="1">('TUSD BE'!$AM$22+'TUSD BF'!$AM$22+'TUSD CVA'!$AM$22)*1</f>
        <v>49.78704102185678</v>
      </c>
      <c r="AA402" s="6"/>
      <c r="AB402" s="6">
        <f>$K$402*$V$402</f>
        <v>0</v>
      </c>
      <c r="AC402" s="6">
        <f>$M$402*$W$402</f>
        <v>171637.2126</v>
      </c>
      <c r="AD402" s="6">
        <f>$O$402*$X$402</f>
        <v>0</v>
      </c>
      <c r="AE402" s="6">
        <f>$K$402*$Y$402</f>
        <v>0</v>
      </c>
      <c r="AF402" s="6">
        <f ca="1">$M$402*$Z$402</f>
        <v>195768.81889102756</v>
      </c>
      <c r="AG402" s="6">
        <f>$O$402*$AA$402</f>
        <v>0</v>
      </c>
    </row>
    <row r="403" spans="1:33" ht="11.25" customHeight="1" x14ac:dyDescent="0.25">
      <c r="A403" s="4" t="s">
        <v>21</v>
      </c>
      <c r="B403" s="4" t="s">
        <v>39</v>
      </c>
      <c r="C403" s="4" t="s">
        <v>41</v>
      </c>
      <c r="D403" s="4" t="s">
        <v>38</v>
      </c>
      <c r="E403" s="4" t="s">
        <v>25</v>
      </c>
      <c r="F403" s="4" t="s">
        <v>58</v>
      </c>
      <c r="G403" s="4" t="s">
        <v>25</v>
      </c>
      <c r="H403" s="4" t="s">
        <v>35</v>
      </c>
      <c r="I403" s="5">
        <v>44470</v>
      </c>
      <c r="J403" s="6">
        <v>0</v>
      </c>
      <c r="K403" s="6">
        <v>0</v>
      </c>
      <c r="L403" s="6">
        <v>4174.8879999999999</v>
      </c>
      <c r="M403" s="6">
        <v>4174.8879999999999</v>
      </c>
      <c r="N403" s="6">
        <v>0</v>
      </c>
      <c r="O403" s="6">
        <v>0</v>
      </c>
      <c r="P403" s="6">
        <v>0</v>
      </c>
      <c r="Q403" s="4" t="s">
        <v>57</v>
      </c>
      <c r="R403" s="4">
        <v>0</v>
      </c>
      <c r="S403" s="6">
        <v>0</v>
      </c>
      <c r="T403" s="6">
        <v>25</v>
      </c>
      <c r="U403" s="6">
        <v>0</v>
      </c>
      <c r="V403" s="6">
        <f>IF(ISERROR(VLOOKUP($S$403,'TAR FIN'!$A$1:$O$100,15,0)),0,VLOOKUP($S$403,'TAR FIN'!$A$1:$O$100,15,0))</f>
        <v>0</v>
      </c>
      <c r="W403" s="6">
        <f>IF(ISERROR(VLOOKUP($T$403,'TAR FIN'!$A$1:$O$100,15,0)),0,VLOOKUP($T$403,'TAR FIN'!$A$1:$O$100,15,0))</f>
        <v>43.65</v>
      </c>
      <c r="X403" s="6">
        <f>IF(ISERROR(VLOOKUP($U$403,'TAR FIN'!$A$1:$O$100,15,0)),0,VLOOKUP($U$403,'TAR FIN'!$A$1:$O$100,15,0))</f>
        <v>0</v>
      </c>
      <c r="Y403" s="6"/>
      <c r="Z403" s="6">
        <f ca="1">('TUSD BE'!$AM$22+'TUSD BF'!$AM$22+'TUSD CVA'!$AM$22)*1</f>
        <v>49.78704102185678</v>
      </c>
      <c r="AA403" s="6"/>
      <c r="AB403" s="6">
        <f>$K$403*$V$403</f>
        <v>0</v>
      </c>
      <c r="AC403" s="6">
        <f>$M$403*$W$403</f>
        <v>182233.86119999998</v>
      </c>
      <c r="AD403" s="6">
        <f>$O$403*$X$403</f>
        <v>0</v>
      </c>
      <c r="AE403" s="6">
        <f>$K$403*$Y$403</f>
        <v>0</v>
      </c>
      <c r="AF403" s="6">
        <f ca="1">$M$403*$Z$403</f>
        <v>207855.3201176576</v>
      </c>
      <c r="AG403" s="6">
        <f>$O$403*$AA$403</f>
        <v>0</v>
      </c>
    </row>
    <row r="404" spans="1:33" ht="11.25" customHeight="1" x14ac:dyDescent="0.25">
      <c r="A404" s="4" t="s">
        <v>21</v>
      </c>
      <c r="B404" s="4" t="s">
        <v>39</v>
      </c>
      <c r="C404" s="4" t="s">
        <v>41</v>
      </c>
      <c r="D404" s="4" t="s">
        <v>38</v>
      </c>
      <c r="E404" s="4" t="s">
        <v>25</v>
      </c>
      <c r="F404" s="4" t="s">
        <v>58</v>
      </c>
      <c r="G404" s="4" t="s">
        <v>25</v>
      </c>
      <c r="H404" s="4" t="s">
        <v>35</v>
      </c>
      <c r="I404" s="5">
        <v>44501</v>
      </c>
      <c r="J404" s="6">
        <v>0</v>
      </c>
      <c r="K404" s="6">
        <v>0</v>
      </c>
      <c r="L404" s="6">
        <v>4378.2280000000001</v>
      </c>
      <c r="M404" s="6">
        <v>4378.2280000000001</v>
      </c>
      <c r="N404" s="6">
        <v>0</v>
      </c>
      <c r="O404" s="6">
        <v>0</v>
      </c>
      <c r="P404" s="6">
        <v>0</v>
      </c>
      <c r="Q404" s="4" t="s">
        <v>57</v>
      </c>
      <c r="R404" s="4">
        <v>0</v>
      </c>
      <c r="S404" s="6">
        <v>0</v>
      </c>
      <c r="T404" s="6">
        <v>25</v>
      </c>
      <c r="U404" s="6">
        <v>0</v>
      </c>
      <c r="V404" s="6">
        <f>IF(ISERROR(VLOOKUP($S$404,'TAR FIN'!$A$1:$O$100,15,0)),0,VLOOKUP($S$404,'TAR FIN'!$A$1:$O$100,15,0))</f>
        <v>0</v>
      </c>
      <c r="W404" s="6">
        <f>IF(ISERROR(VLOOKUP($T$404,'TAR FIN'!$A$1:$O$100,15,0)),0,VLOOKUP($T$404,'TAR FIN'!$A$1:$O$100,15,0))</f>
        <v>43.65</v>
      </c>
      <c r="X404" s="6">
        <f>IF(ISERROR(VLOOKUP($U$404,'TAR FIN'!$A$1:$O$100,15,0)),0,VLOOKUP($U$404,'TAR FIN'!$A$1:$O$100,15,0))</f>
        <v>0</v>
      </c>
      <c r="Y404" s="6"/>
      <c r="Z404" s="6">
        <f ca="1">('TUSD BE'!$AM$22+'TUSD BF'!$AM$22+'TUSD CVA'!$AM$22)*1</f>
        <v>49.78704102185678</v>
      </c>
      <c r="AA404" s="6"/>
      <c r="AB404" s="6">
        <f>$K$404*$V$404</f>
        <v>0</v>
      </c>
      <c r="AC404" s="6">
        <f>$M$404*$W$404</f>
        <v>191109.65219999998</v>
      </c>
      <c r="AD404" s="6">
        <f>$O$404*$X$404</f>
        <v>0</v>
      </c>
      <c r="AE404" s="6">
        <f>$K$404*$Y$404</f>
        <v>0</v>
      </c>
      <c r="AF404" s="6">
        <f ca="1">$M$404*$Z$404</f>
        <v>217979.01703904197</v>
      </c>
      <c r="AG404" s="6">
        <f>$O$404*$AA$404</f>
        <v>0</v>
      </c>
    </row>
    <row r="405" spans="1:33" ht="11.25" customHeight="1" x14ac:dyDescent="0.25">
      <c r="A405" s="4" t="s">
        <v>21</v>
      </c>
      <c r="B405" s="4" t="s">
        <v>39</v>
      </c>
      <c r="C405" s="4" t="s">
        <v>41</v>
      </c>
      <c r="D405" s="4" t="s">
        <v>38</v>
      </c>
      <c r="E405" s="4" t="s">
        <v>25</v>
      </c>
      <c r="F405" s="4" t="s">
        <v>58</v>
      </c>
      <c r="G405" s="4" t="s">
        <v>25</v>
      </c>
      <c r="H405" s="4" t="s">
        <v>35</v>
      </c>
      <c r="I405" s="5">
        <v>44531</v>
      </c>
      <c r="J405" s="6">
        <v>0</v>
      </c>
      <c r="K405" s="6">
        <v>0</v>
      </c>
      <c r="L405" s="6">
        <v>4499.5730000000003</v>
      </c>
      <c r="M405" s="6">
        <v>4499.5730000000003</v>
      </c>
      <c r="N405" s="6">
        <v>0</v>
      </c>
      <c r="O405" s="6">
        <v>0</v>
      </c>
      <c r="P405" s="6">
        <v>0</v>
      </c>
      <c r="Q405" s="4" t="s">
        <v>57</v>
      </c>
      <c r="R405" s="4">
        <v>0</v>
      </c>
      <c r="S405" s="6">
        <v>0</v>
      </c>
      <c r="T405" s="6">
        <v>25</v>
      </c>
      <c r="U405" s="6">
        <v>0</v>
      </c>
      <c r="V405" s="6">
        <f>IF(ISERROR(VLOOKUP($S$405,'TAR FIN'!$A$1:$O$100,15,0)),0,VLOOKUP($S$405,'TAR FIN'!$A$1:$O$100,15,0))</f>
        <v>0</v>
      </c>
      <c r="W405" s="6">
        <f>IF(ISERROR(VLOOKUP($T$405,'TAR FIN'!$A$1:$O$100,15,0)),0,VLOOKUP($T$405,'TAR FIN'!$A$1:$O$100,15,0))</f>
        <v>43.65</v>
      </c>
      <c r="X405" s="6">
        <f>IF(ISERROR(VLOOKUP($U$405,'TAR FIN'!$A$1:$O$100,15,0)),0,VLOOKUP($U$405,'TAR FIN'!$A$1:$O$100,15,0))</f>
        <v>0</v>
      </c>
      <c r="Y405" s="6"/>
      <c r="Z405" s="6">
        <f ca="1">('TUSD BE'!$AM$22+'TUSD BF'!$AM$22+'TUSD CVA'!$AM$22)*1</f>
        <v>49.78704102185678</v>
      </c>
      <c r="AA405" s="6"/>
      <c r="AB405" s="6">
        <f>$K$405*$V$405</f>
        <v>0</v>
      </c>
      <c r="AC405" s="6">
        <f>$M$405*$W$405</f>
        <v>196406.36145</v>
      </c>
      <c r="AD405" s="6">
        <f>$O$405*$X$405</f>
        <v>0</v>
      </c>
      <c r="AE405" s="6">
        <f>$K$405*$Y$405</f>
        <v>0</v>
      </c>
      <c r="AF405" s="6">
        <f ca="1">$M$405*$Z$405</f>
        <v>224020.4255318392</v>
      </c>
      <c r="AG405" s="6">
        <f>$O$405*$AA$405</f>
        <v>0</v>
      </c>
    </row>
    <row r="406" spans="1:33" ht="11.25" customHeight="1" x14ac:dyDescent="0.25">
      <c r="A406" s="4" t="s">
        <v>55</v>
      </c>
      <c r="B406" s="4" t="s">
        <v>39</v>
      </c>
      <c r="C406" s="4" t="s">
        <v>41</v>
      </c>
      <c r="D406" s="4" t="s">
        <v>38</v>
      </c>
      <c r="E406" s="4" t="s">
        <v>25</v>
      </c>
      <c r="F406" s="4" t="s">
        <v>58</v>
      </c>
      <c r="G406" s="4" t="s">
        <v>25</v>
      </c>
      <c r="H406" s="4" t="s">
        <v>35</v>
      </c>
      <c r="I406" s="5">
        <v>44562</v>
      </c>
      <c r="J406" s="6">
        <v>0</v>
      </c>
      <c r="K406" s="6">
        <v>0</v>
      </c>
      <c r="L406" s="6">
        <v>4499.5730000000003</v>
      </c>
      <c r="M406" s="6">
        <v>4499.5730000000003</v>
      </c>
      <c r="N406" s="6">
        <v>0</v>
      </c>
      <c r="O406" s="6">
        <v>0</v>
      </c>
      <c r="P406" s="6">
        <v>0</v>
      </c>
      <c r="Q406" s="4" t="s">
        <v>57</v>
      </c>
      <c r="R406" s="4">
        <v>0</v>
      </c>
      <c r="S406" s="6">
        <v>0</v>
      </c>
      <c r="T406" s="6">
        <v>25</v>
      </c>
      <c r="U406" s="6">
        <v>0</v>
      </c>
      <c r="V406" s="6">
        <f>IF(ISERROR(VLOOKUP($S$406,'TAR FIN'!$A$1:$O$100,15,0)),0,VLOOKUP($S$406,'TAR FIN'!$A$1:$O$100,15,0))</f>
        <v>0</v>
      </c>
      <c r="W406" s="6">
        <f>IF(ISERROR(VLOOKUP($T$406,'TAR FIN'!$A$1:$O$100,15,0)),0,VLOOKUP($T$406,'TAR FIN'!$A$1:$O$100,15,0))</f>
        <v>43.65</v>
      </c>
      <c r="X406" s="6">
        <f>IF(ISERROR(VLOOKUP($U$406,'TAR FIN'!$A$1:$O$100,15,0)),0,VLOOKUP($U$406,'TAR FIN'!$A$1:$O$100,15,0))</f>
        <v>0</v>
      </c>
      <c r="Y406" s="6"/>
      <c r="Z406" s="6">
        <f ca="1">('TUSD BE'!$AM$22+'TUSD BF'!$AM$22+'TUSD CVA'!$AM$22)*1</f>
        <v>49.78704102185678</v>
      </c>
      <c r="AA406" s="6"/>
      <c r="AB406" s="6">
        <f>$K$406*$V$406</f>
        <v>0</v>
      </c>
      <c r="AC406" s="6">
        <f>$M$406*$W$406</f>
        <v>196406.36145</v>
      </c>
      <c r="AD406" s="6">
        <f>$O$406*$X$406</f>
        <v>0</v>
      </c>
      <c r="AE406" s="6">
        <f>$K$406*$Y$406</f>
        <v>0</v>
      </c>
      <c r="AF406" s="6">
        <f ca="1">$M$406*$Z$406</f>
        <v>224020.4255318392</v>
      </c>
      <c r="AG406" s="6">
        <f>$O$406*$AA$406</f>
        <v>0</v>
      </c>
    </row>
    <row r="407" spans="1:33" ht="11.25" customHeight="1" x14ac:dyDescent="0.25">
      <c r="A407" s="4" t="s">
        <v>21</v>
      </c>
      <c r="B407" s="4" t="s">
        <v>39</v>
      </c>
      <c r="C407" s="4" t="s">
        <v>41</v>
      </c>
      <c r="D407" s="4" t="s">
        <v>38</v>
      </c>
      <c r="E407" s="4" t="s">
        <v>25</v>
      </c>
      <c r="F407" s="4" t="s">
        <v>58</v>
      </c>
      <c r="G407" s="4" t="s">
        <v>25</v>
      </c>
      <c r="H407" s="4" t="s">
        <v>25</v>
      </c>
      <c r="I407" s="5">
        <v>44228</v>
      </c>
      <c r="J407" s="6">
        <v>12638</v>
      </c>
      <c r="K407" s="6">
        <v>5883.4054220999997</v>
      </c>
      <c r="L407" s="6">
        <v>0</v>
      </c>
      <c r="M407" s="6">
        <v>0</v>
      </c>
      <c r="N407" s="6">
        <v>0</v>
      </c>
      <c r="O407" s="6">
        <v>0</v>
      </c>
      <c r="P407" s="6">
        <v>17</v>
      </c>
      <c r="Q407" s="4" t="s">
        <v>57</v>
      </c>
      <c r="R407" s="4">
        <v>0</v>
      </c>
      <c r="S407" s="6">
        <v>23</v>
      </c>
      <c r="T407" s="6">
        <v>0</v>
      </c>
      <c r="U407" s="6">
        <v>0</v>
      </c>
      <c r="V407" s="6">
        <f>IF(ISERROR(VLOOKUP($S$407,'TAR FIN'!$A$1:$O$100,15,0)),0,VLOOKUP($S$407,'TAR FIN'!$A$1:$O$100,15,0))</f>
        <v>18.48</v>
      </c>
      <c r="W407" s="6">
        <f>IF(ISERROR(VLOOKUP($T$407,'TAR FIN'!$A$1:$O$100,15,0)),0,VLOOKUP($T$407,'TAR FIN'!$A$1:$O$100,15,0))</f>
        <v>0</v>
      </c>
      <c r="X407" s="6">
        <f>IF(ISERROR(VLOOKUP($U$407,'TAR FIN'!$A$1:$O$100,15,0)),0,VLOOKUP($U$407,'TAR FIN'!$A$1:$O$100,15,0))</f>
        <v>0</v>
      </c>
      <c r="Y407" s="6">
        <f ca="1">('TUSD BE'!$AM$20+'TUSD BF'!$AM$20+'TUSD CVA'!$AM$20)*1</f>
        <v>17.856842567448453</v>
      </c>
      <c r="Z407" s="6"/>
      <c r="AA407" s="6"/>
      <c r="AB407" s="6">
        <f>$K$407*$V$407</f>
        <v>108725.332200408</v>
      </c>
      <c r="AC407" s="6">
        <f>$M$407*$W$407</f>
        <v>0</v>
      </c>
      <c r="AD407" s="6">
        <f>$O$407*$X$407</f>
        <v>0</v>
      </c>
      <c r="AE407" s="6">
        <f ca="1">$K$407*$Y$407</f>
        <v>105059.04438291231</v>
      </c>
      <c r="AF407" s="6">
        <f>$M$407*$Z$407</f>
        <v>0</v>
      </c>
      <c r="AG407" s="6">
        <f>$O$407*$AA$407</f>
        <v>0</v>
      </c>
    </row>
    <row r="408" spans="1:33" ht="11.25" customHeight="1" x14ac:dyDescent="0.25">
      <c r="A408" s="4" t="s">
        <v>21</v>
      </c>
      <c r="B408" s="4" t="s">
        <v>39</v>
      </c>
      <c r="C408" s="4" t="s">
        <v>41</v>
      </c>
      <c r="D408" s="4" t="s">
        <v>38</v>
      </c>
      <c r="E408" s="4" t="s">
        <v>25</v>
      </c>
      <c r="F408" s="4" t="s">
        <v>58</v>
      </c>
      <c r="G408" s="4" t="s">
        <v>25</v>
      </c>
      <c r="H408" s="4" t="s">
        <v>25</v>
      </c>
      <c r="I408" s="5">
        <v>44256</v>
      </c>
      <c r="J408" s="6">
        <v>12227</v>
      </c>
      <c r="K408" s="6">
        <v>5603.72078943</v>
      </c>
      <c r="L408" s="6">
        <v>0</v>
      </c>
      <c r="M408" s="6">
        <v>0</v>
      </c>
      <c r="N408" s="6">
        <v>0</v>
      </c>
      <c r="O408" s="6">
        <v>0</v>
      </c>
      <c r="P408" s="6">
        <v>16</v>
      </c>
      <c r="Q408" s="4" t="s">
        <v>57</v>
      </c>
      <c r="R408" s="4">
        <v>0</v>
      </c>
      <c r="S408" s="6">
        <v>23</v>
      </c>
      <c r="T408" s="6">
        <v>0</v>
      </c>
      <c r="U408" s="6">
        <v>0</v>
      </c>
      <c r="V408" s="6">
        <f>IF(ISERROR(VLOOKUP($S$408,'TAR FIN'!$A$1:$O$100,15,0)),0,VLOOKUP($S$408,'TAR FIN'!$A$1:$O$100,15,0))</f>
        <v>18.48</v>
      </c>
      <c r="W408" s="6">
        <f>IF(ISERROR(VLOOKUP($T$408,'TAR FIN'!$A$1:$O$100,15,0)),0,VLOOKUP($T$408,'TAR FIN'!$A$1:$O$100,15,0))</f>
        <v>0</v>
      </c>
      <c r="X408" s="6">
        <f>IF(ISERROR(VLOOKUP($U$408,'TAR FIN'!$A$1:$O$100,15,0)),0,VLOOKUP($U$408,'TAR FIN'!$A$1:$O$100,15,0))</f>
        <v>0</v>
      </c>
      <c r="Y408" s="6">
        <f ca="1">('TUSD BE'!$AM$20+'TUSD BF'!$AM$20+'TUSD CVA'!$AM$20)*1</f>
        <v>17.856842567448453</v>
      </c>
      <c r="Z408" s="6"/>
      <c r="AA408" s="6"/>
      <c r="AB408" s="6">
        <f>$K$408*$V$408</f>
        <v>103556.76018866641</v>
      </c>
      <c r="AC408" s="6">
        <f>$M$408*$W$408</f>
        <v>0</v>
      </c>
      <c r="AD408" s="6">
        <f>$O$408*$X$408</f>
        <v>0</v>
      </c>
      <c r="AE408" s="6">
        <f ca="1">$K$408*$Y$408</f>
        <v>100064.75992878947</v>
      </c>
      <c r="AF408" s="6">
        <f>$M$408*$Z$408</f>
        <v>0</v>
      </c>
      <c r="AG408" s="6">
        <f>$O$408*$AA$408</f>
        <v>0</v>
      </c>
    </row>
    <row r="409" spans="1:33" ht="11.25" customHeight="1" x14ac:dyDescent="0.25">
      <c r="A409" s="4" t="s">
        <v>21</v>
      </c>
      <c r="B409" s="4" t="s">
        <v>39</v>
      </c>
      <c r="C409" s="4" t="s">
        <v>41</v>
      </c>
      <c r="D409" s="4" t="s">
        <v>38</v>
      </c>
      <c r="E409" s="4" t="s">
        <v>25</v>
      </c>
      <c r="F409" s="4" t="s">
        <v>58</v>
      </c>
      <c r="G409" s="4" t="s">
        <v>25</v>
      </c>
      <c r="H409" s="4" t="s">
        <v>25</v>
      </c>
      <c r="I409" s="5">
        <v>44287</v>
      </c>
      <c r="J409" s="6">
        <v>12336</v>
      </c>
      <c r="K409" s="6">
        <v>5574.4267142400004</v>
      </c>
      <c r="L409" s="6">
        <v>0</v>
      </c>
      <c r="M409" s="6">
        <v>0</v>
      </c>
      <c r="N409" s="6">
        <v>0</v>
      </c>
      <c r="O409" s="6">
        <v>0</v>
      </c>
      <c r="P409" s="6">
        <v>17</v>
      </c>
      <c r="Q409" s="4" t="s">
        <v>57</v>
      </c>
      <c r="R409" s="4">
        <v>0</v>
      </c>
      <c r="S409" s="6">
        <v>23</v>
      </c>
      <c r="T409" s="6">
        <v>0</v>
      </c>
      <c r="U409" s="6">
        <v>0</v>
      </c>
      <c r="V409" s="6">
        <f>IF(ISERROR(VLOOKUP($S$409,'TAR FIN'!$A$1:$O$100,15,0)),0,VLOOKUP($S$409,'TAR FIN'!$A$1:$O$100,15,0))</f>
        <v>18.48</v>
      </c>
      <c r="W409" s="6">
        <f>IF(ISERROR(VLOOKUP($T$409,'TAR FIN'!$A$1:$O$100,15,0)),0,VLOOKUP($T$409,'TAR FIN'!$A$1:$O$100,15,0))</f>
        <v>0</v>
      </c>
      <c r="X409" s="6">
        <f>IF(ISERROR(VLOOKUP($U$409,'TAR FIN'!$A$1:$O$100,15,0)),0,VLOOKUP($U$409,'TAR FIN'!$A$1:$O$100,15,0))</f>
        <v>0</v>
      </c>
      <c r="Y409" s="6">
        <f ca="1">('TUSD BE'!$AM$20+'TUSD BF'!$AM$20+'TUSD CVA'!$AM$20)*1</f>
        <v>17.856842567448453</v>
      </c>
      <c r="Z409" s="6"/>
      <c r="AA409" s="6"/>
      <c r="AB409" s="6">
        <f>$K$409*$V$409</f>
        <v>103015.40567915521</v>
      </c>
      <c r="AC409" s="6">
        <f>$M$409*$W$409</f>
        <v>0</v>
      </c>
      <c r="AD409" s="6">
        <f>$O$409*$X$409</f>
        <v>0</v>
      </c>
      <c r="AE409" s="6">
        <f ca="1">$K$409*$Y$409</f>
        <v>99541.660239962657</v>
      </c>
      <c r="AF409" s="6">
        <f>$M$409*$Z$409</f>
        <v>0</v>
      </c>
      <c r="AG409" s="6">
        <f>$O$409*$AA$409</f>
        <v>0</v>
      </c>
    </row>
    <row r="410" spans="1:33" ht="11.25" customHeight="1" x14ac:dyDescent="0.25">
      <c r="A410" s="4" t="s">
        <v>21</v>
      </c>
      <c r="B410" s="4" t="s">
        <v>39</v>
      </c>
      <c r="C410" s="4" t="s">
        <v>41</v>
      </c>
      <c r="D410" s="4" t="s">
        <v>38</v>
      </c>
      <c r="E410" s="4" t="s">
        <v>25</v>
      </c>
      <c r="F410" s="4" t="s">
        <v>58</v>
      </c>
      <c r="G410" s="4" t="s">
        <v>25</v>
      </c>
      <c r="H410" s="4" t="s">
        <v>25</v>
      </c>
      <c r="I410" s="5">
        <v>44317</v>
      </c>
      <c r="J410" s="6">
        <v>12822</v>
      </c>
      <c r="K410" s="6">
        <v>5666.2982400000001</v>
      </c>
      <c r="L410" s="6">
        <v>0</v>
      </c>
      <c r="M410" s="6">
        <v>0</v>
      </c>
      <c r="N410" s="6">
        <v>0</v>
      </c>
      <c r="O410" s="6">
        <v>0</v>
      </c>
      <c r="P410" s="6">
        <v>18</v>
      </c>
      <c r="Q410" s="4" t="s">
        <v>57</v>
      </c>
      <c r="R410" s="4">
        <v>0</v>
      </c>
      <c r="S410" s="6">
        <v>23</v>
      </c>
      <c r="T410" s="6">
        <v>0</v>
      </c>
      <c r="U410" s="6">
        <v>0</v>
      </c>
      <c r="V410" s="6">
        <f>IF(ISERROR(VLOOKUP($S$410,'TAR FIN'!$A$1:$O$100,15,0)),0,VLOOKUP($S$410,'TAR FIN'!$A$1:$O$100,15,0))</f>
        <v>18.48</v>
      </c>
      <c r="W410" s="6">
        <f>IF(ISERROR(VLOOKUP($T$410,'TAR FIN'!$A$1:$O$100,15,0)),0,VLOOKUP($T$410,'TAR FIN'!$A$1:$O$100,15,0))</f>
        <v>0</v>
      </c>
      <c r="X410" s="6">
        <f>IF(ISERROR(VLOOKUP($U$410,'TAR FIN'!$A$1:$O$100,15,0)),0,VLOOKUP($U$410,'TAR FIN'!$A$1:$O$100,15,0))</f>
        <v>0</v>
      </c>
      <c r="Y410" s="6">
        <f ca="1">('TUSD BE'!$AM$20+'TUSD BF'!$AM$20+'TUSD CVA'!$AM$20)*1</f>
        <v>17.856842567448453</v>
      </c>
      <c r="Z410" s="6"/>
      <c r="AA410" s="6"/>
      <c r="AB410" s="6">
        <f>$K$410*$V$410</f>
        <v>104713.1914752</v>
      </c>
      <c r="AC410" s="6">
        <f>$M$410*$W$410</f>
        <v>0</v>
      </c>
      <c r="AD410" s="6">
        <f>$O$410*$X$410</f>
        <v>0</v>
      </c>
      <c r="AE410" s="6">
        <f ca="1">$K$410*$Y$410</f>
        <v>101182.19561189025</v>
      </c>
      <c r="AF410" s="6">
        <f>$M$410*$Z$410</f>
        <v>0</v>
      </c>
      <c r="AG410" s="6">
        <f>$O$410*$AA$410</f>
        <v>0</v>
      </c>
    </row>
    <row r="411" spans="1:33" ht="11.25" customHeight="1" x14ac:dyDescent="0.25">
      <c r="A411" s="4" t="s">
        <v>21</v>
      </c>
      <c r="B411" s="4" t="s">
        <v>39</v>
      </c>
      <c r="C411" s="4" t="s">
        <v>41</v>
      </c>
      <c r="D411" s="4" t="s">
        <v>38</v>
      </c>
      <c r="E411" s="4" t="s">
        <v>25</v>
      </c>
      <c r="F411" s="4" t="s">
        <v>58</v>
      </c>
      <c r="G411" s="4" t="s">
        <v>25</v>
      </c>
      <c r="H411" s="4" t="s">
        <v>25</v>
      </c>
      <c r="I411" s="5">
        <v>44348</v>
      </c>
      <c r="J411" s="6">
        <v>12803</v>
      </c>
      <c r="K411" s="6">
        <v>5693.5665649800003</v>
      </c>
      <c r="L411" s="6">
        <v>0</v>
      </c>
      <c r="M411" s="6">
        <v>0</v>
      </c>
      <c r="N411" s="6">
        <v>0</v>
      </c>
      <c r="O411" s="6">
        <v>0</v>
      </c>
      <c r="P411" s="6">
        <v>19</v>
      </c>
      <c r="Q411" s="4" t="s">
        <v>57</v>
      </c>
      <c r="R411" s="4">
        <v>0</v>
      </c>
      <c r="S411" s="6">
        <v>23</v>
      </c>
      <c r="T411" s="6">
        <v>0</v>
      </c>
      <c r="U411" s="6">
        <v>0</v>
      </c>
      <c r="V411" s="6">
        <f>IF(ISERROR(VLOOKUP($S$411,'TAR FIN'!$A$1:$O$100,15,0)),0,VLOOKUP($S$411,'TAR FIN'!$A$1:$O$100,15,0))</f>
        <v>18.48</v>
      </c>
      <c r="W411" s="6">
        <f>IF(ISERROR(VLOOKUP($T$411,'TAR FIN'!$A$1:$O$100,15,0)),0,VLOOKUP($T$411,'TAR FIN'!$A$1:$O$100,15,0))</f>
        <v>0</v>
      </c>
      <c r="X411" s="6">
        <f>IF(ISERROR(VLOOKUP($U$411,'TAR FIN'!$A$1:$O$100,15,0)),0,VLOOKUP($U$411,'TAR FIN'!$A$1:$O$100,15,0))</f>
        <v>0</v>
      </c>
      <c r="Y411" s="6">
        <f ca="1">('TUSD BE'!$AM$20+'TUSD BF'!$AM$20+'TUSD CVA'!$AM$20)*1</f>
        <v>17.856842567448453</v>
      </c>
      <c r="Z411" s="6"/>
      <c r="AA411" s="6"/>
      <c r="AB411" s="6">
        <f>$K$411*$V$411</f>
        <v>105217.1101208304</v>
      </c>
      <c r="AC411" s="6">
        <f>$M$411*$W$411</f>
        <v>0</v>
      </c>
      <c r="AD411" s="6">
        <f>$O$411*$X$411</f>
        <v>0</v>
      </c>
      <c r="AE411" s="6">
        <f ca="1">$K$411*$Y$411</f>
        <v>101669.12179813614</v>
      </c>
      <c r="AF411" s="6">
        <f>$M$411*$Z$411</f>
        <v>0</v>
      </c>
      <c r="AG411" s="6">
        <f>$O$411*$AA$411</f>
        <v>0</v>
      </c>
    </row>
    <row r="412" spans="1:33" ht="11.25" customHeight="1" x14ac:dyDescent="0.25">
      <c r="A412" s="4" t="s">
        <v>21</v>
      </c>
      <c r="B412" s="4" t="s">
        <v>39</v>
      </c>
      <c r="C412" s="4" t="s">
        <v>41</v>
      </c>
      <c r="D412" s="4" t="s">
        <v>38</v>
      </c>
      <c r="E412" s="4" t="s">
        <v>25</v>
      </c>
      <c r="F412" s="4" t="s">
        <v>58</v>
      </c>
      <c r="G412" s="4" t="s">
        <v>25</v>
      </c>
      <c r="H412" s="4" t="s">
        <v>25</v>
      </c>
      <c r="I412" s="5">
        <v>44378</v>
      </c>
      <c r="J412" s="6">
        <v>13457</v>
      </c>
      <c r="K412" s="6">
        <v>6167.46461671</v>
      </c>
      <c r="L412" s="6">
        <v>0</v>
      </c>
      <c r="M412" s="6">
        <v>0</v>
      </c>
      <c r="N412" s="6">
        <v>0</v>
      </c>
      <c r="O412" s="6">
        <v>0</v>
      </c>
      <c r="P412" s="6">
        <v>19</v>
      </c>
      <c r="Q412" s="4" t="s">
        <v>57</v>
      </c>
      <c r="R412" s="4">
        <v>0</v>
      </c>
      <c r="S412" s="6">
        <v>23</v>
      </c>
      <c r="T412" s="6">
        <v>0</v>
      </c>
      <c r="U412" s="6">
        <v>0</v>
      </c>
      <c r="V412" s="6">
        <f>IF(ISERROR(VLOOKUP($S$412,'TAR FIN'!$A$1:$O$100,15,0)),0,VLOOKUP($S$412,'TAR FIN'!$A$1:$O$100,15,0))</f>
        <v>18.48</v>
      </c>
      <c r="W412" s="6">
        <f>IF(ISERROR(VLOOKUP($T$412,'TAR FIN'!$A$1:$O$100,15,0)),0,VLOOKUP($T$412,'TAR FIN'!$A$1:$O$100,15,0))</f>
        <v>0</v>
      </c>
      <c r="X412" s="6">
        <f>IF(ISERROR(VLOOKUP($U$412,'TAR FIN'!$A$1:$O$100,15,0)),0,VLOOKUP($U$412,'TAR FIN'!$A$1:$O$100,15,0))</f>
        <v>0</v>
      </c>
      <c r="Y412" s="6">
        <f ca="1">('TUSD BE'!$AM$20+'TUSD BF'!$AM$20+'TUSD CVA'!$AM$20)*1</f>
        <v>17.856842567448453</v>
      </c>
      <c r="Z412" s="6"/>
      <c r="AA412" s="6"/>
      <c r="AB412" s="6">
        <f>$K$412*$V$412</f>
        <v>113974.7461168008</v>
      </c>
      <c r="AC412" s="6">
        <f>$M$412*$W$412</f>
        <v>0</v>
      </c>
      <c r="AD412" s="6">
        <f>$O$412*$X$412</f>
        <v>0</v>
      </c>
      <c r="AE412" s="6">
        <f ca="1">$K$412*$Y$412</f>
        <v>110131.44470089929</v>
      </c>
      <c r="AF412" s="6">
        <f>$M$412*$Z$412</f>
        <v>0</v>
      </c>
      <c r="AG412" s="6">
        <f>$O$412*$AA$412</f>
        <v>0</v>
      </c>
    </row>
    <row r="413" spans="1:33" ht="11.25" customHeight="1" x14ac:dyDescent="0.25">
      <c r="A413" s="4" t="s">
        <v>21</v>
      </c>
      <c r="B413" s="4" t="s">
        <v>39</v>
      </c>
      <c r="C413" s="4" t="s">
        <v>41</v>
      </c>
      <c r="D413" s="4" t="s">
        <v>38</v>
      </c>
      <c r="E413" s="4" t="s">
        <v>25</v>
      </c>
      <c r="F413" s="4" t="s">
        <v>58</v>
      </c>
      <c r="G413" s="4" t="s">
        <v>25</v>
      </c>
      <c r="H413" s="4" t="s">
        <v>25</v>
      </c>
      <c r="I413" s="5">
        <v>44409</v>
      </c>
      <c r="J413" s="6">
        <v>12931</v>
      </c>
      <c r="K413" s="6">
        <v>5909.1049320000002</v>
      </c>
      <c r="L413" s="6">
        <v>0</v>
      </c>
      <c r="M413" s="6">
        <v>0</v>
      </c>
      <c r="N413" s="6">
        <v>0</v>
      </c>
      <c r="O413" s="6">
        <v>0</v>
      </c>
      <c r="P413" s="6">
        <v>18</v>
      </c>
      <c r="Q413" s="4" t="s">
        <v>57</v>
      </c>
      <c r="R413" s="4">
        <v>0</v>
      </c>
      <c r="S413" s="6">
        <v>23</v>
      </c>
      <c r="T413" s="6">
        <v>0</v>
      </c>
      <c r="U413" s="6">
        <v>0</v>
      </c>
      <c r="V413" s="6">
        <f>IF(ISERROR(VLOOKUP($S$413,'TAR FIN'!$A$1:$O$100,15,0)),0,VLOOKUP($S$413,'TAR FIN'!$A$1:$O$100,15,0))</f>
        <v>18.48</v>
      </c>
      <c r="W413" s="6">
        <f>IF(ISERROR(VLOOKUP($T$413,'TAR FIN'!$A$1:$O$100,15,0)),0,VLOOKUP($T$413,'TAR FIN'!$A$1:$O$100,15,0))</f>
        <v>0</v>
      </c>
      <c r="X413" s="6">
        <f>IF(ISERROR(VLOOKUP($U$413,'TAR FIN'!$A$1:$O$100,15,0)),0,VLOOKUP($U$413,'TAR FIN'!$A$1:$O$100,15,0))</f>
        <v>0</v>
      </c>
      <c r="Y413" s="6">
        <f ca="1">('TUSD BE'!$AM$20+'TUSD BF'!$AM$20+'TUSD CVA'!$AM$20)*1</f>
        <v>17.856842567448453</v>
      </c>
      <c r="Z413" s="6"/>
      <c r="AA413" s="6"/>
      <c r="AB413" s="6">
        <f>$K$413*$V$413</f>
        <v>109200.25914336</v>
      </c>
      <c r="AC413" s="6">
        <f>$M$413*$W$413</f>
        <v>0</v>
      </c>
      <c r="AD413" s="6">
        <f>$O$413*$X$413</f>
        <v>0</v>
      </c>
      <c r="AE413" s="6">
        <f ca="1">$K$413*$Y$413</f>
        <v>105517.95648525719</v>
      </c>
      <c r="AF413" s="6">
        <f>$M$413*$Z$413</f>
        <v>0</v>
      </c>
      <c r="AG413" s="6">
        <f>$O$413*$AA$413</f>
        <v>0</v>
      </c>
    </row>
    <row r="414" spans="1:33" ht="11.25" customHeight="1" x14ac:dyDescent="0.25">
      <c r="A414" s="4" t="s">
        <v>21</v>
      </c>
      <c r="B414" s="4" t="s">
        <v>39</v>
      </c>
      <c r="C414" s="4" t="s">
        <v>41</v>
      </c>
      <c r="D414" s="4" t="s">
        <v>38</v>
      </c>
      <c r="E414" s="4" t="s">
        <v>25</v>
      </c>
      <c r="F414" s="4" t="s">
        <v>58</v>
      </c>
      <c r="G414" s="4" t="s">
        <v>25</v>
      </c>
      <c r="H414" s="4" t="s">
        <v>25</v>
      </c>
      <c r="I414" s="5">
        <v>44440</v>
      </c>
      <c r="J414" s="6">
        <v>13298</v>
      </c>
      <c r="K414" s="6">
        <v>5922.5875743799998</v>
      </c>
      <c r="L414" s="6">
        <v>0</v>
      </c>
      <c r="M414" s="6">
        <v>0</v>
      </c>
      <c r="N414" s="6">
        <v>0</v>
      </c>
      <c r="O414" s="6">
        <v>0</v>
      </c>
      <c r="P414" s="6">
        <v>19</v>
      </c>
      <c r="Q414" s="4" t="s">
        <v>57</v>
      </c>
      <c r="R414" s="4">
        <v>0</v>
      </c>
      <c r="S414" s="6">
        <v>23</v>
      </c>
      <c r="T414" s="6">
        <v>0</v>
      </c>
      <c r="U414" s="6">
        <v>0</v>
      </c>
      <c r="V414" s="6">
        <f>IF(ISERROR(VLOOKUP($S$414,'TAR FIN'!$A$1:$O$100,15,0)),0,VLOOKUP($S$414,'TAR FIN'!$A$1:$O$100,15,0))</f>
        <v>18.48</v>
      </c>
      <c r="W414" s="6">
        <f>IF(ISERROR(VLOOKUP($T$414,'TAR FIN'!$A$1:$O$100,15,0)),0,VLOOKUP($T$414,'TAR FIN'!$A$1:$O$100,15,0))</f>
        <v>0</v>
      </c>
      <c r="X414" s="6">
        <f>IF(ISERROR(VLOOKUP($U$414,'TAR FIN'!$A$1:$O$100,15,0)),0,VLOOKUP($U$414,'TAR FIN'!$A$1:$O$100,15,0))</f>
        <v>0</v>
      </c>
      <c r="Y414" s="6">
        <f ca="1">('TUSD BE'!$AM$20+'TUSD BF'!$AM$20+'TUSD CVA'!$AM$20)*1</f>
        <v>17.856842567448453</v>
      </c>
      <c r="Z414" s="6"/>
      <c r="AA414" s="6"/>
      <c r="AB414" s="6">
        <f>$K$414*$V$414</f>
        <v>109449.41837454239</v>
      </c>
      <c r="AC414" s="6">
        <f>$M$414*$W$414</f>
        <v>0</v>
      </c>
      <c r="AD414" s="6">
        <f>$O$414*$X$414</f>
        <v>0</v>
      </c>
      <c r="AE414" s="6">
        <f ca="1">$K$414*$Y$414</f>
        <v>105758.71390763007</v>
      </c>
      <c r="AF414" s="6">
        <f>$M$414*$Z$414</f>
        <v>0</v>
      </c>
      <c r="AG414" s="6">
        <f>$O$414*$AA$414</f>
        <v>0</v>
      </c>
    </row>
    <row r="415" spans="1:33" ht="11.25" customHeight="1" x14ac:dyDescent="0.25">
      <c r="A415" s="4" t="s">
        <v>21</v>
      </c>
      <c r="B415" s="4" t="s">
        <v>39</v>
      </c>
      <c r="C415" s="4" t="s">
        <v>41</v>
      </c>
      <c r="D415" s="4" t="s">
        <v>38</v>
      </c>
      <c r="E415" s="4" t="s">
        <v>25</v>
      </c>
      <c r="F415" s="4" t="s">
        <v>58</v>
      </c>
      <c r="G415" s="4" t="s">
        <v>25</v>
      </c>
      <c r="H415" s="4" t="s">
        <v>25</v>
      </c>
      <c r="I415" s="5">
        <v>44470</v>
      </c>
      <c r="J415" s="6">
        <v>14086</v>
      </c>
      <c r="K415" s="6">
        <v>7714.3517191199999</v>
      </c>
      <c r="L415" s="6">
        <v>0</v>
      </c>
      <c r="M415" s="6">
        <v>0</v>
      </c>
      <c r="N415" s="6">
        <v>0</v>
      </c>
      <c r="O415" s="6">
        <v>0</v>
      </c>
      <c r="P415" s="6">
        <v>21</v>
      </c>
      <c r="Q415" s="4" t="s">
        <v>57</v>
      </c>
      <c r="R415" s="4">
        <v>0</v>
      </c>
      <c r="S415" s="6">
        <v>23</v>
      </c>
      <c r="T415" s="6">
        <v>0</v>
      </c>
      <c r="U415" s="6">
        <v>0</v>
      </c>
      <c r="V415" s="6">
        <f>IF(ISERROR(VLOOKUP($S$415,'TAR FIN'!$A$1:$O$100,15,0)),0,VLOOKUP($S$415,'TAR FIN'!$A$1:$O$100,15,0))</f>
        <v>18.48</v>
      </c>
      <c r="W415" s="6">
        <f>IF(ISERROR(VLOOKUP($T$415,'TAR FIN'!$A$1:$O$100,15,0)),0,VLOOKUP($T$415,'TAR FIN'!$A$1:$O$100,15,0))</f>
        <v>0</v>
      </c>
      <c r="X415" s="6">
        <f>IF(ISERROR(VLOOKUP($U$415,'TAR FIN'!$A$1:$O$100,15,0)),0,VLOOKUP($U$415,'TAR FIN'!$A$1:$O$100,15,0))</f>
        <v>0</v>
      </c>
      <c r="Y415" s="6">
        <f ca="1">('TUSD BE'!$AM$20+'TUSD BF'!$AM$20+'TUSD CVA'!$AM$20)*1</f>
        <v>17.856842567448453</v>
      </c>
      <c r="Z415" s="6"/>
      <c r="AA415" s="6"/>
      <c r="AB415" s="6">
        <f>$K$415*$V$415</f>
        <v>142561.21976933759</v>
      </c>
      <c r="AC415" s="6">
        <f>$M$415*$W$415</f>
        <v>0</v>
      </c>
      <c r="AD415" s="6">
        <f>$O$415*$X$415</f>
        <v>0</v>
      </c>
      <c r="AE415" s="6">
        <f ca="1">$K$415*$Y$415</f>
        <v>137753.96415825115</v>
      </c>
      <c r="AF415" s="6">
        <f>$M$415*$Z$415</f>
        <v>0</v>
      </c>
      <c r="AG415" s="6">
        <f>$O$415*$AA$415</f>
        <v>0</v>
      </c>
    </row>
    <row r="416" spans="1:33" ht="11.25" customHeight="1" x14ac:dyDescent="0.25">
      <c r="A416" s="4" t="s">
        <v>21</v>
      </c>
      <c r="B416" s="4" t="s">
        <v>39</v>
      </c>
      <c r="C416" s="4" t="s">
        <v>41</v>
      </c>
      <c r="D416" s="4" t="s">
        <v>38</v>
      </c>
      <c r="E416" s="4" t="s">
        <v>25</v>
      </c>
      <c r="F416" s="4" t="s">
        <v>58</v>
      </c>
      <c r="G416" s="4" t="s">
        <v>25</v>
      </c>
      <c r="H416" s="4" t="s">
        <v>25</v>
      </c>
      <c r="I416" s="5">
        <v>44501</v>
      </c>
      <c r="J416" s="6">
        <v>14029</v>
      </c>
      <c r="K416" s="6">
        <v>5351.5402182999997</v>
      </c>
      <c r="L416" s="6">
        <v>0</v>
      </c>
      <c r="M416" s="6">
        <v>0</v>
      </c>
      <c r="N416" s="6">
        <v>0</v>
      </c>
      <c r="O416" s="6">
        <v>0</v>
      </c>
      <c r="P416" s="6">
        <v>21</v>
      </c>
      <c r="Q416" s="4" t="s">
        <v>57</v>
      </c>
      <c r="R416" s="4">
        <v>0</v>
      </c>
      <c r="S416" s="6">
        <v>23</v>
      </c>
      <c r="T416" s="6">
        <v>0</v>
      </c>
      <c r="U416" s="6">
        <v>0</v>
      </c>
      <c r="V416" s="6">
        <f>IF(ISERROR(VLOOKUP($S$416,'TAR FIN'!$A$1:$O$100,15,0)),0,VLOOKUP($S$416,'TAR FIN'!$A$1:$O$100,15,0))</f>
        <v>18.48</v>
      </c>
      <c r="W416" s="6">
        <f>IF(ISERROR(VLOOKUP($T$416,'TAR FIN'!$A$1:$O$100,15,0)),0,VLOOKUP($T$416,'TAR FIN'!$A$1:$O$100,15,0))</f>
        <v>0</v>
      </c>
      <c r="X416" s="6">
        <f>IF(ISERROR(VLOOKUP($U$416,'TAR FIN'!$A$1:$O$100,15,0)),0,VLOOKUP($U$416,'TAR FIN'!$A$1:$O$100,15,0))</f>
        <v>0</v>
      </c>
      <c r="Y416" s="6">
        <f ca="1">('TUSD BE'!$AM$20+'TUSD BF'!$AM$20+'TUSD CVA'!$AM$20)*1</f>
        <v>17.856842567448453</v>
      </c>
      <c r="Z416" s="6"/>
      <c r="AA416" s="6"/>
      <c r="AB416" s="6">
        <f>$K$416*$V$416</f>
        <v>98896.46323418399</v>
      </c>
      <c r="AC416" s="6">
        <f>$M$416*$W$416</f>
        <v>0</v>
      </c>
      <c r="AD416" s="6">
        <f>$O$416*$X$416</f>
        <v>0</v>
      </c>
      <c r="AE416" s="6">
        <f ca="1">$K$416*$Y$416</f>
        <v>95561.61117155182</v>
      </c>
      <c r="AF416" s="6">
        <f>$M$416*$Z$416</f>
        <v>0</v>
      </c>
      <c r="AG416" s="6">
        <f>$O$416*$AA$416</f>
        <v>0</v>
      </c>
    </row>
    <row r="417" spans="1:33" ht="11.25" customHeight="1" x14ac:dyDescent="0.25">
      <c r="A417" s="4" t="s">
        <v>21</v>
      </c>
      <c r="B417" s="4" t="s">
        <v>39</v>
      </c>
      <c r="C417" s="4" t="s">
        <v>41</v>
      </c>
      <c r="D417" s="4" t="s">
        <v>38</v>
      </c>
      <c r="E417" s="4" t="s">
        <v>25</v>
      </c>
      <c r="F417" s="4" t="s">
        <v>58</v>
      </c>
      <c r="G417" s="4" t="s">
        <v>25</v>
      </c>
      <c r="H417" s="4" t="s">
        <v>25</v>
      </c>
      <c r="I417" s="5">
        <v>44531</v>
      </c>
      <c r="J417" s="6">
        <v>14125</v>
      </c>
      <c r="K417" s="6">
        <v>6051.2837637499997</v>
      </c>
      <c r="L417" s="6">
        <v>0</v>
      </c>
      <c r="M417" s="6">
        <v>0</v>
      </c>
      <c r="N417" s="6">
        <v>0</v>
      </c>
      <c r="O417" s="6">
        <v>0</v>
      </c>
      <c r="P417" s="6">
        <v>22</v>
      </c>
      <c r="Q417" s="4" t="s">
        <v>57</v>
      </c>
      <c r="R417" s="4">
        <v>0</v>
      </c>
      <c r="S417" s="6">
        <v>23</v>
      </c>
      <c r="T417" s="6">
        <v>0</v>
      </c>
      <c r="U417" s="6">
        <v>0</v>
      </c>
      <c r="V417" s="6">
        <f>IF(ISERROR(VLOOKUP($S$417,'TAR FIN'!$A$1:$O$100,15,0)),0,VLOOKUP($S$417,'TAR FIN'!$A$1:$O$100,15,0))</f>
        <v>18.48</v>
      </c>
      <c r="W417" s="6">
        <f>IF(ISERROR(VLOOKUP($T$417,'TAR FIN'!$A$1:$O$100,15,0)),0,VLOOKUP($T$417,'TAR FIN'!$A$1:$O$100,15,0))</f>
        <v>0</v>
      </c>
      <c r="X417" s="6">
        <f>IF(ISERROR(VLOOKUP($U$417,'TAR FIN'!$A$1:$O$100,15,0)),0,VLOOKUP($U$417,'TAR FIN'!$A$1:$O$100,15,0))</f>
        <v>0</v>
      </c>
      <c r="Y417" s="6">
        <f ca="1">('TUSD BE'!$AM$20+'TUSD BF'!$AM$20+'TUSD CVA'!$AM$20)*1</f>
        <v>17.856842567448453</v>
      </c>
      <c r="Z417" s="6"/>
      <c r="AA417" s="6"/>
      <c r="AB417" s="6">
        <f>$K$417*$V$417</f>
        <v>111827.7239541</v>
      </c>
      <c r="AC417" s="6">
        <f>$M$417*$W$417</f>
        <v>0</v>
      </c>
      <c r="AD417" s="6">
        <f>$O$417*$X$417</f>
        <v>0</v>
      </c>
      <c r="AE417" s="6">
        <f ca="1">$K$417*$Y$417</f>
        <v>108056.82150024068</v>
      </c>
      <c r="AF417" s="6">
        <f>$M$417*$Z$417</f>
        <v>0</v>
      </c>
      <c r="AG417" s="6">
        <f>$O$417*$AA$417</f>
        <v>0</v>
      </c>
    </row>
    <row r="418" spans="1:33" ht="11.25" customHeight="1" x14ac:dyDescent="0.25">
      <c r="A418" s="4" t="s">
        <v>55</v>
      </c>
      <c r="B418" s="4" t="s">
        <v>39</v>
      </c>
      <c r="C418" s="4" t="s">
        <v>41</v>
      </c>
      <c r="D418" s="4" t="s">
        <v>38</v>
      </c>
      <c r="E418" s="4" t="s">
        <v>25</v>
      </c>
      <c r="F418" s="4" t="s">
        <v>58</v>
      </c>
      <c r="G418" s="4" t="s">
        <v>25</v>
      </c>
      <c r="H418" s="4" t="s">
        <v>25</v>
      </c>
      <c r="I418" s="5">
        <v>44562</v>
      </c>
      <c r="J418" s="6">
        <v>14125</v>
      </c>
      <c r="K418" s="6">
        <v>6051.2837637499997</v>
      </c>
      <c r="L418" s="6">
        <v>0</v>
      </c>
      <c r="M418" s="6">
        <v>0</v>
      </c>
      <c r="N418" s="6">
        <v>0</v>
      </c>
      <c r="O418" s="6">
        <v>0</v>
      </c>
      <c r="P418" s="6">
        <v>22</v>
      </c>
      <c r="Q418" s="4" t="s">
        <v>57</v>
      </c>
      <c r="R418" s="4">
        <v>0</v>
      </c>
      <c r="S418" s="6">
        <v>23</v>
      </c>
      <c r="T418" s="6">
        <v>0</v>
      </c>
      <c r="U418" s="6">
        <v>0</v>
      </c>
      <c r="V418" s="6">
        <f>IF(ISERROR(VLOOKUP($S$418,'TAR FIN'!$A$1:$O$100,15,0)),0,VLOOKUP($S$418,'TAR FIN'!$A$1:$O$100,15,0))</f>
        <v>18.48</v>
      </c>
      <c r="W418" s="6">
        <f>IF(ISERROR(VLOOKUP($T$418,'TAR FIN'!$A$1:$O$100,15,0)),0,VLOOKUP($T$418,'TAR FIN'!$A$1:$O$100,15,0))</f>
        <v>0</v>
      </c>
      <c r="X418" s="6">
        <f>IF(ISERROR(VLOOKUP($U$418,'TAR FIN'!$A$1:$O$100,15,0)),0,VLOOKUP($U$418,'TAR FIN'!$A$1:$O$100,15,0))</f>
        <v>0</v>
      </c>
      <c r="Y418" s="6">
        <f ca="1">('TUSD BE'!$AM$20+'TUSD BF'!$AM$20+'TUSD CVA'!$AM$20)*1</f>
        <v>17.856842567448453</v>
      </c>
      <c r="Z418" s="6"/>
      <c r="AA418" s="6"/>
      <c r="AB418" s="6">
        <f>$K$418*$V$418</f>
        <v>111827.7239541</v>
      </c>
      <c r="AC418" s="6">
        <f>$M$418*$W$418</f>
        <v>0</v>
      </c>
      <c r="AD418" s="6">
        <f>$O$418*$X$418</f>
        <v>0</v>
      </c>
      <c r="AE418" s="6">
        <f ca="1">$K$418*$Y$418</f>
        <v>108056.82150024068</v>
      </c>
      <c r="AF418" s="6">
        <f>$M$418*$Z$418</f>
        <v>0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39</v>
      </c>
      <c r="C419" s="4" t="s">
        <v>41</v>
      </c>
      <c r="D419" s="4" t="s">
        <v>38</v>
      </c>
      <c r="E419" s="4" t="s">
        <v>25</v>
      </c>
      <c r="F419" s="4" t="s">
        <v>58</v>
      </c>
      <c r="G419" s="4" t="s">
        <v>25</v>
      </c>
      <c r="H419" s="4" t="s">
        <v>34</v>
      </c>
      <c r="I419" s="5">
        <v>44228</v>
      </c>
      <c r="J419" s="6">
        <v>0</v>
      </c>
      <c r="K419" s="6">
        <v>0</v>
      </c>
      <c r="L419" s="6">
        <v>319.24799999999999</v>
      </c>
      <c r="M419" s="6">
        <v>162.45768675023999</v>
      </c>
      <c r="N419" s="6">
        <v>0</v>
      </c>
      <c r="O419" s="6">
        <v>0</v>
      </c>
      <c r="P419" s="6">
        <v>0</v>
      </c>
      <c r="Q419" s="4" t="s">
        <v>57</v>
      </c>
      <c r="R419" s="4">
        <v>0</v>
      </c>
      <c r="S419" s="6">
        <v>0</v>
      </c>
      <c r="T419" s="6">
        <v>24</v>
      </c>
      <c r="U419" s="6">
        <v>0</v>
      </c>
      <c r="V419" s="6">
        <f>IF(ISERROR(VLOOKUP($S$419,'TAR FIN'!$A$1:$O$100,15,0)),0,VLOOKUP($S$419,'TAR FIN'!$A$1:$O$100,15,0))</f>
        <v>0</v>
      </c>
      <c r="W419" s="6">
        <f>IF(ISERROR(VLOOKUP($T$419,'TAR FIN'!$A$1:$O$100,15,0)),0,VLOOKUP($T$419,'TAR FIN'!$A$1:$O$100,15,0))</f>
        <v>943.81</v>
      </c>
      <c r="X419" s="6">
        <f>IF(ISERROR(VLOOKUP($U$419,'TAR FIN'!$A$1:$O$100,15,0)),0,VLOOKUP($U$419,'TAR FIN'!$A$1:$O$100,15,0))</f>
        <v>0</v>
      </c>
      <c r="Y419" s="6"/>
      <c r="Z419" s="6">
        <f ca="1">('TUSD BE'!$AM$21+'TUSD BF'!$AM$21+'TUSD CVA'!$AM$21)*1</f>
        <v>928.87102242938545</v>
      </c>
      <c r="AA419" s="6"/>
      <c r="AB419" s="6">
        <f>$K$419*$V$419</f>
        <v>0</v>
      </c>
      <c r="AC419" s="6">
        <f>$M$419*$W$419</f>
        <v>153329.18933174398</v>
      </c>
      <c r="AD419" s="6">
        <f>$O$419*$X$419</f>
        <v>0</v>
      </c>
      <c r="AE419" s="6">
        <f>$K$419*$Y$419</f>
        <v>0</v>
      </c>
      <c r="AF419" s="6">
        <f ca="1">$M$419*$Z$419</f>
        <v>150902.23759320824</v>
      </c>
      <c r="AG419" s="6">
        <f>$O$419*$AA$419</f>
        <v>0</v>
      </c>
    </row>
    <row r="420" spans="1:33" ht="11.25" customHeight="1" x14ac:dyDescent="0.25">
      <c r="A420" s="4" t="s">
        <v>21</v>
      </c>
      <c r="B420" s="4" t="s">
        <v>39</v>
      </c>
      <c r="C420" s="4" t="s">
        <v>41</v>
      </c>
      <c r="D420" s="4" t="s">
        <v>38</v>
      </c>
      <c r="E420" s="4" t="s">
        <v>25</v>
      </c>
      <c r="F420" s="4" t="s">
        <v>58</v>
      </c>
      <c r="G420" s="4" t="s">
        <v>25</v>
      </c>
      <c r="H420" s="4" t="s">
        <v>34</v>
      </c>
      <c r="I420" s="5">
        <v>44256</v>
      </c>
      <c r="J420" s="6">
        <v>0</v>
      </c>
      <c r="K420" s="6">
        <v>0</v>
      </c>
      <c r="L420" s="6">
        <v>246.649</v>
      </c>
      <c r="M420" s="6">
        <v>126.17443300188999</v>
      </c>
      <c r="N420" s="6">
        <v>0</v>
      </c>
      <c r="O420" s="6">
        <v>0</v>
      </c>
      <c r="P420" s="6">
        <v>0</v>
      </c>
      <c r="Q420" s="4" t="s">
        <v>57</v>
      </c>
      <c r="R420" s="4">
        <v>0</v>
      </c>
      <c r="S420" s="6">
        <v>0</v>
      </c>
      <c r="T420" s="6">
        <v>24</v>
      </c>
      <c r="U420" s="6">
        <v>0</v>
      </c>
      <c r="V420" s="6">
        <f>IF(ISERROR(VLOOKUP($S$420,'TAR FIN'!$A$1:$O$100,15,0)),0,VLOOKUP($S$420,'TAR FIN'!$A$1:$O$100,15,0))</f>
        <v>0</v>
      </c>
      <c r="W420" s="6">
        <f>IF(ISERROR(VLOOKUP($T$420,'TAR FIN'!$A$1:$O$100,15,0)),0,VLOOKUP($T$420,'TAR FIN'!$A$1:$O$100,15,0))</f>
        <v>943.81</v>
      </c>
      <c r="X420" s="6">
        <f>IF(ISERROR(VLOOKUP($U$420,'TAR FIN'!$A$1:$O$100,15,0)),0,VLOOKUP($U$420,'TAR FIN'!$A$1:$O$100,15,0))</f>
        <v>0</v>
      </c>
      <c r="Y420" s="6"/>
      <c r="Z420" s="6">
        <f ca="1">('TUSD BE'!$AM$21+'TUSD BF'!$AM$21+'TUSD CVA'!$AM$21)*1</f>
        <v>928.87102242938545</v>
      </c>
      <c r="AA420" s="6"/>
      <c r="AB420" s="6">
        <f>$K$420*$V$420</f>
        <v>0</v>
      </c>
      <c r="AC420" s="6">
        <f>$M$420*$W$420</f>
        <v>119084.69161151379</v>
      </c>
      <c r="AD420" s="6">
        <f>$O$420*$X$420</f>
        <v>0</v>
      </c>
      <c r="AE420" s="6">
        <f>$K$420*$Y$420</f>
        <v>0</v>
      </c>
      <c r="AF420" s="6">
        <f ca="1">$M$420*$Z$420</f>
        <v>117199.77458691355</v>
      </c>
      <c r="AG420" s="6">
        <f>$O$420*$AA$420</f>
        <v>0</v>
      </c>
    </row>
    <row r="421" spans="1:33" ht="11.25" customHeight="1" x14ac:dyDescent="0.25">
      <c r="A421" s="4" t="s">
        <v>21</v>
      </c>
      <c r="B421" s="4" t="s">
        <v>39</v>
      </c>
      <c r="C421" s="4" t="s">
        <v>41</v>
      </c>
      <c r="D421" s="4" t="s">
        <v>38</v>
      </c>
      <c r="E421" s="4" t="s">
        <v>25</v>
      </c>
      <c r="F421" s="4" t="s">
        <v>58</v>
      </c>
      <c r="G421" s="4" t="s">
        <v>25</v>
      </c>
      <c r="H421" s="4" t="s">
        <v>34</v>
      </c>
      <c r="I421" s="5">
        <v>44287</v>
      </c>
      <c r="J421" s="6">
        <v>0</v>
      </c>
      <c r="K421" s="6">
        <v>0</v>
      </c>
      <c r="L421" s="6">
        <v>307.983</v>
      </c>
      <c r="M421" s="6">
        <v>155.59023667317001</v>
      </c>
      <c r="N421" s="6">
        <v>0</v>
      </c>
      <c r="O421" s="6">
        <v>0</v>
      </c>
      <c r="P421" s="6">
        <v>0</v>
      </c>
      <c r="Q421" s="4" t="s">
        <v>57</v>
      </c>
      <c r="R421" s="4">
        <v>0</v>
      </c>
      <c r="S421" s="6">
        <v>0</v>
      </c>
      <c r="T421" s="6">
        <v>24</v>
      </c>
      <c r="U421" s="6">
        <v>0</v>
      </c>
      <c r="V421" s="6">
        <f>IF(ISERROR(VLOOKUP($S$421,'TAR FIN'!$A$1:$O$100,15,0)),0,VLOOKUP($S$421,'TAR FIN'!$A$1:$O$100,15,0))</f>
        <v>0</v>
      </c>
      <c r="W421" s="6">
        <f>IF(ISERROR(VLOOKUP($T$421,'TAR FIN'!$A$1:$O$100,15,0)),0,VLOOKUP($T$421,'TAR FIN'!$A$1:$O$100,15,0))</f>
        <v>943.81</v>
      </c>
      <c r="X421" s="6">
        <f>IF(ISERROR(VLOOKUP($U$421,'TAR FIN'!$A$1:$O$100,15,0)),0,VLOOKUP($U$421,'TAR FIN'!$A$1:$O$100,15,0))</f>
        <v>0</v>
      </c>
      <c r="Y421" s="6"/>
      <c r="Z421" s="6">
        <f ca="1">('TUSD BE'!$AM$21+'TUSD BF'!$AM$21+'TUSD CVA'!$AM$21)*1</f>
        <v>928.87102242938545</v>
      </c>
      <c r="AA421" s="6"/>
      <c r="AB421" s="6">
        <f>$K$421*$V$421</f>
        <v>0</v>
      </c>
      <c r="AC421" s="6">
        <f>$M$421*$W$421</f>
        <v>146847.62127450458</v>
      </c>
      <c r="AD421" s="6">
        <f>$O$421*$X$421</f>
        <v>0</v>
      </c>
      <c r="AE421" s="6">
        <f>$K$421*$Y$421</f>
        <v>0</v>
      </c>
      <c r="AF421" s="6">
        <f ca="1">$M$421*$Z$421</f>
        <v>144523.26221863748</v>
      </c>
      <c r="AG421" s="6">
        <f>$O$421*$AA$421</f>
        <v>0</v>
      </c>
    </row>
    <row r="422" spans="1:33" ht="11.25" customHeight="1" x14ac:dyDescent="0.25">
      <c r="A422" s="4" t="s">
        <v>21</v>
      </c>
      <c r="B422" s="4" t="s">
        <v>39</v>
      </c>
      <c r="C422" s="4" t="s">
        <v>41</v>
      </c>
      <c r="D422" s="4" t="s">
        <v>38</v>
      </c>
      <c r="E422" s="4" t="s">
        <v>25</v>
      </c>
      <c r="F422" s="4" t="s">
        <v>58</v>
      </c>
      <c r="G422" s="4" t="s">
        <v>25</v>
      </c>
      <c r="H422" s="4" t="s">
        <v>34</v>
      </c>
      <c r="I422" s="5">
        <v>44317</v>
      </c>
      <c r="J422" s="6">
        <v>0</v>
      </c>
      <c r="K422" s="6">
        <v>0</v>
      </c>
      <c r="L422" s="6">
        <v>282.05099999999999</v>
      </c>
      <c r="M422" s="6">
        <v>141.56884586691001</v>
      </c>
      <c r="N422" s="6">
        <v>0</v>
      </c>
      <c r="O422" s="6">
        <v>0</v>
      </c>
      <c r="P422" s="6">
        <v>0</v>
      </c>
      <c r="Q422" s="4" t="s">
        <v>57</v>
      </c>
      <c r="R422" s="4">
        <v>0</v>
      </c>
      <c r="S422" s="6">
        <v>0</v>
      </c>
      <c r="T422" s="6">
        <v>24</v>
      </c>
      <c r="U422" s="6">
        <v>0</v>
      </c>
      <c r="V422" s="6">
        <f>IF(ISERROR(VLOOKUP($S$422,'TAR FIN'!$A$1:$O$100,15,0)),0,VLOOKUP($S$422,'TAR FIN'!$A$1:$O$100,15,0))</f>
        <v>0</v>
      </c>
      <c r="W422" s="6">
        <f>IF(ISERROR(VLOOKUP($T$422,'TAR FIN'!$A$1:$O$100,15,0)),0,VLOOKUP($T$422,'TAR FIN'!$A$1:$O$100,15,0))</f>
        <v>943.81</v>
      </c>
      <c r="X422" s="6">
        <f>IF(ISERROR(VLOOKUP($U$422,'TAR FIN'!$A$1:$O$100,15,0)),0,VLOOKUP($U$422,'TAR FIN'!$A$1:$O$100,15,0))</f>
        <v>0</v>
      </c>
      <c r="Y422" s="6"/>
      <c r="Z422" s="6">
        <f ca="1">('TUSD BE'!$AM$21+'TUSD BF'!$AM$21+'TUSD CVA'!$AM$21)*1</f>
        <v>928.87102242938545</v>
      </c>
      <c r="AA422" s="6"/>
      <c r="AB422" s="6">
        <f>$K$422*$V$422</f>
        <v>0</v>
      </c>
      <c r="AC422" s="6">
        <f>$M$422*$W$422</f>
        <v>133614.09241764832</v>
      </c>
      <c r="AD422" s="6">
        <f>$O$422*$X$422</f>
        <v>0</v>
      </c>
      <c r="AE422" s="6">
        <f>$K$422*$Y$422</f>
        <v>0</v>
      </c>
      <c r="AF422" s="6">
        <f ca="1">$M$422*$Z$422</f>
        <v>131499.19860454477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39</v>
      </c>
      <c r="C423" s="4" t="s">
        <v>41</v>
      </c>
      <c r="D423" s="4" t="s">
        <v>38</v>
      </c>
      <c r="E423" s="4" t="s">
        <v>25</v>
      </c>
      <c r="F423" s="4" t="s">
        <v>58</v>
      </c>
      <c r="G423" s="4" t="s">
        <v>25</v>
      </c>
      <c r="H423" s="4" t="s">
        <v>34</v>
      </c>
      <c r="I423" s="5">
        <v>44348</v>
      </c>
      <c r="J423" s="6">
        <v>0</v>
      </c>
      <c r="K423" s="6">
        <v>0</v>
      </c>
      <c r="L423" s="6">
        <v>295.66399999999999</v>
      </c>
      <c r="M423" s="6">
        <v>146.53186782288</v>
      </c>
      <c r="N423" s="6">
        <v>0</v>
      </c>
      <c r="O423" s="6">
        <v>0</v>
      </c>
      <c r="P423" s="6">
        <v>0</v>
      </c>
      <c r="Q423" s="4" t="s">
        <v>57</v>
      </c>
      <c r="R423" s="4">
        <v>0</v>
      </c>
      <c r="S423" s="6">
        <v>0</v>
      </c>
      <c r="T423" s="6">
        <v>24</v>
      </c>
      <c r="U423" s="6">
        <v>0</v>
      </c>
      <c r="V423" s="6">
        <f>IF(ISERROR(VLOOKUP($S$423,'TAR FIN'!$A$1:$O$100,15,0)),0,VLOOKUP($S$423,'TAR FIN'!$A$1:$O$100,15,0))</f>
        <v>0</v>
      </c>
      <c r="W423" s="6">
        <f>IF(ISERROR(VLOOKUP($T$423,'TAR FIN'!$A$1:$O$100,15,0)),0,VLOOKUP($T$423,'TAR FIN'!$A$1:$O$100,15,0))</f>
        <v>943.81</v>
      </c>
      <c r="X423" s="6">
        <f>IF(ISERROR(VLOOKUP($U$423,'TAR FIN'!$A$1:$O$100,15,0)),0,VLOOKUP($U$423,'TAR FIN'!$A$1:$O$100,15,0))</f>
        <v>0</v>
      </c>
      <c r="Y423" s="6"/>
      <c r="Z423" s="6">
        <f ca="1">('TUSD BE'!$AM$21+'TUSD BF'!$AM$21+'TUSD CVA'!$AM$21)*1</f>
        <v>928.87102242938545</v>
      </c>
      <c r="AA423" s="6"/>
      <c r="AB423" s="6">
        <f>$K$423*$V$423</f>
        <v>0</v>
      </c>
      <c r="AC423" s="6">
        <f>$M$423*$W$423</f>
        <v>138298.24216991238</v>
      </c>
      <c r="AD423" s="6">
        <f>$O$423*$X$423</f>
        <v>0</v>
      </c>
      <c r="AE423" s="6">
        <f>$K$423*$Y$423</f>
        <v>0</v>
      </c>
      <c r="AF423" s="6">
        <f ca="1">$M$423*$Z$423</f>
        <v>136109.20588312612</v>
      </c>
      <c r="AG423" s="6">
        <f>$O$423*$AA$423</f>
        <v>0</v>
      </c>
    </row>
    <row r="424" spans="1:33" ht="11.25" customHeight="1" x14ac:dyDescent="0.25">
      <c r="A424" s="4" t="s">
        <v>21</v>
      </c>
      <c r="B424" s="4" t="s">
        <v>39</v>
      </c>
      <c r="C424" s="4" t="s">
        <v>41</v>
      </c>
      <c r="D424" s="4" t="s">
        <v>38</v>
      </c>
      <c r="E424" s="4" t="s">
        <v>25</v>
      </c>
      <c r="F424" s="4" t="s">
        <v>58</v>
      </c>
      <c r="G424" s="4" t="s">
        <v>25</v>
      </c>
      <c r="H424" s="4" t="s">
        <v>34</v>
      </c>
      <c r="I424" s="5">
        <v>44378</v>
      </c>
      <c r="J424" s="6">
        <v>0</v>
      </c>
      <c r="K424" s="6">
        <v>0</v>
      </c>
      <c r="L424" s="6">
        <v>314.65300000000002</v>
      </c>
      <c r="M424" s="6">
        <v>158.83230968986001</v>
      </c>
      <c r="N424" s="6">
        <v>0</v>
      </c>
      <c r="O424" s="6">
        <v>0</v>
      </c>
      <c r="P424" s="6">
        <v>0</v>
      </c>
      <c r="Q424" s="4" t="s">
        <v>57</v>
      </c>
      <c r="R424" s="4">
        <v>0</v>
      </c>
      <c r="S424" s="6">
        <v>0</v>
      </c>
      <c r="T424" s="6">
        <v>24</v>
      </c>
      <c r="U424" s="6">
        <v>0</v>
      </c>
      <c r="V424" s="6">
        <f>IF(ISERROR(VLOOKUP($S$424,'TAR FIN'!$A$1:$O$100,15,0)),0,VLOOKUP($S$424,'TAR FIN'!$A$1:$O$100,15,0))</f>
        <v>0</v>
      </c>
      <c r="W424" s="6">
        <f>IF(ISERROR(VLOOKUP($T$424,'TAR FIN'!$A$1:$O$100,15,0)),0,VLOOKUP($T$424,'TAR FIN'!$A$1:$O$100,15,0))</f>
        <v>943.81</v>
      </c>
      <c r="X424" s="6">
        <f>IF(ISERROR(VLOOKUP($U$424,'TAR FIN'!$A$1:$O$100,15,0)),0,VLOOKUP($U$424,'TAR FIN'!$A$1:$O$100,15,0))</f>
        <v>0</v>
      </c>
      <c r="Y424" s="6"/>
      <c r="Z424" s="6">
        <f ca="1">('TUSD BE'!$AM$21+'TUSD BF'!$AM$21+'TUSD CVA'!$AM$21)*1</f>
        <v>928.87102242938545</v>
      </c>
      <c r="AA424" s="6"/>
      <c r="AB424" s="6">
        <f>$K$424*$V$424</f>
        <v>0</v>
      </c>
      <c r="AC424" s="6">
        <f>$M$424*$W$424</f>
        <v>149907.52220838677</v>
      </c>
      <c r="AD424" s="6">
        <f>$O$424*$X$424</f>
        <v>0</v>
      </c>
      <c r="AE424" s="6">
        <f>$K$424*$Y$424</f>
        <v>0</v>
      </c>
      <c r="AF424" s="6">
        <f ca="1">$M$424*$Z$424</f>
        <v>147534.72989644104</v>
      </c>
      <c r="AG424" s="6">
        <f>$O$424*$AA$424</f>
        <v>0</v>
      </c>
    </row>
    <row r="425" spans="1:33" ht="11.25" customHeight="1" x14ac:dyDescent="0.25">
      <c r="A425" s="4" t="s">
        <v>21</v>
      </c>
      <c r="B425" s="4" t="s">
        <v>39</v>
      </c>
      <c r="C425" s="4" t="s">
        <v>41</v>
      </c>
      <c r="D425" s="4" t="s">
        <v>38</v>
      </c>
      <c r="E425" s="4" t="s">
        <v>25</v>
      </c>
      <c r="F425" s="4" t="s">
        <v>58</v>
      </c>
      <c r="G425" s="4" t="s">
        <v>25</v>
      </c>
      <c r="H425" s="4" t="s">
        <v>34</v>
      </c>
      <c r="I425" s="5">
        <v>44409</v>
      </c>
      <c r="J425" s="6">
        <v>0</v>
      </c>
      <c r="K425" s="6">
        <v>0</v>
      </c>
      <c r="L425" s="6">
        <v>320.17700000000002</v>
      </c>
      <c r="M425" s="6">
        <v>161.80249392879</v>
      </c>
      <c r="N425" s="6">
        <v>0</v>
      </c>
      <c r="O425" s="6">
        <v>0</v>
      </c>
      <c r="P425" s="6">
        <v>0</v>
      </c>
      <c r="Q425" s="4" t="s">
        <v>57</v>
      </c>
      <c r="R425" s="4">
        <v>0</v>
      </c>
      <c r="S425" s="6">
        <v>0</v>
      </c>
      <c r="T425" s="6">
        <v>24</v>
      </c>
      <c r="U425" s="6">
        <v>0</v>
      </c>
      <c r="V425" s="6">
        <f>IF(ISERROR(VLOOKUP($S$425,'TAR FIN'!$A$1:$O$100,15,0)),0,VLOOKUP($S$425,'TAR FIN'!$A$1:$O$100,15,0))</f>
        <v>0</v>
      </c>
      <c r="W425" s="6">
        <f>IF(ISERROR(VLOOKUP($T$425,'TAR FIN'!$A$1:$O$100,15,0)),0,VLOOKUP($T$425,'TAR FIN'!$A$1:$O$100,15,0))</f>
        <v>943.81</v>
      </c>
      <c r="X425" s="6">
        <f>IF(ISERROR(VLOOKUP($U$425,'TAR FIN'!$A$1:$O$100,15,0)),0,VLOOKUP($U$425,'TAR FIN'!$A$1:$O$100,15,0))</f>
        <v>0</v>
      </c>
      <c r="Y425" s="6"/>
      <c r="Z425" s="6">
        <f ca="1">('TUSD BE'!$AM$21+'TUSD BF'!$AM$21+'TUSD CVA'!$AM$21)*1</f>
        <v>928.87102242938545</v>
      </c>
      <c r="AA425" s="6"/>
      <c r="AB425" s="6">
        <f>$K$425*$V$425</f>
        <v>0</v>
      </c>
      <c r="AC425" s="6">
        <f>$M$425*$W$425</f>
        <v>152710.81179493127</v>
      </c>
      <c r="AD425" s="6">
        <f>$O$425*$X$425</f>
        <v>0</v>
      </c>
      <c r="AE425" s="6">
        <f>$K$425*$Y$425</f>
        <v>0</v>
      </c>
      <c r="AF425" s="6">
        <f ca="1">$M$425*$Z$425</f>
        <v>150293.6479672596</v>
      </c>
      <c r="AG425" s="6">
        <f>$O$425*$AA$425</f>
        <v>0</v>
      </c>
    </row>
    <row r="426" spans="1:33" ht="11.25" customHeight="1" x14ac:dyDescent="0.25">
      <c r="A426" s="4" t="s">
        <v>21</v>
      </c>
      <c r="B426" s="4" t="s">
        <v>39</v>
      </c>
      <c r="C426" s="4" t="s">
        <v>41</v>
      </c>
      <c r="D426" s="4" t="s">
        <v>38</v>
      </c>
      <c r="E426" s="4" t="s">
        <v>25</v>
      </c>
      <c r="F426" s="4" t="s">
        <v>58</v>
      </c>
      <c r="G426" s="4" t="s">
        <v>25</v>
      </c>
      <c r="H426" s="4" t="s">
        <v>34</v>
      </c>
      <c r="I426" s="5">
        <v>44440</v>
      </c>
      <c r="J426" s="6">
        <v>0</v>
      </c>
      <c r="K426" s="6">
        <v>0</v>
      </c>
      <c r="L426" s="6">
        <v>336.60399999999998</v>
      </c>
      <c r="M426" s="6">
        <v>170.07936000308001</v>
      </c>
      <c r="N426" s="6">
        <v>0</v>
      </c>
      <c r="O426" s="6">
        <v>0</v>
      </c>
      <c r="P426" s="6">
        <v>0</v>
      </c>
      <c r="Q426" s="4" t="s">
        <v>57</v>
      </c>
      <c r="R426" s="4">
        <v>0</v>
      </c>
      <c r="S426" s="6">
        <v>0</v>
      </c>
      <c r="T426" s="6">
        <v>24</v>
      </c>
      <c r="U426" s="6">
        <v>0</v>
      </c>
      <c r="V426" s="6">
        <f>IF(ISERROR(VLOOKUP($S$426,'TAR FIN'!$A$1:$O$100,15,0)),0,VLOOKUP($S$426,'TAR FIN'!$A$1:$O$100,15,0))</f>
        <v>0</v>
      </c>
      <c r="W426" s="6">
        <f>IF(ISERROR(VLOOKUP($T$426,'TAR FIN'!$A$1:$O$100,15,0)),0,VLOOKUP($T$426,'TAR FIN'!$A$1:$O$100,15,0))</f>
        <v>943.81</v>
      </c>
      <c r="X426" s="6">
        <f>IF(ISERROR(VLOOKUP($U$426,'TAR FIN'!$A$1:$O$100,15,0)),0,VLOOKUP($U$426,'TAR FIN'!$A$1:$O$100,15,0))</f>
        <v>0</v>
      </c>
      <c r="Y426" s="6"/>
      <c r="Z426" s="6">
        <f ca="1">('TUSD BE'!$AM$21+'TUSD BF'!$AM$21+'TUSD CVA'!$AM$21)*1</f>
        <v>928.87102242938545</v>
      </c>
      <c r="AA426" s="6"/>
      <c r="AB426" s="6">
        <f>$K$426*$V$426</f>
        <v>0</v>
      </c>
      <c r="AC426" s="6">
        <f>$M$426*$W$426</f>
        <v>160522.60076450693</v>
      </c>
      <c r="AD426" s="6">
        <f>$O$426*$X$426</f>
        <v>0</v>
      </c>
      <c r="AE426" s="6">
        <f>$K$426*$Y$426</f>
        <v>0</v>
      </c>
      <c r="AF426" s="6">
        <f ca="1">$M$426*$Z$426</f>
        <v>157981.78902019645</v>
      </c>
      <c r="AG426" s="6">
        <f>$O$426*$AA$426</f>
        <v>0</v>
      </c>
    </row>
    <row r="427" spans="1:33" ht="11.25" customHeight="1" x14ac:dyDescent="0.25">
      <c r="A427" s="4" t="s">
        <v>21</v>
      </c>
      <c r="B427" s="4" t="s">
        <v>39</v>
      </c>
      <c r="C427" s="4" t="s">
        <v>41</v>
      </c>
      <c r="D427" s="4" t="s">
        <v>38</v>
      </c>
      <c r="E427" s="4" t="s">
        <v>25</v>
      </c>
      <c r="F427" s="4" t="s">
        <v>58</v>
      </c>
      <c r="G427" s="4" t="s">
        <v>25</v>
      </c>
      <c r="H427" s="4" t="s">
        <v>34</v>
      </c>
      <c r="I427" s="5">
        <v>44470</v>
      </c>
      <c r="J427" s="6">
        <v>0</v>
      </c>
      <c r="K427" s="6">
        <v>0</v>
      </c>
      <c r="L427" s="6">
        <v>364.46199999999999</v>
      </c>
      <c r="M427" s="6">
        <v>217.80432808847999</v>
      </c>
      <c r="N427" s="6">
        <v>0</v>
      </c>
      <c r="O427" s="6">
        <v>0</v>
      </c>
      <c r="P427" s="6">
        <v>0</v>
      </c>
      <c r="Q427" s="4" t="s">
        <v>57</v>
      </c>
      <c r="R427" s="4">
        <v>0</v>
      </c>
      <c r="S427" s="6">
        <v>0</v>
      </c>
      <c r="T427" s="6">
        <v>24</v>
      </c>
      <c r="U427" s="6">
        <v>0</v>
      </c>
      <c r="V427" s="6">
        <f>IF(ISERROR(VLOOKUP($S$427,'TAR FIN'!$A$1:$O$100,15,0)),0,VLOOKUP($S$427,'TAR FIN'!$A$1:$O$100,15,0))</f>
        <v>0</v>
      </c>
      <c r="W427" s="6">
        <f>IF(ISERROR(VLOOKUP($T$427,'TAR FIN'!$A$1:$O$100,15,0)),0,VLOOKUP($T$427,'TAR FIN'!$A$1:$O$100,15,0))</f>
        <v>943.81</v>
      </c>
      <c r="X427" s="6">
        <f>IF(ISERROR(VLOOKUP($U$427,'TAR FIN'!$A$1:$O$100,15,0)),0,VLOOKUP($U$427,'TAR FIN'!$A$1:$O$100,15,0))</f>
        <v>0</v>
      </c>
      <c r="Y427" s="6"/>
      <c r="Z427" s="6">
        <f ca="1">('TUSD BE'!$AM$21+'TUSD BF'!$AM$21+'TUSD CVA'!$AM$21)*1</f>
        <v>928.87102242938545</v>
      </c>
      <c r="AA427" s="6"/>
      <c r="AB427" s="6">
        <f>$K$427*$V$427</f>
        <v>0</v>
      </c>
      <c r="AC427" s="6">
        <f>$M$427*$W$427</f>
        <v>205565.90289318829</v>
      </c>
      <c r="AD427" s="6">
        <f>$O$427*$X$427</f>
        <v>0</v>
      </c>
      <c r="AE427" s="6">
        <f>$K$427*$Y$427</f>
        <v>0</v>
      </c>
      <c r="AF427" s="6">
        <f ca="1">$M$427*$Z$427</f>
        <v>202312.12892109173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39</v>
      </c>
      <c r="C428" s="4" t="s">
        <v>41</v>
      </c>
      <c r="D428" s="4" t="s">
        <v>38</v>
      </c>
      <c r="E428" s="4" t="s">
        <v>25</v>
      </c>
      <c r="F428" s="4" t="s">
        <v>58</v>
      </c>
      <c r="G428" s="4" t="s">
        <v>25</v>
      </c>
      <c r="H428" s="4" t="s">
        <v>34</v>
      </c>
      <c r="I428" s="5">
        <v>44501</v>
      </c>
      <c r="J428" s="6">
        <v>0</v>
      </c>
      <c r="K428" s="6">
        <v>0</v>
      </c>
      <c r="L428" s="6">
        <v>369.31900000000002</v>
      </c>
      <c r="M428" s="6">
        <v>160.29784858651001</v>
      </c>
      <c r="N428" s="6">
        <v>0</v>
      </c>
      <c r="O428" s="6">
        <v>0</v>
      </c>
      <c r="P428" s="6">
        <v>0</v>
      </c>
      <c r="Q428" s="4" t="s">
        <v>57</v>
      </c>
      <c r="R428" s="4">
        <v>0</v>
      </c>
      <c r="S428" s="6">
        <v>0</v>
      </c>
      <c r="T428" s="6">
        <v>24</v>
      </c>
      <c r="U428" s="6">
        <v>0</v>
      </c>
      <c r="V428" s="6">
        <f>IF(ISERROR(VLOOKUP($S$428,'TAR FIN'!$A$1:$O$100,15,0)),0,VLOOKUP($S$428,'TAR FIN'!$A$1:$O$100,15,0))</f>
        <v>0</v>
      </c>
      <c r="W428" s="6">
        <f>IF(ISERROR(VLOOKUP($T$428,'TAR FIN'!$A$1:$O$100,15,0)),0,VLOOKUP($T$428,'TAR FIN'!$A$1:$O$100,15,0))</f>
        <v>943.81</v>
      </c>
      <c r="X428" s="6">
        <f>IF(ISERROR(VLOOKUP($U$428,'TAR FIN'!$A$1:$O$100,15,0)),0,VLOOKUP($U$428,'TAR FIN'!$A$1:$O$100,15,0))</f>
        <v>0</v>
      </c>
      <c r="Y428" s="6"/>
      <c r="Z428" s="6">
        <f ca="1">('TUSD BE'!$AM$21+'TUSD BF'!$AM$21+'TUSD CVA'!$AM$21)*1</f>
        <v>928.87102242938545</v>
      </c>
      <c r="AA428" s="6"/>
      <c r="AB428" s="6">
        <f>$K$428*$V$428</f>
        <v>0</v>
      </c>
      <c r="AC428" s="6">
        <f>$M$428*$W$428</f>
        <v>151290.712474434</v>
      </c>
      <c r="AD428" s="6">
        <f>$O$428*$X$428</f>
        <v>0</v>
      </c>
      <c r="AE428" s="6">
        <f>$K$428*$Y$428</f>
        <v>0</v>
      </c>
      <c r="AF428" s="6">
        <f ca="1">$M$428*$Z$428</f>
        <v>148896.02650978239</v>
      </c>
      <c r="AG428" s="6">
        <f>$O$428*$AA$428</f>
        <v>0</v>
      </c>
    </row>
    <row r="429" spans="1:33" ht="11.25" customHeight="1" x14ac:dyDescent="0.25">
      <c r="A429" s="4" t="s">
        <v>21</v>
      </c>
      <c r="B429" s="4" t="s">
        <v>39</v>
      </c>
      <c r="C429" s="4" t="s">
        <v>41</v>
      </c>
      <c r="D429" s="4" t="s">
        <v>38</v>
      </c>
      <c r="E429" s="4" t="s">
        <v>25</v>
      </c>
      <c r="F429" s="4" t="s">
        <v>58</v>
      </c>
      <c r="G429" s="4" t="s">
        <v>25</v>
      </c>
      <c r="H429" s="4" t="s">
        <v>34</v>
      </c>
      <c r="I429" s="5">
        <v>44531</v>
      </c>
      <c r="J429" s="6">
        <v>0</v>
      </c>
      <c r="K429" s="6">
        <v>0</v>
      </c>
      <c r="L429" s="6">
        <v>404.59399999999999</v>
      </c>
      <c r="M429" s="6">
        <v>198.21775786786</v>
      </c>
      <c r="N429" s="6">
        <v>0</v>
      </c>
      <c r="O429" s="6">
        <v>0</v>
      </c>
      <c r="P429" s="6">
        <v>0</v>
      </c>
      <c r="Q429" s="4" t="s">
        <v>57</v>
      </c>
      <c r="R429" s="4">
        <v>0</v>
      </c>
      <c r="S429" s="6">
        <v>0</v>
      </c>
      <c r="T429" s="6">
        <v>24</v>
      </c>
      <c r="U429" s="6">
        <v>0</v>
      </c>
      <c r="V429" s="6">
        <f>IF(ISERROR(VLOOKUP($S$429,'TAR FIN'!$A$1:$O$100,15,0)),0,VLOOKUP($S$429,'TAR FIN'!$A$1:$O$100,15,0))</f>
        <v>0</v>
      </c>
      <c r="W429" s="6">
        <f>IF(ISERROR(VLOOKUP($T$429,'TAR FIN'!$A$1:$O$100,15,0)),0,VLOOKUP($T$429,'TAR FIN'!$A$1:$O$100,15,0))</f>
        <v>943.81</v>
      </c>
      <c r="X429" s="6">
        <f>IF(ISERROR(VLOOKUP($U$429,'TAR FIN'!$A$1:$O$100,15,0)),0,VLOOKUP($U$429,'TAR FIN'!$A$1:$O$100,15,0))</f>
        <v>0</v>
      </c>
      <c r="Y429" s="6"/>
      <c r="Z429" s="6">
        <f ca="1">('TUSD BE'!$AM$21+'TUSD BF'!$AM$21+'TUSD CVA'!$AM$21)*1</f>
        <v>928.87102242938545</v>
      </c>
      <c r="AA429" s="6"/>
      <c r="AB429" s="6">
        <f>$K$429*$V$429</f>
        <v>0</v>
      </c>
      <c r="AC429" s="6">
        <f>$M$429*$W$429</f>
        <v>187079.90205326493</v>
      </c>
      <c r="AD429" s="6">
        <f>$O$429*$X$429</f>
        <v>0</v>
      </c>
      <c r="AE429" s="6">
        <f>$K$429*$Y$429</f>
        <v>0</v>
      </c>
      <c r="AF429" s="6">
        <f ca="1">$M$429*$Z$429</f>
        <v>184118.73141437949</v>
      </c>
      <c r="AG429" s="6">
        <f>$O$429*$AA$429</f>
        <v>0</v>
      </c>
    </row>
    <row r="430" spans="1:33" ht="11.25" customHeight="1" x14ac:dyDescent="0.25">
      <c r="A430" s="4" t="s">
        <v>55</v>
      </c>
      <c r="B430" s="4" t="s">
        <v>39</v>
      </c>
      <c r="C430" s="4" t="s">
        <v>41</v>
      </c>
      <c r="D430" s="4" t="s">
        <v>38</v>
      </c>
      <c r="E430" s="4" t="s">
        <v>25</v>
      </c>
      <c r="F430" s="4" t="s">
        <v>58</v>
      </c>
      <c r="G430" s="4" t="s">
        <v>25</v>
      </c>
      <c r="H430" s="4" t="s">
        <v>34</v>
      </c>
      <c r="I430" s="5">
        <v>44562</v>
      </c>
      <c r="J430" s="6">
        <v>0</v>
      </c>
      <c r="K430" s="6">
        <v>0</v>
      </c>
      <c r="L430" s="6">
        <v>404.59399999999999</v>
      </c>
      <c r="M430" s="6">
        <v>198.21775786786</v>
      </c>
      <c r="N430" s="6">
        <v>0</v>
      </c>
      <c r="O430" s="6">
        <v>0</v>
      </c>
      <c r="P430" s="6">
        <v>0</v>
      </c>
      <c r="Q430" s="4" t="s">
        <v>57</v>
      </c>
      <c r="R430" s="4">
        <v>0</v>
      </c>
      <c r="S430" s="6">
        <v>0</v>
      </c>
      <c r="T430" s="6">
        <v>24</v>
      </c>
      <c r="U430" s="6">
        <v>0</v>
      </c>
      <c r="V430" s="6">
        <f>IF(ISERROR(VLOOKUP($S$430,'TAR FIN'!$A$1:$O$100,15,0)),0,VLOOKUP($S$430,'TAR FIN'!$A$1:$O$100,15,0))</f>
        <v>0</v>
      </c>
      <c r="W430" s="6">
        <f>IF(ISERROR(VLOOKUP($T$430,'TAR FIN'!$A$1:$O$100,15,0)),0,VLOOKUP($T$430,'TAR FIN'!$A$1:$O$100,15,0))</f>
        <v>943.81</v>
      </c>
      <c r="X430" s="6">
        <f>IF(ISERROR(VLOOKUP($U$430,'TAR FIN'!$A$1:$O$100,15,0)),0,VLOOKUP($U$430,'TAR FIN'!$A$1:$O$100,15,0))</f>
        <v>0</v>
      </c>
      <c r="Y430" s="6"/>
      <c r="Z430" s="6">
        <f ca="1">('TUSD BE'!$AM$21+'TUSD BF'!$AM$21+'TUSD CVA'!$AM$21)*1</f>
        <v>928.87102242938545</v>
      </c>
      <c r="AA430" s="6"/>
      <c r="AB430" s="6">
        <f>$K$430*$V$430</f>
        <v>0</v>
      </c>
      <c r="AC430" s="6">
        <f>$M$430*$W$430</f>
        <v>187079.90205326493</v>
      </c>
      <c r="AD430" s="6">
        <f>$O$430*$X$430</f>
        <v>0</v>
      </c>
      <c r="AE430" s="6">
        <f>$K$430*$Y$430</f>
        <v>0</v>
      </c>
      <c r="AF430" s="6">
        <f ca="1">$M$430*$Z$430</f>
        <v>184118.73141437949</v>
      </c>
      <c r="AG430" s="6">
        <f>$O$430*$AA$430</f>
        <v>0</v>
      </c>
    </row>
    <row r="431" spans="1:33" ht="11.25" customHeight="1" x14ac:dyDescent="0.25">
      <c r="A431" s="4" t="s">
        <v>21</v>
      </c>
      <c r="B431" s="4" t="s">
        <v>39</v>
      </c>
      <c r="C431" s="4" t="s">
        <v>41</v>
      </c>
      <c r="D431" s="4" t="s">
        <v>38</v>
      </c>
      <c r="E431" s="4" t="s">
        <v>25</v>
      </c>
      <c r="F431" s="4" t="s">
        <v>25</v>
      </c>
      <c r="G431" s="4" t="s">
        <v>25</v>
      </c>
      <c r="H431" s="4" t="s">
        <v>35</v>
      </c>
      <c r="I431" s="5">
        <v>44228</v>
      </c>
      <c r="J431" s="6">
        <v>0</v>
      </c>
      <c r="K431" s="6">
        <v>0</v>
      </c>
      <c r="L431" s="6">
        <v>3174.884</v>
      </c>
      <c r="M431" s="6">
        <v>3174.884</v>
      </c>
      <c r="N431" s="6">
        <v>3174.884</v>
      </c>
      <c r="O431" s="6">
        <v>3174.884</v>
      </c>
      <c r="P431" s="6">
        <v>0</v>
      </c>
      <c r="Q431" s="4" t="s">
        <v>26</v>
      </c>
      <c r="R431" s="4">
        <v>0</v>
      </c>
      <c r="S431" s="6">
        <v>0</v>
      </c>
      <c r="T431" s="6">
        <v>25</v>
      </c>
      <c r="U431" s="6">
        <v>68</v>
      </c>
      <c r="V431" s="6">
        <f>IF(ISERROR(VLOOKUP($S$431,'TAR FIN'!$A$1:$O$100,15,0)),0,VLOOKUP($S$431,'TAR FIN'!$A$1:$O$100,15,0))</f>
        <v>0</v>
      </c>
      <c r="W431" s="6">
        <f>IF(ISERROR(VLOOKUP($T$431,'TAR FIN'!$A$1:$O$100,15,0)),0,VLOOKUP($T$431,'TAR FIN'!$A$1:$O$100,15,0))</f>
        <v>43.65</v>
      </c>
      <c r="X431" s="6">
        <f>IF(ISERROR(VLOOKUP($U$431,'TAR FIN'!$A$1:$O$100,15,0)),0,VLOOKUP($U$431,'TAR FIN'!$A$1:$O$100,15,0))</f>
        <v>219.03</v>
      </c>
      <c r="Y431" s="6"/>
      <c r="Z431" s="6">
        <f ca="1">('TUSD BE'!$AM$22+'TUSD BF'!$AM$22+'TUSD CVA'!$AM$22)*1</f>
        <v>49.78704102185678</v>
      </c>
      <c r="AA431" s="6">
        <f>('TE BE'!$AA$8+'TE BF'!$AA$8+'TE CVA'!$AA$8)*1</f>
        <v>238.55077890362423</v>
      </c>
      <c r="AB431" s="6">
        <f>$K$431*$V$431</f>
        <v>0</v>
      </c>
      <c r="AC431" s="6">
        <f>$M$431*$W$431</f>
        <v>138583.68659999999</v>
      </c>
      <c r="AD431" s="6">
        <f>$O$431*$X$431</f>
        <v>695394.84252000006</v>
      </c>
      <c r="AE431" s="6">
        <f>$K$431*$Y$431</f>
        <v>0</v>
      </c>
      <c r="AF431" s="6">
        <f ca="1">$M$431*$Z$431</f>
        <v>158068.07994763675</v>
      </c>
      <c r="AG431" s="6">
        <f>$O$431*$AA$431</f>
        <v>757371.05112865416</v>
      </c>
    </row>
    <row r="432" spans="1:33" ht="11.25" customHeight="1" x14ac:dyDescent="0.25">
      <c r="A432" s="4" t="s">
        <v>28</v>
      </c>
      <c r="B432" s="4" t="s">
        <v>39</v>
      </c>
      <c r="C432" s="4" t="s">
        <v>41</v>
      </c>
      <c r="D432" s="4" t="s">
        <v>38</v>
      </c>
      <c r="E432" s="4" t="s">
        <v>25</v>
      </c>
      <c r="F432" s="4" t="s">
        <v>25</v>
      </c>
      <c r="G432" s="4" t="s">
        <v>25</v>
      </c>
      <c r="H432" s="4" t="s">
        <v>35</v>
      </c>
      <c r="I432" s="5">
        <v>44228</v>
      </c>
      <c r="J432" s="6">
        <v>0</v>
      </c>
      <c r="K432" s="6">
        <v>0</v>
      </c>
      <c r="L432" s="6">
        <v>97.778000000000006</v>
      </c>
      <c r="M432" s="6">
        <v>97.778000000000006</v>
      </c>
      <c r="N432" s="6">
        <v>97.778000000000006</v>
      </c>
      <c r="O432" s="6">
        <v>97.778000000000006</v>
      </c>
      <c r="P432" s="6">
        <v>0</v>
      </c>
      <c r="Q432" s="4" t="s">
        <v>26</v>
      </c>
      <c r="R432" s="4">
        <v>0</v>
      </c>
      <c r="S432" s="6">
        <v>0</v>
      </c>
      <c r="T432" s="6">
        <v>25</v>
      </c>
      <c r="U432" s="6">
        <v>68</v>
      </c>
      <c r="V432" s="6">
        <f>IF(ISERROR(VLOOKUP($S$432,'TAR FIN'!$A$1:$O$100,15,0)),0,VLOOKUP($S$432,'TAR FIN'!$A$1:$O$100,15,0))</f>
        <v>0</v>
      </c>
      <c r="W432" s="6">
        <f>IF(ISERROR(VLOOKUP($T$432,'TAR FIN'!$A$1:$O$100,15,0)),0,VLOOKUP($T$432,'TAR FIN'!$A$1:$O$100,15,0))</f>
        <v>43.65</v>
      </c>
      <c r="X432" s="6">
        <f>IF(ISERROR(VLOOKUP($U$432,'TAR FIN'!$A$1:$O$100,15,0)),0,VLOOKUP($U$432,'TAR FIN'!$A$1:$O$100,15,0))</f>
        <v>219.03</v>
      </c>
      <c r="Y432" s="6"/>
      <c r="Z432" s="6">
        <f ca="1">('TUSD BE'!$AM$22+'TUSD BF'!$AM$22+'TUSD CVA'!$AM$22)*1</f>
        <v>49.78704102185678</v>
      </c>
      <c r="AA432" s="6">
        <f>('TE BE'!$AA$8+'TE BF'!$AA$8+'TE CVA'!$AA$8)*1</f>
        <v>238.55077890362423</v>
      </c>
      <c r="AB432" s="6">
        <f>$K$432*$V$432</f>
        <v>0</v>
      </c>
      <c r="AC432" s="6">
        <f>$M$432*$W$432</f>
        <v>4268.0097000000005</v>
      </c>
      <c r="AD432" s="6">
        <f>$O$432*$X$432</f>
        <v>21416.315340000001</v>
      </c>
      <c r="AE432" s="6">
        <f>$K$432*$Y$432</f>
        <v>0</v>
      </c>
      <c r="AF432" s="6">
        <f ca="1">$M$432*$Z$432</f>
        <v>4868.0772970351127</v>
      </c>
      <c r="AG432" s="6">
        <f>$O$432*$AA$432</f>
        <v>23325.018059638573</v>
      </c>
    </row>
    <row r="433" spans="1:33" ht="11.25" customHeight="1" x14ac:dyDescent="0.25">
      <c r="A433" s="4" t="s">
        <v>21</v>
      </c>
      <c r="B433" s="4" t="s">
        <v>39</v>
      </c>
      <c r="C433" s="4" t="s">
        <v>41</v>
      </c>
      <c r="D433" s="4" t="s">
        <v>38</v>
      </c>
      <c r="E433" s="4" t="s">
        <v>25</v>
      </c>
      <c r="F433" s="4" t="s">
        <v>25</v>
      </c>
      <c r="G433" s="4" t="s">
        <v>25</v>
      </c>
      <c r="H433" s="4" t="s">
        <v>35</v>
      </c>
      <c r="I433" s="5">
        <v>44228</v>
      </c>
      <c r="J433" s="6">
        <v>0</v>
      </c>
      <c r="K433" s="6">
        <v>0</v>
      </c>
      <c r="L433" s="6">
        <v>817.31899999999996</v>
      </c>
      <c r="M433" s="6">
        <v>817.31899999999996</v>
      </c>
      <c r="N433" s="6">
        <v>0</v>
      </c>
      <c r="O433" s="6">
        <v>0</v>
      </c>
      <c r="P433" s="6">
        <v>0</v>
      </c>
      <c r="Q433" s="4" t="s">
        <v>57</v>
      </c>
      <c r="R433" s="4">
        <v>0</v>
      </c>
      <c r="S433" s="6">
        <v>0</v>
      </c>
      <c r="T433" s="6">
        <v>25</v>
      </c>
      <c r="U433" s="6">
        <v>0</v>
      </c>
      <c r="V433" s="6">
        <f>IF(ISERROR(VLOOKUP($S$433,'TAR FIN'!$A$1:$O$100,15,0)),0,VLOOKUP($S$433,'TAR FIN'!$A$1:$O$100,15,0))</f>
        <v>0</v>
      </c>
      <c r="W433" s="6">
        <f>IF(ISERROR(VLOOKUP($T$433,'TAR FIN'!$A$1:$O$100,15,0)),0,VLOOKUP($T$433,'TAR FIN'!$A$1:$O$100,15,0))</f>
        <v>43.65</v>
      </c>
      <c r="X433" s="6">
        <f>IF(ISERROR(VLOOKUP($U$433,'TAR FIN'!$A$1:$O$100,15,0)),0,VLOOKUP($U$433,'TAR FIN'!$A$1:$O$100,15,0))</f>
        <v>0</v>
      </c>
      <c r="Y433" s="6"/>
      <c r="Z433" s="6">
        <f ca="1">('TUSD BE'!$AM$22+'TUSD BF'!$AM$22+'TUSD CVA'!$AM$22)*1</f>
        <v>49.78704102185678</v>
      </c>
      <c r="AA433" s="6"/>
      <c r="AB433" s="6">
        <f>$K$433*$V$433</f>
        <v>0</v>
      </c>
      <c r="AC433" s="6">
        <f>$M$433*$W$433</f>
        <v>35675.974349999997</v>
      </c>
      <c r="AD433" s="6">
        <f>$O$433*$X$433</f>
        <v>0</v>
      </c>
      <c r="AE433" s="6">
        <f>$K$433*$Y$433</f>
        <v>0</v>
      </c>
      <c r="AF433" s="6">
        <f ca="1">$M$433*$Z$433</f>
        <v>40691.894580942957</v>
      </c>
      <c r="AG433" s="6">
        <f>$O$433*$AA$433</f>
        <v>0</v>
      </c>
    </row>
    <row r="434" spans="1:33" ht="11.25" customHeight="1" x14ac:dyDescent="0.25">
      <c r="A434" s="4" t="s">
        <v>21</v>
      </c>
      <c r="B434" s="4" t="s">
        <v>39</v>
      </c>
      <c r="C434" s="4" t="s">
        <v>41</v>
      </c>
      <c r="D434" s="4" t="s">
        <v>38</v>
      </c>
      <c r="E434" s="4" t="s">
        <v>25</v>
      </c>
      <c r="F434" s="4" t="s">
        <v>25</v>
      </c>
      <c r="G434" s="4" t="s">
        <v>25</v>
      </c>
      <c r="H434" s="4" t="s">
        <v>35</v>
      </c>
      <c r="I434" s="5">
        <v>44256</v>
      </c>
      <c r="J434" s="6">
        <v>0</v>
      </c>
      <c r="K434" s="6">
        <v>0</v>
      </c>
      <c r="L434" s="6">
        <v>3143.56</v>
      </c>
      <c r="M434" s="6">
        <v>3143.56</v>
      </c>
      <c r="N434" s="6">
        <v>3143.56</v>
      </c>
      <c r="O434" s="6">
        <v>3143.56</v>
      </c>
      <c r="P434" s="6">
        <v>0</v>
      </c>
      <c r="Q434" s="4" t="s">
        <v>26</v>
      </c>
      <c r="R434" s="4">
        <v>0</v>
      </c>
      <c r="S434" s="6">
        <v>0</v>
      </c>
      <c r="T434" s="6">
        <v>25</v>
      </c>
      <c r="U434" s="6">
        <v>68</v>
      </c>
      <c r="V434" s="6">
        <f>IF(ISERROR(VLOOKUP($S$434,'TAR FIN'!$A$1:$O$100,15,0)),0,VLOOKUP($S$434,'TAR FIN'!$A$1:$O$100,15,0))</f>
        <v>0</v>
      </c>
      <c r="W434" s="6">
        <f>IF(ISERROR(VLOOKUP($T$434,'TAR FIN'!$A$1:$O$100,15,0)),0,VLOOKUP($T$434,'TAR FIN'!$A$1:$O$100,15,0))</f>
        <v>43.65</v>
      </c>
      <c r="X434" s="6">
        <f>IF(ISERROR(VLOOKUP($U$434,'TAR FIN'!$A$1:$O$100,15,0)),0,VLOOKUP($U$434,'TAR FIN'!$A$1:$O$100,15,0))</f>
        <v>219.03</v>
      </c>
      <c r="Y434" s="6"/>
      <c r="Z434" s="6">
        <f ca="1">('TUSD BE'!$AM$22+'TUSD BF'!$AM$22+'TUSD CVA'!$AM$22)*1</f>
        <v>49.78704102185678</v>
      </c>
      <c r="AA434" s="6">
        <f>('TE BE'!$AA$8+'TE BF'!$AA$8+'TE CVA'!$AA$8)*1</f>
        <v>238.55077890362423</v>
      </c>
      <c r="AB434" s="6">
        <f>$K$434*$V$434</f>
        <v>0</v>
      </c>
      <c r="AC434" s="6">
        <f>$M$434*$W$434</f>
        <v>137216.394</v>
      </c>
      <c r="AD434" s="6">
        <f>$O$434*$X$434</f>
        <v>688533.94680000003</v>
      </c>
      <c r="AE434" s="6">
        <f>$K$434*$Y$434</f>
        <v>0</v>
      </c>
      <c r="AF434" s="6">
        <f ca="1">$M$434*$Z$434</f>
        <v>156508.55067466811</v>
      </c>
      <c r="AG434" s="6">
        <f>$O$434*$AA$434</f>
        <v>749898.68653027702</v>
      </c>
    </row>
    <row r="435" spans="1:33" ht="11.25" customHeight="1" x14ac:dyDescent="0.25">
      <c r="A435" s="4" t="s">
        <v>27</v>
      </c>
      <c r="B435" s="4" t="s">
        <v>39</v>
      </c>
      <c r="C435" s="4" t="s">
        <v>41</v>
      </c>
      <c r="D435" s="4" t="s">
        <v>38</v>
      </c>
      <c r="E435" s="4" t="s">
        <v>25</v>
      </c>
      <c r="F435" s="4" t="s">
        <v>25</v>
      </c>
      <c r="G435" s="4" t="s">
        <v>25</v>
      </c>
      <c r="H435" s="4" t="s">
        <v>35</v>
      </c>
      <c r="I435" s="5">
        <v>44256</v>
      </c>
      <c r="J435" s="6">
        <v>0</v>
      </c>
      <c r="K435" s="6">
        <v>0</v>
      </c>
      <c r="L435" s="6">
        <v>-65.292000000000002</v>
      </c>
      <c r="M435" s="6">
        <v>-65.292000000000002</v>
      </c>
      <c r="N435" s="6">
        <v>-65.292000000000002</v>
      </c>
      <c r="O435" s="6">
        <v>-65.292000000000002</v>
      </c>
      <c r="P435" s="6">
        <v>0</v>
      </c>
      <c r="Q435" s="4" t="s">
        <v>26</v>
      </c>
      <c r="R435" s="4">
        <v>0</v>
      </c>
      <c r="S435" s="6">
        <v>0</v>
      </c>
      <c r="T435" s="6">
        <v>25</v>
      </c>
      <c r="U435" s="6">
        <v>68</v>
      </c>
      <c r="V435" s="6">
        <f>IF(ISERROR(VLOOKUP($S$435,'TAR FIN'!$A$1:$O$100,15,0)),0,VLOOKUP($S$435,'TAR FIN'!$A$1:$O$100,15,0))</f>
        <v>0</v>
      </c>
      <c r="W435" s="6">
        <f>IF(ISERROR(VLOOKUP($T$435,'TAR FIN'!$A$1:$O$100,15,0)),0,VLOOKUP($T$435,'TAR FIN'!$A$1:$O$100,15,0))</f>
        <v>43.65</v>
      </c>
      <c r="X435" s="6">
        <f>IF(ISERROR(VLOOKUP($U$435,'TAR FIN'!$A$1:$O$100,15,0)),0,VLOOKUP($U$435,'TAR FIN'!$A$1:$O$100,15,0))</f>
        <v>219.03</v>
      </c>
      <c r="Y435" s="6"/>
      <c r="Z435" s="6">
        <f ca="1">('TUSD BE'!$AM$22+'TUSD BF'!$AM$22+'TUSD CVA'!$AM$22)*1</f>
        <v>49.78704102185678</v>
      </c>
      <c r="AA435" s="6">
        <f>('TE BE'!$AA$8+'TE BF'!$AA$8+'TE CVA'!$AA$8)*1</f>
        <v>238.55077890362423</v>
      </c>
      <c r="AB435" s="6">
        <f>$K$435*$V$435</f>
        <v>0</v>
      </c>
      <c r="AC435" s="6">
        <f>$M$435*$W$435</f>
        <v>-2849.9958000000001</v>
      </c>
      <c r="AD435" s="6">
        <f>$O$435*$X$435</f>
        <v>-14300.90676</v>
      </c>
      <c r="AE435" s="6">
        <f>$K$435*$Y$435</f>
        <v>0</v>
      </c>
      <c r="AF435" s="6">
        <f ca="1">$M$435*$Z$435</f>
        <v>-3250.6954823990732</v>
      </c>
      <c r="AG435" s="6">
        <f>$O$435*$AA$435</f>
        <v>-15575.457456175434</v>
      </c>
    </row>
    <row r="436" spans="1:33" ht="11.25" customHeight="1" x14ac:dyDescent="0.25">
      <c r="A436" s="4" t="s">
        <v>28</v>
      </c>
      <c r="B436" s="4" t="s">
        <v>39</v>
      </c>
      <c r="C436" s="4" t="s">
        <v>41</v>
      </c>
      <c r="D436" s="4" t="s">
        <v>38</v>
      </c>
      <c r="E436" s="4" t="s">
        <v>25</v>
      </c>
      <c r="F436" s="4" t="s">
        <v>25</v>
      </c>
      <c r="G436" s="4" t="s">
        <v>25</v>
      </c>
      <c r="H436" s="4" t="s">
        <v>35</v>
      </c>
      <c r="I436" s="5">
        <v>44256</v>
      </c>
      <c r="J436" s="6">
        <v>0</v>
      </c>
      <c r="K436" s="6">
        <v>0</v>
      </c>
      <c r="L436" s="6">
        <v>136.6</v>
      </c>
      <c r="M436" s="6">
        <v>136.6</v>
      </c>
      <c r="N436" s="6">
        <v>136.6</v>
      </c>
      <c r="O436" s="6">
        <v>136.6</v>
      </c>
      <c r="P436" s="6">
        <v>0</v>
      </c>
      <c r="Q436" s="4" t="s">
        <v>26</v>
      </c>
      <c r="R436" s="4">
        <v>0</v>
      </c>
      <c r="S436" s="6">
        <v>0</v>
      </c>
      <c r="T436" s="6">
        <v>25</v>
      </c>
      <c r="U436" s="6">
        <v>68</v>
      </c>
      <c r="V436" s="6">
        <f>IF(ISERROR(VLOOKUP($S$436,'TAR FIN'!$A$1:$O$100,15,0)),0,VLOOKUP($S$436,'TAR FIN'!$A$1:$O$100,15,0))</f>
        <v>0</v>
      </c>
      <c r="W436" s="6">
        <f>IF(ISERROR(VLOOKUP($T$436,'TAR FIN'!$A$1:$O$100,15,0)),0,VLOOKUP($T$436,'TAR FIN'!$A$1:$O$100,15,0))</f>
        <v>43.65</v>
      </c>
      <c r="X436" s="6">
        <f>IF(ISERROR(VLOOKUP($U$436,'TAR FIN'!$A$1:$O$100,15,0)),0,VLOOKUP($U$436,'TAR FIN'!$A$1:$O$100,15,0))</f>
        <v>219.03</v>
      </c>
      <c r="Y436" s="6"/>
      <c r="Z436" s="6">
        <f ca="1">('TUSD BE'!$AM$22+'TUSD BF'!$AM$22+'TUSD CVA'!$AM$22)*1</f>
        <v>49.78704102185678</v>
      </c>
      <c r="AA436" s="6">
        <f>('TE BE'!$AA$8+'TE BF'!$AA$8+'TE CVA'!$AA$8)*1</f>
        <v>238.55077890362423</v>
      </c>
      <c r="AB436" s="6">
        <f>$K$436*$V$436</f>
        <v>0</v>
      </c>
      <c r="AC436" s="6">
        <f>$M$436*$W$436</f>
        <v>5962.5899999999992</v>
      </c>
      <c r="AD436" s="6">
        <f>$O$436*$X$436</f>
        <v>29919.498</v>
      </c>
      <c r="AE436" s="6">
        <f>$K$436*$Y$436</f>
        <v>0</v>
      </c>
      <c r="AF436" s="6">
        <f ca="1">$M$436*$Z$436</f>
        <v>6800.9098035856359</v>
      </c>
      <c r="AG436" s="6">
        <f>$O$436*$AA$436</f>
        <v>32586.036398235068</v>
      </c>
    </row>
    <row r="437" spans="1:33" ht="11.25" customHeight="1" x14ac:dyDescent="0.25">
      <c r="A437" s="4" t="s">
        <v>21</v>
      </c>
      <c r="B437" s="4" t="s">
        <v>39</v>
      </c>
      <c r="C437" s="4" t="s">
        <v>41</v>
      </c>
      <c r="D437" s="4" t="s">
        <v>38</v>
      </c>
      <c r="E437" s="4" t="s">
        <v>25</v>
      </c>
      <c r="F437" s="4" t="s">
        <v>25</v>
      </c>
      <c r="G437" s="4" t="s">
        <v>25</v>
      </c>
      <c r="H437" s="4" t="s">
        <v>35</v>
      </c>
      <c r="I437" s="5">
        <v>44256</v>
      </c>
      <c r="J437" s="6">
        <v>0</v>
      </c>
      <c r="K437" s="6">
        <v>0</v>
      </c>
      <c r="L437" s="6">
        <v>963.17100000000005</v>
      </c>
      <c r="M437" s="6">
        <v>963.17100000000005</v>
      </c>
      <c r="N437" s="6">
        <v>0</v>
      </c>
      <c r="O437" s="6">
        <v>0</v>
      </c>
      <c r="P437" s="6">
        <v>0</v>
      </c>
      <c r="Q437" s="4" t="s">
        <v>57</v>
      </c>
      <c r="R437" s="4">
        <v>0</v>
      </c>
      <c r="S437" s="6">
        <v>0</v>
      </c>
      <c r="T437" s="6">
        <v>25</v>
      </c>
      <c r="U437" s="6">
        <v>0</v>
      </c>
      <c r="V437" s="6">
        <f>IF(ISERROR(VLOOKUP($S$437,'TAR FIN'!$A$1:$O$100,15,0)),0,VLOOKUP($S$437,'TAR FIN'!$A$1:$O$100,15,0))</f>
        <v>0</v>
      </c>
      <c r="W437" s="6">
        <f>IF(ISERROR(VLOOKUP($T$437,'TAR FIN'!$A$1:$O$100,15,0)),0,VLOOKUP($T$437,'TAR FIN'!$A$1:$O$100,15,0))</f>
        <v>43.65</v>
      </c>
      <c r="X437" s="6">
        <f>IF(ISERROR(VLOOKUP($U$437,'TAR FIN'!$A$1:$O$100,15,0)),0,VLOOKUP($U$437,'TAR FIN'!$A$1:$O$100,15,0))</f>
        <v>0</v>
      </c>
      <c r="Y437" s="6"/>
      <c r="Z437" s="6">
        <f ca="1">('TUSD BE'!$AM$22+'TUSD BF'!$AM$22+'TUSD CVA'!$AM$22)*1</f>
        <v>49.78704102185678</v>
      </c>
      <c r="AA437" s="6"/>
      <c r="AB437" s="6">
        <f>$K$437*$V$437</f>
        <v>0</v>
      </c>
      <c r="AC437" s="6">
        <f>$M$437*$W$437</f>
        <v>42042.414150000004</v>
      </c>
      <c r="AD437" s="6">
        <f>$O$437*$X$437</f>
        <v>0</v>
      </c>
      <c r="AE437" s="6">
        <f>$K$437*$Y$437</f>
        <v>0</v>
      </c>
      <c r="AF437" s="6">
        <f ca="1">$M$437*$Z$437</f>
        <v>47953.434088062822</v>
      </c>
      <c r="AG437" s="6">
        <f>$O$437*$AA$437</f>
        <v>0</v>
      </c>
    </row>
    <row r="438" spans="1:33" ht="11.25" customHeight="1" x14ac:dyDescent="0.25">
      <c r="A438" s="4" t="s">
        <v>21</v>
      </c>
      <c r="B438" s="4" t="s">
        <v>39</v>
      </c>
      <c r="C438" s="4" t="s">
        <v>41</v>
      </c>
      <c r="D438" s="4" t="s">
        <v>38</v>
      </c>
      <c r="E438" s="4" t="s">
        <v>25</v>
      </c>
      <c r="F438" s="4" t="s">
        <v>25</v>
      </c>
      <c r="G438" s="4" t="s">
        <v>25</v>
      </c>
      <c r="H438" s="4" t="s">
        <v>35</v>
      </c>
      <c r="I438" s="5">
        <v>44287</v>
      </c>
      <c r="J438" s="6">
        <v>0</v>
      </c>
      <c r="K438" s="6">
        <v>0</v>
      </c>
      <c r="L438" s="6">
        <v>3095.029</v>
      </c>
      <c r="M438" s="6">
        <v>3095.029</v>
      </c>
      <c r="N438" s="6">
        <v>3095.029</v>
      </c>
      <c r="O438" s="6">
        <v>3095.029</v>
      </c>
      <c r="P438" s="6">
        <v>0</v>
      </c>
      <c r="Q438" s="4" t="s">
        <v>26</v>
      </c>
      <c r="R438" s="4">
        <v>0</v>
      </c>
      <c r="S438" s="6">
        <v>0</v>
      </c>
      <c r="T438" s="6">
        <v>25</v>
      </c>
      <c r="U438" s="6">
        <v>68</v>
      </c>
      <c r="V438" s="6">
        <f>IF(ISERROR(VLOOKUP($S$438,'TAR FIN'!$A$1:$O$100,15,0)),0,VLOOKUP($S$438,'TAR FIN'!$A$1:$O$100,15,0))</f>
        <v>0</v>
      </c>
      <c r="W438" s="6">
        <f>IF(ISERROR(VLOOKUP($T$438,'TAR FIN'!$A$1:$O$100,15,0)),0,VLOOKUP($T$438,'TAR FIN'!$A$1:$O$100,15,0))</f>
        <v>43.65</v>
      </c>
      <c r="X438" s="6">
        <f>IF(ISERROR(VLOOKUP($U$438,'TAR FIN'!$A$1:$O$100,15,0)),0,VLOOKUP($U$438,'TAR FIN'!$A$1:$O$100,15,0))</f>
        <v>219.03</v>
      </c>
      <c r="Y438" s="6"/>
      <c r="Z438" s="6">
        <f ca="1">('TUSD BE'!$AM$22+'TUSD BF'!$AM$22+'TUSD CVA'!$AM$22)*1</f>
        <v>49.78704102185678</v>
      </c>
      <c r="AA438" s="6">
        <f>('TE BE'!$AA$8+'TE BF'!$AA$8+'TE CVA'!$AA$8)*1</f>
        <v>238.55077890362423</v>
      </c>
      <c r="AB438" s="6">
        <f>$K$438*$V$438</f>
        <v>0</v>
      </c>
      <c r="AC438" s="6">
        <f>$M$438*$W$438</f>
        <v>135098.01585</v>
      </c>
      <c r="AD438" s="6">
        <f>$O$438*$X$438</f>
        <v>677904.20186999999</v>
      </c>
      <c r="AE438" s="6">
        <f>$K$438*$Y$438</f>
        <v>0</v>
      </c>
      <c r="AF438" s="6">
        <f ca="1">$M$438*$Z$438</f>
        <v>154092.33578683637</v>
      </c>
      <c r="AG438" s="6">
        <f>$O$438*$AA$438</f>
        <v>738321.57867930515</v>
      </c>
    </row>
    <row r="439" spans="1:33" ht="11.25" customHeight="1" x14ac:dyDescent="0.25">
      <c r="A439" s="4" t="s">
        <v>28</v>
      </c>
      <c r="B439" s="4" t="s">
        <v>39</v>
      </c>
      <c r="C439" s="4" t="s">
        <v>41</v>
      </c>
      <c r="D439" s="4" t="s">
        <v>38</v>
      </c>
      <c r="E439" s="4" t="s">
        <v>25</v>
      </c>
      <c r="F439" s="4" t="s">
        <v>25</v>
      </c>
      <c r="G439" s="4" t="s">
        <v>25</v>
      </c>
      <c r="H439" s="4" t="s">
        <v>35</v>
      </c>
      <c r="I439" s="5">
        <v>44287</v>
      </c>
      <c r="J439" s="6">
        <v>0</v>
      </c>
      <c r="K439" s="6">
        <v>0</v>
      </c>
      <c r="L439" s="6">
        <v>137.72300000000001</v>
      </c>
      <c r="M439" s="6">
        <v>137.72300000000001</v>
      </c>
      <c r="N439" s="6">
        <v>137.72300000000001</v>
      </c>
      <c r="O439" s="6">
        <v>137.72300000000001</v>
      </c>
      <c r="P439" s="6">
        <v>0</v>
      </c>
      <c r="Q439" s="4" t="s">
        <v>26</v>
      </c>
      <c r="R439" s="4">
        <v>0</v>
      </c>
      <c r="S439" s="6">
        <v>0</v>
      </c>
      <c r="T439" s="6">
        <v>25</v>
      </c>
      <c r="U439" s="6">
        <v>68</v>
      </c>
      <c r="V439" s="6">
        <f>IF(ISERROR(VLOOKUP($S$439,'TAR FIN'!$A$1:$O$100,15,0)),0,VLOOKUP($S$439,'TAR FIN'!$A$1:$O$100,15,0))</f>
        <v>0</v>
      </c>
      <c r="W439" s="6">
        <f>IF(ISERROR(VLOOKUP($T$439,'TAR FIN'!$A$1:$O$100,15,0)),0,VLOOKUP($T$439,'TAR FIN'!$A$1:$O$100,15,0))</f>
        <v>43.65</v>
      </c>
      <c r="X439" s="6">
        <f>IF(ISERROR(VLOOKUP($U$439,'TAR FIN'!$A$1:$O$100,15,0)),0,VLOOKUP($U$439,'TAR FIN'!$A$1:$O$100,15,0))</f>
        <v>219.03</v>
      </c>
      <c r="Y439" s="6"/>
      <c r="Z439" s="6">
        <f ca="1">('TUSD BE'!$AM$22+'TUSD BF'!$AM$22+'TUSD CVA'!$AM$22)*1</f>
        <v>49.78704102185678</v>
      </c>
      <c r="AA439" s="6">
        <f>('TE BE'!$AA$8+'TE BF'!$AA$8+'TE CVA'!$AA$8)*1</f>
        <v>238.55077890362423</v>
      </c>
      <c r="AB439" s="6">
        <f>$K$439*$V$439</f>
        <v>0</v>
      </c>
      <c r="AC439" s="6">
        <f>$M$439*$W$439</f>
        <v>6011.6089500000007</v>
      </c>
      <c r="AD439" s="6">
        <f>$O$439*$X$439</f>
        <v>30165.468690000002</v>
      </c>
      <c r="AE439" s="6">
        <f>$K$439*$Y$439</f>
        <v>0</v>
      </c>
      <c r="AF439" s="6">
        <f ca="1">$M$439*$Z$439</f>
        <v>6856.8206506531824</v>
      </c>
      <c r="AG439" s="6">
        <f>$O$439*$AA$439</f>
        <v>32853.928922943844</v>
      </c>
    </row>
    <row r="440" spans="1:33" ht="11.25" customHeight="1" x14ac:dyDescent="0.25">
      <c r="A440" s="4" t="s">
        <v>21</v>
      </c>
      <c r="B440" s="4" t="s">
        <v>39</v>
      </c>
      <c r="C440" s="4" t="s">
        <v>41</v>
      </c>
      <c r="D440" s="4" t="s">
        <v>38</v>
      </c>
      <c r="E440" s="4" t="s">
        <v>25</v>
      </c>
      <c r="F440" s="4" t="s">
        <v>25</v>
      </c>
      <c r="G440" s="4" t="s">
        <v>25</v>
      </c>
      <c r="H440" s="4" t="s">
        <v>35</v>
      </c>
      <c r="I440" s="5">
        <v>44287</v>
      </c>
      <c r="J440" s="6">
        <v>0</v>
      </c>
      <c r="K440" s="6">
        <v>0</v>
      </c>
      <c r="L440" s="6">
        <v>1000.342</v>
      </c>
      <c r="M440" s="6">
        <v>1000.342</v>
      </c>
      <c r="N440" s="6">
        <v>0</v>
      </c>
      <c r="O440" s="6">
        <v>0</v>
      </c>
      <c r="P440" s="6">
        <v>0</v>
      </c>
      <c r="Q440" s="4" t="s">
        <v>57</v>
      </c>
      <c r="R440" s="4">
        <v>0</v>
      </c>
      <c r="S440" s="6">
        <v>0</v>
      </c>
      <c r="T440" s="6">
        <v>25</v>
      </c>
      <c r="U440" s="6">
        <v>0</v>
      </c>
      <c r="V440" s="6">
        <f>IF(ISERROR(VLOOKUP($S$440,'TAR FIN'!$A$1:$O$100,15,0)),0,VLOOKUP($S$440,'TAR FIN'!$A$1:$O$100,15,0))</f>
        <v>0</v>
      </c>
      <c r="W440" s="6">
        <f>IF(ISERROR(VLOOKUP($T$440,'TAR FIN'!$A$1:$O$100,15,0)),0,VLOOKUP($T$440,'TAR FIN'!$A$1:$O$100,15,0))</f>
        <v>43.65</v>
      </c>
      <c r="X440" s="6">
        <f>IF(ISERROR(VLOOKUP($U$440,'TAR FIN'!$A$1:$O$100,15,0)),0,VLOOKUP($U$440,'TAR FIN'!$A$1:$O$100,15,0))</f>
        <v>0</v>
      </c>
      <c r="Y440" s="6"/>
      <c r="Z440" s="6">
        <f ca="1">('TUSD BE'!$AM$22+'TUSD BF'!$AM$22+'TUSD CVA'!$AM$22)*1</f>
        <v>49.78704102185678</v>
      </c>
      <c r="AA440" s="6"/>
      <c r="AB440" s="6">
        <f>$K$440*$V$440</f>
        <v>0</v>
      </c>
      <c r="AC440" s="6">
        <f>$M$440*$W$440</f>
        <v>43664.9283</v>
      </c>
      <c r="AD440" s="6">
        <f>$O$440*$X$440</f>
        <v>0</v>
      </c>
      <c r="AE440" s="6">
        <f>$K$440*$Y$440</f>
        <v>0</v>
      </c>
      <c r="AF440" s="6">
        <f ca="1">$M$440*$Z$440</f>
        <v>49804.068189886253</v>
      </c>
      <c r="AG440" s="6">
        <f>$O$440*$AA$440</f>
        <v>0</v>
      </c>
    </row>
    <row r="441" spans="1:33" ht="11.25" customHeight="1" x14ac:dyDescent="0.25">
      <c r="A441" s="4" t="s">
        <v>21</v>
      </c>
      <c r="B441" s="4" t="s">
        <v>39</v>
      </c>
      <c r="C441" s="4" t="s">
        <v>41</v>
      </c>
      <c r="D441" s="4" t="s">
        <v>38</v>
      </c>
      <c r="E441" s="4" t="s">
        <v>25</v>
      </c>
      <c r="F441" s="4" t="s">
        <v>25</v>
      </c>
      <c r="G441" s="4" t="s">
        <v>25</v>
      </c>
      <c r="H441" s="4" t="s">
        <v>35</v>
      </c>
      <c r="I441" s="5">
        <v>44317</v>
      </c>
      <c r="J441" s="6">
        <v>0</v>
      </c>
      <c r="K441" s="6">
        <v>0</v>
      </c>
      <c r="L441" s="6">
        <v>3253.5410000000002</v>
      </c>
      <c r="M441" s="6">
        <v>3253.5410000000002</v>
      </c>
      <c r="N441" s="6">
        <v>3253.5410000000002</v>
      </c>
      <c r="O441" s="6">
        <v>3253.5410000000002</v>
      </c>
      <c r="P441" s="6">
        <v>0</v>
      </c>
      <c r="Q441" s="4" t="s">
        <v>26</v>
      </c>
      <c r="R441" s="4">
        <v>0</v>
      </c>
      <c r="S441" s="6">
        <v>0</v>
      </c>
      <c r="T441" s="6">
        <v>25</v>
      </c>
      <c r="U441" s="6">
        <v>68</v>
      </c>
      <c r="V441" s="6">
        <f>IF(ISERROR(VLOOKUP($S$441,'TAR FIN'!$A$1:$O$100,15,0)),0,VLOOKUP($S$441,'TAR FIN'!$A$1:$O$100,15,0))</f>
        <v>0</v>
      </c>
      <c r="W441" s="6">
        <f>IF(ISERROR(VLOOKUP($T$441,'TAR FIN'!$A$1:$O$100,15,0)),0,VLOOKUP($T$441,'TAR FIN'!$A$1:$O$100,15,0))</f>
        <v>43.65</v>
      </c>
      <c r="X441" s="6">
        <f>IF(ISERROR(VLOOKUP($U$441,'TAR FIN'!$A$1:$O$100,15,0)),0,VLOOKUP($U$441,'TAR FIN'!$A$1:$O$100,15,0))</f>
        <v>219.03</v>
      </c>
      <c r="Y441" s="6"/>
      <c r="Z441" s="6">
        <f ca="1">('TUSD BE'!$AM$22+'TUSD BF'!$AM$22+'TUSD CVA'!$AM$22)*1</f>
        <v>49.78704102185678</v>
      </c>
      <c r="AA441" s="6">
        <f>('TE BE'!$AA$8+'TE BF'!$AA$8+'TE CVA'!$AA$8)*1</f>
        <v>238.55077890362423</v>
      </c>
      <c r="AB441" s="6">
        <f>$K$441*$V$441</f>
        <v>0</v>
      </c>
      <c r="AC441" s="6">
        <f>$M$441*$W$441</f>
        <v>142017.06465000001</v>
      </c>
      <c r="AD441" s="6">
        <f>$O$441*$X$441</f>
        <v>712623.08523000008</v>
      </c>
      <c r="AE441" s="6">
        <f>$K$441*$Y$441</f>
        <v>0</v>
      </c>
      <c r="AF441" s="6">
        <f ca="1">$M$441*$Z$441</f>
        <v>161984.17923329293</v>
      </c>
      <c r="AG441" s="6">
        <f>$O$441*$AA$441</f>
        <v>776134.73974487651</v>
      </c>
    </row>
    <row r="442" spans="1:33" ht="11.25" customHeight="1" x14ac:dyDescent="0.25">
      <c r="A442" s="4" t="s">
        <v>28</v>
      </c>
      <c r="B442" s="4" t="s">
        <v>39</v>
      </c>
      <c r="C442" s="4" t="s">
        <v>41</v>
      </c>
      <c r="D442" s="4" t="s">
        <v>38</v>
      </c>
      <c r="E442" s="4" t="s">
        <v>25</v>
      </c>
      <c r="F442" s="4" t="s">
        <v>25</v>
      </c>
      <c r="G442" s="4" t="s">
        <v>25</v>
      </c>
      <c r="H442" s="4" t="s">
        <v>35</v>
      </c>
      <c r="I442" s="5">
        <v>44317</v>
      </c>
      <c r="J442" s="6">
        <v>0</v>
      </c>
      <c r="K442" s="6">
        <v>0</v>
      </c>
      <c r="L442" s="6">
        <v>124.56399999999999</v>
      </c>
      <c r="M442" s="6">
        <v>124.56399999999999</v>
      </c>
      <c r="N442" s="6">
        <v>124.56399999999999</v>
      </c>
      <c r="O442" s="6">
        <v>124.56399999999999</v>
      </c>
      <c r="P442" s="6">
        <v>0</v>
      </c>
      <c r="Q442" s="4" t="s">
        <v>26</v>
      </c>
      <c r="R442" s="4">
        <v>0</v>
      </c>
      <c r="S442" s="6">
        <v>0</v>
      </c>
      <c r="T442" s="6">
        <v>25</v>
      </c>
      <c r="U442" s="6">
        <v>68</v>
      </c>
      <c r="V442" s="6">
        <f>IF(ISERROR(VLOOKUP($S$442,'TAR FIN'!$A$1:$O$100,15,0)),0,VLOOKUP($S$442,'TAR FIN'!$A$1:$O$100,15,0))</f>
        <v>0</v>
      </c>
      <c r="W442" s="6">
        <f>IF(ISERROR(VLOOKUP($T$442,'TAR FIN'!$A$1:$O$100,15,0)),0,VLOOKUP($T$442,'TAR FIN'!$A$1:$O$100,15,0))</f>
        <v>43.65</v>
      </c>
      <c r="X442" s="6">
        <f>IF(ISERROR(VLOOKUP($U$442,'TAR FIN'!$A$1:$O$100,15,0)),0,VLOOKUP($U$442,'TAR FIN'!$A$1:$O$100,15,0))</f>
        <v>219.03</v>
      </c>
      <c r="Y442" s="6"/>
      <c r="Z442" s="6">
        <f ca="1">('TUSD BE'!$AM$22+'TUSD BF'!$AM$22+'TUSD CVA'!$AM$22)*1</f>
        <v>49.78704102185678</v>
      </c>
      <c r="AA442" s="6">
        <f>('TE BE'!$AA$8+'TE BF'!$AA$8+'TE CVA'!$AA$8)*1</f>
        <v>238.55077890362423</v>
      </c>
      <c r="AB442" s="6">
        <f>$K$442*$V$442</f>
        <v>0</v>
      </c>
      <c r="AC442" s="6">
        <f>$M$442*$W$442</f>
        <v>5437.2185999999992</v>
      </c>
      <c r="AD442" s="6">
        <f>$O$442*$X$442</f>
        <v>27283.252919999999</v>
      </c>
      <c r="AE442" s="6">
        <f>$K$442*$Y$442</f>
        <v>0</v>
      </c>
      <c r="AF442" s="6">
        <f ca="1">$M$442*$Z$442</f>
        <v>6201.6729778465678</v>
      </c>
      <c r="AG442" s="6">
        <f>$O$442*$AA$442</f>
        <v>29714.839223351046</v>
      </c>
    </row>
    <row r="443" spans="1:33" ht="11.25" customHeight="1" x14ac:dyDescent="0.25">
      <c r="A443" s="4" t="s">
        <v>21</v>
      </c>
      <c r="B443" s="4" t="s">
        <v>39</v>
      </c>
      <c r="C443" s="4" t="s">
        <v>41</v>
      </c>
      <c r="D443" s="4" t="s">
        <v>38</v>
      </c>
      <c r="E443" s="4" t="s">
        <v>25</v>
      </c>
      <c r="F443" s="4" t="s">
        <v>25</v>
      </c>
      <c r="G443" s="4" t="s">
        <v>25</v>
      </c>
      <c r="H443" s="4" t="s">
        <v>35</v>
      </c>
      <c r="I443" s="5">
        <v>44317</v>
      </c>
      <c r="J443" s="6">
        <v>0</v>
      </c>
      <c r="K443" s="6">
        <v>0</v>
      </c>
      <c r="L443" s="6">
        <v>723.61599999999999</v>
      </c>
      <c r="M443" s="6">
        <v>723.61599999999999</v>
      </c>
      <c r="N443" s="6">
        <v>0</v>
      </c>
      <c r="O443" s="6">
        <v>0</v>
      </c>
      <c r="P443" s="6">
        <v>0</v>
      </c>
      <c r="Q443" s="4" t="s">
        <v>57</v>
      </c>
      <c r="R443" s="4">
        <v>0</v>
      </c>
      <c r="S443" s="6">
        <v>0</v>
      </c>
      <c r="T443" s="6">
        <v>25</v>
      </c>
      <c r="U443" s="6">
        <v>0</v>
      </c>
      <c r="V443" s="6">
        <f>IF(ISERROR(VLOOKUP($S$443,'TAR FIN'!$A$1:$O$100,15,0)),0,VLOOKUP($S$443,'TAR FIN'!$A$1:$O$100,15,0))</f>
        <v>0</v>
      </c>
      <c r="W443" s="6">
        <f>IF(ISERROR(VLOOKUP($T$443,'TAR FIN'!$A$1:$O$100,15,0)),0,VLOOKUP($T$443,'TAR FIN'!$A$1:$O$100,15,0))</f>
        <v>43.65</v>
      </c>
      <c r="X443" s="6">
        <f>IF(ISERROR(VLOOKUP($U$443,'TAR FIN'!$A$1:$O$100,15,0)),0,VLOOKUP($U$443,'TAR FIN'!$A$1:$O$100,15,0))</f>
        <v>0</v>
      </c>
      <c r="Y443" s="6"/>
      <c r="Z443" s="6">
        <f ca="1">('TUSD BE'!$AM$22+'TUSD BF'!$AM$22+'TUSD CVA'!$AM$22)*1</f>
        <v>49.78704102185678</v>
      </c>
      <c r="AA443" s="6"/>
      <c r="AB443" s="6">
        <f>$K$443*$V$443</f>
        <v>0</v>
      </c>
      <c r="AC443" s="6">
        <f>$M$443*$W$443</f>
        <v>31585.838399999997</v>
      </c>
      <c r="AD443" s="6">
        <f>$O$443*$X$443</f>
        <v>0</v>
      </c>
      <c r="AE443" s="6">
        <f>$K$443*$Y$443</f>
        <v>0</v>
      </c>
      <c r="AF443" s="6">
        <f ca="1">$M$443*$Z$443</f>
        <v>36026.699476071917</v>
      </c>
      <c r="AG443" s="6">
        <f>$O$443*$AA$443</f>
        <v>0</v>
      </c>
    </row>
    <row r="444" spans="1:33" ht="11.25" customHeight="1" x14ac:dyDescent="0.25">
      <c r="A444" s="4" t="s">
        <v>21</v>
      </c>
      <c r="B444" s="4" t="s">
        <v>39</v>
      </c>
      <c r="C444" s="4" t="s">
        <v>41</v>
      </c>
      <c r="D444" s="4" t="s">
        <v>38</v>
      </c>
      <c r="E444" s="4" t="s">
        <v>25</v>
      </c>
      <c r="F444" s="4" t="s">
        <v>25</v>
      </c>
      <c r="G444" s="4" t="s">
        <v>25</v>
      </c>
      <c r="H444" s="4" t="s">
        <v>35</v>
      </c>
      <c r="I444" s="5">
        <v>44348</v>
      </c>
      <c r="J444" s="6">
        <v>0</v>
      </c>
      <c r="K444" s="6">
        <v>0</v>
      </c>
      <c r="L444" s="6">
        <v>3175.163</v>
      </c>
      <c r="M444" s="6">
        <v>3175.163</v>
      </c>
      <c r="N444" s="6">
        <v>3175.163</v>
      </c>
      <c r="O444" s="6">
        <v>3175.163</v>
      </c>
      <c r="P444" s="6">
        <v>0</v>
      </c>
      <c r="Q444" s="4" t="s">
        <v>26</v>
      </c>
      <c r="R444" s="4">
        <v>0</v>
      </c>
      <c r="S444" s="6">
        <v>0</v>
      </c>
      <c r="T444" s="6">
        <v>25</v>
      </c>
      <c r="U444" s="6">
        <v>68</v>
      </c>
      <c r="V444" s="6">
        <f>IF(ISERROR(VLOOKUP($S$444,'TAR FIN'!$A$1:$O$100,15,0)),0,VLOOKUP($S$444,'TAR FIN'!$A$1:$O$100,15,0))</f>
        <v>0</v>
      </c>
      <c r="W444" s="6">
        <f>IF(ISERROR(VLOOKUP($T$444,'TAR FIN'!$A$1:$O$100,15,0)),0,VLOOKUP($T$444,'TAR FIN'!$A$1:$O$100,15,0))</f>
        <v>43.65</v>
      </c>
      <c r="X444" s="6">
        <f>IF(ISERROR(VLOOKUP($U$444,'TAR FIN'!$A$1:$O$100,15,0)),0,VLOOKUP($U$444,'TAR FIN'!$A$1:$O$100,15,0))</f>
        <v>219.03</v>
      </c>
      <c r="Y444" s="6"/>
      <c r="Z444" s="6">
        <f ca="1">('TUSD BE'!$AM$22+'TUSD BF'!$AM$22+'TUSD CVA'!$AM$22)*1</f>
        <v>49.78704102185678</v>
      </c>
      <c r="AA444" s="6">
        <f>('TE BE'!$AA$8+'TE BF'!$AA$8+'TE CVA'!$AA$8)*1</f>
        <v>238.55077890362423</v>
      </c>
      <c r="AB444" s="6">
        <f>$K$444*$V$444</f>
        <v>0</v>
      </c>
      <c r="AC444" s="6">
        <f>$M$444*$W$444</f>
        <v>138595.86494999999</v>
      </c>
      <c r="AD444" s="6">
        <f>$O$444*$X$444</f>
        <v>695455.95189000003</v>
      </c>
      <c r="AE444" s="6">
        <f>$K$444*$Y$444</f>
        <v>0</v>
      </c>
      <c r="AF444" s="6">
        <f ca="1">$M$444*$Z$444</f>
        <v>158081.97053208185</v>
      </c>
      <c r="AG444" s="6">
        <f>$O$444*$AA$444</f>
        <v>757437.60679596826</v>
      </c>
    </row>
    <row r="445" spans="1:33" ht="11.25" customHeight="1" x14ac:dyDescent="0.25">
      <c r="A445" s="4" t="s">
        <v>27</v>
      </c>
      <c r="B445" s="4" t="s">
        <v>39</v>
      </c>
      <c r="C445" s="4" t="s">
        <v>41</v>
      </c>
      <c r="D445" s="4" t="s">
        <v>38</v>
      </c>
      <c r="E445" s="4" t="s">
        <v>25</v>
      </c>
      <c r="F445" s="4" t="s">
        <v>25</v>
      </c>
      <c r="G445" s="4" t="s">
        <v>25</v>
      </c>
      <c r="H445" s="4" t="s">
        <v>35</v>
      </c>
      <c r="I445" s="5">
        <v>44348</v>
      </c>
      <c r="J445" s="6">
        <v>0</v>
      </c>
      <c r="K445" s="6">
        <v>0</v>
      </c>
      <c r="L445" s="6">
        <v>-85.05</v>
      </c>
      <c r="M445" s="6">
        <v>-85.05</v>
      </c>
      <c r="N445" s="6">
        <v>-85.05</v>
      </c>
      <c r="O445" s="6">
        <v>-85.05</v>
      </c>
      <c r="P445" s="6">
        <v>0</v>
      </c>
      <c r="Q445" s="4" t="s">
        <v>26</v>
      </c>
      <c r="R445" s="4">
        <v>0</v>
      </c>
      <c r="S445" s="6">
        <v>0</v>
      </c>
      <c r="T445" s="6">
        <v>25</v>
      </c>
      <c r="U445" s="6">
        <v>68</v>
      </c>
      <c r="V445" s="6">
        <f>IF(ISERROR(VLOOKUP($S$445,'TAR FIN'!$A$1:$O$100,15,0)),0,VLOOKUP($S$445,'TAR FIN'!$A$1:$O$100,15,0))</f>
        <v>0</v>
      </c>
      <c r="W445" s="6">
        <f>IF(ISERROR(VLOOKUP($T$445,'TAR FIN'!$A$1:$O$100,15,0)),0,VLOOKUP($T$445,'TAR FIN'!$A$1:$O$100,15,0))</f>
        <v>43.65</v>
      </c>
      <c r="X445" s="6">
        <f>IF(ISERROR(VLOOKUP($U$445,'TAR FIN'!$A$1:$O$100,15,0)),0,VLOOKUP($U$445,'TAR FIN'!$A$1:$O$100,15,0))</f>
        <v>219.03</v>
      </c>
      <c r="Y445" s="6"/>
      <c r="Z445" s="6">
        <f ca="1">('TUSD BE'!$AM$22+'TUSD BF'!$AM$22+'TUSD CVA'!$AM$22)*1</f>
        <v>49.78704102185678</v>
      </c>
      <c r="AA445" s="6">
        <f>('TE BE'!$AA$8+'TE BF'!$AA$8+'TE CVA'!$AA$8)*1</f>
        <v>238.55077890362423</v>
      </c>
      <c r="AB445" s="6">
        <f>$K$445*$V$445</f>
        <v>0</v>
      </c>
      <c r="AC445" s="6">
        <f>$M$445*$W$445</f>
        <v>-3712.4324999999999</v>
      </c>
      <c r="AD445" s="6">
        <f>$O$445*$X$445</f>
        <v>-18628.501499999998</v>
      </c>
      <c r="AE445" s="6">
        <f>$K$445*$Y$445</f>
        <v>0</v>
      </c>
      <c r="AF445" s="6">
        <f ca="1">$M$445*$Z$445</f>
        <v>-4234.3878389089186</v>
      </c>
      <c r="AG445" s="6">
        <f>$O$445*$AA$445</f>
        <v>-20288.74374575324</v>
      </c>
    </row>
    <row r="446" spans="1:33" ht="11.25" customHeight="1" x14ac:dyDescent="0.25">
      <c r="A446" s="4" t="s">
        <v>28</v>
      </c>
      <c r="B446" s="4" t="s">
        <v>39</v>
      </c>
      <c r="C446" s="4" t="s">
        <v>41</v>
      </c>
      <c r="D446" s="4" t="s">
        <v>38</v>
      </c>
      <c r="E446" s="4" t="s">
        <v>25</v>
      </c>
      <c r="F446" s="4" t="s">
        <v>25</v>
      </c>
      <c r="G446" s="4" t="s">
        <v>25</v>
      </c>
      <c r="H446" s="4" t="s">
        <v>35</v>
      </c>
      <c r="I446" s="5">
        <v>44348</v>
      </c>
      <c r="J446" s="6">
        <v>0</v>
      </c>
      <c r="K446" s="6">
        <v>0</v>
      </c>
      <c r="L446" s="6">
        <v>134.35599999999999</v>
      </c>
      <c r="M446" s="6">
        <v>134.35599999999999</v>
      </c>
      <c r="N446" s="6">
        <v>134.35599999999999</v>
      </c>
      <c r="O446" s="6">
        <v>134.35599999999999</v>
      </c>
      <c r="P446" s="6">
        <v>0</v>
      </c>
      <c r="Q446" s="4" t="s">
        <v>26</v>
      </c>
      <c r="R446" s="4">
        <v>0</v>
      </c>
      <c r="S446" s="6">
        <v>0</v>
      </c>
      <c r="T446" s="6">
        <v>25</v>
      </c>
      <c r="U446" s="6">
        <v>68</v>
      </c>
      <c r="V446" s="6">
        <f>IF(ISERROR(VLOOKUP($S$446,'TAR FIN'!$A$1:$O$100,15,0)),0,VLOOKUP($S$446,'TAR FIN'!$A$1:$O$100,15,0))</f>
        <v>0</v>
      </c>
      <c r="W446" s="6">
        <f>IF(ISERROR(VLOOKUP($T$446,'TAR FIN'!$A$1:$O$100,15,0)),0,VLOOKUP($T$446,'TAR FIN'!$A$1:$O$100,15,0))</f>
        <v>43.65</v>
      </c>
      <c r="X446" s="6">
        <f>IF(ISERROR(VLOOKUP($U$446,'TAR FIN'!$A$1:$O$100,15,0)),0,VLOOKUP($U$446,'TAR FIN'!$A$1:$O$100,15,0))</f>
        <v>219.03</v>
      </c>
      <c r="Y446" s="6"/>
      <c r="Z446" s="6">
        <f ca="1">('TUSD BE'!$AM$22+'TUSD BF'!$AM$22+'TUSD CVA'!$AM$22)*1</f>
        <v>49.78704102185678</v>
      </c>
      <c r="AA446" s="6">
        <f>('TE BE'!$AA$8+'TE BF'!$AA$8+'TE CVA'!$AA$8)*1</f>
        <v>238.55077890362423</v>
      </c>
      <c r="AB446" s="6">
        <f>$K$446*$V$446</f>
        <v>0</v>
      </c>
      <c r="AC446" s="6">
        <f>$M$446*$W$446</f>
        <v>5864.6394</v>
      </c>
      <c r="AD446" s="6">
        <f>$O$446*$X$446</f>
        <v>29427.99468</v>
      </c>
      <c r="AE446" s="6">
        <f>$K$446*$Y$446</f>
        <v>0</v>
      </c>
      <c r="AF446" s="6">
        <f ca="1">$M$446*$Z$446</f>
        <v>6689.1876835325893</v>
      </c>
      <c r="AG446" s="6">
        <f>$O$446*$AA$446</f>
        <v>32050.728450375336</v>
      </c>
    </row>
    <row r="447" spans="1:33" ht="11.25" customHeight="1" x14ac:dyDescent="0.25">
      <c r="A447" s="4" t="s">
        <v>21</v>
      </c>
      <c r="B447" s="4" t="s">
        <v>39</v>
      </c>
      <c r="C447" s="4" t="s">
        <v>41</v>
      </c>
      <c r="D447" s="4" t="s">
        <v>38</v>
      </c>
      <c r="E447" s="4" t="s">
        <v>25</v>
      </c>
      <c r="F447" s="4" t="s">
        <v>25</v>
      </c>
      <c r="G447" s="4" t="s">
        <v>25</v>
      </c>
      <c r="H447" s="4" t="s">
        <v>35</v>
      </c>
      <c r="I447" s="5">
        <v>44348</v>
      </c>
      <c r="J447" s="6">
        <v>0</v>
      </c>
      <c r="K447" s="6">
        <v>0</v>
      </c>
      <c r="L447" s="6">
        <v>827.64599999999996</v>
      </c>
      <c r="M447" s="6">
        <v>827.64599999999996</v>
      </c>
      <c r="N447" s="6">
        <v>0</v>
      </c>
      <c r="O447" s="6">
        <v>0</v>
      </c>
      <c r="P447" s="6">
        <v>0</v>
      </c>
      <c r="Q447" s="4" t="s">
        <v>57</v>
      </c>
      <c r="R447" s="4">
        <v>0</v>
      </c>
      <c r="S447" s="6">
        <v>0</v>
      </c>
      <c r="T447" s="6">
        <v>25</v>
      </c>
      <c r="U447" s="6">
        <v>0</v>
      </c>
      <c r="V447" s="6">
        <f>IF(ISERROR(VLOOKUP($S$447,'TAR FIN'!$A$1:$O$100,15,0)),0,VLOOKUP($S$447,'TAR FIN'!$A$1:$O$100,15,0))</f>
        <v>0</v>
      </c>
      <c r="W447" s="6">
        <f>IF(ISERROR(VLOOKUP($T$447,'TAR FIN'!$A$1:$O$100,15,0)),0,VLOOKUP($T$447,'TAR FIN'!$A$1:$O$100,15,0))</f>
        <v>43.65</v>
      </c>
      <c r="X447" s="6">
        <f>IF(ISERROR(VLOOKUP($U$447,'TAR FIN'!$A$1:$O$100,15,0)),0,VLOOKUP($U$447,'TAR FIN'!$A$1:$O$100,15,0))</f>
        <v>0</v>
      </c>
      <c r="Y447" s="6"/>
      <c r="Z447" s="6">
        <f ca="1">('TUSD BE'!$AM$22+'TUSD BF'!$AM$22+'TUSD CVA'!$AM$22)*1</f>
        <v>49.78704102185678</v>
      </c>
      <c r="AA447" s="6"/>
      <c r="AB447" s="6">
        <f>$K$447*$V$447</f>
        <v>0</v>
      </c>
      <c r="AC447" s="6">
        <f>$M$447*$W$447</f>
        <v>36126.747899999995</v>
      </c>
      <c r="AD447" s="6">
        <f>$O$447*$X$447</f>
        <v>0</v>
      </c>
      <c r="AE447" s="6">
        <f>$K$447*$Y$447</f>
        <v>0</v>
      </c>
      <c r="AF447" s="6">
        <f ca="1">$M$447*$Z$447</f>
        <v>41206.045353575675</v>
      </c>
      <c r="AG447" s="6">
        <f>$O$447*$AA$447</f>
        <v>0</v>
      </c>
    </row>
    <row r="448" spans="1:33" ht="11.25" customHeight="1" x14ac:dyDescent="0.25">
      <c r="A448" s="4" t="s">
        <v>21</v>
      </c>
      <c r="B448" s="4" t="s">
        <v>39</v>
      </c>
      <c r="C448" s="4" t="s">
        <v>41</v>
      </c>
      <c r="D448" s="4" t="s">
        <v>38</v>
      </c>
      <c r="E448" s="4" t="s">
        <v>25</v>
      </c>
      <c r="F448" s="4" t="s">
        <v>25</v>
      </c>
      <c r="G448" s="4" t="s">
        <v>25</v>
      </c>
      <c r="H448" s="4" t="s">
        <v>35</v>
      </c>
      <c r="I448" s="5">
        <v>44378</v>
      </c>
      <c r="J448" s="6">
        <v>0</v>
      </c>
      <c r="K448" s="6">
        <v>0</v>
      </c>
      <c r="L448" s="6">
        <v>3473.0369999999998</v>
      </c>
      <c r="M448" s="6">
        <v>3473.0369999999998</v>
      </c>
      <c r="N448" s="6">
        <v>3473.0369999999998</v>
      </c>
      <c r="O448" s="6">
        <v>3473.0369999999998</v>
      </c>
      <c r="P448" s="6">
        <v>0</v>
      </c>
      <c r="Q448" s="4" t="s">
        <v>26</v>
      </c>
      <c r="R448" s="4">
        <v>0</v>
      </c>
      <c r="S448" s="6">
        <v>0</v>
      </c>
      <c r="T448" s="6">
        <v>25</v>
      </c>
      <c r="U448" s="6">
        <v>68</v>
      </c>
      <c r="V448" s="6">
        <f>IF(ISERROR(VLOOKUP($S$448,'TAR FIN'!$A$1:$O$100,15,0)),0,VLOOKUP($S$448,'TAR FIN'!$A$1:$O$100,15,0))</f>
        <v>0</v>
      </c>
      <c r="W448" s="6">
        <f>IF(ISERROR(VLOOKUP($T$448,'TAR FIN'!$A$1:$O$100,15,0)),0,VLOOKUP($T$448,'TAR FIN'!$A$1:$O$100,15,0))</f>
        <v>43.65</v>
      </c>
      <c r="X448" s="6">
        <f>IF(ISERROR(VLOOKUP($U$448,'TAR FIN'!$A$1:$O$100,15,0)),0,VLOOKUP($U$448,'TAR FIN'!$A$1:$O$100,15,0))</f>
        <v>219.03</v>
      </c>
      <c r="Y448" s="6"/>
      <c r="Z448" s="6">
        <f ca="1">('TUSD BE'!$AM$22+'TUSD BF'!$AM$22+'TUSD CVA'!$AM$22)*1</f>
        <v>49.78704102185678</v>
      </c>
      <c r="AA448" s="6">
        <f>('TE BE'!$AA$8+'TE BF'!$AA$8+'TE CVA'!$AA$8)*1</f>
        <v>238.55077890362423</v>
      </c>
      <c r="AB448" s="6">
        <f>$K$448*$V$448</f>
        <v>0</v>
      </c>
      <c r="AC448" s="6">
        <f>$M$448*$W$448</f>
        <v>151598.06504999998</v>
      </c>
      <c r="AD448" s="6">
        <f>$O$448*$X$448</f>
        <v>760699.29411000002</v>
      </c>
      <c r="AE448" s="6">
        <f>$K$448*$Y$448</f>
        <v>0</v>
      </c>
      <c r="AF448" s="6">
        <f ca="1">$M$448*$Z$448</f>
        <v>172912.23558942639</v>
      </c>
      <c r="AG448" s="6">
        <f>$O$448*$AA$448</f>
        <v>828495.68151110632</v>
      </c>
    </row>
    <row r="449" spans="1:33" ht="11.25" customHeight="1" x14ac:dyDescent="0.25">
      <c r="A449" s="4" t="s">
        <v>28</v>
      </c>
      <c r="B449" s="4" t="s">
        <v>39</v>
      </c>
      <c r="C449" s="4" t="s">
        <v>41</v>
      </c>
      <c r="D449" s="4" t="s">
        <v>38</v>
      </c>
      <c r="E449" s="4" t="s">
        <v>25</v>
      </c>
      <c r="F449" s="4" t="s">
        <v>25</v>
      </c>
      <c r="G449" s="4" t="s">
        <v>25</v>
      </c>
      <c r="H449" s="4" t="s">
        <v>35</v>
      </c>
      <c r="I449" s="5">
        <v>44378</v>
      </c>
      <c r="J449" s="6">
        <v>0</v>
      </c>
      <c r="K449" s="6">
        <v>0</v>
      </c>
      <c r="L449" s="6">
        <v>154.327</v>
      </c>
      <c r="M449" s="6">
        <v>154.327</v>
      </c>
      <c r="N449" s="6">
        <v>154.327</v>
      </c>
      <c r="O449" s="6">
        <v>154.327</v>
      </c>
      <c r="P449" s="6">
        <v>0</v>
      </c>
      <c r="Q449" s="4" t="s">
        <v>26</v>
      </c>
      <c r="R449" s="4">
        <v>0</v>
      </c>
      <c r="S449" s="6">
        <v>0</v>
      </c>
      <c r="T449" s="6">
        <v>25</v>
      </c>
      <c r="U449" s="6">
        <v>68</v>
      </c>
      <c r="V449" s="6">
        <f>IF(ISERROR(VLOOKUP($S$449,'TAR FIN'!$A$1:$O$100,15,0)),0,VLOOKUP($S$449,'TAR FIN'!$A$1:$O$100,15,0))</f>
        <v>0</v>
      </c>
      <c r="W449" s="6">
        <f>IF(ISERROR(VLOOKUP($T$449,'TAR FIN'!$A$1:$O$100,15,0)),0,VLOOKUP($T$449,'TAR FIN'!$A$1:$O$100,15,0))</f>
        <v>43.65</v>
      </c>
      <c r="X449" s="6">
        <f>IF(ISERROR(VLOOKUP($U$449,'TAR FIN'!$A$1:$O$100,15,0)),0,VLOOKUP($U$449,'TAR FIN'!$A$1:$O$100,15,0))</f>
        <v>219.03</v>
      </c>
      <c r="Y449" s="6"/>
      <c r="Z449" s="6">
        <f ca="1">('TUSD BE'!$AM$22+'TUSD BF'!$AM$22+'TUSD CVA'!$AM$22)*1</f>
        <v>49.78704102185678</v>
      </c>
      <c r="AA449" s="6">
        <f>('TE BE'!$AA$8+'TE BF'!$AA$8+'TE CVA'!$AA$8)*1</f>
        <v>238.55077890362423</v>
      </c>
      <c r="AB449" s="6">
        <f>$K$449*$V$449</f>
        <v>0</v>
      </c>
      <c r="AC449" s="6">
        <f>$M$449*$W$449</f>
        <v>6736.3735499999993</v>
      </c>
      <c r="AD449" s="6">
        <f>$O$449*$X$449</f>
        <v>33802.242810000003</v>
      </c>
      <c r="AE449" s="6">
        <f>$K$449*$Y$449</f>
        <v>0</v>
      </c>
      <c r="AF449" s="6">
        <f ca="1">$M$449*$Z$449</f>
        <v>7683.484679780091</v>
      </c>
      <c r="AG449" s="6">
        <f>$O$449*$AA$449</f>
        <v>36814.826055859616</v>
      </c>
    </row>
    <row r="450" spans="1:33" ht="11.25" customHeight="1" x14ac:dyDescent="0.25">
      <c r="A450" s="4" t="s">
        <v>21</v>
      </c>
      <c r="B450" s="4" t="s">
        <v>39</v>
      </c>
      <c r="C450" s="4" t="s">
        <v>41</v>
      </c>
      <c r="D450" s="4" t="s">
        <v>38</v>
      </c>
      <c r="E450" s="4" t="s">
        <v>25</v>
      </c>
      <c r="F450" s="4" t="s">
        <v>25</v>
      </c>
      <c r="G450" s="4" t="s">
        <v>25</v>
      </c>
      <c r="H450" s="4" t="s">
        <v>35</v>
      </c>
      <c r="I450" s="5">
        <v>44378</v>
      </c>
      <c r="J450" s="6">
        <v>0</v>
      </c>
      <c r="K450" s="6">
        <v>0</v>
      </c>
      <c r="L450" s="6">
        <v>858.02099999999996</v>
      </c>
      <c r="M450" s="6">
        <v>858.02099999999996</v>
      </c>
      <c r="N450" s="6">
        <v>0</v>
      </c>
      <c r="O450" s="6">
        <v>0</v>
      </c>
      <c r="P450" s="6">
        <v>0</v>
      </c>
      <c r="Q450" s="4" t="s">
        <v>57</v>
      </c>
      <c r="R450" s="4">
        <v>0</v>
      </c>
      <c r="S450" s="6">
        <v>0</v>
      </c>
      <c r="T450" s="6">
        <v>25</v>
      </c>
      <c r="U450" s="6">
        <v>0</v>
      </c>
      <c r="V450" s="6">
        <f>IF(ISERROR(VLOOKUP($S$450,'TAR FIN'!$A$1:$O$100,15,0)),0,VLOOKUP($S$450,'TAR FIN'!$A$1:$O$100,15,0))</f>
        <v>0</v>
      </c>
      <c r="W450" s="6">
        <f>IF(ISERROR(VLOOKUP($T$450,'TAR FIN'!$A$1:$O$100,15,0)),0,VLOOKUP($T$450,'TAR FIN'!$A$1:$O$100,15,0))</f>
        <v>43.65</v>
      </c>
      <c r="X450" s="6">
        <f>IF(ISERROR(VLOOKUP($U$450,'TAR FIN'!$A$1:$O$100,15,0)),0,VLOOKUP($U$450,'TAR FIN'!$A$1:$O$100,15,0))</f>
        <v>0</v>
      </c>
      <c r="Y450" s="6"/>
      <c r="Z450" s="6">
        <f ca="1">('TUSD BE'!$AM$22+'TUSD BF'!$AM$22+'TUSD CVA'!$AM$22)*1</f>
        <v>49.78704102185678</v>
      </c>
      <c r="AA450" s="6"/>
      <c r="AB450" s="6">
        <f>$K$450*$V$450</f>
        <v>0</v>
      </c>
      <c r="AC450" s="6">
        <f>$M$450*$W$450</f>
        <v>37452.616649999996</v>
      </c>
      <c r="AD450" s="6">
        <f>$O$450*$X$450</f>
        <v>0</v>
      </c>
      <c r="AE450" s="6">
        <f>$K$450*$Y$450</f>
        <v>0</v>
      </c>
      <c r="AF450" s="6">
        <f ca="1">$M$450*$Z$450</f>
        <v>42718.326724614577</v>
      </c>
      <c r="AG450" s="6">
        <f>$O$450*$AA$450</f>
        <v>0</v>
      </c>
    </row>
    <row r="451" spans="1:33" ht="11.25" customHeight="1" x14ac:dyDescent="0.25">
      <c r="A451" s="4" t="s">
        <v>21</v>
      </c>
      <c r="B451" s="4" t="s">
        <v>39</v>
      </c>
      <c r="C451" s="4" t="s">
        <v>41</v>
      </c>
      <c r="D451" s="4" t="s">
        <v>38</v>
      </c>
      <c r="E451" s="4" t="s">
        <v>25</v>
      </c>
      <c r="F451" s="4" t="s">
        <v>25</v>
      </c>
      <c r="G451" s="4" t="s">
        <v>25</v>
      </c>
      <c r="H451" s="4" t="s">
        <v>35</v>
      </c>
      <c r="I451" s="5">
        <v>44409</v>
      </c>
      <c r="J451" s="6">
        <v>0</v>
      </c>
      <c r="K451" s="6">
        <v>0</v>
      </c>
      <c r="L451" s="6">
        <v>3332.6840000000002</v>
      </c>
      <c r="M451" s="6">
        <v>3332.6840000000002</v>
      </c>
      <c r="N451" s="6">
        <v>3332.6840000000002</v>
      </c>
      <c r="O451" s="6">
        <v>3332.6840000000002</v>
      </c>
      <c r="P451" s="6">
        <v>0</v>
      </c>
      <c r="Q451" s="4" t="s">
        <v>26</v>
      </c>
      <c r="R451" s="4">
        <v>0</v>
      </c>
      <c r="S451" s="6">
        <v>0</v>
      </c>
      <c r="T451" s="6">
        <v>25</v>
      </c>
      <c r="U451" s="6">
        <v>68</v>
      </c>
      <c r="V451" s="6">
        <f>IF(ISERROR(VLOOKUP($S$451,'TAR FIN'!$A$1:$O$100,15,0)),0,VLOOKUP($S$451,'TAR FIN'!$A$1:$O$100,15,0))</f>
        <v>0</v>
      </c>
      <c r="W451" s="6">
        <f>IF(ISERROR(VLOOKUP($T$451,'TAR FIN'!$A$1:$O$100,15,0)),0,VLOOKUP($T$451,'TAR FIN'!$A$1:$O$100,15,0))</f>
        <v>43.65</v>
      </c>
      <c r="X451" s="6">
        <f>IF(ISERROR(VLOOKUP($U$451,'TAR FIN'!$A$1:$O$100,15,0)),0,VLOOKUP($U$451,'TAR FIN'!$A$1:$O$100,15,0))</f>
        <v>219.03</v>
      </c>
      <c r="Y451" s="6"/>
      <c r="Z451" s="6">
        <f ca="1">('TUSD BE'!$AM$22+'TUSD BF'!$AM$22+'TUSD CVA'!$AM$22)*1</f>
        <v>49.78704102185678</v>
      </c>
      <c r="AA451" s="6">
        <f>('TE BE'!$AA$8+'TE BF'!$AA$8+'TE CVA'!$AA$8)*1</f>
        <v>238.55077890362423</v>
      </c>
      <c r="AB451" s="6">
        <f>$K$451*$V$451</f>
        <v>0</v>
      </c>
      <c r="AC451" s="6">
        <f>$M$451*$W$451</f>
        <v>145471.65660000002</v>
      </c>
      <c r="AD451" s="6">
        <f>$O$451*$X$451</f>
        <v>729957.77652000007</v>
      </c>
      <c r="AE451" s="6">
        <f>$K$451*$Y$451</f>
        <v>0</v>
      </c>
      <c r="AF451" s="6">
        <f ca="1">$M$451*$Z$451</f>
        <v>165924.47502088576</v>
      </c>
      <c r="AG451" s="6">
        <f>$O$451*$AA$451</f>
        <v>795014.36403964611</v>
      </c>
    </row>
    <row r="452" spans="1:33" ht="11.25" customHeight="1" x14ac:dyDescent="0.25">
      <c r="A452" s="4" t="s">
        <v>28</v>
      </c>
      <c r="B452" s="4" t="s">
        <v>39</v>
      </c>
      <c r="C452" s="4" t="s">
        <v>41</v>
      </c>
      <c r="D452" s="4" t="s">
        <v>38</v>
      </c>
      <c r="E452" s="4" t="s">
        <v>25</v>
      </c>
      <c r="F452" s="4" t="s">
        <v>25</v>
      </c>
      <c r="G452" s="4" t="s">
        <v>25</v>
      </c>
      <c r="H452" s="4" t="s">
        <v>35</v>
      </c>
      <c r="I452" s="5">
        <v>44409</v>
      </c>
      <c r="J452" s="6">
        <v>0</v>
      </c>
      <c r="K452" s="6">
        <v>0</v>
      </c>
      <c r="L452" s="6">
        <v>186.53800000000001</v>
      </c>
      <c r="M452" s="6">
        <v>186.53800000000001</v>
      </c>
      <c r="N452" s="6">
        <v>186.53800000000001</v>
      </c>
      <c r="O452" s="6">
        <v>186.53800000000001</v>
      </c>
      <c r="P452" s="6">
        <v>0</v>
      </c>
      <c r="Q452" s="4" t="s">
        <v>26</v>
      </c>
      <c r="R452" s="4">
        <v>0</v>
      </c>
      <c r="S452" s="6">
        <v>0</v>
      </c>
      <c r="T452" s="6">
        <v>25</v>
      </c>
      <c r="U452" s="6">
        <v>68</v>
      </c>
      <c r="V452" s="6">
        <f>IF(ISERROR(VLOOKUP($S$452,'TAR FIN'!$A$1:$O$100,15,0)),0,VLOOKUP($S$452,'TAR FIN'!$A$1:$O$100,15,0))</f>
        <v>0</v>
      </c>
      <c r="W452" s="6">
        <f>IF(ISERROR(VLOOKUP($T$452,'TAR FIN'!$A$1:$O$100,15,0)),0,VLOOKUP($T$452,'TAR FIN'!$A$1:$O$100,15,0))</f>
        <v>43.65</v>
      </c>
      <c r="X452" s="6">
        <f>IF(ISERROR(VLOOKUP($U$452,'TAR FIN'!$A$1:$O$100,15,0)),0,VLOOKUP($U$452,'TAR FIN'!$A$1:$O$100,15,0))</f>
        <v>219.03</v>
      </c>
      <c r="Y452" s="6"/>
      <c r="Z452" s="6">
        <f ca="1">('TUSD BE'!$AM$22+'TUSD BF'!$AM$22+'TUSD CVA'!$AM$22)*1</f>
        <v>49.78704102185678</v>
      </c>
      <c r="AA452" s="6">
        <f>('TE BE'!$AA$8+'TE BF'!$AA$8+'TE CVA'!$AA$8)*1</f>
        <v>238.55077890362423</v>
      </c>
      <c r="AB452" s="6">
        <f>$K$452*$V$452</f>
        <v>0</v>
      </c>
      <c r="AC452" s="6">
        <f>$M$452*$W$452</f>
        <v>8142.3837000000003</v>
      </c>
      <c r="AD452" s="6">
        <f>$O$452*$X$452</f>
        <v>40857.418140000002</v>
      </c>
      <c r="AE452" s="6">
        <f>$K$452*$Y$452</f>
        <v>0</v>
      </c>
      <c r="AF452" s="6">
        <f ca="1">$M$452*$Z$452</f>
        <v>9287.1750581351207</v>
      </c>
      <c r="AG452" s="6">
        <f>$O$452*$AA$452</f>
        <v>44498.785195124263</v>
      </c>
    </row>
    <row r="453" spans="1:33" ht="11.25" customHeight="1" x14ac:dyDescent="0.25">
      <c r="A453" s="4" t="s">
        <v>21</v>
      </c>
      <c r="B453" s="4" t="s">
        <v>39</v>
      </c>
      <c r="C453" s="4" t="s">
        <v>41</v>
      </c>
      <c r="D453" s="4" t="s">
        <v>38</v>
      </c>
      <c r="E453" s="4" t="s">
        <v>25</v>
      </c>
      <c r="F453" s="4" t="s">
        <v>25</v>
      </c>
      <c r="G453" s="4" t="s">
        <v>25</v>
      </c>
      <c r="H453" s="4" t="s">
        <v>35</v>
      </c>
      <c r="I453" s="5">
        <v>44409</v>
      </c>
      <c r="J453" s="6">
        <v>0</v>
      </c>
      <c r="K453" s="6">
        <v>0</v>
      </c>
      <c r="L453" s="6">
        <v>990.97799999999995</v>
      </c>
      <c r="M453" s="6">
        <v>990.97799999999995</v>
      </c>
      <c r="N453" s="6">
        <v>0</v>
      </c>
      <c r="O453" s="6">
        <v>0</v>
      </c>
      <c r="P453" s="6">
        <v>0</v>
      </c>
      <c r="Q453" s="4" t="s">
        <v>57</v>
      </c>
      <c r="R453" s="4">
        <v>0</v>
      </c>
      <c r="S453" s="6">
        <v>0</v>
      </c>
      <c r="T453" s="6">
        <v>25</v>
      </c>
      <c r="U453" s="6">
        <v>0</v>
      </c>
      <c r="V453" s="6">
        <f>IF(ISERROR(VLOOKUP($S$453,'TAR FIN'!$A$1:$O$100,15,0)),0,VLOOKUP($S$453,'TAR FIN'!$A$1:$O$100,15,0))</f>
        <v>0</v>
      </c>
      <c r="W453" s="6">
        <f>IF(ISERROR(VLOOKUP($T$453,'TAR FIN'!$A$1:$O$100,15,0)),0,VLOOKUP($T$453,'TAR FIN'!$A$1:$O$100,15,0))</f>
        <v>43.65</v>
      </c>
      <c r="X453" s="6">
        <f>IF(ISERROR(VLOOKUP($U$453,'TAR FIN'!$A$1:$O$100,15,0)),0,VLOOKUP($U$453,'TAR FIN'!$A$1:$O$100,15,0))</f>
        <v>0</v>
      </c>
      <c r="Y453" s="6"/>
      <c r="Z453" s="6">
        <f ca="1">('TUSD BE'!$AM$22+'TUSD BF'!$AM$22+'TUSD CVA'!$AM$22)*1</f>
        <v>49.78704102185678</v>
      </c>
      <c r="AA453" s="6"/>
      <c r="AB453" s="6">
        <f>$K$453*$V$453</f>
        <v>0</v>
      </c>
      <c r="AC453" s="6">
        <f>$M$453*$W$453</f>
        <v>43256.189699999995</v>
      </c>
      <c r="AD453" s="6">
        <f>$O$453*$X$453</f>
        <v>0</v>
      </c>
      <c r="AE453" s="6">
        <f>$K$453*$Y$453</f>
        <v>0</v>
      </c>
      <c r="AF453" s="6">
        <f ca="1">$M$453*$Z$453</f>
        <v>49337.862337757586</v>
      </c>
      <c r="AG453" s="6">
        <f>$O$453*$AA$453</f>
        <v>0</v>
      </c>
    </row>
    <row r="454" spans="1:33" ht="11.25" customHeight="1" x14ac:dyDescent="0.25">
      <c r="A454" s="4" t="s">
        <v>21</v>
      </c>
      <c r="B454" s="4" t="s">
        <v>39</v>
      </c>
      <c r="C454" s="4" t="s">
        <v>41</v>
      </c>
      <c r="D454" s="4" t="s">
        <v>38</v>
      </c>
      <c r="E454" s="4" t="s">
        <v>25</v>
      </c>
      <c r="F454" s="4" t="s">
        <v>25</v>
      </c>
      <c r="G454" s="4" t="s">
        <v>25</v>
      </c>
      <c r="H454" s="4" t="s">
        <v>35</v>
      </c>
      <c r="I454" s="5">
        <v>44440</v>
      </c>
      <c r="J454" s="6">
        <v>0</v>
      </c>
      <c r="K454" s="6">
        <v>0</v>
      </c>
      <c r="L454" s="6">
        <v>3231.2550000000001</v>
      </c>
      <c r="M454" s="6">
        <v>3231.2550000000001</v>
      </c>
      <c r="N454" s="6">
        <v>3231.2550000000001</v>
      </c>
      <c r="O454" s="6">
        <v>3231.2550000000001</v>
      </c>
      <c r="P454" s="6">
        <v>0</v>
      </c>
      <c r="Q454" s="4" t="s">
        <v>26</v>
      </c>
      <c r="R454" s="4">
        <v>0</v>
      </c>
      <c r="S454" s="6">
        <v>0</v>
      </c>
      <c r="T454" s="6">
        <v>25</v>
      </c>
      <c r="U454" s="6">
        <v>68</v>
      </c>
      <c r="V454" s="6">
        <f>IF(ISERROR(VLOOKUP($S$454,'TAR FIN'!$A$1:$O$100,15,0)),0,VLOOKUP($S$454,'TAR FIN'!$A$1:$O$100,15,0))</f>
        <v>0</v>
      </c>
      <c r="W454" s="6">
        <f>IF(ISERROR(VLOOKUP($T$454,'TAR FIN'!$A$1:$O$100,15,0)),0,VLOOKUP($T$454,'TAR FIN'!$A$1:$O$100,15,0))</f>
        <v>43.65</v>
      </c>
      <c r="X454" s="6">
        <f>IF(ISERROR(VLOOKUP($U$454,'TAR FIN'!$A$1:$O$100,15,0)),0,VLOOKUP($U$454,'TAR FIN'!$A$1:$O$100,15,0))</f>
        <v>219.03</v>
      </c>
      <c r="Y454" s="6"/>
      <c r="Z454" s="6">
        <f ca="1">('TUSD BE'!$AM$22+'TUSD BF'!$AM$22+'TUSD CVA'!$AM$22)*1</f>
        <v>49.78704102185678</v>
      </c>
      <c r="AA454" s="6">
        <f>('TE BE'!$AA$8+'TE BF'!$AA$8+'TE CVA'!$AA$8)*1</f>
        <v>238.55077890362423</v>
      </c>
      <c r="AB454" s="6">
        <f>$K$454*$V$454</f>
        <v>0</v>
      </c>
      <c r="AC454" s="6">
        <f>$M$454*$W$454</f>
        <v>141044.28075000001</v>
      </c>
      <c r="AD454" s="6">
        <f>$O$454*$X$454</f>
        <v>707741.78265000007</v>
      </c>
      <c r="AE454" s="6">
        <f>$K$454*$Y$454</f>
        <v>0</v>
      </c>
      <c r="AF454" s="6">
        <f ca="1">$M$454*$Z$454</f>
        <v>160874.62523707983</v>
      </c>
      <c r="AG454" s="6">
        <f>$O$454*$AA$454</f>
        <v>770818.39708623034</v>
      </c>
    </row>
    <row r="455" spans="1:33" ht="11.25" customHeight="1" x14ac:dyDescent="0.25">
      <c r="A455" s="4" t="s">
        <v>28</v>
      </c>
      <c r="B455" s="4" t="s">
        <v>39</v>
      </c>
      <c r="C455" s="4" t="s">
        <v>41</v>
      </c>
      <c r="D455" s="4" t="s">
        <v>38</v>
      </c>
      <c r="E455" s="4" t="s">
        <v>25</v>
      </c>
      <c r="F455" s="4" t="s">
        <v>25</v>
      </c>
      <c r="G455" s="4" t="s">
        <v>25</v>
      </c>
      <c r="H455" s="4" t="s">
        <v>35</v>
      </c>
      <c r="I455" s="5">
        <v>44440</v>
      </c>
      <c r="J455" s="6">
        <v>0</v>
      </c>
      <c r="K455" s="6">
        <v>0</v>
      </c>
      <c r="L455" s="6">
        <v>161.72399999999999</v>
      </c>
      <c r="M455" s="6">
        <v>161.72399999999999</v>
      </c>
      <c r="N455" s="6">
        <v>161.72399999999999</v>
      </c>
      <c r="O455" s="6">
        <v>161.72399999999999</v>
      </c>
      <c r="P455" s="6">
        <v>0</v>
      </c>
      <c r="Q455" s="4" t="s">
        <v>26</v>
      </c>
      <c r="R455" s="4">
        <v>0</v>
      </c>
      <c r="S455" s="6">
        <v>0</v>
      </c>
      <c r="T455" s="6">
        <v>25</v>
      </c>
      <c r="U455" s="6">
        <v>68</v>
      </c>
      <c r="V455" s="6">
        <f>IF(ISERROR(VLOOKUP($S$455,'TAR FIN'!$A$1:$O$100,15,0)),0,VLOOKUP($S$455,'TAR FIN'!$A$1:$O$100,15,0))</f>
        <v>0</v>
      </c>
      <c r="W455" s="6">
        <f>IF(ISERROR(VLOOKUP($T$455,'TAR FIN'!$A$1:$O$100,15,0)),0,VLOOKUP($T$455,'TAR FIN'!$A$1:$O$100,15,0))</f>
        <v>43.65</v>
      </c>
      <c r="X455" s="6">
        <f>IF(ISERROR(VLOOKUP($U$455,'TAR FIN'!$A$1:$O$100,15,0)),0,VLOOKUP($U$455,'TAR FIN'!$A$1:$O$100,15,0))</f>
        <v>219.03</v>
      </c>
      <c r="Y455" s="6"/>
      <c r="Z455" s="6">
        <f ca="1">('TUSD BE'!$AM$22+'TUSD BF'!$AM$22+'TUSD CVA'!$AM$22)*1</f>
        <v>49.78704102185678</v>
      </c>
      <c r="AA455" s="6">
        <f>('TE BE'!$AA$8+'TE BF'!$AA$8+'TE CVA'!$AA$8)*1</f>
        <v>238.55077890362423</v>
      </c>
      <c r="AB455" s="6">
        <f>$K$455*$V$455</f>
        <v>0</v>
      </c>
      <c r="AC455" s="6">
        <f>$M$455*$W$455</f>
        <v>7059.2525999999989</v>
      </c>
      <c r="AD455" s="6">
        <f>$O$455*$X$455</f>
        <v>35422.407719999996</v>
      </c>
      <c r="AE455" s="6">
        <f>$K$455*$Y$455</f>
        <v>0</v>
      </c>
      <c r="AF455" s="6">
        <f ca="1">$M$455*$Z$455</f>
        <v>8051.7594222187654</v>
      </c>
      <c r="AG455" s="6">
        <f>$O$455*$AA$455</f>
        <v>38579.386167409721</v>
      </c>
    </row>
    <row r="456" spans="1:33" ht="11.25" customHeight="1" x14ac:dyDescent="0.25">
      <c r="A456" s="4" t="s">
        <v>21</v>
      </c>
      <c r="B456" s="4" t="s">
        <v>39</v>
      </c>
      <c r="C456" s="4" t="s">
        <v>41</v>
      </c>
      <c r="D456" s="4" t="s">
        <v>38</v>
      </c>
      <c r="E456" s="4" t="s">
        <v>25</v>
      </c>
      <c r="F456" s="4" t="s">
        <v>25</v>
      </c>
      <c r="G456" s="4" t="s">
        <v>25</v>
      </c>
      <c r="H456" s="4" t="s">
        <v>35</v>
      </c>
      <c r="I456" s="5">
        <v>44440</v>
      </c>
      <c r="J456" s="6">
        <v>0</v>
      </c>
      <c r="K456" s="6">
        <v>0</v>
      </c>
      <c r="L456" s="6">
        <v>1058.7919999999999</v>
      </c>
      <c r="M456" s="6">
        <v>1058.7919999999999</v>
      </c>
      <c r="N456" s="6">
        <v>0</v>
      </c>
      <c r="O456" s="6">
        <v>0</v>
      </c>
      <c r="P456" s="6">
        <v>0</v>
      </c>
      <c r="Q456" s="4" t="s">
        <v>57</v>
      </c>
      <c r="R456" s="4">
        <v>0</v>
      </c>
      <c r="S456" s="6">
        <v>0</v>
      </c>
      <c r="T456" s="6">
        <v>25</v>
      </c>
      <c r="U456" s="6">
        <v>0</v>
      </c>
      <c r="V456" s="6">
        <f>IF(ISERROR(VLOOKUP($S$456,'TAR FIN'!$A$1:$O$100,15,0)),0,VLOOKUP($S$456,'TAR FIN'!$A$1:$O$100,15,0))</f>
        <v>0</v>
      </c>
      <c r="W456" s="6">
        <f>IF(ISERROR(VLOOKUP($T$456,'TAR FIN'!$A$1:$O$100,15,0)),0,VLOOKUP($T$456,'TAR FIN'!$A$1:$O$100,15,0))</f>
        <v>43.65</v>
      </c>
      <c r="X456" s="6">
        <f>IF(ISERROR(VLOOKUP($U$456,'TAR FIN'!$A$1:$O$100,15,0)),0,VLOOKUP($U$456,'TAR FIN'!$A$1:$O$100,15,0))</f>
        <v>0</v>
      </c>
      <c r="Y456" s="6"/>
      <c r="Z456" s="6">
        <f ca="1">('TUSD BE'!$AM$22+'TUSD BF'!$AM$22+'TUSD CVA'!$AM$22)*1</f>
        <v>49.78704102185678</v>
      </c>
      <c r="AA456" s="6"/>
      <c r="AB456" s="6">
        <f>$K$456*$V$456</f>
        <v>0</v>
      </c>
      <c r="AC456" s="6">
        <f>$M$456*$W$456</f>
        <v>46216.270799999998</v>
      </c>
      <c r="AD456" s="6">
        <f>$O$456*$X$456</f>
        <v>0</v>
      </c>
      <c r="AE456" s="6">
        <f>$K$456*$Y$456</f>
        <v>0</v>
      </c>
      <c r="AF456" s="6">
        <f ca="1">$M$456*$Z$456</f>
        <v>52714.120737613783</v>
      </c>
      <c r="AG456" s="6">
        <f>$O$456*$AA$456</f>
        <v>0</v>
      </c>
    </row>
    <row r="457" spans="1:33" ht="11.25" customHeight="1" x14ac:dyDescent="0.25">
      <c r="A457" s="4" t="s">
        <v>21</v>
      </c>
      <c r="B457" s="4" t="s">
        <v>39</v>
      </c>
      <c r="C457" s="4" t="s">
        <v>41</v>
      </c>
      <c r="D457" s="4" t="s">
        <v>38</v>
      </c>
      <c r="E457" s="4" t="s">
        <v>25</v>
      </c>
      <c r="F457" s="4" t="s">
        <v>25</v>
      </c>
      <c r="G457" s="4" t="s">
        <v>25</v>
      </c>
      <c r="H457" s="4" t="s">
        <v>35</v>
      </c>
      <c r="I457" s="5">
        <v>44470</v>
      </c>
      <c r="J457" s="6">
        <v>0</v>
      </c>
      <c r="K457" s="6">
        <v>0</v>
      </c>
      <c r="L457" s="6">
        <v>3330.3270000000002</v>
      </c>
      <c r="M457" s="6">
        <v>3330.3270000000002</v>
      </c>
      <c r="N457" s="6">
        <v>3330.3270000000002</v>
      </c>
      <c r="O457" s="6">
        <v>3330.3270000000002</v>
      </c>
      <c r="P457" s="6">
        <v>0</v>
      </c>
      <c r="Q457" s="4" t="s">
        <v>26</v>
      </c>
      <c r="R457" s="4">
        <v>0</v>
      </c>
      <c r="S457" s="6">
        <v>0</v>
      </c>
      <c r="T457" s="6">
        <v>25</v>
      </c>
      <c r="U457" s="6">
        <v>68</v>
      </c>
      <c r="V457" s="6">
        <f>IF(ISERROR(VLOOKUP($S$457,'TAR FIN'!$A$1:$O$100,15,0)),0,VLOOKUP($S$457,'TAR FIN'!$A$1:$O$100,15,0))</f>
        <v>0</v>
      </c>
      <c r="W457" s="6">
        <f>IF(ISERROR(VLOOKUP($T$457,'TAR FIN'!$A$1:$O$100,15,0)),0,VLOOKUP($T$457,'TAR FIN'!$A$1:$O$100,15,0))</f>
        <v>43.65</v>
      </c>
      <c r="X457" s="6">
        <f>IF(ISERROR(VLOOKUP($U$457,'TAR FIN'!$A$1:$O$100,15,0)),0,VLOOKUP($U$457,'TAR FIN'!$A$1:$O$100,15,0))</f>
        <v>219.03</v>
      </c>
      <c r="Y457" s="6"/>
      <c r="Z457" s="6">
        <f ca="1">('TUSD BE'!$AM$22+'TUSD BF'!$AM$22+'TUSD CVA'!$AM$22)*1</f>
        <v>49.78704102185678</v>
      </c>
      <c r="AA457" s="6">
        <f>('TE BE'!$AA$8+'TE BF'!$AA$8+'TE CVA'!$AA$8)*1</f>
        <v>238.55077890362423</v>
      </c>
      <c r="AB457" s="6">
        <f>$K$457*$V$457</f>
        <v>0</v>
      </c>
      <c r="AC457" s="6">
        <f>$M$457*$W$457</f>
        <v>145368.77355000001</v>
      </c>
      <c r="AD457" s="6">
        <f>$O$457*$X$457</f>
        <v>729441.52281000011</v>
      </c>
      <c r="AE457" s="6">
        <f>$K$457*$Y$457</f>
        <v>0</v>
      </c>
      <c r="AF457" s="6">
        <f ca="1">$M$457*$Z$457</f>
        <v>165807.12696519724</v>
      </c>
      <c r="AG457" s="6">
        <f>$O$457*$AA$457</f>
        <v>794452.09985377023</v>
      </c>
    </row>
    <row r="458" spans="1:33" ht="11.25" customHeight="1" x14ac:dyDescent="0.25">
      <c r="A458" s="4" t="s">
        <v>28</v>
      </c>
      <c r="B458" s="4" t="s">
        <v>39</v>
      </c>
      <c r="C458" s="4" t="s">
        <v>41</v>
      </c>
      <c r="D458" s="4" t="s">
        <v>38</v>
      </c>
      <c r="E458" s="4" t="s">
        <v>25</v>
      </c>
      <c r="F458" s="4" t="s">
        <v>25</v>
      </c>
      <c r="G458" s="4" t="s">
        <v>25</v>
      </c>
      <c r="H458" s="4" t="s">
        <v>35</v>
      </c>
      <c r="I458" s="5">
        <v>44470</v>
      </c>
      <c r="J458" s="6">
        <v>0</v>
      </c>
      <c r="K458" s="6">
        <v>0</v>
      </c>
      <c r="L458" s="6">
        <v>148.917</v>
      </c>
      <c r="M458" s="6">
        <v>148.917</v>
      </c>
      <c r="N458" s="6">
        <v>148.917</v>
      </c>
      <c r="O458" s="6">
        <v>148.917</v>
      </c>
      <c r="P458" s="6">
        <v>0</v>
      </c>
      <c r="Q458" s="4" t="s">
        <v>26</v>
      </c>
      <c r="R458" s="4">
        <v>0</v>
      </c>
      <c r="S458" s="6">
        <v>0</v>
      </c>
      <c r="T458" s="6">
        <v>25</v>
      </c>
      <c r="U458" s="6">
        <v>68</v>
      </c>
      <c r="V458" s="6">
        <f>IF(ISERROR(VLOOKUP($S$458,'TAR FIN'!$A$1:$O$100,15,0)),0,VLOOKUP($S$458,'TAR FIN'!$A$1:$O$100,15,0))</f>
        <v>0</v>
      </c>
      <c r="W458" s="6">
        <f>IF(ISERROR(VLOOKUP($T$458,'TAR FIN'!$A$1:$O$100,15,0)),0,VLOOKUP($T$458,'TAR FIN'!$A$1:$O$100,15,0))</f>
        <v>43.65</v>
      </c>
      <c r="X458" s="6">
        <f>IF(ISERROR(VLOOKUP($U$458,'TAR FIN'!$A$1:$O$100,15,0)),0,VLOOKUP($U$458,'TAR FIN'!$A$1:$O$100,15,0))</f>
        <v>219.03</v>
      </c>
      <c r="Y458" s="6"/>
      <c r="Z458" s="6">
        <f ca="1">('TUSD BE'!$AM$22+'TUSD BF'!$AM$22+'TUSD CVA'!$AM$22)*1</f>
        <v>49.78704102185678</v>
      </c>
      <c r="AA458" s="6">
        <f>('TE BE'!$AA$8+'TE BF'!$AA$8+'TE CVA'!$AA$8)*1</f>
        <v>238.55077890362423</v>
      </c>
      <c r="AB458" s="6">
        <f>$K$458*$V$458</f>
        <v>0</v>
      </c>
      <c r="AC458" s="6">
        <f>$M$458*$W$458</f>
        <v>6500.2270499999995</v>
      </c>
      <c r="AD458" s="6">
        <f>$O$458*$X$458</f>
        <v>32617.290509999999</v>
      </c>
      <c r="AE458" s="6">
        <f>$K$458*$Y$458</f>
        <v>0</v>
      </c>
      <c r="AF458" s="6">
        <f ca="1">$M$458*$Z$458</f>
        <v>7414.1367878518458</v>
      </c>
      <c r="AG458" s="6">
        <f>$O$458*$AA$458</f>
        <v>35524.26634199101</v>
      </c>
    </row>
    <row r="459" spans="1:33" ht="11.25" customHeight="1" x14ac:dyDescent="0.25">
      <c r="A459" s="4" t="s">
        <v>21</v>
      </c>
      <c r="B459" s="4" t="s">
        <v>39</v>
      </c>
      <c r="C459" s="4" t="s">
        <v>41</v>
      </c>
      <c r="D459" s="4" t="s">
        <v>38</v>
      </c>
      <c r="E459" s="4" t="s">
        <v>25</v>
      </c>
      <c r="F459" s="4" t="s">
        <v>25</v>
      </c>
      <c r="G459" s="4" t="s">
        <v>25</v>
      </c>
      <c r="H459" s="4" t="s">
        <v>35</v>
      </c>
      <c r="I459" s="5">
        <v>44470</v>
      </c>
      <c r="J459" s="6">
        <v>0</v>
      </c>
      <c r="K459" s="6">
        <v>0</v>
      </c>
      <c r="L459" s="6">
        <v>1001.95</v>
      </c>
      <c r="M459" s="6">
        <v>1001.95</v>
      </c>
      <c r="N459" s="6">
        <v>0</v>
      </c>
      <c r="O459" s="6">
        <v>0</v>
      </c>
      <c r="P459" s="6">
        <v>0</v>
      </c>
      <c r="Q459" s="4" t="s">
        <v>57</v>
      </c>
      <c r="R459" s="4">
        <v>0</v>
      </c>
      <c r="S459" s="6">
        <v>0</v>
      </c>
      <c r="T459" s="6">
        <v>25</v>
      </c>
      <c r="U459" s="6">
        <v>0</v>
      </c>
      <c r="V459" s="6">
        <f>IF(ISERROR(VLOOKUP($S$459,'TAR FIN'!$A$1:$O$100,15,0)),0,VLOOKUP($S$459,'TAR FIN'!$A$1:$O$100,15,0))</f>
        <v>0</v>
      </c>
      <c r="W459" s="6">
        <f>IF(ISERROR(VLOOKUP($T$459,'TAR FIN'!$A$1:$O$100,15,0)),0,VLOOKUP($T$459,'TAR FIN'!$A$1:$O$100,15,0))</f>
        <v>43.65</v>
      </c>
      <c r="X459" s="6">
        <f>IF(ISERROR(VLOOKUP($U$459,'TAR FIN'!$A$1:$O$100,15,0)),0,VLOOKUP($U$459,'TAR FIN'!$A$1:$O$100,15,0))</f>
        <v>0</v>
      </c>
      <c r="Y459" s="6"/>
      <c r="Z459" s="6">
        <f ca="1">('TUSD BE'!$AM$22+'TUSD BF'!$AM$22+'TUSD CVA'!$AM$22)*1</f>
        <v>49.78704102185678</v>
      </c>
      <c r="AA459" s="6"/>
      <c r="AB459" s="6">
        <f>$K$459*$V$459</f>
        <v>0</v>
      </c>
      <c r="AC459" s="6">
        <f>$M$459*$W$459</f>
        <v>43735.1175</v>
      </c>
      <c r="AD459" s="6">
        <f>$O$459*$X$459</f>
        <v>0</v>
      </c>
      <c r="AE459" s="6">
        <f>$K$459*$Y$459</f>
        <v>0</v>
      </c>
      <c r="AF459" s="6">
        <f ca="1">$M$459*$Z$459</f>
        <v>49884.125751849402</v>
      </c>
      <c r="AG459" s="6">
        <f>$O$459*$AA$459</f>
        <v>0</v>
      </c>
    </row>
    <row r="460" spans="1:33" ht="11.25" customHeight="1" x14ac:dyDescent="0.25">
      <c r="A460" s="4" t="s">
        <v>21</v>
      </c>
      <c r="B460" s="4" t="s">
        <v>39</v>
      </c>
      <c r="C460" s="4" t="s">
        <v>41</v>
      </c>
      <c r="D460" s="4" t="s">
        <v>38</v>
      </c>
      <c r="E460" s="4" t="s">
        <v>25</v>
      </c>
      <c r="F460" s="4" t="s">
        <v>25</v>
      </c>
      <c r="G460" s="4" t="s">
        <v>25</v>
      </c>
      <c r="H460" s="4" t="s">
        <v>35</v>
      </c>
      <c r="I460" s="5">
        <v>44501</v>
      </c>
      <c r="J460" s="6">
        <v>0</v>
      </c>
      <c r="K460" s="6">
        <v>0</v>
      </c>
      <c r="L460" s="6">
        <v>3276.5410000000002</v>
      </c>
      <c r="M460" s="6">
        <v>3276.5410000000002</v>
      </c>
      <c r="N460" s="6">
        <v>3276.5410000000002</v>
      </c>
      <c r="O460" s="6">
        <v>3276.5410000000002</v>
      </c>
      <c r="P460" s="6">
        <v>0</v>
      </c>
      <c r="Q460" s="4" t="s">
        <v>26</v>
      </c>
      <c r="R460" s="4">
        <v>0</v>
      </c>
      <c r="S460" s="6">
        <v>0</v>
      </c>
      <c r="T460" s="6">
        <v>25</v>
      </c>
      <c r="U460" s="6">
        <v>68</v>
      </c>
      <c r="V460" s="6">
        <f>IF(ISERROR(VLOOKUP($S$460,'TAR FIN'!$A$1:$O$100,15,0)),0,VLOOKUP($S$460,'TAR FIN'!$A$1:$O$100,15,0))</f>
        <v>0</v>
      </c>
      <c r="W460" s="6">
        <f>IF(ISERROR(VLOOKUP($T$460,'TAR FIN'!$A$1:$O$100,15,0)),0,VLOOKUP($T$460,'TAR FIN'!$A$1:$O$100,15,0))</f>
        <v>43.65</v>
      </c>
      <c r="X460" s="6">
        <f>IF(ISERROR(VLOOKUP($U$460,'TAR FIN'!$A$1:$O$100,15,0)),0,VLOOKUP($U$460,'TAR FIN'!$A$1:$O$100,15,0))</f>
        <v>219.03</v>
      </c>
      <c r="Y460" s="6"/>
      <c r="Z460" s="6">
        <f ca="1">('TUSD BE'!$AM$22+'TUSD BF'!$AM$22+'TUSD CVA'!$AM$22)*1</f>
        <v>49.78704102185678</v>
      </c>
      <c r="AA460" s="6">
        <f>('TE BE'!$AA$8+'TE BF'!$AA$8+'TE CVA'!$AA$8)*1</f>
        <v>238.55077890362423</v>
      </c>
      <c r="AB460" s="6">
        <f>$K$460*$V$460</f>
        <v>0</v>
      </c>
      <c r="AC460" s="6">
        <f>$M$460*$W$460</f>
        <v>143021.01465</v>
      </c>
      <c r="AD460" s="6">
        <f>$O$460*$X$460</f>
        <v>717660.77523000003</v>
      </c>
      <c r="AE460" s="6">
        <f>$K$460*$Y$460</f>
        <v>0</v>
      </c>
      <c r="AF460" s="6">
        <f ca="1">$M$460*$Z$460</f>
        <v>163129.28117679563</v>
      </c>
      <c r="AG460" s="6">
        <f>$O$460*$AA$460</f>
        <v>781621.40765965986</v>
      </c>
    </row>
    <row r="461" spans="1:33" ht="11.25" customHeight="1" x14ac:dyDescent="0.25">
      <c r="A461" s="4" t="s">
        <v>28</v>
      </c>
      <c r="B461" s="4" t="s">
        <v>39</v>
      </c>
      <c r="C461" s="4" t="s">
        <v>41</v>
      </c>
      <c r="D461" s="4" t="s">
        <v>38</v>
      </c>
      <c r="E461" s="4" t="s">
        <v>25</v>
      </c>
      <c r="F461" s="4" t="s">
        <v>25</v>
      </c>
      <c r="G461" s="4" t="s">
        <v>25</v>
      </c>
      <c r="H461" s="4" t="s">
        <v>35</v>
      </c>
      <c r="I461" s="5">
        <v>44501</v>
      </c>
      <c r="J461" s="6">
        <v>0</v>
      </c>
      <c r="K461" s="6">
        <v>0</v>
      </c>
      <c r="L461" s="6">
        <v>109.134</v>
      </c>
      <c r="M461" s="6">
        <v>109.134</v>
      </c>
      <c r="N461" s="6">
        <v>109.134</v>
      </c>
      <c r="O461" s="6">
        <v>109.134</v>
      </c>
      <c r="P461" s="6">
        <v>0</v>
      </c>
      <c r="Q461" s="4" t="s">
        <v>26</v>
      </c>
      <c r="R461" s="4">
        <v>0</v>
      </c>
      <c r="S461" s="6">
        <v>0</v>
      </c>
      <c r="T461" s="6">
        <v>25</v>
      </c>
      <c r="U461" s="6">
        <v>68</v>
      </c>
      <c r="V461" s="6">
        <f>IF(ISERROR(VLOOKUP($S$461,'TAR FIN'!$A$1:$O$100,15,0)),0,VLOOKUP($S$461,'TAR FIN'!$A$1:$O$100,15,0))</f>
        <v>0</v>
      </c>
      <c r="W461" s="6">
        <f>IF(ISERROR(VLOOKUP($T$461,'TAR FIN'!$A$1:$O$100,15,0)),0,VLOOKUP($T$461,'TAR FIN'!$A$1:$O$100,15,0))</f>
        <v>43.65</v>
      </c>
      <c r="X461" s="6">
        <f>IF(ISERROR(VLOOKUP($U$461,'TAR FIN'!$A$1:$O$100,15,0)),0,VLOOKUP($U$461,'TAR FIN'!$A$1:$O$100,15,0))</f>
        <v>219.03</v>
      </c>
      <c r="Y461" s="6"/>
      <c r="Z461" s="6">
        <f ca="1">('TUSD BE'!$AM$22+'TUSD BF'!$AM$22+'TUSD CVA'!$AM$22)*1</f>
        <v>49.78704102185678</v>
      </c>
      <c r="AA461" s="6">
        <f>('TE BE'!$AA$8+'TE BF'!$AA$8+'TE CVA'!$AA$8)*1</f>
        <v>238.55077890362423</v>
      </c>
      <c r="AB461" s="6">
        <f>$K$461*$V$461</f>
        <v>0</v>
      </c>
      <c r="AC461" s="6">
        <f>$M$461*$W$461</f>
        <v>4763.6990999999998</v>
      </c>
      <c r="AD461" s="6">
        <f>$O$461*$X$461</f>
        <v>23903.620019999998</v>
      </c>
      <c r="AE461" s="6">
        <f>$K$461*$Y$461</f>
        <v>0</v>
      </c>
      <c r="AF461" s="6">
        <f ca="1">$M$461*$Z$461</f>
        <v>5433.4589348793179</v>
      </c>
      <c r="AG461" s="6">
        <f>$O$461*$AA$461</f>
        <v>26034.000704868125</v>
      </c>
    </row>
    <row r="462" spans="1:33" ht="11.25" customHeight="1" x14ac:dyDescent="0.25">
      <c r="A462" s="4" t="s">
        <v>21</v>
      </c>
      <c r="B462" s="4" t="s">
        <v>39</v>
      </c>
      <c r="C462" s="4" t="s">
        <v>41</v>
      </c>
      <c r="D462" s="4" t="s">
        <v>38</v>
      </c>
      <c r="E462" s="4" t="s">
        <v>25</v>
      </c>
      <c r="F462" s="4" t="s">
        <v>25</v>
      </c>
      <c r="G462" s="4" t="s">
        <v>25</v>
      </c>
      <c r="H462" s="4" t="s">
        <v>35</v>
      </c>
      <c r="I462" s="5">
        <v>44501</v>
      </c>
      <c r="J462" s="6">
        <v>0</v>
      </c>
      <c r="K462" s="6">
        <v>0</v>
      </c>
      <c r="L462" s="6">
        <v>1051.575</v>
      </c>
      <c r="M462" s="6">
        <v>1051.575</v>
      </c>
      <c r="N462" s="6">
        <v>0</v>
      </c>
      <c r="O462" s="6">
        <v>0</v>
      </c>
      <c r="P462" s="6">
        <v>0</v>
      </c>
      <c r="Q462" s="4" t="s">
        <v>57</v>
      </c>
      <c r="R462" s="4">
        <v>0</v>
      </c>
      <c r="S462" s="6">
        <v>0</v>
      </c>
      <c r="T462" s="6">
        <v>25</v>
      </c>
      <c r="U462" s="6">
        <v>0</v>
      </c>
      <c r="V462" s="6">
        <f>IF(ISERROR(VLOOKUP($S$462,'TAR FIN'!$A$1:$O$100,15,0)),0,VLOOKUP($S$462,'TAR FIN'!$A$1:$O$100,15,0))</f>
        <v>0</v>
      </c>
      <c r="W462" s="6">
        <f>IF(ISERROR(VLOOKUP($T$462,'TAR FIN'!$A$1:$O$100,15,0)),0,VLOOKUP($T$462,'TAR FIN'!$A$1:$O$100,15,0))</f>
        <v>43.65</v>
      </c>
      <c r="X462" s="6">
        <f>IF(ISERROR(VLOOKUP($U$462,'TAR FIN'!$A$1:$O$100,15,0)),0,VLOOKUP($U$462,'TAR FIN'!$A$1:$O$100,15,0))</f>
        <v>0</v>
      </c>
      <c r="Y462" s="6"/>
      <c r="Z462" s="6">
        <f ca="1">('TUSD BE'!$AM$22+'TUSD BF'!$AM$22+'TUSD CVA'!$AM$22)*1</f>
        <v>49.78704102185678</v>
      </c>
      <c r="AA462" s="6"/>
      <c r="AB462" s="6">
        <f>$K$462*$V$462</f>
        <v>0</v>
      </c>
      <c r="AC462" s="6">
        <f>$M$462*$W$462</f>
        <v>45901.248749999999</v>
      </c>
      <c r="AD462" s="6">
        <f>$O$462*$X$462</f>
        <v>0</v>
      </c>
      <c r="AE462" s="6">
        <f>$K$462*$Y$462</f>
        <v>0</v>
      </c>
      <c r="AF462" s="6">
        <f ca="1">$M$462*$Z$462</f>
        <v>52354.807662559047</v>
      </c>
      <c r="AG462" s="6">
        <f>$O$462*$AA$462</f>
        <v>0</v>
      </c>
    </row>
    <row r="463" spans="1:33" ht="11.25" customHeight="1" x14ac:dyDescent="0.25">
      <c r="A463" s="4" t="s">
        <v>21</v>
      </c>
      <c r="B463" s="4" t="s">
        <v>39</v>
      </c>
      <c r="C463" s="4" t="s">
        <v>41</v>
      </c>
      <c r="D463" s="4" t="s">
        <v>38</v>
      </c>
      <c r="E463" s="4" t="s">
        <v>25</v>
      </c>
      <c r="F463" s="4" t="s">
        <v>25</v>
      </c>
      <c r="G463" s="4" t="s">
        <v>25</v>
      </c>
      <c r="H463" s="4" t="s">
        <v>35</v>
      </c>
      <c r="I463" s="5">
        <v>44531</v>
      </c>
      <c r="J463" s="6">
        <v>0</v>
      </c>
      <c r="K463" s="6">
        <v>0</v>
      </c>
      <c r="L463" s="6">
        <v>3011.28</v>
      </c>
      <c r="M463" s="6">
        <v>3011.28</v>
      </c>
      <c r="N463" s="6">
        <v>3011.28</v>
      </c>
      <c r="O463" s="6">
        <v>3011.28</v>
      </c>
      <c r="P463" s="6">
        <v>0</v>
      </c>
      <c r="Q463" s="4" t="s">
        <v>26</v>
      </c>
      <c r="R463" s="4">
        <v>0</v>
      </c>
      <c r="S463" s="6">
        <v>0</v>
      </c>
      <c r="T463" s="6">
        <v>25</v>
      </c>
      <c r="U463" s="6">
        <v>68</v>
      </c>
      <c r="V463" s="6">
        <f>IF(ISERROR(VLOOKUP($S$463,'TAR FIN'!$A$1:$O$100,15,0)),0,VLOOKUP($S$463,'TAR FIN'!$A$1:$O$100,15,0))</f>
        <v>0</v>
      </c>
      <c r="W463" s="6">
        <f>IF(ISERROR(VLOOKUP($T$463,'TAR FIN'!$A$1:$O$100,15,0)),0,VLOOKUP($T$463,'TAR FIN'!$A$1:$O$100,15,0))</f>
        <v>43.65</v>
      </c>
      <c r="X463" s="6">
        <f>IF(ISERROR(VLOOKUP($U$463,'TAR FIN'!$A$1:$O$100,15,0)),0,VLOOKUP($U$463,'TAR FIN'!$A$1:$O$100,15,0))</f>
        <v>219.03</v>
      </c>
      <c r="Y463" s="6"/>
      <c r="Z463" s="6">
        <f ca="1">('TUSD BE'!$AM$22+'TUSD BF'!$AM$22+'TUSD CVA'!$AM$22)*1</f>
        <v>49.78704102185678</v>
      </c>
      <c r="AA463" s="6">
        <f>('TE BE'!$AA$8+'TE BF'!$AA$8+'TE CVA'!$AA$8)*1</f>
        <v>238.55077890362423</v>
      </c>
      <c r="AB463" s="6">
        <f>$K$463*$V$463</f>
        <v>0</v>
      </c>
      <c r="AC463" s="6">
        <f>$M$463*$W$463</f>
        <v>131442.372</v>
      </c>
      <c r="AD463" s="6">
        <f>$O$463*$X$463</f>
        <v>659560.65840000007</v>
      </c>
      <c r="AE463" s="6">
        <f>$K$463*$Y$463</f>
        <v>0</v>
      </c>
      <c r="AF463" s="6">
        <f ca="1">$M$463*$Z$463</f>
        <v>149922.7208882969</v>
      </c>
      <c r="AG463" s="6">
        <f>$O$463*$AA$463</f>
        <v>718343.18949690566</v>
      </c>
    </row>
    <row r="464" spans="1:33" ht="11.25" customHeight="1" x14ac:dyDescent="0.25">
      <c r="A464" s="4" t="s">
        <v>28</v>
      </c>
      <c r="B464" s="4" t="s">
        <v>39</v>
      </c>
      <c r="C464" s="4" t="s">
        <v>41</v>
      </c>
      <c r="D464" s="4" t="s">
        <v>38</v>
      </c>
      <c r="E464" s="4" t="s">
        <v>25</v>
      </c>
      <c r="F464" s="4" t="s">
        <v>25</v>
      </c>
      <c r="G464" s="4" t="s">
        <v>25</v>
      </c>
      <c r="H464" s="4" t="s">
        <v>35</v>
      </c>
      <c r="I464" s="5">
        <v>44531</v>
      </c>
      <c r="J464" s="6">
        <v>0</v>
      </c>
      <c r="K464" s="6">
        <v>0</v>
      </c>
      <c r="L464" s="6">
        <v>121.90600000000001</v>
      </c>
      <c r="M464" s="6">
        <v>121.90600000000001</v>
      </c>
      <c r="N464" s="6">
        <v>121.90600000000001</v>
      </c>
      <c r="O464" s="6">
        <v>121.90600000000001</v>
      </c>
      <c r="P464" s="6">
        <v>0</v>
      </c>
      <c r="Q464" s="4" t="s">
        <v>26</v>
      </c>
      <c r="R464" s="4">
        <v>0</v>
      </c>
      <c r="S464" s="6">
        <v>0</v>
      </c>
      <c r="T464" s="6">
        <v>25</v>
      </c>
      <c r="U464" s="6">
        <v>68</v>
      </c>
      <c r="V464" s="6">
        <f>IF(ISERROR(VLOOKUP($S$464,'TAR FIN'!$A$1:$O$100,15,0)),0,VLOOKUP($S$464,'TAR FIN'!$A$1:$O$100,15,0))</f>
        <v>0</v>
      </c>
      <c r="W464" s="6">
        <f>IF(ISERROR(VLOOKUP($T$464,'TAR FIN'!$A$1:$O$100,15,0)),0,VLOOKUP($T$464,'TAR FIN'!$A$1:$O$100,15,0))</f>
        <v>43.65</v>
      </c>
      <c r="X464" s="6">
        <f>IF(ISERROR(VLOOKUP($U$464,'TAR FIN'!$A$1:$O$100,15,0)),0,VLOOKUP($U$464,'TAR FIN'!$A$1:$O$100,15,0))</f>
        <v>219.03</v>
      </c>
      <c r="Y464" s="6"/>
      <c r="Z464" s="6">
        <f ca="1">('TUSD BE'!$AM$22+'TUSD BF'!$AM$22+'TUSD CVA'!$AM$22)*1</f>
        <v>49.78704102185678</v>
      </c>
      <c r="AA464" s="6">
        <f>('TE BE'!$AA$8+'TE BF'!$AA$8+'TE CVA'!$AA$8)*1</f>
        <v>238.55077890362423</v>
      </c>
      <c r="AB464" s="6">
        <f>$K$464*$V$464</f>
        <v>0</v>
      </c>
      <c r="AC464" s="6">
        <f>$M$464*$W$464</f>
        <v>5321.1968999999999</v>
      </c>
      <c r="AD464" s="6">
        <f>$O$464*$X$464</f>
        <v>26701.071180000003</v>
      </c>
      <c r="AE464" s="6">
        <f>$K$464*$Y$464</f>
        <v>0</v>
      </c>
      <c r="AF464" s="6">
        <f ca="1">$M$464*$Z$464</f>
        <v>6069.3390228104727</v>
      </c>
      <c r="AG464" s="6">
        <f>$O$464*$AA$464</f>
        <v>29080.771253025217</v>
      </c>
    </row>
    <row r="465" spans="1:33" ht="11.25" customHeight="1" x14ac:dyDescent="0.25">
      <c r="A465" s="4" t="s">
        <v>21</v>
      </c>
      <c r="B465" s="4" t="s">
        <v>39</v>
      </c>
      <c r="C465" s="4" t="s">
        <v>41</v>
      </c>
      <c r="D465" s="4" t="s">
        <v>38</v>
      </c>
      <c r="E465" s="4" t="s">
        <v>25</v>
      </c>
      <c r="F465" s="4" t="s">
        <v>25</v>
      </c>
      <c r="G465" s="4" t="s">
        <v>25</v>
      </c>
      <c r="H465" s="4" t="s">
        <v>35</v>
      </c>
      <c r="I465" s="5">
        <v>44531</v>
      </c>
      <c r="J465" s="6">
        <v>0</v>
      </c>
      <c r="K465" s="6">
        <v>0</v>
      </c>
      <c r="L465" s="6">
        <v>952.65</v>
      </c>
      <c r="M465" s="6">
        <v>952.65</v>
      </c>
      <c r="N465" s="6">
        <v>0</v>
      </c>
      <c r="O465" s="6">
        <v>0</v>
      </c>
      <c r="P465" s="6">
        <v>0</v>
      </c>
      <c r="Q465" s="4" t="s">
        <v>57</v>
      </c>
      <c r="R465" s="4">
        <v>0</v>
      </c>
      <c r="S465" s="6">
        <v>0</v>
      </c>
      <c r="T465" s="6">
        <v>25</v>
      </c>
      <c r="U465" s="6">
        <v>0</v>
      </c>
      <c r="V465" s="6">
        <f>IF(ISERROR(VLOOKUP($S$465,'TAR FIN'!$A$1:$O$100,15,0)),0,VLOOKUP($S$465,'TAR FIN'!$A$1:$O$100,15,0))</f>
        <v>0</v>
      </c>
      <c r="W465" s="6">
        <f>IF(ISERROR(VLOOKUP($T$465,'TAR FIN'!$A$1:$O$100,15,0)),0,VLOOKUP($T$465,'TAR FIN'!$A$1:$O$100,15,0))</f>
        <v>43.65</v>
      </c>
      <c r="X465" s="6">
        <f>IF(ISERROR(VLOOKUP($U$465,'TAR FIN'!$A$1:$O$100,15,0)),0,VLOOKUP($U$465,'TAR FIN'!$A$1:$O$100,15,0))</f>
        <v>0</v>
      </c>
      <c r="Y465" s="6"/>
      <c r="Z465" s="6">
        <f ca="1">('TUSD BE'!$AM$22+'TUSD BF'!$AM$22+'TUSD CVA'!$AM$22)*1</f>
        <v>49.78704102185678</v>
      </c>
      <c r="AA465" s="6"/>
      <c r="AB465" s="6">
        <f>$K$465*$V$465</f>
        <v>0</v>
      </c>
      <c r="AC465" s="6">
        <f>$M$465*$W$465</f>
        <v>41583.172500000001</v>
      </c>
      <c r="AD465" s="6">
        <f>$O$465*$X$465</f>
        <v>0</v>
      </c>
      <c r="AE465" s="6">
        <f>$K$465*$Y$465</f>
        <v>0</v>
      </c>
      <c r="AF465" s="6">
        <f ca="1">$M$465*$Z$465</f>
        <v>47429.624629471858</v>
      </c>
      <c r="AG465" s="6">
        <f>$O$465*$AA$465</f>
        <v>0</v>
      </c>
    </row>
    <row r="466" spans="1:33" ht="11.25" customHeight="1" x14ac:dyDescent="0.25">
      <c r="A466" s="4" t="s">
        <v>55</v>
      </c>
      <c r="B466" s="4" t="s">
        <v>39</v>
      </c>
      <c r="C466" s="4" t="s">
        <v>41</v>
      </c>
      <c r="D466" s="4" t="s">
        <v>38</v>
      </c>
      <c r="E466" s="4" t="s">
        <v>25</v>
      </c>
      <c r="F466" s="4" t="s">
        <v>25</v>
      </c>
      <c r="G466" s="4" t="s">
        <v>25</v>
      </c>
      <c r="H466" s="4" t="s">
        <v>35</v>
      </c>
      <c r="I466" s="5">
        <v>44562</v>
      </c>
      <c r="J466" s="6">
        <v>0</v>
      </c>
      <c r="K466" s="6">
        <v>0</v>
      </c>
      <c r="L466" s="6">
        <v>3011.28</v>
      </c>
      <c r="M466" s="6">
        <v>3011.28</v>
      </c>
      <c r="N466" s="6">
        <v>3011.28</v>
      </c>
      <c r="O466" s="6">
        <v>3011.28</v>
      </c>
      <c r="P466" s="6">
        <v>0</v>
      </c>
      <c r="Q466" s="4" t="s">
        <v>26</v>
      </c>
      <c r="R466" s="4">
        <v>0</v>
      </c>
      <c r="S466" s="6">
        <v>0</v>
      </c>
      <c r="T466" s="6">
        <v>25</v>
      </c>
      <c r="U466" s="6">
        <v>68</v>
      </c>
      <c r="V466" s="6">
        <f>IF(ISERROR(VLOOKUP($S$466,'TAR FIN'!$A$1:$O$100,15,0)),0,VLOOKUP($S$466,'TAR FIN'!$A$1:$O$100,15,0))</f>
        <v>0</v>
      </c>
      <c r="W466" s="6">
        <f>IF(ISERROR(VLOOKUP($T$466,'TAR FIN'!$A$1:$O$100,15,0)),0,VLOOKUP($T$466,'TAR FIN'!$A$1:$O$100,15,0))</f>
        <v>43.65</v>
      </c>
      <c r="X466" s="6">
        <f>IF(ISERROR(VLOOKUP($U$466,'TAR FIN'!$A$1:$O$100,15,0)),0,VLOOKUP($U$466,'TAR FIN'!$A$1:$O$100,15,0))</f>
        <v>219.03</v>
      </c>
      <c r="Y466" s="6"/>
      <c r="Z466" s="6">
        <f ca="1">('TUSD BE'!$AM$22+'TUSD BF'!$AM$22+'TUSD CVA'!$AM$22)*1</f>
        <v>49.78704102185678</v>
      </c>
      <c r="AA466" s="6">
        <f>('TE BE'!$AA$8+'TE BF'!$AA$8+'TE CVA'!$AA$8)*1</f>
        <v>238.55077890362423</v>
      </c>
      <c r="AB466" s="6">
        <f>$K$466*$V$466</f>
        <v>0</v>
      </c>
      <c r="AC466" s="6">
        <f>$M$466*$W$466</f>
        <v>131442.372</v>
      </c>
      <c r="AD466" s="6">
        <f>$O$466*$X$466</f>
        <v>659560.65840000007</v>
      </c>
      <c r="AE466" s="6">
        <f>$K$466*$Y$466</f>
        <v>0</v>
      </c>
      <c r="AF466" s="6">
        <f ca="1">$M$466*$Z$466</f>
        <v>149922.7208882969</v>
      </c>
      <c r="AG466" s="6">
        <f>$O$466*$AA$466</f>
        <v>718343.18949690566</v>
      </c>
    </row>
    <row r="467" spans="1:33" ht="11.25" customHeight="1" x14ac:dyDescent="0.25">
      <c r="A467" s="4" t="s">
        <v>55</v>
      </c>
      <c r="B467" s="4" t="s">
        <v>39</v>
      </c>
      <c r="C467" s="4" t="s">
        <v>41</v>
      </c>
      <c r="D467" s="4" t="s">
        <v>38</v>
      </c>
      <c r="E467" s="4" t="s">
        <v>25</v>
      </c>
      <c r="F467" s="4" t="s">
        <v>25</v>
      </c>
      <c r="G467" s="4" t="s">
        <v>25</v>
      </c>
      <c r="H467" s="4" t="s">
        <v>35</v>
      </c>
      <c r="I467" s="5">
        <v>44562</v>
      </c>
      <c r="J467" s="6">
        <v>0</v>
      </c>
      <c r="K467" s="6">
        <v>0</v>
      </c>
      <c r="L467" s="6">
        <v>121.90600000000001</v>
      </c>
      <c r="M467" s="6">
        <v>121.90600000000001</v>
      </c>
      <c r="N467" s="6">
        <v>121.90600000000001</v>
      </c>
      <c r="O467" s="6">
        <v>121.90600000000001</v>
      </c>
      <c r="P467" s="6">
        <v>0</v>
      </c>
      <c r="Q467" s="4" t="s">
        <v>26</v>
      </c>
      <c r="R467" s="4">
        <v>0</v>
      </c>
      <c r="S467" s="6">
        <v>0</v>
      </c>
      <c r="T467" s="6">
        <v>25</v>
      </c>
      <c r="U467" s="6">
        <v>68</v>
      </c>
      <c r="V467" s="6">
        <f>IF(ISERROR(VLOOKUP($S$467,'TAR FIN'!$A$1:$O$100,15,0)),0,VLOOKUP($S$467,'TAR FIN'!$A$1:$O$100,15,0))</f>
        <v>0</v>
      </c>
      <c r="W467" s="6">
        <f>IF(ISERROR(VLOOKUP($T$467,'TAR FIN'!$A$1:$O$100,15,0)),0,VLOOKUP($T$467,'TAR FIN'!$A$1:$O$100,15,0))</f>
        <v>43.65</v>
      </c>
      <c r="X467" s="6">
        <f>IF(ISERROR(VLOOKUP($U$467,'TAR FIN'!$A$1:$O$100,15,0)),0,VLOOKUP($U$467,'TAR FIN'!$A$1:$O$100,15,0))</f>
        <v>219.03</v>
      </c>
      <c r="Y467" s="6"/>
      <c r="Z467" s="6">
        <f ca="1">('TUSD BE'!$AM$22+'TUSD BF'!$AM$22+'TUSD CVA'!$AM$22)*1</f>
        <v>49.78704102185678</v>
      </c>
      <c r="AA467" s="6">
        <f>('TE BE'!$AA$8+'TE BF'!$AA$8+'TE CVA'!$AA$8)*1</f>
        <v>238.55077890362423</v>
      </c>
      <c r="AB467" s="6">
        <f>$K$467*$V$467</f>
        <v>0</v>
      </c>
      <c r="AC467" s="6">
        <f>$M$467*$W$467</f>
        <v>5321.1968999999999</v>
      </c>
      <c r="AD467" s="6">
        <f>$O$467*$X$467</f>
        <v>26701.071180000003</v>
      </c>
      <c r="AE467" s="6">
        <f>$K$467*$Y$467</f>
        <v>0</v>
      </c>
      <c r="AF467" s="6">
        <f ca="1">$M$467*$Z$467</f>
        <v>6069.3390228104727</v>
      </c>
      <c r="AG467" s="6">
        <f>$O$467*$AA$467</f>
        <v>29080.771253025217</v>
      </c>
    </row>
    <row r="468" spans="1:33" ht="11.25" customHeight="1" x14ac:dyDescent="0.25">
      <c r="A468" s="4" t="s">
        <v>55</v>
      </c>
      <c r="B468" s="4" t="s">
        <v>39</v>
      </c>
      <c r="C468" s="4" t="s">
        <v>41</v>
      </c>
      <c r="D468" s="4" t="s">
        <v>38</v>
      </c>
      <c r="E468" s="4" t="s">
        <v>25</v>
      </c>
      <c r="F468" s="4" t="s">
        <v>25</v>
      </c>
      <c r="G468" s="4" t="s">
        <v>25</v>
      </c>
      <c r="H468" s="4" t="s">
        <v>35</v>
      </c>
      <c r="I468" s="5">
        <v>44562</v>
      </c>
      <c r="J468" s="6">
        <v>0</v>
      </c>
      <c r="K468" s="6">
        <v>0</v>
      </c>
      <c r="L468" s="6">
        <v>952.65</v>
      </c>
      <c r="M468" s="6">
        <v>952.65</v>
      </c>
      <c r="N468" s="6">
        <v>0</v>
      </c>
      <c r="O468" s="6">
        <v>0</v>
      </c>
      <c r="P468" s="6">
        <v>0</v>
      </c>
      <c r="Q468" s="4" t="s">
        <v>57</v>
      </c>
      <c r="R468" s="4">
        <v>0</v>
      </c>
      <c r="S468" s="6">
        <v>0</v>
      </c>
      <c r="T468" s="6">
        <v>25</v>
      </c>
      <c r="U468" s="6">
        <v>0</v>
      </c>
      <c r="V468" s="6">
        <f>IF(ISERROR(VLOOKUP($S$468,'TAR FIN'!$A$1:$O$100,15,0)),0,VLOOKUP($S$468,'TAR FIN'!$A$1:$O$100,15,0))</f>
        <v>0</v>
      </c>
      <c r="W468" s="6">
        <f>IF(ISERROR(VLOOKUP($T$468,'TAR FIN'!$A$1:$O$100,15,0)),0,VLOOKUP($T$468,'TAR FIN'!$A$1:$O$100,15,0))</f>
        <v>43.65</v>
      </c>
      <c r="X468" s="6">
        <f>IF(ISERROR(VLOOKUP($U$468,'TAR FIN'!$A$1:$O$100,15,0)),0,VLOOKUP($U$468,'TAR FIN'!$A$1:$O$100,15,0))</f>
        <v>0</v>
      </c>
      <c r="Y468" s="6"/>
      <c r="Z468" s="6">
        <f ca="1">('TUSD BE'!$AM$22+'TUSD BF'!$AM$22+'TUSD CVA'!$AM$22)*1</f>
        <v>49.78704102185678</v>
      </c>
      <c r="AA468" s="6"/>
      <c r="AB468" s="6">
        <f>$K$468*$V$468</f>
        <v>0</v>
      </c>
      <c r="AC468" s="6">
        <f>$M$468*$W$468</f>
        <v>41583.172500000001</v>
      </c>
      <c r="AD468" s="6">
        <f>$O$468*$X$468</f>
        <v>0</v>
      </c>
      <c r="AE468" s="6">
        <f>$K$468*$Y$468</f>
        <v>0</v>
      </c>
      <c r="AF468" s="6">
        <f ca="1">$M$468*$Z$468</f>
        <v>47429.624629471858</v>
      </c>
      <c r="AG468" s="6">
        <f>$O$468*$AA$468</f>
        <v>0</v>
      </c>
    </row>
    <row r="469" spans="1:33" ht="11.25" customHeight="1" x14ac:dyDescent="0.25">
      <c r="A469" s="4" t="s">
        <v>21</v>
      </c>
      <c r="B469" s="4" t="s">
        <v>39</v>
      </c>
      <c r="C469" s="4" t="s">
        <v>41</v>
      </c>
      <c r="D469" s="4" t="s">
        <v>38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44228</v>
      </c>
      <c r="J469" s="6">
        <v>18649</v>
      </c>
      <c r="K469" s="6">
        <v>18649</v>
      </c>
      <c r="L469" s="6">
        <v>0</v>
      </c>
      <c r="M469" s="6">
        <v>0</v>
      </c>
      <c r="N469" s="6">
        <v>0</v>
      </c>
      <c r="O469" s="6">
        <v>0</v>
      </c>
      <c r="P469" s="6">
        <v>103</v>
      </c>
      <c r="Q469" s="4" t="s">
        <v>26</v>
      </c>
      <c r="R469" s="4">
        <v>0</v>
      </c>
      <c r="S469" s="6">
        <v>23</v>
      </c>
      <c r="T469" s="6">
        <v>0</v>
      </c>
      <c r="U469" s="6">
        <v>0</v>
      </c>
      <c r="V469" s="6">
        <f>IF(ISERROR(VLOOKUP($S$469,'TAR FIN'!$A$1:$O$100,15,0)),0,VLOOKUP($S$469,'TAR FIN'!$A$1:$O$100,15,0))</f>
        <v>18.48</v>
      </c>
      <c r="W469" s="6">
        <f>IF(ISERROR(VLOOKUP($T$469,'TAR FIN'!$A$1:$O$100,15,0)),0,VLOOKUP($T$469,'TAR FIN'!$A$1:$O$100,15,0))</f>
        <v>0</v>
      </c>
      <c r="X469" s="6">
        <f>IF(ISERROR(VLOOKUP($U$469,'TAR FIN'!$A$1:$O$100,15,0)),0,VLOOKUP($U$469,'TAR FIN'!$A$1:$O$100,15,0))</f>
        <v>0</v>
      </c>
      <c r="Y469" s="6">
        <f ca="1">('TUSD BE'!$AM$20+'TUSD BF'!$AM$20+'TUSD CVA'!$AM$20)*1</f>
        <v>17.856842567448453</v>
      </c>
      <c r="Z469" s="6"/>
      <c r="AA469" s="6"/>
      <c r="AB469" s="6">
        <f>$K$469*$V$469</f>
        <v>344633.52</v>
      </c>
      <c r="AC469" s="6">
        <f>$M$469*$W$469</f>
        <v>0</v>
      </c>
      <c r="AD469" s="6">
        <f>$O$469*$X$469</f>
        <v>0</v>
      </c>
      <c r="AE469" s="6">
        <f ca="1">$K$469*$Y$469</f>
        <v>333012.25704034622</v>
      </c>
      <c r="AF469" s="6">
        <f>$M$469*$Z$469</f>
        <v>0</v>
      </c>
      <c r="AG469" s="6">
        <f>$O$469*$AA$469</f>
        <v>0</v>
      </c>
    </row>
    <row r="470" spans="1:33" ht="11.25" customHeight="1" x14ac:dyDescent="0.25">
      <c r="A470" s="4" t="s">
        <v>28</v>
      </c>
      <c r="B470" s="4" t="s">
        <v>39</v>
      </c>
      <c r="C470" s="4" t="s">
        <v>41</v>
      </c>
      <c r="D470" s="4" t="s">
        <v>38</v>
      </c>
      <c r="E470" s="4" t="s">
        <v>25</v>
      </c>
      <c r="F470" s="4" t="s">
        <v>25</v>
      </c>
      <c r="G470" s="4" t="s">
        <v>25</v>
      </c>
      <c r="H470" s="4" t="s">
        <v>25</v>
      </c>
      <c r="I470" s="5">
        <v>44228</v>
      </c>
      <c r="J470" s="6">
        <v>1371</v>
      </c>
      <c r="K470" s="6">
        <v>1371</v>
      </c>
      <c r="L470" s="6">
        <v>0</v>
      </c>
      <c r="M470" s="6">
        <v>0</v>
      </c>
      <c r="N470" s="6">
        <v>0</v>
      </c>
      <c r="O470" s="6">
        <v>0</v>
      </c>
      <c r="P470" s="6">
        <v>8</v>
      </c>
      <c r="Q470" s="4" t="s">
        <v>26</v>
      </c>
      <c r="R470" s="4">
        <v>0</v>
      </c>
      <c r="S470" s="6">
        <v>23</v>
      </c>
      <c r="T470" s="6">
        <v>0</v>
      </c>
      <c r="U470" s="6">
        <v>0</v>
      </c>
      <c r="V470" s="6">
        <f>IF(ISERROR(VLOOKUP($S$470,'TAR FIN'!$A$1:$O$100,15,0)),0,VLOOKUP($S$470,'TAR FIN'!$A$1:$O$100,15,0))</f>
        <v>18.48</v>
      </c>
      <c r="W470" s="6">
        <f>IF(ISERROR(VLOOKUP($T$470,'TAR FIN'!$A$1:$O$100,15,0)),0,VLOOKUP($T$470,'TAR FIN'!$A$1:$O$100,15,0))</f>
        <v>0</v>
      </c>
      <c r="X470" s="6">
        <f>IF(ISERROR(VLOOKUP($U$470,'TAR FIN'!$A$1:$O$100,15,0)),0,VLOOKUP($U$470,'TAR FIN'!$A$1:$O$100,15,0))</f>
        <v>0</v>
      </c>
      <c r="Y470" s="6">
        <f ca="1">('TUSD BE'!$AM$20+'TUSD BF'!$AM$20+'TUSD CVA'!$AM$20)*1</f>
        <v>17.856842567448453</v>
      </c>
      <c r="Z470" s="6"/>
      <c r="AA470" s="6"/>
      <c r="AB470" s="6">
        <f>$K$470*$V$470</f>
        <v>25336.080000000002</v>
      </c>
      <c r="AC470" s="6">
        <f>$M$470*$W$470</f>
        <v>0</v>
      </c>
      <c r="AD470" s="6">
        <f>$O$470*$X$470</f>
        <v>0</v>
      </c>
      <c r="AE470" s="6">
        <f ca="1">$K$470*$Y$470</f>
        <v>24481.73115997183</v>
      </c>
      <c r="AF470" s="6">
        <f>$M$470*$Z$470</f>
        <v>0</v>
      </c>
      <c r="AG470" s="6">
        <f>$O$470*$AA$470</f>
        <v>0</v>
      </c>
    </row>
    <row r="471" spans="1:33" ht="11.25" customHeight="1" x14ac:dyDescent="0.25">
      <c r="A471" s="4" t="s">
        <v>21</v>
      </c>
      <c r="B471" s="4" t="s">
        <v>39</v>
      </c>
      <c r="C471" s="4" t="s">
        <v>41</v>
      </c>
      <c r="D471" s="4" t="s">
        <v>38</v>
      </c>
      <c r="E471" s="4" t="s">
        <v>25</v>
      </c>
      <c r="F471" s="4" t="s">
        <v>25</v>
      </c>
      <c r="G471" s="4" t="s">
        <v>25</v>
      </c>
      <c r="H471" s="4" t="s">
        <v>25</v>
      </c>
      <c r="I471" s="5">
        <v>44228</v>
      </c>
      <c r="J471" s="6">
        <v>2500</v>
      </c>
      <c r="K471" s="6">
        <v>2500</v>
      </c>
      <c r="L471" s="6">
        <v>0</v>
      </c>
      <c r="M471" s="6">
        <v>0</v>
      </c>
      <c r="N471" s="6">
        <v>0</v>
      </c>
      <c r="O471" s="6">
        <v>0</v>
      </c>
      <c r="P471" s="6">
        <v>1</v>
      </c>
      <c r="Q471" s="4" t="s">
        <v>57</v>
      </c>
      <c r="R471" s="4">
        <v>0</v>
      </c>
      <c r="S471" s="6">
        <v>23</v>
      </c>
      <c r="T471" s="6">
        <v>0</v>
      </c>
      <c r="U471" s="6">
        <v>0</v>
      </c>
      <c r="V471" s="6">
        <f>IF(ISERROR(VLOOKUP($S$471,'TAR FIN'!$A$1:$O$100,15,0)),0,VLOOKUP($S$471,'TAR FIN'!$A$1:$O$100,15,0))</f>
        <v>18.48</v>
      </c>
      <c r="W471" s="6">
        <f>IF(ISERROR(VLOOKUP($T$471,'TAR FIN'!$A$1:$O$100,15,0)),0,VLOOKUP($T$471,'TAR FIN'!$A$1:$O$100,15,0))</f>
        <v>0</v>
      </c>
      <c r="X471" s="6">
        <f>IF(ISERROR(VLOOKUP($U$471,'TAR FIN'!$A$1:$O$100,15,0)),0,VLOOKUP($U$471,'TAR FIN'!$A$1:$O$100,15,0))</f>
        <v>0</v>
      </c>
      <c r="Y471" s="6">
        <f ca="1">('TUSD BE'!$AM$20+'TUSD BF'!$AM$20+'TUSD CVA'!$AM$20)*1</f>
        <v>17.856842567448453</v>
      </c>
      <c r="Z471" s="6"/>
      <c r="AA471" s="6"/>
      <c r="AB471" s="6">
        <f>$K$471*$V$471</f>
        <v>46200</v>
      </c>
      <c r="AC471" s="6">
        <f>$M$471*$W$471</f>
        <v>0</v>
      </c>
      <c r="AD471" s="6">
        <f>$O$471*$X$471</f>
        <v>0</v>
      </c>
      <c r="AE471" s="6">
        <f ca="1">$K$471*$Y$471</f>
        <v>44642.10641862113</v>
      </c>
      <c r="AF471" s="6">
        <f>$M$471*$Z$471</f>
        <v>0</v>
      </c>
      <c r="AG471" s="6">
        <f>$O$471*$AA$471</f>
        <v>0</v>
      </c>
    </row>
    <row r="472" spans="1:33" ht="11.25" customHeight="1" x14ac:dyDescent="0.25">
      <c r="A472" s="4" t="s">
        <v>21</v>
      </c>
      <c r="B472" s="4" t="s">
        <v>39</v>
      </c>
      <c r="C472" s="4" t="s">
        <v>41</v>
      </c>
      <c r="D472" s="4" t="s">
        <v>38</v>
      </c>
      <c r="E472" s="4" t="s">
        <v>25</v>
      </c>
      <c r="F472" s="4" t="s">
        <v>25</v>
      </c>
      <c r="G472" s="4" t="s">
        <v>25</v>
      </c>
      <c r="H472" s="4" t="s">
        <v>25</v>
      </c>
      <c r="I472" s="5">
        <v>44256</v>
      </c>
      <c r="J472" s="6">
        <v>18209</v>
      </c>
      <c r="K472" s="6">
        <v>18209</v>
      </c>
      <c r="L472" s="6">
        <v>0</v>
      </c>
      <c r="M472" s="6">
        <v>0</v>
      </c>
      <c r="N472" s="6">
        <v>0</v>
      </c>
      <c r="O472" s="6">
        <v>0</v>
      </c>
      <c r="P472" s="6">
        <v>101</v>
      </c>
      <c r="Q472" s="4" t="s">
        <v>26</v>
      </c>
      <c r="R472" s="4">
        <v>0</v>
      </c>
      <c r="S472" s="6">
        <v>23</v>
      </c>
      <c r="T472" s="6">
        <v>0</v>
      </c>
      <c r="U472" s="6">
        <v>0</v>
      </c>
      <c r="V472" s="6">
        <f>IF(ISERROR(VLOOKUP($S$472,'TAR FIN'!$A$1:$O$100,15,0)),0,VLOOKUP($S$472,'TAR FIN'!$A$1:$O$100,15,0))</f>
        <v>18.48</v>
      </c>
      <c r="W472" s="6">
        <f>IF(ISERROR(VLOOKUP($T$472,'TAR FIN'!$A$1:$O$100,15,0)),0,VLOOKUP($T$472,'TAR FIN'!$A$1:$O$100,15,0))</f>
        <v>0</v>
      </c>
      <c r="X472" s="6">
        <f>IF(ISERROR(VLOOKUP($U$472,'TAR FIN'!$A$1:$O$100,15,0)),0,VLOOKUP($U$472,'TAR FIN'!$A$1:$O$100,15,0))</f>
        <v>0</v>
      </c>
      <c r="Y472" s="6">
        <f ca="1">('TUSD BE'!$AM$20+'TUSD BF'!$AM$20+'TUSD CVA'!$AM$20)*1</f>
        <v>17.856842567448453</v>
      </c>
      <c r="Z472" s="6"/>
      <c r="AA472" s="6"/>
      <c r="AB472" s="6">
        <f>$K$472*$V$472</f>
        <v>336502.32</v>
      </c>
      <c r="AC472" s="6">
        <f>$M$472*$W$472</f>
        <v>0</v>
      </c>
      <c r="AD472" s="6">
        <f>$O$472*$X$472</f>
        <v>0</v>
      </c>
      <c r="AE472" s="6">
        <f ca="1">$K$472*$Y$472</f>
        <v>325155.24631066888</v>
      </c>
      <c r="AF472" s="6">
        <f>$M$472*$Z$472</f>
        <v>0</v>
      </c>
      <c r="AG472" s="6">
        <f>$O$472*$AA$472</f>
        <v>0</v>
      </c>
    </row>
    <row r="473" spans="1:33" ht="11.25" customHeight="1" x14ac:dyDescent="0.25">
      <c r="A473" s="4" t="s">
        <v>28</v>
      </c>
      <c r="B473" s="4" t="s">
        <v>39</v>
      </c>
      <c r="C473" s="4" t="s">
        <v>41</v>
      </c>
      <c r="D473" s="4" t="s">
        <v>38</v>
      </c>
      <c r="E473" s="4" t="s">
        <v>25</v>
      </c>
      <c r="F473" s="4" t="s">
        <v>25</v>
      </c>
      <c r="G473" s="4" t="s">
        <v>25</v>
      </c>
      <c r="H473" s="4" t="s">
        <v>25</v>
      </c>
      <c r="I473" s="5">
        <v>44256</v>
      </c>
      <c r="J473" s="6">
        <v>1574</v>
      </c>
      <c r="K473" s="6">
        <v>1574</v>
      </c>
      <c r="L473" s="6">
        <v>0</v>
      </c>
      <c r="M473" s="6">
        <v>0</v>
      </c>
      <c r="N473" s="6">
        <v>0</v>
      </c>
      <c r="O473" s="6">
        <v>0</v>
      </c>
      <c r="P473" s="6">
        <v>9</v>
      </c>
      <c r="Q473" s="4" t="s">
        <v>26</v>
      </c>
      <c r="R473" s="4">
        <v>0</v>
      </c>
      <c r="S473" s="6">
        <v>23</v>
      </c>
      <c r="T473" s="6">
        <v>0</v>
      </c>
      <c r="U473" s="6">
        <v>0</v>
      </c>
      <c r="V473" s="6">
        <f>IF(ISERROR(VLOOKUP($S$473,'TAR FIN'!$A$1:$O$100,15,0)),0,VLOOKUP($S$473,'TAR FIN'!$A$1:$O$100,15,0))</f>
        <v>18.48</v>
      </c>
      <c r="W473" s="6">
        <f>IF(ISERROR(VLOOKUP($T$473,'TAR FIN'!$A$1:$O$100,15,0)),0,VLOOKUP($T$473,'TAR FIN'!$A$1:$O$100,15,0))</f>
        <v>0</v>
      </c>
      <c r="X473" s="6">
        <f>IF(ISERROR(VLOOKUP($U$473,'TAR FIN'!$A$1:$O$100,15,0)),0,VLOOKUP($U$473,'TAR FIN'!$A$1:$O$100,15,0))</f>
        <v>0</v>
      </c>
      <c r="Y473" s="6">
        <f ca="1">('TUSD BE'!$AM$20+'TUSD BF'!$AM$20+'TUSD CVA'!$AM$20)*1</f>
        <v>17.856842567448453</v>
      </c>
      <c r="Z473" s="6"/>
      <c r="AA473" s="6"/>
      <c r="AB473" s="6">
        <f>$K$473*$V$473</f>
        <v>29087.52</v>
      </c>
      <c r="AC473" s="6">
        <f>$M$473*$W$473</f>
        <v>0</v>
      </c>
      <c r="AD473" s="6">
        <f>$O$473*$X$473</f>
        <v>0</v>
      </c>
      <c r="AE473" s="6">
        <f ca="1">$K$473*$Y$473</f>
        <v>28106.670201163866</v>
      </c>
      <c r="AF473" s="6">
        <f>$M$473*$Z$473</f>
        <v>0</v>
      </c>
      <c r="AG473" s="6">
        <f>$O$473*$AA$473</f>
        <v>0</v>
      </c>
    </row>
    <row r="474" spans="1:33" ht="11.25" customHeight="1" x14ac:dyDescent="0.25">
      <c r="A474" s="4" t="s">
        <v>21</v>
      </c>
      <c r="B474" s="4" t="s">
        <v>39</v>
      </c>
      <c r="C474" s="4" t="s">
        <v>41</v>
      </c>
      <c r="D474" s="4" t="s">
        <v>38</v>
      </c>
      <c r="E474" s="4" t="s">
        <v>25</v>
      </c>
      <c r="F474" s="4" t="s">
        <v>25</v>
      </c>
      <c r="G474" s="4" t="s">
        <v>25</v>
      </c>
      <c r="H474" s="4" t="s">
        <v>25</v>
      </c>
      <c r="I474" s="5">
        <v>44256</v>
      </c>
      <c r="J474" s="6">
        <v>2934</v>
      </c>
      <c r="K474" s="6">
        <v>2934</v>
      </c>
      <c r="L474" s="6">
        <v>0</v>
      </c>
      <c r="M474" s="6">
        <v>0</v>
      </c>
      <c r="N474" s="6">
        <v>0</v>
      </c>
      <c r="O474" s="6">
        <v>0</v>
      </c>
      <c r="P474" s="6">
        <v>2</v>
      </c>
      <c r="Q474" s="4" t="s">
        <v>57</v>
      </c>
      <c r="R474" s="4">
        <v>0</v>
      </c>
      <c r="S474" s="6">
        <v>23</v>
      </c>
      <c r="T474" s="6">
        <v>0</v>
      </c>
      <c r="U474" s="6">
        <v>0</v>
      </c>
      <c r="V474" s="6">
        <f>IF(ISERROR(VLOOKUP($S$474,'TAR FIN'!$A$1:$O$100,15,0)),0,VLOOKUP($S$474,'TAR FIN'!$A$1:$O$100,15,0))</f>
        <v>18.48</v>
      </c>
      <c r="W474" s="6">
        <f>IF(ISERROR(VLOOKUP($T$474,'TAR FIN'!$A$1:$O$100,15,0)),0,VLOOKUP($T$474,'TAR FIN'!$A$1:$O$100,15,0))</f>
        <v>0</v>
      </c>
      <c r="X474" s="6">
        <f>IF(ISERROR(VLOOKUP($U$474,'TAR FIN'!$A$1:$O$100,15,0)),0,VLOOKUP($U$474,'TAR FIN'!$A$1:$O$100,15,0))</f>
        <v>0</v>
      </c>
      <c r="Y474" s="6">
        <f ca="1">('TUSD BE'!$AM$20+'TUSD BF'!$AM$20+'TUSD CVA'!$AM$20)*1</f>
        <v>17.856842567448453</v>
      </c>
      <c r="Z474" s="6"/>
      <c r="AA474" s="6"/>
      <c r="AB474" s="6">
        <f>$K$474*$V$474</f>
        <v>54220.32</v>
      </c>
      <c r="AC474" s="6">
        <f>$M$474*$W$474</f>
        <v>0</v>
      </c>
      <c r="AD474" s="6">
        <f>$O$474*$X$474</f>
        <v>0</v>
      </c>
      <c r="AE474" s="6">
        <f ca="1">$K$474*$Y$474</f>
        <v>52391.976092893761</v>
      </c>
      <c r="AF474" s="6">
        <f>$M$474*$Z$474</f>
        <v>0</v>
      </c>
      <c r="AG474" s="6">
        <f>$O$474*$AA$474</f>
        <v>0</v>
      </c>
    </row>
    <row r="475" spans="1:33" ht="11.25" customHeight="1" x14ac:dyDescent="0.25">
      <c r="A475" s="4" t="s">
        <v>21</v>
      </c>
      <c r="B475" s="4" t="s">
        <v>39</v>
      </c>
      <c r="C475" s="4" t="s">
        <v>41</v>
      </c>
      <c r="D475" s="4" t="s">
        <v>38</v>
      </c>
      <c r="E475" s="4" t="s">
        <v>25</v>
      </c>
      <c r="F475" s="4" t="s">
        <v>25</v>
      </c>
      <c r="G475" s="4" t="s">
        <v>25</v>
      </c>
      <c r="H475" s="4" t="s">
        <v>25</v>
      </c>
      <c r="I475" s="5">
        <v>44287</v>
      </c>
      <c r="J475" s="6">
        <v>18113</v>
      </c>
      <c r="K475" s="6">
        <v>18113</v>
      </c>
      <c r="L475" s="6">
        <v>0</v>
      </c>
      <c r="M475" s="6">
        <v>0</v>
      </c>
      <c r="N475" s="6">
        <v>0</v>
      </c>
      <c r="O475" s="6">
        <v>0</v>
      </c>
      <c r="P475" s="6">
        <v>106</v>
      </c>
      <c r="Q475" s="4" t="s">
        <v>26</v>
      </c>
      <c r="R475" s="4">
        <v>0</v>
      </c>
      <c r="S475" s="6">
        <v>23</v>
      </c>
      <c r="T475" s="6">
        <v>0</v>
      </c>
      <c r="U475" s="6">
        <v>0</v>
      </c>
      <c r="V475" s="6">
        <f>IF(ISERROR(VLOOKUP($S$475,'TAR FIN'!$A$1:$O$100,15,0)),0,VLOOKUP($S$475,'TAR FIN'!$A$1:$O$100,15,0))</f>
        <v>18.48</v>
      </c>
      <c r="W475" s="6">
        <f>IF(ISERROR(VLOOKUP($T$475,'TAR FIN'!$A$1:$O$100,15,0)),0,VLOOKUP($T$475,'TAR FIN'!$A$1:$O$100,15,0))</f>
        <v>0</v>
      </c>
      <c r="X475" s="6">
        <f>IF(ISERROR(VLOOKUP($U$475,'TAR FIN'!$A$1:$O$100,15,0)),0,VLOOKUP($U$475,'TAR FIN'!$A$1:$O$100,15,0))</f>
        <v>0</v>
      </c>
      <c r="Y475" s="6">
        <f ca="1">('TUSD BE'!$AM$20+'TUSD BF'!$AM$20+'TUSD CVA'!$AM$20)*1</f>
        <v>17.856842567448453</v>
      </c>
      <c r="Z475" s="6"/>
      <c r="AA475" s="6"/>
      <c r="AB475" s="6">
        <f>$K$475*$V$475</f>
        <v>334728.24</v>
      </c>
      <c r="AC475" s="6">
        <f>$M$475*$W$475</f>
        <v>0</v>
      </c>
      <c r="AD475" s="6">
        <f>$O$475*$X$475</f>
        <v>0</v>
      </c>
      <c r="AE475" s="6">
        <f ca="1">$K$475*$Y$475</f>
        <v>323440.9894241938</v>
      </c>
      <c r="AF475" s="6">
        <f>$M$475*$Z$475</f>
        <v>0</v>
      </c>
      <c r="AG475" s="6">
        <f>$O$475*$AA$475</f>
        <v>0</v>
      </c>
    </row>
    <row r="476" spans="1:33" ht="11.25" customHeight="1" x14ac:dyDescent="0.25">
      <c r="A476" s="4" t="s">
        <v>28</v>
      </c>
      <c r="B476" s="4" t="s">
        <v>39</v>
      </c>
      <c r="C476" s="4" t="s">
        <v>41</v>
      </c>
      <c r="D476" s="4" t="s">
        <v>38</v>
      </c>
      <c r="E476" s="4" t="s">
        <v>25</v>
      </c>
      <c r="F476" s="4" t="s">
        <v>25</v>
      </c>
      <c r="G476" s="4" t="s">
        <v>25</v>
      </c>
      <c r="H476" s="4" t="s">
        <v>25</v>
      </c>
      <c r="I476" s="5">
        <v>44287</v>
      </c>
      <c r="J476" s="6">
        <v>1551</v>
      </c>
      <c r="K476" s="6">
        <v>1551</v>
      </c>
      <c r="L476" s="6">
        <v>0</v>
      </c>
      <c r="M476" s="6">
        <v>0</v>
      </c>
      <c r="N476" s="6">
        <v>0</v>
      </c>
      <c r="O476" s="6">
        <v>0</v>
      </c>
      <c r="P476" s="6">
        <v>9</v>
      </c>
      <c r="Q476" s="4" t="s">
        <v>26</v>
      </c>
      <c r="R476" s="4">
        <v>0</v>
      </c>
      <c r="S476" s="6">
        <v>23</v>
      </c>
      <c r="T476" s="6">
        <v>0</v>
      </c>
      <c r="U476" s="6">
        <v>0</v>
      </c>
      <c r="V476" s="6">
        <f>IF(ISERROR(VLOOKUP($S$476,'TAR FIN'!$A$1:$O$100,15,0)),0,VLOOKUP($S$476,'TAR FIN'!$A$1:$O$100,15,0))</f>
        <v>18.48</v>
      </c>
      <c r="W476" s="6">
        <f>IF(ISERROR(VLOOKUP($T$476,'TAR FIN'!$A$1:$O$100,15,0)),0,VLOOKUP($T$476,'TAR FIN'!$A$1:$O$100,15,0))</f>
        <v>0</v>
      </c>
      <c r="X476" s="6">
        <f>IF(ISERROR(VLOOKUP($U$476,'TAR FIN'!$A$1:$O$100,15,0)),0,VLOOKUP($U$476,'TAR FIN'!$A$1:$O$100,15,0))</f>
        <v>0</v>
      </c>
      <c r="Y476" s="6">
        <f ca="1">('TUSD BE'!$AM$20+'TUSD BF'!$AM$20+'TUSD CVA'!$AM$20)*1</f>
        <v>17.856842567448453</v>
      </c>
      <c r="Z476" s="6"/>
      <c r="AA476" s="6"/>
      <c r="AB476" s="6">
        <f>$K$476*$V$476</f>
        <v>28662.48</v>
      </c>
      <c r="AC476" s="6">
        <f>$M$476*$W$476</f>
        <v>0</v>
      </c>
      <c r="AD476" s="6">
        <f>$O$476*$X$476</f>
        <v>0</v>
      </c>
      <c r="AE476" s="6">
        <f ca="1">$K$476*$Y$476</f>
        <v>27695.962822112549</v>
      </c>
      <c r="AF476" s="6">
        <f>$M$476*$Z$476</f>
        <v>0</v>
      </c>
      <c r="AG476" s="6">
        <f>$O$476*$AA$476</f>
        <v>0</v>
      </c>
    </row>
    <row r="477" spans="1:33" ht="11.25" customHeight="1" x14ac:dyDescent="0.25">
      <c r="A477" s="4" t="s">
        <v>21</v>
      </c>
      <c r="B477" s="4" t="s">
        <v>39</v>
      </c>
      <c r="C477" s="4" t="s">
        <v>41</v>
      </c>
      <c r="D477" s="4" t="s">
        <v>38</v>
      </c>
      <c r="E477" s="4" t="s">
        <v>25</v>
      </c>
      <c r="F477" s="4" t="s">
        <v>25</v>
      </c>
      <c r="G477" s="4" t="s">
        <v>25</v>
      </c>
      <c r="H477" s="4" t="s">
        <v>25</v>
      </c>
      <c r="I477" s="5">
        <v>44287</v>
      </c>
      <c r="J477" s="6">
        <v>2934</v>
      </c>
      <c r="K477" s="6">
        <v>2934</v>
      </c>
      <c r="L477" s="6">
        <v>0</v>
      </c>
      <c r="M477" s="6">
        <v>0</v>
      </c>
      <c r="N477" s="6">
        <v>0</v>
      </c>
      <c r="O477" s="6">
        <v>0</v>
      </c>
      <c r="P477" s="6">
        <v>2</v>
      </c>
      <c r="Q477" s="4" t="s">
        <v>57</v>
      </c>
      <c r="R477" s="4">
        <v>0</v>
      </c>
      <c r="S477" s="6">
        <v>23</v>
      </c>
      <c r="T477" s="6">
        <v>0</v>
      </c>
      <c r="U477" s="6">
        <v>0</v>
      </c>
      <c r="V477" s="6">
        <f>IF(ISERROR(VLOOKUP($S$477,'TAR FIN'!$A$1:$O$100,15,0)),0,VLOOKUP($S$477,'TAR FIN'!$A$1:$O$100,15,0))</f>
        <v>18.48</v>
      </c>
      <c r="W477" s="6">
        <f>IF(ISERROR(VLOOKUP($T$477,'TAR FIN'!$A$1:$O$100,15,0)),0,VLOOKUP($T$477,'TAR FIN'!$A$1:$O$100,15,0))</f>
        <v>0</v>
      </c>
      <c r="X477" s="6">
        <f>IF(ISERROR(VLOOKUP($U$477,'TAR FIN'!$A$1:$O$100,15,0)),0,VLOOKUP($U$477,'TAR FIN'!$A$1:$O$100,15,0))</f>
        <v>0</v>
      </c>
      <c r="Y477" s="6">
        <f ca="1">('TUSD BE'!$AM$20+'TUSD BF'!$AM$20+'TUSD CVA'!$AM$20)*1</f>
        <v>17.856842567448453</v>
      </c>
      <c r="Z477" s="6"/>
      <c r="AA477" s="6"/>
      <c r="AB477" s="6">
        <f>$K$477*$V$477</f>
        <v>54220.32</v>
      </c>
      <c r="AC477" s="6">
        <f>$M$477*$W$477</f>
        <v>0</v>
      </c>
      <c r="AD477" s="6">
        <f>$O$477*$X$477</f>
        <v>0</v>
      </c>
      <c r="AE477" s="6">
        <f ca="1">$K$477*$Y$477</f>
        <v>52391.976092893761</v>
      </c>
      <c r="AF477" s="6">
        <f>$M$477*$Z$477</f>
        <v>0</v>
      </c>
      <c r="AG477" s="6">
        <f>$O$477*$AA$477</f>
        <v>0</v>
      </c>
    </row>
    <row r="478" spans="1:33" ht="11.25" customHeight="1" x14ac:dyDescent="0.25">
      <c r="A478" s="4" t="s">
        <v>21</v>
      </c>
      <c r="B478" s="4" t="s">
        <v>39</v>
      </c>
      <c r="C478" s="4" t="s">
        <v>41</v>
      </c>
      <c r="D478" s="4" t="s">
        <v>38</v>
      </c>
      <c r="E478" s="4" t="s">
        <v>25</v>
      </c>
      <c r="F478" s="4" t="s">
        <v>25</v>
      </c>
      <c r="G478" s="4" t="s">
        <v>25</v>
      </c>
      <c r="H478" s="4" t="s">
        <v>25</v>
      </c>
      <c r="I478" s="5">
        <v>44317</v>
      </c>
      <c r="J478" s="6">
        <v>17669</v>
      </c>
      <c r="K478" s="6">
        <v>17669</v>
      </c>
      <c r="L478" s="6">
        <v>0</v>
      </c>
      <c r="M478" s="6">
        <v>0</v>
      </c>
      <c r="N478" s="6">
        <v>0</v>
      </c>
      <c r="O478" s="6">
        <v>0</v>
      </c>
      <c r="P478" s="6">
        <v>102</v>
      </c>
      <c r="Q478" s="4" t="s">
        <v>26</v>
      </c>
      <c r="R478" s="4">
        <v>0</v>
      </c>
      <c r="S478" s="6">
        <v>23</v>
      </c>
      <c r="T478" s="6">
        <v>0</v>
      </c>
      <c r="U478" s="6">
        <v>0</v>
      </c>
      <c r="V478" s="6">
        <f>IF(ISERROR(VLOOKUP($S$478,'TAR FIN'!$A$1:$O$100,15,0)),0,VLOOKUP($S$478,'TAR FIN'!$A$1:$O$100,15,0))</f>
        <v>18.48</v>
      </c>
      <c r="W478" s="6">
        <f>IF(ISERROR(VLOOKUP($T$478,'TAR FIN'!$A$1:$O$100,15,0)),0,VLOOKUP($T$478,'TAR FIN'!$A$1:$O$100,15,0))</f>
        <v>0</v>
      </c>
      <c r="X478" s="6">
        <f>IF(ISERROR(VLOOKUP($U$478,'TAR FIN'!$A$1:$O$100,15,0)),0,VLOOKUP($U$478,'TAR FIN'!$A$1:$O$100,15,0))</f>
        <v>0</v>
      </c>
      <c r="Y478" s="6">
        <f ca="1">('TUSD BE'!$AM$20+'TUSD BF'!$AM$20+'TUSD CVA'!$AM$20)*1</f>
        <v>17.856842567448453</v>
      </c>
      <c r="Z478" s="6"/>
      <c r="AA478" s="6"/>
      <c r="AB478" s="6">
        <f>$K$478*$V$478</f>
        <v>326523.12</v>
      </c>
      <c r="AC478" s="6">
        <f>$M$478*$W$478</f>
        <v>0</v>
      </c>
      <c r="AD478" s="6">
        <f>$O$478*$X$478</f>
        <v>0</v>
      </c>
      <c r="AE478" s="6">
        <f ca="1">$K$478*$Y$478</f>
        <v>315512.55132424674</v>
      </c>
      <c r="AF478" s="6">
        <f>$M$478*$Z$478</f>
        <v>0</v>
      </c>
      <c r="AG478" s="6">
        <f>$O$478*$AA$478</f>
        <v>0</v>
      </c>
    </row>
    <row r="479" spans="1:33" ht="11.25" customHeight="1" x14ac:dyDescent="0.25">
      <c r="A479" s="4" t="s">
        <v>28</v>
      </c>
      <c r="B479" s="4" t="s">
        <v>39</v>
      </c>
      <c r="C479" s="4" t="s">
        <v>41</v>
      </c>
      <c r="D479" s="4" t="s">
        <v>38</v>
      </c>
      <c r="E479" s="4" t="s">
        <v>25</v>
      </c>
      <c r="F479" s="4" t="s">
        <v>25</v>
      </c>
      <c r="G479" s="4" t="s">
        <v>25</v>
      </c>
      <c r="H479" s="4" t="s">
        <v>25</v>
      </c>
      <c r="I479" s="5">
        <v>44317</v>
      </c>
      <c r="J479" s="6">
        <v>1563</v>
      </c>
      <c r="K479" s="6">
        <v>1563</v>
      </c>
      <c r="L479" s="6">
        <v>0</v>
      </c>
      <c r="M479" s="6">
        <v>0</v>
      </c>
      <c r="N479" s="6">
        <v>0</v>
      </c>
      <c r="O479" s="6">
        <v>0</v>
      </c>
      <c r="P479" s="6">
        <v>9</v>
      </c>
      <c r="Q479" s="4" t="s">
        <v>26</v>
      </c>
      <c r="R479" s="4">
        <v>0</v>
      </c>
      <c r="S479" s="6">
        <v>23</v>
      </c>
      <c r="T479" s="6">
        <v>0</v>
      </c>
      <c r="U479" s="6">
        <v>0</v>
      </c>
      <c r="V479" s="6">
        <f>IF(ISERROR(VLOOKUP($S$479,'TAR FIN'!$A$1:$O$100,15,0)),0,VLOOKUP($S$479,'TAR FIN'!$A$1:$O$100,15,0))</f>
        <v>18.48</v>
      </c>
      <c r="W479" s="6">
        <f>IF(ISERROR(VLOOKUP($T$479,'TAR FIN'!$A$1:$O$100,15,0)),0,VLOOKUP($T$479,'TAR FIN'!$A$1:$O$100,15,0))</f>
        <v>0</v>
      </c>
      <c r="X479" s="6">
        <f>IF(ISERROR(VLOOKUP($U$479,'TAR FIN'!$A$1:$O$100,15,0)),0,VLOOKUP($U$479,'TAR FIN'!$A$1:$O$100,15,0))</f>
        <v>0</v>
      </c>
      <c r="Y479" s="6">
        <f ca="1">('TUSD BE'!$AM$20+'TUSD BF'!$AM$20+'TUSD CVA'!$AM$20)*1</f>
        <v>17.856842567448453</v>
      </c>
      <c r="Z479" s="6"/>
      <c r="AA479" s="6"/>
      <c r="AB479" s="6">
        <f>$K$479*$V$479</f>
        <v>28884.240000000002</v>
      </c>
      <c r="AC479" s="6">
        <f>$M$479*$W$479</f>
        <v>0</v>
      </c>
      <c r="AD479" s="6">
        <f>$O$479*$X$479</f>
        <v>0</v>
      </c>
      <c r="AE479" s="6">
        <f ca="1">$K$479*$Y$479</f>
        <v>27910.244932921931</v>
      </c>
      <c r="AF479" s="6">
        <f>$M$479*$Z$479</f>
        <v>0</v>
      </c>
      <c r="AG479" s="6">
        <f>$O$479*$AA$479</f>
        <v>0</v>
      </c>
    </row>
    <row r="480" spans="1:33" ht="11.25" customHeight="1" x14ac:dyDescent="0.25">
      <c r="A480" s="4" t="s">
        <v>21</v>
      </c>
      <c r="B480" s="4" t="s">
        <v>39</v>
      </c>
      <c r="C480" s="4" t="s">
        <v>41</v>
      </c>
      <c r="D480" s="4" t="s">
        <v>38</v>
      </c>
      <c r="E480" s="4" t="s">
        <v>25</v>
      </c>
      <c r="F480" s="4" t="s">
        <v>25</v>
      </c>
      <c r="G480" s="4" t="s">
        <v>25</v>
      </c>
      <c r="H480" s="4" t="s">
        <v>25</v>
      </c>
      <c r="I480" s="5">
        <v>44317</v>
      </c>
      <c r="J480" s="6">
        <v>2500</v>
      </c>
      <c r="K480" s="6">
        <v>2500</v>
      </c>
      <c r="L480" s="6">
        <v>0</v>
      </c>
      <c r="M480" s="6">
        <v>0</v>
      </c>
      <c r="N480" s="6">
        <v>0</v>
      </c>
      <c r="O480" s="6">
        <v>0</v>
      </c>
      <c r="P480" s="6">
        <v>1</v>
      </c>
      <c r="Q480" s="4" t="s">
        <v>57</v>
      </c>
      <c r="R480" s="4">
        <v>0</v>
      </c>
      <c r="S480" s="6">
        <v>23</v>
      </c>
      <c r="T480" s="6">
        <v>0</v>
      </c>
      <c r="U480" s="6">
        <v>0</v>
      </c>
      <c r="V480" s="6">
        <f>IF(ISERROR(VLOOKUP($S$480,'TAR FIN'!$A$1:$O$100,15,0)),0,VLOOKUP($S$480,'TAR FIN'!$A$1:$O$100,15,0))</f>
        <v>18.48</v>
      </c>
      <c r="W480" s="6">
        <f>IF(ISERROR(VLOOKUP($T$480,'TAR FIN'!$A$1:$O$100,15,0)),0,VLOOKUP($T$480,'TAR FIN'!$A$1:$O$100,15,0))</f>
        <v>0</v>
      </c>
      <c r="X480" s="6">
        <f>IF(ISERROR(VLOOKUP($U$480,'TAR FIN'!$A$1:$O$100,15,0)),0,VLOOKUP($U$480,'TAR FIN'!$A$1:$O$100,15,0))</f>
        <v>0</v>
      </c>
      <c r="Y480" s="6">
        <f ca="1">('TUSD BE'!$AM$20+'TUSD BF'!$AM$20+'TUSD CVA'!$AM$20)*1</f>
        <v>17.856842567448453</v>
      </c>
      <c r="Z480" s="6"/>
      <c r="AA480" s="6"/>
      <c r="AB480" s="6">
        <f>$K$480*$V$480</f>
        <v>46200</v>
      </c>
      <c r="AC480" s="6">
        <f>$M$480*$W$480</f>
        <v>0</v>
      </c>
      <c r="AD480" s="6">
        <f>$O$480*$X$480</f>
        <v>0</v>
      </c>
      <c r="AE480" s="6">
        <f ca="1">$K$480*$Y$480</f>
        <v>44642.10641862113</v>
      </c>
      <c r="AF480" s="6">
        <f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39</v>
      </c>
      <c r="C481" s="4" t="s">
        <v>41</v>
      </c>
      <c r="D481" s="4" t="s">
        <v>38</v>
      </c>
      <c r="E481" s="4" t="s">
        <v>25</v>
      </c>
      <c r="F481" s="4" t="s">
        <v>25</v>
      </c>
      <c r="G481" s="4" t="s">
        <v>25</v>
      </c>
      <c r="H481" s="4" t="s">
        <v>25</v>
      </c>
      <c r="I481" s="5">
        <v>44348</v>
      </c>
      <c r="J481" s="6">
        <v>17822</v>
      </c>
      <c r="K481" s="6">
        <v>17822</v>
      </c>
      <c r="L481" s="6">
        <v>0</v>
      </c>
      <c r="M481" s="6">
        <v>0</v>
      </c>
      <c r="N481" s="6">
        <v>0</v>
      </c>
      <c r="O481" s="6">
        <v>0</v>
      </c>
      <c r="P481" s="6">
        <v>101</v>
      </c>
      <c r="Q481" s="4" t="s">
        <v>26</v>
      </c>
      <c r="R481" s="4">
        <v>0</v>
      </c>
      <c r="S481" s="6">
        <v>23</v>
      </c>
      <c r="T481" s="6">
        <v>0</v>
      </c>
      <c r="U481" s="6">
        <v>0</v>
      </c>
      <c r="V481" s="6">
        <f>IF(ISERROR(VLOOKUP($S$481,'TAR FIN'!$A$1:$O$100,15,0)),0,VLOOKUP($S$481,'TAR FIN'!$A$1:$O$100,15,0))</f>
        <v>18.48</v>
      </c>
      <c r="W481" s="6">
        <f>IF(ISERROR(VLOOKUP($T$481,'TAR FIN'!$A$1:$O$100,15,0)),0,VLOOKUP($T$481,'TAR FIN'!$A$1:$O$100,15,0))</f>
        <v>0</v>
      </c>
      <c r="X481" s="6">
        <f>IF(ISERROR(VLOOKUP($U$481,'TAR FIN'!$A$1:$O$100,15,0)),0,VLOOKUP($U$481,'TAR FIN'!$A$1:$O$100,15,0))</f>
        <v>0</v>
      </c>
      <c r="Y481" s="6">
        <f ca="1">('TUSD BE'!$AM$20+'TUSD BF'!$AM$20+'TUSD CVA'!$AM$20)*1</f>
        <v>17.856842567448453</v>
      </c>
      <c r="Z481" s="6"/>
      <c r="AA481" s="6"/>
      <c r="AB481" s="6">
        <f>$K$481*$V$481</f>
        <v>329350.56</v>
      </c>
      <c r="AC481" s="6">
        <f>$M$481*$W$481</f>
        <v>0</v>
      </c>
      <c r="AD481" s="6">
        <f>$O$481*$X$481</f>
        <v>0</v>
      </c>
      <c r="AE481" s="6">
        <f ca="1">$K$481*$Y$481</f>
        <v>318244.64823706634</v>
      </c>
      <c r="AF481" s="6">
        <f>$M$481*$Z$481</f>
        <v>0</v>
      </c>
      <c r="AG481" s="6">
        <f>$O$481*$AA$481</f>
        <v>0</v>
      </c>
    </row>
    <row r="482" spans="1:33" ht="11.25" customHeight="1" x14ac:dyDescent="0.25">
      <c r="A482" s="4" t="s">
        <v>28</v>
      </c>
      <c r="B482" s="4" t="s">
        <v>39</v>
      </c>
      <c r="C482" s="4" t="s">
        <v>41</v>
      </c>
      <c r="D482" s="4" t="s">
        <v>38</v>
      </c>
      <c r="E482" s="4" t="s">
        <v>25</v>
      </c>
      <c r="F482" s="4" t="s">
        <v>25</v>
      </c>
      <c r="G482" s="4" t="s">
        <v>25</v>
      </c>
      <c r="H482" s="4" t="s">
        <v>25</v>
      </c>
      <c r="I482" s="5">
        <v>44348</v>
      </c>
      <c r="J482" s="6">
        <v>1552</v>
      </c>
      <c r="K482" s="6">
        <v>1552</v>
      </c>
      <c r="L482" s="6">
        <v>0</v>
      </c>
      <c r="M482" s="6">
        <v>0</v>
      </c>
      <c r="N482" s="6">
        <v>0</v>
      </c>
      <c r="O482" s="6">
        <v>0</v>
      </c>
      <c r="P482" s="6">
        <v>9</v>
      </c>
      <c r="Q482" s="4" t="s">
        <v>26</v>
      </c>
      <c r="R482" s="4">
        <v>0</v>
      </c>
      <c r="S482" s="6">
        <v>23</v>
      </c>
      <c r="T482" s="6">
        <v>0</v>
      </c>
      <c r="U482" s="6">
        <v>0</v>
      </c>
      <c r="V482" s="6">
        <f>IF(ISERROR(VLOOKUP($S$482,'TAR FIN'!$A$1:$O$100,15,0)),0,VLOOKUP($S$482,'TAR FIN'!$A$1:$O$100,15,0))</f>
        <v>18.48</v>
      </c>
      <c r="W482" s="6">
        <f>IF(ISERROR(VLOOKUP($T$482,'TAR FIN'!$A$1:$O$100,15,0)),0,VLOOKUP($T$482,'TAR FIN'!$A$1:$O$100,15,0))</f>
        <v>0</v>
      </c>
      <c r="X482" s="6">
        <f>IF(ISERROR(VLOOKUP($U$482,'TAR FIN'!$A$1:$O$100,15,0)),0,VLOOKUP($U$482,'TAR FIN'!$A$1:$O$100,15,0))</f>
        <v>0</v>
      </c>
      <c r="Y482" s="6">
        <f ca="1">('TUSD BE'!$AM$20+'TUSD BF'!$AM$20+'TUSD CVA'!$AM$20)*1</f>
        <v>17.856842567448453</v>
      </c>
      <c r="Z482" s="6"/>
      <c r="AA482" s="6"/>
      <c r="AB482" s="6">
        <f>$K$482*$V$482</f>
        <v>28680.959999999999</v>
      </c>
      <c r="AC482" s="6">
        <f>$M$482*$W$482</f>
        <v>0</v>
      </c>
      <c r="AD482" s="6">
        <f>$O$482*$X$482</f>
        <v>0</v>
      </c>
      <c r="AE482" s="6">
        <f ca="1">$K$482*$Y$482</f>
        <v>27713.819664679999</v>
      </c>
      <c r="AF482" s="6">
        <f>$M$482*$Z$482</f>
        <v>0</v>
      </c>
      <c r="AG482" s="6">
        <f>$O$482*$AA$482</f>
        <v>0</v>
      </c>
    </row>
    <row r="483" spans="1:33" ht="11.25" customHeight="1" x14ac:dyDescent="0.25">
      <c r="A483" s="4" t="s">
        <v>21</v>
      </c>
      <c r="B483" s="4" t="s">
        <v>39</v>
      </c>
      <c r="C483" s="4" t="s">
        <v>41</v>
      </c>
      <c r="D483" s="4" t="s">
        <v>38</v>
      </c>
      <c r="E483" s="4" t="s">
        <v>25</v>
      </c>
      <c r="F483" s="4" t="s">
        <v>25</v>
      </c>
      <c r="G483" s="4" t="s">
        <v>25</v>
      </c>
      <c r="H483" s="4" t="s">
        <v>25</v>
      </c>
      <c r="I483" s="5">
        <v>44348</v>
      </c>
      <c r="J483" s="6">
        <v>2500</v>
      </c>
      <c r="K483" s="6">
        <v>2500</v>
      </c>
      <c r="L483" s="6">
        <v>0</v>
      </c>
      <c r="M483" s="6">
        <v>0</v>
      </c>
      <c r="N483" s="6">
        <v>0</v>
      </c>
      <c r="O483" s="6">
        <v>0</v>
      </c>
      <c r="P483" s="6">
        <v>1</v>
      </c>
      <c r="Q483" s="4" t="s">
        <v>57</v>
      </c>
      <c r="R483" s="4">
        <v>0</v>
      </c>
      <c r="S483" s="6">
        <v>23</v>
      </c>
      <c r="T483" s="6">
        <v>0</v>
      </c>
      <c r="U483" s="6">
        <v>0</v>
      </c>
      <c r="V483" s="6">
        <f>IF(ISERROR(VLOOKUP($S$483,'TAR FIN'!$A$1:$O$100,15,0)),0,VLOOKUP($S$483,'TAR FIN'!$A$1:$O$100,15,0))</f>
        <v>18.48</v>
      </c>
      <c r="W483" s="6">
        <f>IF(ISERROR(VLOOKUP($T$483,'TAR FIN'!$A$1:$O$100,15,0)),0,VLOOKUP($T$483,'TAR FIN'!$A$1:$O$100,15,0))</f>
        <v>0</v>
      </c>
      <c r="X483" s="6">
        <f>IF(ISERROR(VLOOKUP($U$483,'TAR FIN'!$A$1:$O$100,15,0)),0,VLOOKUP($U$483,'TAR FIN'!$A$1:$O$100,15,0))</f>
        <v>0</v>
      </c>
      <c r="Y483" s="6">
        <f ca="1">('TUSD BE'!$AM$20+'TUSD BF'!$AM$20+'TUSD CVA'!$AM$20)*1</f>
        <v>17.856842567448453</v>
      </c>
      <c r="Z483" s="6"/>
      <c r="AA483" s="6"/>
      <c r="AB483" s="6">
        <f>$K$483*$V$483</f>
        <v>46200</v>
      </c>
      <c r="AC483" s="6">
        <f>$M$483*$W$483</f>
        <v>0</v>
      </c>
      <c r="AD483" s="6">
        <f>$O$483*$X$483</f>
        <v>0</v>
      </c>
      <c r="AE483" s="6">
        <f ca="1">$K$483*$Y$483</f>
        <v>44642.10641862113</v>
      </c>
      <c r="AF483" s="6">
        <f>$M$483*$Z$483</f>
        <v>0</v>
      </c>
      <c r="AG483" s="6">
        <f>$O$483*$AA$483</f>
        <v>0</v>
      </c>
    </row>
    <row r="484" spans="1:33" ht="11.25" customHeight="1" x14ac:dyDescent="0.25">
      <c r="A484" s="4" t="s">
        <v>21</v>
      </c>
      <c r="B484" s="4" t="s">
        <v>39</v>
      </c>
      <c r="C484" s="4" t="s">
        <v>41</v>
      </c>
      <c r="D484" s="4" t="s">
        <v>38</v>
      </c>
      <c r="E484" s="4" t="s">
        <v>25</v>
      </c>
      <c r="F484" s="4" t="s">
        <v>25</v>
      </c>
      <c r="G484" s="4" t="s">
        <v>25</v>
      </c>
      <c r="H484" s="4" t="s">
        <v>25</v>
      </c>
      <c r="I484" s="5">
        <v>44378</v>
      </c>
      <c r="J484" s="6">
        <v>17769</v>
      </c>
      <c r="K484" s="6">
        <v>17769</v>
      </c>
      <c r="L484" s="6">
        <v>0</v>
      </c>
      <c r="M484" s="6">
        <v>0</v>
      </c>
      <c r="N484" s="6">
        <v>0</v>
      </c>
      <c r="O484" s="6">
        <v>0</v>
      </c>
      <c r="P484" s="6">
        <v>103</v>
      </c>
      <c r="Q484" s="4" t="s">
        <v>26</v>
      </c>
      <c r="R484" s="4">
        <v>0</v>
      </c>
      <c r="S484" s="6">
        <v>23</v>
      </c>
      <c r="T484" s="6">
        <v>0</v>
      </c>
      <c r="U484" s="6">
        <v>0</v>
      </c>
      <c r="V484" s="6">
        <f>IF(ISERROR(VLOOKUP($S$484,'TAR FIN'!$A$1:$O$100,15,0)),0,VLOOKUP($S$484,'TAR FIN'!$A$1:$O$100,15,0))</f>
        <v>18.48</v>
      </c>
      <c r="W484" s="6">
        <f>IF(ISERROR(VLOOKUP($T$484,'TAR FIN'!$A$1:$O$100,15,0)),0,VLOOKUP($T$484,'TAR FIN'!$A$1:$O$100,15,0))</f>
        <v>0</v>
      </c>
      <c r="X484" s="6">
        <f>IF(ISERROR(VLOOKUP($U$484,'TAR FIN'!$A$1:$O$100,15,0)),0,VLOOKUP($U$484,'TAR FIN'!$A$1:$O$100,15,0))</f>
        <v>0</v>
      </c>
      <c r="Y484" s="6">
        <f ca="1">('TUSD BE'!$AM$20+'TUSD BF'!$AM$20+'TUSD CVA'!$AM$20)*1</f>
        <v>17.856842567448453</v>
      </c>
      <c r="Z484" s="6"/>
      <c r="AA484" s="6"/>
      <c r="AB484" s="6">
        <f>$K$484*$V$484</f>
        <v>328371.12</v>
      </c>
      <c r="AC484" s="6">
        <f>$M$484*$W$484</f>
        <v>0</v>
      </c>
      <c r="AD484" s="6">
        <f>$O$484*$X$484</f>
        <v>0</v>
      </c>
      <c r="AE484" s="6">
        <f ca="1">$K$484*$Y$484</f>
        <v>317298.23558099155</v>
      </c>
      <c r="AF484" s="6">
        <f>$M$484*$Z$484</f>
        <v>0</v>
      </c>
      <c r="AG484" s="6">
        <f>$O$484*$AA$484</f>
        <v>0</v>
      </c>
    </row>
    <row r="485" spans="1:33" ht="11.25" customHeight="1" x14ac:dyDescent="0.25">
      <c r="A485" s="4" t="s">
        <v>28</v>
      </c>
      <c r="B485" s="4" t="s">
        <v>39</v>
      </c>
      <c r="C485" s="4" t="s">
        <v>41</v>
      </c>
      <c r="D485" s="4" t="s">
        <v>38</v>
      </c>
      <c r="E485" s="4" t="s">
        <v>25</v>
      </c>
      <c r="F485" s="4" t="s">
        <v>25</v>
      </c>
      <c r="G485" s="4" t="s">
        <v>25</v>
      </c>
      <c r="H485" s="4" t="s">
        <v>25</v>
      </c>
      <c r="I485" s="5">
        <v>44378</v>
      </c>
      <c r="J485" s="6">
        <v>1787</v>
      </c>
      <c r="K485" s="6">
        <v>1787</v>
      </c>
      <c r="L485" s="6">
        <v>0</v>
      </c>
      <c r="M485" s="6">
        <v>0</v>
      </c>
      <c r="N485" s="6">
        <v>0</v>
      </c>
      <c r="O485" s="6">
        <v>0</v>
      </c>
      <c r="P485" s="6">
        <v>10</v>
      </c>
      <c r="Q485" s="4" t="s">
        <v>26</v>
      </c>
      <c r="R485" s="4">
        <v>0</v>
      </c>
      <c r="S485" s="6">
        <v>23</v>
      </c>
      <c r="T485" s="6">
        <v>0</v>
      </c>
      <c r="U485" s="6">
        <v>0</v>
      </c>
      <c r="V485" s="6">
        <f>IF(ISERROR(VLOOKUP($S$485,'TAR FIN'!$A$1:$O$100,15,0)),0,VLOOKUP($S$485,'TAR FIN'!$A$1:$O$100,15,0))</f>
        <v>18.48</v>
      </c>
      <c r="W485" s="6">
        <f>IF(ISERROR(VLOOKUP($T$485,'TAR FIN'!$A$1:$O$100,15,0)),0,VLOOKUP($T$485,'TAR FIN'!$A$1:$O$100,15,0))</f>
        <v>0</v>
      </c>
      <c r="X485" s="6">
        <f>IF(ISERROR(VLOOKUP($U$485,'TAR FIN'!$A$1:$O$100,15,0)),0,VLOOKUP($U$485,'TAR FIN'!$A$1:$O$100,15,0))</f>
        <v>0</v>
      </c>
      <c r="Y485" s="6">
        <f ca="1">('TUSD BE'!$AM$20+'TUSD BF'!$AM$20+'TUSD CVA'!$AM$20)*1</f>
        <v>17.856842567448453</v>
      </c>
      <c r="Z485" s="6"/>
      <c r="AA485" s="6"/>
      <c r="AB485" s="6">
        <f>$K$485*$V$485</f>
        <v>33023.760000000002</v>
      </c>
      <c r="AC485" s="6">
        <f>$M$485*$W$485</f>
        <v>0</v>
      </c>
      <c r="AD485" s="6">
        <f>$O$485*$X$485</f>
        <v>0</v>
      </c>
      <c r="AE485" s="6">
        <f ca="1">$K$485*$Y$485</f>
        <v>31910.177668030385</v>
      </c>
      <c r="AF485" s="6">
        <f>$M$485*$Z$485</f>
        <v>0</v>
      </c>
      <c r="AG485" s="6">
        <f>$O$485*$AA$485</f>
        <v>0</v>
      </c>
    </row>
    <row r="486" spans="1:33" ht="11.25" customHeight="1" x14ac:dyDescent="0.25">
      <c r="A486" s="4" t="s">
        <v>21</v>
      </c>
      <c r="B486" s="4" t="s">
        <v>39</v>
      </c>
      <c r="C486" s="4" t="s">
        <v>41</v>
      </c>
      <c r="D486" s="4" t="s">
        <v>38</v>
      </c>
      <c r="E486" s="4" t="s">
        <v>25</v>
      </c>
      <c r="F486" s="4" t="s">
        <v>25</v>
      </c>
      <c r="G486" s="4" t="s">
        <v>25</v>
      </c>
      <c r="H486" s="4" t="s">
        <v>25</v>
      </c>
      <c r="I486" s="5">
        <v>44378</v>
      </c>
      <c r="J486" s="6">
        <v>2550</v>
      </c>
      <c r="K486" s="6">
        <v>2550</v>
      </c>
      <c r="L486" s="6">
        <v>0</v>
      </c>
      <c r="M486" s="6">
        <v>0</v>
      </c>
      <c r="N486" s="6">
        <v>0</v>
      </c>
      <c r="O486" s="6">
        <v>0</v>
      </c>
      <c r="P486" s="6">
        <v>2</v>
      </c>
      <c r="Q486" s="4" t="s">
        <v>57</v>
      </c>
      <c r="R486" s="4">
        <v>0</v>
      </c>
      <c r="S486" s="6">
        <v>23</v>
      </c>
      <c r="T486" s="6">
        <v>0</v>
      </c>
      <c r="U486" s="6">
        <v>0</v>
      </c>
      <c r="V486" s="6">
        <f>IF(ISERROR(VLOOKUP($S$486,'TAR FIN'!$A$1:$O$100,15,0)),0,VLOOKUP($S$486,'TAR FIN'!$A$1:$O$100,15,0))</f>
        <v>18.48</v>
      </c>
      <c r="W486" s="6">
        <f>IF(ISERROR(VLOOKUP($T$486,'TAR FIN'!$A$1:$O$100,15,0)),0,VLOOKUP($T$486,'TAR FIN'!$A$1:$O$100,15,0))</f>
        <v>0</v>
      </c>
      <c r="X486" s="6">
        <f>IF(ISERROR(VLOOKUP($U$486,'TAR FIN'!$A$1:$O$100,15,0)),0,VLOOKUP($U$486,'TAR FIN'!$A$1:$O$100,15,0))</f>
        <v>0</v>
      </c>
      <c r="Y486" s="6">
        <f ca="1">('TUSD BE'!$AM$20+'TUSD BF'!$AM$20+'TUSD CVA'!$AM$20)*1</f>
        <v>17.856842567448453</v>
      </c>
      <c r="Z486" s="6"/>
      <c r="AA486" s="6"/>
      <c r="AB486" s="6">
        <f>$K$486*$V$486</f>
        <v>47124</v>
      </c>
      <c r="AC486" s="6">
        <f>$M$486*$W$486</f>
        <v>0</v>
      </c>
      <c r="AD486" s="6">
        <f>$O$486*$X$486</f>
        <v>0</v>
      </c>
      <c r="AE486" s="6">
        <f ca="1">$K$486*$Y$486</f>
        <v>45534.948546993553</v>
      </c>
      <c r="AF486" s="6">
        <f>$M$486*$Z$486</f>
        <v>0</v>
      </c>
      <c r="AG486" s="6">
        <f>$O$486*$AA$486</f>
        <v>0</v>
      </c>
    </row>
    <row r="487" spans="1:33" ht="11.25" customHeight="1" x14ac:dyDescent="0.25">
      <c r="A487" s="4" t="s">
        <v>21</v>
      </c>
      <c r="B487" s="4" t="s">
        <v>39</v>
      </c>
      <c r="C487" s="4" t="s">
        <v>41</v>
      </c>
      <c r="D487" s="4" t="s">
        <v>38</v>
      </c>
      <c r="E487" s="4" t="s">
        <v>25</v>
      </c>
      <c r="F487" s="4" t="s">
        <v>25</v>
      </c>
      <c r="G487" s="4" t="s">
        <v>25</v>
      </c>
      <c r="H487" s="4" t="s">
        <v>25</v>
      </c>
      <c r="I487" s="5">
        <v>44409</v>
      </c>
      <c r="J487" s="6">
        <v>17628</v>
      </c>
      <c r="K487" s="6">
        <v>17628</v>
      </c>
      <c r="L487" s="6">
        <v>0</v>
      </c>
      <c r="M487" s="6">
        <v>0</v>
      </c>
      <c r="N487" s="6">
        <v>0</v>
      </c>
      <c r="O487" s="6">
        <v>0</v>
      </c>
      <c r="P487" s="6">
        <v>101</v>
      </c>
      <c r="Q487" s="4" t="s">
        <v>26</v>
      </c>
      <c r="R487" s="4">
        <v>0</v>
      </c>
      <c r="S487" s="6">
        <v>23</v>
      </c>
      <c r="T487" s="6">
        <v>0</v>
      </c>
      <c r="U487" s="6">
        <v>0</v>
      </c>
      <c r="V487" s="6">
        <f>IF(ISERROR(VLOOKUP($S$487,'TAR FIN'!$A$1:$O$100,15,0)),0,VLOOKUP($S$487,'TAR FIN'!$A$1:$O$100,15,0))</f>
        <v>18.48</v>
      </c>
      <c r="W487" s="6">
        <f>IF(ISERROR(VLOOKUP($T$487,'TAR FIN'!$A$1:$O$100,15,0)),0,VLOOKUP($T$487,'TAR FIN'!$A$1:$O$100,15,0))</f>
        <v>0</v>
      </c>
      <c r="X487" s="6">
        <f>IF(ISERROR(VLOOKUP($U$487,'TAR FIN'!$A$1:$O$100,15,0)),0,VLOOKUP($U$487,'TAR FIN'!$A$1:$O$100,15,0))</f>
        <v>0</v>
      </c>
      <c r="Y487" s="6">
        <f ca="1">('TUSD BE'!$AM$20+'TUSD BF'!$AM$20+'TUSD CVA'!$AM$20)*1</f>
        <v>17.856842567448453</v>
      </c>
      <c r="Z487" s="6"/>
      <c r="AA487" s="6"/>
      <c r="AB487" s="6">
        <f>$K$487*$V$487</f>
        <v>325765.44</v>
      </c>
      <c r="AC487" s="6">
        <f>$M$487*$W$487</f>
        <v>0</v>
      </c>
      <c r="AD487" s="6">
        <f>$O$487*$X$487</f>
        <v>0</v>
      </c>
      <c r="AE487" s="6">
        <f ca="1">$K$487*$Y$487</f>
        <v>314780.42077898135</v>
      </c>
      <c r="AF487" s="6">
        <f>$M$487*$Z$487</f>
        <v>0</v>
      </c>
      <c r="AG487" s="6">
        <f>$O$487*$AA$487</f>
        <v>0</v>
      </c>
    </row>
    <row r="488" spans="1:33" ht="11.25" customHeight="1" x14ac:dyDescent="0.25">
      <c r="A488" s="4" t="s">
        <v>28</v>
      </c>
      <c r="B488" s="4" t="s">
        <v>39</v>
      </c>
      <c r="C488" s="4" t="s">
        <v>41</v>
      </c>
      <c r="D488" s="4" t="s">
        <v>38</v>
      </c>
      <c r="E488" s="4" t="s">
        <v>25</v>
      </c>
      <c r="F488" s="4" t="s">
        <v>25</v>
      </c>
      <c r="G488" s="4" t="s">
        <v>25</v>
      </c>
      <c r="H488" s="4" t="s">
        <v>25</v>
      </c>
      <c r="I488" s="5">
        <v>44409</v>
      </c>
      <c r="J488" s="6">
        <v>2001</v>
      </c>
      <c r="K488" s="6">
        <v>2001</v>
      </c>
      <c r="L488" s="6">
        <v>0</v>
      </c>
      <c r="M488" s="6">
        <v>0</v>
      </c>
      <c r="N488" s="6">
        <v>0</v>
      </c>
      <c r="O488" s="6">
        <v>0</v>
      </c>
      <c r="P488" s="6">
        <v>11</v>
      </c>
      <c r="Q488" s="4" t="s">
        <v>26</v>
      </c>
      <c r="R488" s="4">
        <v>0</v>
      </c>
      <c r="S488" s="6">
        <v>23</v>
      </c>
      <c r="T488" s="6">
        <v>0</v>
      </c>
      <c r="U488" s="6">
        <v>0</v>
      </c>
      <c r="V488" s="6">
        <f>IF(ISERROR(VLOOKUP($S$488,'TAR FIN'!$A$1:$O$100,15,0)),0,VLOOKUP($S$488,'TAR FIN'!$A$1:$O$100,15,0))</f>
        <v>18.48</v>
      </c>
      <c r="W488" s="6">
        <f>IF(ISERROR(VLOOKUP($T$488,'TAR FIN'!$A$1:$O$100,15,0)),0,VLOOKUP($T$488,'TAR FIN'!$A$1:$O$100,15,0))</f>
        <v>0</v>
      </c>
      <c r="X488" s="6">
        <f>IF(ISERROR(VLOOKUP($U$488,'TAR FIN'!$A$1:$O$100,15,0)),0,VLOOKUP($U$488,'TAR FIN'!$A$1:$O$100,15,0))</f>
        <v>0</v>
      </c>
      <c r="Y488" s="6">
        <f ca="1">('TUSD BE'!$AM$20+'TUSD BF'!$AM$20+'TUSD CVA'!$AM$20)*1</f>
        <v>17.856842567448453</v>
      </c>
      <c r="Z488" s="6"/>
      <c r="AA488" s="6"/>
      <c r="AB488" s="6">
        <f>$K$488*$V$488</f>
        <v>36978.480000000003</v>
      </c>
      <c r="AC488" s="6">
        <f>$M$488*$W$488</f>
        <v>0</v>
      </c>
      <c r="AD488" s="6">
        <f>$O$488*$X$488</f>
        <v>0</v>
      </c>
      <c r="AE488" s="6">
        <f ca="1">$K$488*$Y$488</f>
        <v>35731.541977464352</v>
      </c>
      <c r="AF488" s="6">
        <f>$M$488*$Z$488</f>
        <v>0</v>
      </c>
      <c r="AG488" s="6">
        <f>$O$488*$AA$488</f>
        <v>0</v>
      </c>
    </row>
    <row r="489" spans="1:33" ht="11.25" customHeight="1" x14ac:dyDescent="0.25">
      <c r="A489" s="4" t="s">
        <v>21</v>
      </c>
      <c r="B489" s="4" t="s">
        <v>39</v>
      </c>
      <c r="C489" s="4" t="s">
        <v>41</v>
      </c>
      <c r="D489" s="4" t="s">
        <v>38</v>
      </c>
      <c r="E489" s="4" t="s">
        <v>25</v>
      </c>
      <c r="F489" s="4" t="s">
        <v>25</v>
      </c>
      <c r="G489" s="4" t="s">
        <v>25</v>
      </c>
      <c r="H489" s="4" t="s">
        <v>25</v>
      </c>
      <c r="I489" s="5">
        <v>44409</v>
      </c>
      <c r="J489" s="6">
        <v>2550</v>
      </c>
      <c r="K489" s="6">
        <v>2550</v>
      </c>
      <c r="L489" s="6">
        <v>0</v>
      </c>
      <c r="M489" s="6">
        <v>0</v>
      </c>
      <c r="N489" s="6">
        <v>0</v>
      </c>
      <c r="O489" s="6">
        <v>0</v>
      </c>
      <c r="P489" s="6">
        <v>2</v>
      </c>
      <c r="Q489" s="4" t="s">
        <v>57</v>
      </c>
      <c r="R489" s="4">
        <v>0</v>
      </c>
      <c r="S489" s="6">
        <v>23</v>
      </c>
      <c r="T489" s="6">
        <v>0</v>
      </c>
      <c r="U489" s="6">
        <v>0</v>
      </c>
      <c r="V489" s="6">
        <f>IF(ISERROR(VLOOKUP($S$489,'TAR FIN'!$A$1:$O$100,15,0)),0,VLOOKUP($S$489,'TAR FIN'!$A$1:$O$100,15,0))</f>
        <v>18.48</v>
      </c>
      <c r="W489" s="6">
        <f>IF(ISERROR(VLOOKUP($T$489,'TAR FIN'!$A$1:$O$100,15,0)),0,VLOOKUP($T$489,'TAR FIN'!$A$1:$O$100,15,0))</f>
        <v>0</v>
      </c>
      <c r="X489" s="6">
        <f>IF(ISERROR(VLOOKUP($U$489,'TAR FIN'!$A$1:$O$100,15,0)),0,VLOOKUP($U$489,'TAR FIN'!$A$1:$O$100,15,0))</f>
        <v>0</v>
      </c>
      <c r="Y489" s="6">
        <f ca="1">('TUSD BE'!$AM$20+'TUSD BF'!$AM$20+'TUSD CVA'!$AM$20)*1</f>
        <v>17.856842567448453</v>
      </c>
      <c r="Z489" s="6"/>
      <c r="AA489" s="6"/>
      <c r="AB489" s="6">
        <f>$K$489*$V$489</f>
        <v>47124</v>
      </c>
      <c r="AC489" s="6">
        <f>$M$489*$W$489</f>
        <v>0</v>
      </c>
      <c r="AD489" s="6">
        <f>$O$489*$X$489</f>
        <v>0</v>
      </c>
      <c r="AE489" s="6">
        <f ca="1">$K$489*$Y$489</f>
        <v>45534.948546993553</v>
      </c>
      <c r="AF489" s="6">
        <f>$M$489*$Z$489</f>
        <v>0</v>
      </c>
      <c r="AG489" s="6">
        <f>$O$489*$AA$489</f>
        <v>0</v>
      </c>
    </row>
    <row r="490" spans="1:33" ht="11.25" customHeight="1" x14ac:dyDescent="0.25">
      <c r="A490" s="4" t="s">
        <v>21</v>
      </c>
      <c r="B490" s="4" t="s">
        <v>39</v>
      </c>
      <c r="C490" s="4" t="s">
        <v>41</v>
      </c>
      <c r="D490" s="4" t="s">
        <v>38</v>
      </c>
      <c r="E490" s="4" t="s">
        <v>25</v>
      </c>
      <c r="F490" s="4" t="s">
        <v>25</v>
      </c>
      <c r="G490" s="4" t="s">
        <v>25</v>
      </c>
      <c r="H490" s="4" t="s">
        <v>25</v>
      </c>
      <c r="I490" s="5">
        <v>44440</v>
      </c>
      <c r="J490" s="6">
        <v>17540</v>
      </c>
      <c r="K490" s="6">
        <v>17540</v>
      </c>
      <c r="L490" s="6">
        <v>0</v>
      </c>
      <c r="M490" s="6">
        <v>0</v>
      </c>
      <c r="N490" s="6">
        <v>0</v>
      </c>
      <c r="O490" s="6">
        <v>0</v>
      </c>
      <c r="P490" s="6">
        <v>100</v>
      </c>
      <c r="Q490" s="4" t="s">
        <v>26</v>
      </c>
      <c r="R490" s="4">
        <v>0</v>
      </c>
      <c r="S490" s="6">
        <v>23</v>
      </c>
      <c r="T490" s="6">
        <v>0</v>
      </c>
      <c r="U490" s="6">
        <v>0</v>
      </c>
      <c r="V490" s="6">
        <f>IF(ISERROR(VLOOKUP($S$490,'TAR FIN'!$A$1:$O$100,15,0)),0,VLOOKUP($S$490,'TAR FIN'!$A$1:$O$100,15,0))</f>
        <v>18.48</v>
      </c>
      <c r="W490" s="6">
        <f>IF(ISERROR(VLOOKUP($T$490,'TAR FIN'!$A$1:$O$100,15,0)),0,VLOOKUP($T$490,'TAR FIN'!$A$1:$O$100,15,0))</f>
        <v>0</v>
      </c>
      <c r="X490" s="6">
        <f>IF(ISERROR(VLOOKUP($U$490,'TAR FIN'!$A$1:$O$100,15,0)),0,VLOOKUP($U$490,'TAR FIN'!$A$1:$O$100,15,0))</f>
        <v>0</v>
      </c>
      <c r="Y490" s="6">
        <f ca="1">('TUSD BE'!$AM$20+'TUSD BF'!$AM$20+'TUSD CVA'!$AM$20)*1</f>
        <v>17.856842567448453</v>
      </c>
      <c r="Z490" s="6"/>
      <c r="AA490" s="6"/>
      <c r="AB490" s="6">
        <f>$K$490*$V$490</f>
        <v>324139.2</v>
      </c>
      <c r="AC490" s="6">
        <f>$M$490*$W$490</f>
        <v>0</v>
      </c>
      <c r="AD490" s="6">
        <f>$O$490*$X$490</f>
        <v>0</v>
      </c>
      <c r="AE490" s="6">
        <f ca="1">$K$490*$Y$490</f>
        <v>313209.01863304584</v>
      </c>
      <c r="AF490" s="6">
        <f>$M$490*$Z$490</f>
        <v>0</v>
      </c>
      <c r="AG490" s="6">
        <f>$O$490*$AA$490</f>
        <v>0</v>
      </c>
    </row>
    <row r="491" spans="1:33" ht="11.25" customHeight="1" x14ac:dyDescent="0.25">
      <c r="A491" s="4" t="s">
        <v>28</v>
      </c>
      <c r="B491" s="4" t="s">
        <v>39</v>
      </c>
      <c r="C491" s="4" t="s">
        <v>41</v>
      </c>
      <c r="D491" s="4" t="s">
        <v>38</v>
      </c>
      <c r="E491" s="4" t="s">
        <v>25</v>
      </c>
      <c r="F491" s="4" t="s">
        <v>25</v>
      </c>
      <c r="G491" s="4" t="s">
        <v>25</v>
      </c>
      <c r="H491" s="4" t="s">
        <v>25</v>
      </c>
      <c r="I491" s="5">
        <v>44440</v>
      </c>
      <c r="J491" s="6">
        <v>1980</v>
      </c>
      <c r="K491" s="6">
        <v>1980</v>
      </c>
      <c r="L491" s="6">
        <v>0</v>
      </c>
      <c r="M491" s="6">
        <v>0</v>
      </c>
      <c r="N491" s="6">
        <v>0</v>
      </c>
      <c r="O491" s="6">
        <v>0</v>
      </c>
      <c r="P491" s="6">
        <v>11</v>
      </c>
      <c r="Q491" s="4" t="s">
        <v>26</v>
      </c>
      <c r="R491" s="4">
        <v>0</v>
      </c>
      <c r="S491" s="6">
        <v>23</v>
      </c>
      <c r="T491" s="6">
        <v>0</v>
      </c>
      <c r="U491" s="6">
        <v>0</v>
      </c>
      <c r="V491" s="6">
        <f>IF(ISERROR(VLOOKUP($S$491,'TAR FIN'!$A$1:$O$100,15,0)),0,VLOOKUP($S$491,'TAR FIN'!$A$1:$O$100,15,0))</f>
        <v>18.48</v>
      </c>
      <c r="W491" s="6">
        <f>IF(ISERROR(VLOOKUP($T$491,'TAR FIN'!$A$1:$O$100,15,0)),0,VLOOKUP($T$491,'TAR FIN'!$A$1:$O$100,15,0))</f>
        <v>0</v>
      </c>
      <c r="X491" s="6">
        <f>IF(ISERROR(VLOOKUP($U$491,'TAR FIN'!$A$1:$O$100,15,0)),0,VLOOKUP($U$491,'TAR FIN'!$A$1:$O$100,15,0))</f>
        <v>0</v>
      </c>
      <c r="Y491" s="6">
        <f ca="1">('TUSD BE'!$AM$20+'TUSD BF'!$AM$20+'TUSD CVA'!$AM$20)*1</f>
        <v>17.856842567448453</v>
      </c>
      <c r="Z491" s="6"/>
      <c r="AA491" s="6"/>
      <c r="AB491" s="6">
        <f>$K$491*$V$491</f>
        <v>36590.400000000001</v>
      </c>
      <c r="AC491" s="6">
        <f>$M$491*$W$491</f>
        <v>0</v>
      </c>
      <c r="AD491" s="6">
        <f>$O$491*$X$491</f>
        <v>0</v>
      </c>
      <c r="AE491" s="6">
        <f ca="1">$K$491*$Y$491</f>
        <v>35356.548283547934</v>
      </c>
      <c r="AF491" s="6">
        <f>$M$491*$Z$491</f>
        <v>0</v>
      </c>
      <c r="AG491" s="6">
        <f>$O$491*$AA$491</f>
        <v>0</v>
      </c>
    </row>
    <row r="492" spans="1:33" ht="11.25" customHeight="1" x14ac:dyDescent="0.25">
      <c r="A492" s="4" t="s">
        <v>21</v>
      </c>
      <c r="B492" s="4" t="s">
        <v>39</v>
      </c>
      <c r="C492" s="4" t="s">
        <v>41</v>
      </c>
      <c r="D492" s="4" t="s">
        <v>38</v>
      </c>
      <c r="E492" s="4" t="s">
        <v>25</v>
      </c>
      <c r="F492" s="4" t="s">
        <v>25</v>
      </c>
      <c r="G492" s="4" t="s">
        <v>25</v>
      </c>
      <c r="H492" s="4" t="s">
        <v>25</v>
      </c>
      <c r="I492" s="5">
        <v>44440</v>
      </c>
      <c r="J492" s="6">
        <v>2550</v>
      </c>
      <c r="K492" s="6">
        <v>2550</v>
      </c>
      <c r="L492" s="6">
        <v>0</v>
      </c>
      <c r="M492" s="6">
        <v>0</v>
      </c>
      <c r="N492" s="6">
        <v>0</v>
      </c>
      <c r="O492" s="6">
        <v>0</v>
      </c>
      <c r="P492" s="6">
        <v>2</v>
      </c>
      <c r="Q492" s="4" t="s">
        <v>57</v>
      </c>
      <c r="R492" s="4">
        <v>0</v>
      </c>
      <c r="S492" s="6">
        <v>23</v>
      </c>
      <c r="T492" s="6">
        <v>0</v>
      </c>
      <c r="U492" s="6">
        <v>0</v>
      </c>
      <c r="V492" s="6">
        <f>IF(ISERROR(VLOOKUP($S$492,'TAR FIN'!$A$1:$O$100,15,0)),0,VLOOKUP($S$492,'TAR FIN'!$A$1:$O$100,15,0))</f>
        <v>18.48</v>
      </c>
      <c r="W492" s="6">
        <f>IF(ISERROR(VLOOKUP($T$492,'TAR FIN'!$A$1:$O$100,15,0)),0,VLOOKUP($T$492,'TAR FIN'!$A$1:$O$100,15,0))</f>
        <v>0</v>
      </c>
      <c r="X492" s="6">
        <f>IF(ISERROR(VLOOKUP($U$492,'TAR FIN'!$A$1:$O$100,15,0)),0,VLOOKUP($U$492,'TAR FIN'!$A$1:$O$100,15,0))</f>
        <v>0</v>
      </c>
      <c r="Y492" s="6">
        <f ca="1">('TUSD BE'!$AM$20+'TUSD BF'!$AM$20+'TUSD CVA'!$AM$20)*1</f>
        <v>17.856842567448453</v>
      </c>
      <c r="Z492" s="6"/>
      <c r="AA492" s="6"/>
      <c r="AB492" s="6">
        <f>$K$492*$V$492</f>
        <v>47124</v>
      </c>
      <c r="AC492" s="6">
        <f>$M$492*$W$492</f>
        <v>0</v>
      </c>
      <c r="AD492" s="6">
        <f>$O$492*$X$492</f>
        <v>0</v>
      </c>
      <c r="AE492" s="6">
        <f ca="1">$K$492*$Y$492</f>
        <v>45534.948546993553</v>
      </c>
      <c r="AF492" s="6">
        <f>$M$492*$Z$492</f>
        <v>0</v>
      </c>
      <c r="AG492" s="6">
        <f>$O$492*$AA$492</f>
        <v>0</v>
      </c>
    </row>
    <row r="493" spans="1:33" ht="11.25" customHeight="1" x14ac:dyDescent="0.25">
      <c r="A493" s="4" t="s">
        <v>21</v>
      </c>
      <c r="B493" s="4" t="s">
        <v>39</v>
      </c>
      <c r="C493" s="4" t="s">
        <v>41</v>
      </c>
      <c r="D493" s="4" t="s">
        <v>38</v>
      </c>
      <c r="E493" s="4" t="s">
        <v>25</v>
      </c>
      <c r="F493" s="4" t="s">
        <v>25</v>
      </c>
      <c r="G493" s="4" t="s">
        <v>25</v>
      </c>
      <c r="H493" s="4" t="s">
        <v>25</v>
      </c>
      <c r="I493" s="5">
        <v>44470</v>
      </c>
      <c r="J493" s="6">
        <v>17330</v>
      </c>
      <c r="K493" s="6">
        <v>17330</v>
      </c>
      <c r="L493" s="6">
        <v>0</v>
      </c>
      <c r="M493" s="6">
        <v>0</v>
      </c>
      <c r="N493" s="6">
        <v>0</v>
      </c>
      <c r="O493" s="6">
        <v>0</v>
      </c>
      <c r="P493" s="6">
        <v>101</v>
      </c>
      <c r="Q493" s="4" t="s">
        <v>26</v>
      </c>
      <c r="R493" s="4">
        <v>0</v>
      </c>
      <c r="S493" s="6">
        <v>23</v>
      </c>
      <c r="T493" s="6">
        <v>0</v>
      </c>
      <c r="U493" s="6">
        <v>0</v>
      </c>
      <c r="V493" s="6">
        <f>IF(ISERROR(VLOOKUP($S$493,'TAR FIN'!$A$1:$O$100,15,0)),0,VLOOKUP($S$493,'TAR FIN'!$A$1:$O$100,15,0))</f>
        <v>18.48</v>
      </c>
      <c r="W493" s="6">
        <f>IF(ISERROR(VLOOKUP($T$493,'TAR FIN'!$A$1:$O$100,15,0)),0,VLOOKUP($T$493,'TAR FIN'!$A$1:$O$100,15,0))</f>
        <v>0</v>
      </c>
      <c r="X493" s="6">
        <f>IF(ISERROR(VLOOKUP($U$493,'TAR FIN'!$A$1:$O$100,15,0)),0,VLOOKUP($U$493,'TAR FIN'!$A$1:$O$100,15,0))</f>
        <v>0</v>
      </c>
      <c r="Y493" s="6">
        <f ca="1">('TUSD BE'!$AM$20+'TUSD BF'!$AM$20+'TUSD CVA'!$AM$20)*1</f>
        <v>17.856842567448453</v>
      </c>
      <c r="Z493" s="6"/>
      <c r="AA493" s="6"/>
      <c r="AB493" s="6">
        <f>$K$493*$V$493</f>
        <v>320258.40000000002</v>
      </c>
      <c r="AC493" s="6">
        <f>$M$493*$W$493</f>
        <v>0</v>
      </c>
      <c r="AD493" s="6">
        <f>$O$493*$X$493</f>
        <v>0</v>
      </c>
      <c r="AE493" s="6">
        <f ca="1">$K$493*$Y$493</f>
        <v>309459.08169388172</v>
      </c>
      <c r="AF493" s="6">
        <f>$M$493*$Z$493</f>
        <v>0</v>
      </c>
      <c r="AG493" s="6">
        <f>$O$493*$AA$493</f>
        <v>0</v>
      </c>
    </row>
    <row r="494" spans="1:33" ht="11.25" customHeight="1" x14ac:dyDescent="0.25">
      <c r="A494" s="4" t="s">
        <v>28</v>
      </c>
      <c r="B494" s="4" t="s">
        <v>39</v>
      </c>
      <c r="C494" s="4" t="s">
        <v>41</v>
      </c>
      <c r="D494" s="4" t="s">
        <v>38</v>
      </c>
      <c r="E494" s="4" t="s">
        <v>25</v>
      </c>
      <c r="F494" s="4" t="s">
        <v>25</v>
      </c>
      <c r="G494" s="4" t="s">
        <v>25</v>
      </c>
      <c r="H494" s="4" t="s">
        <v>25</v>
      </c>
      <c r="I494" s="5">
        <v>44470</v>
      </c>
      <c r="J494" s="6">
        <v>2727</v>
      </c>
      <c r="K494" s="6">
        <v>2727</v>
      </c>
      <c r="L494" s="6">
        <v>0</v>
      </c>
      <c r="M494" s="6">
        <v>0</v>
      </c>
      <c r="N494" s="6">
        <v>0</v>
      </c>
      <c r="O494" s="6">
        <v>0</v>
      </c>
      <c r="P494" s="6">
        <v>12</v>
      </c>
      <c r="Q494" s="4" t="s">
        <v>26</v>
      </c>
      <c r="R494" s="4">
        <v>0</v>
      </c>
      <c r="S494" s="6">
        <v>23</v>
      </c>
      <c r="T494" s="6">
        <v>0</v>
      </c>
      <c r="U494" s="6">
        <v>0</v>
      </c>
      <c r="V494" s="6">
        <f>IF(ISERROR(VLOOKUP($S$494,'TAR FIN'!$A$1:$O$100,15,0)),0,VLOOKUP($S$494,'TAR FIN'!$A$1:$O$100,15,0))</f>
        <v>18.48</v>
      </c>
      <c r="W494" s="6">
        <f>IF(ISERROR(VLOOKUP($T$494,'TAR FIN'!$A$1:$O$100,15,0)),0,VLOOKUP($T$494,'TAR FIN'!$A$1:$O$100,15,0))</f>
        <v>0</v>
      </c>
      <c r="X494" s="6">
        <f>IF(ISERROR(VLOOKUP($U$494,'TAR FIN'!$A$1:$O$100,15,0)),0,VLOOKUP($U$494,'TAR FIN'!$A$1:$O$100,15,0))</f>
        <v>0</v>
      </c>
      <c r="Y494" s="6">
        <f ca="1">('TUSD BE'!$AM$20+'TUSD BF'!$AM$20+'TUSD CVA'!$AM$20)*1</f>
        <v>17.856842567448453</v>
      </c>
      <c r="Z494" s="6"/>
      <c r="AA494" s="6"/>
      <c r="AB494" s="6">
        <f>$K$494*$V$494</f>
        <v>50394.96</v>
      </c>
      <c r="AC494" s="6">
        <f>$M$494*$W$494</f>
        <v>0</v>
      </c>
      <c r="AD494" s="6">
        <f>$O$494*$X$494</f>
        <v>0</v>
      </c>
      <c r="AE494" s="6">
        <f ca="1">$K$494*$Y$494</f>
        <v>48695.609681431932</v>
      </c>
      <c r="AF494" s="6">
        <f>$M$494*$Z$494</f>
        <v>0</v>
      </c>
      <c r="AG494" s="6">
        <f>$O$494*$AA$494</f>
        <v>0</v>
      </c>
    </row>
    <row r="495" spans="1:33" ht="11.25" customHeight="1" x14ac:dyDescent="0.25">
      <c r="A495" s="4" t="s">
        <v>21</v>
      </c>
      <c r="B495" s="4" t="s">
        <v>39</v>
      </c>
      <c r="C495" s="4" t="s">
        <v>41</v>
      </c>
      <c r="D495" s="4" t="s">
        <v>38</v>
      </c>
      <c r="E495" s="4" t="s">
        <v>25</v>
      </c>
      <c r="F495" s="4" t="s">
        <v>25</v>
      </c>
      <c r="G495" s="4" t="s">
        <v>25</v>
      </c>
      <c r="H495" s="4" t="s">
        <v>25</v>
      </c>
      <c r="I495" s="5">
        <v>44470</v>
      </c>
      <c r="J495" s="6">
        <v>2550</v>
      </c>
      <c r="K495" s="6">
        <v>2550</v>
      </c>
      <c r="L495" s="6">
        <v>0</v>
      </c>
      <c r="M495" s="6">
        <v>0</v>
      </c>
      <c r="N495" s="6">
        <v>0</v>
      </c>
      <c r="O495" s="6">
        <v>0</v>
      </c>
      <c r="P495" s="6">
        <v>2</v>
      </c>
      <c r="Q495" s="4" t="s">
        <v>57</v>
      </c>
      <c r="R495" s="4">
        <v>0</v>
      </c>
      <c r="S495" s="6">
        <v>23</v>
      </c>
      <c r="T495" s="6">
        <v>0</v>
      </c>
      <c r="U495" s="6">
        <v>0</v>
      </c>
      <c r="V495" s="6">
        <f>IF(ISERROR(VLOOKUP($S$495,'TAR FIN'!$A$1:$O$100,15,0)),0,VLOOKUP($S$495,'TAR FIN'!$A$1:$O$100,15,0))</f>
        <v>18.48</v>
      </c>
      <c r="W495" s="6">
        <f>IF(ISERROR(VLOOKUP($T$495,'TAR FIN'!$A$1:$O$100,15,0)),0,VLOOKUP($T$495,'TAR FIN'!$A$1:$O$100,15,0))</f>
        <v>0</v>
      </c>
      <c r="X495" s="6">
        <f>IF(ISERROR(VLOOKUP($U$495,'TAR FIN'!$A$1:$O$100,15,0)),0,VLOOKUP($U$495,'TAR FIN'!$A$1:$O$100,15,0))</f>
        <v>0</v>
      </c>
      <c r="Y495" s="6">
        <f ca="1">('TUSD BE'!$AM$20+'TUSD BF'!$AM$20+'TUSD CVA'!$AM$20)*1</f>
        <v>17.856842567448453</v>
      </c>
      <c r="Z495" s="6"/>
      <c r="AA495" s="6"/>
      <c r="AB495" s="6">
        <f>$K$495*$V$495</f>
        <v>47124</v>
      </c>
      <c r="AC495" s="6">
        <f>$M$495*$W$495</f>
        <v>0</v>
      </c>
      <c r="AD495" s="6">
        <f>$O$495*$X$495</f>
        <v>0</v>
      </c>
      <c r="AE495" s="6">
        <f ca="1">$K$495*$Y$495</f>
        <v>45534.948546993553</v>
      </c>
      <c r="AF495" s="6">
        <f>$M$495*$Z$495</f>
        <v>0</v>
      </c>
      <c r="AG495" s="6">
        <f>$O$495*$AA$495</f>
        <v>0</v>
      </c>
    </row>
    <row r="496" spans="1:33" ht="11.25" customHeight="1" x14ac:dyDescent="0.25">
      <c r="A496" s="4" t="s">
        <v>21</v>
      </c>
      <c r="B496" s="4" t="s">
        <v>39</v>
      </c>
      <c r="C496" s="4" t="s">
        <v>41</v>
      </c>
      <c r="D496" s="4" t="s">
        <v>38</v>
      </c>
      <c r="E496" s="4" t="s">
        <v>25</v>
      </c>
      <c r="F496" s="4" t="s">
        <v>25</v>
      </c>
      <c r="G496" s="4" t="s">
        <v>25</v>
      </c>
      <c r="H496" s="4" t="s">
        <v>25</v>
      </c>
      <c r="I496" s="5">
        <v>44501</v>
      </c>
      <c r="J496" s="6">
        <v>17527</v>
      </c>
      <c r="K496" s="6">
        <v>17527</v>
      </c>
      <c r="L496" s="6">
        <v>0</v>
      </c>
      <c r="M496" s="6">
        <v>0</v>
      </c>
      <c r="N496" s="6">
        <v>0</v>
      </c>
      <c r="O496" s="6">
        <v>0</v>
      </c>
      <c r="P496" s="6">
        <v>101</v>
      </c>
      <c r="Q496" s="4" t="s">
        <v>26</v>
      </c>
      <c r="R496" s="4">
        <v>0</v>
      </c>
      <c r="S496" s="6">
        <v>23</v>
      </c>
      <c r="T496" s="6">
        <v>0</v>
      </c>
      <c r="U496" s="6">
        <v>0</v>
      </c>
      <c r="V496" s="6">
        <f>IF(ISERROR(VLOOKUP($S$496,'TAR FIN'!$A$1:$O$100,15,0)),0,VLOOKUP($S$496,'TAR FIN'!$A$1:$O$100,15,0))</f>
        <v>18.48</v>
      </c>
      <c r="W496" s="6">
        <f>IF(ISERROR(VLOOKUP($T$496,'TAR FIN'!$A$1:$O$100,15,0)),0,VLOOKUP($T$496,'TAR FIN'!$A$1:$O$100,15,0))</f>
        <v>0</v>
      </c>
      <c r="X496" s="6">
        <f>IF(ISERROR(VLOOKUP($U$496,'TAR FIN'!$A$1:$O$100,15,0)),0,VLOOKUP($U$496,'TAR FIN'!$A$1:$O$100,15,0))</f>
        <v>0</v>
      </c>
      <c r="Y496" s="6">
        <f ca="1">('TUSD BE'!$AM$20+'TUSD BF'!$AM$20+'TUSD CVA'!$AM$20)*1</f>
        <v>17.856842567448453</v>
      </c>
      <c r="Z496" s="6"/>
      <c r="AA496" s="6"/>
      <c r="AB496" s="6">
        <f>$K$496*$V$496</f>
        <v>323898.96000000002</v>
      </c>
      <c r="AC496" s="6">
        <f>$M$496*$W$496</f>
        <v>0</v>
      </c>
      <c r="AD496" s="6">
        <f>$O$496*$X$496</f>
        <v>0</v>
      </c>
      <c r="AE496" s="6">
        <f ca="1">$K$496*$Y$496</f>
        <v>312976.87967966904</v>
      </c>
      <c r="AF496" s="6">
        <f>$M$496*$Z$496</f>
        <v>0</v>
      </c>
      <c r="AG496" s="6">
        <f>$O$496*$AA$496</f>
        <v>0</v>
      </c>
    </row>
    <row r="497" spans="1:33" ht="11.25" customHeight="1" x14ac:dyDescent="0.25">
      <c r="A497" s="4" t="s">
        <v>27</v>
      </c>
      <c r="B497" s="4" t="s">
        <v>39</v>
      </c>
      <c r="C497" s="4" t="s">
        <v>41</v>
      </c>
      <c r="D497" s="4" t="s">
        <v>38</v>
      </c>
      <c r="E497" s="4" t="s">
        <v>25</v>
      </c>
      <c r="F497" s="4" t="s">
        <v>25</v>
      </c>
      <c r="G497" s="4" t="s">
        <v>25</v>
      </c>
      <c r="H497" s="4" t="s">
        <v>25</v>
      </c>
      <c r="I497" s="5">
        <v>44501</v>
      </c>
      <c r="J497" s="6">
        <v>59</v>
      </c>
      <c r="K497" s="6">
        <v>59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4" t="s">
        <v>26</v>
      </c>
      <c r="R497" s="4">
        <v>0</v>
      </c>
      <c r="S497" s="6">
        <v>23</v>
      </c>
      <c r="T497" s="6">
        <v>0</v>
      </c>
      <c r="U497" s="6">
        <v>0</v>
      </c>
      <c r="V497" s="6">
        <f>IF(ISERROR(VLOOKUP($S$497,'TAR FIN'!$A$1:$O$100,15,0)),0,VLOOKUP($S$497,'TAR FIN'!$A$1:$O$100,15,0))</f>
        <v>18.48</v>
      </c>
      <c r="W497" s="6">
        <f>IF(ISERROR(VLOOKUP($T$497,'TAR FIN'!$A$1:$O$100,15,0)),0,VLOOKUP($T$497,'TAR FIN'!$A$1:$O$100,15,0))</f>
        <v>0</v>
      </c>
      <c r="X497" s="6">
        <f>IF(ISERROR(VLOOKUP($U$497,'TAR FIN'!$A$1:$O$100,15,0)),0,VLOOKUP($U$497,'TAR FIN'!$A$1:$O$100,15,0))</f>
        <v>0</v>
      </c>
      <c r="Y497" s="6">
        <f ca="1">('TUSD BE'!$AM$20+'TUSD BF'!$AM$20+'TUSD CVA'!$AM$20)*1</f>
        <v>17.856842567448453</v>
      </c>
      <c r="Z497" s="6"/>
      <c r="AA497" s="6"/>
      <c r="AB497" s="6">
        <f>$K$497*$V$497</f>
        <v>1090.32</v>
      </c>
      <c r="AC497" s="6">
        <f>$M$497*$W$497</f>
        <v>0</v>
      </c>
      <c r="AD497" s="6">
        <f>$O$497*$X$497</f>
        <v>0</v>
      </c>
      <c r="AE497" s="6">
        <f ca="1">$K$497*$Y$497</f>
        <v>1053.5537114794588</v>
      </c>
      <c r="AF497" s="6">
        <f>$M$497*$Z$497</f>
        <v>0</v>
      </c>
      <c r="AG497" s="6">
        <f>$O$497*$AA$497</f>
        <v>0</v>
      </c>
    </row>
    <row r="498" spans="1:33" ht="11.25" customHeight="1" x14ac:dyDescent="0.25">
      <c r="A498" s="4" t="s">
        <v>28</v>
      </c>
      <c r="B498" s="4" t="s">
        <v>39</v>
      </c>
      <c r="C498" s="4" t="s">
        <v>41</v>
      </c>
      <c r="D498" s="4" t="s">
        <v>38</v>
      </c>
      <c r="E498" s="4" t="s">
        <v>25</v>
      </c>
      <c r="F498" s="4" t="s">
        <v>25</v>
      </c>
      <c r="G498" s="4" t="s">
        <v>25</v>
      </c>
      <c r="H498" s="4" t="s">
        <v>25</v>
      </c>
      <c r="I498" s="5">
        <v>44501</v>
      </c>
      <c r="J498" s="6">
        <v>2727</v>
      </c>
      <c r="K498" s="6">
        <v>2727</v>
      </c>
      <c r="L498" s="6">
        <v>0</v>
      </c>
      <c r="M498" s="6">
        <v>0</v>
      </c>
      <c r="N498" s="6">
        <v>0</v>
      </c>
      <c r="O498" s="6">
        <v>0</v>
      </c>
      <c r="P498" s="6">
        <v>12</v>
      </c>
      <c r="Q498" s="4" t="s">
        <v>26</v>
      </c>
      <c r="R498" s="4">
        <v>0</v>
      </c>
      <c r="S498" s="6">
        <v>23</v>
      </c>
      <c r="T498" s="6">
        <v>0</v>
      </c>
      <c r="U498" s="6">
        <v>0</v>
      </c>
      <c r="V498" s="6">
        <f>IF(ISERROR(VLOOKUP($S$498,'TAR FIN'!$A$1:$O$100,15,0)),0,VLOOKUP($S$498,'TAR FIN'!$A$1:$O$100,15,0))</f>
        <v>18.48</v>
      </c>
      <c r="W498" s="6">
        <f>IF(ISERROR(VLOOKUP($T$498,'TAR FIN'!$A$1:$O$100,15,0)),0,VLOOKUP($T$498,'TAR FIN'!$A$1:$O$100,15,0))</f>
        <v>0</v>
      </c>
      <c r="X498" s="6">
        <f>IF(ISERROR(VLOOKUP($U$498,'TAR FIN'!$A$1:$O$100,15,0)),0,VLOOKUP($U$498,'TAR FIN'!$A$1:$O$100,15,0))</f>
        <v>0</v>
      </c>
      <c r="Y498" s="6">
        <f ca="1">('TUSD BE'!$AM$20+'TUSD BF'!$AM$20+'TUSD CVA'!$AM$20)*1</f>
        <v>17.856842567448453</v>
      </c>
      <c r="Z498" s="6"/>
      <c r="AA498" s="6"/>
      <c r="AB498" s="6">
        <f>$K$498*$V$498</f>
        <v>50394.96</v>
      </c>
      <c r="AC498" s="6">
        <f>$M$498*$W$498</f>
        <v>0</v>
      </c>
      <c r="AD498" s="6">
        <f>$O$498*$X$498</f>
        <v>0</v>
      </c>
      <c r="AE498" s="6">
        <f ca="1">$K$498*$Y$498</f>
        <v>48695.609681431932</v>
      </c>
      <c r="AF498" s="6">
        <f>$M$498*$Z$498</f>
        <v>0</v>
      </c>
      <c r="AG498" s="6">
        <f>$O$498*$AA$498</f>
        <v>0</v>
      </c>
    </row>
    <row r="499" spans="1:33" ht="11.25" customHeight="1" x14ac:dyDescent="0.25">
      <c r="A499" s="4" t="s">
        <v>21</v>
      </c>
      <c r="B499" s="4" t="s">
        <v>39</v>
      </c>
      <c r="C499" s="4" t="s">
        <v>41</v>
      </c>
      <c r="D499" s="4" t="s">
        <v>38</v>
      </c>
      <c r="E499" s="4" t="s">
        <v>25</v>
      </c>
      <c r="F499" s="4" t="s">
        <v>25</v>
      </c>
      <c r="G499" s="4" t="s">
        <v>25</v>
      </c>
      <c r="H499" s="4" t="s">
        <v>25</v>
      </c>
      <c r="I499" s="5">
        <v>44501</v>
      </c>
      <c r="J499" s="6">
        <v>2550</v>
      </c>
      <c r="K499" s="6">
        <v>2550</v>
      </c>
      <c r="L499" s="6">
        <v>0</v>
      </c>
      <c r="M499" s="6">
        <v>0</v>
      </c>
      <c r="N499" s="6">
        <v>0</v>
      </c>
      <c r="O499" s="6">
        <v>0</v>
      </c>
      <c r="P499" s="6">
        <v>2</v>
      </c>
      <c r="Q499" s="4" t="s">
        <v>57</v>
      </c>
      <c r="R499" s="4">
        <v>0</v>
      </c>
      <c r="S499" s="6">
        <v>23</v>
      </c>
      <c r="T499" s="6">
        <v>0</v>
      </c>
      <c r="U499" s="6">
        <v>0</v>
      </c>
      <c r="V499" s="6">
        <f>IF(ISERROR(VLOOKUP($S$499,'TAR FIN'!$A$1:$O$100,15,0)),0,VLOOKUP($S$499,'TAR FIN'!$A$1:$O$100,15,0))</f>
        <v>18.48</v>
      </c>
      <c r="W499" s="6">
        <f>IF(ISERROR(VLOOKUP($T$499,'TAR FIN'!$A$1:$O$100,15,0)),0,VLOOKUP($T$499,'TAR FIN'!$A$1:$O$100,15,0))</f>
        <v>0</v>
      </c>
      <c r="X499" s="6">
        <f>IF(ISERROR(VLOOKUP($U$499,'TAR FIN'!$A$1:$O$100,15,0)),0,VLOOKUP($U$499,'TAR FIN'!$A$1:$O$100,15,0))</f>
        <v>0</v>
      </c>
      <c r="Y499" s="6">
        <f ca="1">('TUSD BE'!$AM$20+'TUSD BF'!$AM$20+'TUSD CVA'!$AM$20)*1</f>
        <v>17.856842567448453</v>
      </c>
      <c r="Z499" s="6"/>
      <c r="AA499" s="6"/>
      <c r="AB499" s="6">
        <f>$K$499*$V$499</f>
        <v>47124</v>
      </c>
      <c r="AC499" s="6">
        <f>$M$499*$W$499</f>
        <v>0</v>
      </c>
      <c r="AD499" s="6">
        <f>$O$499*$X$499</f>
        <v>0</v>
      </c>
      <c r="AE499" s="6">
        <f ca="1">$K$499*$Y$499</f>
        <v>45534.948546993553</v>
      </c>
      <c r="AF499" s="6">
        <f>$M$499*$Z$499</f>
        <v>0</v>
      </c>
      <c r="AG499" s="6">
        <f>$O$499*$AA$499</f>
        <v>0</v>
      </c>
    </row>
    <row r="500" spans="1:33" ht="11.25" customHeight="1" x14ac:dyDescent="0.25">
      <c r="A500" s="4" t="s">
        <v>21</v>
      </c>
      <c r="B500" s="4" t="s">
        <v>39</v>
      </c>
      <c r="C500" s="4" t="s">
        <v>41</v>
      </c>
      <c r="D500" s="4" t="s">
        <v>38</v>
      </c>
      <c r="E500" s="4" t="s">
        <v>25</v>
      </c>
      <c r="F500" s="4" t="s">
        <v>25</v>
      </c>
      <c r="G500" s="4" t="s">
        <v>25</v>
      </c>
      <c r="H500" s="4" t="s">
        <v>25</v>
      </c>
      <c r="I500" s="5">
        <v>44531</v>
      </c>
      <c r="J500" s="6">
        <v>17088</v>
      </c>
      <c r="K500" s="6">
        <v>17088</v>
      </c>
      <c r="L500" s="6">
        <v>0</v>
      </c>
      <c r="M500" s="6">
        <v>0</v>
      </c>
      <c r="N500" s="6">
        <v>0</v>
      </c>
      <c r="O500" s="6">
        <v>0</v>
      </c>
      <c r="P500" s="6">
        <v>102</v>
      </c>
      <c r="Q500" s="4" t="s">
        <v>26</v>
      </c>
      <c r="R500" s="4">
        <v>0</v>
      </c>
      <c r="S500" s="6">
        <v>23</v>
      </c>
      <c r="T500" s="6">
        <v>0</v>
      </c>
      <c r="U500" s="6">
        <v>0</v>
      </c>
      <c r="V500" s="6">
        <f>IF(ISERROR(VLOOKUP($S$500,'TAR FIN'!$A$1:$O$100,15,0)),0,VLOOKUP($S$500,'TAR FIN'!$A$1:$O$100,15,0))</f>
        <v>18.48</v>
      </c>
      <c r="W500" s="6">
        <f>IF(ISERROR(VLOOKUP($T$500,'TAR FIN'!$A$1:$O$100,15,0)),0,VLOOKUP($T$500,'TAR FIN'!$A$1:$O$100,15,0))</f>
        <v>0</v>
      </c>
      <c r="X500" s="6">
        <f>IF(ISERROR(VLOOKUP($U$500,'TAR FIN'!$A$1:$O$100,15,0)),0,VLOOKUP($U$500,'TAR FIN'!$A$1:$O$100,15,0))</f>
        <v>0</v>
      </c>
      <c r="Y500" s="6">
        <f ca="1">('TUSD BE'!$AM$20+'TUSD BF'!$AM$20+'TUSD CVA'!$AM$20)*1</f>
        <v>17.856842567448453</v>
      </c>
      <c r="Z500" s="6"/>
      <c r="AA500" s="6"/>
      <c r="AB500" s="6">
        <f>$K$500*$V$500</f>
        <v>315786.23999999999</v>
      </c>
      <c r="AC500" s="6">
        <f>$M$500*$W$500</f>
        <v>0</v>
      </c>
      <c r="AD500" s="6">
        <f>$O$500*$X$500</f>
        <v>0</v>
      </c>
      <c r="AE500" s="6">
        <f ca="1">$K$500*$Y$500</f>
        <v>305137.72579255915</v>
      </c>
      <c r="AF500" s="6">
        <f>$M$500*$Z$500</f>
        <v>0</v>
      </c>
      <c r="AG500" s="6">
        <f>$O$500*$AA$500</f>
        <v>0</v>
      </c>
    </row>
    <row r="501" spans="1:33" ht="11.25" customHeight="1" x14ac:dyDescent="0.25">
      <c r="A501" s="4" t="s">
        <v>28</v>
      </c>
      <c r="B501" s="4" t="s">
        <v>39</v>
      </c>
      <c r="C501" s="4" t="s">
        <v>41</v>
      </c>
      <c r="D501" s="4" t="s">
        <v>38</v>
      </c>
      <c r="E501" s="4" t="s">
        <v>25</v>
      </c>
      <c r="F501" s="4" t="s">
        <v>25</v>
      </c>
      <c r="G501" s="4" t="s">
        <v>25</v>
      </c>
      <c r="H501" s="4" t="s">
        <v>25</v>
      </c>
      <c r="I501" s="5">
        <v>44531</v>
      </c>
      <c r="J501" s="6">
        <v>2691</v>
      </c>
      <c r="K501" s="6">
        <v>2691</v>
      </c>
      <c r="L501" s="6">
        <v>0</v>
      </c>
      <c r="M501" s="6">
        <v>0</v>
      </c>
      <c r="N501" s="6">
        <v>0</v>
      </c>
      <c r="O501" s="6">
        <v>0</v>
      </c>
      <c r="P501" s="6">
        <v>12</v>
      </c>
      <c r="Q501" s="4" t="s">
        <v>26</v>
      </c>
      <c r="R501" s="4">
        <v>0</v>
      </c>
      <c r="S501" s="6">
        <v>23</v>
      </c>
      <c r="T501" s="6">
        <v>0</v>
      </c>
      <c r="U501" s="6">
        <v>0</v>
      </c>
      <c r="V501" s="6">
        <f>IF(ISERROR(VLOOKUP($S$501,'TAR FIN'!$A$1:$O$100,15,0)),0,VLOOKUP($S$501,'TAR FIN'!$A$1:$O$100,15,0))</f>
        <v>18.48</v>
      </c>
      <c r="W501" s="6">
        <f>IF(ISERROR(VLOOKUP($T$501,'TAR FIN'!$A$1:$O$100,15,0)),0,VLOOKUP($T$501,'TAR FIN'!$A$1:$O$100,15,0))</f>
        <v>0</v>
      </c>
      <c r="X501" s="6">
        <f>IF(ISERROR(VLOOKUP($U$501,'TAR FIN'!$A$1:$O$100,15,0)),0,VLOOKUP($U$501,'TAR FIN'!$A$1:$O$100,15,0))</f>
        <v>0</v>
      </c>
      <c r="Y501" s="6">
        <f ca="1">('TUSD BE'!$AM$20+'TUSD BF'!$AM$20+'TUSD CVA'!$AM$20)*1</f>
        <v>17.856842567448453</v>
      </c>
      <c r="Z501" s="6"/>
      <c r="AA501" s="6"/>
      <c r="AB501" s="6">
        <f>$K$501*$V$501</f>
        <v>49729.68</v>
      </c>
      <c r="AC501" s="6">
        <f>$M$501*$W$501</f>
        <v>0</v>
      </c>
      <c r="AD501" s="6">
        <f>$O$501*$X$501</f>
        <v>0</v>
      </c>
      <c r="AE501" s="6">
        <f ca="1">$K$501*$Y$501</f>
        <v>48052.763349003784</v>
      </c>
      <c r="AF501" s="6">
        <f>$M$501*$Z$501</f>
        <v>0</v>
      </c>
      <c r="AG501" s="6">
        <f>$O$501*$AA$501</f>
        <v>0</v>
      </c>
    </row>
    <row r="502" spans="1:33" ht="11.25" customHeight="1" x14ac:dyDescent="0.25">
      <c r="A502" s="4" t="s">
        <v>21</v>
      </c>
      <c r="B502" s="4" t="s">
        <v>39</v>
      </c>
      <c r="C502" s="4" t="s">
        <v>41</v>
      </c>
      <c r="D502" s="4" t="s">
        <v>38</v>
      </c>
      <c r="E502" s="4" t="s">
        <v>25</v>
      </c>
      <c r="F502" s="4" t="s">
        <v>25</v>
      </c>
      <c r="G502" s="4" t="s">
        <v>25</v>
      </c>
      <c r="H502" s="4" t="s">
        <v>25</v>
      </c>
      <c r="I502" s="5">
        <v>44531</v>
      </c>
      <c r="J502" s="6">
        <v>2500</v>
      </c>
      <c r="K502" s="6">
        <v>2500</v>
      </c>
      <c r="L502" s="6">
        <v>0</v>
      </c>
      <c r="M502" s="6">
        <v>0</v>
      </c>
      <c r="N502" s="6">
        <v>0</v>
      </c>
      <c r="O502" s="6">
        <v>0</v>
      </c>
      <c r="P502" s="6">
        <v>1</v>
      </c>
      <c r="Q502" s="4" t="s">
        <v>57</v>
      </c>
      <c r="R502" s="4">
        <v>0</v>
      </c>
      <c r="S502" s="6">
        <v>23</v>
      </c>
      <c r="T502" s="6">
        <v>0</v>
      </c>
      <c r="U502" s="6">
        <v>0</v>
      </c>
      <c r="V502" s="6">
        <f>IF(ISERROR(VLOOKUP($S$502,'TAR FIN'!$A$1:$O$100,15,0)),0,VLOOKUP($S$502,'TAR FIN'!$A$1:$O$100,15,0))</f>
        <v>18.48</v>
      </c>
      <c r="W502" s="6">
        <f>IF(ISERROR(VLOOKUP($T$502,'TAR FIN'!$A$1:$O$100,15,0)),0,VLOOKUP($T$502,'TAR FIN'!$A$1:$O$100,15,0))</f>
        <v>0</v>
      </c>
      <c r="X502" s="6">
        <f>IF(ISERROR(VLOOKUP($U$502,'TAR FIN'!$A$1:$O$100,15,0)),0,VLOOKUP($U$502,'TAR FIN'!$A$1:$O$100,15,0))</f>
        <v>0</v>
      </c>
      <c r="Y502" s="6">
        <f ca="1">('TUSD BE'!$AM$20+'TUSD BF'!$AM$20+'TUSD CVA'!$AM$20)*1</f>
        <v>17.856842567448453</v>
      </c>
      <c r="Z502" s="6"/>
      <c r="AA502" s="6"/>
      <c r="AB502" s="6">
        <f>$K$502*$V$502</f>
        <v>46200</v>
      </c>
      <c r="AC502" s="6">
        <f>$M$502*$W$502</f>
        <v>0</v>
      </c>
      <c r="AD502" s="6">
        <f>$O$502*$X$502</f>
        <v>0</v>
      </c>
      <c r="AE502" s="6">
        <f ca="1">$K$502*$Y$502</f>
        <v>44642.10641862113</v>
      </c>
      <c r="AF502" s="6">
        <f>$M$502*$Z$502</f>
        <v>0</v>
      </c>
      <c r="AG502" s="6">
        <f>$O$502*$AA$502</f>
        <v>0</v>
      </c>
    </row>
    <row r="503" spans="1:33" ht="11.25" customHeight="1" x14ac:dyDescent="0.25">
      <c r="A503" s="4" t="s">
        <v>55</v>
      </c>
      <c r="B503" s="4" t="s">
        <v>39</v>
      </c>
      <c r="C503" s="4" t="s">
        <v>41</v>
      </c>
      <c r="D503" s="4" t="s">
        <v>38</v>
      </c>
      <c r="E503" s="4" t="s">
        <v>25</v>
      </c>
      <c r="F503" s="4" t="s">
        <v>25</v>
      </c>
      <c r="G503" s="4" t="s">
        <v>25</v>
      </c>
      <c r="H503" s="4" t="s">
        <v>25</v>
      </c>
      <c r="I503" s="5">
        <v>44562</v>
      </c>
      <c r="J503" s="6">
        <v>17088</v>
      </c>
      <c r="K503" s="6">
        <v>17088</v>
      </c>
      <c r="L503" s="6">
        <v>0</v>
      </c>
      <c r="M503" s="6">
        <v>0</v>
      </c>
      <c r="N503" s="6">
        <v>0</v>
      </c>
      <c r="O503" s="6">
        <v>0</v>
      </c>
      <c r="P503" s="6">
        <v>102</v>
      </c>
      <c r="Q503" s="4" t="s">
        <v>26</v>
      </c>
      <c r="R503" s="4">
        <v>0</v>
      </c>
      <c r="S503" s="6">
        <v>23</v>
      </c>
      <c r="T503" s="6">
        <v>0</v>
      </c>
      <c r="U503" s="6">
        <v>0</v>
      </c>
      <c r="V503" s="6">
        <f>IF(ISERROR(VLOOKUP($S$503,'TAR FIN'!$A$1:$O$100,15,0)),0,VLOOKUP($S$503,'TAR FIN'!$A$1:$O$100,15,0))</f>
        <v>18.48</v>
      </c>
      <c r="W503" s="6">
        <f>IF(ISERROR(VLOOKUP($T$503,'TAR FIN'!$A$1:$O$100,15,0)),0,VLOOKUP($T$503,'TAR FIN'!$A$1:$O$100,15,0))</f>
        <v>0</v>
      </c>
      <c r="X503" s="6">
        <f>IF(ISERROR(VLOOKUP($U$503,'TAR FIN'!$A$1:$O$100,15,0)),0,VLOOKUP($U$503,'TAR FIN'!$A$1:$O$100,15,0))</f>
        <v>0</v>
      </c>
      <c r="Y503" s="6">
        <f ca="1">('TUSD BE'!$AM$20+'TUSD BF'!$AM$20+'TUSD CVA'!$AM$20)*1</f>
        <v>17.856842567448453</v>
      </c>
      <c r="Z503" s="6"/>
      <c r="AA503" s="6"/>
      <c r="AB503" s="6">
        <f>$K$503*$V$503</f>
        <v>315786.23999999999</v>
      </c>
      <c r="AC503" s="6">
        <f>$M$503*$W$503</f>
        <v>0</v>
      </c>
      <c r="AD503" s="6">
        <f>$O$503*$X$503</f>
        <v>0</v>
      </c>
      <c r="AE503" s="6">
        <f ca="1">$K$503*$Y$503</f>
        <v>305137.72579255915</v>
      </c>
      <c r="AF503" s="6">
        <f>$M$503*$Z$503</f>
        <v>0</v>
      </c>
      <c r="AG503" s="6">
        <f>$O$503*$AA$503</f>
        <v>0</v>
      </c>
    </row>
    <row r="504" spans="1:33" ht="11.25" customHeight="1" x14ac:dyDescent="0.25">
      <c r="A504" s="4" t="s">
        <v>55</v>
      </c>
      <c r="B504" s="4" t="s">
        <v>39</v>
      </c>
      <c r="C504" s="4" t="s">
        <v>41</v>
      </c>
      <c r="D504" s="4" t="s">
        <v>38</v>
      </c>
      <c r="E504" s="4" t="s">
        <v>25</v>
      </c>
      <c r="F504" s="4" t="s">
        <v>25</v>
      </c>
      <c r="G504" s="4" t="s">
        <v>25</v>
      </c>
      <c r="H504" s="4" t="s">
        <v>25</v>
      </c>
      <c r="I504" s="5">
        <v>44562</v>
      </c>
      <c r="J504" s="6">
        <v>2691</v>
      </c>
      <c r="K504" s="6">
        <v>2691</v>
      </c>
      <c r="L504" s="6">
        <v>0</v>
      </c>
      <c r="M504" s="6">
        <v>0</v>
      </c>
      <c r="N504" s="6">
        <v>0</v>
      </c>
      <c r="O504" s="6">
        <v>0</v>
      </c>
      <c r="P504" s="6">
        <v>12</v>
      </c>
      <c r="Q504" s="4" t="s">
        <v>26</v>
      </c>
      <c r="R504" s="4">
        <v>0</v>
      </c>
      <c r="S504" s="6">
        <v>23</v>
      </c>
      <c r="T504" s="6">
        <v>0</v>
      </c>
      <c r="U504" s="6">
        <v>0</v>
      </c>
      <c r="V504" s="6">
        <f>IF(ISERROR(VLOOKUP($S$504,'TAR FIN'!$A$1:$O$100,15,0)),0,VLOOKUP($S$504,'TAR FIN'!$A$1:$O$100,15,0))</f>
        <v>18.48</v>
      </c>
      <c r="W504" s="6">
        <f>IF(ISERROR(VLOOKUP($T$504,'TAR FIN'!$A$1:$O$100,15,0)),0,VLOOKUP($T$504,'TAR FIN'!$A$1:$O$100,15,0))</f>
        <v>0</v>
      </c>
      <c r="X504" s="6">
        <f>IF(ISERROR(VLOOKUP($U$504,'TAR FIN'!$A$1:$O$100,15,0)),0,VLOOKUP($U$504,'TAR FIN'!$A$1:$O$100,15,0))</f>
        <v>0</v>
      </c>
      <c r="Y504" s="6">
        <f ca="1">('TUSD BE'!$AM$20+'TUSD BF'!$AM$20+'TUSD CVA'!$AM$20)*1</f>
        <v>17.856842567448453</v>
      </c>
      <c r="Z504" s="6"/>
      <c r="AA504" s="6"/>
      <c r="AB504" s="6">
        <f>$K$504*$V$504</f>
        <v>49729.68</v>
      </c>
      <c r="AC504" s="6">
        <f>$M$504*$W$504</f>
        <v>0</v>
      </c>
      <c r="AD504" s="6">
        <f>$O$504*$X$504</f>
        <v>0</v>
      </c>
      <c r="AE504" s="6">
        <f ca="1">$K$504*$Y$504</f>
        <v>48052.763349003784</v>
      </c>
      <c r="AF504" s="6">
        <f>$M$504*$Z$504</f>
        <v>0</v>
      </c>
      <c r="AG504" s="6">
        <f>$O$504*$AA$504</f>
        <v>0</v>
      </c>
    </row>
    <row r="505" spans="1:33" ht="11.25" customHeight="1" x14ac:dyDescent="0.25">
      <c r="A505" s="4" t="s">
        <v>55</v>
      </c>
      <c r="B505" s="4" t="s">
        <v>39</v>
      </c>
      <c r="C505" s="4" t="s">
        <v>41</v>
      </c>
      <c r="D505" s="4" t="s">
        <v>38</v>
      </c>
      <c r="E505" s="4" t="s">
        <v>25</v>
      </c>
      <c r="F505" s="4" t="s">
        <v>25</v>
      </c>
      <c r="G505" s="4" t="s">
        <v>25</v>
      </c>
      <c r="H505" s="4" t="s">
        <v>25</v>
      </c>
      <c r="I505" s="5">
        <v>44562</v>
      </c>
      <c r="J505" s="6">
        <v>2500</v>
      </c>
      <c r="K505" s="6">
        <v>2500</v>
      </c>
      <c r="L505" s="6">
        <v>0</v>
      </c>
      <c r="M505" s="6">
        <v>0</v>
      </c>
      <c r="N505" s="6">
        <v>0</v>
      </c>
      <c r="O505" s="6">
        <v>0</v>
      </c>
      <c r="P505" s="6">
        <v>1</v>
      </c>
      <c r="Q505" s="4" t="s">
        <v>57</v>
      </c>
      <c r="R505" s="4">
        <v>0</v>
      </c>
      <c r="S505" s="6">
        <v>23</v>
      </c>
      <c r="T505" s="6">
        <v>0</v>
      </c>
      <c r="U505" s="6">
        <v>0</v>
      </c>
      <c r="V505" s="6">
        <f>IF(ISERROR(VLOOKUP($S$505,'TAR FIN'!$A$1:$O$100,15,0)),0,VLOOKUP($S$505,'TAR FIN'!$A$1:$O$100,15,0))</f>
        <v>18.48</v>
      </c>
      <c r="W505" s="6">
        <f>IF(ISERROR(VLOOKUP($T$505,'TAR FIN'!$A$1:$O$100,15,0)),0,VLOOKUP($T$505,'TAR FIN'!$A$1:$O$100,15,0))</f>
        <v>0</v>
      </c>
      <c r="X505" s="6">
        <f>IF(ISERROR(VLOOKUP($U$505,'TAR FIN'!$A$1:$O$100,15,0)),0,VLOOKUP($U$505,'TAR FIN'!$A$1:$O$100,15,0))</f>
        <v>0</v>
      </c>
      <c r="Y505" s="6">
        <f ca="1">('TUSD BE'!$AM$20+'TUSD BF'!$AM$20+'TUSD CVA'!$AM$20)*1</f>
        <v>17.856842567448453</v>
      </c>
      <c r="Z505" s="6"/>
      <c r="AA505" s="6"/>
      <c r="AB505" s="6">
        <f>$K$505*$V$505</f>
        <v>46200</v>
      </c>
      <c r="AC505" s="6">
        <f>$M$505*$W$505</f>
        <v>0</v>
      </c>
      <c r="AD505" s="6">
        <f>$O$505*$X$505</f>
        <v>0</v>
      </c>
      <c r="AE505" s="6">
        <f ca="1">$K$505*$Y$505</f>
        <v>44642.10641862113</v>
      </c>
      <c r="AF505" s="6">
        <f>$M$505*$Z$505</f>
        <v>0</v>
      </c>
      <c r="AG505" s="6">
        <f>$O$505*$AA$505</f>
        <v>0</v>
      </c>
    </row>
    <row r="506" spans="1:33" ht="11.25" customHeight="1" x14ac:dyDescent="0.25">
      <c r="A506" s="4" t="s">
        <v>21</v>
      </c>
      <c r="B506" s="4" t="s">
        <v>39</v>
      </c>
      <c r="C506" s="4" t="s">
        <v>41</v>
      </c>
      <c r="D506" s="4" t="s">
        <v>38</v>
      </c>
      <c r="E506" s="4" t="s">
        <v>25</v>
      </c>
      <c r="F506" s="4" t="s">
        <v>25</v>
      </c>
      <c r="G506" s="4" t="s">
        <v>25</v>
      </c>
      <c r="H506" s="4" t="s">
        <v>34</v>
      </c>
      <c r="I506" s="5">
        <v>44228</v>
      </c>
      <c r="J506" s="6">
        <v>0</v>
      </c>
      <c r="K506" s="6">
        <v>0</v>
      </c>
      <c r="L506" s="6">
        <v>130.048</v>
      </c>
      <c r="M506" s="6">
        <v>130.048</v>
      </c>
      <c r="N506" s="6">
        <v>130.048</v>
      </c>
      <c r="O506" s="6">
        <v>130.048</v>
      </c>
      <c r="P506" s="6">
        <v>0</v>
      </c>
      <c r="Q506" s="4" t="s">
        <v>26</v>
      </c>
      <c r="R506" s="4">
        <v>0</v>
      </c>
      <c r="S506" s="6">
        <v>0</v>
      </c>
      <c r="T506" s="6">
        <v>24</v>
      </c>
      <c r="U506" s="6">
        <v>67</v>
      </c>
      <c r="V506" s="6">
        <f>IF(ISERROR(VLOOKUP($S$506,'TAR FIN'!$A$1:$O$100,15,0)),0,VLOOKUP($S$506,'TAR FIN'!$A$1:$O$100,15,0))</f>
        <v>0</v>
      </c>
      <c r="W506" s="6">
        <f>IF(ISERROR(VLOOKUP($T$506,'TAR FIN'!$A$1:$O$100,15,0)),0,VLOOKUP($T$506,'TAR FIN'!$A$1:$O$100,15,0))</f>
        <v>943.81</v>
      </c>
      <c r="X506" s="6">
        <f>IF(ISERROR(VLOOKUP($U$506,'TAR FIN'!$A$1:$O$100,15,0)),0,VLOOKUP($U$506,'TAR FIN'!$A$1:$O$100,15,0))</f>
        <v>366.6</v>
      </c>
      <c r="Y506" s="6"/>
      <c r="Z506" s="6">
        <f ca="1">('TUSD BE'!$AM$21+'TUSD BF'!$AM$21+'TUSD CVA'!$AM$21)*1</f>
        <v>928.87102242938545</v>
      </c>
      <c r="AA506" s="6">
        <f>('TE BE'!$AA$7+'TE BF'!$AA$7+'TE CVA'!$AA$7)*1</f>
        <v>385.46556634281501</v>
      </c>
      <c r="AB506" s="6">
        <f>$K$506*$V$506</f>
        <v>0</v>
      </c>
      <c r="AC506" s="6">
        <f>$M$506*$W$506</f>
        <v>122740.60287999999</v>
      </c>
      <c r="AD506" s="6">
        <f>$O$506*$X$506</f>
        <v>47675.596800000007</v>
      </c>
      <c r="AE506" s="6">
        <f>$K$506*$Y$506</f>
        <v>0</v>
      </c>
      <c r="AF506" s="6">
        <f ca="1">$M$506*$Z$506</f>
        <v>120797.81872489672</v>
      </c>
      <c r="AG506" s="6">
        <f>$O$506*$AA$506</f>
        <v>50129.025971750409</v>
      </c>
    </row>
    <row r="507" spans="1:33" ht="11.25" customHeight="1" x14ac:dyDescent="0.25">
      <c r="A507" s="4" t="s">
        <v>28</v>
      </c>
      <c r="B507" s="4" t="s">
        <v>39</v>
      </c>
      <c r="C507" s="4" t="s">
        <v>41</v>
      </c>
      <c r="D507" s="4" t="s">
        <v>38</v>
      </c>
      <c r="E507" s="4" t="s">
        <v>25</v>
      </c>
      <c r="F507" s="4" t="s">
        <v>25</v>
      </c>
      <c r="G507" s="4" t="s">
        <v>25</v>
      </c>
      <c r="H507" s="4" t="s">
        <v>34</v>
      </c>
      <c r="I507" s="5">
        <v>44228</v>
      </c>
      <c r="J507" s="6">
        <v>0</v>
      </c>
      <c r="K507" s="6">
        <v>0</v>
      </c>
      <c r="L507" s="6">
        <v>2.823</v>
      </c>
      <c r="M507" s="6">
        <v>2.823</v>
      </c>
      <c r="N507" s="6">
        <v>2.823</v>
      </c>
      <c r="O507" s="6">
        <v>2.823</v>
      </c>
      <c r="P507" s="6">
        <v>0</v>
      </c>
      <c r="Q507" s="4" t="s">
        <v>26</v>
      </c>
      <c r="R507" s="4">
        <v>0</v>
      </c>
      <c r="S507" s="6">
        <v>0</v>
      </c>
      <c r="T507" s="6">
        <v>24</v>
      </c>
      <c r="U507" s="6">
        <v>67</v>
      </c>
      <c r="V507" s="6">
        <f>IF(ISERROR(VLOOKUP($S$507,'TAR FIN'!$A$1:$O$100,15,0)),0,VLOOKUP($S$507,'TAR FIN'!$A$1:$O$100,15,0))</f>
        <v>0</v>
      </c>
      <c r="W507" s="6">
        <f>IF(ISERROR(VLOOKUP($T$507,'TAR FIN'!$A$1:$O$100,15,0)),0,VLOOKUP($T$507,'TAR FIN'!$A$1:$O$100,15,0))</f>
        <v>943.81</v>
      </c>
      <c r="X507" s="6">
        <f>IF(ISERROR(VLOOKUP($U$507,'TAR FIN'!$A$1:$O$100,15,0)),0,VLOOKUP($U$507,'TAR FIN'!$A$1:$O$100,15,0))</f>
        <v>366.6</v>
      </c>
      <c r="Y507" s="6"/>
      <c r="Z507" s="6">
        <f ca="1">('TUSD BE'!$AM$21+'TUSD BF'!$AM$21+'TUSD CVA'!$AM$21)*1</f>
        <v>928.87102242938545</v>
      </c>
      <c r="AA507" s="6">
        <f>('TE BE'!$AA$7+'TE BF'!$AA$7+'TE CVA'!$AA$7)*1</f>
        <v>385.46556634281501</v>
      </c>
      <c r="AB507" s="6">
        <f>$K$507*$V$507</f>
        <v>0</v>
      </c>
      <c r="AC507" s="6">
        <f>$M$507*$W$507</f>
        <v>2664.37563</v>
      </c>
      <c r="AD507" s="6">
        <f>$O$507*$X$507</f>
        <v>1034.9118000000001</v>
      </c>
      <c r="AE507" s="6">
        <f>$K$507*$Y$507</f>
        <v>0</v>
      </c>
      <c r="AF507" s="6">
        <f ca="1">$M$507*$Z$507</f>
        <v>2622.2028963181551</v>
      </c>
      <c r="AG507" s="6">
        <f>$O$507*$AA$507</f>
        <v>1088.1692937857667</v>
      </c>
    </row>
    <row r="508" spans="1:33" ht="11.25" customHeight="1" x14ac:dyDescent="0.25">
      <c r="A508" s="4" t="s">
        <v>21</v>
      </c>
      <c r="B508" s="4" t="s">
        <v>39</v>
      </c>
      <c r="C508" s="4" t="s">
        <v>41</v>
      </c>
      <c r="D508" s="4" t="s">
        <v>38</v>
      </c>
      <c r="E508" s="4" t="s">
        <v>25</v>
      </c>
      <c r="F508" s="4" t="s">
        <v>25</v>
      </c>
      <c r="G508" s="4" t="s">
        <v>25</v>
      </c>
      <c r="H508" s="4" t="s">
        <v>34</v>
      </c>
      <c r="I508" s="5">
        <v>44228</v>
      </c>
      <c r="J508" s="6">
        <v>0</v>
      </c>
      <c r="K508" s="6">
        <v>0</v>
      </c>
      <c r="L508" s="6">
        <v>23.718</v>
      </c>
      <c r="M508" s="6">
        <v>23.718</v>
      </c>
      <c r="N508" s="6">
        <v>0</v>
      </c>
      <c r="O508" s="6">
        <v>0</v>
      </c>
      <c r="P508" s="6">
        <v>0</v>
      </c>
      <c r="Q508" s="4" t="s">
        <v>57</v>
      </c>
      <c r="R508" s="4">
        <v>0</v>
      </c>
      <c r="S508" s="6">
        <v>0</v>
      </c>
      <c r="T508" s="6">
        <v>24</v>
      </c>
      <c r="U508" s="6">
        <v>0</v>
      </c>
      <c r="V508" s="6">
        <f>IF(ISERROR(VLOOKUP($S$508,'TAR FIN'!$A$1:$O$100,15,0)),0,VLOOKUP($S$508,'TAR FIN'!$A$1:$O$100,15,0))</f>
        <v>0</v>
      </c>
      <c r="W508" s="6">
        <f>IF(ISERROR(VLOOKUP($T$508,'TAR FIN'!$A$1:$O$100,15,0)),0,VLOOKUP($T$508,'TAR FIN'!$A$1:$O$100,15,0))</f>
        <v>943.81</v>
      </c>
      <c r="X508" s="6">
        <f>IF(ISERROR(VLOOKUP($U$508,'TAR FIN'!$A$1:$O$100,15,0)),0,VLOOKUP($U$508,'TAR FIN'!$A$1:$O$100,15,0))</f>
        <v>0</v>
      </c>
      <c r="Y508" s="6"/>
      <c r="Z508" s="6">
        <f ca="1">('TUSD BE'!$AM$21+'TUSD BF'!$AM$21+'TUSD CVA'!$AM$21)*1</f>
        <v>928.87102242938545</v>
      </c>
      <c r="AA508" s="6"/>
      <c r="AB508" s="6">
        <f>$K$508*$V$508</f>
        <v>0</v>
      </c>
      <c r="AC508" s="6">
        <f>$M$508*$W$508</f>
        <v>22385.28558</v>
      </c>
      <c r="AD508" s="6">
        <f>$O$508*$X$508</f>
        <v>0</v>
      </c>
      <c r="AE508" s="6">
        <f>$K$508*$Y$508</f>
        <v>0</v>
      </c>
      <c r="AF508" s="6">
        <f ca="1">$M$508*$Z$508</f>
        <v>22030.962909980164</v>
      </c>
      <c r="AG508" s="6">
        <f>$O$508*$AA$508</f>
        <v>0</v>
      </c>
    </row>
    <row r="509" spans="1:33" ht="11.25" customHeight="1" x14ac:dyDescent="0.25">
      <c r="A509" s="4" t="s">
        <v>21</v>
      </c>
      <c r="B509" s="4" t="s">
        <v>39</v>
      </c>
      <c r="C509" s="4" t="s">
        <v>41</v>
      </c>
      <c r="D509" s="4" t="s">
        <v>38</v>
      </c>
      <c r="E509" s="4" t="s">
        <v>25</v>
      </c>
      <c r="F509" s="4" t="s">
        <v>25</v>
      </c>
      <c r="G509" s="4" t="s">
        <v>25</v>
      </c>
      <c r="H509" s="4" t="s">
        <v>34</v>
      </c>
      <c r="I509" s="5">
        <v>44256</v>
      </c>
      <c r="J509" s="6">
        <v>0</v>
      </c>
      <c r="K509" s="6">
        <v>0</v>
      </c>
      <c r="L509" s="6">
        <v>130.84399999999999</v>
      </c>
      <c r="M509" s="6">
        <v>130.84399999999999</v>
      </c>
      <c r="N509" s="6">
        <v>130.84399999999999</v>
      </c>
      <c r="O509" s="6">
        <v>130.84399999999999</v>
      </c>
      <c r="P509" s="6">
        <v>0</v>
      </c>
      <c r="Q509" s="4" t="s">
        <v>26</v>
      </c>
      <c r="R509" s="4">
        <v>0</v>
      </c>
      <c r="S509" s="6">
        <v>0</v>
      </c>
      <c r="T509" s="6">
        <v>24</v>
      </c>
      <c r="U509" s="6">
        <v>67</v>
      </c>
      <c r="V509" s="6">
        <f>IF(ISERROR(VLOOKUP($S$509,'TAR FIN'!$A$1:$O$100,15,0)),0,VLOOKUP($S$509,'TAR FIN'!$A$1:$O$100,15,0))</f>
        <v>0</v>
      </c>
      <c r="W509" s="6">
        <f>IF(ISERROR(VLOOKUP($T$509,'TAR FIN'!$A$1:$O$100,15,0)),0,VLOOKUP($T$509,'TAR FIN'!$A$1:$O$100,15,0))</f>
        <v>943.81</v>
      </c>
      <c r="X509" s="6">
        <f>IF(ISERROR(VLOOKUP($U$509,'TAR FIN'!$A$1:$O$100,15,0)),0,VLOOKUP($U$509,'TAR FIN'!$A$1:$O$100,15,0))</f>
        <v>366.6</v>
      </c>
      <c r="Y509" s="6"/>
      <c r="Z509" s="6">
        <f ca="1">('TUSD BE'!$AM$21+'TUSD BF'!$AM$21+'TUSD CVA'!$AM$21)*1</f>
        <v>928.87102242938545</v>
      </c>
      <c r="AA509" s="6">
        <f>('TE BE'!$AA$7+'TE BF'!$AA$7+'TE CVA'!$AA$7)*1</f>
        <v>385.46556634281501</v>
      </c>
      <c r="AB509" s="6">
        <f>$K$509*$V$509</f>
        <v>0</v>
      </c>
      <c r="AC509" s="6">
        <f>$M$509*$W$509</f>
        <v>123491.87563999998</v>
      </c>
      <c r="AD509" s="6">
        <f>$O$509*$X$509</f>
        <v>47967.410400000001</v>
      </c>
      <c r="AE509" s="6">
        <f>$K$509*$Y$509</f>
        <v>0</v>
      </c>
      <c r="AF509" s="6">
        <f ca="1">$M$509*$Z$509</f>
        <v>121537.2000587505</v>
      </c>
      <c r="AG509" s="6">
        <f>$O$509*$AA$509</f>
        <v>50435.856562559282</v>
      </c>
    </row>
    <row r="510" spans="1:33" ht="11.25" customHeight="1" x14ac:dyDescent="0.25">
      <c r="A510" s="4" t="s">
        <v>27</v>
      </c>
      <c r="B510" s="4" t="s">
        <v>39</v>
      </c>
      <c r="C510" s="4" t="s">
        <v>41</v>
      </c>
      <c r="D510" s="4" t="s">
        <v>38</v>
      </c>
      <c r="E510" s="4" t="s">
        <v>25</v>
      </c>
      <c r="F510" s="4" t="s">
        <v>25</v>
      </c>
      <c r="G510" s="4" t="s">
        <v>25</v>
      </c>
      <c r="H510" s="4" t="s">
        <v>34</v>
      </c>
      <c r="I510" s="5">
        <v>44256</v>
      </c>
      <c r="J510" s="6">
        <v>0</v>
      </c>
      <c r="K510" s="6">
        <v>0</v>
      </c>
      <c r="L510" s="6">
        <v>-8.61</v>
      </c>
      <c r="M510" s="6">
        <v>-8.61</v>
      </c>
      <c r="N510" s="6">
        <v>-8.61</v>
      </c>
      <c r="O510" s="6">
        <v>-8.61</v>
      </c>
      <c r="P510" s="6">
        <v>0</v>
      </c>
      <c r="Q510" s="4" t="s">
        <v>26</v>
      </c>
      <c r="R510" s="4">
        <v>0</v>
      </c>
      <c r="S510" s="6">
        <v>0</v>
      </c>
      <c r="T510" s="6">
        <v>24</v>
      </c>
      <c r="U510" s="6">
        <v>67</v>
      </c>
      <c r="V510" s="6">
        <f>IF(ISERROR(VLOOKUP($S$510,'TAR FIN'!$A$1:$O$100,15,0)),0,VLOOKUP($S$510,'TAR FIN'!$A$1:$O$100,15,0))</f>
        <v>0</v>
      </c>
      <c r="W510" s="6">
        <f>IF(ISERROR(VLOOKUP($T$510,'TAR FIN'!$A$1:$O$100,15,0)),0,VLOOKUP($T$510,'TAR FIN'!$A$1:$O$100,15,0))</f>
        <v>943.81</v>
      </c>
      <c r="X510" s="6">
        <f>IF(ISERROR(VLOOKUP($U$510,'TAR FIN'!$A$1:$O$100,15,0)),0,VLOOKUP($U$510,'TAR FIN'!$A$1:$O$100,15,0))</f>
        <v>366.6</v>
      </c>
      <c r="Y510" s="6"/>
      <c r="Z510" s="6">
        <f ca="1">('TUSD BE'!$AM$21+'TUSD BF'!$AM$21+'TUSD CVA'!$AM$21)*1</f>
        <v>928.87102242938545</v>
      </c>
      <c r="AA510" s="6">
        <f>('TE BE'!$AA$7+'TE BF'!$AA$7+'TE CVA'!$AA$7)*1</f>
        <v>385.46556634281501</v>
      </c>
      <c r="AB510" s="6">
        <f>$K$510*$V$510</f>
        <v>0</v>
      </c>
      <c r="AC510" s="6">
        <f>$M$510*$W$510</f>
        <v>-8126.204099999999</v>
      </c>
      <c r="AD510" s="6">
        <f>$O$510*$X$510</f>
        <v>-3156.4259999999999</v>
      </c>
      <c r="AE510" s="6">
        <f>$K$510*$Y$510</f>
        <v>0</v>
      </c>
      <c r="AF510" s="6">
        <f ca="1">$M$510*$Z$510</f>
        <v>-7997.5795031170082</v>
      </c>
      <c r="AG510" s="6">
        <f>$O$510*$AA$510</f>
        <v>-3318.8585262116371</v>
      </c>
    </row>
    <row r="511" spans="1:33" ht="11.25" customHeight="1" x14ac:dyDescent="0.25">
      <c r="A511" s="4" t="s">
        <v>28</v>
      </c>
      <c r="B511" s="4" t="s">
        <v>39</v>
      </c>
      <c r="C511" s="4" t="s">
        <v>41</v>
      </c>
      <c r="D511" s="4" t="s">
        <v>38</v>
      </c>
      <c r="E511" s="4" t="s">
        <v>25</v>
      </c>
      <c r="F511" s="4" t="s">
        <v>25</v>
      </c>
      <c r="G511" s="4" t="s">
        <v>25</v>
      </c>
      <c r="H511" s="4" t="s">
        <v>34</v>
      </c>
      <c r="I511" s="5">
        <v>44256</v>
      </c>
      <c r="J511" s="6">
        <v>0</v>
      </c>
      <c r="K511" s="6">
        <v>0</v>
      </c>
      <c r="L511" s="6">
        <v>4.101</v>
      </c>
      <c r="M511" s="6">
        <v>4.101</v>
      </c>
      <c r="N511" s="6">
        <v>4.101</v>
      </c>
      <c r="O511" s="6">
        <v>4.101</v>
      </c>
      <c r="P511" s="6">
        <v>0</v>
      </c>
      <c r="Q511" s="4" t="s">
        <v>26</v>
      </c>
      <c r="R511" s="4">
        <v>0</v>
      </c>
      <c r="S511" s="6">
        <v>0</v>
      </c>
      <c r="T511" s="6">
        <v>24</v>
      </c>
      <c r="U511" s="6">
        <v>67</v>
      </c>
      <c r="V511" s="6">
        <f>IF(ISERROR(VLOOKUP($S$511,'TAR FIN'!$A$1:$O$100,15,0)),0,VLOOKUP($S$511,'TAR FIN'!$A$1:$O$100,15,0))</f>
        <v>0</v>
      </c>
      <c r="W511" s="6">
        <f>IF(ISERROR(VLOOKUP($T$511,'TAR FIN'!$A$1:$O$100,15,0)),0,VLOOKUP($T$511,'TAR FIN'!$A$1:$O$100,15,0))</f>
        <v>943.81</v>
      </c>
      <c r="X511" s="6">
        <f>IF(ISERROR(VLOOKUP($U$511,'TAR FIN'!$A$1:$O$100,15,0)),0,VLOOKUP($U$511,'TAR FIN'!$A$1:$O$100,15,0))</f>
        <v>366.6</v>
      </c>
      <c r="Y511" s="6"/>
      <c r="Z511" s="6">
        <f ca="1">('TUSD BE'!$AM$21+'TUSD BF'!$AM$21+'TUSD CVA'!$AM$21)*1</f>
        <v>928.87102242938545</v>
      </c>
      <c r="AA511" s="6">
        <f>('TE BE'!$AA$7+'TE BF'!$AA$7+'TE CVA'!$AA$7)*1</f>
        <v>385.46556634281501</v>
      </c>
      <c r="AB511" s="6">
        <f>$K$511*$V$511</f>
        <v>0</v>
      </c>
      <c r="AC511" s="6">
        <f>$M$511*$W$511</f>
        <v>3870.5648099999999</v>
      </c>
      <c r="AD511" s="6">
        <f>$O$511*$X$511</f>
        <v>1503.4266</v>
      </c>
      <c r="AE511" s="6">
        <f>$K$511*$Y$511</f>
        <v>0</v>
      </c>
      <c r="AF511" s="6">
        <f ca="1">$M$511*$Z$511</f>
        <v>3809.3000629829098</v>
      </c>
      <c r="AG511" s="6">
        <f>$O$511*$AA$511</f>
        <v>1580.7942875718843</v>
      </c>
    </row>
    <row r="512" spans="1:33" ht="11.25" customHeight="1" x14ac:dyDescent="0.25">
      <c r="A512" s="4" t="s">
        <v>21</v>
      </c>
      <c r="B512" s="4" t="s">
        <v>39</v>
      </c>
      <c r="C512" s="4" t="s">
        <v>41</v>
      </c>
      <c r="D512" s="4" t="s">
        <v>38</v>
      </c>
      <c r="E512" s="4" t="s">
        <v>25</v>
      </c>
      <c r="F512" s="4" t="s">
        <v>25</v>
      </c>
      <c r="G512" s="4" t="s">
        <v>25</v>
      </c>
      <c r="H512" s="4" t="s">
        <v>34</v>
      </c>
      <c r="I512" s="5">
        <v>44256</v>
      </c>
      <c r="J512" s="6">
        <v>0</v>
      </c>
      <c r="K512" s="6">
        <v>0</v>
      </c>
      <c r="L512" s="6">
        <v>31.503</v>
      </c>
      <c r="M512" s="6">
        <v>31.503</v>
      </c>
      <c r="N512" s="6">
        <v>0</v>
      </c>
      <c r="O512" s="6">
        <v>0</v>
      </c>
      <c r="P512" s="6">
        <v>0</v>
      </c>
      <c r="Q512" s="4" t="s">
        <v>57</v>
      </c>
      <c r="R512" s="4">
        <v>0</v>
      </c>
      <c r="S512" s="6">
        <v>0</v>
      </c>
      <c r="T512" s="6">
        <v>24</v>
      </c>
      <c r="U512" s="6">
        <v>0</v>
      </c>
      <c r="V512" s="6">
        <f>IF(ISERROR(VLOOKUP($S$512,'TAR FIN'!$A$1:$O$100,15,0)),0,VLOOKUP($S$512,'TAR FIN'!$A$1:$O$100,15,0))</f>
        <v>0</v>
      </c>
      <c r="W512" s="6">
        <f>IF(ISERROR(VLOOKUP($T$512,'TAR FIN'!$A$1:$O$100,15,0)),0,VLOOKUP($T$512,'TAR FIN'!$A$1:$O$100,15,0))</f>
        <v>943.81</v>
      </c>
      <c r="X512" s="6">
        <f>IF(ISERROR(VLOOKUP($U$512,'TAR FIN'!$A$1:$O$100,15,0)),0,VLOOKUP($U$512,'TAR FIN'!$A$1:$O$100,15,0))</f>
        <v>0</v>
      </c>
      <c r="Y512" s="6"/>
      <c r="Z512" s="6">
        <f ca="1">('TUSD BE'!$AM$21+'TUSD BF'!$AM$21+'TUSD CVA'!$AM$21)*1</f>
        <v>928.87102242938545</v>
      </c>
      <c r="AA512" s="6"/>
      <c r="AB512" s="6">
        <f>$K$512*$V$512</f>
        <v>0</v>
      </c>
      <c r="AC512" s="6">
        <f>$M$512*$W$512</f>
        <v>29732.846429999998</v>
      </c>
      <c r="AD512" s="6">
        <f>$O$512*$X$512</f>
        <v>0</v>
      </c>
      <c r="AE512" s="6">
        <f>$K$512*$Y$512</f>
        <v>0</v>
      </c>
      <c r="AF512" s="6">
        <f ca="1">$M$512*$Z$512</f>
        <v>29262.223819592931</v>
      </c>
      <c r="AG512" s="6">
        <f>$O$512*$AA$512</f>
        <v>0</v>
      </c>
    </row>
    <row r="513" spans="1:33" ht="11.25" customHeight="1" x14ac:dyDescent="0.25">
      <c r="A513" s="4" t="s">
        <v>21</v>
      </c>
      <c r="B513" s="4" t="s">
        <v>39</v>
      </c>
      <c r="C513" s="4" t="s">
        <v>41</v>
      </c>
      <c r="D513" s="4" t="s">
        <v>38</v>
      </c>
      <c r="E513" s="4" t="s">
        <v>25</v>
      </c>
      <c r="F513" s="4" t="s">
        <v>25</v>
      </c>
      <c r="G513" s="4" t="s">
        <v>25</v>
      </c>
      <c r="H513" s="4" t="s">
        <v>34</v>
      </c>
      <c r="I513" s="5">
        <v>44287</v>
      </c>
      <c r="J513" s="6">
        <v>0</v>
      </c>
      <c r="K513" s="6">
        <v>0</v>
      </c>
      <c r="L513" s="6">
        <v>131.22300000000001</v>
      </c>
      <c r="M513" s="6">
        <v>131.22300000000001</v>
      </c>
      <c r="N513" s="6">
        <v>131.22300000000001</v>
      </c>
      <c r="O513" s="6">
        <v>131.22300000000001</v>
      </c>
      <c r="P513" s="6">
        <v>0</v>
      </c>
      <c r="Q513" s="4" t="s">
        <v>26</v>
      </c>
      <c r="R513" s="4">
        <v>0</v>
      </c>
      <c r="S513" s="6">
        <v>0</v>
      </c>
      <c r="T513" s="6">
        <v>24</v>
      </c>
      <c r="U513" s="6">
        <v>67</v>
      </c>
      <c r="V513" s="6">
        <f>IF(ISERROR(VLOOKUP($S$513,'TAR FIN'!$A$1:$O$100,15,0)),0,VLOOKUP($S$513,'TAR FIN'!$A$1:$O$100,15,0))</f>
        <v>0</v>
      </c>
      <c r="W513" s="6">
        <f>IF(ISERROR(VLOOKUP($T$513,'TAR FIN'!$A$1:$O$100,15,0)),0,VLOOKUP($T$513,'TAR FIN'!$A$1:$O$100,15,0))</f>
        <v>943.81</v>
      </c>
      <c r="X513" s="6">
        <f>IF(ISERROR(VLOOKUP($U$513,'TAR FIN'!$A$1:$O$100,15,0)),0,VLOOKUP($U$513,'TAR FIN'!$A$1:$O$100,15,0))</f>
        <v>366.6</v>
      </c>
      <c r="Y513" s="6"/>
      <c r="Z513" s="6">
        <f ca="1">('TUSD BE'!$AM$21+'TUSD BF'!$AM$21+'TUSD CVA'!$AM$21)*1</f>
        <v>928.87102242938545</v>
      </c>
      <c r="AA513" s="6">
        <f>('TE BE'!$AA$7+'TE BF'!$AA$7+'TE CVA'!$AA$7)*1</f>
        <v>385.46556634281501</v>
      </c>
      <c r="AB513" s="6">
        <f>$K$513*$V$513</f>
        <v>0</v>
      </c>
      <c r="AC513" s="6">
        <f>$M$513*$W$513</f>
        <v>123849.57963000001</v>
      </c>
      <c r="AD513" s="6">
        <f>$O$513*$X$513</f>
        <v>48106.351800000011</v>
      </c>
      <c r="AE513" s="6">
        <f>$K$513*$Y$513</f>
        <v>0</v>
      </c>
      <c r="AF513" s="6">
        <f ca="1">$M$513*$Z$513</f>
        <v>121889.24217625125</v>
      </c>
      <c r="AG513" s="6">
        <f>$O$513*$AA$513</f>
        <v>50581.948012203218</v>
      </c>
    </row>
    <row r="514" spans="1:33" ht="11.25" customHeight="1" x14ac:dyDescent="0.25">
      <c r="A514" s="4" t="s">
        <v>28</v>
      </c>
      <c r="B514" s="4" t="s">
        <v>39</v>
      </c>
      <c r="C514" s="4" t="s">
        <v>41</v>
      </c>
      <c r="D514" s="4" t="s">
        <v>38</v>
      </c>
      <c r="E514" s="4" t="s">
        <v>25</v>
      </c>
      <c r="F514" s="4" t="s">
        <v>25</v>
      </c>
      <c r="G514" s="4" t="s">
        <v>25</v>
      </c>
      <c r="H514" s="4" t="s">
        <v>34</v>
      </c>
      <c r="I514" s="5">
        <v>44287</v>
      </c>
      <c r="J514" s="6">
        <v>0</v>
      </c>
      <c r="K514" s="6">
        <v>0</v>
      </c>
      <c r="L514" s="6">
        <v>3.2559999999999998</v>
      </c>
      <c r="M514" s="6">
        <v>3.2559999999999998</v>
      </c>
      <c r="N514" s="6">
        <v>3.2559999999999998</v>
      </c>
      <c r="O514" s="6">
        <v>3.2559999999999998</v>
      </c>
      <c r="P514" s="6">
        <v>0</v>
      </c>
      <c r="Q514" s="4" t="s">
        <v>26</v>
      </c>
      <c r="R514" s="4">
        <v>0</v>
      </c>
      <c r="S514" s="6">
        <v>0</v>
      </c>
      <c r="T514" s="6">
        <v>24</v>
      </c>
      <c r="U514" s="6">
        <v>67</v>
      </c>
      <c r="V514" s="6">
        <f>IF(ISERROR(VLOOKUP($S$514,'TAR FIN'!$A$1:$O$100,15,0)),0,VLOOKUP($S$514,'TAR FIN'!$A$1:$O$100,15,0))</f>
        <v>0</v>
      </c>
      <c r="W514" s="6">
        <f>IF(ISERROR(VLOOKUP($T$514,'TAR FIN'!$A$1:$O$100,15,0)),0,VLOOKUP($T$514,'TAR FIN'!$A$1:$O$100,15,0))</f>
        <v>943.81</v>
      </c>
      <c r="X514" s="6">
        <f>IF(ISERROR(VLOOKUP($U$514,'TAR FIN'!$A$1:$O$100,15,0)),0,VLOOKUP($U$514,'TAR FIN'!$A$1:$O$100,15,0))</f>
        <v>366.6</v>
      </c>
      <c r="Y514" s="6"/>
      <c r="Z514" s="6">
        <f ca="1">('TUSD BE'!$AM$21+'TUSD BF'!$AM$21+'TUSD CVA'!$AM$21)*1</f>
        <v>928.87102242938545</v>
      </c>
      <c r="AA514" s="6">
        <f>('TE BE'!$AA$7+'TE BF'!$AA$7+'TE CVA'!$AA$7)*1</f>
        <v>385.46556634281501</v>
      </c>
      <c r="AB514" s="6">
        <f>$K$514*$V$514</f>
        <v>0</v>
      </c>
      <c r="AC514" s="6">
        <f>$M$514*$W$514</f>
        <v>3073.0453599999996</v>
      </c>
      <c r="AD514" s="6">
        <f>$O$514*$X$514</f>
        <v>1193.6496</v>
      </c>
      <c r="AE514" s="6">
        <f>$K$514*$Y$514</f>
        <v>0</v>
      </c>
      <c r="AF514" s="6">
        <f ca="1">$M$514*$Z$514</f>
        <v>3024.404049030079</v>
      </c>
      <c r="AG514" s="6">
        <f>$O$514*$AA$514</f>
        <v>1255.0758840122055</v>
      </c>
    </row>
    <row r="515" spans="1:33" ht="11.25" customHeight="1" x14ac:dyDescent="0.25">
      <c r="A515" s="4" t="s">
        <v>21</v>
      </c>
      <c r="B515" s="4" t="s">
        <v>39</v>
      </c>
      <c r="C515" s="4" t="s">
        <v>41</v>
      </c>
      <c r="D515" s="4" t="s">
        <v>38</v>
      </c>
      <c r="E515" s="4" t="s">
        <v>25</v>
      </c>
      <c r="F515" s="4" t="s">
        <v>25</v>
      </c>
      <c r="G515" s="4" t="s">
        <v>25</v>
      </c>
      <c r="H515" s="4" t="s">
        <v>34</v>
      </c>
      <c r="I515" s="5">
        <v>44287</v>
      </c>
      <c r="J515" s="6">
        <v>0</v>
      </c>
      <c r="K515" s="6">
        <v>0</v>
      </c>
      <c r="L515" s="6">
        <v>41.454999999999998</v>
      </c>
      <c r="M515" s="6">
        <v>41.454999999999998</v>
      </c>
      <c r="N515" s="6">
        <v>0</v>
      </c>
      <c r="O515" s="6">
        <v>0</v>
      </c>
      <c r="P515" s="6">
        <v>0</v>
      </c>
      <c r="Q515" s="4" t="s">
        <v>57</v>
      </c>
      <c r="R515" s="4">
        <v>0</v>
      </c>
      <c r="S515" s="6">
        <v>0</v>
      </c>
      <c r="T515" s="6">
        <v>24</v>
      </c>
      <c r="U515" s="6">
        <v>0</v>
      </c>
      <c r="V515" s="6">
        <f>IF(ISERROR(VLOOKUP($S$515,'TAR FIN'!$A$1:$O$100,15,0)),0,VLOOKUP($S$515,'TAR FIN'!$A$1:$O$100,15,0))</f>
        <v>0</v>
      </c>
      <c r="W515" s="6">
        <f>IF(ISERROR(VLOOKUP($T$515,'TAR FIN'!$A$1:$O$100,15,0)),0,VLOOKUP($T$515,'TAR FIN'!$A$1:$O$100,15,0))</f>
        <v>943.81</v>
      </c>
      <c r="X515" s="6">
        <f>IF(ISERROR(VLOOKUP($U$515,'TAR FIN'!$A$1:$O$100,15,0)),0,VLOOKUP($U$515,'TAR FIN'!$A$1:$O$100,15,0))</f>
        <v>0</v>
      </c>
      <c r="Y515" s="6"/>
      <c r="Z515" s="6">
        <f ca="1">('TUSD BE'!$AM$21+'TUSD BF'!$AM$21+'TUSD CVA'!$AM$21)*1</f>
        <v>928.87102242938545</v>
      </c>
      <c r="AA515" s="6"/>
      <c r="AB515" s="6">
        <f>$K$515*$V$515</f>
        <v>0</v>
      </c>
      <c r="AC515" s="6">
        <f>$M$515*$W$515</f>
        <v>39125.643549999993</v>
      </c>
      <c r="AD515" s="6">
        <f>$O$515*$X$515</f>
        <v>0</v>
      </c>
      <c r="AE515" s="6">
        <f>$K$515*$Y$515</f>
        <v>0</v>
      </c>
      <c r="AF515" s="6">
        <f ca="1">$M$515*$Z$515</f>
        <v>38506.348234810175</v>
      </c>
      <c r="AG515" s="6">
        <f>$O$515*$AA$515</f>
        <v>0</v>
      </c>
    </row>
    <row r="516" spans="1:33" ht="11.25" customHeight="1" x14ac:dyDescent="0.25">
      <c r="A516" s="4" t="s">
        <v>21</v>
      </c>
      <c r="B516" s="4" t="s">
        <v>39</v>
      </c>
      <c r="C516" s="4" t="s">
        <v>41</v>
      </c>
      <c r="D516" s="4" t="s">
        <v>38</v>
      </c>
      <c r="E516" s="4" t="s">
        <v>25</v>
      </c>
      <c r="F516" s="4" t="s">
        <v>25</v>
      </c>
      <c r="G516" s="4" t="s">
        <v>25</v>
      </c>
      <c r="H516" s="4" t="s">
        <v>34</v>
      </c>
      <c r="I516" s="5">
        <v>44317</v>
      </c>
      <c r="J516" s="6">
        <v>0</v>
      </c>
      <c r="K516" s="6">
        <v>0</v>
      </c>
      <c r="L516" s="6">
        <v>106.983</v>
      </c>
      <c r="M516" s="6">
        <v>106.983</v>
      </c>
      <c r="N516" s="6">
        <v>106.983</v>
      </c>
      <c r="O516" s="6">
        <v>106.983</v>
      </c>
      <c r="P516" s="6">
        <v>0</v>
      </c>
      <c r="Q516" s="4" t="s">
        <v>26</v>
      </c>
      <c r="R516" s="4">
        <v>0</v>
      </c>
      <c r="S516" s="6">
        <v>0</v>
      </c>
      <c r="T516" s="6">
        <v>24</v>
      </c>
      <c r="U516" s="6">
        <v>67</v>
      </c>
      <c r="V516" s="6">
        <f>IF(ISERROR(VLOOKUP($S$516,'TAR FIN'!$A$1:$O$100,15,0)),0,VLOOKUP($S$516,'TAR FIN'!$A$1:$O$100,15,0))</f>
        <v>0</v>
      </c>
      <c r="W516" s="6">
        <f>IF(ISERROR(VLOOKUP($T$516,'TAR FIN'!$A$1:$O$100,15,0)),0,VLOOKUP($T$516,'TAR FIN'!$A$1:$O$100,15,0))</f>
        <v>943.81</v>
      </c>
      <c r="X516" s="6">
        <f>IF(ISERROR(VLOOKUP($U$516,'TAR FIN'!$A$1:$O$100,15,0)),0,VLOOKUP($U$516,'TAR FIN'!$A$1:$O$100,15,0))</f>
        <v>366.6</v>
      </c>
      <c r="Y516" s="6"/>
      <c r="Z516" s="6">
        <f ca="1">('TUSD BE'!$AM$21+'TUSD BF'!$AM$21+'TUSD CVA'!$AM$21)*1</f>
        <v>928.87102242938545</v>
      </c>
      <c r="AA516" s="6">
        <f>('TE BE'!$AA$7+'TE BF'!$AA$7+'TE CVA'!$AA$7)*1</f>
        <v>385.46556634281501</v>
      </c>
      <c r="AB516" s="6">
        <f>$K$516*$V$516</f>
        <v>0</v>
      </c>
      <c r="AC516" s="6">
        <f>$M$516*$W$516</f>
        <v>100971.62523000001</v>
      </c>
      <c r="AD516" s="6">
        <f>$O$516*$X$516</f>
        <v>39219.967800000006</v>
      </c>
      <c r="AE516" s="6">
        <f>$K$516*$Y$516</f>
        <v>0</v>
      </c>
      <c r="AF516" s="6">
        <f ca="1">$M$516*$Z$516</f>
        <v>99373.408592562948</v>
      </c>
      <c r="AG516" s="6">
        <f>$O$516*$AA$516</f>
        <v>41238.262684053378</v>
      </c>
    </row>
    <row r="517" spans="1:33" ht="11.25" customHeight="1" x14ac:dyDescent="0.25">
      <c r="A517" s="4" t="s">
        <v>28</v>
      </c>
      <c r="B517" s="4" t="s">
        <v>39</v>
      </c>
      <c r="C517" s="4" t="s">
        <v>41</v>
      </c>
      <c r="D517" s="4" t="s">
        <v>38</v>
      </c>
      <c r="E517" s="4" t="s">
        <v>25</v>
      </c>
      <c r="F517" s="4" t="s">
        <v>25</v>
      </c>
      <c r="G517" s="4" t="s">
        <v>25</v>
      </c>
      <c r="H517" s="4" t="s">
        <v>34</v>
      </c>
      <c r="I517" s="5">
        <v>44317</v>
      </c>
      <c r="J517" s="6">
        <v>0</v>
      </c>
      <c r="K517" s="6">
        <v>0</v>
      </c>
      <c r="L517" s="6">
        <v>3.5819999999999999</v>
      </c>
      <c r="M517" s="6">
        <v>3.5819999999999999</v>
      </c>
      <c r="N517" s="6">
        <v>3.5819999999999999</v>
      </c>
      <c r="O517" s="6">
        <v>3.5819999999999999</v>
      </c>
      <c r="P517" s="6">
        <v>0</v>
      </c>
      <c r="Q517" s="4" t="s">
        <v>26</v>
      </c>
      <c r="R517" s="4">
        <v>0</v>
      </c>
      <c r="S517" s="6">
        <v>0</v>
      </c>
      <c r="T517" s="6">
        <v>24</v>
      </c>
      <c r="U517" s="6">
        <v>67</v>
      </c>
      <c r="V517" s="6">
        <f>IF(ISERROR(VLOOKUP($S$517,'TAR FIN'!$A$1:$O$100,15,0)),0,VLOOKUP($S$517,'TAR FIN'!$A$1:$O$100,15,0))</f>
        <v>0</v>
      </c>
      <c r="W517" s="6">
        <f>IF(ISERROR(VLOOKUP($T$517,'TAR FIN'!$A$1:$O$100,15,0)),0,VLOOKUP($T$517,'TAR FIN'!$A$1:$O$100,15,0))</f>
        <v>943.81</v>
      </c>
      <c r="X517" s="6">
        <f>IF(ISERROR(VLOOKUP($U$517,'TAR FIN'!$A$1:$O$100,15,0)),0,VLOOKUP($U$517,'TAR FIN'!$A$1:$O$100,15,0))</f>
        <v>366.6</v>
      </c>
      <c r="Y517" s="6"/>
      <c r="Z517" s="6">
        <f ca="1">('TUSD BE'!$AM$21+'TUSD BF'!$AM$21+'TUSD CVA'!$AM$21)*1</f>
        <v>928.87102242938545</v>
      </c>
      <c r="AA517" s="6">
        <f>('TE BE'!$AA$7+'TE BF'!$AA$7+'TE CVA'!$AA$7)*1</f>
        <v>385.46556634281501</v>
      </c>
      <c r="AB517" s="6">
        <f>$K$517*$V$517</f>
        <v>0</v>
      </c>
      <c r="AC517" s="6">
        <f>$M$517*$W$517</f>
        <v>3380.7274199999997</v>
      </c>
      <c r="AD517" s="6">
        <f>$O$517*$X$517</f>
        <v>1313.1612</v>
      </c>
      <c r="AE517" s="6">
        <f>$K$517*$Y$517</f>
        <v>0</v>
      </c>
      <c r="AF517" s="6">
        <f ca="1">$M$517*$Z$517</f>
        <v>3327.2160023420583</v>
      </c>
      <c r="AG517" s="6">
        <f>$O$517*$AA$517</f>
        <v>1380.7376586399632</v>
      </c>
    </row>
    <row r="518" spans="1:33" ht="11.25" customHeight="1" x14ac:dyDescent="0.25">
      <c r="A518" s="4" t="s">
        <v>21</v>
      </c>
      <c r="B518" s="4" t="s">
        <v>39</v>
      </c>
      <c r="C518" s="4" t="s">
        <v>41</v>
      </c>
      <c r="D518" s="4" t="s">
        <v>38</v>
      </c>
      <c r="E518" s="4" t="s">
        <v>25</v>
      </c>
      <c r="F518" s="4" t="s">
        <v>25</v>
      </c>
      <c r="G518" s="4" t="s">
        <v>25</v>
      </c>
      <c r="H518" s="4" t="s">
        <v>34</v>
      </c>
      <c r="I518" s="5">
        <v>44317</v>
      </c>
      <c r="J518" s="6">
        <v>0</v>
      </c>
      <c r="K518" s="6">
        <v>0</v>
      </c>
      <c r="L518" s="6">
        <v>20.829000000000001</v>
      </c>
      <c r="M518" s="6">
        <v>20.829000000000001</v>
      </c>
      <c r="N518" s="6">
        <v>0</v>
      </c>
      <c r="O518" s="6">
        <v>0</v>
      </c>
      <c r="P518" s="6">
        <v>0</v>
      </c>
      <c r="Q518" s="4" t="s">
        <v>57</v>
      </c>
      <c r="R518" s="4">
        <v>0</v>
      </c>
      <c r="S518" s="6">
        <v>0</v>
      </c>
      <c r="T518" s="6">
        <v>24</v>
      </c>
      <c r="U518" s="6">
        <v>0</v>
      </c>
      <c r="V518" s="6">
        <f>IF(ISERROR(VLOOKUP($S$518,'TAR FIN'!$A$1:$O$100,15,0)),0,VLOOKUP($S$518,'TAR FIN'!$A$1:$O$100,15,0))</f>
        <v>0</v>
      </c>
      <c r="W518" s="6">
        <f>IF(ISERROR(VLOOKUP($T$518,'TAR FIN'!$A$1:$O$100,15,0)),0,VLOOKUP($T$518,'TAR FIN'!$A$1:$O$100,15,0))</f>
        <v>943.81</v>
      </c>
      <c r="X518" s="6">
        <f>IF(ISERROR(VLOOKUP($U$518,'TAR FIN'!$A$1:$O$100,15,0)),0,VLOOKUP($U$518,'TAR FIN'!$A$1:$O$100,15,0))</f>
        <v>0</v>
      </c>
      <c r="Y518" s="6"/>
      <c r="Z518" s="6">
        <f ca="1">('TUSD BE'!$AM$21+'TUSD BF'!$AM$21+'TUSD CVA'!$AM$21)*1</f>
        <v>928.87102242938545</v>
      </c>
      <c r="AA518" s="6"/>
      <c r="AB518" s="6">
        <f>$K$518*$V$518</f>
        <v>0</v>
      </c>
      <c r="AC518" s="6">
        <f>$M$518*$W$518</f>
        <v>19658.618490000001</v>
      </c>
      <c r="AD518" s="6">
        <f>$O$518*$X$518</f>
        <v>0</v>
      </c>
      <c r="AE518" s="6">
        <f>$K$518*$Y$518</f>
        <v>0</v>
      </c>
      <c r="AF518" s="6">
        <f ca="1">$M$518*$Z$518</f>
        <v>19347.454526181671</v>
      </c>
      <c r="AG518" s="6">
        <f>$O$518*$AA$518</f>
        <v>0</v>
      </c>
    </row>
    <row r="519" spans="1:33" ht="11.25" customHeight="1" x14ac:dyDescent="0.25">
      <c r="A519" s="4" t="s">
        <v>21</v>
      </c>
      <c r="B519" s="4" t="s">
        <v>39</v>
      </c>
      <c r="C519" s="4" t="s">
        <v>41</v>
      </c>
      <c r="D519" s="4" t="s">
        <v>38</v>
      </c>
      <c r="E519" s="4" t="s">
        <v>25</v>
      </c>
      <c r="F519" s="4" t="s">
        <v>25</v>
      </c>
      <c r="G519" s="4" t="s">
        <v>25</v>
      </c>
      <c r="H519" s="4" t="s">
        <v>34</v>
      </c>
      <c r="I519" s="5">
        <v>44348</v>
      </c>
      <c r="J519" s="6">
        <v>0</v>
      </c>
      <c r="K519" s="6">
        <v>0</v>
      </c>
      <c r="L519" s="6">
        <v>138.36500000000001</v>
      </c>
      <c r="M519" s="6">
        <v>138.36500000000001</v>
      </c>
      <c r="N519" s="6">
        <v>138.36500000000001</v>
      </c>
      <c r="O519" s="6">
        <v>138.36500000000001</v>
      </c>
      <c r="P519" s="6">
        <v>0</v>
      </c>
      <c r="Q519" s="4" t="s">
        <v>26</v>
      </c>
      <c r="R519" s="4">
        <v>0</v>
      </c>
      <c r="S519" s="6">
        <v>0</v>
      </c>
      <c r="T519" s="6">
        <v>24</v>
      </c>
      <c r="U519" s="6">
        <v>67</v>
      </c>
      <c r="V519" s="6">
        <f>IF(ISERROR(VLOOKUP($S$519,'TAR FIN'!$A$1:$O$100,15,0)),0,VLOOKUP($S$519,'TAR FIN'!$A$1:$O$100,15,0))</f>
        <v>0</v>
      </c>
      <c r="W519" s="6">
        <f>IF(ISERROR(VLOOKUP($T$519,'TAR FIN'!$A$1:$O$100,15,0)),0,VLOOKUP($T$519,'TAR FIN'!$A$1:$O$100,15,0))</f>
        <v>943.81</v>
      </c>
      <c r="X519" s="6">
        <f>IF(ISERROR(VLOOKUP($U$519,'TAR FIN'!$A$1:$O$100,15,0)),0,VLOOKUP($U$519,'TAR FIN'!$A$1:$O$100,15,0))</f>
        <v>366.6</v>
      </c>
      <c r="Y519" s="6"/>
      <c r="Z519" s="6">
        <f ca="1">('TUSD BE'!$AM$21+'TUSD BF'!$AM$21+'TUSD CVA'!$AM$21)*1</f>
        <v>928.87102242938545</v>
      </c>
      <c r="AA519" s="6">
        <f>('TE BE'!$AA$7+'TE BF'!$AA$7+'TE CVA'!$AA$7)*1</f>
        <v>385.46556634281501</v>
      </c>
      <c r="AB519" s="6">
        <f>$K$519*$V$519</f>
        <v>0</v>
      </c>
      <c r="AC519" s="6">
        <f>$M$519*$W$519</f>
        <v>130590.27065000001</v>
      </c>
      <c r="AD519" s="6">
        <f>$O$519*$X$519</f>
        <v>50724.609000000004</v>
      </c>
      <c r="AE519" s="6">
        <f>$K$519*$Y$519</f>
        <v>0</v>
      </c>
      <c r="AF519" s="6">
        <f ca="1">$M$519*$Z$519</f>
        <v>128523.23901844192</v>
      </c>
      <c r="AG519" s="6">
        <f>$O$519*$AA$519</f>
        <v>53334.943087023603</v>
      </c>
    </row>
    <row r="520" spans="1:33" ht="11.25" customHeight="1" x14ac:dyDescent="0.25">
      <c r="A520" s="4" t="s">
        <v>27</v>
      </c>
      <c r="B520" s="4" t="s">
        <v>39</v>
      </c>
      <c r="C520" s="4" t="s">
        <v>41</v>
      </c>
      <c r="D520" s="4" t="s">
        <v>38</v>
      </c>
      <c r="E520" s="4" t="s">
        <v>25</v>
      </c>
      <c r="F520" s="4" t="s">
        <v>25</v>
      </c>
      <c r="G520" s="4" t="s">
        <v>25</v>
      </c>
      <c r="H520" s="4" t="s">
        <v>34</v>
      </c>
      <c r="I520" s="5">
        <v>44348</v>
      </c>
      <c r="J520" s="6">
        <v>0</v>
      </c>
      <c r="K520" s="6">
        <v>0</v>
      </c>
      <c r="L520" s="6">
        <v>-1.05</v>
      </c>
      <c r="M520" s="6">
        <v>-1.05</v>
      </c>
      <c r="N520" s="6">
        <v>-1.05</v>
      </c>
      <c r="O520" s="6">
        <v>-1.05</v>
      </c>
      <c r="P520" s="6">
        <v>0</v>
      </c>
      <c r="Q520" s="4" t="s">
        <v>26</v>
      </c>
      <c r="R520" s="4">
        <v>0</v>
      </c>
      <c r="S520" s="6">
        <v>0</v>
      </c>
      <c r="T520" s="6">
        <v>24</v>
      </c>
      <c r="U520" s="6">
        <v>67</v>
      </c>
      <c r="V520" s="6">
        <f>IF(ISERROR(VLOOKUP($S$520,'TAR FIN'!$A$1:$O$100,15,0)),0,VLOOKUP($S$520,'TAR FIN'!$A$1:$O$100,15,0))</f>
        <v>0</v>
      </c>
      <c r="W520" s="6">
        <f>IF(ISERROR(VLOOKUP($T$520,'TAR FIN'!$A$1:$O$100,15,0)),0,VLOOKUP($T$520,'TAR FIN'!$A$1:$O$100,15,0))</f>
        <v>943.81</v>
      </c>
      <c r="X520" s="6">
        <f>IF(ISERROR(VLOOKUP($U$520,'TAR FIN'!$A$1:$O$100,15,0)),0,VLOOKUP($U$520,'TAR FIN'!$A$1:$O$100,15,0))</f>
        <v>366.6</v>
      </c>
      <c r="Y520" s="6"/>
      <c r="Z520" s="6">
        <f ca="1">('TUSD BE'!$AM$21+'TUSD BF'!$AM$21+'TUSD CVA'!$AM$21)*1</f>
        <v>928.87102242938545</v>
      </c>
      <c r="AA520" s="6">
        <f>('TE BE'!$AA$7+'TE BF'!$AA$7+'TE CVA'!$AA$7)*1</f>
        <v>385.46556634281501</v>
      </c>
      <c r="AB520" s="6">
        <f>$K$520*$V$520</f>
        <v>0</v>
      </c>
      <c r="AC520" s="6">
        <f>$M$520*$W$520</f>
        <v>-991.00049999999999</v>
      </c>
      <c r="AD520" s="6">
        <f>$O$520*$X$520</f>
        <v>-384.93000000000006</v>
      </c>
      <c r="AE520" s="6">
        <f>$K$520*$Y$520</f>
        <v>0</v>
      </c>
      <c r="AF520" s="6">
        <f ca="1">$M$520*$Z$520</f>
        <v>-975.31457355085479</v>
      </c>
      <c r="AG520" s="6">
        <f>$O$520*$AA$520</f>
        <v>-404.73884465995576</v>
      </c>
    </row>
    <row r="521" spans="1:33" ht="11.25" customHeight="1" x14ac:dyDescent="0.25">
      <c r="A521" s="4" t="s">
        <v>28</v>
      </c>
      <c r="B521" s="4" t="s">
        <v>39</v>
      </c>
      <c r="C521" s="4" t="s">
        <v>41</v>
      </c>
      <c r="D521" s="4" t="s">
        <v>38</v>
      </c>
      <c r="E521" s="4" t="s">
        <v>25</v>
      </c>
      <c r="F521" s="4" t="s">
        <v>25</v>
      </c>
      <c r="G521" s="4" t="s">
        <v>25</v>
      </c>
      <c r="H521" s="4" t="s">
        <v>34</v>
      </c>
      <c r="I521" s="5">
        <v>44348</v>
      </c>
      <c r="J521" s="6">
        <v>0</v>
      </c>
      <c r="K521" s="6">
        <v>0</v>
      </c>
      <c r="L521" s="6">
        <v>3.532</v>
      </c>
      <c r="M521" s="6">
        <v>3.532</v>
      </c>
      <c r="N521" s="6">
        <v>3.532</v>
      </c>
      <c r="O521" s="6">
        <v>3.532</v>
      </c>
      <c r="P521" s="6">
        <v>0</v>
      </c>
      <c r="Q521" s="4" t="s">
        <v>26</v>
      </c>
      <c r="R521" s="4">
        <v>0</v>
      </c>
      <c r="S521" s="6">
        <v>0</v>
      </c>
      <c r="T521" s="6">
        <v>24</v>
      </c>
      <c r="U521" s="6">
        <v>67</v>
      </c>
      <c r="V521" s="6">
        <f>IF(ISERROR(VLOOKUP($S$521,'TAR FIN'!$A$1:$O$100,15,0)),0,VLOOKUP($S$521,'TAR FIN'!$A$1:$O$100,15,0))</f>
        <v>0</v>
      </c>
      <c r="W521" s="6">
        <f>IF(ISERROR(VLOOKUP($T$521,'TAR FIN'!$A$1:$O$100,15,0)),0,VLOOKUP($T$521,'TAR FIN'!$A$1:$O$100,15,0))</f>
        <v>943.81</v>
      </c>
      <c r="X521" s="6">
        <f>IF(ISERROR(VLOOKUP($U$521,'TAR FIN'!$A$1:$O$100,15,0)),0,VLOOKUP($U$521,'TAR FIN'!$A$1:$O$100,15,0))</f>
        <v>366.6</v>
      </c>
      <c r="Y521" s="6"/>
      <c r="Z521" s="6">
        <f ca="1">('TUSD BE'!$AM$21+'TUSD BF'!$AM$21+'TUSD CVA'!$AM$21)*1</f>
        <v>928.87102242938545</v>
      </c>
      <c r="AA521" s="6">
        <f>('TE BE'!$AA$7+'TE BF'!$AA$7+'TE CVA'!$AA$7)*1</f>
        <v>385.46556634281501</v>
      </c>
      <c r="AB521" s="6">
        <f>$K$521*$V$521</f>
        <v>0</v>
      </c>
      <c r="AC521" s="6">
        <f>$M$521*$W$521</f>
        <v>3333.53692</v>
      </c>
      <c r="AD521" s="6">
        <f>$O$521*$X$521</f>
        <v>1294.8312000000001</v>
      </c>
      <c r="AE521" s="6">
        <f>$K$521*$Y$521</f>
        <v>0</v>
      </c>
      <c r="AF521" s="6">
        <f ca="1">$M$521*$Z$521</f>
        <v>3280.7724512205896</v>
      </c>
      <c r="AG521" s="6">
        <f>$O$521*$AA$521</f>
        <v>1361.4643803228225</v>
      </c>
    </row>
    <row r="522" spans="1:33" ht="11.25" customHeight="1" x14ac:dyDescent="0.25">
      <c r="A522" s="4" t="s">
        <v>21</v>
      </c>
      <c r="B522" s="4" t="s">
        <v>39</v>
      </c>
      <c r="C522" s="4" t="s">
        <v>41</v>
      </c>
      <c r="D522" s="4" t="s">
        <v>38</v>
      </c>
      <c r="E522" s="4" t="s">
        <v>25</v>
      </c>
      <c r="F522" s="4" t="s">
        <v>25</v>
      </c>
      <c r="G522" s="4" t="s">
        <v>25</v>
      </c>
      <c r="H522" s="4" t="s">
        <v>34</v>
      </c>
      <c r="I522" s="5">
        <v>44348</v>
      </c>
      <c r="J522" s="6">
        <v>0</v>
      </c>
      <c r="K522" s="6">
        <v>0</v>
      </c>
      <c r="L522" s="6">
        <v>24.448</v>
      </c>
      <c r="M522" s="6">
        <v>24.448</v>
      </c>
      <c r="N522" s="6">
        <v>0</v>
      </c>
      <c r="O522" s="6">
        <v>0</v>
      </c>
      <c r="P522" s="6">
        <v>0</v>
      </c>
      <c r="Q522" s="4" t="s">
        <v>57</v>
      </c>
      <c r="R522" s="4">
        <v>0</v>
      </c>
      <c r="S522" s="6">
        <v>0</v>
      </c>
      <c r="T522" s="6">
        <v>24</v>
      </c>
      <c r="U522" s="6">
        <v>0</v>
      </c>
      <c r="V522" s="6">
        <f>IF(ISERROR(VLOOKUP($S$522,'TAR FIN'!$A$1:$O$100,15,0)),0,VLOOKUP($S$522,'TAR FIN'!$A$1:$O$100,15,0))</f>
        <v>0</v>
      </c>
      <c r="W522" s="6">
        <f>IF(ISERROR(VLOOKUP($T$522,'TAR FIN'!$A$1:$O$100,15,0)),0,VLOOKUP($T$522,'TAR FIN'!$A$1:$O$100,15,0))</f>
        <v>943.81</v>
      </c>
      <c r="X522" s="6">
        <f>IF(ISERROR(VLOOKUP($U$522,'TAR FIN'!$A$1:$O$100,15,0)),0,VLOOKUP($U$522,'TAR FIN'!$A$1:$O$100,15,0))</f>
        <v>0</v>
      </c>
      <c r="Y522" s="6"/>
      <c r="Z522" s="6">
        <f ca="1">('TUSD BE'!$AM$21+'TUSD BF'!$AM$21+'TUSD CVA'!$AM$21)*1</f>
        <v>928.87102242938545</v>
      </c>
      <c r="AA522" s="6"/>
      <c r="AB522" s="6">
        <f>$K$522*$V$522</f>
        <v>0</v>
      </c>
      <c r="AC522" s="6">
        <f>$M$522*$W$522</f>
        <v>23074.266879999999</v>
      </c>
      <c r="AD522" s="6">
        <f>$O$522*$X$522</f>
        <v>0</v>
      </c>
      <c r="AE522" s="6">
        <f>$K$522*$Y$522</f>
        <v>0</v>
      </c>
      <c r="AF522" s="6">
        <f ca="1">$M$522*$Z$522</f>
        <v>22709.038756353617</v>
      </c>
      <c r="AG522" s="6">
        <f>$O$522*$AA$522</f>
        <v>0</v>
      </c>
    </row>
    <row r="523" spans="1:33" ht="11.25" customHeight="1" x14ac:dyDescent="0.25">
      <c r="A523" s="4" t="s">
        <v>21</v>
      </c>
      <c r="B523" s="4" t="s">
        <v>39</v>
      </c>
      <c r="C523" s="4" t="s">
        <v>41</v>
      </c>
      <c r="D523" s="4" t="s">
        <v>38</v>
      </c>
      <c r="E523" s="4" t="s">
        <v>25</v>
      </c>
      <c r="F523" s="4" t="s">
        <v>25</v>
      </c>
      <c r="G523" s="4" t="s">
        <v>25</v>
      </c>
      <c r="H523" s="4" t="s">
        <v>34</v>
      </c>
      <c r="I523" s="5">
        <v>44378</v>
      </c>
      <c r="J523" s="6">
        <v>0</v>
      </c>
      <c r="K523" s="6">
        <v>0</v>
      </c>
      <c r="L523" s="6">
        <v>142.84100000000001</v>
      </c>
      <c r="M523" s="6">
        <v>142.84100000000001</v>
      </c>
      <c r="N523" s="6">
        <v>142.84100000000001</v>
      </c>
      <c r="O523" s="6">
        <v>142.84100000000001</v>
      </c>
      <c r="P523" s="6">
        <v>0</v>
      </c>
      <c r="Q523" s="4" t="s">
        <v>26</v>
      </c>
      <c r="R523" s="4">
        <v>0</v>
      </c>
      <c r="S523" s="6">
        <v>0</v>
      </c>
      <c r="T523" s="6">
        <v>24</v>
      </c>
      <c r="U523" s="6">
        <v>67</v>
      </c>
      <c r="V523" s="6">
        <f>IF(ISERROR(VLOOKUP($S$523,'TAR FIN'!$A$1:$O$100,15,0)),0,VLOOKUP($S$523,'TAR FIN'!$A$1:$O$100,15,0))</f>
        <v>0</v>
      </c>
      <c r="W523" s="6">
        <f>IF(ISERROR(VLOOKUP($T$523,'TAR FIN'!$A$1:$O$100,15,0)),0,VLOOKUP($T$523,'TAR FIN'!$A$1:$O$100,15,0))</f>
        <v>943.81</v>
      </c>
      <c r="X523" s="6">
        <f>IF(ISERROR(VLOOKUP($U$523,'TAR FIN'!$A$1:$O$100,15,0)),0,VLOOKUP($U$523,'TAR FIN'!$A$1:$O$100,15,0))</f>
        <v>366.6</v>
      </c>
      <c r="Y523" s="6"/>
      <c r="Z523" s="6">
        <f ca="1">('TUSD BE'!$AM$21+'TUSD BF'!$AM$21+'TUSD CVA'!$AM$21)*1</f>
        <v>928.87102242938545</v>
      </c>
      <c r="AA523" s="6">
        <f>('TE BE'!$AA$7+'TE BF'!$AA$7+'TE CVA'!$AA$7)*1</f>
        <v>385.46556634281501</v>
      </c>
      <c r="AB523" s="6">
        <f>$K$523*$V$523</f>
        <v>0</v>
      </c>
      <c r="AC523" s="6">
        <f>$M$523*$W$523</f>
        <v>134814.76420999999</v>
      </c>
      <c r="AD523" s="6">
        <f>$O$523*$X$523</f>
        <v>52365.510600000009</v>
      </c>
      <c r="AE523" s="6">
        <f>$K$523*$Y$523</f>
        <v>0</v>
      </c>
      <c r="AF523" s="6">
        <f ca="1">$M$523*$Z$523</f>
        <v>132680.86571483585</v>
      </c>
      <c r="AG523" s="6">
        <f>$O$523*$AA$523</f>
        <v>55060.286961974045</v>
      </c>
    </row>
    <row r="524" spans="1:33" ht="11.25" customHeight="1" x14ac:dyDescent="0.25">
      <c r="A524" s="4" t="s">
        <v>28</v>
      </c>
      <c r="B524" s="4" t="s">
        <v>39</v>
      </c>
      <c r="C524" s="4" t="s">
        <v>41</v>
      </c>
      <c r="D524" s="4" t="s">
        <v>38</v>
      </c>
      <c r="E524" s="4" t="s">
        <v>25</v>
      </c>
      <c r="F524" s="4" t="s">
        <v>25</v>
      </c>
      <c r="G524" s="4" t="s">
        <v>25</v>
      </c>
      <c r="H524" s="4" t="s">
        <v>34</v>
      </c>
      <c r="I524" s="5">
        <v>44378</v>
      </c>
      <c r="J524" s="6">
        <v>0</v>
      </c>
      <c r="K524" s="6">
        <v>0</v>
      </c>
      <c r="L524" s="6">
        <v>10.105</v>
      </c>
      <c r="M524" s="6">
        <v>10.105</v>
      </c>
      <c r="N524" s="6">
        <v>10.105</v>
      </c>
      <c r="O524" s="6">
        <v>10.105</v>
      </c>
      <c r="P524" s="6">
        <v>0</v>
      </c>
      <c r="Q524" s="4" t="s">
        <v>26</v>
      </c>
      <c r="R524" s="4">
        <v>0</v>
      </c>
      <c r="S524" s="6">
        <v>0</v>
      </c>
      <c r="T524" s="6">
        <v>24</v>
      </c>
      <c r="U524" s="6">
        <v>67</v>
      </c>
      <c r="V524" s="6">
        <f>IF(ISERROR(VLOOKUP($S$524,'TAR FIN'!$A$1:$O$100,15,0)),0,VLOOKUP($S$524,'TAR FIN'!$A$1:$O$100,15,0))</f>
        <v>0</v>
      </c>
      <c r="W524" s="6">
        <f>IF(ISERROR(VLOOKUP($T$524,'TAR FIN'!$A$1:$O$100,15,0)),0,VLOOKUP($T$524,'TAR FIN'!$A$1:$O$100,15,0))</f>
        <v>943.81</v>
      </c>
      <c r="X524" s="6">
        <f>IF(ISERROR(VLOOKUP($U$524,'TAR FIN'!$A$1:$O$100,15,0)),0,VLOOKUP($U$524,'TAR FIN'!$A$1:$O$100,15,0))</f>
        <v>366.6</v>
      </c>
      <c r="Y524" s="6"/>
      <c r="Z524" s="6">
        <f ca="1">('TUSD BE'!$AM$21+'TUSD BF'!$AM$21+'TUSD CVA'!$AM$21)*1</f>
        <v>928.87102242938545</v>
      </c>
      <c r="AA524" s="6">
        <f>('TE BE'!$AA$7+'TE BF'!$AA$7+'TE CVA'!$AA$7)*1</f>
        <v>385.46556634281501</v>
      </c>
      <c r="AB524" s="6">
        <f>$K$524*$V$524</f>
        <v>0</v>
      </c>
      <c r="AC524" s="6">
        <f>$M$524*$W$524</f>
        <v>9537.2000499999995</v>
      </c>
      <c r="AD524" s="6">
        <f>$O$524*$X$524</f>
        <v>3704.4930000000004</v>
      </c>
      <c r="AE524" s="6">
        <f>$K$524*$Y$524</f>
        <v>0</v>
      </c>
      <c r="AF524" s="6">
        <f ca="1">$M$524*$Z$524</f>
        <v>9386.2416816489404</v>
      </c>
      <c r="AG524" s="6">
        <f>$O$524*$AA$524</f>
        <v>3895.1295478941456</v>
      </c>
    </row>
    <row r="525" spans="1:33" ht="11.25" customHeight="1" x14ac:dyDescent="0.25">
      <c r="A525" s="4" t="s">
        <v>21</v>
      </c>
      <c r="B525" s="4" t="s">
        <v>39</v>
      </c>
      <c r="C525" s="4" t="s">
        <v>41</v>
      </c>
      <c r="D525" s="4" t="s">
        <v>38</v>
      </c>
      <c r="E525" s="4" t="s">
        <v>25</v>
      </c>
      <c r="F525" s="4" t="s">
        <v>25</v>
      </c>
      <c r="G525" s="4" t="s">
        <v>25</v>
      </c>
      <c r="H525" s="4" t="s">
        <v>34</v>
      </c>
      <c r="I525" s="5">
        <v>44378</v>
      </c>
      <c r="J525" s="6">
        <v>0</v>
      </c>
      <c r="K525" s="6">
        <v>0</v>
      </c>
      <c r="L525" s="6">
        <v>26.824999999999999</v>
      </c>
      <c r="M525" s="6">
        <v>26.824999999999999</v>
      </c>
      <c r="N525" s="6">
        <v>0</v>
      </c>
      <c r="O525" s="6">
        <v>0</v>
      </c>
      <c r="P525" s="6">
        <v>0</v>
      </c>
      <c r="Q525" s="4" t="s">
        <v>57</v>
      </c>
      <c r="R525" s="4">
        <v>0</v>
      </c>
      <c r="S525" s="6">
        <v>0</v>
      </c>
      <c r="T525" s="6">
        <v>24</v>
      </c>
      <c r="U525" s="6">
        <v>0</v>
      </c>
      <c r="V525" s="6">
        <f>IF(ISERROR(VLOOKUP($S$525,'TAR FIN'!$A$1:$O$100,15,0)),0,VLOOKUP($S$525,'TAR FIN'!$A$1:$O$100,15,0))</f>
        <v>0</v>
      </c>
      <c r="W525" s="6">
        <f>IF(ISERROR(VLOOKUP($T$525,'TAR FIN'!$A$1:$O$100,15,0)),0,VLOOKUP($T$525,'TAR FIN'!$A$1:$O$100,15,0))</f>
        <v>943.81</v>
      </c>
      <c r="X525" s="6">
        <f>IF(ISERROR(VLOOKUP($U$525,'TAR FIN'!$A$1:$O$100,15,0)),0,VLOOKUP($U$525,'TAR FIN'!$A$1:$O$100,15,0))</f>
        <v>0</v>
      </c>
      <c r="Y525" s="6"/>
      <c r="Z525" s="6">
        <f ca="1">('TUSD BE'!$AM$21+'TUSD BF'!$AM$21+'TUSD CVA'!$AM$21)*1</f>
        <v>928.87102242938545</v>
      </c>
      <c r="AA525" s="6"/>
      <c r="AB525" s="6">
        <f>$K$525*$V$525</f>
        <v>0</v>
      </c>
      <c r="AC525" s="6">
        <f>$M$525*$W$525</f>
        <v>25317.703249999999</v>
      </c>
      <c r="AD525" s="6">
        <f>$O$525*$X$525</f>
        <v>0</v>
      </c>
      <c r="AE525" s="6">
        <f>$K$525*$Y$525</f>
        <v>0</v>
      </c>
      <c r="AF525" s="6">
        <f ca="1">$M$525*$Z$525</f>
        <v>24916.965176668265</v>
      </c>
      <c r="AG525" s="6">
        <f>$O$525*$AA$525</f>
        <v>0</v>
      </c>
    </row>
    <row r="526" spans="1:33" ht="11.25" customHeight="1" x14ac:dyDescent="0.25">
      <c r="A526" s="4" t="s">
        <v>21</v>
      </c>
      <c r="B526" s="4" t="s">
        <v>39</v>
      </c>
      <c r="C526" s="4" t="s">
        <v>41</v>
      </c>
      <c r="D526" s="4" t="s">
        <v>38</v>
      </c>
      <c r="E526" s="4" t="s">
        <v>25</v>
      </c>
      <c r="F526" s="4" t="s">
        <v>25</v>
      </c>
      <c r="G526" s="4" t="s">
        <v>25</v>
      </c>
      <c r="H526" s="4" t="s">
        <v>34</v>
      </c>
      <c r="I526" s="5">
        <v>44409</v>
      </c>
      <c r="J526" s="6">
        <v>0</v>
      </c>
      <c r="K526" s="6">
        <v>0</v>
      </c>
      <c r="L526" s="6">
        <v>149.83600000000001</v>
      </c>
      <c r="M526" s="6">
        <v>149.83600000000001</v>
      </c>
      <c r="N526" s="6">
        <v>149.83600000000001</v>
      </c>
      <c r="O526" s="6">
        <v>149.83600000000001</v>
      </c>
      <c r="P526" s="6">
        <v>0</v>
      </c>
      <c r="Q526" s="4" t="s">
        <v>26</v>
      </c>
      <c r="R526" s="4">
        <v>0</v>
      </c>
      <c r="S526" s="6">
        <v>0</v>
      </c>
      <c r="T526" s="6">
        <v>24</v>
      </c>
      <c r="U526" s="6">
        <v>67</v>
      </c>
      <c r="V526" s="6">
        <f>IF(ISERROR(VLOOKUP($S$526,'TAR FIN'!$A$1:$O$100,15,0)),0,VLOOKUP($S$526,'TAR FIN'!$A$1:$O$100,15,0))</f>
        <v>0</v>
      </c>
      <c r="W526" s="6">
        <f>IF(ISERROR(VLOOKUP($T$526,'TAR FIN'!$A$1:$O$100,15,0)),0,VLOOKUP($T$526,'TAR FIN'!$A$1:$O$100,15,0))</f>
        <v>943.81</v>
      </c>
      <c r="X526" s="6">
        <f>IF(ISERROR(VLOOKUP($U$526,'TAR FIN'!$A$1:$O$100,15,0)),0,VLOOKUP($U$526,'TAR FIN'!$A$1:$O$100,15,0))</f>
        <v>366.6</v>
      </c>
      <c r="Y526" s="6"/>
      <c r="Z526" s="6">
        <f ca="1">('TUSD BE'!$AM$21+'TUSD BF'!$AM$21+'TUSD CVA'!$AM$21)*1</f>
        <v>928.87102242938545</v>
      </c>
      <c r="AA526" s="6">
        <f>('TE BE'!$AA$7+'TE BF'!$AA$7+'TE CVA'!$AA$7)*1</f>
        <v>385.46556634281501</v>
      </c>
      <c r="AB526" s="6">
        <f>$K$526*$V$526</f>
        <v>0</v>
      </c>
      <c r="AC526" s="6">
        <f>$M$526*$W$526</f>
        <v>141416.71515999999</v>
      </c>
      <c r="AD526" s="6">
        <f>$O$526*$X$526</f>
        <v>54929.877600000007</v>
      </c>
      <c r="AE526" s="6">
        <f>$K$526*$Y$526</f>
        <v>0</v>
      </c>
      <c r="AF526" s="6">
        <f ca="1">$M$526*$Z$526</f>
        <v>139178.3185167294</v>
      </c>
      <c r="AG526" s="6">
        <f>$O$526*$AA$526</f>
        <v>57756.618598542038</v>
      </c>
    </row>
    <row r="527" spans="1:33" ht="11.25" customHeight="1" x14ac:dyDescent="0.25">
      <c r="A527" s="4" t="s">
        <v>28</v>
      </c>
      <c r="B527" s="4" t="s">
        <v>39</v>
      </c>
      <c r="C527" s="4" t="s">
        <v>41</v>
      </c>
      <c r="D527" s="4" t="s">
        <v>38</v>
      </c>
      <c r="E527" s="4" t="s">
        <v>25</v>
      </c>
      <c r="F527" s="4" t="s">
        <v>25</v>
      </c>
      <c r="G527" s="4" t="s">
        <v>25</v>
      </c>
      <c r="H527" s="4" t="s">
        <v>34</v>
      </c>
      <c r="I527" s="5">
        <v>44409</v>
      </c>
      <c r="J527" s="6">
        <v>0</v>
      </c>
      <c r="K527" s="6">
        <v>0</v>
      </c>
      <c r="L527" s="6">
        <v>7.46</v>
      </c>
      <c r="M527" s="6">
        <v>7.46</v>
      </c>
      <c r="N527" s="6">
        <v>7.46</v>
      </c>
      <c r="O527" s="6">
        <v>7.46</v>
      </c>
      <c r="P527" s="6">
        <v>0</v>
      </c>
      <c r="Q527" s="4" t="s">
        <v>26</v>
      </c>
      <c r="R527" s="4">
        <v>0</v>
      </c>
      <c r="S527" s="6">
        <v>0</v>
      </c>
      <c r="T527" s="6">
        <v>24</v>
      </c>
      <c r="U527" s="6">
        <v>67</v>
      </c>
      <c r="V527" s="6">
        <f>IF(ISERROR(VLOOKUP($S$527,'TAR FIN'!$A$1:$O$100,15,0)),0,VLOOKUP($S$527,'TAR FIN'!$A$1:$O$100,15,0))</f>
        <v>0</v>
      </c>
      <c r="W527" s="6">
        <f>IF(ISERROR(VLOOKUP($T$527,'TAR FIN'!$A$1:$O$100,15,0)),0,VLOOKUP($T$527,'TAR FIN'!$A$1:$O$100,15,0))</f>
        <v>943.81</v>
      </c>
      <c r="X527" s="6">
        <f>IF(ISERROR(VLOOKUP($U$527,'TAR FIN'!$A$1:$O$100,15,0)),0,VLOOKUP($U$527,'TAR FIN'!$A$1:$O$100,15,0))</f>
        <v>366.6</v>
      </c>
      <c r="Y527" s="6"/>
      <c r="Z527" s="6">
        <f ca="1">('TUSD BE'!$AM$21+'TUSD BF'!$AM$21+'TUSD CVA'!$AM$21)*1</f>
        <v>928.87102242938545</v>
      </c>
      <c r="AA527" s="6">
        <f>('TE BE'!$AA$7+'TE BF'!$AA$7+'TE CVA'!$AA$7)*1</f>
        <v>385.46556634281501</v>
      </c>
      <c r="AB527" s="6">
        <f>$K$527*$V$527</f>
        <v>0</v>
      </c>
      <c r="AC527" s="6">
        <f>$M$527*$W$527</f>
        <v>7040.8225999999995</v>
      </c>
      <c r="AD527" s="6">
        <f>$O$527*$X$527</f>
        <v>2734.8360000000002</v>
      </c>
      <c r="AE527" s="6">
        <f>$K$527*$Y$527</f>
        <v>0</v>
      </c>
      <c r="AF527" s="6">
        <f ca="1">$M$527*$Z$527</f>
        <v>6929.3778273232156</v>
      </c>
      <c r="AG527" s="6">
        <f>$O$527*$AA$527</f>
        <v>2875.5731249174</v>
      </c>
    </row>
    <row r="528" spans="1:33" ht="11.25" customHeight="1" x14ac:dyDescent="0.25">
      <c r="A528" s="4" t="s">
        <v>21</v>
      </c>
      <c r="B528" s="4" t="s">
        <v>39</v>
      </c>
      <c r="C528" s="4" t="s">
        <v>41</v>
      </c>
      <c r="D528" s="4" t="s">
        <v>38</v>
      </c>
      <c r="E528" s="4" t="s">
        <v>25</v>
      </c>
      <c r="F528" s="4" t="s">
        <v>25</v>
      </c>
      <c r="G528" s="4" t="s">
        <v>25</v>
      </c>
      <c r="H528" s="4" t="s">
        <v>34</v>
      </c>
      <c r="I528" s="5">
        <v>44409</v>
      </c>
      <c r="J528" s="6">
        <v>0</v>
      </c>
      <c r="K528" s="6">
        <v>0</v>
      </c>
      <c r="L528" s="6">
        <v>29.09</v>
      </c>
      <c r="M528" s="6">
        <v>29.09</v>
      </c>
      <c r="N528" s="6">
        <v>0</v>
      </c>
      <c r="O528" s="6">
        <v>0</v>
      </c>
      <c r="P528" s="6">
        <v>0</v>
      </c>
      <c r="Q528" s="4" t="s">
        <v>57</v>
      </c>
      <c r="R528" s="4">
        <v>0</v>
      </c>
      <c r="S528" s="6">
        <v>0</v>
      </c>
      <c r="T528" s="6">
        <v>24</v>
      </c>
      <c r="U528" s="6">
        <v>0</v>
      </c>
      <c r="V528" s="6">
        <f>IF(ISERROR(VLOOKUP($S$528,'TAR FIN'!$A$1:$O$100,15,0)),0,VLOOKUP($S$528,'TAR FIN'!$A$1:$O$100,15,0))</f>
        <v>0</v>
      </c>
      <c r="W528" s="6">
        <f>IF(ISERROR(VLOOKUP($T$528,'TAR FIN'!$A$1:$O$100,15,0)),0,VLOOKUP($T$528,'TAR FIN'!$A$1:$O$100,15,0))</f>
        <v>943.81</v>
      </c>
      <c r="X528" s="6">
        <f>IF(ISERROR(VLOOKUP($U$528,'TAR FIN'!$A$1:$O$100,15,0)),0,VLOOKUP($U$528,'TAR FIN'!$A$1:$O$100,15,0))</f>
        <v>0</v>
      </c>
      <c r="Y528" s="6"/>
      <c r="Z528" s="6">
        <f ca="1">('TUSD BE'!$AM$21+'TUSD BF'!$AM$21+'TUSD CVA'!$AM$21)*1</f>
        <v>928.87102242938545</v>
      </c>
      <c r="AA528" s="6"/>
      <c r="AB528" s="6">
        <f>$K$528*$V$528</f>
        <v>0</v>
      </c>
      <c r="AC528" s="6">
        <f>$M$528*$W$528</f>
        <v>27455.4329</v>
      </c>
      <c r="AD528" s="6">
        <f>$O$528*$X$528</f>
        <v>0</v>
      </c>
      <c r="AE528" s="6">
        <f>$K$528*$Y$528</f>
        <v>0</v>
      </c>
      <c r="AF528" s="6">
        <f ca="1">$M$528*$Z$528</f>
        <v>27020.858042470823</v>
      </c>
      <c r="AG528" s="6">
        <f>$O$528*$AA$528</f>
        <v>0</v>
      </c>
    </row>
    <row r="529" spans="1:33" ht="11.25" customHeight="1" x14ac:dyDescent="0.25">
      <c r="A529" s="4" t="s">
        <v>21</v>
      </c>
      <c r="B529" s="4" t="s">
        <v>39</v>
      </c>
      <c r="C529" s="4" t="s">
        <v>41</v>
      </c>
      <c r="D529" s="4" t="s">
        <v>38</v>
      </c>
      <c r="E529" s="4" t="s">
        <v>25</v>
      </c>
      <c r="F529" s="4" t="s">
        <v>25</v>
      </c>
      <c r="G529" s="4" t="s">
        <v>25</v>
      </c>
      <c r="H529" s="4" t="s">
        <v>34</v>
      </c>
      <c r="I529" s="5">
        <v>44440</v>
      </c>
      <c r="J529" s="6">
        <v>0</v>
      </c>
      <c r="K529" s="6">
        <v>0</v>
      </c>
      <c r="L529" s="6">
        <v>119.78700000000001</v>
      </c>
      <c r="M529" s="6">
        <v>119.78700000000001</v>
      </c>
      <c r="N529" s="6">
        <v>119.78700000000001</v>
      </c>
      <c r="O529" s="6">
        <v>119.78700000000001</v>
      </c>
      <c r="P529" s="6">
        <v>0</v>
      </c>
      <c r="Q529" s="4" t="s">
        <v>26</v>
      </c>
      <c r="R529" s="4">
        <v>0</v>
      </c>
      <c r="S529" s="6">
        <v>0</v>
      </c>
      <c r="T529" s="6">
        <v>24</v>
      </c>
      <c r="U529" s="6">
        <v>67</v>
      </c>
      <c r="V529" s="6">
        <f>IF(ISERROR(VLOOKUP($S$529,'TAR FIN'!$A$1:$O$100,15,0)),0,VLOOKUP($S$529,'TAR FIN'!$A$1:$O$100,15,0))</f>
        <v>0</v>
      </c>
      <c r="W529" s="6">
        <f>IF(ISERROR(VLOOKUP($T$529,'TAR FIN'!$A$1:$O$100,15,0)),0,VLOOKUP($T$529,'TAR FIN'!$A$1:$O$100,15,0))</f>
        <v>943.81</v>
      </c>
      <c r="X529" s="6">
        <f>IF(ISERROR(VLOOKUP($U$529,'TAR FIN'!$A$1:$O$100,15,0)),0,VLOOKUP($U$529,'TAR FIN'!$A$1:$O$100,15,0))</f>
        <v>366.6</v>
      </c>
      <c r="Y529" s="6"/>
      <c r="Z529" s="6">
        <f ca="1">('TUSD BE'!$AM$21+'TUSD BF'!$AM$21+'TUSD CVA'!$AM$21)*1</f>
        <v>928.87102242938545</v>
      </c>
      <c r="AA529" s="6">
        <f>('TE BE'!$AA$7+'TE BF'!$AA$7+'TE CVA'!$AA$7)*1</f>
        <v>385.46556634281501</v>
      </c>
      <c r="AB529" s="6">
        <f>$K$529*$V$529</f>
        <v>0</v>
      </c>
      <c r="AC529" s="6">
        <f>$M$529*$W$529</f>
        <v>113056.16847</v>
      </c>
      <c r="AD529" s="6">
        <f>$O$529*$X$529</f>
        <v>43913.914200000007</v>
      </c>
      <c r="AE529" s="6">
        <f>$K$529*$Y$529</f>
        <v>0</v>
      </c>
      <c r="AF529" s="6">
        <f ca="1">$M$529*$Z$529</f>
        <v>111266.6731637488</v>
      </c>
      <c r="AG529" s="6">
        <f>$O$529*$AA$529</f>
        <v>46173.763795506784</v>
      </c>
    </row>
    <row r="530" spans="1:33" ht="11.25" customHeight="1" x14ac:dyDescent="0.25">
      <c r="A530" s="4" t="s">
        <v>28</v>
      </c>
      <c r="B530" s="4" t="s">
        <v>39</v>
      </c>
      <c r="C530" s="4" t="s">
        <v>41</v>
      </c>
      <c r="D530" s="4" t="s">
        <v>38</v>
      </c>
      <c r="E530" s="4" t="s">
        <v>25</v>
      </c>
      <c r="F530" s="4" t="s">
        <v>25</v>
      </c>
      <c r="G530" s="4" t="s">
        <v>25</v>
      </c>
      <c r="H530" s="4" t="s">
        <v>34</v>
      </c>
      <c r="I530" s="5">
        <v>44440</v>
      </c>
      <c r="J530" s="6">
        <v>0</v>
      </c>
      <c r="K530" s="6">
        <v>0</v>
      </c>
      <c r="L530" s="6">
        <v>5.766</v>
      </c>
      <c r="M530" s="6">
        <v>5.766</v>
      </c>
      <c r="N530" s="6">
        <v>5.766</v>
      </c>
      <c r="O530" s="6">
        <v>5.766</v>
      </c>
      <c r="P530" s="6">
        <v>0</v>
      </c>
      <c r="Q530" s="4" t="s">
        <v>26</v>
      </c>
      <c r="R530" s="4">
        <v>0</v>
      </c>
      <c r="S530" s="6">
        <v>0</v>
      </c>
      <c r="T530" s="6">
        <v>24</v>
      </c>
      <c r="U530" s="6">
        <v>67</v>
      </c>
      <c r="V530" s="6">
        <f>IF(ISERROR(VLOOKUP($S$530,'TAR FIN'!$A$1:$O$100,15,0)),0,VLOOKUP($S$530,'TAR FIN'!$A$1:$O$100,15,0))</f>
        <v>0</v>
      </c>
      <c r="W530" s="6">
        <f>IF(ISERROR(VLOOKUP($T$530,'TAR FIN'!$A$1:$O$100,15,0)),0,VLOOKUP($T$530,'TAR FIN'!$A$1:$O$100,15,0))</f>
        <v>943.81</v>
      </c>
      <c r="X530" s="6">
        <f>IF(ISERROR(VLOOKUP($U$530,'TAR FIN'!$A$1:$O$100,15,0)),0,VLOOKUP($U$530,'TAR FIN'!$A$1:$O$100,15,0))</f>
        <v>366.6</v>
      </c>
      <c r="Y530" s="6"/>
      <c r="Z530" s="6">
        <f ca="1">('TUSD BE'!$AM$21+'TUSD BF'!$AM$21+'TUSD CVA'!$AM$21)*1</f>
        <v>928.87102242938545</v>
      </c>
      <c r="AA530" s="6">
        <f>('TE BE'!$AA$7+'TE BF'!$AA$7+'TE CVA'!$AA$7)*1</f>
        <v>385.46556634281501</v>
      </c>
      <c r="AB530" s="6">
        <f>$K$530*$V$530</f>
        <v>0</v>
      </c>
      <c r="AC530" s="6">
        <f>$M$530*$W$530</f>
        <v>5442.00846</v>
      </c>
      <c r="AD530" s="6">
        <f>$O$530*$X$530</f>
        <v>2113.8156000000004</v>
      </c>
      <c r="AE530" s="6">
        <f>$K$530*$Y$530</f>
        <v>0</v>
      </c>
      <c r="AF530" s="6">
        <f ca="1">$M$530*$Z$530</f>
        <v>5355.8703153278366</v>
      </c>
      <c r="AG530" s="6">
        <f>$O$530*$AA$530</f>
        <v>2222.5944555326714</v>
      </c>
    </row>
    <row r="531" spans="1:33" ht="11.25" customHeight="1" x14ac:dyDescent="0.25">
      <c r="A531" s="4" t="s">
        <v>21</v>
      </c>
      <c r="B531" s="4" t="s">
        <v>39</v>
      </c>
      <c r="C531" s="4" t="s">
        <v>41</v>
      </c>
      <c r="D531" s="4" t="s">
        <v>38</v>
      </c>
      <c r="E531" s="4" t="s">
        <v>25</v>
      </c>
      <c r="F531" s="4" t="s">
        <v>25</v>
      </c>
      <c r="G531" s="4" t="s">
        <v>25</v>
      </c>
      <c r="H531" s="4" t="s">
        <v>34</v>
      </c>
      <c r="I531" s="5">
        <v>44440</v>
      </c>
      <c r="J531" s="6">
        <v>0</v>
      </c>
      <c r="K531" s="6">
        <v>0</v>
      </c>
      <c r="L531" s="6">
        <v>28.265999999999998</v>
      </c>
      <c r="M531" s="6">
        <v>28.265999999999998</v>
      </c>
      <c r="N531" s="6">
        <v>0</v>
      </c>
      <c r="O531" s="6">
        <v>0</v>
      </c>
      <c r="P531" s="6">
        <v>0</v>
      </c>
      <c r="Q531" s="4" t="s">
        <v>57</v>
      </c>
      <c r="R531" s="4">
        <v>0</v>
      </c>
      <c r="S531" s="6">
        <v>0</v>
      </c>
      <c r="T531" s="6">
        <v>24</v>
      </c>
      <c r="U531" s="6">
        <v>0</v>
      </c>
      <c r="V531" s="6">
        <f>IF(ISERROR(VLOOKUP($S$531,'TAR FIN'!$A$1:$O$100,15,0)),0,VLOOKUP($S$531,'TAR FIN'!$A$1:$O$100,15,0))</f>
        <v>0</v>
      </c>
      <c r="W531" s="6">
        <f>IF(ISERROR(VLOOKUP($T$531,'TAR FIN'!$A$1:$O$100,15,0)),0,VLOOKUP($T$531,'TAR FIN'!$A$1:$O$100,15,0))</f>
        <v>943.81</v>
      </c>
      <c r="X531" s="6">
        <f>IF(ISERROR(VLOOKUP($U$531,'TAR FIN'!$A$1:$O$100,15,0)),0,VLOOKUP($U$531,'TAR FIN'!$A$1:$O$100,15,0))</f>
        <v>0</v>
      </c>
      <c r="Y531" s="6"/>
      <c r="Z531" s="6">
        <f ca="1">('TUSD BE'!$AM$21+'TUSD BF'!$AM$21+'TUSD CVA'!$AM$21)*1</f>
        <v>928.87102242938545</v>
      </c>
      <c r="AA531" s="6"/>
      <c r="AB531" s="6">
        <f>$K$531*$V$531</f>
        <v>0</v>
      </c>
      <c r="AC531" s="6">
        <f>$M$531*$W$531</f>
        <v>26677.733459999996</v>
      </c>
      <c r="AD531" s="6">
        <f>$O$531*$X$531</f>
        <v>0</v>
      </c>
      <c r="AE531" s="6">
        <f>$K$531*$Y$531</f>
        <v>0</v>
      </c>
      <c r="AF531" s="6">
        <f ca="1">$M$531*$Z$531</f>
        <v>26255.468319989006</v>
      </c>
      <c r="AG531" s="6">
        <f>$O$531*$AA$531</f>
        <v>0</v>
      </c>
    </row>
    <row r="532" spans="1:33" ht="11.25" customHeight="1" x14ac:dyDescent="0.25">
      <c r="A532" s="4" t="s">
        <v>21</v>
      </c>
      <c r="B532" s="4" t="s">
        <v>39</v>
      </c>
      <c r="C532" s="4" t="s">
        <v>41</v>
      </c>
      <c r="D532" s="4" t="s">
        <v>38</v>
      </c>
      <c r="E532" s="4" t="s">
        <v>25</v>
      </c>
      <c r="F532" s="4" t="s">
        <v>25</v>
      </c>
      <c r="G532" s="4" t="s">
        <v>25</v>
      </c>
      <c r="H532" s="4" t="s">
        <v>34</v>
      </c>
      <c r="I532" s="5">
        <v>44470</v>
      </c>
      <c r="J532" s="6">
        <v>0</v>
      </c>
      <c r="K532" s="6">
        <v>0</v>
      </c>
      <c r="L532" s="6">
        <v>103.271</v>
      </c>
      <c r="M532" s="6">
        <v>103.271</v>
      </c>
      <c r="N532" s="6">
        <v>103.271</v>
      </c>
      <c r="O532" s="6">
        <v>103.271</v>
      </c>
      <c r="P532" s="6">
        <v>0</v>
      </c>
      <c r="Q532" s="4" t="s">
        <v>26</v>
      </c>
      <c r="R532" s="4">
        <v>0</v>
      </c>
      <c r="S532" s="6">
        <v>0</v>
      </c>
      <c r="T532" s="6">
        <v>24</v>
      </c>
      <c r="U532" s="6">
        <v>67</v>
      </c>
      <c r="V532" s="6">
        <f>IF(ISERROR(VLOOKUP($S$532,'TAR FIN'!$A$1:$O$100,15,0)),0,VLOOKUP($S$532,'TAR FIN'!$A$1:$O$100,15,0))</f>
        <v>0</v>
      </c>
      <c r="W532" s="6">
        <f>IF(ISERROR(VLOOKUP($T$532,'TAR FIN'!$A$1:$O$100,15,0)),0,VLOOKUP($T$532,'TAR FIN'!$A$1:$O$100,15,0))</f>
        <v>943.81</v>
      </c>
      <c r="X532" s="6">
        <f>IF(ISERROR(VLOOKUP($U$532,'TAR FIN'!$A$1:$O$100,15,0)),0,VLOOKUP($U$532,'TAR FIN'!$A$1:$O$100,15,0))</f>
        <v>366.6</v>
      </c>
      <c r="Y532" s="6"/>
      <c r="Z532" s="6">
        <f ca="1">('TUSD BE'!$AM$21+'TUSD BF'!$AM$21+'TUSD CVA'!$AM$21)*1</f>
        <v>928.87102242938545</v>
      </c>
      <c r="AA532" s="6">
        <f>('TE BE'!$AA$7+'TE BF'!$AA$7+'TE CVA'!$AA$7)*1</f>
        <v>385.46556634281501</v>
      </c>
      <c r="AB532" s="6">
        <f>$K$532*$V$532</f>
        <v>0</v>
      </c>
      <c r="AC532" s="6">
        <f>$M$532*$W$532</f>
        <v>97468.202509999988</v>
      </c>
      <c r="AD532" s="6">
        <f>$O$532*$X$532</f>
        <v>37859.1486</v>
      </c>
      <c r="AE532" s="6">
        <f>$K$532*$Y$532</f>
        <v>0</v>
      </c>
      <c r="AF532" s="6">
        <f ca="1">$M$532*$Z$532</f>
        <v>95925.439357305062</v>
      </c>
      <c r="AG532" s="6">
        <f>$O$532*$AA$532</f>
        <v>39807.414501788851</v>
      </c>
    </row>
    <row r="533" spans="1:33" ht="11.25" customHeight="1" x14ac:dyDescent="0.25">
      <c r="A533" s="4" t="s">
        <v>28</v>
      </c>
      <c r="B533" s="4" t="s">
        <v>39</v>
      </c>
      <c r="C533" s="4" t="s">
        <v>41</v>
      </c>
      <c r="D533" s="4" t="s">
        <v>38</v>
      </c>
      <c r="E533" s="4" t="s">
        <v>25</v>
      </c>
      <c r="F533" s="4" t="s">
        <v>25</v>
      </c>
      <c r="G533" s="4" t="s">
        <v>25</v>
      </c>
      <c r="H533" s="4" t="s">
        <v>34</v>
      </c>
      <c r="I533" s="5">
        <v>44470</v>
      </c>
      <c r="J533" s="6">
        <v>0</v>
      </c>
      <c r="K533" s="6">
        <v>0</v>
      </c>
      <c r="L533" s="6">
        <v>5.1769999999999996</v>
      </c>
      <c r="M533" s="6">
        <v>5.1769999999999996</v>
      </c>
      <c r="N533" s="6">
        <v>5.1769999999999996</v>
      </c>
      <c r="O533" s="6">
        <v>5.1769999999999996</v>
      </c>
      <c r="P533" s="6">
        <v>0</v>
      </c>
      <c r="Q533" s="4" t="s">
        <v>26</v>
      </c>
      <c r="R533" s="4">
        <v>0</v>
      </c>
      <c r="S533" s="6">
        <v>0</v>
      </c>
      <c r="T533" s="6">
        <v>24</v>
      </c>
      <c r="U533" s="6">
        <v>67</v>
      </c>
      <c r="V533" s="6">
        <f>IF(ISERROR(VLOOKUP($S$533,'TAR FIN'!$A$1:$O$100,15,0)),0,VLOOKUP($S$533,'TAR FIN'!$A$1:$O$100,15,0))</f>
        <v>0</v>
      </c>
      <c r="W533" s="6">
        <f>IF(ISERROR(VLOOKUP($T$533,'TAR FIN'!$A$1:$O$100,15,0)),0,VLOOKUP($T$533,'TAR FIN'!$A$1:$O$100,15,0))</f>
        <v>943.81</v>
      </c>
      <c r="X533" s="6">
        <f>IF(ISERROR(VLOOKUP($U$533,'TAR FIN'!$A$1:$O$100,15,0)),0,VLOOKUP($U$533,'TAR FIN'!$A$1:$O$100,15,0))</f>
        <v>366.6</v>
      </c>
      <c r="Y533" s="6"/>
      <c r="Z533" s="6">
        <f ca="1">('TUSD BE'!$AM$21+'TUSD BF'!$AM$21+'TUSD CVA'!$AM$21)*1</f>
        <v>928.87102242938545</v>
      </c>
      <c r="AA533" s="6">
        <f>('TE BE'!$AA$7+'TE BF'!$AA$7+'TE CVA'!$AA$7)*1</f>
        <v>385.46556634281501</v>
      </c>
      <c r="AB533" s="6">
        <f>$K$533*$V$533</f>
        <v>0</v>
      </c>
      <c r="AC533" s="6">
        <f>$M$533*$W$533</f>
        <v>4886.1043699999991</v>
      </c>
      <c r="AD533" s="6">
        <f>$O$533*$X$533</f>
        <v>1897.8881999999999</v>
      </c>
      <c r="AE533" s="6">
        <f>$K$533*$Y$533</f>
        <v>0</v>
      </c>
      <c r="AF533" s="6">
        <f ca="1">$M$533*$Z$533</f>
        <v>4808.765283116928</v>
      </c>
      <c r="AG533" s="6">
        <f>$O$533*$AA$533</f>
        <v>1995.5552369567531</v>
      </c>
    </row>
    <row r="534" spans="1:33" ht="11.25" customHeight="1" x14ac:dyDescent="0.25">
      <c r="A534" s="4" t="s">
        <v>21</v>
      </c>
      <c r="B534" s="4" t="s">
        <v>39</v>
      </c>
      <c r="C534" s="4" t="s">
        <v>41</v>
      </c>
      <c r="D534" s="4" t="s">
        <v>38</v>
      </c>
      <c r="E534" s="4" t="s">
        <v>25</v>
      </c>
      <c r="F534" s="4" t="s">
        <v>25</v>
      </c>
      <c r="G534" s="4" t="s">
        <v>25</v>
      </c>
      <c r="H534" s="4" t="s">
        <v>34</v>
      </c>
      <c r="I534" s="5">
        <v>44470</v>
      </c>
      <c r="J534" s="6">
        <v>0</v>
      </c>
      <c r="K534" s="6">
        <v>0</v>
      </c>
      <c r="L534" s="6">
        <v>31.84</v>
      </c>
      <c r="M534" s="6">
        <v>31.84</v>
      </c>
      <c r="N534" s="6">
        <v>0</v>
      </c>
      <c r="O534" s="6">
        <v>0</v>
      </c>
      <c r="P534" s="6">
        <v>0</v>
      </c>
      <c r="Q534" s="4" t="s">
        <v>57</v>
      </c>
      <c r="R534" s="4">
        <v>0</v>
      </c>
      <c r="S534" s="6">
        <v>0</v>
      </c>
      <c r="T534" s="6">
        <v>24</v>
      </c>
      <c r="U534" s="6">
        <v>0</v>
      </c>
      <c r="V534" s="6">
        <f>IF(ISERROR(VLOOKUP($S$534,'TAR FIN'!$A$1:$O$100,15,0)),0,VLOOKUP($S$534,'TAR FIN'!$A$1:$O$100,15,0))</f>
        <v>0</v>
      </c>
      <c r="W534" s="6">
        <f>IF(ISERROR(VLOOKUP($T$534,'TAR FIN'!$A$1:$O$100,15,0)),0,VLOOKUP($T$534,'TAR FIN'!$A$1:$O$100,15,0))</f>
        <v>943.81</v>
      </c>
      <c r="X534" s="6">
        <f>IF(ISERROR(VLOOKUP($U$534,'TAR FIN'!$A$1:$O$100,15,0)),0,VLOOKUP($U$534,'TAR FIN'!$A$1:$O$100,15,0))</f>
        <v>0</v>
      </c>
      <c r="Y534" s="6"/>
      <c r="Z534" s="6">
        <f ca="1">('TUSD BE'!$AM$21+'TUSD BF'!$AM$21+'TUSD CVA'!$AM$21)*1</f>
        <v>928.87102242938545</v>
      </c>
      <c r="AA534" s="6"/>
      <c r="AB534" s="6">
        <f>$K$534*$V$534</f>
        <v>0</v>
      </c>
      <c r="AC534" s="6">
        <f>$M$534*$W$534</f>
        <v>30050.910399999997</v>
      </c>
      <c r="AD534" s="6">
        <f>$O$534*$X$534</f>
        <v>0</v>
      </c>
      <c r="AE534" s="6">
        <f>$K$534*$Y$534</f>
        <v>0</v>
      </c>
      <c r="AF534" s="6">
        <f ca="1">$M$534*$Z$534</f>
        <v>29575.253354151631</v>
      </c>
      <c r="AG534" s="6">
        <f>$O$534*$AA$534</f>
        <v>0</v>
      </c>
    </row>
    <row r="535" spans="1:33" ht="11.25" customHeight="1" x14ac:dyDescent="0.25">
      <c r="A535" s="4" t="s">
        <v>21</v>
      </c>
      <c r="B535" s="4" t="s">
        <v>39</v>
      </c>
      <c r="C535" s="4" t="s">
        <v>41</v>
      </c>
      <c r="D535" s="4" t="s">
        <v>38</v>
      </c>
      <c r="E535" s="4" t="s">
        <v>25</v>
      </c>
      <c r="F535" s="4" t="s">
        <v>25</v>
      </c>
      <c r="G535" s="4" t="s">
        <v>25</v>
      </c>
      <c r="H535" s="4" t="s">
        <v>34</v>
      </c>
      <c r="I535" s="5">
        <v>44501</v>
      </c>
      <c r="J535" s="6">
        <v>0</v>
      </c>
      <c r="K535" s="6">
        <v>0</v>
      </c>
      <c r="L535" s="6">
        <v>115.804</v>
      </c>
      <c r="M535" s="6">
        <v>115.804</v>
      </c>
      <c r="N535" s="6">
        <v>115.804</v>
      </c>
      <c r="O535" s="6">
        <v>115.804</v>
      </c>
      <c r="P535" s="6">
        <v>0</v>
      </c>
      <c r="Q535" s="4" t="s">
        <v>26</v>
      </c>
      <c r="R535" s="4">
        <v>0</v>
      </c>
      <c r="S535" s="6">
        <v>0</v>
      </c>
      <c r="T535" s="6">
        <v>24</v>
      </c>
      <c r="U535" s="6">
        <v>67</v>
      </c>
      <c r="V535" s="6">
        <f>IF(ISERROR(VLOOKUP($S$535,'TAR FIN'!$A$1:$O$100,15,0)),0,VLOOKUP($S$535,'TAR FIN'!$A$1:$O$100,15,0))</f>
        <v>0</v>
      </c>
      <c r="W535" s="6">
        <f>IF(ISERROR(VLOOKUP($T$535,'TAR FIN'!$A$1:$O$100,15,0)),0,VLOOKUP($T$535,'TAR FIN'!$A$1:$O$100,15,0))</f>
        <v>943.81</v>
      </c>
      <c r="X535" s="6">
        <f>IF(ISERROR(VLOOKUP($U$535,'TAR FIN'!$A$1:$O$100,15,0)),0,VLOOKUP($U$535,'TAR FIN'!$A$1:$O$100,15,0))</f>
        <v>366.6</v>
      </c>
      <c r="Y535" s="6"/>
      <c r="Z535" s="6">
        <f ca="1">('TUSD BE'!$AM$21+'TUSD BF'!$AM$21+'TUSD CVA'!$AM$21)*1</f>
        <v>928.87102242938545</v>
      </c>
      <c r="AA535" s="6">
        <f>('TE BE'!$AA$7+'TE BF'!$AA$7+'TE CVA'!$AA$7)*1</f>
        <v>385.46556634281501</v>
      </c>
      <c r="AB535" s="6">
        <f>$K$535*$V$535</f>
        <v>0</v>
      </c>
      <c r="AC535" s="6">
        <f>$M$535*$W$535</f>
        <v>109296.97323999999</v>
      </c>
      <c r="AD535" s="6">
        <f>$O$535*$X$535</f>
        <v>42453.746400000004</v>
      </c>
      <c r="AE535" s="6">
        <f>$K$535*$Y$535</f>
        <v>0</v>
      </c>
      <c r="AF535" s="6">
        <f ca="1">$M$535*$Z$535</f>
        <v>107566.97988141255</v>
      </c>
      <c r="AG535" s="6">
        <f>$O$535*$AA$535</f>
        <v>44638.454444763353</v>
      </c>
    </row>
    <row r="536" spans="1:33" ht="11.25" customHeight="1" x14ac:dyDescent="0.25">
      <c r="A536" s="4" t="s">
        <v>28</v>
      </c>
      <c r="B536" s="4" t="s">
        <v>39</v>
      </c>
      <c r="C536" s="4" t="s">
        <v>41</v>
      </c>
      <c r="D536" s="4" t="s">
        <v>38</v>
      </c>
      <c r="E536" s="4" t="s">
        <v>25</v>
      </c>
      <c r="F536" s="4" t="s">
        <v>25</v>
      </c>
      <c r="G536" s="4" t="s">
        <v>25</v>
      </c>
      <c r="H536" s="4" t="s">
        <v>34</v>
      </c>
      <c r="I536" s="5">
        <v>44501</v>
      </c>
      <c r="J536" s="6">
        <v>0</v>
      </c>
      <c r="K536" s="6">
        <v>0</v>
      </c>
      <c r="L536" s="6">
        <v>5.4909999999999997</v>
      </c>
      <c r="M536" s="6">
        <v>5.4909999999999997</v>
      </c>
      <c r="N536" s="6">
        <v>5.4909999999999997</v>
      </c>
      <c r="O536" s="6">
        <v>5.4909999999999997</v>
      </c>
      <c r="P536" s="6">
        <v>0</v>
      </c>
      <c r="Q536" s="4" t="s">
        <v>26</v>
      </c>
      <c r="R536" s="4">
        <v>0</v>
      </c>
      <c r="S536" s="6">
        <v>0</v>
      </c>
      <c r="T536" s="6">
        <v>24</v>
      </c>
      <c r="U536" s="6">
        <v>67</v>
      </c>
      <c r="V536" s="6">
        <f>IF(ISERROR(VLOOKUP($S$536,'TAR FIN'!$A$1:$O$100,15,0)),0,VLOOKUP($S$536,'TAR FIN'!$A$1:$O$100,15,0))</f>
        <v>0</v>
      </c>
      <c r="W536" s="6">
        <f>IF(ISERROR(VLOOKUP($T$536,'TAR FIN'!$A$1:$O$100,15,0)),0,VLOOKUP($T$536,'TAR FIN'!$A$1:$O$100,15,0))</f>
        <v>943.81</v>
      </c>
      <c r="X536" s="6">
        <f>IF(ISERROR(VLOOKUP($U$536,'TAR FIN'!$A$1:$O$100,15,0)),0,VLOOKUP($U$536,'TAR FIN'!$A$1:$O$100,15,0))</f>
        <v>366.6</v>
      </c>
      <c r="Y536" s="6"/>
      <c r="Z536" s="6">
        <f ca="1">('TUSD BE'!$AM$21+'TUSD BF'!$AM$21+'TUSD CVA'!$AM$21)*1</f>
        <v>928.87102242938545</v>
      </c>
      <c r="AA536" s="6">
        <f>('TE BE'!$AA$7+'TE BF'!$AA$7+'TE CVA'!$AA$7)*1</f>
        <v>385.46556634281501</v>
      </c>
      <c r="AB536" s="6">
        <f>$K$536*$V$536</f>
        <v>0</v>
      </c>
      <c r="AC536" s="6">
        <f>$M$536*$W$536</f>
        <v>5182.4607099999994</v>
      </c>
      <c r="AD536" s="6">
        <f>$O$536*$X$536</f>
        <v>2013.0006000000001</v>
      </c>
      <c r="AE536" s="6">
        <f>$K$536*$Y$536</f>
        <v>0</v>
      </c>
      <c r="AF536" s="6">
        <f ca="1">$M$536*$Z$536</f>
        <v>5100.4307841597556</v>
      </c>
      <c r="AG536" s="6">
        <f>$O$536*$AA$536</f>
        <v>2116.591424788397</v>
      </c>
    </row>
    <row r="537" spans="1:33" ht="11.25" customHeight="1" x14ac:dyDescent="0.25">
      <c r="A537" s="4" t="s">
        <v>21</v>
      </c>
      <c r="B537" s="4" t="s">
        <v>39</v>
      </c>
      <c r="C537" s="4" t="s">
        <v>41</v>
      </c>
      <c r="D537" s="4" t="s">
        <v>38</v>
      </c>
      <c r="E537" s="4" t="s">
        <v>25</v>
      </c>
      <c r="F537" s="4" t="s">
        <v>25</v>
      </c>
      <c r="G537" s="4" t="s">
        <v>25</v>
      </c>
      <c r="H537" s="4" t="s">
        <v>34</v>
      </c>
      <c r="I537" s="5">
        <v>44501</v>
      </c>
      <c r="J537" s="6">
        <v>0</v>
      </c>
      <c r="K537" s="6">
        <v>0</v>
      </c>
      <c r="L537" s="6">
        <v>37.618000000000002</v>
      </c>
      <c r="M537" s="6">
        <v>37.618000000000002</v>
      </c>
      <c r="N537" s="6">
        <v>0</v>
      </c>
      <c r="O537" s="6">
        <v>0</v>
      </c>
      <c r="P537" s="6">
        <v>0</v>
      </c>
      <c r="Q537" s="4" t="s">
        <v>57</v>
      </c>
      <c r="R537" s="4">
        <v>0</v>
      </c>
      <c r="S537" s="6">
        <v>0</v>
      </c>
      <c r="T537" s="6">
        <v>24</v>
      </c>
      <c r="U537" s="6">
        <v>0</v>
      </c>
      <c r="V537" s="6">
        <f>IF(ISERROR(VLOOKUP($S$537,'TAR FIN'!$A$1:$O$100,15,0)),0,VLOOKUP($S$537,'TAR FIN'!$A$1:$O$100,15,0))</f>
        <v>0</v>
      </c>
      <c r="W537" s="6">
        <f>IF(ISERROR(VLOOKUP($T$537,'TAR FIN'!$A$1:$O$100,15,0)),0,VLOOKUP($T$537,'TAR FIN'!$A$1:$O$100,15,0))</f>
        <v>943.81</v>
      </c>
      <c r="X537" s="6">
        <f>IF(ISERROR(VLOOKUP($U$537,'TAR FIN'!$A$1:$O$100,15,0)),0,VLOOKUP($U$537,'TAR FIN'!$A$1:$O$100,15,0))</f>
        <v>0</v>
      </c>
      <c r="Y537" s="6"/>
      <c r="Z537" s="6">
        <f ca="1">('TUSD BE'!$AM$21+'TUSD BF'!$AM$21+'TUSD CVA'!$AM$21)*1</f>
        <v>928.87102242938545</v>
      </c>
      <c r="AA537" s="6"/>
      <c r="AB537" s="6">
        <f>$K$537*$V$537</f>
        <v>0</v>
      </c>
      <c r="AC537" s="6">
        <f>$M$537*$W$537</f>
        <v>35504.244579999999</v>
      </c>
      <c r="AD537" s="6">
        <f>$O$537*$X$537</f>
        <v>0</v>
      </c>
      <c r="AE537" s="6">
        <f>$K$537*$Y$537</f>
        <v>0</v>
      </c>
      <c r="AF537" s="6">
        <f ca="1">$M$537*$Z$537</f>
        <v>34942.270121748625</v>
      </c>
      <c r="AG537" s="6">
        <f>$O$537*$AA$537</f>
        <v>0</v>
      </c>
    </row>
    <row r="538" spans="1:33" ht="11.25" customHeight="1" x14ac:dyDescent="0.25">
      <c r="A538" s="4" t="s">
        <v>21</v>
      </c>
      <c r="B538" s="4" t="s">
        <v>39</v>
      </c>
      <c r="C538" s="4" t="s">
        <v>41</v>
      </c>
      <c r="D538" s="4" t="s">
        <v>38</v>
      </c>
      <c r="E538" s="4" t="s">
        <v>25</v>
      </c>
      <c r="F538" s="4" t="s">
        <v>25</v>
      </c>
      <c r="G538" s="4" t="s">
        <v>25</v>
      </c>
      <c r="H538" s="4" t="s">
        <v>34</v>
      </c>
      <c r="I538" s="5">
        <v>44531</v>
      </c>
      <c r="J538" s="6">
        <v>0</v>
      </c>
      <c r="K538" s="6">
        <v>0</v>
      </c>
      <c r="L538" s="6">
        <v>102.358</v>
      </c>
      <c r="M538" s="6">
        <v>102.358</v>
      </c>
      <c r="N538" s="6">
        <v>102.358</v>
      </c>
      <c r="O538" s="6">
        <v>102.358</v>
      </c>
      <c r="P538" s="6">
        <v>0</v>
      </c>
      <c r="Q538" s="4" t="s">
        <v>26</v>
      </c>
      <c r="R538" s="4">
        <v>0</v>
      </c>
      <c r="S538" s="6">
        <v>0</v>
      </c>
      <c r="T538" s="6">
        <v>24</v>
      </c>
      <c r="U538" s="6">
        <v>67</v>
      </c>
      <c r="V538" s="6">
        <f>IF(ISERROR(VLOOKUP($S$538,'TAR FIN'!$A$1:$O$100,15,0)),0,VLOOKUP($S$538,'TAR FIN'!$A$1:$O$100,15,0))</f>
        <v>0</v>
      </c>
      <c r="W538" s="6">
        <f>IF(ISERROR(VLOOKUP($T$538,'TAR FIN'!$A$1:$O$100,15,0)),0,VLOOKUP($T$538,'TAR FIN'!$A$1:$O$100,15,0))</f>
        <v>943.81</v>
      </c>
      <c r="X538" s="6">
        <f>IF(ISERROR(VLOOKUP($U$538,'TAR FIN'!$A$1:$O$100,15,0)),0,VLOOKUP($U$538,'TAR FIN'!$A$1:$O$100,15,0))</f>
        <v>366.6</v>
      </c>
      <c r="Y538" s="6"/>
      <c r="Z538" s="6">
        <f ca="1">('TUSD BE'!$AM$21+'TUSD BF'!$AM$21+'TUSD CVA'!$AM$21)*1</f>
        <v>928.87102242938545</v>
      </c>
      <c r="AA538" s="6">
        <f>('TE BE'!$AA$7+'TE BF'!$AA$7+'TE CVA'!$AA$7)*1</f>
        <v>385.46556634281501</v>
      </c>
      <c r="AB538" s="6">
        <f>$K$538*$V$538</f>
        <v>0</v>
      </c>
      <c r="AC538" s="6">
        <f>$M$538*$W$538</f>
        <v>96606.503979999994</v>
      </c>
      <c r="AD538" s="6">
        <f>$O$538*$X$538</f>
        <v>37524.442800000004</v>
      </c>
      <c r="AE538" s="6">
        <f>$K$538*$Y$538</f>
        <v>0</v>
      </c>
      <c r="AF538" s="6">
        <f ca="1">$M$538*$Z$538</f>
        <v>95077.380113827036</v>
      </c>
      <c r="AG538" s="6">
        <f>$O$538*$AA$538</f>
        <v>39455.48443971786</v>
      </c>
    </row>
    <row r="539" spans="1:33" ht="11.25" customHeight="1" x14ac:dyDescent="0.25">
      <c r="A539" s="4" t="s">
        <v>28</v>
      </c>
      <c r="B539" s="4" t="s">
        <v>39</v>
      </c>
      <c r="C539" s="4" t="s">
        <v>41</v>
      </c>
      <c r="D539" s="4" t="s">
        <v>38</v>
      </c>
      <c r="E539" s="4" t="s">
        <v>25</v>
      </c>
      <c r="F539" s="4" t="s">
        <v>25</v>
      </c>
      <c r="G539" s="4" t="s">
        <v>25</v>
      </c>
      <c r="H539" s="4" t="s">
        <v>34</v>
      </c>
      <c r="I539" s="5">
        <v>44531</v>
      </c>
      <c r="J539" s="6">
        <v>0</v>
      </c>
      <c r="K539" s="6">
        <v>0</v>
      </c>
      <c r="L539" s="6">
        <v>5.9349999999999996</v>
      </c>
      <c r="M539" s="6">
        <v>5.9349999999999996</v>
      </c>
      <c r="N539" s="6">
        <v>5.9349999999999996</v>
      </c>
      <c r="O539" s="6">
        <v>5.9349999999999996</v>
      </c>
      <c r="P539" s="6">
        <v>0</v>
      </c>
      <c r="Q539" s="4" t="s">
        <v>26</v>
      </c>
      <c r="R539" s="4">
        <v>0</v>
      </c>
      <c r="S539" s="6">
        <v>0</v>
      </c>
      <c r="T539" s="6">
        <v>24</v>
      </c>
      <c r="U539" s="6">
        <v>67</v>
      </c>
      <c r="V539" s="6">
        <f>IF(ISERROR(VLOOKUP($S$539,'TAR FIN'!$A$1:$O$100,15,0)),0,VLOOKUP($S$539,'TAR FIN'!$A$1:$O$100,15,0))</f>
        <v>0</v>
      </c>
      <c r="W539" s="6">
        <f>IF(ISERROR(VLOOKUP($T$539,'TAR FIN'!$A$1:$O$100,15,0)),0,VLOOKUP($T$539,'TAR FIN'!$A$1:$O$100,15,0))</f>
        <v>943.81</v>
      </c>
      <c r="X539" s="6">
        <f>IF(ISERROR(VLOOKUP($U$539,'TAR FIN'!$A$1:$O$100,15,0)),0,VLOOKUP($U$539,'TAR FIN'!$A$1:$O$100,15,0))</f>
        <v>366.6</v>
      </c>
      <c r="Y539" s="6"/>
      <c r="Z539" s="6">
        <f ca="1">('TUSD BE'!$AM$21+'TUSD BF'!$AM$21+'TUSD CVA'!$AM$21)*1</f>
        <v>928.87102242938545</v>
      </c>
      <c r="AA539" s="6">
        <f>('TE BE'!$AA$7+'TE BF'!$AA$7+'TE CVA'!$AA$7)*1</f>
        <v>385.46556634281501</v>
      </c>
      <c r="AB539" s="6">
        <f>$K$539*$V$539</f>
        <v>0</v>
      </c>
      <c r="AC539" s="6">
        <f>$M$539*$W$539</f>
        <v>5601.5123499999991</v>
      </c>
      <c r="AD539" s="6">
        <f>$O$539*$X$539</f>
        <v>2175.7710000000002</v>
      </c>
      <c r="AE539" s="6">
        <f>$K$539*$Y$539</f>
        <v>0</v>
      </c>
      <c r="AF539" s="6">
        <f ca="1">$M$539*$Z$539</f>
        <v>5512.8495181184026</v>
      </c>
      <c r="AG539" s="6">
        <f>$O$539*$AA$539</f>
        <v>2287.7381362446067</v>
      </c>
    </row>
    <row r="540" spans="1:33" ht="11.25" customHeight="1" x14ac:dyDescent="0.25">
      <c r="A540" s="4" t="s">
        <v>21</v>
      </c>
      <c r="B540" s="4" t="s">
        <v>39</v>
      </c>
      <c r="C540" s="4" t="s">
        <v>41</v>
      </c>
      <c r="D540" s="4" t="s">
        <v>38</v>
      </c>
      <c r="E540" s="4" t="s">
        <v>25</v>
      </c>
      <c r="F540" s="4" t="s">
        <v>25</v>
      </c>
      <c r="G540" s="4" t="s">
        <v>25</v>
      </c>
      <c r="H540" s="4" t="s">
        <v>34</v>
      </c>
      <c r="I540" s="5">
        <v>44531</v>
      </c>
      <c r="J540" s="6">
        <v>0</v>
      </c>
      <c r="K540" s="6">
        <v>0</v>
      </c>
      <c r="L540" s="6">
        <v>40.149000000000001</v>
      </c>
      <c r="M540" s="6">
        <v>40.149000000000001</v>
      </c>
      <c r="N540" s="6">
        <v>0</v>
      </c>
      <c r="O540" s="6">
        <v>0</v>
      </c>
      <c r="P540" s="6">
        <v>0</v>
      </c>
      <c r="Q540" s="4" t="s">
        <v>57</v>
      </c>
      <c r="R540" s="4">
        <v>0</v>
      </c>
      <c r="S540" s="6">
        <v>0</v>
      </c>
      <c r="T540" s="6">
        <v>24</v>
      </c>
      <c r="U540" s="6">
        <v>0</v>
      </c>
      <c r="V540" s="6">
        <f>IF(ISERROR(VLOOKUP($S$540,'TAR FIN'!$A$1:$O$100,15,0)),0,VLOOKUP($S$540,'TAR FIN'!$A$1:$O$100,15,0))</f>
        <v>0</v>
      </c>
      <c r="W540" s="6">
        <f>IF(ISERROR(VLOOKUP($T$540,'TAR FIN'!$A$1:$O$100,15,0)),0,VLOOKUP($T$540,'TAR FIN'!$A$1:$O$100,15,0))</f>
        <v>943.81</v>
      </c>
      <c r="X540" s="6">
        <f>IF(ISERROR(VLOOKUP($U$540,'TAR FIN'!$A$1:$O$100,15,0)),0,VLOOKUP($U$540,'TAR FIN'!$A$1:$O$100,15,0))</f>
        <v>0</v>
      </c>
      <c r="Y540" s="6"/>
      <c r="Z540" s="6">
        <f ca="1">('TUSD BE'!$AM$21+'TUSD BF'!$AM$21+'TUSD CVA'!$AM$21)*1</f>
        <v>928.87102242938545</v>
      </c>
      <c r="AA540" s="6"/>
      <c r="AB540" s="6">
        <f>$K$540*$V$540</f>
        <v>0</v>
      </c>
      <c r="AC540" s="6">
        <f>$M$540*$W$540</f>
        <v>37893.027689999995</v>
      </c>
      <c r="AD540" s="6">
        <f>$O$540*$X$540</f>
        <v>0</v>
      </c>
      <c r="AE540" s="6">
        <f>$K$540*$Y$540</f>
        <v>0</v>
      </c>
      <c r="AF540" s="6">
        <f ca="1">$M$540*$Z$540</f>
        <v>37293.242679517396</v>
      </c>
      <c r="AG540" s="6">
        <f>$O$540*$AA$540</f>
        <v>0</v>
      </c>
    </row>
    <row r="541" spans="1:33" ht="11.25" customHeight="1" x14ac:dyDescent="0.25">
      <c r="A541" s="4" t="s">
        <v>55</v>
      </c>
      <c r="B541" s="4" t="s">
        <v>39</v>
      </c>
      <c r="C541" s="4" t="s">
        <v>41</v>
      </c>
      <c r="D541" s="4" t="s">
        <v>38</v>
      </c>
      <c r="E541" s="4" t="s">
        <v>25</v>
      </c>
      <c r="F541" s="4" t="s">
        <v>25</v>
      </c>
      <c r="G541" s="4" t="s">
        <v>25</v>
      </c>
      <c r="H541" s="4" t="s">
        <v>34</v>
      </c>
      <c r="I541" s="5">
        <v>44562</v>
      </c>
      <c r="J541" s="6">
        <v>0</v>
      </c>
      <c r="K541" s="6">
        <v>0</v>
      </c>
      <c r="L541" s="6">
        <v>102.358</v>
      </c>
      <c r="M541" s="6">
        <v>102.358</v>
      </c>
      <c r="N541" s="6">
        <v>102.358</v>
      </c>
      <c r="O541" s="6">
        <v>102.358</v>
      </c>
      <c r="P541" s="6">
        <v>0</v>
      </c>
      <c r="Q541" s="4" t="s">
        <v>26</v>
      </c>
      <c r="R541" s="4">
        <v>0</v>
      </c>
      <c r="S541" s="6">
        <v>0</v>
      </c>
      <c r="T541" s="6">
        <v>24</v>
      </c>
      <c r="U541" s="6">
        <v>67</v>
      </c>
      <c r="V541" s="6">
        <f>IF(ISERROR(VLOOKUP($S$541,'TAR FIN'!$A$1:$O$100,15,0)),0,VLOOKUP($S$541,'TAR FIN'!$A$1:$O$100,15,0))</f>
        <v>0</v>
      </c>
      <c r="W541" s="6">
        <f>IF(ISERROR(VLOOKUP($T$541,'TAR FIN'!$A$1:$O$100,15,0)),0,VLOOKUP($T$541,'TAR FIN'!$A$1:$O$100,15,0))</f>
        <v>943.81</v>
      </c>
      <c r="X541" s="6">
        <f>IF(ISERROR(VLOOKUP($U$541,'TAR FIN'!$A$1:$O$100,15,0)),0,VLOOKUP($U$541,'TAR FIN'!$A$1:$O$100,15,0))</f>
        <v>366.6</v>
      </c>
      <c r="Y541" s="6"/>
      <c r="Z541" s="6">
        <f ca="1">('TUSD BE'!$AM$21+'TUSD BF'!$AM$21+'TUSD CVA'!$AM$21)*1</f>
        <v>928.87102242938545</v>
      </c>
      <c r="AA541" s="6">
        <f>('TE BE'!$AA$7+'TE BF'!$AA$7+'TE CVA'!$AA$7)*1</f>
        <v>385.46556634281501</v>
      </c>
      <c r="AB541" s="6">
        <f>$K$541*$V$541</f>
        <v>0</v>
      </c>
      <c r="AC541" s="6">
        <f>$M$541*$W$541</f>
        <v>96606.503979999994</v>
      </c>
      <c r="AD541" s="6">
        <f>$O$541*$X$541</f>
        <v>37524.442800000004</v>
      </c>
      <c r="AE541" s="6">
        <f>$K$541*$Y$541</f>
        <v>0</v>
      </c>
      <c r="AF541" s="6">
        <f ca="1">$M$541*$Z$541</f>
        <v>95077.380113827036</v>
      </c>
      <c r="AG541" s="6">
        <f>$O$541*$AA$541</f>
        <v>39455.48443971786</v>
      </c>
    </row>
    <row r="542" spans="1:33" ht="11.25" customHeight="1" x14ac:dyDescent="0.25">
      <c r="A542" s="4" t="s">
        <v>55</v>
      </c>
      <c r="B542" s="4" t="s">
        <v>39</v>
      </c>
      <c r="C542" s="4" t="s">
        <v>41</v>
      </c>
      <c r="D542" s="4" t="s">
        <v>38</v>
      </c>
      <c r="E542" s="4" t="s">
        <v>25</v>
      </c>
      <c r="F542" s="4" t="s">
        <v>25</v>
      </c>
      <c r="G542" s="4" t="s">
        <v>25</v>
      </c>
      <c r="H542" s="4" t="s">
        <v>34</v>
      </c>
      <c r="I542" s="5">
        <v>44562</v>
      </c>
      <c r="J542" s="6">
        <v>0</v>
      </c>
      <c r="K542" s="6">
        <v>0</v>
      </c>
      <c r="L542" s="6">
        <v>5.9349999999999996</v>
      </c>
      <c r="M542" s="6">
        <v>5.9349999999999996</v>
      </c>
      <c r="N542" s="6">
        <v>5.9349999999999996</v>
      </c>
      <c r="O542" s="6">
        <v>5.9349999999999996</v>
      </c>
      <c r="P542" s="6">
        <v>0</v>
      </c>
      <c r="Q542" s="4" t="s">
        <v>26</v>
      </c>
      <c r="R542" s="4">
        <v>0</v>
      </c>
      <c r="S542" s="6">
        <v>0</v>
      </c>
      <c r="T542" s="6">
        <v>24</v>
      </c>
      <c r="U542" s="6">
        <v>67</v>
      </c>
      <c r="V542" s="6">
        <f>IF(ISERROR(VLOOKUP($S$542,'TAR FIN'!$A$1:$O$100,15,0)),0,VLOOKUP($S$542,'TAR FIN'!$A$1:$O$100,15,0))</f>
        <v>0</v>
      </c>
      <c r="W542" s="6">
        <f>IF(ISERROR(VLOOKUP($T$542,'TAR FIN'!$A$1:$O$100,15,0)),0,VLOOKUP($T$542,'TAR FIN'!$A$1:$O$100,15,0))</f>
        <v>943.81</v>
      </c>
      <c r="X542" s="6">
        <f>IF(ISERROR(VLOOKUP($U$542,'TAR FIN'!$A$1:$O$100,15,0)),0,VLOOKUP($U$542,'TAR FIN'!$A$1:$O$100,15,0))</f>
        <v>366.6</v>
      </c>
      <c r="Y542" s="6"/>
      <c r="Z542" s="6">
        <f ca="1">('TUSD BE'!$AM$21+'TUSD BF'!$AM$21+'TUSD CVA'!$AM$21)*1</f>
        <v>928.87102242938545</v>
      </c>
      <c r="AA542" s="6">
        <f>('TE BE'!$AA$7+'TE BF'!$AA$7+'TE CVA'!$AA$7)*1</f>
        <v>385.46556634281501</v>
      </c>
      <c r="AB542" s="6">
        <f>$K$542*$V$542</f>
        <v>0</v>
      </c>
      <c r="AC542" s="6">
        <f>$M$542*$W$542</f>
        <v>5601.5123499999991</v>
      </c>
      <c r="AD542" s="6">
        <f>$O$542*$X$542</f>
        <v>2175.7710000000002</v>
      </c>
      <c r="AE542" s="6">
        <f>$K$542*$Y$542</f>
        <v>0</v>
      </c>
      <c r="AF542" s="6">
        <f ca="1">$M$542*$Z$542</f>
        <v>5512.8495181184026</v>
      </c>
      <c r="AG542" s="6">
        <f>$O$542*$AA$542</f>
        <v>2287.7381362446067</v>
      </c>
    </row>
    <row r="543" spans="1:33" ht="11.25" customHeight="1" x14ac:dyDescent="0.25">
      <c r="A543" s="4" t="s">
        <v>55</v>
      </c>
      <c r="B543" s="4" t="s">
        <v>39</v>
      </c>
      <c r="C543" s="4" t="s">
        <v>41</v>
      </c>
      <c r="D543" s="4" t="s">
        <v>38</v>
      </c>
      <c r="E543" s="4" t="s">
        <v>25</v>
      </c>
      <c r="F543" s="4" t="s">
        <v>25</v>
      </c>
      <c r="G543" s="4" t="s">
        <v>25</v>
      </c>
      <c r="H543" s="4" t="s">
        <v>34</v>
      </c>
      <c r="I543" s="5">
        <v>44562</v>
      </c>
      <c r="J543" s="6">
        <v>0</v>
      </c>
      <c r="K543" s="6">
        <v>0</v>
      </c>
      <c r="L543" s="6">
        <v>40.149000000000001</v>
      </c>
      <c r="M543" s="6">
        <v>40.149000000000001</v>
      </c>
      <c r="N543" s="6">
        <v>0</v>
      </c>
      <c r="O543" s="6">
        <v>0</v>
      </c>
      <c r="P543" s="6">
        <v>0</v>
      </c>
      <c r="Q543" s="4" t="s">
        <v>57</v>
      </c>
      <c r="R543" s="4">
        <v>0</v>
      </c>
      <c r="S543" s="6">
        <v>0</v>
      </c>
      <c r="T543" s="6">
        <v>24</v>
      </c>
      <c r="U543" s="6">
        <v>0</v>
      </c>
      <c r="V543" s="6">
        <f>IF(ISERROR(VLOOKUP($S$543,'TAR FIN'!$A$1:$O$100,15,0)),0,VLOOKUP($S$543,'TAR FIN'!$A$1:$O$100,15,0))</f>
        <v>0</v>
      </c>
      <c r="W543" s="6">
        <f>IF(ISERROR(VLOOKUP($T$543,'TAR FIN'!$A$1:$O$100,15,0)),0,VLOOKUP($T$543,'TAR FIN'!$A$1:$O$100,15,0))</f>
        <v>943.81</v>
      </c>
      <c r="X543" s="6">
        <f>IF(ISERROR(VLOOKUP($U$543,'TAR FIN'!$A$1:$O$100,15,0)),0,VLOOKUP($U$543,'TAR FIN'!$A$1:$O$100,15,0))</f>
        <v>0</v>
      </c>
      <c r="Y543" s="6"/>
      <c r="Z543" s="6">
        <f ca="1">('TUSD BE'!$AM$21+'TUSD BF'!$AM$21+'TUSD CVA'!$AM$21)*1</f>
        <v>928.87102242938545</v>
      </c>
      <c r="AA543" s="6"/>
      <c r="AB543" s="6">
        <f>$K$543*$V$543</f>
        <v>0</v>
      </c>
      <c r="AC543" s="6">
        <f>$M$543*$W$543</f>
        <v>37893.027689999995</v>
      </c>
      <c r="AD543" s="6">
        <f>$O$543*$X$543</f>
        <v>0</v>
      </c>
      <c r="AE543" s="6">
        <f>$K$543*$Y$543</f>
        <v>0</v>
      </c>
      <c r="AF543" s="6">
        <f ca="1">$M$543*$Z$543</f>
        <v>37293.242679517396</v>
      </c>
      <c r="AG543" s="6">
        <f>$O$543*$AA$543</f>
        <v>0</v>
      </c>
    </row>
    <row r="544" spans="1:33" ht="11.25" customHeight="1" x14ac:dyDescent="0.25">
      <c r="A544" s="4" t="s">
        <v>21</v>
      </c>
      <c r="B544" s="4" t="s">
        <v>39</v>
      </c>
      <c r="C544" s="4" t="s">
        <v>41</v>
      </c>
      <c r="D544" s="4" t="s">
        <v>45</v>
      </c>
      <c r="E544" s="4" t="s">
        <v>25</v>
      </c>
      <c r="F544" s="4" t="s">
        <v>25</v>
      </c>
      <c r="G544" s="4" t="s">
        <v>25</v>
      </c>
      <c r="H544" s="4" t="s">
        <v>35</v>
      </c>
      <c r="I544" s="5">
        <v>44228</v>
      </c>
      <c r="J544" s="6">
        <v>0</v>
      </c>
      <c r="K544" s="6">
        <v>0</v>
      </c>
      <c r="L544" s="6">
        <v>1369.6880000000001</v>
      </c>
      <c r="M544" s="6">
        <v>1369.6880000000001</v>
      </c>
      <c r="N544" s="6">
        <v>1369.6880000000001</v>
      </c>
      <c r="O544" s="6">
        <v>1369.6880000000001</v>
      </c>
      <c r="P544" s="6">
        <v>0</v>
      </c>
      <c r="Q544" s="4" t="s">
        <v>26</v>
      </c>
      <c r="R544" s="4">
        <v>0</v>
      </c>
      <c r="S544" s="6">
        <v>0</v>
      </c>
      <c r="T544" s="6">
        <v>25</v>
      </c>
      <c r="U544" s="6">
        <v>68</v>
      </c>
      <c r="V544" s="6">
        <f>IF(ISERROR(VLOOKUP($S$544,'TAR FIN'!$A$1:$O$100,15,0)),0,VLOOKUP($S$544,'TAR FIN'!$A$1:$O$100,15,0))</f>
        <v>0</v>
      </c>
      <c r="W544" s="6">
        <f>IF(ISERROR(VLOOKUP($T$544,'TAR FIN'!$A$1:$O$100,15,0)),0,VLOOKUP($T$544,'TAR FIN'!$A$1:$O$100,15,0))</f>
        <v>43.65</v>
      </c>
      <c r="X544" s="6">
        <f>IF(ISERROR(VLOOKUP($U$544,'TAR FIN'!$A$1:$O$100,15,0)),0,VLOOKUP($U$544,'TAR FIN'!$A$1:$O$100,15,0))</f>
        <v>219.03</v>
      </c>
      <c r="Y544" s="6"/>
      <c r="Z544" s="6">
        <f ca="1">('TUSD BE'!$AM$22+'TUSD BF'!$AM$22+'TUSD CVA'!$AM$22)*1</f>
        <v>49.78704102185678</v>
      </c>
      <c r="AA544" s="6">
        <f>('TE BE'!$AA$8+'TE BF'!$AA$8+'TE CVA'!$AA$8)*1</f>
        <v>238.55077890362423</v>
      </c>
      <c r="AB544" s="6">
        <f>$K$544*$V$544</f>
        <v>0</v>
      </c>
      <c r="AC544" s="6">
        <f>$M$544*$W$544</f>
        <v>59786.881200000003</v>
      </c>
      <c r="AD544" s="6">
        <f>$O$544*$X$544</f>
        <v>300002.76264000003</v>
      </c>
      <c r="AE544" s="6">
        <f>$K$544*$Y$544</f>
        <v>0</v>
      </c>
      <c r="AF544" s="6">
        <f ca="1">$M$544*$Z$544</f>
        <v>68192.712643144972</v>
      </c>
      <c r="AG544" s="6">
        <f>$O$544*$AA$544</f>
        <v>326740.13925494731</v>
      </c>
    </row>
    <row r="545" spans="1:33" ht="11.25" customHeight="1" x14ac:dyDescent="0.25">
      <c r="A545" s="4" t="s">
        <v>28</v>
      </c>
      <c r="B545" s="4" t="s">
        <v>39</v>
      </c>
      <c r="C545" s="4" t="s">
        <v>41</v>
      </c>
      <c r="D545" s="4" t="s">
        <v>45</v>
      </c>
      <c r="E545" s="4" t="s">
        <v>25</v>
      </c>
      <c r="F545" s="4" t="s">
        <v>25</v>
      </c>
      <c r="G545" s="4" t="s">
        <v>25</v>
      </c>
      <c r="H545" s="4" t="s">
        <v>35</v>
      </c>
      <c r="I545" s="5">
        <v>44228</v>
      </c>
      <c r="J545" s="6">
        <v>0</v>
      </c>
      <c r="K545" s="6">
        <v>0</v>
      </c>
      <c r="L545" s="6">
        <v>5.32</v>
      </c>
      <c r="M545" s="6">
        <v>5.32</v>
      </c>
      <c r="N545" s="6">
        <v>5.32</v>
      </c>
      <c r="O545" s="6">
        <v>5.32</v>
      </c>
      <c r="P545" s="6">
        <v>0</v>
      </c>
      <c r="Q545" s="4" t="s">
        <v>26</v>
      </c>
      <c r="R545" s="4">
        <v>0</v>
      </c>
      <c r="S545" s="6">
        <v>0</v>
      </c>
      <c r="T545" s="6">
        <v>25</v>
      </c>
      <c r="U545" s="6">
        <v>68</v>
      </c>
      <c r="V545" s="6">
        <f>IF(ISERROR(VLOOKUP($S$545,'TAR FIN'!$A$1:$O$100,15,0)),0,VLOOKUP($S$545,'TAR FIN'!$A$1:$O$100,15,0))</f>
        <v>0</v>
      </c>
      <c r="W545" s="6">
        <f>IF(ISERROR(VLOOKUP($T$545,'TAR FIN'!$A$1:$O$100,15,0)),0,VLOOKUP($T$545,'TAR FIN'!$A$1:$O$100,15,0))</f>
        <v>43.65</v>
      </c>
      <c r="X545" s="6">
        <f>IF(ISERROR(VLOOKUP($U$545,'TAR FIN'!$A$1:$O$100,15,0)),0,VLOOKUP($U$545,'TAR FIN'!$A$1:$O$100,15,0))</f>
        <v>219.03</v>
      </c>
      <c r="Y545" s="6"/>
      <c r="Z545" s="6">
        <f ca="1">('TUSD BE'!$AM$22+'TUSD BF'!$AM$22+'TUSD CVA'!$AM$22)*1</f>
        <v>49.78704102185678</v>
      </c>
      <c r="AA545" s="6">
        <f>('TE BE'!$AA$8+'TE BF'!$AA$8+'TE CVA'!$AA$8)*1</f>
        <v>238.55077890362423</v>
      </c>
      <c r="AB545" s="6">
        <f>$K$545*$V$545</f>
        <v>0</v>
      </c>
      <c r="AC545" s="6">
        <f>$M$545*$W$545</f>
        <v>232.21800000000002</v>
      </c>
      <c r="AD545" s="6">
        <f>$O$545*$X$545</f>
        <v>1165.2396000000001</v>
      </c>
      <c r="AE545" s="6">
        <f>$K$545*$Y$545</f>
        <v>0</v>
      </c>
      <c r="AF545" s="6">
        <f ca="1">$M$545*$Z$545</f>
        <v>264.86705823627807</v>
      </c>
      <c r="AG545" s="6">
        <f>$O$545*$AA$545</f>
        <v>1269.090143767281</v>
      </c>
    </row>
    <row r="546" spans="1:33" ht="11.25" customHeight="1" x14ac:dyDescent="0.25">
      <c r="A546" s="4" t="s">
        <v>21</v>
      </c>
      <c r="B546" s="4" t="s">
        <v>39</v>
      </c>
      <c r="C546" s="4" t="s">
        <v>41</v>
      </c>
      <c r="D546" s="4" t="s">
        <v>45</v>
      </c>
      <c r="E546" s="4" t="s">
        <v>25</v>
      </c>
      <c r="F546" s="4" t="s">
        <v>25</v>
      </c>
      <c r="G546" s="4" t="s">
        <v>25</v>
      </c>
      <c r="H546" s="4" t="s">
        <v>35</v>
      </c>
      <c r="I546" s="5">
        <v>44256</v>
      </c>
      <c r="J546" s="6">
        <v>0</v>
      </c>
      <c r="K546" s="6">
        <v>0</v>
      </c>
      <c r="L546" s="6">
        <v>1424.875</v>
      </c>
      <c r="M546" s="6">
        <v>1424.875</v>
      </c>
      <c r="N546" s="6">
        <v>1424.875</v>
      </c>
      <c r="O546" s="6">
        <v>1424.875</v>
      </c>
      <c r="P546" s="6">
        <v>0</v>
      </c>
      <c r="Q546" s="4" t="s">
        <v>26</v>
      </c>
      <c r="R546" s="4">
        <v>0</v>
      </c>
      <c r="S546" s="6">
        <v>0</v>
      </c>
      <c r="T546" s="6">
        <v>25</v>
      </c>
      <c r="U546" s="6">
        <v>68</v>
      </c>
      <c r="V546" s="6">
        <f>IF(ISERROR(VLOOKUP($S$546,'TAR FIN'!$A$1:$O$100,15,0)),0,VLOOKUP($S$546,'TAR FIN'!$A$1:$O$100,15,0))</f>
        <v>0</v>
      </c>
      <c r="W546" s="6">
        <f>IF(ISERROR(VLOOKUP($T$546,'TAR FIN'!$A$1:$O$100,15,0)),0,VLOOKUP($T$546,'TAR FIN'!$A$1:$O$100,15,0))</f>
        <v>43.65</v>
      </c>
      <c r="X546" s="6">
        <f>IF(ISERROR(VLOOKUP($U$546,'TAR FIN'!$A$1:$O$100,15,0)),0,VLOOKUP($U$546,'TAR FIN'!$A$1:$O$100,15,0))</f>
        <v>219.03</v>
      </c>
      <c r="Y546" s="6"/>
      <c r="Z546" s="6">
        <f ca="1">('TUSD BE'!$AM$22+'TUSD BF'!$AM$22+'TUSD CVA'!$AM$22)*1</f>
        <v>49.78704102185678</v>
      </c>
      <c r="AA546" s="6">
        <f>('TE BE'!$AA$8+'TE BF'!$AA$8+'TE CVA'!$AA$8)*1</f>
        <v>238.55077890362423</v>
      </c>
      <c r="AB546" s="6">
        <f>$K$546*$V$546</f>
        <v>0</v>
      </c>
      <c r="AC546" s="6">
        <f>$M$546*$W$546</f>
        <v>62195.793749999997</v>
      </c>
      <c r="AD546" s="6">
        <f>$O$546*$X$546</f>
        <v>312090.37125000003</v>
      </c>
      <c r="AE546" s="6">
        <f>$K$546*$Y$546</f>
        <v>0</v>
      </c>
      <c r="AF546" s="6">
        <f ca="1">$M$546*$Z$546</f>
        <v>70940.310076018184</v>
      </c>
      <c r="AG546" s="6">
        <f>$O$546*$AA$546</f>
        <v>339905.04109030159</v>
      </c>
    </row>
    <row r="547" spans="1:33" ht="11.25" customHeight="1" x14ac:dyDescent="0.25">
      <c r="A547" s="4" t="s">
        <v>28</v>
      </c>
      <c r="B547" s="4" t="s">
        <v>39</v>
      </c>
      <c r="C547" s="4" t="s">
        <v>41</v>
      </c>
      <c r="D547" s="4" t="s">
        <v>45</v>
      </c>
      <c r="E547" s="4" t="s">
        <v>25</v>
      </c>
      <c r="F547" s="4" t="s">
        <v>25</v>
      </c>
      <c r="G547" s="4" t="s">
        <v>25</v>
      </c>
      <c r="H547" s="4" t="s">
        <v>35</v>
      </c>
      <c r="I547" s="5">
        <v>44256</v>
      </c>
      <c r="J547" s="6">
        <v>0</v>
      </c>
      <c r="K547" s="6">
        <v>0</v>
      </c>
      <c r="L547" s="6">
        <v>4.2</v>
      </c>
      <c r="M547" s="6">
        <v>4.2</v>
      </c>
      <c r="N547" s="6">
        <v>4.2</v>
      </c>
      <c r="O547" s="6">
        <v>4.2</v>
      </c>
      <c r="P547" s="6">
        <v>0</v>
      </c>
      <c r="Q547" s="4" t="s">
        <v>26</v>
      </c>
      <c r="R547" s="4">
        <v>0</v>
      </c>
      <c r="S547" s="6">
        <v>0</v>
      </c>
      <c r="T547" s="6">
        <v>25</v>
      </c>
      <c r="U547" s="6">
        <v>68</v>
      </c>
      <c r="V547" s="6">
        <f>IF(ISERROR(VLOOKUP($S$547,'TAR FIN'!$A$1:$O$100,15,0)),0,VLOOKUP($S$547,'TAR FIN'!$A$1:$O$100,15,0))</f>
        <v>0</v>
      </c>
      <c r="W547" s="6">
        <f>IF(ISERROR(VLOOKUP($T$547,'TAR FIN'!$A$1:$O$100,15,0)),0,VLOOKUP($T$547,'TAR FIN'!$A$1:$O$100,15,0))</f>
        <v>43.65</v>
      </c>
      <c r="X547" s="6">
        <f>IF(ISERROR(VLOOKUP($U$547,'TAR FIN'!$A$1:$O$100,15,0)),0,VLOOKUP($U$547,'TAR FIN'!$A$1:$O$100,15,0))</f>
        <v>219.03</v>
      </c>
      <c r="Y547" s="6"/>
      <c r="Z547" s="6">
        <f ca="1">('TUSD BE'!$AM$22+'TUSD BF'!$AM$22+'TUSD CVA'!$AM$22)*1</f>
        <v>49.78704102185678</v>
      </c>
      <c r="AA547" s="6">
        <f>('TE BE'!$AA$8+'TE BF'!$AA$8+'TE CVA'!$AA$8)*1</f>
        <v>238.55077890362423</v>
      </c>
      <c r="AB547" s="6">
        <f>$K$547*$V$547</f>
        <v>0</v>
      </c>
      <c r="AC547" s="6">
        <f>$M$547*$W$547</f>
        <v>183.33</v>
      </c>
      <c r="AD547" s="6">
        <f>$O$547*$X$547</f>
        <v>919.92600000000004</v>
      </c>
      <c r="AE547" s="6">
        <f>$K$547*$Y$547</f>
        <v>0</v>
      </c>
      <c r="AF547" s="6">
        <f ca="1">$M$547*$Z$547</f>
        <v>209.1055722917985</v>
      </c>
      <c r="AG547" s="6">
        <f>$O$547*$AA$547</f>
        <v>1001.9132713952218</v>
      </c>
    </row>
    <row r="548" spans="1:33" ht="11.25" customHeight="1" x14ac:dyDescent="0.25">
      <c r="A548" s="4" t="s">
        <v>21</v>
      </c>
      <c r="B548" s="4" t="s">
        <v>39</v>
      </c>
      <c r="C548" s="4" t="s">
        <v>41</v>
      </c>
      <c r="D548" s="4" t="s">
        <v>45</v>
      </c>
      <c r="E548" s="4" t="s">
        <v>25</v>
      </c>
      <c r="F548" s="4" t="s">
        <v>25</v>
      </c>
      <c r="G548" s="4" t="s">
        <v>25</v>
      </c>
      <c r="H548" s="4" t="s">
        <v>35</v>
      </c>
      <c r="I548" s="5">
        <v>44287</v>
      </c>
      <c r="J548" s="6">
        <v>0</v>
      </c>
      <c r="K548" s="6">
        <v>0</v>
      </c>
      <c r="L548" s="6">
        <v>1407.123</v>
      </c>
      <c r="M548" s="6">
        <v>1407.123</v>
      </c>
      <c r="N548" s="6">
        <v>1407.123</v>
      </c>
      <c r="O548" s="6">
        <v>1407.123</v>
      </c>
      <c r="P548" s="6">
        <v>0</v>
      </c>
      <c r="Q548" s="4" t="s">
        <v>26</v>
      </c>
      <c r="R548" s="4">
        <v>0</v>
      </c>
      <c r="S548" s="6">
        <v>0</v>
      </c>
      <c r="T548" s="6">
        <v>25</v>
      </c>
      <c r="U548" s="6">
        <v>68</v>
      </c>
      <c r="V548" s="6">
        <f>IF(ISERROR(VLOOKUP($S$548,'TAR FIN'!$A$1:$O$100,15,0)),0,VLOOKUP($S$548,'TAR FIN'!$A$1:$O$100,15,0))</f>
        <v>0</v>
      </c>
      <c r="W548" s="6">
        <f>IF(ISERROR(VLOOKUP($T$548,'TAR FIN'!$A$1:$O$100,15,0)),0,VLOOKUP($T$548,'TAR FIN'!$A$1:$O$100,15,0))</f>
        <v>43.65</v>
      </c>
      <c r="X548" s="6">
        <f>IF(ISERROR(VLOOKUP($U$548,'TAR FIN'!$A$1:$O$100,15,0)),0,VLOOKUP($U$548,'TAR FIN'!$A$1:$O$100,15,0))</f>
        <v>219.03</v>
      </c>
      <c r="Y548" s="6"/>
      <c r="Z548" s="6">
        <f ca="1">('TUSD BE'!$AM$22+'TUSD BF'!$AM$22+'TUSD CVA'!$AM$22)*1</f>
        <v>49.78704102185678</v>
      </c>
      <c r="AA548" s="6">
        <f>('TE BE'!$AA$8+'TE BF'!$AA$8+'TE CVA'!$AA$8)*1</f>
        <v>238.55077890362423</v>
      </c>
      <c r="AB548" s="6">
        <f>$K$548*$V$548</f>
        <v>0</v>
      </c>
      <c r="AC548" s="6">
        <f>$M$548*$W$548</f>
        <v>61420.918949999999</v>
      </c>
      <c r="AD548" s="6">
        <f>$O$548*$X$548</f>
        <v>308202.15069000004</v>
      </c>
      <c r="AE548" s="6">
        <f>$K$548*$Y$548</f>
        <v>0</v>
      </c>
      <c r="AF548" s="6">
        <f ca="1">$M$548*$Z$548</f>
        <v>70056.490523798173</v>
      </c>
      <c r="AG548" s="6">
        <f>$O$548*$AA$548</f>
        <v>335670.28766320448</v>
      </c>
    </row>
    <row r="549" spans="1:33" ht="11.25" customHeight="1" x14ac:dyDescent="0.25">
      <c r="A549" s="4" t="s">
        <v>28</v>
      </c>
      <c r="B549" s="4" t="s">
        <v>39</v>
      </c>
      <c r="C549" s="4" t="s">
        <v>41</v>
      </c>
      <c r="D549" s="4" t="s">
        <v>45</v>
      </c>
      <c r="E549" s="4" t="s">
        <v>25</v>
      </c>
      <c r="F549" s="4" t="s">
        <v>25</v>
      </c>
      <c r="G549" s="4" t="s">
        <v>25</v>
      </c>
      <c r="H549" s="4" t="s">
        <v>35</v>
      </c>
      <c r="I549" s="5">
        <v>44287</v>
      </c>
      <c r="J549" s="6">
        <v>0</v>
      </c>
      <c r="K549" s="6">
        <v>0</v>
      </c>
      <c r="L549" s="6">
        <v>6.16</v>
      </c>
      <c r="M549" s="6">
        <v>6.16</v>
      </c>
      <c r="N549" s="6">
        <v>6.16</v>
      </c>
      <c r="O549" s="6">
        <v>6.16</v>
      </c>
      <c r="P549" s="6">
        <v>0</v>
      </c>
      <c r="Q549" s="4" t="s">
        <v>26</v>
      </c>
      <c r="R549" s="4">
        <v>0</v>
      </c>
      <c r="S549" s="6">
        <v>0</v>
      </c>
      <c r="T549" s="6">
        <v>25</v>
      </c>
      <c r="U549" s="6">
        <v>68</v>
      </c>
      <c r="V549" s="6">
        <f>IF(ISERROR(VLOOKUP($S$549,'TAR FIN'!$A$1:$O$100,15,0)),0,VLOOKUP($S$549,'TAR FIN'!$A$1:$O$100,15,0))</f>
        <v>0</v>
      </c>
      <c r="W549" s="6">
        <f>IF(ISERROR(VLOOKUP($T$549,'TAR FIN'!$A$1:$O$100,15,0)),0,VLOOKUP($T$549,'TAR FIN'!$A$1:$O$100,15,0))</f>
        <v>43.65</v>
      </c>
      <c r="X549" s="6">
        <f>IF(ISERROR(VLOOKUP($U$549,'TAR FIN'!$A$1:$O$100,15,0)),0,VLOOKUP($U$549,'TAR FIN'!$A$1:$O$100,15,0))</f>
        <v>219.03</v>
      </c>
      <c r="Y549" s="6"/>
      <c r="Z549" s="6">
        <f ca="1">('TUSD BE'!$AM$22+'TUSD BF'!$AM$22+'TUSD CVA'!$AM$22)*1</f>
        <v>49.78704102185678</v>
      </c>
      <c r="AA549" s="6">
        <f>('TE BE'!$AA$8+'TE BF'!$AA$8+'TE CVA'!$AA$8)*1</f>
        <v>238.55077890362423</v>
      </c>
      <c r="AB549" s="6">
        <f>$K$549*$V$549</f>
        <v>0</v>
      </c>
      <c r="AC549" s="6">
        <f>$M$549*$W$549</f>
        <v>268.88400000000001</v>
      </c>
      <c r="AD549" s="6">
        <f>$O$549*$X$549</f>
        <v>1349.2248</v>
      </c>
      <c r="AE549" s="6">
        <f>$K$549*$Y$549</f>
        <v>0</v>
      </c>
      <c r="AF549" s="6">
        <f ca="1">$M$549*$Z$549</f>
        <v>306.68817269463779</v>
      </c>
      <c r="AG549" s="6">
        <f>$O$549*$AA$549</f>
        <v>1469.4727980463254</v>
      </c>
    </row>
    <row r="550" spans="1:33" ht="11.25" customHeight="1" x14ac:dyDescent="0.25">
      <c r="A550" s="4" t="s">
        <v>21</v>
      </c>
      <c r="B550" s="4" t="s">
        <v>39</v>
      </c>
      <c r="C550" s="4" t="s">
        <v>41</v>
      </c>
      <c r="D550" s="4" t="s">
        <v>45</v>
      </c>
      <c r="E550" s="4" t="s">
        <v>25</v>
      </c>
      <c r="F550" s="4" t="s">
        <v>25</v>
      </c>
      <c r="G550" s="4" t="s">
        <v>25</v>
      </c>
      <c r="H550" s="4" t="s">
        <v>35</v>
      </c>
      <c r="I550" s="5">
        <v>44317</v>
      </c>
      <c r="J550" s="6">
        <v>0</v>
      </c>
      <c r="K550" s="6">
        <v>0</v>
      </c>
      <c r="L550" s="6">
        <v>1327.097</v>
      </c>
      <c r="M550" s="6">
        <v>1327.097</v>
      </c>
      <c r="N550" s="6">
        <v>1327.097</v>
      </c>
      <c r="O550" s="6">
        <v>1327.097</v>
      </c>
      <c r="P550" s="6">
        <v>0</v>
      </c>
      <c r="Q550" s="4" t="s">
        <v>26</v>
      </c>
      <c r="R550" s="4">
        <v>0</v>
      </c>
      <c r="S550" s="6">
        <v>0</v>
      </c>
      <c r="T550" s="6">
        <v>25</v>
      </c>
      <c r="U550" s="6">
        <v>68</v>
      </c>
      <c r="V550" s="6">
        <f>IF(ISERROR(VLOOKUP($S$550,'TAR FIN'!$A$1:$O$100,15,0)),0,VLOOKUP($S$550,'TAR FIN'!$A$1:$O$100,15,0))</f>
        <v>0</v>
      </c>
      <c r="W550" s="6">
        <f>IF(ISERROR(VLOOKUP($T$550,'TAR FIN'!$A$1:$O$100,15,0)),0,VLOOKUP($T$550,'TAR FIN'!$A$1:$O$100,15,0))</f>
        <v>43.65</v>
      </c>
      <c r="X550" s="6">
        <f>IF(ISERROR(VLOOKUP($U$550,'TAR FIN'!$A$1:$O$100,15,0)),0,VLOOKUP($U$550,'TAR FIN'!$A$1:$O$100,15,0))</f>
        <v>219.03</v>
      </c>
      <c r="Y550" s="6"/>
      <c r="Z550" s="6">
        <f ca="1">('TUSD BE'!$AM$22+'TUSD BF'!$AM$22+'TUSD CVA'!$AM$22)*1</f>
        <v>49.78704102185678</v>
      </c>
      <c r="AA550" s="6">
        <f>('TE BE'!$AA$8+'TE BF'!$AA$8+'TE CVA'!$AA$8)*1</f>
        <v>238.55077890362423</v>
      </c>
      <c r="AB550" s="6">
        <f>$K$550*$V$550</f>
        <v>0</v>
      </c>
      <c r="AC550" s="6">
        <f>$M$550*$W$550</f>
        <v>57927.784049999995</v>
      </c>
      <c r="AD550" s="6">
        <f>$O$550*$X$550</f>
        <v>290674.05591</v>
      </c>
      <c r="AE550" s="6">
        <f>$K$550*$Y$550</f>
        <v>0</v>
      </c>
      <c r="AF550" s="6">
        <f ca="1">$M$550*$Z$550</f>
        <v>66072.23277898306</v>
      </c>
      <c r="AG550" s="6">
        <f>$O$550*$AA$550</f>
        <v>316580.02303066303</v>
      </c>
    </row>
    <row r="551" spans="1:33" ht="11.25" customHeight="1" x14ac:dyDescent="0.25">
      <c r="A551" s="4" t="s">
        <v>28</v>
      </c>
      <c r="B551" s="4" t="s">
        <v>39</v>
      </c>
      <c r="C551" s="4" t="s">
        <v>41</v>
      </c>
      <c r="D551" s="4" t="s">
        <v>45</v>
      </c>
      <c r="E551" s="4" t="s">
        <v>25</v>
      </c>
      <c r="F551" s="4" t="s">
        <v>25</v>
      </c>
      <c r="G551" s="4" t="s">
        <v>25</v>
      </c>
      <c r="H551" s="4" t="s">
        <v>35</v>
      </c>
      <c r="I551" s="5">
        <v>44317</v>
      </c>
      <c r="J551" s="6">
        <v>0</v>
      </c>
      <c r="K551" s="6">
        <v>0</v>
      </c>
      <c r="L551" s="6">
        <v>5.04</v>
      </c>
      <c r="M551" s="6">
        <v>5.04</v>
      </c>
      <c r="N551" s="6">
        <v>5.04</v>
      </c>
      <c r="O551" s="6">
        <v>5.04</v>
      </c>
      <c r="P551" s="6">
        <v>0</v>
      </c>
      <c r="Q551" s="4" t="s">
        <v>26</v>
      </c>
      <c r="R551" s="4">
        <v>0</v>
      </c>
      <c r="S551" s="6">
        <v>0</v>
      </c>
      <c r="T551" s="6">
        <v>25</v>
      </c>
      <c r="U551" s="6">
        <v>68</v>
      </c>
      <c r="V551" s="6">
        <f>IF(ISERROR(VLOOKUP($S$551,'TAR FIN'!$A$1:$O$100,15,0)),0,VLOOKUP($S$551,'TAR FIN'!$A$1:$O$100,15,0))</f>
        <v>0</v>
      </c>
      <c r="W551" s="6">
        <f>IF(ISERROR(VLOOKUP($T$551,'TAR FIN'!$A$1:$O$100,15,0)),0,VLOOKUP($T$551,'TAR FIN'!$A$1:$O$100,15,0))</f>
        <v>43.65</v>
      </c>
      <c r="X551" s="6">
        <f>IF(ISERROR(VLOOKUP($U$551,'TAR FIN'!$A$1:$O$100,15,0)),0,VLOOKUP($U$551,'TAR FIN'!$A$1:$O$100,15,0))</f>
        <v>219.03</v>
      </c>
      <c r="Y551" s="6"/>
      <c r="Z551" s="6">
        <f ca="1">('TUSD BE'!$AM$22+'TUSD BF'!$AM$22+'TUSD CVA'!$AM$22)*1</f>
        <v>49.78704102185678</v>
      </c>
      <c r="AA551" s="6">
        <f>('TE BE'!$AA$8+'TE BF'!$AA$8+'TE CVA'!$AA$8)*1</f>
        <v>238.55077890362423</v>
      </c>
      <c r="AB551" s="6">
        <f>$K$551*$V$551</f>
        <v>0</v>
      </c>
      <c r="AC551" s="6">
        <f>$M$551*$W$551</f>
        <v>219.99599999999998</v>
      </c>
      <c r="AD551" s="6">
        <f>$O$551*$X$551</f>
        <v>1103.9112</v>
      </c>
      <c r="AE551" s="6">
        <f>$K$551*$Y$551</f>
        <v>0</v>
      </c>
      <c r="AF551" s="6">
        <f ca="1">$M$551*$Z$551</f>
        <v>250.92668675015818</v>
      </c>
      <c r="AG551" s="6">
        <f>$O$551*$AA$551</f>
        <v>1202.2959256742661</v>
      </c>
    </row>
    <row r="552" spans="1:33" ht="11.25" customHeight="1" x14ac:dyDescent="0.25">
      <c r="A552" s="4" t="s">
        <v>21</v>
      </c>
      <c r="B552" s="4" t="s">
        <v>39</v>
      </c>
      <c r="C552" s="4" t="s">
        <v>41</v>
      </c>
      <c r="D552" s="4" t="s">
        <v>45</v>
      </c>
      <c r="E552" s="4" t="s">
        <v>25</v>
      </c>
      <c r="F552" s="4" t="s">
        <v>25</v>
      </c>
      <c r="G552" s="4" t="s">
        <v>25</v>
      </c>
      <c r="H552" s="4" t="s">
        <v>35</v>
      </c>
      <c r="I552" s="5">
        <v>44348</v>
      </c>
      <c r="J552" s="6">
        <v>0</v>
      </c>
      <c r="K552" s="6">
        <v>0</v>
      </c>
      <c r="L552" s="6">
        <v>1267.8240000000001</v>
      </c>
      <c r="M552" s="6">
        <v>1267.8240000000001</v>
      </c>
      <c r="N552" s="6">
        <v>1267.8240000000001</v>
      </c>
      <c r="O552" s="6">
        <v>1267.8240000000001</v>
      </c>
      <c r="P552" s="6">
        <v>0</v>
      </c>
      <c r="Q552" s="4" t="s">
        <v>26</v>
      </c>
      <c r="R552" s="4">
        <v>0</v>
      </c>
      <c r="S552" s="6">
        <v>0</v>
      </c>
      <c r="T552" s="6">
        <v>25</v>
      </c>
      <c r="U552" s="6">
        <v>68</v>
      </c>
      <c r="V552" s="6">
        <f>IF(ISERROR(VLOOKUP($S$552,'TAR FIN'!$A$1:$O$100,15,0)),0,VLOOKUP($S$552,'TAR FIN'!$A$1:$O$100,15,0))</f>
        <v>0</v>
      </c>
      <c r="W552" s="6">
        <f>IF(ISERROR(VLOOKUP($T$552,'TAR FIN'!$A$1:$O$100,15,0)),0,VLOOKUP($T$552,'TAR FIN'!$A$1:$O$100,15,0))</f>
        <v>43.65</v>
      </c>
      <c r="X552" s="6">
        <f>IF(ISERROR(VLOOKUP($U$552,'TAR FIN'!$A$1:$O$100,15,0)),0,VLOOKUP($U$552,'TAR FIN'!$A$1:$O$100,15,0))</f>
        <v>219.03</v>
      </c>
      <c r="Y552" s="6"/>
      <c r="Z552" s="6">
        <f ca="1">('TUSD BE'!$AM$22+'TUSD BF'!$AM$22+'TUSD CVA'!$AM$22)*1</f>
        <v>49.78704102185678</v>
      </c>
      <c r="AA552" s="6">
        <f>('TE BE'!$AA$8+'TE BF'!$AA$8+'TE CVA'!$AA$8)*1</f>
        <v>238.55077890362423</v>
      </c>
      <c r="AB552" s="6">
        <f>$K$552*$V$552</f>
        <v>0</v>
      </c>
      <c r="AC552" s="6">
        <f>$M$552*$W$552</f>
        <v>55340.517599999999</v>
      </c>
      <c r="AD552" s="6">
        <f>$O$552*$X$552</f>
        <v>277691.49072</v>
      </c>
      <c r="AE552" s="6">
        <f>$K$552*$Y$552</f>
        <v>0</v>
      </c>
      <c r="AF552" s="6">
        <f ca="1">$M$552*$Z$552</f>
        <v>63121.205496494556</v>
      </c>
      <c r="AG552" s="6">
        <f>$O$552*$AA$552</f>
        <v>302440.40271270851</v>
      </c>
    </row>
    <row r="553" spans="1:33" ht="11.25" customHeight="1" x14ac:dyDescent="0.25">
      <c r="A553" s="4" t="s">
        <v>28</v>
      </c>
      <c r="B553" s="4" t="s">
        <v>39</v>
      </c>
      <c r="C553" s="4" t="s">
        <v>41</v>
      </c>
      <c r="D553" s="4" t="s">
        <v>45</v>
      </c>
      <c r="E553" s="4" t="s">
        <v>25</v>
      </c>
      <c r="F553" s="4" t="s">
        <v>25</v>
      </c>
      <c r="G553" s="4" t="s">
        <v>25</v>
      </c>
      <c r="H553" s="4" t="s">
        <v>35</v>
      </c>
      <c r="I553" s="5">
        <v>44348</v>
      </c>
      <c r="J553" s="6">
        <v>0</v>
      </c>
      <c r="K553" s="6">
        <v>0</v>
      </c>
      <c r="L553" s="6">
        <v>5.88</v>
      </c>
      <c r="M553" s="6">
        <v>5.88</v>
      </c>
      <c r="N553" s="6">
        <v>5.88</v>
      </c>
      <c r="O553" s="6">
        <v>5.88</v>
      </c>
      <c r="P553" s="6">
        <v>0</v>
      </c>
      <c r="Q553" s="4" t="s">
        <v>26</v>
      </c>
      <c r="R553" s="4">
        <v>0</v>
      </c>
      <c r="S553" s="6">
        <v>0</v>
      </c>
      <c r="T553" s="6">
        <v>25</v>
      </c>
      <c r="U553" s="6">
        <v>68</v>
      </c>
      <c r="V553" s="6">
        <f>IF(ISERROR(VLOOKUP($S$553,'TAR FIN'!$A$1:$O$100,15,0)),0,VLOOKUP($S$553,'TAR FIN'!$A$1:$O$100,15,0))</f>
        <v>0</v>
      </c>
      <c r="W553" s="6">
        <f>IF(ISERROR(VLOOKUP($T$553,'TAR FIN'!$A$1:$O$100,15,0)),0,VLOOKUP($T$553,'TAR FIN'!$A$1:$O$100,15,0))</f>
        <v>43.65</v>
      </c>
      <c r="X553" s="6">
        <f>IF(ISERROR(VLOOKUP($U$553,'TAR FIN'!$A$1:$O$100,15,0)),0,VLOOKUP($U$553,'TAR FIN'!$A$1:$O$100,15,0))</f>
        <v>219.03</v>
      </c>
      <c r="Y553" s="6"/>
      <c r="Z553" s="6">
        <f ca="1">('TUSD BE'!$AM$22+'TUSD BF'!$AM$22+'TUSD CVA'!$AM$22)*1</f>
        <v>49.78704102185678</v>
      </c>
      <c r="AA553" s="6">
        <f>('TE BE'!$AA$8+'TE BF'!$AA$8+'TE CVA'!$AA$8)*1</f>
        <v>238.55077890362423</v>
      </c>
      <c r="AB553" s="6">
        <f>$K$553*$V$553</f>
        <v>0</v>
      </c>
      <c r="AC553" s="6">
        <f>$M$553*$W$553</f>
        <v>256.66199999999998</v>
      </c>
      <c r="AD553" s="6">
        <f>$O$553*$X$553</f>
        <v>1287.8964000000001</v>
      </c>
      <c r="AE553" s="6">
        <f>$K$553*$Y$553</f>
        <v>0</v>
      </c>
      <c r="AF553" s="6">
        <f ca="1">$M$553*$Z$553</f>
        <v>292.74780120851784</v>
      </c>
      <c r="AG553" s="6">
        <f>$O$553*$AA$553</f>
        <v>1402.6785799533104</v>
      </c>
    </row>
    <row r="554" spans="1:33" ht="11.25" customHeight="1" x14ac:dyDescent="0.25">
      <c r="A554" s="4" t="s">
        <v>21</v>
      </c>
      <c r="B554" s="4" t="s">
        <v>39</v>
      </c>
      <c r="C554" s="4" t="s">
        <v>41</v>
      </c>
      <c r="D554" s="4" t="s">
        <v>45</v>
      </c>
      <c r="E554" s="4" t="s">
        <v>25</v>
      </c>
      <c r="F554" s="4" t="s">
        <v>25</v>
      </c>
      <c r="G554" s="4" t="s">
        <v>25</v>
      </c>
      <c r="H554" s="4" t="s">
        <v>35</v>
      </c>
      <c r="I554" s="5">
        <v>44378</v>
      </c>
      <c r="J554" s="6">
        <v>0</v>
      </c>
      <c r="K554" s="6">
        <v>0</v>
      </c>
      <c r="L554" s="6">
        <v>1230.4369999999999</v>
      </c>
      <c r="M554" s="6">
        <v>1230.4369999999999</v>
      </c>
      <c r="N554" s="6">
        <v>1230.4369999999999</v>
      </c>
      <c r="O554" s="6">
        <v>1230.4369999999999</v>
      </c>
      <c r="P554" s="6">
        <v>0</v>
      </c>
      <c r="Q554" s="4" t="s">
        <v>26</v>
      </c>
      <c r="R554" s="4">
        <v>0</v>
      </c>
      <c r="S554" s="6">
        <v>0</v>
      </c>
      <c r="T554" s="6">
        <v>25</v>
      </c>
      <c r="U554" s="6">
        <v>68</v>
      </c>
      <c r="V554" s="6">
        <f>IF(ISERROR(VLOOKUP($S$554,'TAR FIN'!$A$1:$O$100,15,0)),0,VLOOKUP($S$554,'TAR FIN'!$A$1:$O$100,15,0))</f>
        <v>0</v>
      </c>
      <c r="W554" s="6">
        <f>IF(ISERROR(VLOOKUP($T$554,'TAR FIN'!$A$1:$O$100,15,0)),0,VLOOKUP($T$554,'TAR FIN'!$A$1:$O$100,15,0))</f>
        <v>43.65</v>
      </c>
      <c r="X554" s="6">
        <f>IF(ISERROR(VLOOKUP($U$554,'TAR FIN'!$A$1:$O$100,15,0)),0,VLOOKUP($U$554,'TAR FIN'!$A$1:$O$100,15,0))</f>
        <v>219.03</v>
      </c>
      <c r="Y554" s="6"/>
      <c r="Z554" s="6">
        <f ca="1">('TUSD BE'!$AM$22+'TUSD BF'!$AM$22+'TUSD CVA'!$AM$22)*1</f>
        <v>49.78704102185678</v>
      </c>
      <c r="AA554" s="6">
        <f>('TE BE'!$AA$8+'TE BF'!$AA$8+'TE CVA'!$AA$8)*1</f>
        <v>238.55077890362423</v>
      </c>
      <c r="AB554" s="6">
        <f>$K$554*$V$554</f>
        <v>0</v>
      </c>
      <c r="AC554" s="6">
        <f>$M$554*$W$554</f>
        <v>53708.575049999992</v>
      </c>
      <c r="AD554" s="6">
        <f>$O$554*$X$554</f>
        <v>269502.61611</v>
      </c>
      <c r="AE554" s="6">
        <f>$K$554*$Y$554</f>
        <v>0</v>
      </c>
      <c r="AF554" s="6">
        <f ca="1">$M$554*$Z$554</f>
        <v>61259.817393810386</v>
      </c>
      <c r="AG554" s="6">
        <f>$O$554*$AA$554</f>
        <v>293521.70474183868</v>
      </c>
    </row>
    <row r="555" spans="1:33" ht="11.25" customHeight="1" x14ac:dyDescent="0.25">
      <c r="A555" s="4" t="s">
        <v>28</v>
      </c>
      <c r="B555" s="4" t="s">
        <v>39</v>
      </c>
      <c r="C555" s="4" t="s">
        <v>41</v>
      </c>
      <c r="D555" s="4" t="s">
        <v>45</v>
      </c>
      <c r="E555" s="4" t="s">
        <v>25</v>
      </c>
      <c r="F555" s="4" t="s">
        <v>25</v>
      </c>
      <c r="G555" s="4" t="s">
        <v>25</v>
      </c>
      <c r="H555" s="4" t="s">
        <v>35</v>
      </c>
      <c r="I555" s="5">
        <v>44378</v>
      </c>
      <c r="J555" s="6">
        <v>0</v>
      </c>
      <c r="K555" s="6">
        <v>0</v>
      </c>
      <c r="L555" s="6">
        <v>5.6</v>
      </c>
      <c r="M555" s="6">
        <v>5.6</v>
      </c>
      <c r="N555" s="6">
        <v>5.6</v>
      </c>
      <c r="O555" s="6">
        <v>5.6</v>
      </c>
      <c r="P555" s="6">
        <v>0</v>
      </c>
      <c r="Q555" s="4" t="s">
        <v>26</v>
      </c>
      <c r="R555" s="4">
        <v>0</v>
      </c>
      <c r="S555" s="6">
        <v>0</v>
      </c>
      <c r="T555" s="6">
        <v>25</v>
      </c>
      <c r="U555" s="6">
        <v>68</v>
      </c>
      <c r="V555" s="6">
        <f>IF(ISERROR(VLOOKUP($S$555,'TAR FIN'!$A$1:$O$100,15,0)),0,VLOOKUP($S$555,'TAR FIN'!$A$1:$O$100,15,0))</f>
        <v>0</v>
      </c>
      <c r="W555" s="6">
        <f>IF(ISERROR(VLOOKUP($T$555,'TAR FIN'!$A$1:$O$100,15,0)),0,VLOOKUP($T$555,'TAR FIN'!$A$1:$O$100,15,0))</f>
        <v>43.65</v>
      </c>
      <c r="X555" s="6">
        <f>IF(ISERROR(VLOOKUP($U$555,'TAR FIN'!$A$1:$O$100,15,0)),0,VLOOKUP($U$555,'TAR FIN'!$A$1:$O$100,15,0))</f>
        <v>219.03</v>
      </c>
      <c r="Y555" s="6"/>
      <c r="Z555" s="6">
        <f ca="1">('TUSD BE'!$AM$22+'TUSD BF'!$AM$22+'TUSD CVA'!$AM$22)*1</f>
        <v>49.78704102185678</v>
      </c>
      <c r="AA555" s="6">
        <f>('TE BE'!$AA$8+'TE BF'!$AA$8+'TE CVA'!$AA$8)*1</f>
        <v>238.55077890362423</v>
      </c>
      <c r="AB555" s="6">
        <f>$K$555*$V$555</f>
        <v>0</v>
      </c>
      <c r="AC555" s="6">
        <f>$M$555*$W$555</f>
        <v>244.43999999999997</v>
      </c>
      <c r="AD555" s="6">
        <f>$O$555*$X$555</f>
        <v>1226.568</v>
      </c>
      <c r="AE555" s="6">
        <f>$K$555*$Y$555</f>
        <v>0</v>
      </c>
      <c r="AF555" s="6">
        <f ca="1">$M$555*$Z$555</f>
        <v>278.80742972239796</v>
      </c>
      <c r="AG555" s="6">
        <f>$O$555*$AA$555</f>
        <v>1335.8843618602957</v>
      </c>
    </row>
    <row r="556" spans="1:33" ht="11.25" customHeight="1" x14ac:dyDescent="0.25">
      <c r="A556" s="4" t="s">
        <v>21</v>
      </c>
      <c r="B556" s="4" t="s">
        <v>39</v>
      </c>
      <c r="C556" s="4" t="s">
        <v>41</v>
      </c>
      <c r="D556" s="4" t="s">
        <v>45</v>
      </c>
      <c r="E556" s="4" t="s">
        <v>25</v>
      </c>
      <c r="F556" s="4" t="s">
        <v>25</v>
      </c>
      <c r="G556" s="4" t="s">
        <v>25</v>
      </c>
      <c r="H556" s="4" t="s">
        <v>35</v>
      </c>
      <c r="I556" s="5">
        <v>44409</v>
      </c>
      <c r="J556" s="6">
        <v>0</v>
      </c>
      <c r="K556" s="6">
        <v>0</v>
      </c>
      <c r="L556" s="6">
        <v>1187.972</v>
      </c>
      <c r="M556" s="6">
        <v>1187.972</v>
      </c>
      <c r="N556" s="6">
        <v>1187.972</v>
      </c>
      <c r="O556" s="6">
        <v>1187.972</v>
      </c>
      <c r="P556" s="6">
        <v>0</v>
      </c>
      <c r="Q556" s="4" t="s">
        <v>26</v>
      </c>
      <c r="R556" s="4">
        <v>0</v>
      </c>
      <c r="S556" s="6">
        <v>0</v>
      </c>
      <c r="T556" s="6">
        <v>25</v>
      </c>
      <c r="U556" s="6">
        <v>68</v>
      </c>
      <c r="V556" s="6">
        <f>IF(ISERROR(VLOOKUP($S$556,'TAR FIN'!$A$1:$O$100,15,0)),0,VLOOKUP($S$556,'TAR FIN'!$A$1:$O$100,15,0))</f>
        <v>0</v>
      </c>
      <c r="W556" s="6">
        <f>IF(ISERROR(VLOOKUP($T$556,'TAR FIN'!$A$1:$O$100,15,0)),0,VLOOKUP($T$556,'TAR FIN'!$A$1:$O$100,15,0))</f>
        <v>43.65</v>
      </c>
      <c r="X556" s="6">
        <f>IF(ISERROR(VLOOKUP($U$556,'TAR FIN'!$A$1:$O$100,15,0)),0,VLOOKUP($U$556,'TAR FIN'!$A$1:$O$100,15,0))</f>
        <v>219.03</v>
      </c>
      <c r="Y556" s="6"/>
      <c r="Z556" s="6">
        <f ca="1">('TUSD BE'!$AM$22+'TUSD BF'!$AM$22+'TUSD CVA'!$AM$22)*1</f>
        <v>49.78704102185678</v>
      </c>
      <c r="AA556" s="6">
        <f>('TE BE'!$AA$8+'TE BF'!$AA$8+'TE CVA'!$AA$8)*1</f>
        <v>238.55077890362423</v>
      </c>
      <c r="AB556" s="6">
        <f>$K$556*$V$556</f>
        <v>0</v>
      </c>
      <c r="AC556" s="6">
        <f>$M$556*$W$556</f>
        <v>51854.977800000001</v>
      </c>
      <c r="AD556" s="6">
        <f>$O$556*$X$556</f>
        <v>260201.50716000001</v>
      </c>
      <c r="AE556" s="6">
        <f>$K$556*$Y$556</f>
        <v>0</v>
      </c>
      <c r="AF556" s="6">
        <f ca="1">$M$556*$Z$556</f>
        <v>59145.610696817239</v>
      </c>
      <c r="AG556" s="6">
        <f>$O$556*$AA$556</f>
        <v>283391.64591569628</v>
      </c>
    </row>
    <row r="557" spans="1:33" ht="11.25" customHeight="1" x14ac:dyDescent="0.25">
      <c r="A557" s="4" t="s">
        <v>28</v>
      </c>
      <c r="B557" s="4" t="s">
        <v>39</v>
      </c>
      <c r="C557" s="4" t="s">
        <v>41</v>
      </c>
      <c r="D557" s="4" t="s">
        <v>45</v>
      </c>
      <c r="E557" s="4" t="s">
        <v>25</v>
      </c>
      <c r="F557" s="4" t="s">
        <v>25</v>
      </c>
      <c r="G557" s="4" t="s">
        <v>25</v>
      </c>
      <c r="H557" s="4" t="s">
        <v>35</v>
      </c>
      <c r="I557" s="5">
        <v>44409</v>
      </c>
      <c r="J557" s="6">
        <v>0</v>
      </c>
      <c r="K557" s="6">
        <v>0</v>
      </c>
      <c r="L557" s="6">
        <v>6.16</v>
      </c>
      <c r="M557" s="6">
        <v>6.16</v>
      </c>
      <c r="N557" s="6">
        <v>6.16</v>
      </c>
      <c r="O557" s="6">
        <v>6.16</v>
      </c>
      <c r="P557" s="6">
        <v>0</v>
      </c>
      <c r="Q557" s="4" t="s">
        <v>26</v>
      </c>
      <c r="R557" s="4">
        <v>0</v>
      </c>
      <c r="S557" s="6">
        <v>0</v>
      </c>
      <c r="T557" s="6">
        <v>25</v>
      </c>
      <c r="U557" s="6">
        <v>68</v>
      </c>
      <c r="V557" s="6">
        <f>IF(ISERROR(VLOOKUP($S$557,'TAR FIN'!$A$1:$O$100,15,0)),0,VLOOKUP($S$557,'TAR FIN'!$A$1:$O$100,15,0))</f>
        <v>0</v>
      </c>
      <c r="W557" s="6">
        <f>IF(ISERROR(VLOOKUP($T$557,'TAR FIN'!$A$1:$O$100,15,0)),0,VLOOKUP($T$557,'TAR FIN'!$A$1:$O$100,15,0))</f>
        <v>43.65</v>
      </c>
      <c r="X557" s="6">
        <f>IF(ISERROR(VLOOKUP($U$557,'TAR FIN'!$A$1:$O$100,15,0)),0,VLOOKUP($U$557,'TAR FIN'!$A$1:$O$100,15,0))</f>
        <v>219.03</v>
      </c>
      <c r="Y557" s="6"/>
      <c r="Z557" s="6">
        <f ca="1">('TUSD BE'!$AM$22+'TUSD BF'!$AM$22+'TUSD CVA'!$AM$22)*1</f>
        <v>49.78704102185678</v>
      </c>
      <c r="AA557" s="6">
        <f>('TE BE'!$AA$8+'TE BF'!$AA$8+'TE CVA'!$AA$8)*1</f>
        <v>238.55077890362423</v>
      </c>
      <c r="AB557" s="6">
        <f>$K$557*$V$557</f>
        <v>0</v>
      </c>
      <c r="AC557" s="6">
        <f>$M$557*$W$557</f>
        <v>268.88400000000001</v>
      </c>
      <c r="AD557" s="6">
        <f>$O$557*$X$557</f>
        <v>1349.2248</v>
      </c>
      <c r="AE557" s="6">
        <f>$K$557*$Y$557</f>
        <v>0</v>
      </c>
      <c r="AF557" s="6">
        <f ca="1">$M$557*$Z$557</f>
        <v>306.68817269463779</v>
      </c>
      <c r="AG557" s="6">
        <f>$O$557*$AA$557</f>
        <v>1469.4727980463254</v>
      </c>
    </row>
    <row r="558" spans="1:33" ht="11.25" customHeight="1" x14ac:dyDescent="0.25">
      <c r="A558" s="4" t="s">
        <v>21</v>
      </c>
      <c r="B558" s="4" t="s">
        <v>39</v>
      </c>
      <c r="C558" s="4" t="s">
        <v>41</v>
      </c>
      <c r="D558" s="4" t="s">
        <v>45</v>
      </c>
      <c r="E558" s="4" t="s">
        <v>25</v>
      </c>
      <c r="F558" s="4" t="s">
        <v>25</v>
      </c>
      <c r="G558" s="4" t="s">
        <v>25</v>
      </c>
      <c r="H558" s="4" t="s">
        <v>35</v>
      </c>
      <c r="I558" s="5">
        <v>44440</v>
      </c>
      <c r="J558" s="6">
        <v>0</v>
      </c>
      <c r="K558" s="6">
        <v>0</v>
      </c>
      <c r="L558" s="6">
        <v>1276.096</v>
      </c>
      <c r="M558" s="6">
        <v>1276.096</v>
      </c>
      <c r="N558" s="6">
        <v>1276.096</v>
      </c>
      <c r="O558" s="6">
        <v>1276.096</v>
      </c>
      <c r="P558" s="6">
        <v>0</v>
      </c>
      <c r="Q558" s="4" t="s">
        <v>26</v>
      </c>
      <c r="R558" s="4">
        <v>0</v>
      </c>
      <c r="S558" s="6">
        <v>0</v>
      </c>
      <c r="T558" s="6">
        <v>25</v>
      </c>
      <c r="U558" s="6">
        <v>68</v>
      </c>
      <c r="V558" s="6">
        <f>IF(ISERROR(VLOOKUP($S$558,'TAR FIN'!$A$1:$O$100,15,0)),0,VLOOKUP($S$558,'TAR FIN'!$A$1:$O$100,15,0))</f>
        <v>0</v>
      </c>
      <c r="W558" s="6">
        <f>IF(ISERROR(VLOOKUP($T$558,'TAR FIN'!$A$1:$O$100,15,0)),0,VLOOKUP($T$558,'TAR FIN'!$A$1:$O$100,15,0))</f>
        <v>43.65</v>
      </c>
      <c r="X558" s="6">
        <f>IF(ISERROR(VLOOKUP($U$558,'TAR FIN'!$A$1:$O$100,15,0)),0,VLOOKUP($U$558,'TAR FIN'!$A$1:$O$100,15,0))</f>
        <v>219.03</v>
      </c>
      <c r="Y558" s="6"/>
      <c r="Z558" s="6">
        <f ca="1">('TUSD BE'!$AM$22+'TUSD BF'!$AM$22+'TUSD CVA'!$AM$22)*1</f>
        <v>49.78704102185678</v>
      </c>
      <c r="AA558" s="6">
        <f>('TE BE'!$AA$8+'TE BF'!$AA$8+'TE CVA'!$AA$8)*1</f>
        <v>238.55077890362423</v>
      </c>
      <c r="AB558" s="6">
        <f>$K$558*$V$558</f>
        <v>0</v>
      </c>
      <c r="AC558" s="6">
        <f>$M$558*$W$558</f>
        <v>55701.590400000001</v>
      </c>
      <c r="AD558" s="6">
        <f>$O$558*$X$558</f>
        <v>279503.30687999999</v>
      </c>
      <c r="AE558" s="6">
        <f>$K$558*$Y$558</f>
        <v>0</v>
      </c>
      <c r="AF558" s="6">
        <f ca="1">$M$558*$Z$558</f>
        <v>63533.043899827353</v>
      </c>
      <c r="AG558" s="6">
        <f>$O$558*$AA$558</f>
        <v>304413.69475579925</v>
      </c>
    </row>
    <row r="559" spans="1:33" ht="11.25" customHeight="1" x14ac:dyDescent="0.25">
      <c r="A559" s="4" t="s">
        <v>28</v>
      </c>
      <c r="B559" s="4" t="s">
        <v>39</v>
      </c>
      <c r="C559" s="4" t="s">
        <v>41</v>
      </c>
      <c r="D559" s="4" t="s">
        <v>45</v>
      </c>
      <c r="E559" s="4" t="s">
        <v>25</v>
      </c>
      <c r="F559" s="4" t="s">
        <v>25</v>
      </c>
      <c r="G559" s="4" t="s">
        <v>25</v>
      </c>
      <c r="H559" s="4" t="s">
        <v>35</v>
      </c>
      <c r="I559" s="5">
        <v>44440</v>
      </c>
      <c r="J559" s="6">
        <v>0</v>
      </c>
      <c r="K559" s="6">
        <v>0</v>
      </c>
      <c r="L559" s="6">
        <v>4.4800000000000004</v>
      </c>
      <c r="M559" s="6">
        <v>4.4800000000000004</v>
      </c>
      <c r="N559" s="6">
        <v>4.4800000000000004</v>
      </c>
      <c r="O559" s="6">
        <v>4.4800000000000004</v>
      </c>
      <c r="P559" s="6">
        <v>0</v>
      </c>
      <c r="Q559" s="4" t="s">
        <v>26</v>
      </c>
      <c r="R559" s="4">
        <v>0</v>
      </c>
      <c r="S559" s="6">
        <v>0</v>
      </c>
      <c r="T559" s="6">
        <v>25</v>
      </c>
      <c r="U559" s="6">
        <v>68</v>
      </c>
      <c r="V559" s="6">
        <f>IF(ISERROR(VLOOKUP($S$559,'TAR FIN'!$A$1:$O$100,15,0)),0,VLOOKUP($S$559,'TAR FIN'!$A$1:$O$100,15,0))</f>
        <v>0</v>
      </c>
      <c r="W559" s="6">
        <f>IF(ISERROR(VLOOKUP($T$559,'TAR FIN'!$A$1:$O$100,15,0)),0,VLOOKUP($T$559,'TAR FIN'!$A$1:$O$100,15,0))</f>
        <v>43.65</v>
      </c>
      <c r="X559" s="6">
        <f>IF(ISERROR(VLOOKUP($U$559,'TAR FIN'!$A$1:$O$100,15,0)),0,VLOOKUP($U$559,'TAR FIN'!$A$1:$O$100,15,0))</f>
        <v>219.03</v>
      </c>
      <c r="Y559" s="6"/>
      <c r="Z559" s="6">
        <f ca="1">('TUSD BE'!$AM$22+'TUSD BF'!$AM$22+'TUSD CVA'!$AM$22)*1</f>
        <v>49.78704102185678</v>
      </c>
      <c r="AA559" s="6">
        <f>('TE BE'!$AA$8+'TE BF'!$AA$8+'TE CVA'!$AA$8)*1</f>
        <v>238.55077890362423</v>
      </c>
      <c r="AB559" s="6">
        <f>$K$559*$V$559</f>
        <v>0</v>
      </c>
      <c r="AC559" s="6">
        <f>$M$559*$W$559</f>
        <v>195.55200000000002</v>
      </c>
      <c r="AD559" s="6">
        <f>$O$559*$X$559</f>
        <v>981.25440000000015</v>
      </c>
      <c r="AE559" s="6">
        <f>$K$559*$Y$559</f>
        <v>0</v>
      </c>
      <c r="AF559" s="6">
        <f ca="1">$M$559*$Z$559</f>
        <v>223.04594377791838</v>
      </c>
      <c r="AG559" s="6">
        <f>$O$559*$AA$559</f>
        <v>1068.7074894882367</v>
      </c>
    </row>
    <row r="560" spans="1:33" ht="11.25" customHeight="1" x14ac:dyDescent="0.25">
      <c r="A560" s="4" t="s">
        <v>21</v>
      </c>
      <c r="B560" s="4" t="s">
        <v>39</v>
      </c>
      <c r="C560" s="4" t="s">
        <v>41</v>
      </c>
      <c r="D560" s="4" t="s">
        <v>45</v>
      </c>
      <c r="E560" s="4" t="s">
        <v>25</v>
      </c>
      <c r="F560" s="4" t="s">
        <v>25</v>
      </c>
      <c r="G560" s="4" t="s">
        <v>25</v>
      </c>
      <c r="H560" s="4" t="s">
        <v>35</v>
      </c>
      <c r="I560" s="5">
        <v>44470</v>
      </c>
      <c r="J560" s="6">
        <v>0</v>
      </c>
      <c r="K560" s="6">
        <v>0</v>
      </c>
      <c r="L560" s="6">
        <v>1437.4590000000001</v>
      </c>
      <c r="M560" s="6">
        <v>1437.4590000000001</v>
      </c>
      <c r="N560" s="6">
        <v>1437.4590000000001</v>
      </c>
      <c r="O560" s="6">
        <v>1437.4590000000001</v>
      </c>
      <c r="P560" s="6">
        <v>0</v>
      </c>
      <c r="Q560" s="4" t="s">
        <v>26</v>
      </c>
      <c r="R560" s="4">
        <v>0</v>
      </c>
      <c r="S560" s="6">
        <v>0</v>
      </c>
      <c r="T560" s="6">
        <v>25</v>
      </c>
      <c r="U560" s="6">
        <v>68</v>
      </c>
      <c r="V560" s="6">
        <f>IF(ISERROR(VLOOKUP($S$560,'TAR FIN'!$A$1:$O$100,15,0)),0,VLOOKUP($S$560,'TAR FIN'!$A$1:$O$100,15,0))</f>
        <v>0</v>
      </c>
      <c r="W560" s="6">
        <f>IF(ISERROR(VLOOKUP($T$560,'TAR FIN'!$A$1:$O$100,15,0)),0,VLOOKUP($T$560,'TAR FIN'!$A$1:$O$100,15,0))</f>
        <v>43.65</v>
      </c>
      <c r="X560" s="6">
        <f>IF(ISERROR(VLOOKUP($U$560,'TAR FIN'!$A$1:$O$100,15,0)),0,VLOOKUP($U$560,'TAR FIN'!$A$1:$O$100,15,0))</f>
        <v>219.03</v>
      </c>
      <c r="Y560" s="6"/>
      <c r="Z560" s="6">
        <f ca="1">('TUSD BE'!$AM$22+'TUSD BF'!$AM$22+'TUSD CVA'!$AM$22)*1</f>
        <v>49.78704102185678</v>
      </c>
      <c r="AA560" s="6">
        <f>('TE BE'!$AA$8+'TE BF'!$AA$8+'TE CVA'!$AA$8)*1</f>
        <v>238.55077890362423</v>
      </c>
      <c r="AB560" s="6">
        <f>$K$560*$V$560</f>
        <v>0</v>
      </c>
      <c r="AC560" s="6">
        <f>$M$560*$W$560</f>
        <v>62745.085350000001</v>
      </c>
      <c r="AD560" s="6">
        <f>$O$560*$X$560</f>
        <v>314846.64477000001</v>
      </c>
      <c r="AE560" s="6">
        <f>$K$560*$Y$560</f>
        <v>0</v>
      </c>
      <c r="AF560" s="6">
        <f ca="1">$M$560*$Z$560</f>
        <v>71566.830200237222</v>
      </c>
      <c r="AG560" s="6">
        <f>$O$560*$AA$560</f>
        <v>342906.96409202478</v>
      </c>
    </row>
    <row r="561" spans="1:33" ht="11.25" customHeight="1" x14ac:dyDescent="0.25">
      <c r="A561" s="4" t="s">
        <v>28</v>
      </c>
      <c r="B561" s="4" t="s">
        <v>39</v>
      </c>
      <c r="C561" s="4" t="s">
        <v>41</v>
      </c>
      <c r="D561" s="4" t="s">
        <v>45</v>
      </c>
      <c r="E561" s="4" t="s">
        <v>25</v>
      </c>
      <c r="F561" s="4" t="s">
        <v>25</v>
      </c>
      <c r="G561" s="4" t="s">
        <v>25</v>
      </c>
      <c r="H561" s="4" t="s">
        <v>35</v>
      </c>
      <c r="I561" s="5">
        <v>44470</v>
      </c>
      <c r="J561" s="6">
        <v>0</v>
      </c>
      <c r="K561" s="6">
        <v>0</v>
      </c>
      <c r="L561" s="6">
        <v>3.64</v>
      </c>
      <c r="M561" s="6">
        <v>3.64</v>
      </c>
      <c r="N561" s="6">
        <v>3.64</v>
      </c>
      <c r="O561" s="6">
        <v>3.64</v>
      </c>
      <c r="P561" s="6">
        <v>0</v>
      </c>
      <c r="Q561" s="4" t="s">
        <v>26</v>
      </c>
      <c r="R561" s="4">
        <v>0</v>
      </c>
      <c r="S561" s="6">
        <v>0</v>
      </c>
      <c r="T561" s="6">
        <v>25</v>
      </c>
      <c r="U561" s="6">
        <v>68</v>
      </c>
      <c r="V561" s="6">
        <f>IF(ISERROR(VLOOKUP($S$561,'TAR FIN'!$A$1:$O$100,15,0)),0,VLOOKUP($S$561,'TAR FIN'!$A$1:$O$100,15,0))</f>
        <v>0</v>
      </c>
      <c r="W561" s="6">
        <f>IF(ISERROR(VLOOKUP($T$561,'TAR FIN'!$A$1:$O$100,15,0)),0,VLOOKUP($T$561,'TAR FIN'!$A$1:$O$100,15,0))</f>
        <v>43.65</v>
      </c>
      <c r="X561" s="6">
        <f>IF(ISERROR(VLOOKUP($U$561,'TAR FIN'!$A$1:$O$100,15,0)),0,VLOOKUP($U$561,'TAR FIN'!$A$1:$O$100,15,0))</f>
        <v>219.03</v>
      </c>
      <c r="Y561" s="6"/>
      <c r="Z561" s="6">
        <f ca="1">('TUSD BE'!$AM$22+'TUSD BF'!$AM$22+'TUSD CVA'!$AM$22)*1</f>
        <v>49.78704102185678</v>
      </c>
      <c r="AA561" s="6">
        <f>('TE BE'!$AA$8+'TE BF'!$AA$8+'TE CVA'!$AA$8)*1</f>
        <v>238.55077890362423</v>
      </c>
      <c r="AB561" s="6">
        <f>$K$561*$V$561</f>
        <v>0</v>
      </c>
      <c r="AC561" s="6">
        <f>$M$561*$W$561</f>
        <v>158.886</v>
      </c>
      <c r="AD561" s="6">
        <f>$O$561*$X$561</f>
        <v>797.26920000000007</v>
      </c>
      <c r="AE561" s="6">
        <f>$K$561*$Y$561</f>
        <v>0</v>
      </c>
      <c r="AF561" s="6">
        <f ca="1">$M$561*$Z$561</f>
        <v>181.22482931955869</v>
      </c>
      <c r="AG561" s="6">
        <f>$O$561*$AA$561</f>
        <v>868.3248352091922</v>
      </c>
    </row>
    <row r="562" spans="1:33" ht="11.25" customHeight="1" x14ac:dyDescent="0.25">
      <c r="A562" s="4" t="s">
        <v>21</v>
      </c>
      <c r="B562" s="4" t="s">
        <v>39</v>
      </c>
      <c r="C562" s="4" t="s">
        <v>41</v>
      </c>
      <c r="D562" s="4" t="s">
        <v>45</v>
      </c>
      <c r="E562" s="4" t="s">
        <v>25</v>
      </c>
      <c r="F562" s="4" t="s">
        <v>25</v>
      </c>
      <c r="G562" s="4" t="s">
        <v>25</v>
      </c>
      <c r="H562" s="4" t="s">
        <v>35</v>
      </c>
      <c r="I562" s="5">
        <v>44501</v>
      </c>
      <c r="J562" s="6">
        <v>0</v>
      </c>
      <c r="K562" s="6">
        <v>0</v>
      </c>
      <c r="L562" s="6">
        <v>1515.51</v>
      </c>
      <c r="M562" s="6">
        <v>1515.51</v>
      </c>
      <c r="N562" s="6">
        <v>1515.51</v>
      </c>
      <c r="O562" s="6">
        <v>1515.51</v>
      </c>
      <c r="P562" s="6">
        <v>0</v>
      </c>
      <c r="Q562" s="4" t="s">
        <v>26</v>
      </c>
      <c r="R562" s="4">
        <v>0</v>
      </c>
      <c r="S562" s="6">
        <v>0</v>
      </c>
      <c r="T562" s="6">
        <v>25</v>
      </c>
      <c r="U562" s="6">
        <v>68</v>
      </c>
      <c r="V562" s="6">
        <f>IF(ISERROR(VLOOKUP($S$562,'TAR FIN'!$A$1:$O$100,15,0)),0,VLOOKUP($S$562,'TAR FIN'!$A$1:$O$100,15,0))</f>
        <v>0</v>
      </c>
      <c r="W562" s="6">
        <f>IF(ISERROR(VLOOKUP($T$562,'TAR FIN'!$A$1:$O$100,15,0)),0,VLOOKUP($T$562,'TAR FIN'!$A$1:$O$100,15,0))</f>
        <v>43.65</v>
      </c>
      <c r="X562" s="6">
        <f>IF(ISERROR(VLOOKUP($U$562,'TAR FIN'!$A$1:$O$100,15,0)),0,VLOOKUP($U$562,'TAR FIN'!$A$1:$O$100,15,0))</f>
        <v>219.03</v>
      </c>
      <c r="Y562" s="6"/>
      <c r="Z562" s="6">
        <f ca="1">('TUSD BE'!$AM$22+'TUSD BF'!$AM$22+'TUSD CVA'!$AM$22)*1</f>
        <v>49.78704102185678</v>
      </c>
      <c r="AA562" s="6">
        <f>('TE BE'!$AA$8+'TE BF'!$AA$8+'TE CVA'!$AA$8)*1</f>
        <v>238.55077890362423</v>
      </c>
      <c r="AB562" s="6">
        <f>$K$562*$V$562</f>
        <v>0</v>
      </c>
      <c r="AC562" s="6">
        <f>$M$562*$W$562</f>
        <v>66152.011499999993</v>
      </c>
      <c r="AD562" s="6">
        <f>$O$562*$X$562</f>
        <v>331942.15529999998</v>
      </c>
      <c r="AE562" s="6">
        <f>$K$562*$Y$562</f>
        <v>0</v>
      </c>
      <c r="AF562" s="6">
        <f ca="1">$M$562*$Z$562</f>
        <v>75452.75853903417</v>
      </c>
      <c r="AG562" s="6">
        <f>$O$562*$AA$562</f>
        <v>361526.09093623154</v>
      </c>
    </row>
    <row r="563" spans="1:33" ht="11.25" customHeight="1" x14ac:dyDescent="0.25">
      <c r="A563" s="4" t="s">
        <v>28</v>
      </c>
      <c r="B563" s="4" t="s">
        <v>39</v>
      </c>
      <c r="C563" s="4" t="s">
        <v>41</v>
      </c>
      <c r="D563" s="4" t="s">
        <v>45</v>
      </c>
      <c r="E563" s="4" t="s">
        <v>25</v>
      </c>
      <c r="F563" s="4" t="s">
        <v>25</v>
      </c>
      <c r="G563" s="4" t="s">
        <v>25</v>
      </c>
      <c r="H563" s="4" t="s">
        <v>35</v>
      </c>
      <c r="I563" s="5">
        <v>44501</v>
      </c>
      <c r="J563" s="6">
        <v>0</v>
      </c>
      <c r="K563" s="6">
        <v>0</v>
      </c>
      <c r="L563" s="6">
        <v>6.72</v>
      </c>
      <c r="M563" s="6">
        <v>6.72</v>
      </c>
      <c r="N563" s="6">
        <v>6.72</v>
      </c>
      <c r="O563" s="6">
        <v>6.72</v>
      </c>
      <c r="P563" s="6">
        <v>0</v>
      </c>
      <c r="Q563" s="4" t="s">
        <v>26</v>
      </c>
      <c r="R563" s="4">
        <v>0</v>
      </c>
      <c r="S563" s="6">
        <v>0</v>
      </c>
      <c r="T563" s="6">
        <v>25</v>
      </c>
      <c r="U563" s="6">
        <v>68</v>
      </c>
      <c r="V563" s="6">
        <f>IF(ISERROR(VLOOKUP($S$563,'TAR FIN'!$A$1:$O$100,15,0)),0,VLOOKUP($S$563,'TAR FIN'!$A$1:$O$100,15,0))</f>
        <v>0</v>
      </c>
      <c r="W563" s="6">
        <f>IF(ISERROR(VLOOKUP($T$563,'TAR FIN'!$A$1:$O$100,15,0)),0,VLOOKUP($T$563,'TAR FIN'!$A$1:$O$100,15,0))</f>
        <v>43.65</v>
      </c>
      <c r="X563" s="6">
        <f>IF(ISERROR(VLOOKUP($U$563,'TAR FIN'!$A$1:$O$100,15,0)),0,VLOOKUP($U$563,'TAR FIN'!$A$1:$O$100,15,0))</f>
        <v>219.03</v>
      </c>
      <c r="Y563" s="6"/>
      <c r="Z563" s="6">
        <f ca="1">('TUSD BE'!$AM$22+'TUSD BF'!$AM$22+'TUSD CVA'!$AM$22)*1</f>
        <v>49.78704102185678</v>
      </c>
      <c r="AA563" s="6">
        <f>('TE BE'!$AA$8+'TE BF'!$AA$8+'TE CVA'!$AA$8)*1</f>
        <v>238.55077890362423</v>
      </c>
      <c r="AB563" s="6">
        <f>$K$563*$V$563</f>
        <v>0</v>
      </c>
      <c r="AC563" s="6">
        <f>$M$563*$W$563</f>
        <v>293.32799999999997</v>
      </c>
      <c r="AD563" s="6">
        <f>$O$563*$X$563</f>
        <v>1471.8815999999999</v>
      </c>
      <c r="AE563" s="6">
        <f>$K$563*$Y$563</f>
        <v>0</v>
      </c>
      <c r="AF563" s="6">
        <f ca="1">$M$563*$Z$563</f>
        <v>334.56891566687756</v>
      </c>
      <c r="AG563" s="6">
        <f>$O$563*$AA$563</f>
        <v>1603.0612342323548</v>
      </c>
    </row>
    <row r="564" spans="1:33" ht="11.25" customHeight="1" x14ac:dyDescent="0.25">
      <c r="A564" s="4" t="s">
        <v>21</v>
      </c>
      <c r="B564" s="4" t="s">
        <v>39</v>
      </c>
      <c r="C564" s="4" t="s">
        <v>41</v>
      </c>
      <c r="D564" s="4" t="s">
        <v>45</v>
      </c>
      <c r="E564" s="4" t="s">
        <v>25</v>
      </c>
      <c r="F564" s="4" t="s">
        <v>25</v>
      </c>
      <c r="G564" s="4" t="s">
        <v>25</v>
      </c>
      <c r="H564" s="4" t="s">
        <v>35</v>
      </c>
      <c r="I564" s="5">
        <v>44531</v>
      </c>
      <c r="J564" s="6">
        <v>0</v>
      </c>
      <c r="K564" s="6">
        <v>0</v>
      </c>
      <c r="L564" s="6">
        <v>1522.607</v>
      </c>
      <c r="M564" s="6">
        <v>1522.607</v>
      </c>
      <c r="N564" s="6">
        <v>1522.607</v>
      </c>
      <c r="O564" s="6">
        <v>1522.607</v>
      </c>
      <c r="P564" s="6">
        <v>0</v>
      </c>
      <c r="Q564" s="4" t="s">
        <v>26</v>
      </c>
      <c r="R564" s="4">
        <v>0</v>
      </c>
      <c r="S564" s="6">
        <v>0</v>
      </c>
      <c r="T564" s="6">
        <v>25</v>
      </c>
      <c r="U564" s="6">
        <v>68</v>
      </c>
      <c r="V564" s="6">
        <f>IF(ISERROR(VLOOKUP($S$564,'TAR FIN'!$A$1:$O$100,15,0)),0,VLOOKUP($S$564,'TAR FIN'!$A$1:$O$100,15,0))</f>
        <v>0</v>
      </c>
      <c r="W564" s="6">
        <f>IF(ISERROR(VLOOKUP($T$564,'TAR FIN'!$A$1:$O$100,15,0)),0,VLOOKUP($T$564,'TAR FIN'!$A$1:$O$100,15,0))</f>
        <v>43.65</v>
      </c>
      <c r="X564" s="6">
        <f>IF(ISERROR(VLOOKUP($U$564,'TAR FIN'!$A$1:$O$100,15,0)),0,VLOOKUP($U$564,'TAR FIN'!$A$1:$O$100,15,0))</f>
        <v>219.03</v>
      </c>
      <c r="Y564" s="6"/>
      <c r="Z564" s="6">
        <f ca="1">('TUSD BE'!$AM$22+'TUSD BF'!$AM$22+'TUSD CVA'!$AM$22)*1</f>
        <v>49.78704102185678</v>
      </c>
      <c r="AA564" s="6">
        <f>('TE BE'!$AA$8+'TE BF'!$AA$8+'TE CVA'!$AA$8)*1</f>
        <v>238.55077890362423</v>
      </c>
      <c r="AB564" s="6">
        <f>$K$564*$V$564</f>
        <v>0</v>
      </c>
      <c r="AC564" s="6">
        <f>$M$564*$W$564</f>
        <v>66461.795549999995</v>
      </c>
      <c r="AD564" s="6">
        <f>$O$564*$X$564</f>
        <v>333496.61121</v>
      </c>
      <c r="AE564" s="6">
        <f>$K$564*$Y$564</f>
        <v>0</v>
      </c>
      <c r="AF564" s="6">
        <f ca="1">$M$564*$Z$564</f>
        <v>75806.097169166285</v>
      </c>
      <c r="AG564" s="6">
        <f>$O$564*$AA$564</f>
        <v>363219.08581411059</v>
      </c>
    </row>
    <row r="565" spans="1:33" ht="11.25" customHeight="1" x14ac:dyDescent="0.25">
      <c r="A565" s="4" t="s">
        <v>28</v>
      </c>
      <c r="B565" s="4" t="s">
        <v>39</v>
      </c>
      <c r="C565" s="4" t="s">
        <v>41</v>
      </c>
      <c r="D565" s="4" t="s">
        <v>45</v>
      </c>
      <c r="E565" s="4" t="s">
        <v>25</v>
      </c>
      <c r="F565" s="4" t="s">
        <v>25</v>
      </c>
      <c r="G565" s="4" t="s">
        <v>25</v>
      </c>
      <c r="H565" s="4" t="s">
        <v>35</v>
      </c>
      <c r="I565" s="5">
        <v>44531</v>
      </c>
      <c r="J565" s="6">
        <v>0</v>
      </c>
      <c r="K565" s="6">
        <v>0</v>
      </c>
      <c r="L565" s="6">
        <v>10.08</v>
      </c>
      <c r="M565" s="6">
        <v>10.08</v>
      </c>
      <c r="N565" s="6">
        <v>10.08</v>
      </c>
      <c r="O565" s="6">
        <v>10.08</v>
      </c>
      <c r="P565" s="6">
        <v>0</v>
      </c>
      <c r="Q565" s="4" t="s">
        <v>26</v>
      </c>
      <c r="R565" s="4">
        <v>0</v>
      </c>
      <c r="S565" s="6">
        <v>0</v>
      </c>
      <c r="T565" s="6">
        <v>25</v>
      </c>
      <c r="U565" s="6">
        <v>68</v>
      </c>
      <c r="V565" s="6">
        <f>IF(ISERROR(VLOOKUP($S$565,'TAR FIN'!$A$1:$O$100,15,0)),0,VLOOKUP($S$565,'TAR FIN'!$A$1:$O$100,15,0))</f>
        <v>0</v>
      </c>
      <c r="W565" s="6">
        <f>IF(ISERROR(VLOOKUP($T$565,'TAR FIN'!$A$1:$O$100,15,0)),0,VLOOKUP($T$565,'TAR FIN'!$A$1:$O$100,15,0))</f>
        <v>43.65</v>
      </c>
      <c r="X565" s="6">
        <f>IF(ISERROR(VLOOKUP($U$565,'TAR FIN'!$A$1:$O$100,15,0)),0,VLOOKUP($U$565,'TAR FIN'!$A$1:$O$100,15,0))</f>
        <v>219.03</v>
      </c>
      <c r="Y565" s="6"/>
      <c r="Z565" s="6">
        <f ca="1">('TUSD BE'!$AM$22+'TUSD BF'!$AM$22+'TUSD CVA'!$AM$22)*1</f>
        <v>49.78704102185678</v>
      </c>
      <c r="AA565" s="6">
        <f>('TE BE'!$AA$8+'TE BF'!$AA$8+'TE CVA'!$AA$8)*1</f>
        <v>238.55077890362423</v>
      </c>
      <c r="AB565" s="6">
        <f>$K$565*$V$565</f>
        <v>0</v>
      </c>
      <c r="AC565" s="6">
        <f>$M$565*$W$565</f>
        <v>439.99199999999996</v>
      </c>
      <c r="AD565" s="6">
        <f>$O$565*$X$565</f>
        <v>2207.8224</v>
      </c>
      <c r="AE565" s="6">
        <f>$K$565*$Y$565</f>
        <v>0</v>
      </c>
      <c r="AF565" s="6">
        <f ca="1">$M$565*$Z$565</f>
        <v>501.85337350031637</v>
      </c>
      <c r="AG565" s="6">
        <f>$O$565*$AA$565</f>
        <v>2404.5918513485321</v>
      </c>
    </row>
    <row r="566" spans="1:33" ht="11.25" customHeight="1" x14ac:dyDescent="0.25">
      <c r="A566" s="4" t="s">
        <v>55</v>
      </c>
      <c r="B566" s="4" t="s">
        <v>39</v>
      </c>
      <c r="C566" s="4" t="s">
        <v>41</v>
      </c>
      <c r="D566" s="4" t="s">
        <v>45</v>
      </c>
      <c r="E566" s="4" t="s">
        <v>25</v>
      </c>
      <c r="F566" s="4" t="s">
        <v>25</v>
      </c>
      <c r="G566" s="4" t="s">
        <v>25</v>
      </c>
      <c r="H566" s="4" t="s">
        <v>35</v>
      </c>
      <c r="I566" s="5">
        <v>44562</v>
      </c>
      <c r="J566" s="6">
        <v>0</v>
      </c>
      <c r="K566" s="6">
        <v>0</v>
      </c>
      <c r="L566" s="6">
        <v>1522.607</v>
      </c>
      <c r="M566" s="6">
        <v>1522.607</v>
      </c>
      <c r="N566" s="6">
        <v>1522.607</v>
      </c>
      <c r="O566" s="6">
        <v>1522.607</v>
      </c>
      <c r="P566" s="6">
        <v>0</v>
      </c>
      <c r="Q566" s="4" t="s">
        <v>26</v>
      </c>
      <c r="R566" s="4">
        <v>0</v>
      </c>
      <c r="S566" s="6">
        <v>0</v>
      </c>
      <c r="T566" s="6">
        <v>25</v>
      </c>
      <c r="U566" s="6">
        <v>68</v>
      </c>
      <c r="V566" s="6">
        <f>IF(ISERROR(VLOOKUP($S$566,'TAR FIN'!$A$1:$O$100,15,0)),0,VLOOKUP($S$566,'TAR FIN'!$A$1:$O$100,15,0))</f>
        <v>0</v>
      </c>
      <c r="W566" s="6">
        <f>IF(ISERROR(VLOOKUP($T$566,'TAR FIN'!$A$1:$O$100,15,0)),0,VLOOKUP($T$566,'TAR FIN'!$A$1:$O$100,15,0))</f>
        <v>43.65</v>
      </c>
      <c r="X566" s="6">
        <f>IF(ISERROR(VLOOKUP($U$566,'TAR FIN'!$A$1:$O$100,15,0)),0,VLOOKUP($U$566,'TAR FIN'!$A$1:$O$100,15,0))</f>
        <v>219.03</v>
      </c>
      <c r="Y566" s="6"/>
      <c r="Z566" s="6">
        <f ca="1">('TUSD BE'!$AM$22+'TUSD BF'!$AM$22+'TUSD CVA'!$AM$22)*1</f>
        <v>49.78704102185678</v>
      </c>
      <c r="AA566" s="6">
        <f>('TE BE'!$AA$8+'TE BF'!$AA$8+'TE CVA'!$AA$8)*1</f>
        <v>238.55077890362423</v>
      </c>
      <c r="AB566" s="6">
        <f>$K$566*$V$566</f>
        <v>0</v>
      </c>
      <c r="AC566" s="6">
        <f>$M$566*$W$566</f>
        <v>66461.795549999995</v>
      </c>
      <c r="AD566" s="6">
        <f>$O$566*$X$566</f>
        <v>333496.61121</v>
      </c>
      <c r="AE566" s="6">
        <f>$K$566*$Y$566</f>
        <v>0</v>
      </c>
      <c r="AF566" s="6">
        <f ca="1">$M$566*$Z$566</f>
        <v>75806.097169166285</v>
      </c>
      <c r="AG566" s="6">
        <f>$O$566*$AA$566</f>
        <v>363219.08581411059</v>
      </c>
    </row>
    <row r="567" spans="1:33" ht="11.25" customHeight="1" x14ac:dyDescent="0.25">
      <c r="A567" s="4" t="s">
        <v>55</v>
      </c>
      <c r="B567" s="4" t="s">
        <v>39</v>
      </c>
      <c r="C567" s="4" t="s">
        <v>41</v>
      </c>
      <c r="D567" s="4" t="s">
        <v>45</v>
      </c>
      <c r="E567" s="4" t="s">
        <v>25</v>
      </c>
      <c r="F567" s="4" t="s">
        <v>25</v>
      </c>
      <c r="G567" s="4" t="s">
        <v>25</v>
      </c>
      <c r="H567" s="4" t="s">
        <v>35</v>
      </c>
      <c r="I567" s="5">
        <v>44562</v>
      </c>
      <c r="J567" s="6">
        <v>0</v>
      </c>
      <c r="K567" s="6">
        <v>0</v>
      </c>
      <c r="L567" s="6">
        <v>10.08</v>
      </c>
      <c r="M567" s="6">
        <v>10.08</v>
      </c>
      <c r="N567" s="6">
        <v>10.08</v>
      </c>
      <c r="O567" s="6">
        <v>10.08</v>
      </c>
      <c r="P567" s="6">
        <v>0</v>
      </c>
      <c r="Q567" s="4" t="s">
        <v>26</v>
      </c>
      <c r="R567" s="4">
        <v>0</v>
      </c>
      <c r="S567" s="6">
        <v>0</v>
      </c>
      <c r="T567" s="6">
        <v>25</v>
      </c>
      <c r="U567" s="6">
        <v>68</v>
      </c>
      <c r="V567" s="6">
        <f>IF(ISERROR(VLOOKUP($S$567,'TAR FIN'!$A$1:$O$100,15,0)),0,VLOOKUP($S$567,'TAR FIN'!$A$1:$O$100,15,0))</f>
        <v>0</v>
      </c>
      <c r="W567" s="6">
        <f>IF(ISERROR(VLOOKUP($T$567,'TAR FIN'!$A$1:$O$100,15,0)),0,VLOOKUP($T$567,'TAR FIN'!$A$1:$O$100,15,0))</f>
        <v>43.65</v>
      </c>
      <c r="X567" s="6">
        <f>IF(ISERROR(VLOOKUP($U$567,'TAR FIN'!$A$1:$O$100,15,0)),0,VLOOKUP($U$567,'TAR FIN'!$A$1:$O$100,15,0))</f>
        <v>219.03</v>
      </c>
      <c r="Y567" s="6"/>
      <c r="Z567" s="6">
        <f ca="1">('TUSD BE'!$AM$22+'TUSD BF'!$AM$22+'TUSD CVA'!$AM$22)*1</f>
        <v>49.78704102185678</v>
      </c>
      <c r="AA567" s="6">
        <f>('TE BE'!$AA$8+'TE BF'!$AA$8+'TE CVA'!$AA$8)*1</f>
        <v>238.55077890362423</v>
      </c>
      <c r="AB567" s="6">
        <f>$K$567*$V$567</f>
        <v>0</v>
      </c>
      <c r="AC567" s="6">
        <f>$M$567*$W$567</f>
        <v>439.99199999999996</v>
      </c>
      <c r="AD567" s="6">
        <f>$O$567*$X$567</f>
        <v>2207.8224</v>
      </c>
      <c r="AE567" s="6">
        <f>$K$567*$Y$567</f>
        <v>0</v>
      </c>
      <c r="AF567" s="6">
        <f ca="1">$M$567*$Z$567</f>
        <v>501.85337350031637</v>
      </c>
      <c r="AG567" s="6">
        <f>$O$567*$AA$567</f>
        <v>2404.5918513485321</v>
      </c>
    </row>
    <row r="568" spans="1:33" ht="11.25" customHeight="1" x14ac:dyDescent="0.25">
      <c r="A568" s="4" t="s">
        <v>21</v>
      </c>
      <c r="B568" s="4" t="s">
        <v>39</v>
      </c>
      <c r="C568" s="4" t="s">
        <v>41</v>
      </c>
      <c r="D568" s="4" t="s">
        <v>45</v>
      </c>
      <c r="E568" s="4" t="s">
        <v>25</v>
      </c>
      <c r="F568" s="4" t="s">
        <v>25</v>
      </c>
      <c r="G568" s="4" t="s">
        <v>25</v>
      </c>
      <c r="H568" s="4" t="s">
        <v>25</v>
      </c>
      <c r="I568" s="5">
        <v>44228</v>
      </c>
      <c r="J568" s="6">
        <v>9506</v>
      </c>
      <c r="K568" s="6">
        <v>9506</v>
      </c>
      <c r="L568" s="6">
        <v>0</v>
      </c>
      <c r="M568" s="6">
        <v>0</v>
      </c>
      <c r="N568" s="6">
        <v>0</v>
      </c>
      <c r="O568" s="6">
        <v>0</v>
      </c>
      <c r="P568" s="6">
        <v>48</v>
      </c>
      <c r="Q568" s="4" t="s">
        <v>26</v>
      </c>
      <c r="R568" s="4">
        <v>0</v>
      </c>
      <c r="S568" s="6">
        <v>23</v>
      </c>
      <c r="T568" s="6">
        <v>0</v>
      </c>
      <c r="U568" s="6">
        <v>0</v>
      </c>
      <c r="V568" s="6">
        <f>IF(ISERROR(VLOOKUP($S$568,'TAR FIN'!$A$1:$O$100,15,0)),0,VLOOKUP($S$568,'TAR FIN'!$A$1:$O$100,15,0))</f>
        <v>18.48</v>
      </c>
      <c r="W568" s="6">
        <f>IF(ISERROR(VLOOKUP($T$568,'TAR FIN'!$A$1:$O$100,15,0)),0,VLOOKUP($T$568,'TAR FIN'!$A$1:$O$100,15,0))</f>
        <v>0</v>
      </c>
      <c r="X568" s="6">
        <f>IF(ISERROR(VLOOKUP($U$568,'TAR FIN'!$A$1:$O$100,15,0)),0,VLOOKUP($U$568,'TAR FIN'!$A$1:$O$100,15,0))</f>
        <v>0</v>
      </c>
      <c r="Y568" s="6">
        <f ca="1">('TUSD BE'!$AM$20+'TUSD BF'!$AM$20+'TUSD CVA'!$AM$20)*1</f>
        <v>17.856842567448453</v>
      </c>
      <c r="Z568" s="6"/>
      <c r="AA568" s="6"/>
      <c r="AB568" s="6">
        <f>$K$568*$V$568</f>
        <v>175670.88</v>
      </c>
      <c r="AC568" s="6">
        <f>$M$568*$W$568</f>
        <v>0</v>
      </c>
      <c r="AD568" s="6">
        <f>$O$568*$X$568</f>
        <v>0</v>
      </c>
      <c r="AE568" s="6">
        <f ca="1">$K$568*$Y$568</f>
        <v>169747.145446165</v>
      </c>
      <c r="AF568" s="6">
        <f>$M$568*$Z$568</f>
        <v>0</v>
      </c>
      <c r="AG568" s="6">
        <f>$O$568*$AA$568</f>
        <v>0</v>
      </c>
    </row>
    <row r="569" spans="1:33" ht="11.25" customHeight="1" x14ac:dyDescent="0.25">
      <c r="A569" s="4" t="s">
        <v>28</v>
      </c>
      <c r="B569" s="4" t="s">
        <v>39</v>
      </c>
      <c r="C569" s="4" t="s">
        <v>41</v>
      </c>
      <c r="D569" s="4" t="s">
        <v>45</v>
      </c>
      <c r="E569" s="4" t="s">
        <v>25</v>
      </c>
      <c r="F569" s="4" t="s">
        <v>25</v>
      </c>
      <c r="G569" s="4" t="s">
        <v>25</v>
      </c>
      <c r="H569" s="4" t="s">
        <v>25</v>
      </c>
      <c r="I569" s="5">
        <v>44228</v>
      </c>
      <c r="J569" s="6">
        <v>235</v>
      </c>
      <c r="K569" s="6">
        <v>235</v>
      </c>
      <c r="L569" s="6">
        <v>0</v>
      </c>
      <c r="M569" s="6">
        <v>0</v>
      </c>
      <c r="N569" s="6">
        <v>0</v>
      </c>
      <c r="O569" s="6">
        <v>0</v>
      </c>
      <c r="P569" s="6">
        <v>2</v>
      </c>
      <c r="Q569" s="4" t="s">
        <v>26</v>
      </c>
      <c r="R569" s="4">
        <v>0</v>
      </c>
      <c r="S569" s="6">
        <v>23</v>
      </c>
      <c r="T569" s="6">
        <v>0</v>
      </c>
      <c r="U569" s="6">
        <v>0</v>
      </c>
      <c r="V569" s="6">
        <f>IF(ISERROR(VLOOKUP($S$569,'TAR FIN'!$A$1:$O$100,15,0)),0,VLOOKUP($S$569,'TAR FIN'!$A$1:$O$100,15,0))</f>
        <v>18.48</v>
      </c>
      <c r="W569" s="6">
        <f>IF(ISERROR(VLOOKUP($T$569,'TAR FIN'!$A$1:$O$100,15,0)),0,VLOOKUP($T$569,'TAR FIN'!$A$1:$O$100,15,0))</f>
        <v>0</v>
      </c>
      <c r="X569" s="6">
        <f>IF(ISERROR(VLOOKUP($U$569,'TAR FIN'!$A$1:$O$100,15,0)),0,VLOOKUP($U$569,'TAR FIN'!$A$1:$O$100,15,0))</f>
        <v>0</v>
      </c>
      <c r="Y569" s="6">
        <f ca="1">('TUSD BE'!$AM$20+'TUSD BF'!$AM$20+'TUSD CVA'!$AM$20)*1</f>
        <v>17.856842567448453</v>
      </c>
      <c r="Z569" s="6"/>
      <c r="AA569" s="6"/>
      <c r="AB569" s="6">
        <f>$K$569*$V$569</f>
        <v>4342.8</v>
      </c>
      <c r="AC569" s="6">
        <f>$M$569*$W$569</f>
        <v>0</v>
      </c>
      <c r="AD569" s="6">
        <f>$O$569*$X$569</f>
        <v>0</v>
      </c>
      <c r="AE569" s="6">
        <f ca="1">$K$569*$Y$569</f>
        <v>4196.3580033503868</v>
      </c>
      <c r="AF569" s="6">
        <f>$M$569*$Z$569</f>
        <v>0</v>
      </c>
      <c r="AG569" s="6">
        <f>$O$569*$AA$569</f>
        <v>0</v>
      </c>
    </row>
    <row r="570" spans="1:33" ht="11.25" customHeight="1" x14ac:dyDescent="0.25">
      <c r="A570" s="4" t="s">
        <v>21</v>
      </c>
      <c r="B570" s="4" t="s">
        <v>39</v>
      </c>
      <c r="C570" s="4" t="s">
        <v>41</v>
      </c>
      <c r="D570" s="4" t="s">
        <v>45</v>
      </c>
      <c r="E570" s="4" t="s">
        <v>25</v>
      </c>
      <c r="F570" s="4" t="s">
        <v>25</v>
      </c>
      <c r="G570" s="4" t="s">
        <v>25</v>
      </c>
      <c r="H570" s="4" t="s">
        <v>25</v>
      </c>
      <c r="I570" s="5">
        <v>44256</v>
      </c>
      <c r="J570" s="6">
        <v>9573</v>
      </c>
      <c r="K570" s="6">
        <v>9573</v>
      </c>
      <c r="L570" s="6">
        <v>0</v>
      </c>
      <c r="M570" s="6">
        <v>0</v>
      </c>
      <c r="N570" s="6">
        <v>0</v>
      </c>
      <c r="O570" s="6">
        <v>0</v>
      </c>
      <c r="P570" s="6">
        <v>48</v>
      </c>
      <c r="Q570" s="4" t="s">
        <v>26</v>
      </c>
      <c r="R570" s="4">
        <v>0</v>
      </c>
      <c r="S570" s="6">
        <v>23</v>
      </c>
      <c r="T570" s="6">
        <v>0</v>
      </c>
      <c r="U570" s="6">
        <v>0</v>
      </c>
      <c r="V570" s="6">
        <f>IF(ISERROR(VLOOKUP($S$570,'TAR FIN'!$A$1:$O$100,15,0)),0,VLOOKUP($S$570,'TAR FIN'!$A$1:$O$100,15,0))</f>
        <v>18.48</v>
      </c>
      <c r="W570" s="6">
        <f>IF(ISERROR(VLOOKUP($T$570,'TAR FIN'!$A$1:$O$100,15,0)),0,VLOOKUP($T$570,'TAR FIN'!$A$1:$O$100,15,0))</f>
        <v>0</v>
      </c>
      <c r="X570" s="6">
        <f>IF(ISERROR(VLOOKUP($U$570,'TAR FIN'!$A$1:$O$100,15,0)),0,VLOOKUP($U$570,'TAR FIN'!$A$1:$O$100,15,0))</f>
        <v>0</v>
      </c>
      <c r="Y570" s="6">
        <f ca="1">('TUSD BE'!$AM$20+'TUSD BF'!$AM$20+'TUSD CVA'!$AM$20)*1</f>
        <v>17.856842567448453</v>
      </c>
      <c r="Z570" s="6"/>
      <c r="AA570" s="6"/>
      <c r="AB570" s="6">
        <f>$K$570*$V$570</f>
        <v>176909.04</v>
      </c>
      <c r="AC570" s="6">
        <f>$M$570*$W$570</f>
        <v>0</v>
      </c>
      <c r="AD570" s="6">
        <f>$O$570*$X$570</f>
        <v>0</v>
      </c>
      <c r="AE570" s="6">
        <f ca="1">$K$570*$Y$570</f>
        <v>170943.55389818404</v>
      </c>
      <c r="AF570" s="6">
        <f>$M$570*$Z$570</f>
        <v>0</v>
      </c>
      <c r="AG570" s="6">
        <f>$O$570*$AA$570</f>
        <v>0</v>
      </c>
    </row>
    <row r="571" spans="1:33" ht="11.25" customHeight="1" x14ac:dyDescent="0.25">
      <c r="A571" s="4" t="s">
        <v>28</v>
      </c>
      <c r="B571" s="4" t="s">
        <v>39</v>
      </c>
      <c r="C571" s="4" t="s">
        <v>41</v>
      </c>
      <c r="D571" s="4" t="s">
        <v>45</v>
      </c>
      <c r="E571" s="4" t="s">
        <v>25</v>
      </c>
      <c r="F571" s="4" t="s">
        <v>25</v>
      </c>
      <c r="G571" s="4" t="s">
        <v>25</v>
      </c>
      <c r="H571" s="4" t="s">
        <v>25</v>
      </c>
      <c r="I571" s="5">
        <v>44256</v>
      </c>
      <c r="J571" s="6">
        <v>235</v>
      </c>
      <c r="K571" s="6">
        <v>235</v>
      </c>
      <c r="L571" s="6">
        <v>0</v>
      </c>
      <c r="M571" s="6">
        <v>0</v>
      </c>
      <c r="N571" s="6">
        <v>0</v>
      </c>
      <c r="O571" s="6">
        <v>0</v>
      </c>
      <c r="P571" s="6">
        <v>2</v>
      </c>
      <c r="Q571" s="4" t="s">
        <v>26</v>
      </c>
      <c r="R571" s="4">
        <v>0</v>
      </c>
      <c r="S571" s="6">
        <v>23</v>
      </c>
      <c r="T571" s="6">
        <v>0</v>
      </c>
      <c r="U571" s="6">
        <v>0</v>
      </c>
      <c r="V571" s="6">
        <f>IF(ISERROR(VLOOKUP($S$571,'TAR FIN'!$A$1:$O$100,15,0)),0,VLOOKUP($S$571,'TAR FIN'!$A$1:$O$100,15,0))</f>
        <v>18.48</v>
      </c>
      <c r="W571" s="6">
        <f>IF(ISERROR(VLOOKUP($T$571,'TAR FIN'!$A$1:$O$100,15,0)),0,VLOOKUP($T$571,'TAR FIN'!$A$1:$O$100,15,0))</f>
        <v>0</v>
      </c>
      <c r="X571" s="6">
        <f>IF(ISERROR(VLOOKUP($U$571,'TAR FIN'!$A$1:$O$100,15,0)),0,VLOOKUP($U$571,'TAR FIN'!$A$1:$O$100,15,0))</f>
        <v>0</v>
      </c>
      <c r="Y571" s="6">
        <f ca="1">('TUSD BE'!$AM$20+'TUSD BF'!$AM$20+'TUSD CVA'!$AM$20)*1</f>
        <v>17.856842567448453</v>
      </c>
      <c r="Z571" s="6"/>
      <c r="AA571" s="6"/>
      <c r="AB571" s="6">
        <f>$K$571*$V$571</f>
        <v>4342.8</v>
      </c>
      <c r="AC571" s="6">
        <f>$M$571*$W$571</f>
        <v>0</v>
      </c>
      <c r="AD571" s="6">
        <f>$O$571*$X$571</f>
        <v>0</v>
      </c>
      <c r="AE571" s="6">
        <f ca="1">$K$571*$Y$571</f>
        <v>4196.3580033503868</v>
      </c>
      <c r="AF571" s="6">
        <f>$M$571*$Z$571</f>
        <v>0</v>
      </c>
      <c r="AG571" s="6">
        <f>$O$571*$AA$571</f>
        <v>0</v>
      </c>
    </row>
    <row r="572" spans="1:33" ht="11.25" customHeight="1" x14ac:dyDescent="0.25">
      <c r="A572" s="4" t="s">
        <v>21</v>
      </c>
      <c r="B572" s="4" t="s">
        <v>39</v>
      </c>
      <c r="C572" s="4" t="s">
        <v>41</v>
      </c>
      <c r="D572" s="4" t="s">
        <v>45</v>
      </c>
      <c r="E572" s="4" t="s">
        <v>25</v>
      </c>
      <c r="F572" s="4" t="s">
        <v>25</v>
      </c>
      <c r="G572" s="4" t="s">
        <v>25</v>
      </c>
      <c r="H572" s="4" t="s">
        <v>25</v>
      </c>
      <c r="I572" s="5">
        <v>44287</v>
      </c>
      <c r="J572" s="6">
        <v>9598</v>
      </c>
      <c r="K572" s="6">
        <v>9598</v>
      </c>
      <c r="L572" s="6">
        <v>0</v>
      </c>
      <c r="M572" s="6">
        <v>0</v>
      </c>
      <c r="N572" s="6">
        <v>0</v>
      </c>
      <c r="O572" s="6">
        <v>0</v>
      </c>
      <c r="P572" s="6">
        <v>50</v>
      </c>
      <c r="Q572" s="4" t="s">
        <v>26</v>
      </c>
      <c r="R572" s="4">
        <v>0</v>
      </c>
      <c r="S572" s="6">
        <v>23</v>
      </c>
      <c r="T572" s="6">
        <v>0</v>
      </c>
      <c r="U572" s="6">
        <v>0</v>
      </c>
      <c r="V572" s="6">
        <f>IF(ISERROR(VLOOKUP($S$572,'TAR FIN'!$A$1:$O$100,15,0)),0,VLOOKUP($S$572,'TAR FIN'!$A$1:$O$100,15,0))</f>
        <v>18.48</v>
      </c>
      <c r="W572" s="6">
        <f>IF(ISERROR(VLOOKUP($T$572,'TAR FIN'!$A$1:$O$100,15,0)),0,VLOOKUP($T$572,'TAR FIN'!$A$1:$O$100,15,0))</f>
        <v>0</v>
      </c>
      <c r="X572" s="6">
        <f>IF(ISERROR(VLOOKUP($U$572,'TAR FIN'!$A$1:$O$100,15,0)),0,VLOOKUP($U$572,'TAR FIN'!$A$1:$O$100,15,0))</f>
        <v>0</v>
      </c>
      <c r="Y572" s="6">
        <f ca="1">('TUSD BE'!$AM$20+'TUSD BF'!$AM$20+'TUSD CVA'!$AM$20)*1</f>
        <v>17.856842567448453</v>
      </c>
      <c r="Z572" s="6"/>
      <c r="AA572" s="6"/>
      <c r="AB572" s="6">
        <f>$K$572*$V$572</f>
        <v>177371.04</v>
      </c>
      <c r="AC572" s="6">
        <f>$M$572*$W$572</f>
        <v>0</v>
      </c>
      <c r="AD572" s="6">
        <f>$O$572*$X$572</f>
        <v>0</v>
      </c>
      <c r="AE572" s="6">
        <f ca="1">$K$572*$Y$572</f>
        <v>171389.97496237024</v>
      </c>
      <c r="AF572" s="6">
        <f>$M$572*$Z$572</f>
        <v>0</v>
      </c>
      <c r="AG572" s="6">
        <f>$O$572*$AA$572</f>
        <v>0</v>
      </c>
    </row>
    <row r="573" spans="1:33" ht="11.25" customHeight="1" x14ac:dyDescent="0.25">
      <c r="A573" s="4" t="s">
        <v>28</v>
      </c>
      <c r="B573" s="4" t="s">
        <v>39</v>
      </c>
      <c r="C573" s="4" t="s">
        <v>41</v>
      </c>
      <c r="D573" s="4" t="s">
        <v>45</v>
      </c>
      <c r="E573" s="4" t="s">
        <v>25</v>
      </c>
      <c r="F573" s="4" t="s">
        <v>25</v>
      </c>
      <c r="G573" s="4" t="s">
        <v>25</v>
      </c>
      <c r="H573" s="4" t="s">
        <v>25</v>
      </c>
      <c r="I573" s="5">
        <v>44287</v>
      </c>
      <c r="J573" s="6">
        <v>235</v>
      </c>
      <c r="K573" s="6">
        <v>235</v>
      </c>
      <c r="L573" s="6">
        <v>0</v>
      </c>
      <c r="M573" s="6">
        <v>0</v>
      </c>
      <c r="N573" s="6">
        <v>0</v>
      </c>
      <c r="O573" s="6">
        <v>0</v>
      </c>
      <c r="P573" s="6">
        <v>2</v>
      </c>
      <c r="Q573" s="4" t="s">
        <v>26</v>
      </c>
      <c r="R573" s="4">
        <v>0</v>
      </c>
      <c r="S573" s="6">
        <v>23</v>
      </c>
      <c r="T573" s="6">
        <v>0</v>
      </c>
      <c r="U573" s="6">
        <v>0</v>
      </c>
      <c r="V573" s="6">
        <f>IF(ISERROR(VLOOKUP($S$573,'TAR FIN'!$A$1:$O$100,15,0)),0,VLOOKUP($S$573,'TAR FIN'!$A$1:$O$100,15,0))</f>
        <v>18.48</v>
      </c>
      <c r="W573" s="6">
        <f>IF(ISERROR(VLOOKUP($T$573,'TAR FIN'!$A$1:$O$100,15,0)),0,VLOOKUP($T$573,'TAR FIN'!$A$1:$O$100,15,0))</f>
        <v>0</v>
      </c>
      <c r="X573" s="6">
        <f>IF(ISERROR(VLOOKUP($U$573,'TAR FIN'!$A$1:$O$100,15,0)),0,VLOOKUP($U$573,'TAR FIN'!$A$1:$O$100,15,0))</f>
        <v>0</v>
      </c>
      <c r="Y573" s="6">
        <f ca="1">('TUSD BE'!$AM$20+'TUSD BF'!$AM$20+'TUSD CVA'!$AM$20)*1</f>
        <v>17.856842567448453</v>
      </c>
      <c r="Z573" s="6"/>
      <c r="AA573" s="6"/>
      <c r="AB573" s="6">
        <f>$K$573*$V$573</f>
        <v>4342.8</v>
      </c>
      <c r="AC573" s="6">
        <f>$M$573*$W$573</f>
        <v>0</v>
      </c>
      <c r="AD573" s="6">
        <f>$O$573*$X$573</f>
        <v>0</v>
      </c>
      <c r="AE573" s="6">
        <f ca="1">$K$573*$Y$573</f>
        <v>4196.3580033503868</v>
      </c>
      <c r="AF573" s="6">
        <f>$M$573*$Z$573</f>
        <v>0</v>
      </c>
      <c r="AG573" s="6">
        <f>$O$573*$AA$573</f>
        <v>0</v>
      </c>
    </row>
    <row r="574" spans="1:33" ht="11.25" customHeight="1" x14ac:dyDescent="0.25">
      <c r="A574" s="4" t="s">
        <v>21</v>
      </c>
      <c r="B574" s="4" t="s">
        <v>39</v>
      </c>
      <c r="C574" s="4" t="s">
        <v>41</v>
      </c>
      <c r="D574" s="4" t="s">
        <v>45</v>
      </c>
      <c r="E574" s="4" t="s">
        <v>25</v>
      </c>
      <c r="F574" s="4" t="s">
        <v>25</v>
      </c>
      <c r="G574" s="4" t="s">
        <v>25</v>
      </c>
      <c r="H574" s="4" t="s">
        <v>25</v>
      </c>
      <c r="I574" s="5">
        <v>44317</v>
      </c>
      <c r="J574" s="6">
        <v>9522</v>
      </c>
      <c r="K574" s="6">
        <v>9522</v>
      </c>
      <c r="L574" s="6">
        <v>0</v>
      </c>
      <c r="M574" s="6">
        <v>0</v>
      </c>
      <c r="N574" s="6">
        <v>0</v>
      </c>
      <c r="O574" s="6">
        <v>0</v>
      </c>
      <c r="P574" s="6">
        <v>49</v>
      </c>
      <c r="Q574" s="4" t="s">
        <v>26</v>
      </c>
      <c r="R574" s="4">
        <v>0</v>
      </c>
      <c r="S574" s="6">
        <v>23</v>
      </c>
      <c r="T574" s="6">
        <v>0</v>
      </c>
      <c r="U574" s="6">
        <v>0</v>
      </c>
      <c r="V574" s="6">
        <f>IF(ISERROR(VLOOKUP($S$574,'TAR FIN'!$A$1:$O$100,15,0)),0,VLOOKUP($S$574,'TAR FIN'!$A$1:$O$100,15,0))</f>
        <v>18.48</v>
      </c>
      <c r="W574" s="6">
        <f>IF(ISERROR(VLOOKUP($T$574,'TAR FIN'!$A$1:$O$100,15,0)),0,VLOOKUP($T$574,'TAR FIN'!$A$1:$O$100,15,0))</f>
        <v>0</v>
      </c>
      <c r="X574" s="6">
        <f>IF(ISERROR(VLOOKUP($U$574,'TAR FIN'!$A$1:$O$100,15,0)),0,VLOOKUP($U$574,'TAR FIN'!$A$1:$O$100,15,0))</f>
        <v>0</v>
      </c>
      <c r="Y574" s="6">
        <f ca="1">('TUSD BE'!$AM$20+'TUSD BF'!$AM$20+'TUSD CVA'!$AM$20)*1</f>
        <v>17.856842567448453</v>
      </c>
      <c r="Z574" s="6"/>
      <c r="AA574" s="6"/>
      <c r="AB574" s="6">
        <f>$K$574*$V$574</f>
        <v>175966.56</v>
      </c>
      <c r="AC574" s="6">
        <f>$M$574*$W$574</f>
        <v>0</v>
      </c>
      <c r="AD574" s="6">
        <f>$O$574*$X$574</f>
        <v>0</v>
      </c>
      <c r="AE574" s="6">
        <f ca="1">$K$574*$Y$574</f>
        <v>170032.85492724416</v>
      </c>
      <c r="AF574" s="6">
        <f>$M$574*$Z$574</f>
        <v>0</v>
      </c>
      <c r="AG574" s="6">
        <f>$O$574*$AA$574</f>
        <v>0</v>
      </c>
    </row>
    <row r="575" spans="1:33" ht="11.25" customHeight="1" x14ac:dyDescent="0.25">
      <c r="A575" s="4" t="s">
        <v>28</v>
      </c>
      <c r="B575" s="4" t="s">
        <v>39</v>
      </c>
      <c r="C575" s="4" t="s">
        <v>41</v>
      </c>
      <c r="D575" s="4" t="s">
        <v>45</v>
      </c>
      <c r="E575" s="4" t="s">
        <v>25</v>
      </c>
      <c r="F575" s="4" t="s">
        <v>25</v>
      </c>
      <c r="G575" s="4" t="s">
        <v>25</v>
      </c>
      <c r="H575" s="4" t="s">
        <v>25</v>
      </c>
      <c r="I575" s="5">
        <v>44317</v>
      </c>
      <c r="J575" s="6">
        <v>235</v>
      </c>
      <c r="K575" s="6">
        <v>235</v>
      </c>
      <c r="L575" s="6">
        <v>0</v>
      </c>
      <c r="M575" s="6">
        <v>0</v>
      </c>
      <c r="N575" s="6">
        <v>0</v>
      </c>
      <c r="O575" s="6">
        <v>0</v>
      </c>
      <c r="P575" s="6">
        <v>2</v>
      </c>
      <c r="Q575" s="4" t="s">
        <v>26</v>
      </c>
      <c r="R575" s="4">
        <v>0</v>
      </c>
      <c r="S575" s="6">
        <v>23</v>
      </c>
      <c r="T575" s="6">
        <v>0</v>
      </c>
      <c r="U575" s="6">
        <v>0</v>
      </c>
      <c r="V575" s="6">
        <f>IF(ISERROR(VLOOKUP($S$575,'TAR FIN'!$A$1:$O$100,15,0)),0,VLOOKUP($S$575,'TAR FIN'!$A$1:$O$100,15,0))</f>
        <v>18.48</v>
      </c>
      <c r="W575" s="6">
        <f>IF(ISERROR(VLOOKUP($T$575,'TAR FIN'!$A$1:$O$100,15,0)),0,VLOOKUP($T$575,'TAR FIN'!$A$1:$O$100,15,0))</f>
        <v>0</v>
      </c>
      <c r="X575" s="6">
        <f>IF(ISERROR(VLOOKUP($U$575,'TAR FIN'!$A$1:$O$100,15,0)),0,VLOOKUP($U$575,'TAR FIN'!$A$1:$O$100,15,0))</f>
        <v>0</v>
      </c>
      <c r="Y575" s="6">
        <f ca="1">('TUSD BE'!$AM$20+'TUSD BF'!$AM$20+'TUSD CVA'!$AM$20)*1</f>
        <v>17.856842567448453</v>
      </c>
      <c r="Z575" s="6"/>
      <c r="AA575" s="6"/>
      <c r="AB575" s="6">
        <f>$K$575*$V$575</f>
        <v>4342.8</v>
      </c>
      <c r="AC575" s="6">
        <f>$M$575*$W$575</f>
        <v>0</v>
      </c>
      <c r="AD575" s="6">
        <f>$O$575*$X$575</f>
        <v>0</v>
      </c>
      <c r="AE575" s="6">
        <f ca="1">$K$575*$Y$575</f>
        <v>4196.3580033503868</v>
      </c>
      <c r="AF575" s="6">
        <f>$M$575*$Z$575</f>
        <v>0</v>
      </c>
      <c r="AG575" s="6">
        <f>$O$575*$AA$575</f>
        <v>0</v>
      </c>
    </row>
    <row r="576" spans="1:33" ht="11.25" customHeight="1" x14ac:dyDescent="0.25">
      <c r="A576" s="4" t="s">
        <v>21</v>
      </c>
      <c r="B576" s="4" t="s">
        <v>39</v>
      </c>
      <c r="C576" s="4" t="s">
        <v>41</v>
      </c>
      <c r="D576" s="4" t="s">
        <v>45</v>
      </c>
      <c r="E576" s="4" t="s">
        <v>25</v>
      </c>
      <c r="F576" s="4" t="s">
        <v>25</v>
      </c>
      <c r="G576" s="4" t="s">
        <v>25</v>
      </c>
      <c r="H576" s="4" t="s">
        <v>25</v>
      </c>
      <c r="I576" s="5">
        <v>44348</v>
      </c>
      <c r="J576" s="6">
        <v>9594</v>
      </c>
      <c r="K576" s="6">
        <v>9594</v>
      </c>
      <c r="L576" s="6">
        <v>0</v>
      </c>
      <c r="M576" s="6">
        <v>0</v>
      </c>
      <c r="N576" s="6">
        <v>0</v>
      </c>
      <c r="O576" s="6">
        <v>0</v>
      </c>
      <c r="P576" s="6">
        <v>51</v>
      </c>
      <c r="Q576" s="4" t="s">
        <v>26</v>
      </c>
      <c r="R576" s="4">
        <v>0</v>
      </c>
      <c r="S576" s="6">
        <v>23</v>
      </c>
      <c r="T576" s="6">
        <v>0</v>
      </c>
      <c r="U576" s="6">
        <v>0</v>
      </c>
      <c r="V576" s="6">
        <f>IF(ISERROR(VLOOKUP($S$576,'TAR FIN'!$A$1:$O$100,15,0)),0,VLOOKUP($S$576,'TAR FIN'!$A$1:$O$100,15,0))</f>
        <v>18.48</v>
      </c>
      <c r="W576" s="6">
        <f>IF(ISERROR(VLOOKUP($T$576,'TAR FIN'!$A$1:$O$100,15,0)),0,VLOOKUP($T$576,'TAR FIN'!$A$1:$O$100,15,0))</f>
        <v>0</v>
      </c>
      <c r="X576" s="6">
        <f>IF(ISERROR(VLOOKUP($U$576,'TAR FIN'!$A$1:$O$100,15,0)),0,VLOOKUP($U$576,'TAR FIN'!$A$1:$O$100,15,0))</f>
        <v>0</v>
      </c>
      <c r="Y576" s="6">
        <f ca="1">('TUSD BE'!$AM$20+'TUSD BF'!$AM$20+'TUSD CVA'!$AM$20)*1</f>
        <v>17.856842567448453</v>
      </c>
      <c r="Z576" s="6"/>
      <c r="AA576" s="6"/>
      <c r="AB576" s="6">
        <f>$K$576*$V$576</f>
        <v>177297.12</v>
      </c>
      <c r="AC576" s="6">
        <f>$M$576*$W$576</f>
        <v>0</v>
      </c>
      <c r="AD576" s="6">
        <f>$O$576*$X$576</f>
        <v>0</v>
      </c>
      <c r="AE576" s="6">
        <f ca="1">$K$576*$Y$576</f>
        <v>171318.54759210045</v>
      </c>
      <c r="AF576" s="6">
        <f>$M$576*$Z$576</f>
        <v>0</v>
      </c>
      <c r="AG576" s="6">
        <f>$O$576*$AA$576</f>
        <v>0</v>
      </c>
    </row>
    <row r="577" spans="1:33" ht="11.25" customHeight="1" x14ac:dyDescent="0.25">
      <c r="A577" s="4" t="s">
        <v>28</v>
      </c>
      <c r="B577" s="4" t="s">
        <v>39</v>
      </c>
      <c r="C577" s="4" t="s">
        <v>41</v>
      </c>
      <c r="D577" s="4" t="s">
        <v>45</v>
      </c>
      <c r="E577" s="4" t="s">
        <v>25</v>
      </c>
      <c r="F577" s="4" t="s">
        <v>25</v>
      </c>
      <c r="G577" s="4" t="s">
        <v>25</v>
      </c>
      <c r="H577" s="4" t="s">
        <v>25</v>
      </c>
      <c r="I577" s="5">
        <v>44348</v>
      </c>
      <c r="J577" s="6">
        <v>235</v>
      </c>
      <c r="K577" s="6">
        <v>235</v>
      </c>
      <c r="L577" s="6">
        <v>0</v>
      </c>
      <c r="M577" s="6">
        <v>0</v>
      </c>
      <c r="N577" s="6">
        <v>0</v>
      </c>
      <c r="O577" s="6">
        <v>0</v>
      </c>
      <c r="P577" s="6">
        <v>2</v>
      </c>
      <c r="Q577" s="4" t="s">
        <v>26</v>
      </c>
      <c r="R577" s="4">
        <v>0</v>
      </c>
      <c r="S577" s="6">
        <v>23</v>
      </c>
      <c r="T577" s="6">
        <v>0</v>
      </c>
      <c r="U577" s="6">
        <v>0</v>
      </c>
      <c r="V577" s="6">
        <f>IF(ISERROR(VLOOKUP($S$577,'TAR FIN'!$A$1:$O$100,15,0)),0,VLOOKUP($S$577,'TAR FIN'!$A$1:$O$100,15,0))</f>
        <v>18.48</v>
      </c>
      <c r="W577" s="6">
        <f>IF(ISERROR(VLOOKUP($T$577,'TAR FIN'!$A$1:$O$100,15,0)),0,VLOOKUP($T$577,'TAR FIN'!$A$1:$O$100,15,0))</f>
        <v>0</v>
      </c>
      <c r="X577" s="6">
        <f>IF(ISERROR(VLOOKUP($U$577,'TAR FIN'!$A$1:$O$100,15,0)),0,VLOOKUP($U$577,'TAR FIN'!$A$1:$O$100,15,0))</f>
        <v>0</v>
      </c>
      <c r="Y577" s="6">
        <f ca="1">('TUSD BE'!$AM$20+'TUSD BF'!$AM$20+'TUSD CVA'!$AM$20)*1</f>
        <v>17.856842567448453</v>
      </c>
      <c r="Z577" s="6"/>
      <c r="AA577" s="6"/>
      <c r="AB577" s="6">
        <f>$K$577*$V$577</f>
        <v>4342.8</v>
      </c>
      <c r="AC577" s="6">
        <f>$M$577*$W$577</f>
        <v>0</v>
      </c>
      <c r="AD577" s="6">
        <f>$O$577*$X$577</f>
        <v>0</v>
      </c>
      <c r="AE577" s="6">
        <f ca="1">$K$577*$Y$577</f>
        <v>4196.3580033503868</v>
      </c>
      <c r="AF577" s="6">
        <f>$M$577*$Z$577</f>
        <v>0</v>
      </c>
      <c r="AG577" s="6">
        <f>$O$577*$AA$577</f>
        <v>0</v>
      </c>
    </row>
    <row r="578" spans="1:33" ht="11.25" customHeight="1" x14ac:dyDescent="0.25">
      <c r="A578" s="4" t="s">
        <v>21</v>
      </c>
      <c r="B578" s="4" t="s">
        <v>39</v>
      </c>
      <c r="C578" s="4" t="s">
        <v>41</v>
      </c>
      <c r="D578" s="4" t="s">
        <v>45</v>
      </c>
      <c r="E578" s="4" t="s">
        <v>25</v>
      </c>
      <c r="F578" s="4" t="s">
        <v>25</v>
      </c>
      <c r="G578" s="4" t="s">
        <v>25</v>
      </c>
      <c r="H578" s="4" t="s">
        <v>25</v>
      </c>
      <c r="I578" s="5">
        <v>44378</v>
      </c>
      <c r="J578" s="6">
        <v>9755</v>
      </c>
      <c r="K578" s="6">
        <v>9755</v>
      </c>
      <c r="L578" s="6">
        <v>0</v>
      </c>
      <c r="M578" s="6">
        <v>0</v>
      </c>
      <c r="N578" s="6">
        <v>0</v>
      </c>
      <c r="O578" s="6">
        <v>0</v>
      </c>
      <c r="P578" s="6">
        <v>50</v>
      </c>
      <c r="Q578" s="4" t="s">
        <v>26</v>
      </c>
      <c r="R578" s="4">
        <v>0</v>
      </c>
      <c r="S578" s="6">
        <v>23</v>
      </c>
      <c r="T578" s="6">
        <v>0</v>
      </c>
      <c r="U578" s="6">
        <v>0</v>
      </c>
      <c r="V578" s="6">
        <f>IF(ISERROR(VLOOKUP($S$578,'TAR FIN'!$A$1:$O$100,15,0)),0,VLOOKUP($S$578,'TAR FIN'!$A$1:$O$100,15,0))</f>
        <v>18.48</v>
      </c>
      <c r="W578" s="6">
        <f>IF(ISERROR(VLOOKUP($T$578,'TAR FIN'!$A$1:$O$100,15,0)),0,VLOOKUP($T$578,'TAR FIN'!$A$1:$O$100,15,0))</f>
        <v>0</v>
      </c>
      <c r="X578" s="6">
        <f>IF(ISERROR(VLOOKUP($U$578,'TAR FIN'!$A$1:$O$100,15,0)),0,VLOOKUP($U$578,'TAR FIN'!$A$1:$O$100,15,0))</f>
        <v>0</v>
      </c>
      <c r="Y578" s="6">
        <f ca="1">('TUSD BE'!$AM$20+'TUSD BF'!$AM$20+'TUSD CVA'!$AM$20)*1</f>
        <v>17.856842567448453</v>
      </c>
      <c r="Z578" s="6"/>
      <c r="AA578" s="6"/>
      <c r="AB578" s="6">
        <f>$K$578*$V$578</f>
        <v>180272.4</v>
      </c>
      <c r="AC578" s="6">
        <f>$M$578*$W$578</f>
        <v>0</v>
      </c>
      <c r="AD578" s="6">
        <f>$O$578*$X$578</f>
        <v>0</v>
      </c>
      <c r="AE578" s="6">
        <f ca="1">$K$578*$Y$578</f>
        <v>174193.49924545965</v>
      </c>
      <c r="AF578" s="6">
        <f>$M$578*$Z$578</f>
        <v>0</v>
      </c>
      <c r="AG578" s="6">
        <f>$O$578*$AA$578</f>
        <v>0</v>
      </c>
    </row>
    <row r="579" spans="1:33" ht="11.25" customHeight="1" x14ac:dyDescent="0.25">
      <c r="A579" s="4" t="s">
        <v>28</v>
      </c>
      <c r="B579" s="4" t="s">
        <v>39</v>
      </c>
      <c r="C579" s="4" t="s">
        <v>41</v>
      </c>
      <c r="D579" s="4" t="s">
        <v>45</v>
      </c>
      <c r="E579" s="4" t="s">
        <v>25</v>
      </c>
      <c r="F579" s="4" t="s">
        <v>25</v>
      </c>
      <c r="G579" s="4" t="s">
        <v>25</v>
      </c>
      <c r="H579" s="4" t="s">
        <v>25</v>
      </c>
      <c r="I579" s="5">
        <v>44378</v>
      </c>
      <c r="J579" s="6">
        <v>235</v>
      </c>
      <c r="K579" s="6">
        <v>235</v>
      </c>
      <c r="L579" s="6">
        <v>0</v>
      </c>
      <c r="M579" s="6">
        <v>0</v>
      </c>
      <c r="N579" s="6">
        <v>0</v>
      </c>
      <c r="O579" s="6">
        <v>0</v>
      </c>
      <c r="P579" s="6">
        <v>2</v>
      </c>
      <c r="Q579" s="4" t="s">
        <v>26</v>
      </c>
      <c r="R579" s="4">
        <v>0</v>
      </c>
      <c r="S579" s="6">
        <v>23</v>
      </c>
      <c r="T579" s="6">
        <v>0</v>
      </c>
      <c r="U579" s="6">
        <v>0</v>
      </c>
      <c r="V579" s="6">
        <f>IF(ISERROR(VLOOKUP($S$579,'TAR FIN'!$A$1:$O$100,15,0)),0,VLOOKUP($S$579,'TAR FIN'!$A$1:$O$100,15,0))</f>
        <v>18.48</v>
      </c>
      <c r="W579" s="6">
        <f>IF(ISERROR(VLOOKUP($T$579,'TAR FIN'!$A$1:$O$100,15,0)),0,VLOOKUP($T$579,'TAR FIN'!$A$1:$O$100,15,0))</f>
        <v>0</v>
      </c>
      <c r="X579" s="6">
        <f>IF(ISERROR(VLOOKUP($U$579,'TAR FIN'!$A$1:$O$100,15,0)),0,VLOOKUP($U$579,'TAR FIN'!$A$1:$O$100,15,0))</f>
        <v>0</v>
      </c>
      <c r="Y579" s="6">
        <f ca="1">('TUSD BE'!$AM$20+'TUSD BF'!$AM$20+'TUSD CVA'!$AM$20)*1</f>
        <v>17.856842567448453</v>
      </c>
      <c r="Z579" s="6"/>
      <c r="AA579" s="6"/>
      <c r="AB579" s="6">
        <f>$K$579*$V$579</f>
        <v>4342.8</v>
      </c>
      <c r="AC579" s="6">
        <f>$M$579*$W$579</f>
        <v>0</v>
      </c>
      <c r="AD579" s="6">
        <f>$O$579*$X$579</f>
        <v>0</v>
      </c>
      <c r="AE579" s="6">
        <f ca="1">$K$579*$Y$579</f>
        <v>4196.3580033503868</v>
      </c>
      <c r="AF579" s="6">
        <f>$M$579*$Z$579</f>
        <v>0</v>
      </c>
      <c r="AG579" s="6">
        <f>$O$579*$AA$579</f>
        <v>0</v>
      </c>
    </row>
    <row r="580" spans="1:33" ht="11.25" customHeight="1" x14ac:dyDescent="0.25">
      <c r="A580" s="4" t="s">
        <v>21</v>
      </c>
      <c r="B580" s="4" t="s">
        <v>39</v>
      </c>
      <c r="C580" s="4" t="s">
        <v>41</v>
      </c>
      <c r="D580" s="4" t="s">
        <v>45</v>
      </c>
      <c r="E580" s="4" t="s">
        <v>25</v>
      </c>
      <c r="F580" s="4" t="s">
        <v>25</v>
      </c>
      <c r="G580" s="4" t="s">
        <v>25</v>
      </c>
      <c r="H580" s="4" t="s">
        <v>25</v>
      </c>
      <c r="I580" s="5">
        <v>44409</v>
      </c>
      <c r="J580" s="6">
        <v>9729</v>
      </c>
      <c r="K580" s="6">
        <v>9729</v>
      </c>
      <c r="L580" s="6">
        <v>0</v>
      </c>
      <c r="M580" s="6">
        <v>0</v>
      </c>
      <c r="N580" s="6">
        <v>0</v>
      </c>
      <c r="O580" s="6">
        <v>0</v>
      </c>
      <c r="P580" s="6">
        <v>50</v>
      </c>
      <c r="Q580" s="4" t="s">
        <v>26</v>
      </c>
      <c r="R580" s="4">
        <v>0</v>
      </c>
      <c r="S580" s="6">
        <v>23</v>
      </c>
      <c r="T580" s="6">
        <v>0</v>
      </c>
      <c r="U580" s="6">
        <v>0</v>
      </c>
      <c r="V580" s="6">
        <f>IF(ISERROR(VLOOKUP($S$580,'TAR FIN'!$A$1:$O$100,15,0)),0,VLOOKUP($S$580,'TAR FIN'!$A$1:$O$100,15,0))</f>
        <v>18.48</v>
      </c>
      <c r="W580" s="6">
        <f>IF(ISERROR(VLOOKUP($T$580,'TAR FIN'!$A$1:$O$100,15,0)),0,VLOOKUP($T$580,'TAR FIN'!$A$1:$O$100,15,0))</f>
        <v>0</v>
      </c>
      <c r="X580" s="6">
        <f>IF(ISERROR(VLOOKUP($U$580,'TAR FIN'!$A$1:$O$100,15,0)),0,VLOOKUP($U$580,'TAR FIN'!$A$1:$O$100,15,0))</f>
        <v>0</v>
      </c>
      <c r="Y580" s="6">
        <f ca="1">('TUSD BE'!$AM$20+'TUSD BF'!$AM$20+'TUSD CVA'!$AM$20)*1</f>
        <v>17.856842567448453</v>
      </c>
      <c r="Z580" s="6"/>
      <c r="AA580" s="6"/>
      <c r="AB580" s="6">
        <f>$K$580*$V$580</f>
        <v>179791.92</v>
      </c>
      <c r="AC580" s="6">
        <f>$M$580*$W$580</f>
        <v>0</v>
      </c>
      <c r="AD580" s="6">
        <f>$O$580*$X$580</f>
        <v>0</v>
      </c>
      <c r="AE580" s="6">
        <f ca="1">$K$580*$Y$580</f>
        <v>173729.221338706</v>
      </c>
      <c r="AF580" s="6">
        <f>$M$580*$Z$580</f>
        <v>0</v>
      </c>
      <c r="AG580" s="6">
        <f>$O$580*$AA$580</f>
        <v>0</v>
      </c>
    </row>
    <row r="581" spans="1:33" ht="11.25" customHeight="1" x14ac:dyDescent="0.25">
      <c r="A581" s="4" t="s">
        <v>28</v>
      </c>
      <c r="B581" s="4" t="s">
        <v>39</v>
      </c>
      <c r="C581" s="4" t="s">
        <v>41</v>
      </c>
      <c r="D581" s="4" t="s">
        <v>45</v>
      </c>
      <c r="E581" s="4" t="s">
        <v>25</v>
      </c>
      <c r="F581" s="4" t="s">
        <v>25</v>
      </c>
      <c r="G581" s="4" t="s">
        <v>25</v>
      </c>
      <c r="H581" s="4" t="s">
        <v>25</v>
      </c>
      <c r="I581" s="5">
        <v>44409</v>
      </c>
      <c r="J581" s="6">
        <v>235</v>
      </c>
      <c r="K581" s="6">
        <v>235</v>
      </c>
      <c r="L581" s="6">
        <v>0</v>
      </c>
      <c r="M581" s="6">
        <v>0</v>
      </c>
      <c r="N581" s="6">
        <v>0</v>
      </c>
      <c r="O581" s="6">
        <v>0</v>
      </c>
      <c r="P581" s="6">
        <v>2</v>
      </c>
      <c r="Q581" s="4" t="s">
        <v>26</v>
      </c>
      <c r="R581" s="4">
        <v>0</v>
      </c>
      <c r="S581" s="6">
        <v>23</v>
      </c>
      <c r="T581" s="6">
        <v>0</v>
      </c>
      <c r="U581" s="6">
        <v>0</v>
      </c>
      <c r="V581" s="6">
        <f>IF(ISERROR(VLOOKUP($S$581,'TAR FIN'!$A$1:$O$100,15,0)),0,VLOOKUP($S$581,'TAR FIN'!$A$1:$O$100,15,0))</f>
        <v>18.48</v>
      </c>
      <c r="W581" s="6">
        <f>IF(ISERROR(VLOOKUP($T$581,'TAR FIN'!$A$1:$O$100,15,0)),0,VLOOKUP($T$581,'TAR FIN'!$A$1:$O$100,15,0))</f>
        <v>0</v>
      </c>
      <c r="X581" s="6">
        <f>IF(ISERROR(VLOOKUP($U$581,'TAR FIN'!$A$1:$O$100,15,0)),0,VLOOKUP($U$581,'TAR FIN'!$A$1:$O$100,15,0))</f>
        <v>0</v>
      </c>
      <c r="Y581" s="6">
        <f ca="1">('TUSD BE'!$AM$20+'TUSD BF'!$AM$20+'TUSD CVA'!$AM$20)*1</f>
        <v>17.856842567448453</v>
      </c>
      <c r="Z581" s="6"/>
      <c r="AA581" s="6"/>
      <c r="AB581" s="6">
        <f>$K$581*$V$581</f>
        <v>4342.8</v>
      </c>
      <c r="AC581" s="6">
        <f>$M$581*$W$581</f>
        <v>0</v>
      </c>
      <c r="AD581" s="6">
        <f>$O$581*$X$581</f>
        <v>0</v>
      </c>
      <c r="AE581" s="6">
        <f ca="1">$K$581*$Y$581</f>
        <v>4196.3580033503868</v>
      </c>
      <c r="AF581" s="6">
        <f>$M$581*$Z$581</f>
        <v>0</v>
      </c>
      <c r="AG581" s="6">
        <f>$O$581*$AA$581</f>
        <v>0</v>
      </c>
    </row>
    <row r="582" spans="1:33" ht="11.25" customHeight="1" x14ac:dyDescent="0.25">
      <c r="A582" s="4" t="s">
        <v>21</v>
      </c>
      <c r="B582" s="4" t="s">
        <v>39</v>
      </c>
      <c r="C582" s="4" t="s">
        <v>41</v>
      </c>
      <c r="D582" s="4" t="s">
        <v>45</v>
      </c>
      <c r="E582" s="4" t="s">
        <v>25</v>
      </c>
      <c r="F582" s="4" t="s">
        <v>25</v>
      </c>
      <c r="G582" s="4" t="s">
        <v>25</v>
      </c>
      <c r="H582" s="4" t="s">
        <v>25</v>
      </c>
      <c r="I582" s="5">
        <v>44440</v>
      </c>
      <c r="J582" s="6">
        <v>9590</v>
      </c>
      <c r="K582" s="6">
        <v>9590</v>
      </c>
      <c r="L582" s="6">
        <v>0</v>
      </c>
      <c r="M582" s="6">
        <v>0</v>
      </c>
      <c r="N582" s="6">
        <v>0</v>
      </c>
      <c r="O582" s="6">
        <v>0</v>
      </c>
      <c r="P582" s="6">
        <v>50</v>
      </c>
      <c r="Q582" s="4" t="s">
        <v>26</v>
      </c>
      <c r="R582" s="4">
        <v>0</v>
      </c>
      <c r="S582" s="6">
        <v>23</v>
      </c>
      <c r="T582" s="6">
        <v>0</v>
      </c>
      <c r="U582" s="6">
        <v>0</v>
      </c>
      <c r="V582" s="6">
        <f>IF(ISERROR(VLOOKUP($S$582,'TAR FIN'!$A$1:$O$100,15,0)),0,VLOOKUP($S$582,'TAR FIN'!$A$1:$O$100,15,0))</f>
        <v>18.48</v>
      </c>
      <c r="W582" s="6">
        <f>IF(ISERROR(VLOOKUP($T$582,'TAR FIN'!$A$1:$O$100,15,0)),0,VLOOKUP($T$582,'TAR FIN'!$A$1:$O$100,15,0))</f>
        <v>0</v>
      </c>
      <c r="X582" s="6">
        <f>IF(ISERROR(VLOOKUP($U$582,'TAR FIN'!$A$1:$O$100,15,0)),0,VLOOKUP($U$582,'TAR FIN'!$A$1:$O$100,15,0))</f>
        <v>0</v>
      </c>
      <c r="Y582" s="6">
        <f ca="1">('TUSD BE'!$AM$20+'TUSD BF'!$AM$20+'TUSD CVA'!$AM$20)*1</f>
        <v>17.856842567448453</v>
      </c>
      <c r="Z582" s="6"/>
      <c r="AA582" s="6"/>
      <c r="AB582" s="6">
        <f>$K$582*$V$582</f>
        <v>177223.2</v>
      </c>
      <c r="AC582" s="6">
        <f>$M$582*$W$582</f>
        <v>0</v>
      </c>
      <c r="AD582" s="6">
        <f>$O$582*$X$582</f>
        <v>0</v>
      </c>
      <c r="AE582" s="6">
        <f ca="1">$K$582*$Y$582</f>
        <v>171247.12022183067</v>
      </c>
      <c r="AF582" s="6">
        <f>$M$582*$Z$582</f>
        <v>0</v>
      </c>
      <c r="AG582" s="6">
        <f>$O$582*$AA$582</f>
        <v>0</v>
      </c>
    </row>
    <row r="583" spans="1:33" ht="11.25" customHeight="1" x14ac:dyDescent="0.25">
      <c r="A583" s="4" t="s">
        <v>28</v>
      </c>
      <c r="B583" s="4" t="s">
        <v>39</v>
      </c>
      <c r="C583" s="4" t="s">
        <v>41</v>
      </c>
      <c r="D583" s="4" t="s">
        <v>45</v>
      </c>
      <c r="E583" s="4" t="s">
        <v>25</v>
      </c>
      <c r="F583" s="4" t="s">
        <v>25</v>
      </c>
      <c r="G583" s="4" t="s">
        <v>25</v>
      </c>
      <c r="H583" s="4" t="s">
        <v>25</v>
      </c>
      <c r="I583" s="5">
        <v>44440</v>
      </c>
      <c r="J583" s="6">
        <v>235</v>
      </c>
      <c r="K583" s="6">
        <v>235</v>
      </c>
      <c r="L583" s="6">
        <v>0</v>
      </c>
      <c r="M583" s="6">
        <v>0</v>
      </c>
      <c r="N583" s="6">
        <v>0</v>
      </c>
      <c r="O583" s="6">
        <v>0</v>
      </c>
      <c r="P583" s="6">
        <v>2</v>
      </c>
      <c r="Q583" s="4" t="s">
        <v>26</v>
      </c>
      <c r="R583" s="4">
        <v>0</v>
      </c>
      <c r="S583" s="6">
        <v>23</v>
      </c>
      <c r="T583" s="6">
        <v>0</v>
      </c>
      <c r="U583" s="6">
        <v>0</v>
      </c>
      <c r="V583" s="6">
        <f>IF(ISERROR(VLOOKUP($S$583,'TAR FIN'!$A$1:$O$100,15,0)),0,VLOOKUP($S$583,'TAR FIN'!$A$1:$O$100,15,0))</f>
        <v>18.48</v>
      </c>
      <c r="W583" s="6">
        <f>IF(ISERROR(VLOOKUP($T$583,'TAR FIN'!$A$1:$O$100,15,0)),0,VLOOKUP($T$583,'TAR FIN'!$A$1:$O$100,15,0))</f>
        <v>0</v>
      </c>
      <c r="X583" s="6">
        <f>IF(ISERROR(VLOOKUP($U$583,'TAR FIN'!$A$1:$O$100,15,0)),0,VLOOKUP($U$583,'TAR FIN'!$A$1:$O$100,15,0))</f>
        <v>0</v>
      </c>
      <c r="Y583" s="6">
        <f ca="1">('TUSD BE'!$AM$20+'TUSD BF'!$AM$20+'TUSD CVA'!$AM$20)*1</f>
        <v>17.856842567448453</v>
      </c>
      <c r="Z583" s="6"/>
      <c r="AA583" s="6"/>
      <c r="AB583" s="6">
        <f>$K$583*$V$583</f>
        <v>4342.8</v>
      </c>
      <c r="AC583" s="6">
        <f>$M$583*$W$583</f>
        <v>0</v>
      </c>
      <c r="AD583" s="6">
        <f>$O$583*$X$583</f>
        <v>0</v>
      </c>
      <c r="AE583" s="6">
        <f ca="1">$K$583*$Y$583</f>
        <v>4196.3580033503868</v>
      </c>
      <c r="AF583" s="6">
        <f>$M$583*$Z$583</f>
        <v>0</v>
      </c>
      <c r="AG583" s="6">
        <f>$O$583*$AA$583</f>
        <v>0</v>
      </c>
    </row>
    <row r="584" spans="1:33" ht="11.25" customHeight="1" x14ac:dyDescent="0.25">
      <c r="A584" s="4" t="s">
        <v>21</v>
      </c>
      <c r="B584" s="4" t="s">
        <v>39</v>
      </c>
      <c r="C584" s="4" t="s">
        <v>41</v>
      </c>
      <c r="D584" s="4" t="s">
        <v>45</v>
      </c>
      <c r="E584" s="4" t="s">
        <v>25</v>
      </c>
      <c r="F584" s="4" t="s">
        <v>25</v>
      </c>
      <c r="G584" s="4" t="s">
        <v>25</v>
      </c>
      <c r="H584" s="4" t="s">
        <v>25</v>
      </c>
      <c r="I584" s="5">
        <v>44470</v>
      </c>
      <c r="J584" s="6">
        <v>9600</v>
      </c>
      <c r="K584" s="6">
        <v>9600</v>
      </c>
      <c r="L584" s="6">
        <v>0</v>
      </c>
      <c r="M584" s="6">
        <v>0</v>
      </c>
      <c r="N584" s="6">
        <v>0</v>
      </c>
      <c r="O584" s="6">
        <v>0</v>
      </c>
      <c r="P584" s="6">
        <v>50</v>
      </c>
      <c r="Q584" s="4" t="s">
        <v>26</v>
      </c>
      <c r="R584" s="4">
        <v>0</v>
      </c>
      <c r="S584" s="6">
        <v>23</v>
      </c>
      <c r="T584" s="6">
        <v>0</v>
      </c>
      <c r="U584" s="6">
        <v>0</v>
      </c>
      <c r="V584" s="6">
        <f>IF(ISERROR(VLOOKUP($S$584,'TAR FIN'!$A$1:$O$100,15,0)),0,VLOOKUP($S$584,'TAR FIN'!$A$1:$O$100,15,0))</f>
        <v>18.48</v>
      </c>
      <c r="W584" s="6">
        <f>IF(ISERROR(VLOOKUP($T$584,'TAR FIN'!$A$1:$O$100,15,0)),0,VLOOKUP($T$584,'TAR FIN'!$A$1:$O$100,15,0))</f>
        <v>0</v>
      </c>
      <c r="X584" s="6">
        <f>IF(ISERROR(VLOOKUP($U$584,'TAR FIN'!$A$1:$O$100,15,0)),0,VLOOKUP($U$584,'TAR FIN'!$A$1:$O$100,15,0))</f>
        <v>0</v>
      </c>
      <c r="Y584" s="6">
        <f ca="1">('TUSD BE'!$AM$20+'TUSD BF'!$AM$20+'TUSD CVA'!$AM$20)*1</f>
        <v>17.856842567448453</v>
      </c>
      <c r="Z584" s="6"/>
      <c r="AA584" s="6"/>
      <c r="AB584" s="6">
        <f>$K$584*$V$584</f>
        <v>177408</v>
      </c>
      <c r="AC584" s="6">
        <f>$M$584*$W$584</f>
        <v>0</v>
      </c>
      <c r="AD584" s="6">
        <f>$O$584*$X$584</f>
        <v>0</v>
      </c>
      <c r="AE584" s="6">
        <f ca="1">$K$584*$Y$584</f>
        <v>171425.68864750516</v>
      </c>
      <c r="AF584" s="6">
        <f>$M$584*$Z$584</f>
        <v>0</v>
      </c>
      <c r="AG584" s="6">
        <f>$O$584*$AA$584</f>
        <v>0</v>
      </c>
    </row>
    <row r="585" spans="1:33" ht="11.25" customHeight="1" x14ac:dyDescent="0.25">
      <c r="A585" s="4" t="s">
        <v>28</v>
      </c>
      <c r="B585" s="4" t="s">
        <v>39</v>
      </c>
      <c r="C585" s="4" t="s">
        <v>41</v>
      </c>
      <c r="D585" s="4" t="s">
        <v>45</v>
      </c>
      <c r="E585" s="4" t="s">
        <v>25</v>
      </c>
      <c r="F585" s="4" t="s">
        <v>25</v>
      </c>
      <c r="G585" s="4" t="s">
        <v>25</v>
      </c>
      <c r="H585" s="4" t="s">
        <v>25</v>
      </c>
      <c r="I585" s="5">
        <v>44470</v>
      </c>
      <c r="J585" s="6">
        <v>235</v>
      </c>
      <c r="K585" s="6">
        <v>235</v>
      </c>
      <c r="L585" s="6">
        <v>0</v>
      </c>
      <c r="M585" s="6">
        <v>0</v>
      </c>
      <c r="N585" s="6">
        <v>0</v>
      </c>
      <c r="O585" s="6">
        <v>0</v>
      </c>
      <c r="P585" s="6">
        <v>2</v>
      </c>
      <c r="Q585" s="4" t="s">
        <v>26</v>
      </c>
      <c r="R585" s="4">
        <v>0</v>
      </c>
      <c r="S585" s="6">
        <v>23</v>
      </c>
      <c r="T585" s="6">
        <v>0</v>
      </c>
      <c r="U585" s="6">
        <v>0</v>
      </c>
      <c r="V585" s="6">
        <f>IF(ISERROR(VLOOKUP($S$585,'TAR FIN'!$A$1:$O$100,15,0)),0,VLOOKUP($S$585,'TAR FIN'!$A$1:$O$100,15,0))</f>
        <v>18.48</v>
      </c>
      <c r="W585" s="6">
        <f>IF(ISERROR(VLOOKUP($T$585,'TAR FIN'!$A$1:$O$100,15,0)),0,VLOOKUP($T$585,'TAR FIN'!$A$1:$O$100,15,0))</f>
        <v>0</v>
      </c>
      <c r="X585" s="6">
        <f>IF(ISERROR(VLOOKUP($U$585,'TAR FIN'!$A$1:$O$100,15,0)),0,VLOOKUP($U$585,'TAR FIN'!$A$1:$O$100,15,0))</f>
        <v>0</v>
      </c>
      <c r="Y585" s="6">
        <f ca="1">('TUSD BE'!$AM$20+'TUSD BF'!$AM$20+'TUSD CVA'!$AM$20)*1</f>
        <v>17.856842567448453</v>
      </c>
      <c r="Z585" s="6"/>
      <c r="AA585" s="6"/>
      <c r="AB585" s="6">
        <f>$K$585*$V$585</f>
        <v>4342.8</v>
      </c>
      <c r="AC585" s="6">
        <f>$M$585*$W$585</f>
        <v>0</v>
      </c>
      <c r="AD585" s="6">
        <f>$O$585*$X$585</f>
        <v>0</v>
      </c>
      <c r="AE585" s="6">
        <f ca="1">$K$585*$Y$585</f>
        <v>4196.3580033503868</v>
      </c>
      <c r="AF585" s="6">
        <f>$M$585*$Z$585</f>
        <v>0</v>
      </c>
      <c r="AG585" s="6">
        <f>$O$585*$AA$585</f>
        <v>0</v>
      </c>
    </row>
    <row r="586" spans="1:33" ht="11.25" customHeight="1" x14ac:dyDescent="0.25">
      <c r="A586" s="4" t="s">
        <v>21</v>
      </c>
      <c r="B586" s="4" t="s">
        <v>39</v>
      </c>
      <c r="C586" s="4" t="s">
        <v>41</v>
      </c>
      <c r="D586" s="4" t="s">
        <v>45</v>
      </c>
      <c r="E586" s="4" t="s">
        <v>25</v>
      </c>
      <c r="F586" s="4" t="s">
        <v>25</v>
      </c>
      <c r="G586" s="4" t="s">
        <v>25</v>
      </c>
      <c r="H586" s="4" t="s">
        <v>25</v>
      </c>
      <c r="I586" s="5">
        <v>44501</v>
      </c>
      <c r="J586" s="6">
        <v>9798</v>
      </c>
      <c r="K586" s="6">
        <v>9798</v>
      </c>
      <c r="L586" s="6">
        <v>0</v>
      </c>
      <c r="M586" s="6">
        <v>0</v>
      </c>
      <c r="N586" s="6">
        <v>0</v>
      </c>
      <c r="O586" s="6">
        <v>0</v>
      </c>
      <c r="P586" s="6">
        <v>50</v>
      </c>
      <c r="Q586" s="4" t="s">
        <v>26</v>
      </c>
      <c r="R586" s="4">
        <v>0</v>
      </c>
      <c r="S586" s="6">
        <v>23</v>
      </c>
      <c r="T586" s="6">
        <v>0</v>
      </c>
      <c r="U586" s="6">
        <v>0</v>
      </c>
      <c r="V586" s="6">
        <f>IF(ISERROR(VLOOKUP($S$586,'TAR FIN'!$A$1:$O$100,15,0)),0,VLOOKUP($S$586,'TAR FIN'!$A$1:$O$100,15,0))</f>
        <v>18.48</v>
      </c>
      <c r="W586" s="6">
        <f>IF(ISERROR(VLOOKUP($T$586,'TAR FIN'!$A$1:$O$100,15,0)),0,VLOOKUP($T$586,'TAR FIN'!$A$1:$O$100,15,0))</f>
        <v>0</v>
      </c>
      <c r="X586" s="6">
        <f>IF(ISERROR(VLOOKUP($U$586,'TAR FIN'!$A$1:$O$100,15,0)),0,VLOOKUP($U$586,'TAR FIN'!$A$1:$O$100,15,0))</f>
        <v>0</v>
      </c>
      <c r="Y586" s="6">
        <f ca="1">('TUSD BE'!$AM$20+'TUSD BF'!$AM$20+'TUSD CVA'!$AM$20)*1</f>
        <v>17.856842567448453</v>
      </c>
      <c r="Z586" s="6"/>
      <c r="AA586" s="6"/>
      <c r="AB586" s="6">
        <f>$K$586*$V$586</f>
        <v>181067.04</v>
      </c>
      <c r="AC586" s="6">
        <f>$M$586*$W$586</f>
        <v>0</v>
      </c>
      <c r="AD586" s="6">
        <f>$O$586*$X$586</f>
        <v>0</v>
      </c>
      <c r="AE586" s="6">
        <f ca="1">$K$586*$Y$586</f>
        <v>174961.34347585993</v>
      </c>
      <c r="AF586" s="6">
        <f>$M$586*$Z$586</f>
        <v>0</v>
      </c>
      <c r="AG586" s="6">
        <f>$O$586*$AA$586</f>
        <v>0</v>
      </c>
    </row>
    <row r="587" spans="1:33" ht="11.25" customHeight="1" x14ac:dyDescent="0.25">
      <c r="A587" s="4" t="s">
        <v>27</v>
      </c>
      <c r="B587" s="4" t="s">
        <v>39</v>
      </c>
      <c r="C587" s="4" t="s">
        <v>41</v>
      </c>
      <c r="D587" s="4" t="s">
        <v>45</v>
      </c>
      <c r="E587" s="4" t="s">
        <v>25</v>
      </c>
      <c r="F587" s="4" t="s">
        <v>25</v>
      </c>
      <c r="G587" s="4" t="s">
        <v>25</v>
      </c>
      <c r="H587" s="4" t="s">
        <v>25</v>
      </c>
      <c r="I587" s="5">
        <v>44501</v>
      </c>
      <c r="J587" s="6">
        <v>82</v>
      </c>
      <c r="K587" s="6">
        <v>82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4" t="s">
        <v>26</v>
      </c>
      <c r="R587" s="4">
        <v>0</v>
      </c>
      <c r="S587" s="6">
        <v>23</v>
      </c>
      <c r="T587" s="6">
        <v>0</v>
      </c>
      <c r="U587" s="6">
        <v>0</v>
      </c>
      <c r="V587" s="6">
        <f>IF(ISERROR(VLOOKUP($S$587,'TAR FIN'!$A$1:$O$100,15,0)),0,VLOOKUP($S$587,'TAR FIN'!$A$1:$O$100,15,0))</f>
        <v>18.48</v>
      </c>
      <c r="W587" s="6">
        <f>IF(ISERROR(VLOOKUP($T$587,'TAR FIN'!$A$1:$O$100,15,0)),0,VLOOKUP($T$587,'TAR FIN'!$A$1:$O$100,15,0))</f>
        <v>0</v>
      </c>
      <c r="X587" s="6">
        <f>IF(ISERROR(VLOOKUP($U$587,'TAR FIN'!$A$1:$O$100,15,0)),0,VLOOKUP($U$587,'TAR FIN'!$A$1:$O$100,15,0))</f>
        <v>0</v>
      </c>
      <c r="Y587" s="6">
        <f ca="1">('TUSD BE'!$AM$20+'TUSD BF'!$AM$20+'TUSD CVA'!$AM$20)*1</f>
        <v>17.856842567448453</v>
      </c>
      <c r="Z587" s="6"/>
      <c r="AA587" s="6"/>
      <c r="AB587" s="6">
        <f>$K$587*$V$587</f>
        <v>1515.3600000000001</v>
      </c>
      <c r="AC587" s="6">
        <f>$M$587*$W$587</f>
        <v>0</v>
      </c>
      <c r="AD587" s="6">
        <f>$O$587*$X$587</f>
        <v>0</v>
      </c>
      <c r="AE587" s="6">
        <f ca="1">$K$587*$Y$587</f>
        <v>1464.2610905307731</v>
      </c>
      <c r="AF587" s="6">
        <f>$M$587*$Z$587</f>
        <v>0</v>
      </c>
      <c r="AG587" s="6">
        <f>$O$587*$AA$587</f>
        <v>0</v>
      </c>
    </row>
    <row r="588" spans="1:33" ht="11.25" customHeight="1" x14ac:dyDescent="0.25">
      <c r="A588" s="4" t="s">
        <v>28</v>
      </c>
      <c r="B588" s="4" t="s">
        <v>39</v>
      </c>
      <c r="C588" s="4" t="s">
        <v>41</v>
      </c>
      <c r="D588" s="4" t="s">
        <v>45</v>
      </c>
      <c r="E588" s="4" t="s">
        <v>25</v>
      </c>
      <c r="F588" s="4" t="s">
        <v>25</v>
      </c>
      <c r="G588" s="4" t="s">
        <v>25</v>
      </c>
      <c r="H588" s="4" t="s">
        <v>25</v>
      </c>
      <c r="I588" s="5">
        <v>44501</v>
      </c>
      <c r="J588" s="6">
        <v>235</v>
      </c>
      <c r="K588" s="6">
        <v>235</v>
      </c>
      <c r="L588" s="6">
        <v>0</v>
      </c>
      <c r="M588" s="6">
        <v>0</v>
      </c>
      <c r="N588" s="6">
        <v>0</v>
      </c>
      <c r="O588" s="6">
        <v>0</v>
      </c>
      <c r="P588" s="6">
        <v>2</v>
      </c>
      <c r="Q588" s="4" t="s">
        <v>26</v>
      </c>
      <c r="R588" s="4">
        <v>0</v>
      </c>
      <c r="S588" s="6">
        <v>23</v>
      </c>
      <c r="T588" s="6">
        <v>0</v>
      </c>
      <c r="U588" s="6">
        <v>0</v>
      </c>
      <c r="V588" s="6">
        <f>IF(ISERROR(VLOOKUP($S$588,'TAR FIN'!$A$1:$O$100,15,0)),0,VLOOKUP($S$588,'TAR FIN'!$A$1:$O$100,15,0))</f>
        <v>18.48</v>
      </c>
      <c r="W588" s="6">
        <f>IF(ISERROR(VLOOKUP($T$588,'TAR FIN'!$A$1:$O$100,15,0)),0,VLOOKUP($T$588,'TAR FIN'!$A$1:$O$100,15,0))</f>
        <v>0</v>
      </c>
      <c r="X588" s="6">
        <f>IF(ISERROR(VLOOKUP($U$588,'TAR FIN'!$A$1:$O$100,15,0)),0,VLOOKUP($U$588,'TAR FIN'!$A$1:$O$100,15,0))</f>
        <v>0</v>
      </c>
      <c r="Y588" s="6">
        <f ca="1">('TUSD BE'!$AM$20+'TUSD BF'!$AM$20+'TUSD CVA'!$AM$20)*1</f>
        <v>17.856842567448453</v>
      </c>
      <c r="Z588" s="6"/>
      <c r="AA588" s="6"/>
      <c r="AB588" s="6">
        <f>$K$588*$V$588</f>
        <v>4342.8</v>
      </c>
      <c r="AC588" s="6">
        <f>$M$588*$W$588</f>
        <v>0</v>
      </c>
      <c r="AD588" s="6">
        <f>$O$588*$X$588</f>
        <v>0</v>
      </c>
      <c r="AE588" s="6">
        <f ca="1">$K$588*$Y$588</f>
        <v>4196.3580033503868</v>
      </c>
      <c r="AF588" s="6">
        <f>$M$588*$Z$588</f>
        <v>0</v>
      </c>
      <c r="AG588" s="6">
        <f>$O$588*$AA$588</f>
        <v>0</v>
      </c>
    </row>
    <row r="589" spans="1:33" ht="11.25" customHeight="1" x14ac:dyDescent="0.25">
      <c r="A589" s="4" t="s">
        <v>21</v>
      </c>
      <c r="B589" s="4" t="s">
        <v>39</v>
      </c>
      <c r="C589" s="4" t="s">
        <v>41</v>
      </c>
      <c r="D589" s="4" t="s">
        <v>45</v>
      </c>
      <c r="E589" s="4" t="s">
        <v>25</v>
      </c>
      <c r="F589" s="4" t="s">
        <v>25</v>
      </c>
      <c r="G589" s="4" t="s">
        <v>25</v>
      </c>
      <c r="H589" s="4" t="s">
        <v>25</v>
      </c>
      <c r="I589" s="5">
        <v>44531</v>
      </c>
      <c r="J589" s="6">
        <v>9885</v>
      </c>
      <c r="K589" s="6">
        <v>9885</v>
      </c>
      <c r="L589" s="6">
        <v>0</v>
      </c>
      <c r="M589" s="6">
        <v>0</v>
      </c>
      <c r="N589" s="6">
        <v>0</v>
      </c>
      <c r="O589" s="6">
        <v>0</v>
      </c>
      <c r="P589" s="6">
        <v>51</v>
      </c>
      <c r="Q589" s="4" t="s">
        <v>26</v>
      </c>
      <c r="R589" s="4">
        <v>0</v>
      </c>
      <c r="S589" s="6">
        <v>23</v>
      </c>
      <c r="T589" s="6">
        <v>0</v>
      </c>
      <c r="U589" s="6">
        <v>0</v>
      </c>
      <c r="V589" s="6">
        <f>IF(ISERROR(VLOOKUP($S$589,'TAR FIN'!$A$1:$O$100,15,0)),0,VLOOKUP($S$589,'TAR FIN'!$A$1:$O$100,15,0))</f>
        <v>18.48</v>
      </c>
      <c r="W589" s="6">
        <f>IF(ISERROR(VLOOKUP($T$589,'TAR FIN'!$A$1:$O$100,15,0)),0,VLOOKUP($T$589,'TAR FIN'!$A$1:$O$100,15,0))</f>
        <v>0</v>
      </c>
      <c r="X589" s="6">
        <f>IF(ISERROR(VLOOKUP($U$589,'TAR FIN'!$A$1:$O$100,15,0)),0,VLOOKUP($U$589,'TAR FIN'!$A$1:$O$100,15,0))</f>
        <v>0</v>
      </c>
      <c r="Y589" s="6">
        <f ca="1">('TUSD BE'!$AM$20+'TUSD BF'!$AM$20+'TUSD CVA'!$AM$20)*1</f>
        <v>17.856842567448453</v>
      </c>
      <c r="Z589" s="6"/>
      <c r="AA589" s="6"/>
      <c r="AB589" s="6">
        <f>$K$589*$V$589</f>
        <v>182674.80000000002</v>
      </c>
      <c r="AC589" s="6">
        <f>$M$589*$W$589</f>
        <v>0</v>
      </c>
      <c r="AD589" s="6">
        <f>$O$589*$X$589</f>
        <v>0</v>
      </c>
      <c r="AE589" s="6">
        <f ca="1">$K$589*$Y$589</f>
        <v>176514.88877922797</v>
      </c>
      <c r="AF589" s="6">
        <f>$M$589*$Z$589</f>
        <v>0</v>
      </c>
      <c r="AG589" s="6">
        <f>$O$589*$AA$589</f>
        <v>0</v>
      </c>
    </row>
    <row r="590" spans="1:33" ht="11.25" customHeight="1" x14ac:dyDescent="0.25">
      <c r="A590" s="4" t="s">
        <v>28</v>
      </c>
      <c r="B590" s="4" t="s">
        <v>39</v>
      </c>
      <c r="C590" s="4" t="s">
        <v>41</v>
      </c>
      <c r="D590" s="4" t="s">
        <v>45</v>
      </c>
      <c r="E590" s="4" t="s">
        <v>25</v>
      </c>
      <c r="F590" s="4" t="s">
        <v>25</v>
      </c>
      <c r="G590" s="4" t="s">
        <v>25</v>
      </c>
      <c r="H590" s="4" t="s">
        <v>25</v>
      </c>
      <c r="I590" s="5">
        <v>44531</v>
      </c>
      <c r="J590" s="6">
        <v>235</v>
      </c>
      <c r="K590" s="6">
        <v>235</v>
      </c>
      <c r="L590" s="6">
        <v>0</v>
      </c>
      <c r="M590" s="6">
        <v>0</v>
      </c>
      <c r="N590" s="6">
        <v>0</v>
      </c>
      <c r="O590" s="6">
        <v>0</v>
      </c>
      <c r="P590" s="6">
        <v>2</v>
      </c>
      <c r="Q590" s="4" t="s">
        <v>26</v>
      </c>
      <c r="R590" s="4">
        <v>0</v>
      </c>
      <c r="S590" s="6">
        <v>23</v>
      </c>
      <c r="T590" s="6">
        <v>0</v>
      </c>
      <c r="U590" s="6">
        <v>0</v>
      </c>
      <c r="V590" s="6">
        <f>IF(ISERROR(VLOOKUP($S$590,'TAR FIN'!$A$1:$O$100,15,0)),0,VLOOKUP($S$590,'TAR FIN'!$A$1:$O$100,15,0))</f>
        <v>18.48</v>
      </c>
      <c r="W590" s="6">
        <f>IF(ISERROR(VLOOKUP($T$590,'TAR FIN'!$A$1:$O$100,15,0)),0,VLOOKUP($T$590,'TAR FIN'!$A$1:$O$100,15,0))</f>
        <v>0</v>
      </c>
      <c r="X590" s="6">
        <f>IF(ISERROR(VLOOKUP($U$590,'TAR FIN'!$A$1:$O$100,15,0)),0,VLOOKUP($U$590,'TAR FIN'!$A$1:$O$100,15,0))</f>
        <v>0</v>
      </c>
      <c r="Y590" s="6">
        <f ca="1">('TUSD BE'!$AM$20+'TUSD BF'!$AM$20+'TUSD CVA'!$AM$20)*1</f>
        <v>17.856842567448453</v>
      </c>
      <c r="Z590" s="6"/>
      <c r="AA590" s="6"/>
      <c r="AB590" s="6">
        <f>$K$590*$V$590</f>
        <v>4342.8</v>
      </c>
      <c r="AC590" s="6">
        <f>$M$590*$W$590</f>
        <v>0</v>
      </c>
      <c r="AD590" s="6">
        <f>$O$590*$X$590</f>
        <v>0</v>
      </c>
      <c r="AE590" s="6">
        <f ca="1">$K$590*$Y$590</f>
        <v>4196.3580033503868</v>
      </c>
      <c r="AF590" s="6">
        <f>$M$590*$Z$590</f>
        <v>0</v>
      </c>
      <c r="AG590" s="6">
        <f>$O$590*$AA$590</f>
        <v>0</v>
      </c>
    </row>
    <row r="591" spans="1:33" ht="11.25" customHeight="1" x14ac:dyDescent="0.25">
      <c r="A591" s="4" t="s">
        <v>55</v>
      </c>
      <c r="B591" s="4" t="s">
        <v>39</v>
      </c>
      <c r="C591" s="4" t="s">
        <v>41</v>
      </c>
      <c r="D591" s="4" t="s">
        <v>45</v>
      </c>
      <c r="E591" s="4" t="s">
        <v>25</v>
      </c>
      <c r="F591" s="4" t="s">
        <v>25</v>
      </c>
      <c r="G591" s="4" t="s">
        <v>25</v>
      </c>
      <c r="H591" s="4" t="s">
        <v>25</v>
      </c>
      <c r="I591" s="5">
        <v>44562</v>
      </c>
      <c r="J591" s="6">
        <v>9885</v>
      </c>
      <c r="K591" s="6">
        <v>9885</v>
      </c>
      <c r="L591" s="6">
        <v>0</v>
      </c>
      <c r="M591" s="6">
        <v>0</v>
      </c>
      <c r="N591" s="6">
        <v>0</v>
      </c>
      <c r="O591" s="6">
        <v>0</v>
      </c>
      <c r="P591" s="6">
        <v>51</v>
      </c>
      <c r="Q591" s="4" t="s">
        <v>26</v>
      </c>
      <c r="R591" s="4">
        <v>0</v>
      </c>
      <c r="S591" s="6">
        <v>23</v>
      </c>
      <c r="T591" s="6">
        <v>0</v>
      </c>
      <c r="U591" s="6">
        <v>0</v>
      </c>
      <c r="V591" s="6">
        <f>IF(ISERROR(VLOOKUP($S$591,'TAR FIN'!$A$1:$O$100,15,0)),0,VLOOKUP($S$591,'TAR FIN'!$A$1:$O$100,15,0))</f>
        <v>18.48</v>
      </c>
      <c r="W591" s="6">
        <f>IF(ISERROR(VLOOKUP($T$591,'TAR FIN'!$A$1:$O$100,15,0)),0,VLOOKUP($T$591,'TAR FIN'!$A$1:$O$100,15,0))</f>
        <v>0</v>
      </c>
      <c r="X591" s="6">
        <f>IF(ISERROR(VLOOKUP($U$591,'TAR FIN'!$A$1:$O$100,15,0)),0,VLOOKUP($U$591,'TAR FIN'!$A$1:$O$100,15,0))</f>
        <v>0</v>
      </c>
      <c r="Y591" s="6">
        <f ca="1">('TUSD BE'!$AM$20+'TUSD BF'!$AM$20+'TUSD CVA'!$AM$20)*1</f>
        <v>17.856842567448453</v>
      </c>
      <c r="Z591" s="6"/>
      <c r="AA591" s="6"/>
      <c r="AB591" s="6">
        <f>$K$591*$V$591</f>
        <v>182674.80000000002</v>
      </c>
      <c r="AC591" s="6">
        <f>$M$591*$W$591</f>
        <v>0</v>
      </c>
      <c r="AD591" s="6">
        <f>$O$591*$X$591</f>
        <v>0</v>
      </c>
      <c r="AE591" s="6">
        <f ca="1">$K$591*$Y$591</f>
        <v>176514.88877922797</v>
      </c>
      <c r="AF591" s="6">
        <f>$M$591*$Z$591</f>
        <v>0</v>
      </c>
      <c r="AG591" s="6">
        <f>$O$591*$AA$591</f>
        <v>0</v>
      </c>
    </row>
    <row r="592" spans="1:33" ht="11.25" customHeight="1" x14ac:dyDescent="0.25">
      <c r="A592" s="4" t="s">
        <v>55</v>
      </c>
      <c r="B592" s="4" t="s">
        <v>39</v>
      </c>
      <c r="C592" s="4" t="s">
        <v>41</v>
      </c>
      <c r="D592" s="4" t="s">
        <v>45</v>
      </c>
      <c r="E592" s="4" t="s">
        <v>25</v>
      </c>
      <c r="F592" s="4" t="s">
        <v>25</v>
      </c>
      <c r="G592" s="4" t="s">
        <v>25</v>
      </c>
      <c r="H592" s="4" t="s">
        <v>25</v>
      </c>
      <c r="I592" s="5">
        <v>44562</v>
      </c>
      <c r="J592" s="6">
        <v>235</v>
      </c>
      <c r="K592" s="6">
        <v>235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4" t="s">
        <v>26</v>
      </c>
      <c r="R592" s="4">
        <v>0</v>
      </c>
      <c r="S592" s="6">
        <v>23</v>
      </c>
      <c r="T592" s="6">
        <v>0</v>
      </c>
      <c r="U592" s="6">
        <v>0</v>
      </c>
      <c r="V592" s="6">
        <f>IF(ISERROR(VLOOKUP($S$592,'TAR FIN'!$A$1:$O$100,15,0)),0,VLOOKUP($S$592,'TAR FIN'!$A$1:$O$100,15,0))</f>
        <v>18.48</v>
      </c>
      <c r="W592" s="6">
        <f>IF(ISERROR(VLOOKUP($T$592,'TAR FIN'!$A$1:$O$100,15,0)),0,VLOOKUP($T$592,'TAR FIN'!$A$1:$O$100,15,0))</f>
        <v>0</v>
      </c>
      <c r="X592" s="6">
        <f>IF(ISERROR(VLOOKUP($U$592,'TAR FIN'!$A$1:$O$100,15,0)),0,VLOOKUP($U$592,'TAR FIN'!$A$1:$O$100,15,0))</f>
        <v>0</v>
      </c>
      <c r="Y592" s="6">
        <f ca="1">('TUSD BE'!$AM$20+'TUSD BF'!$AM$20+'TUSD CVA'!$AM$20)*1</f>
        <v>17.856842567448453</v>
      </c>
      <c r="Z592" s="6"/>
      <c r="AA592" s="6"/>
      <c r="AB592" s="6">
        <f>$K$592*$V$592</f>
        <v>4342.8</v>
      </c>
      <c r="AC592" s="6">
        <f>$M$592*$W$592</f>
        <v>0</v>
      </c>
      <c r="AD592" s="6">
        <f>$O$592*$X$592</f>
        <v>0</v>
      </c>
      <c r="AE592" s="6">
        <f ca="1">$K$592*$Y$592</f>
        <v>4196.3580033503868</v>
      </c>
      <c r="AF592" s="6">
        <f>$M$592*$Z$592</f>
        <v>0</v>
      </c>
      <c r="AG592" s="6">
        <f>$O$592*$AA$592</f>
        <v>0</v>
      </c>
    </row>
    <row r="593" spans="1:33" ht="11.25" customHeight="1" x14ac:dyDescent="0.25">
      <c r="A593" s="4" t="s">
        <v>21</v>
      </c>
      <c r="B593" s="4" t="s">
        <v>39</v>
      </c>
      <c r="C593" s="4" t="s">
        <v>41</v>
      </c>
      <c r="D593" s="4" t="s">
        <v>45</v>
      </c>
      <c r="E593" s="4" t="s">
        <v>25</v>
      </c>
      <c r="F593" s="4" t="s">
        <v>25</v>
      </c>
      <c r="G593" s="4" t="s">
        <v>25</v>
      </c>
      <c r="H593" s="4" t="s">
        <v>34</v>
      </c>
      <c r="I593" s="5">
        <v>44228</v>
      </c>
      <c r="J593" s="6">
        <v>0</v>
      </c>
      <c r="K593" s="6">
        <v>0</v>
      </c>
      <c r="L593" s="6">
        <v>134.91900000000001</v>
      </c>
      <c r="M593" s="6">
        <v>134.91900000000001</v>
      </c>
      <c r="N593" s="6">
        <v>134.91900000000001</v>
      </c>
      <c r="O593" s="6">
        <v>134.91900000000001</v>
      </c>
      <c r="P593" s="6">
        <v>0</v>
      </c>
      <c r="Q593" s="4" t="s">
        <v>26</v>
      </c>
      <c r="R593" s="4">
        <v>0</v>
      </c>
      <c r="S593" s="6">
        <v>0</v>
      </c>
      <c r="T593" s="6">
        <v>24</v>
      </c>
      <c r="U593" s="6">
        <v>67</v>
      </c>
      <c r="V593" s="6">
        <f>IF(ISERROR(VLOOKUP($S$593,'TAR FIN'!$A$1:$O$100,15,0)),0,VLOOKUP($S$593,'TAR FIN'!$A$1:$O$100,15,0))</f>
        <v>0</v>
      </c>
      <c r="W593" s="6">
        <f>IF(ISERROR(VLOOKUP($T$593,'TAR FIN'!$A$1:$O$100,15,0)),0,VLOOKUP($T$593,'TAR FIN'!$A$1:$O$100,15,0))</f>
        <v>943.81</v>
      </c>
      <c r="X593" s="6">
        <f>IF(ISERROR(VLOOKUP($U$593,'TAR FIN'!$A$1:$O$100,15,0)),0,VLOOKUP($U$593,'TAR FIN'!$A$1:$O$100,15,0))</f>
        <v>366.6</v>
      </c>
      <c r="Y593" s="6"/>
      <c r="Z593" s="6">
        <f ca="1">('TUSD BE'!$AM$21+'TUSD BF'!$AM$21+'TUSD CVA'!$AM$21)*1</f>
        <v>928.87102242938545</v>
      </c>
      <c r="AA593" s="6">
        <f>('TE BE'!$AA$7+'TE BF'!$AA$7+'TE CVA'!$AA$7)*1</f>
        <v>385.46556634281501</v>
      </c>
      <c r="AB593" s="6">
        <f>$K$593*$V$593</f>
        <v>0</v>
      </c>
      <c r="AC593" s="6">
        <f>$M$593*$W$593</f>
        <v>127337.90139</v>
      </c>
      <c r="AD593" s="6">
        <f>$O$593*$X$593</f>
        <v>49461.305400000005</v>
      </c>
      <c r="AE593" s="6">
        <f>$K$593*$Y$593</f>
        <v>0</v>
      </c>
      <c r="AF593" s="6">
        <f ca="1">$M$593*$Z$593</f>
        <v>125322.34947515026</v>
      </c>
      <c r="AG593" s="6">
        <f>$O$593*$AA$593</f>
        <v>52006.628745406262</v>
      </c>
    </row>
    <row r="594" spans="1:33" ht="11.25" customHeight="1" x14ac:dyDescent="0.25">
      <c r="A594" s="4" t="s">
        <v>28</v>
      </c>
      <c r="B594" s="4" t="s">
        <v>39</v>
      </c>
      <c r="C594" s="4" t="s">
        <v>41</v>
      </c>
      <c r="D594" s="4" t="s">
        <v>45</v>
      </c>
      <c r="E594" s="4" t="s">
        <v>25</v>
      </c>
      <c r="F594" s="4" t="s">
        <v>25</v>
      </c>
      <c r="G594" s="4" t="s">
        <v>25</v>
      </c>
      <c r="H594" s="4" t="s">
        <v>34</v>
      </c>
      <c r="I594" s="5">
        <v>44228</v>
      </c>
      <c r="J594" s="6">
        <v>0</v>
      </c>
      <c r="K594" s="6">
        <v>0</v>
      </c>
      <c r="L594" s="6">
        <v>2.2400000000000002</v>
      </c>
      <c r="M594" s="6">
        <v>2.2400000000000002</v>
      </c>
      <c r="N594" s="6">
        <v>2.2400000000000002</v>
      </c>
      <c r="O594" s="6">
        <v>2.2400000000000002</v>
      </c>
      <c r="P594" s="6">
        <v>0</v>
      </c>
      <c r="Q594" s="4" t="s">
        <v>26</v>
      </c>
      <c r="R594" s="4">
        <v>0</v>
      </c>
      <c r="S594" s="6">
        <v>0</v>
      </c>
      <c r="T594" s="6">
        <v>24</v>
      </c>
      <c r="U594" s="6">
        <v>67</v>
      </c>
      <c r="V594" s="6">
        <f>IF(ISERROR(VLOOKUP($S$594,'TAR FIN'!$A$1:$O$100,15,0)),0,VLOOKUP($S$594,'TAR FIN'!$A$1:$O$100,15,0))</f>
        <v>0</v>
      </c>
      <c r="W594" s="6">
        <f>IF(ISERROR(VLOOKUP($T$594,'TAR FIN'!$A$1:$O$100,15,0)),0,VLOOKUP($T$594,'TAR FIN'!$A$1:$O$100,15,0))</f>
        <v>943.81</v>
      </c>
      <c r="X594" s="6">
        <f>IF(ISERROR(VLOOKUP($U$594,'TAR FIN'!$A$1:$O$100,15,0)),0,VLOOKUP($U$594,'TAR FIN'!$A$1:$O$100,15,0))</f>
        <v>366.6</v>
      </c>
      <c r="Y594" s="6"/>
      <c r="Z594" s="6">
        <f ca="1">('TUSD BE'!$AM$21+'TUSD BF'!$AM$21+'TUSD CVA'!$AM$21)*1</f>
        <v>928.87102242938545</v>
      </c>
      <c r="AA594" s="6">
        <f>('TE BE'!$AA$7+'TE BF'!$AA$7+'TE CVA'!$AA$7)*1</f>
        <v>385.46556634281501</v>
      </c>
      <c r="AB594" s="6">
        <f>$K$594*$V$594</f>
        <v>0</v>
      </c>
      <c r="AC594" s="6">
        <f>$M$594*$W$594</f>
        <v>2114.1343999999999</v>
      </c>
      <c r="AD594" s="6">
        <f>$O$594*$X$594</f>
        <v>821.18400000000008</v>
      </c>
      <c r="AE594" s="6">
        <f>$K$594*$Y$594</f>
        <v>0</v>
      </c>
      <c r="AF594" s="6">
        <f ca="1">$M$594*$Z$594</f>
        <v>2080.6710902418235</v>
      </c>
      <c r="AG594" s="6">
        <f>$O$594*$AA$594</f>
        <v>863.44286860790567</v>
      </c>
    </row>
    <row r="595" spans="1:33" ht="11.25" customHeight="1" x14ac:dyDescent="0.25">
      <c r="A595" s="4" t="s">
        <v>21</v>
      </c>
      <c r="B595" s="4" t="s">
        <v>39</v>
      </c>
      <c r="C595" s="4" t="s">
        <v>41</v>
      </c>
      <c r="D595" s="4" t="s">
        <v>45</v>
      </c>
      <c r="E595" s="4" t="s">
        <v>25</v>
      </c>
      <c r="F595" s="4" t="s">
        <v>25</v>
      </c>
      <c r="G595" s="4" t="s">
        <v>25</v>
      </c>
      <c r="H595" s="4" t="s">
        <v>34</v>
      </c>
      <c r="I595" s="5">
        <v>44256</v>
      </c>
      <c r="J595" s="6">
        <v>0</v>
      </c>
      <c r="K595" s="6">
        <v>0</v>
      </c>
      <c r="L595" s="6">
        <v>149.96299999999999</v>
      </c>
      <c r="M595" s="6">
        <v>149.96299999999999</v>
      </c>
      <c r="N595" s="6">
        <v>149.96299999999999</v>
      </c>
      <c r="O595" s="6">
        <v>149.96299999999999</v>
      </c>
      <c r="P595" s="6">
        <v>0</v>
      </c>
      <c r="Q595" s="4" t="s">
        <v>26</v>
      </c>
      <c r="R595" s="4">
        <v>0</v>
      </c>
      <c r="S595" s="6">
        <v>0</v>
      </c>
      <c r="T595" s="6">
        <v>24</v>
      </c>
      <c r="U595" s="6">
        <v>67</v>
      </c>
      <c r="V595" s="6">
        <f>IF(ISERROR(VLOOKUP($S$595,'TAR FIN'!$A$1:$O$100,15,0)),0,VLOOKUP($S$595,'TAR FIN'!$A$1:$O$100,15,0))</f>
        <v>0</v>
      </c>
      <c r="W595" s="6">
        <f>IF(ISERROR(VLOOKUP($T$595,'TAR FIN'!$A$1:$O$100,15,0)),0,VLOOKUP($T$595,'TAR FIN'!$A$1:$O$100,15,0))</f>
        <v>943.81</v>
      </c>
      <c r="X595" s="6">
        <f>IF(ISERROR(VLOOKUP($U$595,'TAR FIN'!$A$1:$O$100,15,0)),0,VLOOKUP($U$595,'TAR FIN'!$A$1:$O$100,15,0))</f>
        <v>366.6</v>
      </c>
      <c r="Y595" s="6"/>
      <c r="Z595" s="6">
        <f ca="1">('TUSD BE'!$AM$21+'TUSD BF'!$AM$21+'TUSD CVA'!$AM$21)*1</f>
        <v>928.87102242938545</v>
      </c>
      <c r="AA595" s="6">
        <f>('TE BE'!$AA$7+'TE BF'!$AA$7+'TE CVA'!$AA$7)*1</f>
        <v>385.46556634281501</v>
      </c>
      <c r="AB595" s="6">
        <f>$K$595*$V$595</f>
        <v>0</v>
      </c>
      <c r="AC595" s="6">
        <f>$M$595*$W$595</f>
        <v>141536.57902999999</v>
      </c>
      <c r="AD595" s="6">
        <f>$O$595*$X$595</f>
        <v>54976.435799999999</v>
      </c>
      <c r="AE595" s="6">
        <f>$K$595*$Y$595</f>
        <v>0</v>
      </c>
      <c r="AF595" s="6">
        <f ca="1">$M$595*$Z$595</f>
        <v>139296.28513657794</v>
      </c>
      <c r="AG595" s="6">
        <f>$O$595*$AA$595</f>
        <v>57805.572725467566</v>
      </c>
    </row>
    <row r="596" spans="1:33" ht="11.25" customHeight="1" x14ac:dyDescent="0.25">
      <c r="A596" s="4" t="s">
        <v>28</v>
      </c>
      <c r="B596" s="4" t="s">
        <v>39</v>
      </c>
      <c r="C596" s="4" t="s">
        <v>41</v>
      </c>
      <c r="D596" s="4" t="s">
        <v>45</v>
      </c>
      <c r="E596" s="4" t="s">
        <v>25</v>
      </c>
      <c r="F596" s="4" t="s">
        <v>25</v>
      </c>
      <c r="G596" s="4" t="s">
        <v>25</v>
      </c>
      <c r="H596" s="4" t="s">
        <v>34</v>
      </c>
      <c r="I596" s="5">
        <v>44256</v>
      </c>
      <c r="J596" s="6">
        <v>0</v>
      </c>
      <c r="K596" s="6">
        <v>0</v>
      </c>
      <c r="L596" s="6">
        <v>2.52</v>
      </c>
      <c r="M596" s="6">
        <v>2.52</v>
      </c>
      <c r="N596" s="6">
        <v>2.52</v>
      </c>
      <c r="O596" s="6">
        <v>2.52</v>
      </c>
      <c r="P596" s="6">
        <v>0</v>
      </c>
      <c r="Q596" s="4" t="s">
        <v>26</v>
      </c>
      <c r="R596" s="4">
        <v>0</v>
      </c>
      <c r="S596" s="6">
        <v>0</v>
      </c>
      <c r="T596" s="6">
        <v>24</v>
      </c>
      <c r="U596" s="6">
        <v>67</v>
      </c>
      <c r="V596" s="6">
        <f>IF(ISERROR(VLOOKUP($S$596,'TAR FIN'!$A$1:$O$100,15,0)),0,VLOOKUP($S$596,'TAR FIN'!$A$1:$O$100,15,0))</f>
        <v>0</v>
      </c>
      <c r="W596" s="6">
        <f>IF(ISERROR(VLOOKUP($T$596,'TAR FIN'!$A$1:$O$100,15,0)),0,VLOOKUP($T$596,'TAR FIN'!$A$1:$O$100,15,0))</f>
        <v>943.81</v>
      </c>
      <c r="X596" s="6">
        <f>IF(ISERROR(VLOOKUP($U$596,'TAR FIN'!$A$1:$O$100,15,0)),0,VLOOKUP($U$596,'TAR FIN'!$A$1:$O$100,15,0))</f>
        <v>366.6</v>
      </c>
      <c r="Y596" s="6"/>
      <c r="Z596" s="6">
        <f ca="1">('TUSD BE'!$AM$21+'TUSD BF'!$AM$21+'TUSD CVA'!$AM$21)*1</f>
        <v>928.87102242938545</v>
      </c>
      <c r="AA596" s="6">
        <f>('TE BE'!$AA$7+'TE BF'!$AA$7+'TE CVA'!$AA$7)*1</f>
        <v>385.46556634281501</v>
      </c>
      <c r="AB596" s="6">
        <f>$K$596*$V$596</f>
        <v>0</v>
      </c>
      <c r="AC596" s="6">
        <f>$M$596*$W$596</f>
        <v>2378.4011999999998</v>
      </c>
      <c r="AD596" s="6">
        <f>$O$596*$X$596</f>
        <v>923.83200000000011</v>
      </c>
      <c r="AE596" s="6">
        <f>$K$596*$Y$596</f>
        <v>0</v>
      </c>
      <c r="AF596" s="6">
        <f ca="1">$M$596*$Z$596</f>
        <v>2340.7549765220515</v>
      </c>
      <c r="AG596" s="6">
        <f>$O$596*$AA$596</f>
        <v>971.37322718389385</v>
      </c>
    </row>
    <row r="597" spans="1:33" ht="11.25" customHeight="1" x14ac:dyDescent="0.25">
      <c r="A597" s="4" t="s">
        <v>21</v>
      </c>
      <c r="B597" s="4" t="s">
        <v>39</v>
      </c>
      <c r="C597" s="4" t="s">
        <v>41</v>
      </c>
      <c r="D597" s="4" t="s">
        <v>45</v>
      </c>
      <c r="E597" s="4" t="s">
        <v>25</v>
      </c>
      <c r="F597" s="4" t="s">
        <v>25</v>
      </c>
      <c r="G597" s="4" t="s">
        <v>25</v>
      </c>
      <c r="H597" s="4" t="s">
        <v>34</v>
      </c>
      <c r="I597" s="5">
        <v>44287</v>
      </c>
      <c r="J597" s="6">
        <v>0</v>
      </c>
      <c r="K597" s="6">
        <v>0</v>
      </c>
      <c r="L597" s="6">
        <v>137.07400000000001</v>
      </c>
      <c r="M597" s="6">
        <v>137.07400000000001</v>
      </c>
      <c r="N597" s="6">
        <v>137.07400000000001</v>
      </c>
      <c r="O597" s="6">
        <v>137.07400000000001</v>
      </c>
      <c r="P597" s="6">
        <v>0</v>
      </c>
      <c r="Q597" s="4" t="s">
        <v>26</v>
      </c>
      <c r="R597" s="4">
        <v>0</v>
      </c>
      <c r="S597" s="6">
        <v>0</v>
      </c>
      <c r="T597" s="6">
        <v>24</v>
      </c>
      <c r="U597" s="6">
        <v>67</v>
      </c>
      <c r="V597" s="6">
        <f>IF(ISERROR(VLOOKUP($S$597,'TAR FIN'!$A$1:$O$100,15,0)),0,VLOOKUP($S$597,'TAR FIN'!$A$1:$O$100,15,0))</f>
        <v>0</v>
      </c>
      <c r="W597" s="6">
        <f>IF(ISERROR(VLOOKUP($T$597,'TAR FIN'!$A$1:$O$100,15,0)),0,VLOOKUP($T$597,'TAR FIN'!$A$1:$O$100,15,0))</f>
        <v>943.81</v>
      </c>
      <c r="X597" s="6">
        <f>IF(ISERROR(VLOOKUP($U$597,'TAR FIN'!$A$1:$O$100,15,0)),0,VLOOKUP($U$597,'TAR FIN'!$A$1:$O$100,15,0))</f>
        <v>366.6</v>
      </c>
      <c r="Y597" s="6"/>
      <c r="Z597" s="6">
        <f ca="1">('TUSD BE'!$AM$21+'TUSD BF'!$AM$21+'TUSD CVA'!$AM$21)*1</f>
        <v>928.87102242938545</v>
      </c>
      <c r="AA597" s="6">
        <f>('TE BE'!$AA$7+'TE BF'!$AA$7+'TE CVA'!$AA$7)*1</f>
        <v>385.46556634281501</v>
      </c>
      <c r="AB597" s="6">
        <f>$K$597*$V$597</f>
        <v>0</v>
      </c>
      <c r="AC597" s="6">
        <f>$M$597*$W$597</f>
        <v>129371.81194</v>
      </c>
      <c r="AD597" s="6">
        <f>$O$597*$X$597</f>
        <v>50251.328400000006</v>
      </c>
      <c r="AE597" s="6">
        <f>$K$597*$Y$597</f>
        <v>0</v>
      </c>
      <c r="AF597" s="6">
        <f ca="1">$M$597*$Z$597</f>
        <v>127324.06652848559</v>
      </c>
      <c r="AG597" s="6">
        <f>$O$597*$AA$597</f>
        <v>52837.307040875028</v>
      </c>
    </row>
    <row r="598" spans="1:33" ht="11.25" customHeight="1" x14ac:dyDescent="0.25">
      <c r="A598" s="4" t="s">
        <v>28</v>
      </c>
      <c r="B598" s="4" t="s">
        <v>39</v>
      </c>
      <c r="C598" s="4" t="s">
        <v>41</v>
      </c>
      <c r="D598" s="4" t="s">
        <v>45</v>
      </c>
      <c r="E598" s="4" t="s">
        <v>25</v>
      </c>
      <c r="F598" s="4" t="s">
        <v>25</v>
      </c>
      <c r="G598" s="4" t="s">
        <v>25</v>
      </c>
      <c r="H598" s="4" t="s">
        <v>34</v>
      </c>
      <c r="I598" s="5">
        <v>44287</v>
      </c>
      <c r="J598" s="6">
        <v>0</v>
      </c>
      <c r="K598" s="6">
        <v>0</v>
      </c>
      <c r="L598" s="6">
        <v>2.52</v>
      </c>
      <c r="M598" s="6">
        <v>2.52</v>
      </c>
      <c r="N598" s="6">
        <v>2.52</v>
      </c>
      <c r="O598" s="6">
        <v>2.52</v>
      </c>
      <c r="P598" s="6">
        <v>0</v>
      </c>
      <c r="Q598" s="4" t="s">
        <v>26</v>
      </c>
      <c r="R598" s="4">
        <v>0</v>
      </c>
      <c r="S598" s="6">
        <v>0</v>
      </c>
      <c r="T598" s="6">
        <v>24</v>
      </c>
      <c r="U598" s="6">
        <v>67</v>
      </c>
      <c r="V598" s="6">
        <f>IF(ISERROR(VLOOKUP($S$598,'TAR FIN'!$A$1:$O$100,15,0)),0,VLOOKUP($S$598,'TAR FIN'!$A$1:$O$100,15,0))</f>
        <v>0</v>
      </c>
      <c r="W598" s="6">
        <f>IF(ISERROR(VLOOKUP($T$598,'TAR FIN'!$A$1:$O$100,15,0)),0,VLOOKUP($T$598,'TAR FIN'!$A$1:$O$100,15,0))</f>
        <v>943.81</v>
      </c>
      <c r="X598" s="6">
        <f>IF(ISERROR(VLOOKUP($U$598,'TAR FIN'!$A$1:$O$100,15,0)),0,VLOOKUP($U$598,'TAR FIN'!$A$1:$O$100,15,0))</f>
        <v>366.6</v>
      </c>
      <c r="Y598" s="6"/>
      <c r="Z598" s="6">
        <f ca="1">('TUSD BE'!$AM$21+'TUSD BF'!$AM$21+'TUSD CVA'!$AM$21)*1</f>
        <v>928.87102242938545</v>
      </c>
      <c r="AA598" s="6">
        <f>('TE BE'!$AA$7+'TE BF'!$AA$7+'TE CVA'!$AA$7)*1</f>
        <v>385.46556634281501</v>
      </c>
      <c r="AB598" s="6">
        <f>$K$598*$V$598</f>
        <v>0</v>
      </c>
      <c r="AC598" s="6">
        <f>$M$598*$W$598</f>
        <v>2378.4011999999998</v>
      </c>
      <c r="AD598" s="6">
        <f>$O$598*$X$598</f>
        <v>923.83200000000011</v>
      </c>
      <c r="AE598" s="6">
        <f>$K$598*$Y$598</f>
        <v>0</v>
      </c>
      <c r="AF598" s="6">
        <f ca="1">$M$598*$Z$598</f>
        <v>2340.7549765220515</v>
      </c>
      <c r="AG598" s="6">
        <f>$O$598*$AA$598</f>
        <v>971.37322718389385</v>
      </c>
    </row>
    <row r="599" spans="1:33" ht="11.25" customHeight="1" x14ac:dyDescent="0.25">
      <c r="A599" s="4" t="s">
        <v>21</v>
      </c>
      <c r="B599" s="4" t="s">
        <v>39</v>
      </c>
      <c r="C599" s="4" t="s">
        <v>41</v>
      </c>
      <c r="D599" s="4" t="s">
        <v>45</v>
      </c>
      <c r="E599" s="4" t="s">
        <v>25</v>
      </c>
      <c r="F599" s="4" t="s">
        <v>25</v>
      </c>
      <c r="G599" s="4" t="s">
        <v>25</v>
      </c>
      <c r="H599" s="4" t="s">
        <v>34</v>
      </c>
      <c r="I599" s="5">
        <v>44317</v>
      </c>
      <c r="J599" s="6">
        <v>0</v>
      </c>
      <c r="K599" s="6">
        <v>0</v>
      </c>
      <c r="L599" s="6">
        <v>131.946</v>
      </c>
      <c r="M599" s="6">
        <v>131.946</v>
      </c>
      <c r="N599" s="6">
        <v>131.946</v>
      </c>
      <c r="O599" s="6">
        <v>131.946</v>
      </c>
      <c r="P599" s="6">
        <v>0</v>
      </c>
      <c r="Q599" s="4" t="s">
        <v>26</v>
      </c>
      <c r="R599" s="4">
        <v>0</v>
      </c>
      <c r="S599" s="6">
        <v>0</v>
      </c>
      <c r="T599" s="6">
        <v>24</v>
      </c>
      <c r="U599" s="6">
        <v>67</v>
      </c>
      <c r="V599" s="6">
        <f>IF(ISERROR(VLOOKUP($S$599,'TAR FIN'!$A$1:$O$100,15,0)),0,VLOOKUP($S$599,'TAR FIN'!$A$1:$O$100,15,0))</f>
        <v>0</v>
      </c>
      <c r="W599" s="6">
        <f>IF(ISERROR(VLOOKUP($T$599,'TAR FIN'!$A$1:$O$100,15,0)),0,VLOOKUP($T$599,'TAR FIN'!$A$1:$O$100,15,0))</f>
        <v>943.81</v>
      </c>
      <c r="X599" s="6">
        <f>IF(ISERROR(VLOOKUP($U$599,'TAR FIN'!$A$1:$O$100,15,0)),0,VLOOKUP($U$599,'TAR FIN'!$A$1:$O$100,15,0))</f>
        <v>366.6</v>
      </c>
      <c r="Y599" s="6"/>
      <c r="Z599" s="6">
        <f ca="1">('TUSD BE'!$AM$21+'TUSD BF'!$AM$21+'TUSD CVA'!$AM$21)*1</f>
        <v>928.87102242938545</v>
      </c>
      <c r="AA599" s="6">
        <f>('TE BE'!$AA$7+'TE BF'!$AA$7+'TE CVA'!$AA$7)*1</f>
        <v>385.46556634281501</v>
      </c>
      <c r="AB599" s="6">
        <f>$K$599*$V$599</f>
        <v>0</v>
      </c>
      <c r="AC599" s="6">
        <f>$M$599*$W$599</f>
        <v>124531.95425999998</v>
      </c>
      <c r="AD599" s="6">
        <f>$O$599*$X$599</f>
        <v>48371.403600000005</v>
      </c>
      <c r="AE599" s="6">
        <f>$K$599*$Y$599</f>
        <v>0</v>
      </c>
      <c r="AF599" s="6">
        <f ca="1">$M$599*$Z$599</f>
        <v>122560.81592546769</v>
      </c>
      <c r="AG599" s="6">
        <f>$O$599*$AA$599</f>
        <v>50860.639616669068</v>
      </c>
    </row>
    <row r="600" spans="1:33" ht="11.25" customHeight="1" x14ac:dyDescent="0.25">
      <c r="A600" s="4" t="s">
        <v>28</v>
      </c>
      <c r="B600" s="4" t="s">
        <v>39</v>
      </c>
      <c r="C600" s="4" t="s">
        <v>41</v>
      </c>
      <c r="D600" s="4" t="s">
        <v>45</v>
      </c>
      <c r="E600" s="4" t="s">
        <v>25</v>
      </c>
      <c r="F600" s="4" t="s">
        <v>25</v>
      </c>
      <c r="G600" s="4" t="s">
        <v>25</v>
      </c>
      <c r="H600" s="4" t="s">
        <v>34</v>
      </c>
      <c r="I600" s="5">
        <v>44317</v>
      </c>
      <c r="J600" s="6">
        <v>0</v>
      </c>
      <c r="K600" s="6">
        <v>0</v>
      </c>
      <c r="L600" s="6">
        <v>2.2400000000000002</v>
      </c>
      <c r="M600" s="6">
        <v>2.2400000000000002</v>
      </c>
      <c r="N600" s="6">
        <v>2.2400000000000002</v>
      </c>
      <c r="O600" s="6">
        <v>2.2400000000000002</v>
      </c>
      <c r="P600" s="6">
        <v>0</v>
      </c>
      <c r="Q600" s="4" t="s">
        <v>26</v>
      </c>
      <c r="R600" s="4">
        <v>0</v>
      </c>
      <c r="S600" s="6">
        <v>0</v>
      </c>
      <c r="T600" s="6">
        <v>24</v>
      </c>
      <c r="U600" s="6">
        <v>67</v>
      </c>
      <c r="V600" s="6">
        <f>IF(ISERROR(VLOOKUP($S$600,'TAR FIN'!$A$1:$O$100,15,0)),0,VLOOKUP($S$600,'TAR FIN'!$A$1:$O$100,15,0))</f>
        <v>0</v>
      </c>
      <c r="W600" s="6">
        <f>IF(ISERROR(VLOOKUP($T$600,'TAR FIN'!$A$1:$O$100,15,0)),0,VLOOKUP($T$600,'TAR FIN'!$A$1:$O$100,15,0))</f>
        <v>943.81</v>
      </c>
      <c r="X600" s="6">
        <f>IF(ISERROR(VLOOKUP($U$600,'TAR FIN'!$A$1:$O$100,15,0)),0,VLOOKUP($U$600,'TAR FIN'!$A$1:$O$100,15,0))</f>
        <v>366.6</v>
      </c>
      <c r="Y600" s="6"/>
      <c r="Z600" s="6">
        <f ca="1">('TUSD BE'!$AM$21+'TUSD BF'!$AM$21+'TUSD CVA'!$AM$21)*1</f>
        <v>928.87102242938545</v>
      </c>
      <c r="AA600" s="6">
        <f>('TE BE'!$AA$7+'TE BF'!$AA$7+'TE CVA'!$AA$7)*1</f>
        <v>385.46556634281501</v>
      </c>
      <c r="AB600" s="6">
        <f>$K$600*$V$600</f>
        <v>0</v>
      </c>
      <c r="AC600" s="6">
        <f>$M$600*$W$600</f>
        <v>2114.1343999999999</v>
      </c>
      <c r="AD600" s="6">
        <f>$O$600*$X$600</f>
        <v>821.18400000000008</v>
      </c>
      <c r="AE600" s="6">
        <f>$K$600*$Y$600</f>
        <v>0</v>
      </c>
      <c r="AF600" s="6">
        <f ca="1">$M$600*$Z$600</f>
        <v>2080.6710902418235</v>
      </c>
      <c r="AG600" s="6">
        <f>$O$600*$AA$600</f>
        <v>863.44286860790567</v>
      </c>
    </row>
    <row r="601" spans="1:33" ht="11.25" customHeight="1" x14ac:dyDescent="0.25">
      <c r="A601" s="4" t="s">
        <v>21</v>
      </c>
      <c r="B601" s="4" t="s">
        <v>39</v>
      </c>
      <c r="C601" s="4" t="s">
        <v>41</v>
      </c>
      <c r="D601" s="4" t="s">
        <v>45</v>
      </c>
      <c r="E601" s="4" t="s">
        <v>25</v>
      </c>
      <c r="F601" s="4" t="s">
        <v>25</v>
      </c>
      <c r="G601" s="4" t="s">
        <v>25</v>
      </c>
      <c r="H601" s="4" t="s">
        <v>34</v>
      </c>
      <c r="I601" s="5">
        <v>44348</v>
      </c>
      <c r="J601" s="6">
        <v>0</v>
      </c>
      <c r="K601" s="6">
        <v>0</v>
      </c>
      <c r="L601" s="6">
        <v>131.19800000000001</v>
      </c>
      <c r="M601" s="6">
        <v>131.19800000000001</v>
      </c>
      <c r="N601" s="6">
        <v>131.19800000000001</v>
      </c>
      <c r="O601" s="6">
        <v>131.19800000000001</v>
      </c>
      <c r="P601" s="6">
        <v>0</v>
      </c>
      <c r="Q601" s="4" t="s">
        <v>26</v>
      </c>
      <c r="R601" s="4">
        <v>0</v>
      </c>
      <c r="S601" s="6">
        <v>0</v>
      </c>
      <c r="T601" s="6">
        <v>24</v>
      </c>
      <c r="U601" s="6">
        <v>67</v>
      </c>
      <c r="V601" s="6">
        <f>IF(ISERROR(VLOOKUP($S$601,'TAR FIN'!$A$1:$O$100,15,0)),0,VLOOKUP($S$601,'TAR FIN'!$A$1:$O$100,15,0))</f>
        <v>0</v>
      </c>
      <c r="W601" s="6">
        <f>IF(ISERROR(VLOOKUP($T$601,'TAR FIN'!$A$1:$O$100,15,0)),0,VLOOKUP($T$601,'TAR FIN'!$A$1:$O$100,15,0))</f>
        <v>943.81</v>
      </c>
      <c r="X601" s="6">
        <f>IF(ISERROR(VLOOKUP($U$601,'TAR FIN'!$A$1:$O$100,15,0)),0,VLOOKUP($U$601,'TAR FIN'!$A$1:$O$100,15,0))</f>
        <v>366.6</v>
      </c>
      <c r="Y601" s="6"/>
      <c r="Z601" s="6">
        <f ca="1">('TUSD BE'!$AM$21+'TUSD BF'!$AM$21+'TUSD CVA'!$AM$21)*1</f>
        <v>928.87102242938545</v>
      </c>
      <c r="AA601" s="6">
        <f>('TE BE'!$AA$7+'TE BF'!$AA$7+'TE CVA'!$AA$7)*1</f>
        <v>385.46556634281501</v>
      </c>
      <c r="AB601" s="6">
        <f>$K$601*$V$601</f>
        <v>0</v>
      </c>
      <c r="AC601" s="6">
        <f>$M$601*$W$601</f>
        <v>123825.98437999999</v>
      </c>
      <c r="AD601" s="6">
        <f>$O$601*$X$601</f>
        <v>48097.186800000003</v>
      </c>
      <c r="AE601" s="6">
        <f>$K$601*$Y$601</f>
        <v>0</v>
      </c>
      <c r="AF601" s="6">
        <f ca="1">$M$601*$Z$601</f>
        <v>121866.02040069053</v>
      </c>
      <c r="AG601" s="6">
        <f>$O$601*$AA$601</f>
        <v>50572.311373044649</v>
      </c>
    </row>
    <row r="602" spans="1:33" ht="11.25" customHeight="1" x14ac:dyDescent="0.25">
      <c r="A602" s="4" t="s">
        <v>28</v>
      </c>
      <c r="B602" s="4" t="s">
        <v>39</v>
      </c>
      <c r="C602" s="4" t="s">
        <v>41</v>
      </c>
      <c r="D602" s="4" t="s">
        <v>45</v>
      </c>
      <c r="E602" s="4" t="s">
        <v>25</v>
      </c>
      <c r="F602" s="4" t="s">
        <v>25</v>
      </c>
      <c r="G602" s="4" t="s">
        <v>25</v>
      </c>
      <c r="H602" s="4" t="s">
        <v>34</v>
      </c>
      <c r="I602" s="5">
        <v>44348</v>
      </c>
      <c r="J602" s="6">
        <v>0</v>
      </c>
      <c r="K602" s="6">
        <v>0</v>
      </c>
      <c r="L602" s="6">
        <v>1.96</v>
      </c>
      <c r="M602" s="6">
        <v>1.96</v>
      </c>
      <c r="N602" s="6">
        <v>1.96</v>
      </c>
      <c r="O602" s="6">
        <v>1.96</v>
      </c>
      <c r="P602" s="6">
        <v>0</v>
      </c>
      <c r="Q602" s="4" t="s">
        <v>26</v>
      </c>
      <c r="R602" s="4">
        <v>0</v>
      </c>
      <c r="S602" s="6">
        <v>0</v>
      </c>
      <c r="T602" s="6">
        <v>24</v>
      </c>
      <c r="U602" s="6">
        <v>67</v>
      </c>
      <c r="V602" s="6">
        <f>IF(ISERROR(VLOOKUP($S$602,'TAR FIN'!$A$1:$O$100,15,0)),0,VLOOKUP($S$602,'TAR FIN'!$A$1:$O$100,15,0))</f>
        <v>0</v>
      </c>
      <c r="W602" s="6">
        <f>IF(ISERROR(VLOOKUP($T$602,'TAR FIN'!$A$1:$O$100,15,0)),0,VLOOKUP($T$602,'TAR FIN'!$A$1:$O$100,15,0))</f>
        <v>943.81</v>
      </c>
      <c r="X602" s="6">
        <f>IF(ISERROR(VLOOKUP($U$602,'TAR FIN'!$A$1:$O$100,15,0)),0,VLOOKUP($U$602,'TAR FIN'!$A$1:$O$100,15,0))</f>
        <v>366.6</v>
      </c>
      <c r="Y602" s="6"/>
      <c r="Z602" s="6">
        <f ca="1">('TUSD BE'!$AM$21+'TUSD BF'!$AM$21+'TUSD CVA'!$AM$21)*1</f>
        <v>928.87102242938545</v>
      </c>
      <c r="AA602" s="6">
        <f>('TE BE'!$AA$7+'TE BF'!$AA$7+'TE CVA'!$AA$7)*1</f>
        <v>385.46556634281501</v>
      </c>
      <c r="AB602" s="6">
        <f>$K$602*$V$602</f>
        <v>0</v>
      </c>
      <c r="AC602" s="6">
        <f>$M$602*$W$602</f>
        <v>1849.8675999999998</v>
      </c>
      <c r="AD602" s="6">
        <f>$O$602*$X$602</f>
        <v>718.53600000000006</v>
      </c>
      <c r="AE602" s="6">
        <f>$K$602*$Y$602</f>
        <v>0</v>
      </c>
      <c r="AF602" s="6">
        <f ca="1">$M$602*$Z$602</f>
        <v>1820.5872039615954</v>
      </c>
      <c r="AG602" s="6">
        <f>$O$602*$AA$602</f>
        <v>755.51251003191737</v>
      </c>
    </row>
    <row r="603" spans="1:33" ht="11.25" customHeight="1" x14ac:dyDescent="0.25">
      <c r="A603" s="4" t="s">
        <v>21</v>
      </c>
      <c r="B603" s="4" t="s">
        <v>39</v>
      </c>
      <c r="C603" s="4" t="s">
        <v>41</v>
      </c>
      <c r="D603" s="4" t="s">
        <v>45</v>
      </c>
      <c r="E603" s="4" t="s">
        <v>25</v>
      </c>
      <c r="F603" s="4" t="s">
        <v>25</v>
      </c>
      <c r="G603" s="4" t="s">
        <v>25</v>
      </c>
      <c r="H603" s="4" t="s">
        <v>34</v>
      </c>
      <c r="I603" s="5">
        <v>44378</v>
      </c>
      <c r="J603" s="6">
        <v>0</v>
      </c>
      <c r="K603" s="6">
        <v>0</v>
      </c>
      <c r="L603" s="6">
        <v>131.447</v>
      </c>
      <c r="M603" s="6">
        <v>131.447</v>
      </c>
      <c r="N603" s="6">
        <v>131.447</v>
      </c>
      <c r="O603" s="6">
        <v>131.447</v>
      </c>
      <c r="P603" s="6">
        <v>0</v>
      </c>
      <c r="Q603" s="4" t="s">
        <v>26</v>
      </c>
      <c r="R603" s="4">
        <v>0</v>
      </c>
      <c r="S603" s="6">
        <v>0</v>
      </c>
      <c r="T603" s="6">
        <v>24</v>
      </c>
      <c r="U603" s="6">
        <v>67</v>
      </c>
      <c r="V603" s="6">
        <f>IF(ISERROR(VLOOKUP($S$603,'TAR FIN'!$A$1:$O$100,15,0)),0,VLOOKUP($S$603,'TAR FIN'!$A$1:$O$100,15,0))</f>
        <v>0</v>
      </c>
      <c r="W603" s="6">
        <f>IF(ISERROR(VLOOKUP($T$603,'TAR FIN'!$A$1:$O$100,15,0)),0,VLOOKUP($T$603,'TAR FIN'!$A$1:$O$100,15,0))</f>
        <v>943.81</v>
      </c>
      <c r="X603" s="6">
        <f>IF(ISERROR(VLOOKUP($U$603,'TAR FIN'!$A$1:$O$100,15,0)),0,VLOOKUP($U$603,'TAR FIN'!$A$1:$O$100,15,0))</f>
        <v>366.6</v>
      </c>
      <c r="Y603" s="6"/>
      <c r="Z603" s="6">
        <f ca="1">('TUSD BE'!$AM$21+'TUSD BF'!$AM$21+'TUSD CVA'!$AM$21)*1</f>
        <v>928.87102242938545</v>
      </c>
      <c r="AA603" s="6">
        <f>('TE BE'!$AA$7+'TE BF'!$AA$7+'TE CVA'!$AA$7)*1</f>
        <v>385.46556634281501</v>
      </c>
      <c r="AB603" s="6">
        <f>$K$603*$V$603</f>
        <v>0</v>
      </c>
      <c r="AC603" s="6">
        <f>$M$603*$W$603</f>
        <v>124060.99307</v>
      </c>
      <c r="AD603" s="6">
        <f>$O$603*$X$603</f>
        <v>48188.470200000003</v>
      </c>
      <c r="AE603" s="6">
        <f>$K$603*$Y$603</f>
        <v>0</v>
      </c>
      <c r="AF603" s="6">
        <f ca="1">$M$603*$Z$603</f>
        <v>122097.30928527543</v>
      </c>
      <c r="AG603" s="6">
        <f>$O$603*$AA$603</f>
        <v>50668.292299064007</v>
      </c>
    </row>
    <row r="604" spans="1:33" ht="11.25" customHeight="1" x14ac:dyDescent="0.25">
      <c r="A604" s="4" t="s">
        <v>28</v>
      </c>
      <c r="B604" s="4" t="s">
        <v>39</v>
      </c>
      <c r="C604" s="4" t="s">
        <v>41</v>
      </c>
      <c r="D604" s="4" t="s">
        <v>45</v>
      </c>
      <c r="E604" s="4" t="s">
        <v>25</v>
      </c>
      <c r="F604" s="4" t="s">
        <v>25</v>
      </c>
      <c r="G604" s="4" t="s">
        <v>25</v>
      </c>
      <c r="H604" s="4" t="s">
        <v>34</v>
      </c>
      <c r="I604" s="5">
        <v>44378</v>
      </c>
      <c r="J604" s="6">
        <v>0</v>
      </c>
      <c r="K604" s="6">
        <v>0</v>
      </c>
      <c r="L604" s="6">
        <v>1.96</v>
      </c>
      <c r="M604" s="6">
        <v>1.96</v>
      </c>
      <c r="N604" s="6">
        <v>1.96</v>
      </c>
      <c r="O604" s="6">
        <v>1.96</v>
      </c>
      <c r="P604" s="6">
        <v>0</v>
      </c>
      <c r="Q604" s="4" t="s">
        <v>26</v>
      </c>
      <c r="R604" s="4">
        <v>0</v>
      </c>
      <c r="S604" s="6">
        <v>0</v>
      </c>
      <c r="T604" s="6">
        <v>24</v>
      </c>
      <c r="U604" s="6">
        <v>67</v>
      </c>
      <c r="V604" s="6">
        <f>IF(ISERROR(VLOOKUP($S$604,'TAR FIN'!$A$1:$O$100,15,0)),0,VLOOKUP($S$604,'TAR FIN'!$A$1:$O$100,15,0))</f>
        <v>0</v>
      </c>
      <c r="W604" s="6">
        <f>IF(ISERROR(VLOOKUP($T$604,'TAR FIN'!$A$1:$O$100,15,0)),0,VLOOKUP($T$604,'TAR FIN'!$A$1:$O$100,15,0))</f>
        <v>943.81</v>
      </c>
      <c r="X604" s="6">
        <f>IF(ISERROR(VLOOKUP($U$604,'TAR FIN'!$A$1:$O$100,15,0)),0,VLOOKUP($U$604,'TAR FIN'!$A$1:$O$100,15,0))</f>
        <v>366.6</v>
      </c>
      <c r="Y604" s="6"/>
      <c r="Z604" s="6">
        <f ca="1">('TUSD BE'!$AM$21+'TUSD BF'!$AM$21+'TUSD CVA'!$AM$21)*1</f>
        <v>928.87102242938545</v>
      </c>
      <c r="AA604" s="6">
        <f>('TE BE'!$AA$7+'TE BF'!$AA$7+'TE CVA'!$AA$7)*1</f>
        <v>385.46556634281501</v>
      </c>
      <c r="AB604" s="6">
        <f>$K$604*$V$604</f>
        <v>0</v>
      </c>
      <c r="AC604" s="6">
        <f>$M$604*$W$604</f>
        <v>1849.8675999999998</v>
      </c>
      <c r="AD604" s="6">
        <f>$O$604*$X$604</f>
        <v>718.53600000000006</v>
      </c>
      <c r="AE604" s="6">
        <f>$K$604*$Y$604</f>
        <v>0</v>
      </c>
      <c r="AF604" s="6">
        <f ca="1">$M$604*$Z$604</f>
        <v>1820.5872039615954</v>
      </c>
      <c r="AG604" s="6">
        <f>$O$604*$AA$604</f>
        <v>755.51251003191737</v>
      </c>
    </row>
    <row r="605" spans="1:33" ht="11.25" customHeight="1" x14ac:dyDescent="0.25">
      <c r="A605" s="4" t="s">
        <v>21</v>
      </c>
      <c r="B605" s="4" t="s">
        <v>39</v>
      </c>
      <c r="C605" s="4" t="s">
        <v>41</v>
      </c>
      <c r="D605" s="4" t="s">
        <v>45</v>
      </c>
      <c r="E605" s="4" t="s">
        <v>25</v>
      </c>
      <c r="F605" s="4" t="s">
        <v>25</v>
      </c>
      <c r="G605" s="4" t="s">
        <v>25</v>
      </c>
      <c r="H605" s="4" t="s">
        <v>34</v>
      </c>
      <c r="I605" s="5">
        <v>44409</v>
      </c>
      <c r="J605" s="6">
        <v>0</v>
      </c>
      <c r="K605" s="6">
        <v>0</v>
      </c>
      <c r="L605" s="6">
        <v>128.815</v>
      </c>
      <c r="M605" s="6">
        <v>128.815</v>
      </c>
      <c r="N605" s="6">
        <v>128.815</v>
      </c>
      <c r="O605" s="6">
        <v>128.815</v>
      </c>
      <c r="P605" s="6">
        <v>0</v>
      </c>
      <c r="Q605" s="4" t="s">
        <v>26</v>
      </c>
      <c r="R605" s="4">
        <v>0</v>
      </c>
      <c r="S605" s="6">
        <v>0</v>
      </c>
      <c r="T605" s="6">
        <v>24</v>
      </c>
      <c r="U605" s="6">
        <v>67</v>
      </c>
      <c r="V605" s="6">
        <f>IF(ISERROR(VLOOKUP($S$605,'TAR FIN'!$A$1:$O$100,15,0)),0,VLOOKUP($S$605,'TAR FIN'!$A$1:$O$100,15,0))</f>
        <v>0</v>
      </c>
      <c r="W605" s="6">
        <f>IF(ISERROR(VLOOKUP($T$605,'TAR FIN'!$A$1:$O$100,15,0)),0,VLOOKUP($T$605,'TAR FIN'!$A$1:$O$100,15,0))</f>
        <v>943.81</v>
      </c>
      <c r="X605" s="6">
        <f>IF(ISERROR(VLOOKUP($U$605,'TAR FIN'!$A$1:$O$100,15,0)),0,VLOOKUP($U$605,'TAR FIN'!$A$1:$O$100,15,0))</f>
        <v>366.6</v>
      </c>
      <c r="Y605" s="6"/>
      <c r="Z605" s="6">
        <f ca="1">('TUSD BE'!$AM$21+'TUSD BF'!$AM$21+'TUSD CVA'!$AM$21)*1</f>
        <v>928.87102242938545</v>
      </c>
      <c r="AA605" s="6">
        <f>('TE BE'!$AA$7+'TE BF'!$AA$7+'TE CVA'!$AA$7)*1</f>
        <v>385.46556634281501</v>
      </c>
      <c r="AB605" s="6">
        <f>$K$605*$V$605</f>
        <v>0</v>
      </c>
      <c r="AC605" s="6">
        <f>$M$605*$W$605</f>
        <v>121576.88514999999</v>
      </c>
      <c r="AD605" s="6">
        <f>$O$605*$X$605</f>
        <v>47223.579000000005</v>
      </c>
      <c r="AE605" s="6">
        <f>$K$605*$Y$605</f>
        <v>0</v>
      </c>
      <c r="AF605" s="6">
        <f ca="1">$M$605*$Z$605</f>
        <v>119652.52075424128</v>
      </c>
      <c r="AG605" s="6">
        <f>$O$605*$AA$605</f>
        <v>49653.746928449713</v>
      </c>
    </row>
    <row r="606" spans="1:33" ht="11.25" customHeight="1" x14ac:dyDescent="0.25">
      <c r="A606" s="4" t="s">
        <v>28</v>
      </c>
      <c r="B606" s="4" t="s">
        <v>39</v>
      </c>
      <c r="C606" s="4" t="s">
        <v>41</v>
      </c>
      <c r="D606" s="4" t="s">
        <v>45</v>
      </c>
      <c r="E606" s="4" t="s">
        <v>25</v>
      </c>
      <c r="F606" s="4" t="s">
        <v>25</v>
      </c>
      <c r="G606" s="4" t="s">
        <v>25</v>
      </c>
      <c r="H606" s="4" t="s">
        <v>34</v>
      </c>
      <c r="I606" s="5">
        <v>44409</v>
      </c>
      <c r="J606" s="6">
        <v>0</v>
      </c>
      <c r="K606" s="6">
        <v>0</v>
      </c>
      <c r="L606" s="6">
        <v>2.2400000000000002</v>
      </c>
      <c r="M606" s="6">
        <v>2.2400000000000002</v>
      </c>
      <c r="N606" s="6">
        <v>2.2400000000000002</v>
      </c>
      <c r="O606" s="6">
        <v>2.2400000000000002</v>
      </c>
      <c r="P606" s="6">
        <v>0</v>
      </c>
      <c r="Q606" s="4" t="s">
        <v>26</v>
      </c>
      <c r="R606" s="4">
        <v>0</v>
      </c>
      <c r="S606" s="6">
        <v>0</v>
      </c>
      <c r="T606" s="6">
        <v>24</v>
      </c>
      <c r="U606" s="6">
        <v>67</v>
      </c>
      <c r="V606" s="6">
        <f>IF(ISERROR(VLOOKUP($S$606,'TAR FIN'!$A$1:$O$100,15,0)),0,VLOOKUP($S$606,'TAR FIN'!$A$1:$O$100,15,0))</f>
        <v>0</v>
      </c>
      <c r="W606" s="6">
        <f>IF(ISERROR(VLOOKUP($T$606,'TAR FIN'!$A$1:$O$100,15,0)),0,VLOOKUP($T$606,'TAR FIN'!$A$1:$O$100,15,0))</f>
        <v>943.81</v>
      </c>
      <c r="X606" s="6">
        <f>IF(ISERROR(VLOOKUP($U$606,'TAR FIN'!$A$1:$O$100,15,0)),0,VLOOKUP($U$606,'TAR FIN'!$A$1:$O$100,15,0))</f>
        <v>366.6</v>
      </c>
      <c r="Y606" s="6"/>
      <c r="Z606" s="6">
        <f ca="1">('TUSD BE'!$AM$21+'TUSD BF'!$AM$21+'TUSD CVA'!$AM$21)*1</f>
        <v>928.87102242938545</v>
      </c>
      <c r="AA606" s="6">
        <f>('TE BE'!$AA$7+'TE BF'!$AA$7+'TE CVA'!$AA$7)*1</f>
        <v>385.46556634281501</v>
      </c>
      <c r="AB606" s="6">
        <f>$K$606*$V$606</f>
        <v>0</v>
      </c>
      <c r="AC606" s="6">
        <f>$M$606*$W$606</f>
        <v>2114.1343999999999</v>
      </c>
      <c r="AD606" s="6">
        <f>$O$606*$X$606</f>
        <v>821.18400000000008</v>
      </c>
      <c r="AE606" s="6">
        <f>$K$606*$Y$606</f>
        <v>0</v>
      </c>
      <c r="AF606" s="6">
        <f ca="1">$M$606*$Z$606</f>
        <v>2080.6710902418235</v>
      </c>
      <c r="AG606" s="6">
        <f>$O$606*$AA$606</f>
        <v>863.44286860790567</v>
      </c>
    </row>
    <row r="607" spans="1:33" ht="11.25" customHeight="1" x14ac:dyDescent="0.25">
      <c r="A607" s="4" t="s">
        <v>21</v>
      </c>
      <c r="B607" s="4" t="s">
        <v>39</v>
      </c>
      <c r="C607" s="4" t="s">
        <v>41</v>
      </c>
      <c r="D607" s="4" t="s">
        <v>45</v>
      </c>
      <c r="E607" s="4" t="s">
        <v>25</v>
      </c>
      <c r="F607" s="4" t="s">
        <v>25</v>
      </c>
      <c r="G607" s="4" t="s">
        <v>25</v>
      </c>
      <c r="H607" s="4" t="s">
        <v>34</v>
      </c>
      <c r="I607" s="5">
        <v>44440</v>
      </c>
      <c r="J607" s="6">
        <v>0</v>
      </c>
      <c r="K607" s="6">
        <v>0</v>
      </c>
      <c r="L607" s="6">
        <v>133.43899999999999</v>
      </c>
      <c r="M607" s="6">
        <v>133.43899999999999</v>
      </c>
      <c r="N607" s="6">
        <v>133.43899999999999</v>
      </c>
      <c r="O607" s="6">
        <v>133.43899999999999</v>
      </c>
      <c r="P607" s="6">
        <v>0</v>
      </c>
      <c r="Q607" s="4" t="s">
        <v>26</v>
      </c>
      <c r="R607" s="4">
        <v>0</v>
      </c>
      <c r="S607" s="6">
        <v>0</v>
      </c>
      <c r="T607" s="6">
        <v>24</v>
      </c>
      <c r="U607" s="6">
        <v>67</v>
      </c>
      <c r="V607" s="6">
        <f>IF(ISERROR(VLOOKUP($S$607,'TAR FIN'!$A$1:$O$100,15,0)),0,VLOOKUP($S$607,'TAR FIN'!$A$1:$O$100,15,0))</f>
        <v>0</v>
      </c>
      <c r="W607" s="6">
        <f>IF(ISERROR(VLOOKUP($T$607,'TAR FIN'!$A$1:$O$100,15,0)),0,VLOOKUP($T$607,'TAR FIN'!$A$1:$O$100,15,0))</f>
        <v>943.81</v>
      </c>
      <c r="X607" s="6">
        <f>IF(ISERROR(VLOOKUP($U$607,'TAR FIN'!$A$1:$O$100,15,0)),0,VLOOKUP($U$607,'TAR FIN'!$A$1:$O$100,15,0))</f>
        <v>366.6</v>
      </c>
      <c r="Y607" s="6"/>
      <c r="Z607" s="6">
        <f ca="1">('TUSD BE'!$AM$21+'TUSD BF'!$AM$21+'TUSD CVA'!$AM$21)*1</f>
        <v>928.87102242938545</v>
      </c>
      <c r="AA607" s="6">
        <f>('TE BE'!$AA$7+'TE BF'!$AA$7+'TE CVA'!$AA$7)*1</f>
        <v>385.46556634281501</v>
      </c>
      <c r="AB607" s="6">
        <f>$K$607*$V$607</f>
        <v>0</v>
      </c>
      <c r="AC607" s="6">
        <f>$M$607*$W$607</f>
        <v>125941.06258999999</v>
      </c>
      <c r="AD607" s="6">
        <f>$O$607*$X$607</f>
        <v>48918.737399999998</v>
      </c>
      <c r="AE607" s="6">
        <f>$K$607*$Y$607</f>
        <v>0</v>
      </c>
      <c r="AF607" s="6">
        <f ca="1">$M$607*$Z$607</f>
        <v>123947.62036195476</v>
      </c>
      <c r="AG607" s="6">
        <f>$O$607*$AA$607</f>
        <v>51436.139707218892</v>
      </c>
    </row>
    <row r="608" spans="1:33" ht="11.25" customHeight="1" x14ac:dyDescent="0.25">
      <c r="A608" s="4" t="s">
        <v>28</v>
      </c>
      <c r="B608" s="4" t="s">
        <v>39</v>
      </c>
      <c r="C608" s="4" t="s">
        <v>41</v>
      </c>
      <c r="D608" s="4" t="s">
        <v>45</v>
      </c>
      <c r="E608" s="4" t="s">
        <v>25</v>
      </c>
      <c r="F608" s="4" t="s">
        <v>25</v>
      </c>
      <c r="G608" s="4" t="s">
        <v>25</v>
      </c>
      <c r="H608" s="4" t="s">
        <v>34</v>
      </c>
      <c r="I608" s="5">
        <v>44440</v>
      </c>
      <c r="J608" s="6">
        <v>0</v>
      </c>
      <c r="K608" s="6">
        <v>0</v>
      </c>
      <c r="L608" s="6">
        <v>1.96</v>
      </c>
      <c r="M608" s="6">
        <v>1.96</v>
      </c>
      <c r="N608" s="6">
        <v>1.96</v>
      </c>
      <c r="O608" s="6">
        <v>1.96</v>
      </c>
      <c r="P608" s="6">
        <v>0</v>
      </c>
      <c r="Q608" s="4" t="s">
        <v>26</v>
      </c>
      <c r="R608" s="4">
        <v>0</v>
      </c>
      <c r="S608" s="6">
        <v>0</v>
      </c>
      <c r="T608" s="6">
        <v>24</v>
      </c>
      <c r="U608" s="6">
        <v>67</v>
      </c>
      <c r="V608" s="6">
        <f>IF(ISERROR(VLOOKUP($S$608,'TAR FIN'!$A$1:$O$100,15,0)),0,VLOOKUP($S$608,'TAR FIN'!$A$1:$O$100,15,0))</f>
        <v>0</v>
      </c>
      <c r="W608" s="6">
        <f>IF(ISERROR(VLOOKUP($T$608,'TAR FIN'!$A$1:$O$100,15,0)),0,VLOOKUP($T$608,'TAR FIN'!$A$1:$O$100,15,0))</f>
        <v>943.81</v>
      </c>
      <c r="X608" s="6">
        <f>IF(ISERROR(VLOOKUP($U$608,'TAR FIN'!$A$1:$O$100,15,0)),0,VLOOKUP($U$608,'TAR FIN'!$A$1:$O$100,15,0))</f>
        <v>366.6</v>
      </c>
      <c r="Y608" s="6"/>
      <c r="Z608" s="6">
        <f ca="1">('TUSD BE'!$AM$21+'TUSD BF'!$AM$21+'TUSD CVA'!$AM$21)*1</f>
        <v>928.87102242938545</v>
      </c>
      <c r="AA608" s="6">
        <f>('TE BE'!$AA$7+'TE BF'!$AA$7+'TE CVA'!$AA$7)*1</f>
        <v>385.46556634281501</v>
      </c>
      <c r="AB608" s="6">
        <f>$K$608*$V$608</f>
        <v>0</v>
      </c>
      <c r="AC608" s="6">
        <f>$M$608*$W$608</f>
        <v>1849.8675999999998</v>
      </c>
      <c r="AD608" s="6">
        <f>$O$608*$X$608</f>
        <v>718.53600000000006</v>
      </c>
      <c r="AE608" s="6">
        <f>$K$608*$Y$608</f>
        <v>0</v>
      </c>
      <c r="AF608" s="6">
        <f ca="1">$M$608*$Z$608</f>
        <v>1820.5872039615954</v>
      </c>
      <c r="AG608" s="6">
        <f>$O$608*$AA$608</f>
        <v>755.51251003191737</v>
      </c>
    </row>
    <row r="609" spans="1:33" ht="11.25" customHeight="1" x14ac:dyDescent="0.25">
      <c r="A609" s="4" t="s">
        <v>21</v>
      </c>
      <c r="B609" s="4" t="s">
        <v>39</v>
      </c>
      <c r="C609" s="4" t="s">
        <v>41</v>
      </c>
      <c r="D609" s="4" t="s">
        <v>45</v>
      </c>
      <c r="E609" s="4" t="s">
        <v>25</v>
      </c>
      <c r="F609" s="4" t="s">
        <v>25</v>
      </c>
      <c r="G609" s="4" t="s">
        <v>25</v>
      </c>
      <c r="H609" s="4" t="s">
        <v>34</v>
      </c>
      <c r="I609" s="5">
        <v>44470</v>
      </c>
      <c r="J609" s="6">
        <v>0</v>
      </c>
      <c r="K609" s="6">
        <v>0</v>
      </c>
      <c r="L609" s="6">
        <v>129.28</v>
      </c>
      <c r="M609" s="6">
        <v>129.28</v>
      </c>
      <c r="N609" s="6">
        <v>129.28</v>
      </c>
      <c r="O609" s="6">
        <v>129.28</v>
      </c>
      <c r="P609" s="6">
        <v>0</v>
      </c>
      <c r="Q609" s="4" t="s">
        <v>26</v>
      </c>
      <c r="R609" s="4">
        <v>0</v>
      </c>
      <c r="S609" s="6">
        <v>0</v>
      </c>
      <c r="T609" s="6">
        <v>24</v>
      </c>
      <c r="U609" s="6">
        <v>67</v>
      </c>
      <c r="V609" s="6">
        <f>IF(ISERROR(VLOOKUP($S$609,'TAR FIN'!$A$1:$O$100,15,0)),0,VLOOKUP($S$609,'TAR FIN'!$A$1:$O$100,15,0))</f>
        <v>0</v>
      </c>
      <c r="W609" s="6">
        <f>IF(ISERROR(VLOOKUP($T$609,'TAR FIN'!$A$1:$O$100,15,0)),0,VLOOKUP($T$609,'TAR FIN'!$A$1:$O$100,15,0))</f>
        <v>943.81</v>
      </c>
      <c r="X609" s="6">
        <f>IF(ISERROR(VLOOKUP($U$609,'TAR FIN'!$A$1:$O$100,15,0)),0,VLOOKUP($U$609,'TAR FIN'!$A$1:$O$100,15,0))</f>
        <v>366.6</v>
      </c>
      <c r="Y609" s="6"/>
      <c r="Z609" s="6">
        <f ca="1">('TUSD BE'!$AM$21+'TUSD BF'!$AM$21+'TUSD CVA'!$AM$21)*1</f>
        <v>928.87102242938545</v>
      </c>
      <c r="AA609" s="6">
        <f>('TE BE'!$AA$7+'TE BF'!$AA$7+'TE CVA'!$AA$7)*1</f>
        <v>385.46556634281501</v>
      </c>
      <c r="AB609" s="6">
        <f>$K$609*$V$609</f>
        <v>0</v>
      </c>
      <c r="AC609" s="6">
        <f>$M$609*$W$609</f>
        <v>122015.75679999999</v>
      </c>
      <c r="AD609" s="6">
        <f>$O$609*$X$609</f>
        <v>47394.048000000003</v>
      </c>
      <c r="AE609" s="6">
        <f>$K$609*$Y$609</f>
        <v>0</v>
      </c>
      <c r="AF609" s="6">
        <f ca="1">$M$609*$Z$609</f>
        <v>120084.44577967095</v>
      </c>
      <c r="AG609" s="6">
        <f>$O$609*$AA$609</f>
        <v>49832.988416799126</v>
      </c>
    </row>
    <row r="610" spans="1:33" ht="11.25" customHeight="1" x14ac:dyDescent="0.25">
      <c r="A610" s="4" t="s">
        <v>28</v>
      </c>
      <c r="B610" s="4" t="s">
        <v>39</v>
      </c>
      <c r="C610" s="4" t="s">
        <v>41</v>
      </c>
      <c r="D610" s="4" t="s">
        <v>45</v>
      </c>
      <c r="E610" s="4" t="s">
        <v>25</v>
      </c>
      <c r="F610" s="4" t="s">
        <v>25</v>
      </c>
      <c r="G610" s="4" t="s">
        <v>25</v>
      </c>
      <c r="H610" s="4" t="s">
        <v>34</v>
      </c>
      <c r="I610" s="5">
        <v>44470</v>
      </c>
      <c r="J610" s="6">
        <v>0</v>
      </c>
      <c r="K610" s="6">
        <v>0</v>
      </c>
      <c r="L610" s="6">
        <v>2.2400000000000002</v>
      </c>
      <c r="M610" s="6">
        <v>2.2400000000000002</v>
      </c>
      <c r="N610" s="6">
        <v>2.2400000000000002</v>
      </c>
      <c r="O610" s="6">
        <v>2.2400000000000002</v>
      </c>
      <c r="P610" s="6">
        <v>0</v>
      </c>
      <c r="Q610" s="4" t="s">
        <v>26</v>
      </c>
      <c r="R610" s="4">
        <v>0</v>
      </c>
      <c r="S610" s="6">
        <v>0</v>
      </c>
      <c r="T610" s="6">
        <v>24</v>
      </c>
      <c r="U610" s="6">
        <v>67</v>
      </c>
      <c r="V610" s="6">
        <f>IF(ISERROR(VLOOKUP($S$610,'TAR FIN'!$A$1:$O$100,15,0)),0,VLOOKUP($S$610,'TAR FIN'!$A$1:$O$100,15,0))</f>
        <v>0</v>
      </c>
      <c r="W610" s="6">
        <f>IF(ISERROR(VLOOKUP($T$610,'TAR FIN'!$A$1:$O$100,15,0)),0,VLOOKUP($T$610,'TAR FIN'!$A$1:$O$100,15,0))</f>
        <v>943.81</v>
      </c>
      <c r="X610" s="6">
        <f>IF(ISERROR(VLOOKUP($U$610,'TAR FIN'!$A$1:$O$100,15,0)),0,VLOOKUP($U$610,'TAR FIN'!$A$1:$O$100,15,0))</f>
        <v>366.6</v>
      </c>
      <c r="Y610" s="6"/>
      <c r="Z610" s="6">
        <f ca="1">('TUSD BE'!$AM$21+'TUSD BF'!$AM$21+'TUSD CVA'!$AM$21)*1</f>
        <v>928.87102242938545</v>
      </c>
      <c r="AA610" s="6">
        <f>('TE BE'!$AA$7+'TE BF'!$AA$7+'TE CVA'!$AA$7)*1</f>
        <v>385.46556634281501</v>
      </c>
      <c r="AB610" s="6">
        <f>$K$610*$V$610</f>
        <v>0</v>
      </c>
      <c r="AC610" s="6">
        <f>$M$610*$W$610</f>
        <v>2114.1343999999999</v>
      </c>
      <c r="AD610" s="6">
        <f>$O$610*$X$610</f>
        <v>821.18400000000008</v>
      </c>
      <c r="AE610" s="6">
        <f>$K$610*$Y$610</f>
        <v>0</v>
      </c>
      <c r="AF610" s="6">
        <f ca="1">$M$610*$Z$610</f>
        <v>2080.6710902418235</v>
      </c>
      <c r="AG610" s="6">
        <f>$O$610*$AA$610</f>
        <v>863.44286860790567</v>
      </c>
    </row>
    <row r="611" spans="1:33" ht="11.25" customHeight="1" x14ac:dyDescent="0.25">
      <c r="A611" s="4" t="s">
        <v>21</v>
      </c>
      <c r="B611" s="4" t="s">
        <v>39</v>
      </c>
      <c r="C611" s="4" t="s">
        <v>41</v>
      </c>
      <c r="D611" s="4" t="s">
        <v>45</v>
      </c>
      <c r="E611" s="4" t="s">
        <v>25</v>
      </c>
      <c r="F611" s="4" t="s">
        <v>25</v>
      </c>
      <c r="G611" s="4" t="s">
        <v>25</v>
      </c>
      <c r="H611" s="4" t="s">
        <v>34</v>
      </c>
      <c r="I611" s="5">
        <v>44501</v>
      </c>
      <c r="J611" s="6">
        <v>0</v>
      </c>
      <c r="K611" s="6">
        <v>0</v>
      </c>
      <c r="L611" s="6">
        <v>138.97200000000001</v>
      </c>
      <c r="M611" s="6">
        <v>138.97200000000001</v>
      </c>
      <c r="N611" s="6">
        <v>138.97200000000001</v>
      </c>
      <c r="O611" s="6">
        <v>138.97200000000001</v>
      </c>
      <c r="P611" s="6">
        <v>0</v>
      </c>
      <c r="Q611" s="4" t="s">
        <v>26</v>
      </c>
      <c r="R611" s="4">
        <v>0</v>
      </c>
      <c r="S611" s="6">
        <v>0</v>
      </c>
      <c r="T611" s="6">
        <v>24</v>
      </c>
      <c r="U611" s="6">
        <v>67</v>
      </c>
      <c r="V611" s="6">
        <f>IF(ISERROR(VLOOKUP($S$611,'TAR FIN'!$A$1:$O$100,15,0)),0,VLOOKUP($S$611,'TAR FIN'!$A$1:$O$100,15,0))</f>
        <v>0</v>
      </c>
      <c r="W611" s="6">
        <f>IF(ISERROR(VLOOKUP($T$611,'TAR FIN'!$A$1:$O$100,15,0)),0,VLOOKUP($T$611,'TAR FIN'!$A$1:$O$100,15,0))</f>
        <v>943.81</v>
      </c>
      <c r="X611" s="6">
        <f>IF(ISERROR(VLOOKUP($U$611,'TAR FIN'!$A$1:$O$100,15,0)),0,VLOOKUP($U$611,'TAR FIN'!$A$1:$O$100,15,0))</f>
        <v>366.6</v>
      </c>
      <c r="Y611" s="6"/>
      <c r="Z611" s="6">
        <f ca="1">('TUSD BE'!$AM$21+'TUSD BF'!$AM$21+'TUSD CVA'!$AM$21)*1</f>
        <v>928.87102242938545</v>
      </c>
      <c r="AA611" s="6">
        <f>('TE BE'!$AA$7+'TE BF'!$AA$7+'TE CVA'!$AA$7)*1</f>
        <v>385.46556634281501</v>
      </c>
      <c r="AB611" s="6">
        <f>$K$611*$V$611</f>
        <v>0</v>
      </c>
      <c r="AC611" s="6">
        <f>$M$611*$W$611</f>
        <v>131163.16331999999</v>
      </c>
      <c r="AD611" s="6">
        <f>$O$611*$X$611</f>
        <v>50947.135200000004</v>
      </c>
      <c r="AE611" s="6">
        <f>$K$611*$Y$611</f>
        <v>0</v>
      </c>
      <c r="AF611" s="6">
        <f ca="1">$M$611*$Z$611</f>
        <v>129087.06372905656</v>
      </c>
      <c r="AG611" s="6">
        <f>$O$611*$AA$611</f>
        <v>53568.920685793688</v>
      </c>
    </row>
    <row r="612" spans="1:33" ht="11.25" customHeight="1" x14ac:dyDescent="0.25">
      <c r="A612" s="4" t="s">
        <v>28</v>
      </c>
      <c r="B612" s="4" t="s">
        <v>39</v>
      </c>
      <c r="C612" s="4" t="s">
        <v>41</v>
      </c>
      <c r="D612" s="4" t="s">
        <v>45</v>
      </c>
      <c r="E612" s="4" t="s">
        <v>25</v>
      </c>
      <c r="F612" s="4" t="s">
        <v>25</v>
      </c>
      <c r="G612" s="4" t="s">
        <v>25</v>
      </c>
      <c r="H612" s="4" t="s">
        <v>34</v>
      </c>
      <c r="I612" s="5">
        <v>44501</v>
      </c>
      <c r="J612" s="6">
        <v>0</v>
      </c>
      <c r="K612" s="6">
        <v>0</v>
      </c>
      <c r="L612" s="6">
        <v>2.52</v>
      </c>
      <c r="M612" s="6">
        <v>2.52</v>
      </c>
      <c r="N612" s="6">
        <v>2.52</v>
      </c>
      <c r="O612" s="6">
        <v>2.52</v>
      </c>
      <c r="P612" s="6">
        <v>0</v>
      </c>
      <c r="Q612" s="4" t="s">
        <v>26</v>
      </c>
      <c r="R612" s="4">
        <v>0</v>
      </c>
      <c r="S612" s="6">
        <v>0</v>
      </c>
      <c r="T612" s="6">
        <v>24</v>
      </c>
      <c r="U612" s="6">
        <v>67</v>
      </c>
      <c r="V612" s="6">
        <f>IF(ISERROR(VLOOKUP($S$612,'TAR FIN'!$A$1:$O$100,15,0)),0,VLOOKUP($S$612,'TAR FIN'!$A$1:$O$100,15,0))</f>
        <v>0</v>
      </c>
      <c r="W612" s="6">
        <f>IF(ISERROR(VLOOKUP($T$612,'TAR FIN'!$A$1:$O$100,15,0)),0,VLOOKUP($T$612,'TAR FIN'!$A$1:$O$100,15,0))</f>
        <v>943.81</v>
      </c>
      <c r="X612" s="6">
        <f>IF(ISERROR(VLOOKUP($U$612,'TAR FIN'!$A$1:$O$100,15,0)),0,VLOOKUP($U$612,'TAR FIN'!$A$1:$O$100,15,0))</f>
        <v>366.6</v>
      </c>
      <c r="Y612" s="6"/>
      <c r="Z612" s="6">
        <f ca="1">('TUSD BE'!$AM$21+'TUSD BF'!$AM$21+'TUSD CVA'!$AM$21)*1</f>
        <v>928.87102242938545</v>
      </c>
      <c r="AA612" s="6">
        <f>('TE BE'!$AA$7+'TE BF'!$AA$7+'TE CVA'!$AA$7)*1</f>
        <v>385.46556634281501</v>
      </c>
      <c r="AB612" s="6">
        <f>$K$612*$V$612</f>
        <v>0</v>
      </c>
      <c r="AC612" s="6">
        <f>$M$612*$W$612</f>
        <v>2378.4011999999998</v>
      </c>
      <c r="AD612" s="6">
        <f>$O$612*$X$612</f>
        <v>923.83200000000011</v>
      </c>
      <c r="AE612" s="6">
        <f>$K$612*$Y$612</f>
        <v>0</v>
      </c>
      <c r="AF612" s="6">
        <f ca="1">$M$612*$Z$612</f>
        <v>2340.7549765220515</v>
      </c>
      <c r="AG612" s="6">
        <f>$O$612*$AA$612</f>
        <v>971.37322718389385</v>
      </c>
    </row>
    <row r="613" spans="1:33" ht="11.25" customHeight="1" x14ac:dyDescent="0.25">
      <c r="A613" s="4" t="s">
        <v>21</v>
      </c>
      <c r="B613" s="4" t="s">
        <v>39</v>
      </c>
      <c r="C613" s="4" t="s">
        <v>41</v>
      </c>
      <c r="D613" s="4" t="s">
        <v>45</v>
      </c>
      <c r="E613" s="4" t="s">
        <v>25</v>
      </c>
      <c r="F613" s="4" t="s">
        <v>25</v>
      </c>
      <c r="G613" s="4" t="s">
        <v>25</v>
      </c>
      <c r="H613" s="4" t="s">
        <v>34</v>
      </c>
      <c r="I613" s="5">
        <v>44531</v>
      </c>
      <c r="J613" s="6">
        <v>0</v>
      </c>
      <c r="K613" s="6">
        <v>0</v>
      </c>
      <c r="L613" s="6">
        <v>152.41800000000001</v>
      </c>
      <c r="M613" s="6">
        <v>152.41800000000001</v>
      </c>
      <c r="N613" s="6">
        <v>152.41800000000001</v>
      </c>
      <c r="O613" s="6">
        <v>152.41800000000001</v>
      </c>
      <c r="P613" s="6">
        <v>0</v>
      </c>
      <c r="Q613" s="4" t="s">
        <v>26</v>
      </c>
      <c r="R613" s="4">
        <v>0</v>
      </c>
      <c r="S613" s="6">
        <v>0</v>
      </c>
      <c r="T613" s="6">
        <v>24</v>
      </c>
      <c r="U613" s="6">
        <v>67</v>
      </c>
      <c r="V613" s="6">
        <f>IF(ISERROR(VLOOKUP($S$613,'TAR FIN'!$A$1:$O$100,15,0)),0,VLOOKUP($S$613,'TAR FIN'!$A$1:$O$100,15,0))</f>
        <v>0</v>
      </c>
      <c r="W613" s="6">
        <f>IF(ISERROR(VLOOKUP($T$613,'TAR FIN'!$A$1:$O$100,15,0)),0,VLOOKUP($T$613,'TAR FIN'!$A$1:$O$100,15,0))</f>
        <v>943.81</v>
      </c>
      <c r="X613" s="6">
        <f>IF(ISERROR(VLOOKUP($U$613,'TAR FIN'!$A$1:$O$100,15,0)),0,VLOOKUP($U$613,'TAR FIN'!$A$1:$O$100,15,0))</f>
        <v>366.6</v>
      </c>
      <c r="Y613" s="6"/>
      <c r="Z613" s="6">
        <f ca="1">('TUSD BE'!$AM$21+'TUSD BF'!$AM$21+'TUSD CVA'!$AM$21)*1</f>
        <v>928.87102242938545</v>
      </c>
      <c r="AA613" s="6">
        <f>('TE BE'!$AA$7+'TE BF'!$AA$7+'TE CVA'!$AA$7)*1</f>
        <v>385.46556634281501</v>
      </c>
      <c r="AB613" s="6">
        <f>$K$613*$V$613</f>
        <v>0</v>
      </c>
      <c r="AC613" s="6">
        <f>$M$613*$W$613</f>
        <v>143853.63258</v>
      </c>
      <c r="AD613" s="6">
        <f>$O$613*$X$613</f>
        <v>55876.438800000004</v>
      </c>
      <c r="AE613" s="6">
        <f>$K$613*$Y$613</f>
        <v>0</v>
      </c>
      <c r="AF613" s="6">
        <f ca="1">$M$613*$Z$613</f>
        <v>141576.66349664208</v>
      </c>
      <c r="AG613" s="6">
        <f>$O$613*$AA$613</f>
        <v>58751.89069083918</v>
      </c>
    </row>
    <row r="614" spans="1:33" ht="11.25" customHeight="1" x14ac:dyDescent="0.25">
      <c r="A614" s="4" t="s">
        <v>28</v>
      </c>
      <c r="B614" s="4" t="s">
        <v>39</v>
      </c>
      <c r="C614" s="4" t="s">
        <v>41</v>
      </c>
      <c r="D614" s="4" t="s">
        <v>45</v>
      </c>
      <c r="E614" s="4" t="s">
        <v>25</v>
      </c>
      <c r="F614" s="4" t="s">
        <v>25</v>
      </c>
      <c r="G614" s="4" t="s">
        <v>25</v>
      </c>
      <c r="H614" s="4" t="s">
        <v>34</v>
      </c>
      <c r="I614" s="5">
        <v>44531</v>
      </c>
      <c r="J614" s="6">
        <v>0</v>
      </c>
      <c r="K614" s="6">
        <v>0</v>
      </c>
      <c r="L614" s="6">
        <v>2.52</v>
      </c>
      <c r="M614" s="6">
        <v>2.52</v>
      </c>
      <c r="N614" s="6">
        <v>2.52</v>
      </c>
      <c r="O614" s="6">
        <v>2.52</v>
      </c>
      <c r="P614" s="6">
        <v>0</v>
      </c>
      <c r="Q614" s="4" t="s">
        <v>26</v>
      </c>
      <c r="R614" s="4">
        <v>0</v>
      </c>
      <c r="S614" s="6">
        <v>0</v>
      </c>
      <c r="T614" s="6">
        <v>24</v>
      </c>
      <c r="U614" s="6">
        <v>67</v>
      </c>
      <c r="V614" s="6">
        <f>IF(ISERROR(VLOOKUP($S$614,'TAR FIN'!$A$1:$O$100,15,0)),0,VLOOKUP($S$614,'TAR FIN'!$A$1:$O$100,15,0))</f>
        <v>0</v>
      </c>
      <c r="W614" s="6">
        <f>IF(ISERROR(VLOOKUP($T$614,'TAR FIN'!$A$1:$O$100,15,0)),0,VLOOKUP($T$614,'TAR FIN'!$A$1:$O$100,15,0))</f>
        <v>943.81</v>
      </c>
      <c r="X614" s="6">
        <f>IF(ISERROR(VLOOKUP($U$614,'TAR FIN'!$A$1:$O$100,15,0)),0,VLOOKUP($U$614,'TAR FIN'!$A$1:$O$100,15,0))</f>
        <v>366.6</v>
      </c>
      <c r="Y614" s="6"/>
      <c r="Z614" s="6">
        <f ca="1">('TUSD BE'!$AM$21+'TUSD BF'!$AM$21+'TUSD CVA'!$AM$21)*1</f>
        <v>928.87102242938545</v>
      </c>
      <c r="AA614" s="6">
        <f>('TE BE'!$AA$7+'TE BF'!$AA$7+'TE CVA'!$AA$7)*1</f>
        <v>385.46556634281501</v>
      </c>
      <c r="AB614" s="6">
        <f>$K$614*$V$614</f>
        <v>0</v>
      </c>
      <c r="AC614" s="6">
        <f>$M$614*$W$614</f>
        <v>2378.4011999999998</v>
      </c>
      <c r="AD614" s="6">
        <f>$O$614*$X$614</f>
        <v>923.83200000000011</v>
      </c>
      <c r="AE614" s="6">
        <f>$K$614*$Y$614</f>
        <v>0</v>
      </c>
      <c r="AF614" s="6">
        <f ca="1">$M$614*$Z$614</f>
        <v>2340.7549765220515</v>
      </c>
      <c r="AG614" s="6">
        <f>$O$614*$AA$614</f>
        <v>971.37322718389385</v>
      </c>
    </row>
    <row r="615" spans="1:33" ht="11.25" customHeight="1" x14ac:dyDescent="0.25">
      <c r="A615" s="4" t="s">
        <v>55</v>
      </c>
      <c r="B615" s="4" t="s">
        <v>39</v>
      </c>
      <c r="C615" s="4" t="s">
        <v>41</v>
      </c>
      <c r="D615" s="4" t="s">
        <v>45</v>
      </c>
      <c r="E615" s="4" t="s">
        <v>25</v>
      </c>
      <c r="F615" s="4" t="s">
        <v>25</v>
      </c>
      <c r="G615" s="4" t="s">
        <v>25</v>
      </c>
      <c r="H615" s="4" t="s">
        <v>34</v>
      </c>
      <c r="I615" s="5">
        <v>44562</v>
      </c>
      <c r="J615" s="6">
        <v>0</v>
      </c>
      <c r="K615" s="6">
        <v>0</v>
      </c>
      <c r="L615" s="6">
        <v>152.41800000000001</v>
      </c>
      <c r="M615" s="6">
        <v>152.41800000000001</v>
      </c>
      <c r="N615" s="6">
        <v>152.41800000000001</v>
      </c>
      <c r="O615" s="6">
        <v>152.41800000000001</v>
      </c>
      <c r="P615" s="6">
        <v>0</v>
      </c>
      <c r="Q615" s="4" t="s">
        <v>26</v>
      </c>
      <c r="R615" s="4">
        <v>0</v>
      </c>
      <c r="S615" s="6">
        <v>0</v>
      </c>
      <c r="T615" s="6">
        <v>24</v>
      </c>
      <c r="U615" s="6">
        <v>67</v>
      </c>
      <c r="V615" s="6">
        <f>IF(ISERROR(VLOOKUP($S$615,'TAR FIN'!$A$1:$O$100,15,0)),0,VLOOKUP($S$615,'TAR FIN'!$A$1:$O$100,15,0))</f>
        <v>0</v>
      </c>
      <c r="W615" s="6">
        <f>IF(ISERROR(VLOOKUP($T$615,'TAR FIN'!$A$1:$O$100,15,0)),0,VLOOKUP($T$615,'TAR FIN'!$A$1:$O$100,15,0))</f>
        <v>943.81</v>
      </c>
      <c r="X615" s="6">
        <f>IF(ISERROR(VLOOKUP($U$615,'TAR FIN'!$A$1:$O$100,15,0)),0,VLOOKUP($U$615,'TAR FIN'!$A$1:$O$100,15,0))</f>
        <v>366.6</v>
      </c>
      <c r="Y615" s="6"/>
      <c r="Z615" s="6">
        <f ca="1">('TUSD BE'!$AM$21+'TUSD BF'!$AM$21+'TUSD CVA'!$AM$21)*1</f>
        <v>928.87102242938545</v>
      </c>
      <c r="AA615" s="6">
        <f>('TE BE'!$AA$7+'TE BF'!$AA$7+'TE CVA'!$AA$7)*1</f>
        <v>385.46556634281501</v>
      </c>
      <c r="AB615" s="6">
        <f>$K$615*$V$615</f>
        <v>0</v>
      </c>
      <c r="AC615" s="6">
        <f>$M$615*$W$615</f>
        <v>143853.63258</v>
      </c>
      <c r="AD615" s="6">
        <f>$O$615*$X$615</f>
        <v>55876.438800000004</v>
      </c>
      <c r="AE615" s="6">
        <f>$K$615*$Y$615</f>
        <v>0</v>
      </c>
      <c r="AF615" s="6">
        <f ca="1">$M$615*$Z$615</f>
        <v>141576.66349664208</v>
      </c>
      <c r="AG615" s="6">
        <f>$O$615*$AA$615</f>
        <v>58751.89069083918</v>
      </c>
    </row>
    <row r="616" spans="1:33" ht="11.25" customHeight="1" x14ac:dyDescent="0.25">
      <c r="A616" s="4" t="s">
        <v>55</v>
      </c>
      <c r="B616" s="4" t="s">
        <v>39</v>
      </c>
      <c r="C616" s="4" t="s">
        <v>41</v>
      </c>
      <c r="D616" s="4" t="s">
        <v>45</v>
      </c>
      <c r="E616" s="4" t="s">
        <v>25</v>
      </c>
      <c r="F616" s="4" t="s">
        <v>25</v>
      </c>
      <c r="G616" s="4" t="s">
        <v>25</v>
      </c>
      <c r="H616" s="4" t="s">
        <v>34</v>
      </c>
      <c r="I616" s="5">
        <v>44562</v>
      </c>
      <c r="J616" s="6">
        <v>0</v>
      </c>
      <c r="K616" s="6">
        <v>0</v>
      </c>
      <c r="L616" s="6">
        <v>2.52</v>
      </c>
      <c r="M616" s="6">
        <v>2.52</v>
      </c>
      <c r="N616" s="6">
        <v>2.52</v>
      </c>
      <c r="O616" s="6">
        <v>2.52</v>
      </c>
      <c r="P616" s="6">
        <v>0</v>
      </c>
      <c r="Q616" s="4" t="s">
        <v>26</v>
      </c>
      <c r="R616" s="4">
        <v>0</v>
      </c>
      <c r="S616" s="6">
        <v>0</v>
      </c>
      <c r="T616" s="6">
        <v>24</v>
      </c>
      <c r="U616" s="6">
        <v>67</v>
      </c>
      <c r="V616" s="6">
        <f>IF(ISERROR(VLOOKUP($S$616,'TAR FIN'!$A$1:$O$100,15,0)),0,VLOOKUP($S$616,'TAR FIN'!$A$1:$O$100,15,0))</f>
        <v>0</v>
      </c>
      <c r="W616" s="6">
        <f>IF(ISERROR(VLOOKUP($T$616,'TAR FIN'!$A$1:$O$100,15,0)),0,VLOOKUP($T$616,'TAR FIN'!$A$1:$O$100,15,0))</f>
        <v>943.81</v>
      </c>
      <c r="X616" s="6">
        <f>IF(ISERROR(VLOOKUP($U$616,'TAR FIN'!$A$1:$O$100,15,0)),0,VLOOKUP($U$616,'TAR FIN'!$A$1:$O$100,15,0))</f>
        <v>366.6</v>
      </c>
      <c r="Y616" s="6"/>
      <c r="Z616" s="6">
        <f ca="1">('TUSD BE'!$AM$21+'TUSD BF'!$AM$21+'TUSD CVA'!$AM$21)*1</f>
        <v>928.87102242938545</v>
      </c>
      <c r="AA616" s="6">
        <f>('TE BE'!$AA$7+'TE BF'!$AA$7+'TE CVA'!$AA$7)*1</f>
        <v>385.46556634281501</v>
      </c>
      <c r="AB616" s="6">
        <f>$K$616*$V$616</f>
        <v>0</v>
      </c>
      <c r="AC616" s="6">
        <f>$M$616*$W$616</f>
        <v>2378.4011999999998</v>
      </c>
      <c r="AD616" s="6">
        <f>$O$616*$X$616</f>
        <v>923.83200000000011</v>
      </c>
      <c r="AE616" s="6">
        <f>$K$616*$Y$616</f>
        <v>0</v>
      </c>
      <c r="AF616" s="6">
        <f ca="1">$M$616*$Z$616</f>
        <v>2340.7549765220515</v>
      </c>
      <c r="AG616" s="6">
        <f>$O$616*$AA$616</f>
        <v>971.37322718389385</v>
      </c>
    </row>
    <row r="617" spans="1:33" ht="11.25" customHeight="1" x14ac:dyDescent="0.25">
      <c r="A617" s="4" t="s">
        <v>21</v>
      </c>
      <c r="B617" s="4" t="s">
        <v>39</v>
      </c>
      <c r="C617" s="4" t="s">
        <v>41</v>
      </c>
      <c r="D617" s="4" t="s">
        <v>44</v>
      </c>
      <c r="E617" s="4" t="s">
        <v>25</v>
      </c>
      <c r="F617" s="4" t="s">
        <v>25</v>
      </c>
      <c r="G617" s="4" t="s">
        <v>25</v>
      </c>
      <c r="H617" s="4" t="s">
        <v>35</v>
      </c>
      <c r="I617" s="5">
        <v>44228</v>
      </c>
      <c r="J617" s="6">
        <v>0</v>
      </c>
      <c r="K617" s="43">
        <v>0</v>
      </c>
      <c r="L617" s="6">
        <v>98.512</v>
      </c>
      <c r="M617" s="43">
        <v>98.512</v>
      </c>
      <c r="N617" s="6">
        <v>98.512</v>
      </c>
      <c r="O617" s="43">
        <v>98.512</v>
      </c>
      <c r="P617" s="6">
        <v>0</v>
      </c>
      <c r="Q617" s="4" t="s">
        <v>26</v>
      </c>
      <c r="R617" s="4">
        <v>0</v>
      </c>
      <c r="S617" s="6">
        <v>0</v>
      </c>
      <c r="T617" s="6">
        <v>25</v>
      </c>
      <c r="U617" s="6">
        <v>68</v>
      </c>
      <c r="V617" s="43">
        <f>IF(ISERROR(VLOOKUP($S$617,'TAR FIN'!$A$1:$O$100,15,0)),0,VLOOKUP($S$617,'TAR FIN'!$A$1:$O$100,15,0))</f>
        <v>0</v>
      </c>
      <c r="W617" s="43">
        <f>IF(ISERROR(VLOOKUP($T$617,'TAR FIN'!$A$1:$O$100,15,0)),0,VLOOKUP($T$617,'TAR FIN'!$A$1:$O$100,15,0))*(1-0.04)</f>
        <v>41.903999999999996</v>
      </c>
      <c r="X617" s="43">
        <f>IF(ISERROR(VLOOKUP($U$617,'TAR FIN'!$A$1:$O$100,15,0)),0,VLOOKUP($U$617,'TAR FIN'!$A$1:$O$100,15,0))*(1-0.04)</f>
        <v>210.2688</v>
      </c>
      <c r="Y617" s="43"/>
      <c r="Z617" s="43">
        <f ca="1">('TUSD BE'!$AM$22+'TUSD BF'!$AM$22+'TUSD CVA'!$AM$22)*1*(1-0.02)</f>
        <v>48.791300201419645</v>
      </c>
      <c r="AA617" s="43">
        <f>('TE BE'!$AA$8+'TE BF'!$AA$8+'TE CVA'!$AA$8)*1*(1-0.02)</f>
        <v>233.77976332555176</v>
      </c>
      <c r="AB617" s="6">
        <f>$K$617*$V$617</f>
        <v>0</v>
      </c>
      <c r="AC617" s="6">
        <f>$M$617*$W$617</f>
        <v>4128.046848</v>
      </c>
      <c r="AD617" s="6">
        <f>$O$617*$X$617</f>
        <v>20714.000025599998</v>
      </c>
      <c r="AE617" s="6">
        <f>$K$617*$Y$617</f>
        <v>0</v>
      </c>
      <c r="AF617" s="6">
        <f ca="1">$M$617*$Z$617</f>
        <v>4806.5285654422523</v>
      </c>
      <c r="AG617" s="6">
        <f>$O$617*$AA$617</f>
        <v>23030.112044726753</v>
      </c>
    </row>
    <row r="618" spans="1:33" ht="11.25" customHeight="1" x14ac:dyDescent="0.25">
      <c r="A618" s="4" t="s">
        <v>21</v>
      </c>
      <c r="B618" s="4" t="s">
        <v>39</v>
      </c>
      <c r="C618" s="4" t="s">
        <v>41</v>
      </c>
      <c r="D618" s="4" t="s">
        <v>44</v>
      </c>
      <c r="E618" s="4" t="s">
        <v>25</v>
      </c>
      <c r="F618" s="4" t="s">
        <v>25</v>
      </c>
      <c r="G618" s="4" t="s">
        <v>25</v>
      </c>
      <c r="H618" s="4" t="s">
        <v>35</v>
      </c>
      <c r="I618" s="5">
        <v>44256</v>
      </c>
      <c r="J618" s="6">
        <v>0</v>
      </c>
      <c r="K618" s="43">
        <v>0</v>
      </c>
      <c r="L618" s="6">
        <v>109.238</v>
      </c>
      <c r="M618" s="43">
        <v>109.238</v>
      </c>
      <c r="N618" s="6">
        <v>109.238</v>
      </c>
      <c r="O618" s="43">
        <v>109.238</v>
      </c>
      <c r="P618" s="6">
        <v>0</v>
      </c>
      <c r="Q618" s="4" t="s">
        <v>26</v>
      </c>
      <c r="R618" s="4">
        <v>0</v>
      </c>
      <c r="S618" s="6">
        <v>0</v>
      </c>
      <c r="T618" s="6">
        <v>25</v>
      </c>
      <c r="U618" s="6">
        <v>68</v>
      </c>
      <c r="V618" s="43">
        <f>IF(ISERROR(VLOOKUP($S$618,'TAR FIN'!$A$1:$O$100,15,0)),0,VLOOKUP($S$618,'TAR FIN'!$A$1:$O$100,15,0))</f>
        <v>0</v>
      </c>
      <c r="W618" s="43">
        <f>IF(ISERROR(VLOOKUP($T$618,'TAR FIN'!$A$1:$O$100,15,0)),0,VLOOKUP($T$618,'TAR FIN'!$A$1:$O$100,15,0))*(1-0.04)</f>
        <v>41.903999999999996</v>
      </c>
      <c r="X618" s="43">
        <f>IF(ISERROR(VLOOKUP($U$618,'TAR FIN'!$A$1:$O$100,15,0)),0,VLOOKUP($U$618,'TAR FIN'!$A$1:$O$100,15,0))*(1-0.04)</f>
        <v>210.2688</v>
      </c>
      <c r="Y618" s="43"/>
      <c r="Z618" s="43">
        <f ca="1">('TUSD BE'!$AM$22+'TUSD BF'!$AM$22+'TUSD CVA'!$AM$22)*1*(1-0.02)</f>
        <v>48.791300201419645</v>
      </c>
      <c r="AA618" s="43">
        <f>('TE BE'!$AA$8+'TE BF'!$AA$8+'TE CVA'!$AA$8)*1*(1-0.02)</f>
        <v>233.77976332555176</v>
      </c>
      <c r="AB618" s="6">
        <f>$K$618*$V$618</f>
        <v>0</v>
      </c>
      <c r="AC618" s="6">
        <f>$M$618*$W$618</f>
        <v>4577.5091519999996</v>
      </c>
      <c r="AD618" s="6">
        <f>$O$618*$X$618</f>
        <v>22969.343174400001</v>
      </c>
      <c r="AE618" s="6">
        <f>$K$618*$Y$618</f>
        <v>0</v>
      </c>
      <c r="AF618" s="6">
        <f ca="1">$M$618*$Z$618</f>
        <v>5329.8640514026793</v>
      </c>
      <c r="AG618" s="6">
        <f>$O$618*$AA$618</f>
        <v>25537.633786156621</v>
      </c>
    </row>
    <row r="619" spans="1:33" ht="11.25" customHeight="1" x14ac:dyDescent="0.25">
      <c r="A619" s="4" t="s">
        <v>21</v>
      </c>
      <c r="B619" s="4" t="s">
        <v>39</v>
      </c>
      <c r="C619" s="4" t="s">
        <v>41</v>
      </c>
      <c r="D619" s="4" t="s">
        <v>44</v>
      </c>
      <c r="E619" s="4" t="s">
        <v>25</v>
      </c>
      <c r="F619" s="4" t="s">
        <v>25</v>
      </c>
      <c r="G619" s="4" t="s">
        <v>25</v>
      </c>
      <c r="H619" s="4" t="s">
        <v>35</v>
      </c>
      <c r="I619" s="5">
        <v>44287</v>
      </c>
      <c r="J619" s="6">
        <v>0</v>
      </c>
      <c r="K619" s="43">
        <v>0</v>
      </c>
      <c r="L619" s="6">
        <v>116.056</v>
      </c>
      <c r="M619" s="43">
        <v>116.056</v>
      </c>
      <c r="N619" s="6">
        <v>116.056</v>
      </c>
      <c r="O619" s="43">
        <v>116.056</v>
      </c>
      <c r="P619" s="6">
        <v>0</v>
      </c>
      <c r="Q619" s="4" t="s">
        <v>26</v>
      </c>
      <c r="R619" s="4">
        <v>0</v>
      </c>
      <c r="S619" s="6">
        <v>0</v>
      </c>
      <c r="T619" s="6">
        <v>25</v>
      </c>
      <c r="U619" s="6">
        <v>68</v>
      </c>
      <c r="V619" s="43">
        <f>IF(ISERROR(VLOOKUP($S$619,'TAR FIN'!$A$1:$O$100,15,0)),0,VLOOKUP($S$619,'TAR FIN'!$A$1:$O$100,15,0))</f>
        <v>0</v>
      </c>
      <c r="W619" s="43">
        <f>IF(ISERROR(VLOOKUP($T$619,'TAR FIN'!$A$1:$O$100,15,0)),0,VLOOKUP($T$619,'TAR FIN'!$A$1:$O$100,15,0))*(1-0.04)</f>
        <v>41.903999999999996</v>
      </c>
      <c r="X619" s="43">
        <f>IF(ISERROR(VLOOKUP($U$619,'TAR FIN'!$A$1:$O$100,15,0)),0,VLOOKUP($U$619,'TAR FIN'!$A$1:$O$100,15,0))*(1-0.04)</f>
        <v>210.2688</v>
      </c>
      <c r="Y619" s="43"/>
      <c r="Z619" s="43">
        <f ca="1">('TUSD BE'!$AM$22+'TUSD BF'!$AM$22+'TUSD CVA'!$AM$22)*1*(1-0.02)</f>
        <v>48.791300201419645</v>
      </c>
      <c r="AA619" s="43">
        <f>('TE BE'!$AA$8+'TE BF'!$AA$8+'TE CVA'!$AA$8)*1*(1-0.02)</f>
        <v>233.77976332555176</v>
      </c>
      <c r="AB619" s="6">
        <f>$K$619*$V$619</f>
        <v>0</v>
      </c>
      <c r="AC619" s="6">
        <f>$M$619*$W$619</f>
        <v>4863.2106239999994</v>
      </c>
      <c r="AD619" s="6">
        <f>$O$619*$X$619</f>
        <v>24402.955852799998</v>
      </c>
      <c r="AE619" s="6">
        <f>$K$619*$Y$619</f>
        <v>0</v>
      </c>
      <c r="AF619" s="6">
        <f ca="1">$M$619*$Z$619</f>
        <v>5662.5231361759579</v>
      </c>
      <c r="AG619" s="6">
        <f>$O$619*$AA$619</f>
        <v>27131.544212510235</v>
      </c>
    </row>
    <row r="620" spans="1:33" ht="11.25" customHeight="1" x14ac:dyDescent="0.25">
      <c r="A620" s="4" t="s">
        <v>21</v>
      </c>
      <c r="B620" s="4" t="s">
        <v>39</v>
      </c>
      <c r="C620" s="4" t="s">
        <v>41</v>
      </c>
      <c r="D620" s="4" t="s">
        <v>44</v>
      </c>
      <c r="E620" s="4" t="s">
        <v>25</v>
      </c>
      <c r="F620" s="4" t="s">
        <v>25</v>
      </c>
      <c r="G620" s="4" t="s">
        <v>25</v>
      </c>
      <c r="H620" s="4" t="s">
        <v>35</v>
      </c>
      <c r="I620" s="5">
        <v>44317</v>
      </c>
      <c r="J620" s="6">
        <v>0</v>
      </c>
      <c r="K620" s="43">
        <v>0</v>
      </c>
      <c r="L620" s="6">
        <v>109.06</v>
      </c>
      <c r="M620" s="43">
        <v>109.06</v>
      </c>
      <c r="N620" s="6">
        <v>109.06</v>
      </c>
      <c r="O620" s="43">
        <v>109.06</v>
      </c>
      <c r="P620" s="6">
        <v>0</v>
      </c>
      <c r="Q620" s="4" t="s">
        <v>26</v>
      </c>
      <c r="R620" s="4">
        <v>0</v>
      </c>
      <c r="S620" s="6">
        <v>0</v>
      </c>
      <c r="T620" s="6">
        <v>25</v>
      </c>
      <c r="U620" s="6">
        <v>68</v>
      </c>
      <c r="V620" s="43">
        <f>IF(ISERROR(VLOOKUP($S$620,'TAR FIN'!$A$1:$O$100,15,0)),0,VLOOKUP($S$620,'TAR FIN'!$A$1:$O$100,15,0))</f>
        <v>0</v>
      </c>
      <c r="W620" s="43">
        <f>IF(ISERROR(VLOOKUP($T$620,'TAR FIN'!$A$1:$O$100,15,0)),0,VLOOKUP($T$620,'TAR FIN'!$A$1:$O$100,15,0))*(1-0.04)</f>
        <v>41.903999999999996</v>
      </c>
      <c r="X620" s="43">
        <f>IF(ISERROR(VLOOKUP($U$620,'TAR FIN'!$A$1:$O$100,15,0)),0,VLOOKUP($U$620,'TAR FIN'!$A$1:$O$100,15,0))*(1-0.04)</f>
        <v>210.2688</v>
      </c>
      <c r="Y620" s="43"/>
      <c r="Z620" s="43">
        <f ca="1">('TUSD BE'!$AM$22+'TUSD BF'!$AM$22+'TUSD CVA'!$AM$22)*1*(1-0.02)</f>
        <v>48.791300201419645</v>
      </c>
      <c r="AA620" s="43">
        <f>('TE BE'!$AA$8+'TE BF'!$AA$8+'TE CVA'!$AA$8)*1*(1-0.02)</f>
        <v>233.77976332555176</v>
      </c>
      <c r="AB620" s="6">
        <f>$K$620*$V$620</f>
        <v>0</v>
      </c>
      <c r="AC620" s="6">
        <f>$M$620*$W$620</f>
        <v>4570.0502399999996</v>
      </c>
      <c r="AD620" s="6">
        <f>$O$620*$X$620</f>
        <v>22931.915327999999</v>
      </c>
      <c r="AE620" s="6">
        <f>$K$620*$Y$620</f>
        <v>0</v>
      </c>
      <c r="AF620" s="6">
        <f ca="1">$M$620*$Z$620</f>
        <v>5321.1791999668267</v>
      </c>
      <c r="AG620" s="6">
        <f>$O$620*$AA$620</f>
        <v>25496.020988284676</v>
      </c>
    </row>
    <row r="621" spans="1:33" ht="11.25" customHeight="1" x14ac:dyDescent="0.25">
      <c r="A621" s="4" t="s">
        <v>21</v>
      </c>
      <c r="B621" s="4" t="s">
        <v>39</v>
      </c>
      <c r="C621" s="4" t="s">
        <v>41</v>
      </c>
      <c r="D621" s="4" t="s">
        <v>44</v>
      </c>
      <c r="E621" s="4" t="s">
        <v>25</v>
      </c>
      <c r="F621" s="4" t="s">
        <v>25</v>
      </c>
      <c r="G621" s="4" t="s">
        <v>25</v>
      </c>
      <c r="H621" s="4" t="s">
        <v>35</v>
      </c>
      <c r="I621" s="5">
        <v>44348</v>
      </c>
      <c r="J621" s="6">
        <v>0</v>
      </c>
      <c r="K621" s="43">
        <v>0</v>
      </c>
      <c r="L621" s="6">
        <v>105.22799999999999</v>
      </c>
      <c r="M621" s="43">
        <v>105.22799999999999</v>
      </c>
      <c r="N621" s="6">
        <v>105.22799999999999</v>
      </c>
      <c r="O621" s="43">
        <v>105.22799999999999</v>
      </c>
      <c r="P621" s="6">
        <v>0</v>
      </c>
      <c r="Q621" s="4" t="s">
        <v>26</v>
      </c>
      <c r="R621" s="4">
        <v>0</v>
      </c>
      <c r="S621" s="6">
        <v>0</v>
      </c>
      <c r="T621" s="6">
        <v>25</v>
      </c>
      <c r="U621" s="6">
        <v>68</v>
      </c>
      <c r="V621" s="43">
        <f>IF(ISERROR(VLOOKUP($S$621,'TAR FIN'!$A$1:$O$100,15,0)),0,VLOOKUP($S$621,'TAR FIN'!$A$1:$O$100,15,0))</f>
        <v>0</v>
      </c>
      <c r="W621" s="43">
        <f>IF(ISERROR(VLOOKUP($T$621,'TAR FIN'!$A$1:$O$100,15,0)),0,VLOOKUP($T$621,'TAR FIN'!$A$1:$O$100,15,0))*(1-0.04)</f>
        <v>41.903999999999996</v>
      </c>
      <c r="X621" s="43">
        <f>IF(ISERROR(VLOOKUP($U$621,'TAR FIN'!$A$1:$O$100,15,0)),0,VLOOKUP($U$621,'TAR FIN'!$A$1:$O$100,15,0))*(1-0.04)</f>
        <v>210.2688</v>
      </c>
      <c r="Y621" s="43"/>
      <c r="Z621" s="43">
        <f ca="1">('TUSD BE'!$AM$22+'TUSD BF'!$AM$22+'TUSD CVA'!$AM$22)*1*(1-0.02)</f>
        <v>48.791300201419645</v>
      </c>
      <c r="AA621" s="43">
        <f>('TE BE'!$AA$8+'TE BF'!$AA$8+'TE CVA'!$AA$8)*1*(1-0.02)</f>
        <v>233.77976332555176</v>
      </c>
      <c r="AB621" s="6">
        <f>$K$621*$V$621</f>
        <v>0</v>
      </c>
      <c r="AC621" s="6">
        <f>$M$621*$W$621</f>
        <v>4409.474111999999</v>
      </c>
      <c r="AD621" s="6">
        <f>$O$621*$X$621</f>
        <v>22126.165286399999</v>
      </c>
      <c r="AE621" s="6">
        <f>$K$621*$Y$621</f>
        <v>0</v>
      </c>
      <c r="AF621" s="6">
        <f ca="1">$M$621*$Z$621</f>
        <v>5134.2109375949858</v>
      </c>
      <c r="AG621" s="6">
        <f>$O$621*$AA$621</f>
        <v>24600.17693522116</v>
      </c>
    </row>
    <row r="622" spans="1:33" ht="11.25" customHeight="1" x14ac:dyDescent="0.25">
      <c r="A622" s="4" t="s">
        <v>21</v>
      </c>
      <c r="B622" s="4" t="s">
        <v>39</v>
      </c>
      <c r="C622" s="4" t="s">
        <v>41</v>
      </c>
      <c r="D622" s="4" t="s">
        <v>44</v>
      </c>
      <c r="E622" s="4" t="s">
        <v>25</v>
      </c>
      <c r="F622" s="4" t="s">
        <v>25</v>
      </c>
      <c r="G622" s="4" t="s">
        <v>25</v>
      </c>
      <c r="H622" s="4" t="s">
        <v>35</v>
      </c>
      <c r="I622" s="5">
        <v>44378</v>
      </c>
      <c r="J622" s="6">
        <v>0</v>
      </c>
      <c r="K622" s="43">
        <v>0</v>
      </c>
      <c r="L622" s="6">
        <v>110.968</v>
      </c>
      <c r="M622" s="43">
        <v>110.968</v>
      </c>
      <c r="N622" s="6">
        <v>110.968</v>
      </c>
      <c r="O622" s="43">
        <v>110.968</v>
      </c>
      <c r="P622" s="6">
        <v>0</v>
      </c>
      <c r="Q622" s="4" t="s">
        <v>26</v>
      </c>
      <c r="R622" s="4">
        <v>0</v>
      </c>
      <c r="S622" s="6">
        <v>0</v>
      </c>
      <c r="T622" s="6">
        <v>25</v>
      </c>
      <c r="U622" s="6">
        <v>68</v>
      </c>
      <c r="V622" s="43">
        <f>IF(ISERROR(VLOOKUP($S$622,'TAR FIN'!$A$1:$O$100,15,0)),0,VLOOKUP($S$622,'TAR FIN'!$A$1:$O$100,15,0))</f>
        <v>0</v>
      </c>
      <c r="W622" s="43">
        <f>IF(ISERROR(VLOOKUP($T$622,'TAR FIN'!$A$1:$O$100,15,0)),0,VLOOKUP($T$622,'TAR FIN'!$A$1:$O$100,15,0))*(1-0.04)</f>
        <v>41.903999999999996</v>
      </c>
      <c r="X622" s="43">
        <f>IF(ISERROR(VLOOKUP($U$622,'TAR FIN'!$A$1:$O$100,15,0)),0,VLOOKUP($U$622,'TAR FIN'!$A$1:$O$100,15,0))*(1-0.04)</f>
        <v>210.2688</v>
      </c>
      <c r="Y622" s="43"/>
      <c r="Z622" s="43">
        <f ca="1">('TUSD BE'!$AM$22+'TUSD BF'!$AM$22+'TUSD CVA'!$AM$22)*1*(1-0.02)</f>
        <v>48.791300201419645</v>
      </c>
      <c r="AA622" s="43">
        <f>('TE BE'!$AA$8+'TE BF'!$AA$8+'TE CVA'!$AA$8)*1*(1-0.02)</f>
        <v>233.77976332555176</v>
      </c>
      <c r="AB622" s="6">
        <f>$K$622*$V$622</f>
        <v>0</v>
      </c>
      <c r="AC622" s="6">
        <f>$M$622*$W$622</f>
        <v>4650.0030719999995</v>
      </c>
      <c r="AD622" s="6">
        <f>$O$622*$X$622</f>
        <v>23333.108198400001</v>
      </c>
      <c r="AE622" s="6">
        <f>$K$622*$Y$622</f>
        <v>0</v>
      </c>
      <c r="AF622" s="6">
        <f ca="1">$M$622*$Z$622</f>
        <v>5414.2730007511354</v>
      </c>
      <c r="AG622" s="6">
        <f>$O$622*$AA$622</f>
        <v>25942.072776709829</v>
      </c>
    </row>
    <row r="623" spans="1:33" ht="11.25" customHeight="1" x14ac:dyDescent="0.25">
      <c r="A623" s="4" t="s">
        <v>21</v>
      </c>
      <c r="B623" s="4" t="s">
        <v>39</v>
      </c>
      <c r="C623" s="4" t="s">
        <v>41</v>
      </c>
      <c r="D623" s="4" t="s">
        <v>44</v>
      </c>
      <c r="E623" s="4" t="s">
        <v>25</v>
      </c>
      <c r="F623" s="4" t="s">
        <v>25</v>
      </c>
      <c r="G623" s="4" t="s">
        <v>25</v>
      </c>
      <c r="H623" s="4" t="s">
        <v>35</v>
      </c>
      <c r="I623" s="5">
        <v>44409</v>
      </c>
      <c r="J623" s="6">
        <v>0</v>
      </c>
      <c r="K623" s="43">
        <v>0</v>
      </c>
      <c r="L623" s="6">
        <v>107.146</v>
      </c>
      <c r="M623" s="43">
        <v>107.146</v>
      </c>
      <c r="N623" s="6">
        <v>107.146</v>
      </c>
      <c r="O623" s="43">
        <v>107.146</v>
      </c>
      <c r="P623" s="6">
        <v>0</v>
      </c>
      <c r="Q623" s="4" t="s">
        <v>26</v>
      </c>
      <c r="R623" s="4">
        <v>0</v>
      </c>
      <c r="S623" s="6">
        <v>0</v>
      </c>
      <c r="T623" s="6">
        <v>25</v>
      </c>
      <c r="U623" s="6">
        <v>68</v>
      </c>
      <c r="V623" s="43">
        <f>IF(ISERROR(VLOOKUP($S$623,'TAR FIN'!$A$1:$O$100,15,0)),0,VLOOKUP($S$623,'TAR FIN'!$A$1:$O$100,15,0))</f>
        <v>0</v>
      </c>
      <c r="W623" s="43">
        <f>IF(ISERROR(VLOOKUP($T$623,'TAR FIN'!$A$1:$O$100,15,0)),0,VLOOKUP($T$623,'TAR FIN'!$A$1:$O$100,15,0))*(1-0.04)</f>
        <v>41.903999999999996</v>
      </c>
      <c r="X623" s="43">
        <f>IF(ISERROR(VLOOKUP($U$623,'TAR FIN'!$A$1:$O$100,15,0)),0,VLOOKUP($U$623,'TAR FIN'!$A$1:$O$100,15,0))*(1-0.04)</f>
        <v>210.2688</v>
      </c>
      <c r="Y623" s="43"/>
      <c r="Z623" s="43">
        <f ca="1">('TUSD BE'!$AM$22+'TUSD BF'!$AM$22+'TUSD CVA'!$AM$22)*1*(1-0.02)</f>
        <v>48.791300201419645</v>
      </c>
      <c r="AA623" s="43">
        <f>('TE BE'!$AA$8+'TE BF'!$AA$8+'TE CVA'!$AA$8)*1*(1-0.02)</f>
        <v>233.77976332555176</v>
      </c>
      <c r="AB623" s="6">
        <f>$K$623*$V$623</f>
        <v>0</v>
      </c>
      <c r="AC623" s="6">
        <f>$M$623*$W$623</f>
        <v>4489.8459839999996</v>
      </c>
      <c r="AD623" s="6">
        <f>$O$623*$X$623</f>
        <v>22529.4608448</v>
      </c>
      <c r="AE623" s="6">
        <f>$K$623*$Y$623</f>
        <v>0</v>
      </c>
      <c r="AF623" s="6">
        <f ca="1">$M$623*$Z$623</f>
        <v>5227.792651381309</v>
      </c>
      <c r="AG623" s="6">
        <f>$O$623*$AA$623</f>
        <v>25048.566521279568</v>
      </c>
    </row>
    <row r="624" spans="1:33" ht="11.25" customHeight="1" x14ac:dyDescent="0.25">
      <c r="A624" s="4" t="s">
        <v>21</v>
      </c>
      <c r="B624" s="4" t="s">
        <v>39</v>
      </c>
      <c r="C624" s="4" t="s">
        <v>41</v>
      </c>
      <c r="D624" s="4" t="s">
        <v>44</v>
      </c>
      <c r="E624" s="4" t="s">
        <v>25</v>
      </c>
      <c r="F624" s="4" t="s">
        <v>25</v>
      </c>
      <c r="G624" s="4" t="s">
        <v>25</v>
      </c>
      <c r="H624" s="4" t="s">
        <v>35</v>
      </c>
      <c r="I624" s="5">
        <v>44440</v>
      </c>
      <c r="J624" s="6">
        <v>0</v>
      </c>
      <c r="K624" s="43">
        <v>0</v>
      </c>
      <c r="L624" s="6">
        <v>105.88</v>
      </c>
      <c r="M624" s="43">
        <v>105.88</v>
      </c>
      <c r="N624" s="6">
        <v>105.88</v>
      </c>
      <c r="O624" s="43">
        <v>105.88</v>
      </c>
      <c r="P624" s="6">
        <v>0</v>
      </c>
      <c r="Q624" s="4" t="s">
        <v>26</v>
      </c>
      <c r="R624" s="4">
        <v>0</v>
      </c>
      <c r="S624" s="6">
        <v>0</v>
      </c>
      <c r="T624" s="6">
        <v>25</v>
      </c>
      <c r="U624" s="6">
        <v>68</v>
      </c>
      <c r="V624" s="43">
        <f>IF(ISERROR(VLOOKUP($S$624,'TAR FIN'!$A$1:$O$100,15,0)),0,VLOOKUP($S$624,'TAR FIN'!$A$1:$O$100,15,0))</f>
        <v>0</v>
      </c>
      <c r="W624" s="43">
        <f>IF(ISERROR(VLOOKUP($T$624,'TAR FIN'!$A$1:$O$100,15,0)),0,VLOOKUP($T$624,'TAR FIN'!$A$1:$O$100,15,0))*(1-0.04)</f>
        <v>41.903999999999996</v>
      </c>
      <c r="X624" s="43">
        <f>IF(ISERROR(VLOOKUP($U$624,'TAR FIN'!$A$1:$O$100,15,0)),0,VLOOKUP($U$624,'TAR FIN'!$A$1:$O$100,15,0))*(1-0.04)</f>
        <v>210.2688</v>
      </c>
      <c r="Y624" s="43"/>
      <c r="Z624" s="43">
        <f ca="1">('TUSD BE'!$AM$22+'TUSD BF'!$AM$22+'TUSD CVA'!$AM$22)*1*(1-0.02)</f>
        <v>48.791300201419645</v>
      </c>
      <c r="AA624" s="43">
        <f>('TE BE'!$AA$8+'TE BF'!$AA$8+'TE CVA'!$AA$8)*1*(1-0.02)</f>
        <v>233.77976332555176</v>
      </c>
      <c r="AB624" s="6">
        <f>$K$624*$V$624</f>
        <v>0</v>
      </c>
      <c r="AC624" s="6">
        <f>$M$624*$W$624</f>
        <v>4436.7955199999997</v>
      </c>
      <c r="AD624" s="6">
        <f>$O$624*$X$624</f>
        <v>22263.260544000001</v>
      </c>
      <c r="AE624" s="6">
        <f>$K$624*$Y$624</f>
        <v>0</v>
      </c>
      <c r="AF624" s="6">
        <f ca="1">$M$624*$Z$624</f>
        <v>5166.0228653263121</v>
      </c>
      <c r="AG624" s="6">
        <f>$O$624*$AA$624</f>
        <v>24752.601340909419</v>
      </c>
    </row>
    <row r="625" spans="1:33" ht="11.25" customHeight="1" x14ac:dyDescent="0.25">
      <c r="A625" s="4" t="s">
        <v>21</v>
      </c>
      <c r="B625" s="4" t="s">
        <v>39</v>
      </c>
      <c r="C625" s="4" t="s">
        <v>41</v>
      </c>
      <c r="D625" s="4" t="s">
        <v>44</v>
      </c>
      <c r="E625" s="4" t="s">
        <v>25</v>
      </c>
      <c r="F625" s="4" t="s">
        <v>25</v>
      </c>
      <c r="G625" s="4" t="s">
        <v>25</v>
      </c>
      <c r="H625" s="4" t="s">
        <v>35</v>
      </c>
      <c r="I625" s="5">
        <v>44470</v>
      </c>
      <c r="J625" s="6">
        <v>0</v>
      </c>
      <c r="K625" s="43">
        <v>0</v>
      </c>
      <c r="L625" s="6">
        <v>101.968</v>
      </c>
      <c r="M625" s="43">
        <v>101.968</v>
      </c>
      <c r="N625" s="6">
        <v>101.968</v>
      </c>
      <c r="O625" s="43">
        <v>101.968</v>
      </c>
      <c r="P625" s="6">
        <v>0</v>
      </c>
      <c r="Q625" s="4" t="s">
        <v>26</v>
      </c>
      <c r="R625" s="4">
        <v>0</v>
      </c>
      <c r="S625" s="6">
        <v>0</v>
      </c>
      <c r="T625" s="6">
        <v>25</v>
      </c>
      <c r="U625" s="6">
        <v>68</v>
      </c>
      <c r="V625" s="43">
        <f>IF(ISERROR(VLOOKUP($S$625,'TAR FIN'!$A$1:$O$100,15,0)),0,VLOOKUP($S$625,'TAR FIN'!$A$1:$O$100,15,0))</f>
        <v>0</v>
      </c>
      <c r="W625" s="43">
        <f>IF(ISERROR(VLOOKUP($T$625,'TAR FIN'!$A$1:$O$100,15,0)),0,VLOOKUP($T$625,'TAR FIN'!$A$1:$O$100,15,0))*(1-0.04)</f>
        <v>41.903999999999996</v>
      </c>
      <c r="X625" s="43">
        <f>IF(ISERROR(VLOOKUP($U$625,'TAR FIN'!$A$1:$O$100,15,0)),0,VLOOKUP($U$625,'TAR FIN'!$A$1:$O$100,15,0))*(1-0.04)</f>
        <v>210.2688</v>
      </c>
      <c r="Y625" s="43"/>
      <c r="Z625" s="43">
        <f ca="1">('TUSD BE'!$AM$22+'TUSD BF'!$AM$22+'TUSD CVA'!$AM$22)*1*(1-0.02)</f>
        <v>48.791300201419645</v>
      </c>
      <c r="AA625" s="43">
        <f>('TE BE'!$AA$8+'TE BF'!$AA$8+'TE CVA'!$AA$8)*1*(1-0.02)</f>
        <v>233.77976332555176</v>
      </c>
      <c r="AB625" s="6">
        <f>$K$625*$V$625</f>
        <v>0</v>
      </c>
      <c r="AC625" s="6">
        <f>$M$625*$W$625</f>
        <v>4272.867072</v>
      </c>
      <c r="AD625" s="6">
        <f>$O$625*$X$625</f>
        <v>21440.688998400001</v>
      </c>
      <c r="AE625" s="6">
        <f>$K$625*$Y$625</f>
        <v>0</v>
      </c>
      <c r="AF625" s="6">
        <f ca="1">$M$625*$Z$625</f>
        <v>4975.1512989383582</v>
      </c>
      <c r="AG625" s="6">
        <f>$O$625*$AA$625</f>
        <v>23838.054906779864</v>
      </c>
    </row>
    <row r="626" spans="1:33" ht="11.25" customHeight="1" x14ac:dyDescent="0.25">
      <c r="A626" s="4" t="s">
        <v>21</v>
      </c>
      <c r="B626" s="4" t="s">
        <v>39</v>
      </c>
      <c r="C626" s="4" t="s">
        <v>41</v>
      </c>
      <c r="D626" s="4" t="s">
        <v>44</v>
      </c>
      <c r="E626" s="4" t="s">
        <v>25</v>
      </c>
      <c r="F626" s="4" t="s">
        <v>25</v>
      </c>
      <c r="G626" s="4" t="s">
        <v>25</v>
      </c>
      <c r="H626" s="4" t="s">
        <v>35</v>
      </c>
      <c r="I626" s="5">
        <v>44501</v>
      </c>
      <c r="J626" s="6">
        <v>0</v>
      </c>
      <c r="K626" s="43">
        <v>0</v>
      </c>
      <c r="L626" s="6">
        <v>98.575999999999993</v>
      </c>
      <c r="M626" s="43">
        <v>98.575999999999993</v>
      </c>
      <c r="N626" s="6">
        <v>98.575999999999993</v>
      </c>
      <c r="O626" s="43">
        <v>98.575999999999993</v>
      </c>
      <c r="P626" s="6">
        <v>0</v>
      </c>
      <c r="Q626" s="4" t="s">
        <v>26</v>
      </c>
      <c r="R626" s="4">
        <v>0</v>
      </c>
      <c r="S626" s="6">
        <v>0</v>
      </c>
      <c r="T626" s="6">
        <v>25</v>
      </c>
      <c r="U626" s="6">
        <v>68</v>
      </c>
      <c r="V626" s="43">
        <f>IF(ISERROR(VLOOKUP($S$626,'TAR FIN'!$A$1:$O$100,15,0)),0,VLOOKUP($S$626,'TAR FIN'!$A$1:$O$100,15,0))</f>
        <v>0</v>
      </c>
      <c r="W626" s="43">
        <f>IF(ISERROR(VLOOKUP($T$626,'TAR FIN'!$A$1:$O$100,15,0)),0,VLOOKUP($T$626,'TAR FIN'!$A$1:$O$100,15,0))*(1-0.04)</f>
        <v>41.903999999999996</v>
      </c>
      <c r="X626" s="43">
        <f>IF(ISERROR(VLOOKUP($U$626,'TAR FIN'!$A$1:$O$100,15,0)),0,VLOOKUP($U$626,'TAR FIN'!$A$1:$O$100,15,0))*(1-0.04)</f>
        <v>210.2688</v>
      </c>
      <c r="Y626" s="43"/>
      <c r="Z626" s="43">
        <f ca="1">('TUSD BE'!$AM$22+'TUSD BF'!$AM$22+'TUSD CVA'!$AM$22)*1*(1-0.02)</f>
        <v>48.791300201419645</v>
      </c>
      <c r="AA626" s="43">
        <f>('TE BE'!$AA$8+'TE BF'!$AA$8+'TE CVA'!$AA$8)*1*(1-0.02)</f>
        <v>233.77976332555176</v>
      </c>
      <c r="AB626" s="6">
        <f>$K$626*$V$626</f>
        <v>0</v>
      </c>
      <c r="AC626" s="6">
        <f>$M$626*$W$626</f>
        <v>4130.7287039999992</v>
      </c>
      <c r="AD626" s="6">
        <f>$O$626*$X$626</f>
        <v>20727.457228799998</v>
      </c>
      <c r="AE626" s="6">
        <f>$K$626*$Y$626</f>
        <v>0</v>
      </c>
      <c r="AF626" s="6">
        <f ca="1">$M$626*$Z$626</f>
        <v>4809.6512086551429</v>
      </c>
      <c r="AG626" s="6">
        <f>$O$626*$AA$626</f>
        <v>23045.07394957959</v>
      </c>
    </row>
    <row r="627" spans="1:33" ht="11.25" customHeight="1" x14ac:dyDescent="0.25">
      <c r="A627" s="4" t="s">
        <v>21</v>
      </c>
      <c r="B627" s="4" t="s">
        <v>39</v>
      </c>
      <c r="C627" s="4" t="s">
        <v>41</v>
      </c>
      <c r="D627" s="4" t="s">
        <v>44</v>
      </c>
      <c r="E627" s="4" t="s">
        <v>25</v>
      </c>
      <c r="F627" s="4" t="s">
        <v>25</v>
      </c>
      <c r="G627" s="4" t="s">
        <v>25</v>
      </c>
      <c r="H627" s="4" t="s">
        <v>35</v>
      </c>
      <c r="I627" s="5">
        <v>44531</v>
      </c>
      <c r="J627" s="6">
        <v>0</v>
      </c>
      <c r="K627" s="43">
        <v>0</v>
      </c>
      <c r="L627" s="6">
        <v>113.104</v>
      </c>
      <c r="M627" s="43">
        <v>113.104</v>
      </c>
      <c r="N627" s="6">
        <v>113.104</v>
      </c>
      <c r="O627" s="43">
        <v>113.104</v>
      </c>
      <c r="P627" s="6">
        <v>0</v>
      </c>
      <c r="Q627" s="4" t="s">
        <v>26</v>
      </c>
      <c r="R627" s="4">
        <v>0</v>
      </c>
      <c r="S627" s="6">
        <v>0</v>
      </c>
      <c r="T627" s="6">
        <v>25</v>
      </c>
      <c r="U627" s="6">
        <v>68</v>
      </c>
      <c r="V627" s="43">
        <f>IF(ISERROR(VLOOKUP($S$627,'TAR FIN'!$A$1:$O$100,15,0)),0,VLOOKUP($S$627,'TAR FIN'!$A$1:$O$100,15,0))</f>
        <v>0</v>
      </c>
      <c r="W627" s="43">
        <f>IF(ISERROR(VLOOKUP($T$627,'TAR FIN'!$A$1:$O$100,15,0)),0,VLOOKUP($T$627,'TAR FIN'!$A$1:$O$100,15,0))*(1-0.04)</f>
        <v>41.903999999999996</v>
      </c>
      <c r="X627" s="43">
        <f>IF(ISERROR(VLOOKUP($U$627,'TAR FIN'!$A$1:$O$100,15,0)),0,VLOOKUP($U$627,'TAR FIN'!$A$1:$O$100,15,0))*(1-0.04)</f>
        <v>210.2688</v>
      </c>
      <c r="Y627" s="43"/>
      <c r="Z627" s="43">
        <f ca="1">('TUSD BE'!$AM$22+'TUSD BF'!$AM$22+'TUSD CVA'!$AM$22)*1*(1-0.02)</f>
        <v>48.791300201419645</v>
      </c>
      <c r="AA627" s="43">
        <f>('TE BE'!$AA$8+'TE BF'!$AA$8+'TE CVA'!$AA$8)*1*(1-0.02)</f>
        <v>233.77976332555176</v>
      </c>
      <c r="AB627" s="6">
        <f>$K$627*$V$627</f>
        <v>0</v>
      </c>
      <c r="AC627" s="6">
        <f>$M$627*$W$627</f>
        <v>4739.5100159999993</v>
      </c>
      <c r="AD627" s="6">
        <f>$O$627*$X$627</f>
        <v>23782.2423552</v>
      </c>
      <c r="AE627" s="6">
        <f>$K$627*$Y$627</f>
        <v>0</v>
      </c>
      <c r="AF627" s="6">
        <f ca="1">$M$627*$Z$627</f>
        <v>5518.4912179813673</v>
      </c>
      <c r="AG627" s="6">
        <f>$O$627*$AA$627</f>
        <v>26441.426351173206</v>
      </c>
    </row>
    <row r="628" spans="1:33" ht="11.25" customHeight="1" x14ac:dyDescent="0.25">
      <c r="A628" s="4" t="s">
        <v>55</v>
      </c>
      <c r="B628" s="4" t="s">
        <v>39</v>
      </c>
      <c r="C628" s="4" t="s">
        <v>41</v>
      </c>
      <c r="D628" s="4" t="s">
        <v>44</v>
      </c>
      <c r="E628" s="4" t="s">
        <v>25</v>
      </c>
      <c r="F628" s="4" t="s">
        <v>25</v>
      </c>
      <c r="G628" s="4" t="s">
        <v>25</v>
      </c>
      <c r="H628" s="4" t="s">
        <v>35</v>
      </c>
      <c r="I628" s="5">
        <v>44562</v>
      </c>
      <c r="J628" s="6">
        <v>0</v>
      </c>
      <c r="K628" s="43">
        <v>0</v>
      </c>
      <c r="L628" s="6">
        <v>113.104</v>
      </c>
      <c r="M628" s="43">
        <v>113.104</v>
      </c>
      <c r="N628" s="6">
        <v>113.104</v>
      </c>
      <c r="O628" s="43">
        <v>113.104</v>
      </c>
      <c r="P628" s="6">
        <v>0</v>
      </c>
      <c r="Q628" s="4" t="s">
        <v>26</v>
      </c>
      <c r="R628" s="4">
        <v>0</v>
      </c>
      <c r="S628" s="6">
        <v>0</v>
      </c>
      <c r="T628" s="6">
        <v>25</v>
      </c>
      <c r="U628" s="6">
        <v>68</v>
      </c>
      <c r="V628" s="43">
        <f>IF(ISERROR(VLOOKUP($S$628,'TAR FIN'!$A$1:$O$100,15,0)),0,VLOOKUP($S$628,'TAR FIN'!$A$1:$O$100,15,0))</f>
        <v>0</v>
      </c>
      <c r="W628" s="43">
        <f>IF(ISERROR(VLOOKUP($T$628,'TAR FIN'!$A$1:$O$100,15,0)),0,VLOOKUP($T$628,'TAR FIN'!$A$1:$O$100,15,0))*(1-0.04)</f>
        <v>41.903999999999996</v>
      </c>
      <c r="X628" s="43">
        <f>IF(ISERROR(VLOOKUP($U$628,'TAR FIN'!$A$1:$O$100,15,0)),0,VLOOKUP($U$628,'TAR FIN'!$A$1:$O$100,15,0))*(1-0.04)</f>
        <v>210.2688</v>
      </c>
      <c r="Y628" s="43"/>
      <c r="Z628" s="43">
        <f ca="1">('TUSD BE'!$AM$22+'TUSD BF'!$AM$22+'TUSD CVA'!$AM$22)*1*(1-0.02)</f>
        <v>48.791300201419645</v>
      </c>
      <c r="AA628" s="43">
        <f>('TE BE'!$AA$8+'TE BF'!$AA$8+'TE CVA'!$AA$8)*1*(1-0.02)</f>
        <v>233.77976332555176</v>
      </c>
      <c r="AB628" s="6">
        <f>$K$628*$V$628</f>
        <v>0</v>
      </c>
      <c r="AC628" s="6">
        <f>$M$628*$W$628</f>
        <v>4739.5100159999993</v>
      </c>
      <c r="AD628" s="6">
        <f>$O$628*$X$628</f>
        <v>23782.2423552</v>
      </c>
      <c r="AE628" s="6">
        <f>$K$628*$Y$628</f>
        <v>0</v>
      </c>
      <c r="AF628" s="6">
        <f ca="1">$M$628*$Z$628</f>
        <v>5518.4912179813673</v>
      </c>
      <c r="AG628" s="6">
        <f>$O$628*$AA$628</f>
        <v>26441.426351173206</v>
      </c>
    </row>
    <row r="629" spans="1:33" ht="11.25" customHeight="1" x14ac:dyDescent="0.25">
      <c r="A629" s="4" t="s">
        <v>21</v>
      </c>
      <c r="B629" s="4" t="s">
        <v>39</v>
      </c>
      <c r="C629" s="4" t="s">
        <v>41</v>
      </c>
      <c r="D629" s="4" t="s">
        <v>44</v>
      </c>
      <c r="E629" s="4" t="s">
        <v>25</v>
      </c>
      <c r="F629" s="4" t="s">
        <v>25</v>
      </c>
      <c r="G629" s="4" t="s">
        <v>25</v>
      </c>
      <c r="H629" s="4" t="s">
        <v>25</v>
      </c>
      <c r="I629" s="5">
        <v>44228</v>
      </c>
      <c r="J629" s="6">
        <v>374</v>
      </c>
      <c r="K629" s="43">
        <v>374</v>
      </c>
      <c r="L629" s="6">
        <v>0</v>
      </c>
      <c r="M629" s="43">
        <v>0</v>
      </c>
      <c r="N629" s="6">
        <v>0</v>
      </c>
      <c r="O629" s="43">
        <v>0</v>
      </c>
      <c r="P629" s="6">
        <v>3</v>
      </c>
      <c r="Q629" s="4" t="s">
        <v>26</v>
      </c>
      <c r="R629" s="4">
        <v>0</v>
      </c>
      <c r="S629" s="6">
        <v>23</v>
      </c>
      <c r="T629" s="6">
        <v>0</v>
      </c>
      <c r="U629" s="6">
        <v>0</v>
      </c>
      <c r="V629" s="43">
        <f>IF(ISERROR(VLOOKUP($S$629,'TAR FIN'!$A$1:$O$100,15,0)),0,VLOOKUP($S$629,'TAR FIN'!$A$1:$O$100,15,0))*(1-0.04)</f>
        <v>17.7408</v>
      </c>
      <c r="W629" s="43">
        <f>IF(ISERROR(VLOOKUP($T$629,'TAR FIN'!$A$1:$O$100,15,0)),0,VLOOKUP($T$629,'TAR FIN'!$A$1:$O$100,15,0))</f>
        <v>0</v>
      </c>
      <c r="X629" s="43">
        <f>IF(ISERROR(VLOOKUP($U$629,'TAR FIN'!$A$1:$O$100,15,0)),0,VLOOKUP($U$629,'TAR FIN'!$A$1:$O$100,15,0))</f>
        <v>0</v>
      </c>
      <c r="Y629" s="43">
        <f ca="1">('TUSD BE'!$AM$20+'TUSD BF'!$AM$20+'TUSD CVA'!$AM$20)*1*(1-0.02)</f>
        <v>17.499705716099484</v>
      </c>
      <c r="Z629" s="43"/>
      <c r="AA629" s="43"/>
      <c r="AB629" s="6">
        <f>$K$629*$V$629</f>
        <v>6635.0591999999997</v>
      </c>
      <c r="AC629" s="6">
        <f>$M$629*$W$629</f>
        <v>0</v>
      </c>
      <c r="AD629" s="6">
        <f>$O$629*$X$629</f>
        <v>0</v>
      </c>
      <c r="AE629" s="6">
        <f ca="1">$K$629*$Y$629</f>
        <v>6544.8899378212072</v>
      </c>
      <c r="AF629" s="6">
        <f>$M$629*$Z$629</f>
        <v>0</v>
      </c>
      <c r="AG629" s="6">
        <f>$O$629*$AA$629</f>
        <v>0</v>
      </c>
    </row>
    <row r="630" spans="1:33" ht="11.25" customHeight="1" x14ac:dyDescent="0.25">
      <c r="A630" s="4" t="s">
        <v>21</v>
      </c>
      <c r="B630" s="4" t="s">
        <v>39</v>
      </c>
      <c r="C630" s="4" t="s">
        <v>41</v>
      </c>
      <c r="D630" s="4" t="s">
        <v>44</v>
      </c>
      <c r="E630" s="4" t="s">
        <v>25</v>
      </c>
      <c r="F630" s="4" t="s">
        <v>25</v>
      </c>
      <c r="G630" s="4" t="s">
        <v>25</v>
      </c>
      <c r="H630" s="4" t="s">
        <v>25</v>
      </c>
      <c r="I630" s="5">
        <v>44256</v>
      </c>
      <c r="J630" s="6">
        <v>367</v>
      </c>
      <c r="K630" s="43">
        <v>367</v>
      </c>
      <c r="L630" s="6">
        <v>0</v>
      </c>
      <c r="M630" s="43">
        <v>0</v>
      </c>
      <c r="N630" s="6">
        <v>0</v>
      </c>
      <c r="O630" s="43">
        <v>0</v>
      </c>
      <c r="P630" s="6">
        <v>3</v>
      </c>
      <c r="Q630" s="4" t="s">
        <v>26</v>
      </c>
      <c r="R630" s="4">
        <v>0</v>
      </c>
      <c r="S630" s="6">
        <v>23</v>
      </c>
      <c r="T630" s="6">
        <v>0</v>
      </c>
      <c r="U630" s="6">
        <v>0</v>
      </c>
      <c r="V630" s="43">
        <f>IF(ISERROR(VLOOKUP($S$630,'TAR FIN'!$A$1:$O$100,15,0)),0,VLOOKUP($S$630,'TAR FIN'!$A$1:$O$100,15,0))*(1-0.04)</f>
        <v>17.7408</v>
      </c>
      <c r="W630" s="43">
        <f>IF(ISERROR(VLOOKUP($T$630,'TAR FIN'!$A$1:$O$100,15,0)),0,VLOOKUP($T$630,'TAR FIN'!$A$1:$O$100,15,0))</f>
        <v>0</v>
      </c>
      <c r="X630" s="43">
        <f>IF(ISERROR(VLOOKUP($U$630,'TAR FIN'!$A$1:$O$100,15,0)),0,VLOOKUP($U$630,'TAR FIN'!$A$1:$O$100,15,0))</f>
        <v>0</v>
      </c>
      <c r="Y630" s="43">
        <f ca="1">('TUSD BE'!$AM$20+'TUSD BF'!$AM$20+'TUSD CVA'!$AM$20)*1*(1-0.02)</f>
        <v>17.499705716099484</v>
      </c>
      <c r="Z630" s="43"/>
      <c r="AA630" s="43"/>
      <c r="AB630" s="6">
        <f>$K$630*$V$630</f>
        <v>6510.8735999999999</v>
      </c>
      <c r="AC630" s="6">
        <f>$M$630*$W$630</f>
        <v>0</v>
      </c>
      <c r="AD630" s="6">
        <f>$O$630*$X$630</f>
        <v>0</v>
      </c>
      <c r="AE630" s="6">
        <f ca="1">$K$630*$Y$630</f>
        <v>6422.3919978085105</v>
      </c>
      <c r="AF630" s="6">
        <f>$M$630*$Z$630</f>
        <v>0</v>
      </c>
      <c r="AG630" s="6">
        <f>$O$630*$AA$630</f>
        <v>0</v>
      </c>
    </row>
    <row r="631" spans="1:33" ht="11.25" customHeight="1" x14ac:dyDescent="0.25">
      <c r="A631" s="4" t="s">
        <v>21</v>
      </c>
      <c r="B631" s="4" t="s">
        <v>39</v>
      </c>
      <c r="C631" s="4" t="s">
        <v>41</v>
      </c>
      <c r="D631" s="4" t="s">
        <v>44</v>
      </c>
      <c r="E631" s="4" t="s">
        <v>25</v>
      </c>
      <c r="F631" s="4" t="s">
        <v>25</v>
      </c>
      <c r="G631" s="4" t="s">
        <v>25</v>
      </c>
      <c r="H631" s="4" t="s">
        <v>25</v>
      </c>
      <c r="I631" s="5">
        <v>44287</v>
      </c>
      <c r="J631" s="6">
        <v>402</v>
      </c>
      <c r="K631" s="43">
        <v>402</v>
      </c>
      <c r="L631" s="6">
        <v>0</v>
      </c>
      <c r="M631" s="43">
        <v>0</v>
      </c>
      <c r="N631" s="6">
        <v>0</v>
      </c>
      <c r="O631" s="43">
        <v>0</v>
      </c>
      <c r="P631" s="6">
        <v>3</v>
      </c>
      <c r="Q631" s="4" t="s">
        <v>26</v>
      </c>
      <c r="R631" s="4">
        <v>0</v>
      </c>
      <c r="S631" s="6">
        <v>23</v>
      </c>
      <c r="T631" s="6">
        <v>0</v>
      </c>
      <c r="U631" s="6">
        <v>0</v>
      </c>
      <c r="V631" s="43">
        <f>IF(ISERROR(VLOOKUP($S$631,'TAR FIN'!$A$1:$O$100,15,0)),0,VLOOKUP($S$631,'TAR FIN'!$A$1:$O$100,15,0))*(1-0.04)</f>
        <v>17.7408</v>
      </c>
      <c r="W631" s="43">
        <f>IF(ISERROR(VLOOKUP($T$631,'TAR FIN'!$A$1:$O$100,15,0)),0,VLOOKUP($T$631,'TAR FIN'!$A$1:$O$100,15,0))</f>
        <v>0</v>
      </c>
      <c r="X631" s="43">
        <f>IF(ISERROR(VLOOKUP($U$631,'TAR FIN'!$A$1:$O$100,15,0)),0,VLOOKUP($U$631,'TAR FIN'!$A$1:$O$100,15,0))</f>
        <v>0</v>
      </c>
      <c r="Y631" s="43">
        <f ca="1">('TUSD BE'!$AM$20+'TUSD BF'!$AM$20+'TUSD CVA'!$AM$20)*1*(1-0.02)</f>
        <v>17.499705716099484</v>
      </c>
      <c r="Z631" s="43"/>
      <c r="AA631" s="43"/>
      <c r="AB631" s="6">
        <f>$K$631*$V$631</f>
        <v>7131.8015999999998</v>
      </c>
      <c r="AC631" s="6">
        <f>$M$631*$W$631</f>
        <v>0</v>
      </c>
      <c r="AD631" s="6">
        <f>$O$631*$X$631</f>
        <v>0</v>
      </c>
      <c r="AE631" s="6">
        <f ca="1">$K$631*$Y$631</f>
        <v>7034.8816978719924</v>
      </c>
      <c r="AF631" s="6">
        <f>$M$631*$Z$631</f>
        <v>0</v>
      </c>
      <c r="AG631" s="6">
        <f>$O$631*$AA$631</f>
        <v>0</v>
      </c>
    </row>
    <row r="632" spans="1:33" ht="11.25" customHeight="1" x14ac:dyDescent="0.25">
      <c r="A632" s="4" t="s">
        <v>21</v>
      </c>
      <c r="B632" s="4" t="s">
        <v>39</v>
      </c>
      <c r="C632" s="4" t="s">
        <v>41</v>
      </c>
      <c r="D632" s="4" t="s">
        <v>44</v>
      </c>
      <c r="E632" s="4" t="s">
        <v>25</v>
      </c>
      <c r="F632" s="4" t="s">
        <v>25</v>
      </c>
      <c r="G632" s="4" t="s">
        <v>25</v>
      </c>
      <c r="H632" s="4" t="s">
        <v>25</v>
      </c>
      <c r="I632" s="5">
        <v>44317</v>
      </c>
      <c r="J632" s="6">
        <v>371</v>
      </c>
      <c r="K632" s="43">
        <v>371</v>
      </c>
      <c r="L632" s="6">
        <v>0</v>
      </c>
      <c r="M632" s="43">
        <v>0</v>
      </c>
      <c r="N632" s="6">
        <v>0</v>
      </c>
      <c r="O632" s="43">
        <v>0</v>
      </c>
      <c r="P632" s="6">
        <v>3</v>
      </c>
      <c r="Q632" s="4" t="s">
        <v>26</v>
      </c>
      <c r="R632" s="4">
        <v>0</v>
      </c>
      <c r="S632" s="6">
        <v>23</v>
      </c>
      <c r="T632" s="6">
        <v>0</v>
      </c>
      <c r="U632" s="6">
        <v>0</v>
      </c>
      <c r="V632" s="43">
        <f>IF(ISERROR(VLOOKUP($S$632,'TAR FIN'!$A$1:$O$100,15,0)),0,VLOOKUP($S$632,'TAR FIN'!$A$1:$O$100,15,0))*(1-0.04)</f>
        <v>17.7408</v>
      </c>
      <c r="W632" s="43">
        <f>IF(ISERROR(VLOOKUP($T$632,'TAR FIN'!$A$1:$O$100,15,0)),0,VLOOKUP($T$632,'TAR FIN'!$A$1:$O$100,15,0))</f>
        <v>0</v>
      </c>
      <c r="X632" s="43">
        <f>IF(ISERROR(VLOOKUP($U$632,'TAR FIN'!$A$1:$O$100,15,0)),0,VLOOKUP($U$632,'TAR FIN'!$A$1:$O$100,15,0))</f>
        <v>0</v>
      </c>
      <c r="Y632" s="43">
        <f ca="1">('TUSD BE'!$AM$20+'TUSD BF'!$AM$20+'TUSD CVA'!$AM$20)*1*(1-0.02)</f>
        <v>17.499705716099484</v>
      </c>
      <c r="Z632" s="43"/>
      <c r="AA632" s="43"/>
      <c r="AB632" s="6">
        <f>$K$632*$V$632</f>
        <v>6581.8368</v>
      </c>
      <c r="AC632" s="6">
        <f>$M$632*$W$632</f>
        <v>0</v>
      </c>
      <c r="AD632" s="6">
        <f>$O$632*$X$632</f>
        <v>0</v>
      </c>
      <c r="AE632" s="6">
        <f ca="1">$K$632*$Y$632</f>
        <v>6492.3908206729084</v>
      </c>
      <c r="AF632" s="6">
        <f>$M$632*$Z$632</f>
        <v>0</v>
      </c>
      <c r="AG632" s="6">
        <f>$O$632*$AA$632</f>
        <v>0</v>
      </c>
    </row>
    <row r="633" spans="1:33" ht="11.25" customHeight="1" x14ac:dyDescent="0.25">
      <c r="A633" s="4" t="s">
        <v>21</v>
      </c>
      <c r="B633" s="4" t="s">
        <v>39</v>
      </c>
      <c r="C633" s="4" t="s">
        <v>41</v>
      </c>
      <c r="D633" s="4" t="s">
        <v>44</v>
      </c>
      <c r="E633" s="4" t="s">
        <v>25</v>
      </c>
      <c r="F633" s="4" t="s">
        <v>25</v>
      </c>
      <c r="G633" s="4" t="s">
        <v>25</v>
      </c>
      <c r="H633" s="4" t="s">
        <v>25</v>
      </c>
      <c r="I633" s="5">
        <v>44348</v>
      </c>
      <c r="J633" s="6">
        <v>367</v>
      </c>
      <c r="K633" s="43">
        <v>367</v>
      </c>
      <c r="L633" s="6">
        <v>0</v>
      </c>
      <c r="M633" s="43">
        <v>0</v>
      </c>
      <c r="N633" s="6">
        <v>0</v>
      </c>
      <c r="O633" s="43">
        <v>0</v>
      </c>
      <c r="P633" s="6">
        <v>3</v>
      </c>
      <c r="Q633" s="4" t="s">
        <v>26</v>
      </c>
      <c r="R633" s="4">
        <v>0</v>
      </c>
      <c r="S633" s="6">
        <v>23</v>
      </c>
      <c r="T633" s="6">
        <v>0</v>
      </c>
      <c r="U633" s="6">
        <v>0</v>
      </c>
      <c r="V633" s="43">
        <f>IF(ISERROR(VLOOKUP($S$633,'TAR FIN'!$A$1:$O$100,15,0)),0,VLOOKUP($S$633,'TAR FIN'!$A$1:$O$100,15,0))*(1-0.04)</f>
        <v>17.7408</v>
      </c>
      <c r="W633" s="43">
        <f>IF(ISERROR(VLOOKUP($T$633,'TAR FIN'!$A$1:$O$100,15,0)),0,VLOOKUP($T$633,'TAR FIN'!$A$1:$O$100,15,0))</f>
        <v>0</v>
      </c>
      <c r="X633" s="43">
        <f>IF(ISERROR(VLOOKUP($U$633,'TAR FIN'!$A$1:$O$100,15,0)),0,VLOOKUP($U$633,'TAR FIN'!$A$1:$O$100,15,0))</f>
        <v>0</v>
      </c>
      <c r="Y633" s="43">
        <f ca="1">('TUSD BE'!$AM$20+'TUSD BF'!$AM$20+'TUSD CVA'!$AM$20)*1*(1-0.02)</f>
        <v>17.499705716099484</v>
      </c>
      <c r="Z633" s="43"/>
      <c r="AA633" s="43"/>
      <c r="AB633" s="6">
        <f>$K$633*$V$633</f>
        <v>6510.8735999999999</v>
      </c>
      <c r="AC633" s="6">
        <f>$M$633*$W$633</f>
        <v>0</v>
      </c>
      <c r="AD633" s="6">
        <f>$O$633*$X$633</f>
        <v>0</v>
      </c>
      <c r="AE633" s="6">
        <f ca="1">$K$633*$Y$633</f>
        <v>6422.3919978085105</v>
      </c>
      <c r="AF633" s="6">
        <f>$M$633*$Z$633</f>
        <v>0</v>
      </c>
      <c r="AG633" s="6">
        <f>$O$633*$AA$633</f>
        <v>0</v>
      </c>
    </row>
    <row r="634" spans="1:33" ht="11.25" customHeight="1" x14ac:dyDescent="0.25">
      <c r="A634" s="4" t="s">
        <v>21</v>
      </c>
      <c r="B634" s="4" t="s">
        <v>39</v>
      </c>
      <c r="C634" s="4" t="s">
        <v>41</v>
      </c>
      <c r="D634" s="4" t="s">
        <v>44</v>
      </c>
      <c r="E634" s="4" t="s">
        <v>25</v>
      </c>
      <c r="F634" s="4" t="s">
        <v>25</v>
      </c>
      <c r="G634" s="4" t="s">
        <v>25</v>
      </c>
      <c r="H634" s="4" t="s">
        <v>25</v>
      </c>
      <c r="I634" s="5">
        <v>44378</v>
      </c>
      <c r="J634" s="6">
        <v>377</v>
      </c>
      <c r="K634" s="43">
        <v>377</v>
      </c>
      <c r="L634" s="6">
        <v>0</v>
      </c>
      <c r="M634" s="43">
        <v>0</v>
      </c>
      <c r="N634" s="6">
        <v>0</v>
      </c>
      <c r="O634" s="43">
        <v>0</v>
      </c>
      <c r="P634" s="6">
        <v>3</v>
      </c>
      <c r="Q634" s="4" t="s">
        <v>26</v>
      </c>
      <c r="R634" s="4">
        <v>0</v>
      </c>
      <c r="S634" s="6">
        <v>23</v>
      </c>
      <c r="T634" s="6">
        <v>0</v>
      </c>
      <c r="U634" s="6">
        <v>0</v>
      </c>
      <c r="V634" s="43">
        <f>IF(ISERROR(VLOOKUP($S$634,'TAR FIN'!$A$1:$O$100,15,0)),0,VLOOKUP($S$634,'TAR FIN'!$A$1:$O$100,15,0))*(1-0.04)</f>
        <v>17.7408</v>
      </c>
      <c r="W634" s="43">
        <f>IF(ISERROR(VLOOKUP($T$634,'TAR FIN'!$A$1:$O$100,15,0)),0,VLOOKUP($T$634,'TAR FIN'!$A$1:$O$100,15,0))</f>
        <v>0</v>
      </c>
      <c r="X634" s="43">
        <f>IF(ISERROR(VLOOKUP($U$634,'TAR FIN'!$A$1:$O$100,15,0)),0,VLOOKUP($U$634,'TAR FIN'!$A$1:$O$100,15,0))</f>
        <v>0</v>
      </c>
      <c r="Y634" s="43">
        <f ca="1">('TUSD BE'!$AM$20+'TUSD BF'!$AM$20+'TUSD CVA'!$AM$20)*1*(1-0.02)</f>
        <v>17.499705716099484</v>
      </c>
      <c r="Z634" s="43"/>
      <c r="AA634" s="43"/>
      <c r="AB634" s="6">
        <f>$K$634*$V$634</f>
        <v>6688.2816000000003</v>
      </c>
      <c r="AC634" s="6">
        <f>$M$634*$W$634</f>
        <v>0</v>
      </c>
      <c r="AD634" s="6">
        <f>$O$634*$X$634</f>
        <v>0</v>
      </c>
      <c r="AE634" s="6">
        <f ca="1">$K$634*$Y$634</f>
        <v>6597.3890549695052</v>
      </c>
      <c r="AF634" s="6">
        <f>$M$634*$Z$634</f>
        <v>0</v>
      </c>
      <c r="AG634" s="6">
        <f>$O$634*$AA$634</f>
        <v>0</v>
      </c>
    </row>
    <row r="635" spans="1:33" ht="11.25" customHeight="1" x14ac:dyDescent="0.25">
      <c r="A635" s="4" t="s">
        <v>21</v>
      </c>
      <c r="B635" s="4" t="s">
        <v>39</v>
      </c>
      <c r="C635" s="4" t="s">
        <v>41</v>
      </c>
      <c r="D635" s="4" t="s">
        <v>44</v>
      </c>
      <c r="E635" s="4" t="s">
        <v>25</v>
      </c>
      <c r="F635" s="4" t="s">
        <v>25</v>
      </c>
      <c r="G635" s="4" t="s">
        <v>25</v>
      </c>
      <c r="H635" s="4" t="s">
        <v>25</v>
      </c>
      <c r="I635" s="5">
        <v>44409</v>
      </c>
      <c r="J635" s="6">
        <v>374</v>
      </c>
      <c r="K635" s="43">
        <v>374</v>
      </c>
      <c r="L635" s="6">
        <v>0</v>
      </c>
      <c r="M635" s="43">
        <v>0</v>
      </c>
      <c r="N635" s="6">
        <v>0</v>
      </c>
      <c r="O635" s="43">
        <v>0</v>
      </c>
      <c r="P635" s="6">
        <v>3</v>
      </c>
      <c r="Q635" s="4" t="s">
        <v>26</v>
      </c>
      <c r="R635" s="4">
        <v>0</v>
      </c>
      <c r="S635" s="6">
        <v>23</v>
      </c>
      <c r="T635" s="6">
        <v>0</v>
      </c>
      <c r="U635" s="6">
        <v>0</v>
      </c>
      <c r="V635" s="43">
        <f>IF(ISERROR(VLOOKUP($S$635,'TAR FIN'!$A$1:$O$100,15,0)),0,VLOOKUP($S$635,'TAR FIN'!$A$1:$O$100,15,0))*(1-0.04)</f>
        <v>17.7408</v>
      </c>
      <c r="W635" s="43">
        <f>IF(ISERROR(VLOOKUP($T$635,'TAR FIN'!$A$1:$O$100,15,0)),0,VLOOKUP($T$635,'TAR FIN'!$A$1:$O$100,15,0))</f>
        <v>0</v>
      </c>
      <c r="X635" s="43">
        <f>IF(ISERROR(VLOOKUP($U$635,'TAR FIN'!$A$1:$O$100,15,0)),0,VLOOKUP($U$635,'TAR FIN'!$A$1:$O$100,15,0))</f>
        <v>0</v>
      </c>
      <c r="Y635" s="43">
        <f ca="1">('TUSD BE'!$AM$20+'TUSD BF'!$AM$20+'TUSD CVA'!$AM$20)*1*(1-0.02)</f>
        <v>17.499705716099484</v>
      </c>
      <c r="Z635" s="43"/>
      <c r="AA635" s="43"/>
      <c r="AB635" s="6">
        <f>$K$635*$V$635</f>
        <v>6635.0591999999997</v>
      </c>
      <c r="AC635" s="6">
        <f>$M$635*$W$635</f>
        <v>0</v>
      </c>
      <c r="AD635" s="6">
        <f>$O$635*$X$635</f>
        <v>0</v>
      </c>
      <c r="AE635" s="6">
        <f ca="1">$K$635*$Y$635</f>
        <v>6544.8899378212072</v>
      </c>
      <c r="AF635" s="6">
        <f>$M$635*$Z$635</f>
        <v>0</v>
      </c>
      <c r="AG635" s="6">
        <f>$O$635*$AA$635</f>
        <v>0</v>
      </c>
    </row>
    <row r="636" spans="1:33" ht="11.25" customHeight="1" x14ac:dyDescent="0.25">
      <c r="A636" s="4" t="s">
        <v>21</v>
      </c>
      <c r="B636" s="4" t="s">
        <v>39</v>
      </c>
      <c r="C636" s="4" t="s">
        <v>41</v>
      </c>
      <c r="D636" s="4" t="s">
        <v>44</v>
      </c>
      <c r="E636" s="4" t="s">
        <v>25</v>
      </c>
      <c r="F636" s="4" t="s">
        <v>25</v>
      </c>
      <c r="G636" s="4" t="s">
        <v>25</v>
      </c>
      <c r="H636" s="4" t="s">
        <v>25</v>
      </c>
      <c r="I636" s="5">
        <v>44440</v>
      </c>
      <c r="J636" s="6">
        <v>382</v>
      </c>
      <c r="K636" s="43">
        <v>382</v>
      </c>
      <c r="L636" s="6">
        <v>0</v>
      </c>
      <c r="M636" s="43">
        <v>0</v>
      </c>
      <c r="N636" s="6">
        <v>0</v>
      </c>
      <c r="O636" s="43">
        <v>0</v>
      </c>
      <c r="P636" s="6">
        <v>3</v>
      </c>
      <c r="Q636" s="4" t="s">
        <v>26</v>
      </c>
      <c r="R636" s="4">
        <v>0</v>
      </c>
      <c r="S636" s="6">
        <v>23</v>
      </c>
      <c r="T636" s="6">
        <v>0</v>
      </c>
      <c r="U636" s="6">
        <v>0</v>
      </c>
      <c r="V636" s="43">
        <f>IF(ISERROR(VLOOKUP($S$636,'TAR FIN'!$A$1:$O$100,15,0)),0,VLOOKUP($S$636,'TAR FIN'!$A$1:$O$100,15,0))*(1-0.04)</f>
        <v>17.7408</v>
      </c>
      <c r="W636" s="43">
        <f>IF(ISERROR(VLOOKUP($T$636,'TAR FIN'!$A$1:$O$100,15,0)),0,VLOOKUP($T$636,'TAR FIN'!$A$1:$O$100,15,0))</f>
        <v>0</v>
      </c>
      <c r="X636" s="43">
        <f>IF(ISERROR(VLOOKUP($U$636,'TAR FIN'!$A$1:$O$100,15,0)),0,VLOOKUP($U$636,'TAR FIN'!$A$1:$O$100,15,0))</f>
        <v>0</v>
      </c>
      <c r="Y636" s="43">
        <f ca="1">('TUSD BE'!$AM$20+'TUSD BF'!$AM$20+'TUSD CVA'!$AM$20)*1*(1-0.02)</f>
        <v>17.499705716099484</v>
      </c>
      <c r="Z636" s="43"/>
      <c r="AA636" s="43"/>
      <c r="AB636" s="6">
        <f>$K$636*$V$636</f>
        <v>6776.9856</v>
      </c>
      <c r="AC636" s="6">
        <f>$M$636*$W$636</f>
        <v>0</v>
      </c>
      <c r="AD636" s="6">
        <f>$O$636*$X$636</f>
        <v>0</v>
      </c>
      <c r="AE636" s="6">
        <f ca="1">$K$636*$Y$636</f>
        <v>6684.887583550003</v>
      </c>
      <c r="AF636" s="6">
        <f>$M$636*$Z$636</f>
        <v>0</v>
      </c>
      <c r="AG636" s="6">
        <f>$O$636*$AA$636</f>
        <v>0</v>
      </c>
    </row>
    <row r="637" spans="1:33" ht="11.25" customHeight="1" x14ac:dyDescent="0.25">
      <c r="A637" s="4" t="s">
        <v>21</v>
      </c>
      <c r="B637" s="4" t="s">
        <v>39</v>
      </c>
      <c r="C637" s="4" t="s">
        <v>41</v>
      </c>
      <c r="D637" s="4" t="s">
        <v>44</v>
      </c>
      <c r="E637" s="4" t="s">
        <v>25</v>
      </c>
      <c r="F637" s="4" t="s">
        <v>25</v>
      </c>
      <c r="G637" s="4" t="s">
        <v>25</v>
      </c>
      <c r="H637" s="4" t="s">
        <v>25</v>
      </c>
      <c r="I637" s="5">
        <v>44470</v>
      </c>
      <c r="J637" s="6">
        <v>426</v>
      </c>
      <c r="K637" s="43">
        <v>426</v>
      </c>
      <c r="L637" s="6">
        <v>0</v>
      </c>
      <c r="M637" s="43">
        <v>0</v>
      </c>
      <c r="N637" s="6">
        <v>0</v>
      </c>
      <c r="O637" s="43">
        <v>0</v>
      </c>
      <c r="P637" s="6">
        <v>3</v>
      </c>
      <c r="Q637" s="4" t="s">
        <v>26</v>
      </c>
      <c r="R637" s="4">
        <v>0</v>
      </c>
      <c r="S637" s="6">
        <v>23</v>
      </c>
      <c r="T637" s="6">
        <v>0</v>
      </c>
      <c r="U637" s="6">
        <v>0</v>
      </c>
      <c r="V637" s="43">
        <f>IF(ISERROR(VLOOKUP($S$637,'TAR FIN'!$A$1:$O$100,15,0)),0,VLOOKUP($S$637,'TAR FIN'!$A$1:$O$100,15,0))*(1-0.04)</f>
        <v>17.7408</v>
      </c>
      <c r="W637" s="43">
        <f>IF(ISERROR(VLOOKUP($T$637,'TAR FIN'!$A$1:$O$100,15,0)),0,VLOOKUP($T$637,'TAR FIN'!$A$1:$O$100,15,0))</f>
        <v>0</v>
      </c>
      <c r="X637" s="43">
        <f>IF(ISERROR(VLOOKUP($U$637,'TAR FIN'!$A$1:$O$100,15,0)),0,VLOOKUP($U$637,'TAR FIN'!$A$1:$O$100,15,0))</f>
        <v>0</v>
      </c>
      <c r="Y637" s="43">
        <f ca="1">('TUSD BE'!$AM$20+'TUSD BF'!$AM$20+'TUSD CVA'!$AM$20)*1*(1-0.02)</f>
        <v>17.499705716099484</v>
      </c>
      <c r="Z637" s="43"/>
      <c r="AA637" s="43"/>
      <c r="AB637" s="6">
        <f>$K$637*$V$637</f>
        <v>7557.5807999999997</v>
      </c>
      <c r="AC637" s="6">
        <f>$M$637*$W$637</f>
        <v>0</v>
      </c>
      <c r="AD637" s="6">
        <f>$O$637*$X$637</f>
        <v>0</v>
      </c>
      <c r="AE637" s="6">
        <f ca="1">$K$637*$Y$637</f>
        <v>7454.8746350583806</v>
      </c>
      <c r="AF637" s="6">
        <f>$M$637*$Z$637</f>
        <v>0</v>
      </c>
      <c r="AG637" s="6">
        <f>$O$637*$AA$637</f>
        <v>0</v>
      </c>
    </row>
    <row r="638" spans="1:33" ht="11.25" customHeight="1" x14ac:dyDescent="0.25">
      <c r="A638" s="4" t="s">
        <v>21</v>
      </c>
      <c r="B638" s="4" t="s">
        <v>39</v>
      </c>
      <c r="C638" s="4" t="s">
        <v>41</v>
      </c>
      <c r="D638" s="4" t="s">
        <v>44</v>
      </c>
      <c r="E638" s="4" t="s">
        <v>25</v>
      </c>
      <c r="F638" s="4" t="s">
        <v>25</v>
      </c>
      <c r="G638" s="4" t="s">
        <v>25</v>
      </c>
      <c r="H638" s="4" t="s">
        <v>25</v>
      </c>
      <c r="I638" s="5">
        <v>44501</v>
      </c>
      <c r="J638" s="6">
        <v>399</v>
      </c>
      <c r="K638" s="43">
        <v>399</v>
      </c>
      <c r="L638" s="6">
        <v>0</v>
      </c>
      <c r="M638" s="43">
        <v>0</v>
      </c>
      <c r="N638" s="6">
        <v>0</v>
      </c>
      <c r="O638" s="43">
        <v>0</v>
      </c>
      <c r="P638" s="6">
        <v>3</v>
      </c>
      <c r="Q638" s="4" t="s">
        <v>26</v>
      </c>
      <c r="R638" s="4">
        <v>0</v>
      </c>
      <c r="S638" s="6">
        <v>23</v>
      </c>
      <c r="T638" s="6">
        <v>0</v>
      </c>
      <c r="U638" s="6">
        <v>0</v>
      </c>
      <c r="V638" s="43">
        <f>IF(ISERROR(VLOOKUP($S$638,'TAR FIN'!$A$1:$O$100,15,0)),0,VLOOKUP($S$638,'TAR FIN'!$A$1:$O$100,15,0))*(1-0.04)</f>
        <v>17.7408</v>
      </c>
      <c r="W638" s="43">
        <f>IF(ISERROR(VLOOKUP($T$638,'TAR FIN'!$A$1:$O$100,15,0)),0,VLOOKUP($T$638,'TAR FIN'!$A$1:$O$100,15,0))</f>
        <v>0</v>
      </c>
      <c r="X638" s="43">
        <f>IF(ISERROR(VLOOKUP($U$638,'TAR FIN'!$A$1:$O$100,15,0)),0,VLOOKUP($U$638,'TAR FIN'!$A$1:$O$100,15,0))</f>
        <v>0</v>
      </c>
      <c r="Y638" s="43">
        <f ca="1">('TUSD BE'!$AM$20+'TUSD BF'!$AM$20+'TUSD CVA'!$AM$20)*1*(1-0.02)</f>
        <v>17.499705716099484</v>
      </c>
      <c r="Z638" s="43"/>
      <c r="AA638" s="43"/>
      <c r="AB638" s="6">
        <f>$K$638*$V$638</f>
        <v>7078.5792000000001</v>
      </c>
      <c r="AC638" s="6">
        <f>$M$638*$W$638</f>
        <v>0</v>
      </c>
      <c r="AD638" s="6">
        <f>$O$638*$X$638</f>
        <v>0</v>
      </c>
      <c r="AE638" s="6">
        <f ca="1">$K$638*$Y$638</f>
        <v>6982.3825807236944</v>
      </c>
      <c r="AF638" s="6">
        <f>$M$638*$Z$638</f>
        <v>0</v>
      </c>
      <c r="AG638" s="6">
        <f>$O$638*$AA$638</f>
        <v>0</v>
      </c>
    </row>
    <row r="639" spans="1:33" ht="11.25" customHeight="1" x14ac:dyDescent="0.25">
      <c r="A639" s="4" t="s">
        <v>21</v>
      </c>
      <c r="B639" s="4" t="s">
        <v>39</v>
      </c>
      <c r="C639" s="4" t="s">
        <v>41</v>
      </c>
      <c r="D639" s="4" t="s">
        <v>44</v>
      </c>
      <c r="E639" s="4" t="s">
        <v>25</v>
      </c>
      <c r="F639" s="4" t="s">
        <v>25</v>
      </c>
      <c r="G639" s="4" t="s">
        <v>25</v>
      </c>
      <c r="H639" s="4" t="s">
        <v>25</v>
      </c>
      <c r="I639" s="5">
        <v>44531</v>
      </c>
      <c r="J639" s="6">
        <v>408</v>
      </c>
      <c r="K639" s="43">
        <v>408</v>
      </c>
      <c r="L639" s="6">
        <v>0</v>
      </c>
      <c r="M639" s="43">
        <v>0</v>
      </c>
      <c r="N639" s="6">
        <v>0</v>
      </c>
      <c r="O639" s="43">
        <v>0</v>
      </c>
      <c r="P639" s="6">
        <v>3</v>
      </c>
      <c r="Q639" s="4" t="s">
        <v>26</v>
      </c>
      <c r="R639" s="4">
        <v>0</v>
      </c>
      <c r="S639" s="6">
        <v>23</v>
      </c>
      <c r="T639" s="6">
        <v>0</v>
      </c>
      <c r="U639" s="6">
        <v>0</v>
      </c>
      <c r="V639" s="43">
        <f>IF(ISERROR(VLOOKUP($S$639,'TAR FIN'!$A$1:$O$100,15,0)),0,VLOOKUP($S$639,'TAR FIN'!$A$1:$O$100,15,0))*(1-0.04)</f>
        <v>17.7408</v>
      </c>
      <c r="W639" s="43">
        <f>IF(ISERROR(VLOOKUP($T$639,'TAR FIN'!$A$1:$O$100,15,0)),0,VLOOKUP($T$639,'TAR FIN'!$A$1:$O$100,15,0))</f>
        <v>0</v>
      </c>
      <c r="X639" s="43">
        <f>IF(ISERROR(VLOOKUP($U$639,'TAR FIN'!$A$1:$O$100,15,0)),0,VLOOKUP($U$639,'TAR FIN'!$A$1:$O$100,15,0))</f>
        <v>0</v>
      </c>
      <c r="Y639" s="43">
        <f ca="1">('TUSD BE'!$AM$20+'TUSD BF'!$AM$20+'TUSD CVA'!$AM$20)*1*(1-0.02)</f>
        <v>17.499705716099484</v>
      </c>
      <c r="Z639" s="43"/>
      <c r="AA639" s="43"/>
      <c r="AB639" s="6">
        <f>$K$639*$V$639</f>
        <v>7238.2464</v>
      </c>
      <c r="AC639" s="6">
        <f>$M$639*$W$639</f>
        <v>0</v>
      </c>
      <c r="AD639" s="6">
        <f>$O$639*$X$639</f>
        <v>0</v>
      </c>
      <c r="AE639" s="6">
        <f ca="1">$K$639*$Y$639</f>
        <v>7139.8799321685892</v>
      </c>
      <c r="AF639" s="6">
        <f>$M$639*$Z$639</f>
        <v>0</v>
      </c>
      <c r="AG639" s="6">
        <f>$O$639*$AA$639</f>
        <v>0</v>
      </c>
    </row>
    <row r="640" spans="1:33" ht="11.25" customHeight="1" x14ac:dyDescent="0.25">
      <c r="A640" s="4" t="s">
        <v>55</v>
      </c>
      <c r="B640" s="4" t="s">
        <v>39</v>
      </c>
      <c r="C640" s="4" t="s">
        <v>41</v>
      </c>
      <c r="D640" s="4" t="s">
        <v>44</v>
      </c>
      <c r="E640" s="4" t="s">
        <v>25</v>
      </c>
      <c r="F640" s="4" t="s">
        <v>25</v>
      </c>
      <c r="G640" s="4" t="s">
        <v>25</v>
      </c>
      <c r="H640" s="4" t="s">
        <v>25</v>
      </c>
      <c r="I640" s="5">
        <v>44562</v>
      </c>
      <c r="J640" s="6">
        <v>408</v>
      </c>
      <c r="K640" s="43">
        <v>408</v>
      </c>
      <c r="L640" s="6">
        <v>0</v>
      </c>
      <c r="M640" s="43">
        <v>0</v>
      </c>
      <c r="N640" s="6">
        <v>0</v>
      </c>
      <c r="O640" s="43">
        <v>0</v>
      </c>
      <c r="P640" s="6">
        <v>3</v>
      </c>
      <c r="Q640" s="4" t="s">
        <v>26</v>
      </c>
      <c r="R640" s="4">
        <v>0</v>
      </c>
      <c r="S640" s="6">
        <v>23</v>
      </c>
      <c r="T640" s="6">
        <v>0</v>
      </c>
      <c r="U640" s="6">
        <v>0</v>
      </c>
      <c r="V640" s="43">
        <f>IF(ISERROR(VLOOKUP($S$640,'TAR FIN'!$A$1:$O$100,15,0)),0,VLOOKUP($S$640,'TAR FIN'!$A$1:$O$100,15,0))*(1-0.04)</f>
        <v>17.7408</v>
      </c>
      <c r="W640" s="43">
        <f>IF(ISERROR(VLOOKUP($T$640,'TAR FIN'!$A$1:$O$100,15,0)),0,VLOOKUP($T$640,'TAR FIN'!$A$1:$O$100,15,0))</f>
        <v>0</v>
      </c>
      <c r="X640" s="43">
        <f>IF(ISERROR(VLOOKUP($U$640,'TAR FIN'!$A$1:$O$100,15,0)),0,VLOOKUP($U$640,'TAR FIN'!$A$1:$O$100,15,0))</f>
        <v>0</v>
      </c>
      <c r="Y640" s="43">
        <f ca="1">('TUSD BE'!$AM$20+'TUSD BF'!$AM$20+'TUSD CVA'!$AM$20)*1*(1-0.02)</f>
        <v>17.499705716099484</v>
      </c>
      <c r="Z640" s="43"/>
      <c r="AA640" s="43"/>
      <c r="AB640" s="6">
        <f>$K$640*$V$640</f>
        <v>7238.2464</v>
      </c>
      <c r="AC640" s="6">
        <f>$M$640*$W$640</f>
        <v>0</v>
      </c>
      <c r="AD640" s="6">
        <f>$O$640*$X$640</f>
        <v>0</v>
      </c>
      <c r="AE640" s="6">
        <f ca="1">$K$640*$Y$640</f>
        <v>7139.8799321685892</v>
      </c>
      <c r="AF640" s="6">
        <f>$M$640*$Z$640</f>
        <v>0</v>
      </c>
      <c r="AG640" s="6">
        <f>$O$640*$AA$640</f>
        <v>0</v>
      </c>
    </row>
    <row r="641" spans="1:33" ht="11.25" customHeight="1" x14ac:dyDescent="0.25">
      <c r="A641" s="4" t="s">
        <v>21</v>
      </c>
      <c r="B641" s="4" t="s">
        <v>39</v>
      </c>
      <c r="C641" s="4" t="s">
        <v>41</v>
      </c>
      <c r="D641" s="4" t="s">
        <v>44</v>
      </c>
      <c r="E641" s="4" t="s">
        <v>25</v>
      </c>
      <c r="F641" s="4" t="s">
        <v>25</v>
      </c>
      <c r="G641" s="4" t="s">
        <v>25</v>
      </c>
      <c r="H641" s="4" t="s">
        <v>34</v>
      </c>
      <c r="I641" s="5">
        <v>44228</v>
      </c>
      <c r="J641" s="6">
        <v>0</v>
      </c>
      <c r="K641" s="43">
        <v>0</v>
      </c>
      <c r="L641" s="6">
        <v>7.9859999999999998</v>
      </c>
      <c r="M641" s="43">
        <v>7.9859999999999998</v>
      </c>
      <c r="N641" s="6">
        <v>7.9859999999999998</v>
      </c>
      <c r="O641" s="43">
        <v>7.9859999999999998</v>
      </c>
      <c r="P641" s="6">
        <v>0</v>
      </c>
      <c r="Q641" s="4" t="s">
        <v>26</v>
      </c>
      <c r="R641" s="4">
        <v>0</v>
      </c>
      <c r="S641" s="6">
        <v>0</v>
      </c>
      <c r="T641" s="6">
        <v>24</v>
      </c>
      <c r="U641" s="6">
        <v>67</v>
      </c>
      <c r="V641" s="43">
        <f>IF(ISERROR(VLOOKUP($S$641,'TAR FIN'!$A$1:$O$100,15,0)),0,VLOOKUP($S$641,'TAR FIN'!$A$1:$O$100,15,0))</f>
        <v>0</v>
      </c>
      <c r="W641" s="43">
        <f>IF(ISERROR(VLOOKUP($T$641,'TAR FIN'!$A$1:$O$100,15,0)),0,VLOOKUP($T$641,'TAR FIN'!$A$1:$O$100,15,0))*(1-0.04)</f>
        <v>906.05759999999987</v>
      </c>
      <c r="X641" s="43">
        <f>IF(ISERROR(VLOOKUP($U$641,'TAR FIN'!$A$1:$O$100,15,0)),0,VLOOKUP($U$641,'TAR FIN'!$A$1:$O$100,15,0))*(1-0.04)</f>
        <v>351.93600000000004</v>
      </c>
      <c r="Y641" s="43"/>
      <c r="Z641" s="43">
        <f ca="1">('TUSD BE'!$AM$21+'TUSD BF'!$AM$21+'TUSD CVA'!$AM$21)*1*(1-0.02)</f>
        <v>910.29360198079769</v>
      </c>
      <c r="AA641" s="43">
        <f>('TE BE'!$AA$7+'TE BF'!$AA$7+'TE CVA'!$AA$7)*1*(1-0.02)</f>
        <v>377.75625501595869</v>
      </c>
      <c r="AB641" s="6">
        <f>$K$641*$V$641</f>
        <v>0</v>
      </c>
      <c r="AC641" s="6">
        <f>$M$641*$W$641</f>
        <v>7235.7759935999984</v>
      </c>
      <c r="AD641" s="6">
        <f>$O$641*$X$641</f>
        <v>2810.5608960000004</v>
      </c>
      <c r="AE641" s="6">
        <f>$K$641*$Y$641</f>
        <v>0</v>
      </c>
      <c r="AF641" s="6">
        <f ca="1">$M$641*$Z$641</f>
        <v>7269.6047054186502</v>
      </c>
      <c r="AG641" s="6">
        <f>$O$641*$AA$641</f>
        <v>3016.7614525574459</v>
      </c>
    </row>
    <row r="642" spans="1:33" ht="11.25" customHeight="1" x14ac:dyDescent="0.25">
      <c r="A642" s="4" t="s">
        <v>21</v>
      </c>
      <c r="B642" s="4" t="s">
        <v>39</v>
      </c>
      <c r="C642" s="4" t="s">
        <v>41</v>
      </c>
      <c r="D642" s="4" t="s">
        <v>44</v>
      </c>
      <c r="E642" s="4" t="s">
        <v>25</v>
      </c>
      <c r="F642" s="4" t="s">
        <v>25</v>
      </c>
      <c r="G642" s="4" t="s">
        <v>25</v>
      </c>
      <c r="H642" s="4" t="s">
        <v>34</v>
      </c>
      <c r="I642" s="5">
        <v>44256</v>
      </c>
      <c r="J642" s="6">
        <v>0</v>
      </c>
      <c r="K642" s="43">
        <v>0</v>
      </c>
      <c r="L642" s="6">
        <v>9.5820000000000007</v>
      </c>
      <c r="M642" s="43">
        <v>9.5820000000000007</v>
      </c>
      <c r="N642" s="6">
        <v>9.5820000000000007</v>
      </c>
      <c r="O642" s="43">
        <v>9.5820000000000007</v>
      </c>
      <c r="P642" s="6">
        <v>0</v>
      </c>
      <c r="Q642" s="4" t="s">
        <v>26</v>
      </c>
      <c r="R642" s="4">
        <v>0</v>
      </c>
      <c r="S642" s="6">
        <v>0</v>
      </c>
      <c r="T642" s="6">
        <v>24</v>
      </c>
      <c r="U642" s="6">
        <v>67</v>
      </c>
      <c r="V642" s="43">
        <f>IF(ISERROR(VLOOKUP($S$642,'TAR FIN'!$A$1:$O$100,15,0)),0,VLOOKUP($S$642,'TAR FIN'!$A$1:$O$100,15,0))</f>
        <v>0</v>
      </c>
      <c r="W642" s="43">
        <f>IF(ISERROR(VLOOKUP($T$642,'TAR FIN'!$A$1:$O$100,15,0)),0,VLOOKUP($T$642,'TAR FIN'!$A$1:$O$100,15,0))*(1-0.04)</f>
        <v>906.05759999999987</v>
      </c>
      <c r="X642" s="43">
        <f>IF(ISERROR(VLOOKUP($U$642,'TAR FIN'!$A$1:$O$100,15,0)),0,VLOOKUP($U$642,'TAR FIN'!$A$1:$O$100,15,0))*(1-0.04)</f>
        <v>351.93600000000004</v>
      </c>
      <c r="Y642" s="43"/>
      <c r="Z642" s="43">
        <f ca="1">('TUSD BE'!$AM$21+'TUSD BF'!$AM$21+'TUSD CVA'!$AM$21)*1*(1-0.02)</f>
        <v>910.29360198079769</v>
      </c>
      <c r="AA642" s="43">
        <f>('TE BE'!$AA$7+'TE BF'!$AA$7+'TE CVA'!$AA$7)*1*(1-0.02)</f>
        <v>377.75625501595869</v>
      </c>
      <c r="AB642" s="6">
        <f>$K$642*$V$642</f>
        <v>0</v>
      </c>
      <c r="AC642" s="6">
        <f>$M$642*$W$642</f>
        <v>8681.8439232000001</v>
      </c>
      <c r="AD642" s="6">
        <f>$O$642*$X$642</f>
        <v>3372.2507520000004</v>
      </c>
      <c r="AE642" s="6">
        <f>$K$642*$Y$642</f>
        <v>0</v>
      </c>
      <c r="AF642" s="6">
        <f ca="1">$M$642*$Z$642</f>
        <v>8722.4332941800039</v>
      </c>
      <c r="AG642" s="6">
        <f>$O$642*$AA$642</f>
        <v>3619.6604355629165</v>
      </c>
    </row>
    <row r="643" spans="1:33" ht="11.25" customHeight="1" x14ac:dyDescent="0.25">
      <c r="A643" s="4" t="s">
        <v>21</v>
      </c>
      <c r="B643" s="4" t="s">
        <v>39</v>
      </c>
      <c r="C643" s="4" t="s">
        <v>41</v>
      </c>
      <c r="D643" s="4" t="s">
        <v>44</v>
      </c>
      <c r="E643" s="4" t="s">
        <v>25</v>
      </c>
      <c r="F643" s="4" t="s">
        <v>25</v>
      </c>
      <c r="G643" s="4" t="s">
        <v>25</v>
      </c>
      <c r="H643" s="4" t="s">
        <v>34</v>
      </c>
      <c r="I643" s="5">
        <v>44287</v>
      </c>
      <c r="J643" s="6">
        <v>0</v>
      </c>
      <c r="K643" s="43">
        <v>0</v>
      </c>
      <c r="L643" s="6">
        <v>8.8819999999999997</v>
      </c>
      <c r="M643" s="43">
        <v>8.8819999999999997</v>
      </c>
      <c r="N643" s="6">
        <v>8.8819999999999997</v>
      </c>
      <c r="O643" s="43">
        <v>8.8819999999999997</v>
      </c>
      <c r="P643" s="6">
        <v>0</v>
      </c>
      <c r="Q643" s="4" t="s">
        <v>26</v>
      </c>
      <c r="R643" s="4">
        <v>0</v>
      </c>
      <c r="S643" s="6">
        <v>0</v>
      </c>
      <c r="T643" s="6">
        <v>24</v>
      </c>
      <c r="U643" s="6">
        <v>67</v>
      </c>
      <c r="V643" s="43">
        <f>IF(ISERROR(VLOOKUP($S$643,'TAR FIN'!$A$1:$O$100,15,0)),0,VLOOKUP($S$643,'TAR FIN'!$A$1:$O$100,15,0))</f>
        <v>0</v>
      </c>
      <c r="W643" s="43">
        <f>IF(ISERROR(VLOOKUP($T$643,'TAR FIN'!$A$1:$O$100,15,0)),0,VLOOKUP($T$643,'TAR FIN'!$A$1:$O$100,15,0))*(1-0.04)</f>
        <v>906.05759999999987</v>
      </c>
      <c r="X643" s="43">
        <f>IF(ISERROR(VLOOKUP($U$643,'TAR FIN'!$A$1:$O$100,15,0)),0,VLOOKUP($U$643,'TAR FIN'!$A$1:$O$100,15,0))*(1-0.04)</f>
        <v>351.93600000000004</v>
      </c>
      <c r="Y643" s="43"/>
      <c r="Z643" s="43">
        <f ca="1">('TUSD BE'!$AM$21+'TUSD BF'!$AM$21+'TUSD CVA'!$AM$21)*1*(1-0.02)</f>
        <v>910.29360198079769</v>
      </c>
      <c r="AA643" s="43">
        <f>('TE BE'!$AA$7+'TE BF'!$AA$7+'TE CVA'!$AA$7)*1*(1-0.02)</f>
        <v>377.75625501595869</v>
      </c>
      <c r="AB643" s="6">
        <f>$K$643*$V$643</f>
        <v>0</v>
      </c>
      <c r="AC643" s="6">
        <f>$M$643*$W$643</f>
        <v>8047.6036031999984</v>
      </c>
      <c r="AD643" s="6">
        <f>$O$643*$X$643</f>
        <v>3125.8955520000004</v>
      </c>
      <c r="AE643" s="6">
        <f>$K$643*$Y$643</f>
        <v>0</v>
      </c>
      <c r="AF643" s="6">
        <f ca="1">$M$643*$Z$643</f>
        <v>8085.2277727934452</v>
      </c>
      <c r="AG643" s="6">
        <f>$O$643*$AA$643</f>
        <v>3355.2310570517448</v>
      </c>
    </row>
    <row r="644" spans="1:33" ht="11.25" customHeight="1" x14ac:dyDescent="0.25">
      <c r="A644" s="4" t="s">
        <v>21</v>
      </c>
      <c r="B644" s="4" t="s">
        <v>39</v>
      </c>
      <c r="C644" s="4" t="s">
        <v>41</v>
      </c>
      <c r="D644" s="4" t="s">
        <v>44</v>
      </c>
      <c r="E644" s="4" t="s">
        <v>25</v>
      </c>
      <c r="F644" s="4" t="s">
        <v>25</v>
      </c>
      <c r="G644" s="4" t="s">
        <v>25</v>
      </c>
      <c r="H644" s="4" t="s">
        <v>34</v>
      </c>
      <c r="I644" s="5">
        <v>44317</v>
      </c>
      <c r="J644" s="6">
        <v>0</v>
      </c>
      <c r="K644" s="43">
        <v>0</v>
      </c>
      <c r="L644" s="6">
        <v>8.9239999999999995</v>
      </c>
      <c r="M644" s="43">
        <v>8.9239999999999995</v>
      </c>
      <c r="N644" s="6">
        <v>8.9239999999999995</v>
      </c>
      <c r="O644" s="43">
        <v>8.9239999999999995</v>
      </c>
      <c r="P644" s="6">
        <v>0</v>
      </c>
      <c r="Q644" s="4" t="s">
        <v>26</v>
      </c>
      <c r="R644" s="4">
        <v>0</v>
      </c>
      <c r="S644" s="6">
        <v>0</v>
      </c>
      <c r="T644" s="6">
        <v>24</v>
      </c>
      <c r="U644" s="6">
        <v>67</v>
      </c>
      <c r="V644" s="43">
        <f>IF(ISERROR(VLOOKUP($S$644,'TAR FIN'!$A$1:$O$100,15,0)),0,VLOOKUP($S$644,'TAR FIN'!$A$1:$O$100,15,0))</f>
        <v>0</v>
      </c>
      <c r="W644" s="43">
        <f>IF(ISERROR(VLOOKUP($T$644,'TAR FIN'!$A$1:$O$100,15,0)),0,VLOOKUP($T$644,'TAR FIN'!$A$1:$O$100,15,0))*(1-0.04)</f>
        <v>906.05759999999987</v>
      </c>
      <c r="X644" s="43">
        <f>IF(ISERROR(VLOOKUP($U$644,'TAR FIN'!$A$1:$O$100,15,0)),0,VLOOKUP($U$644,'TAR FIN'!$A$1:$O$100,15,0))*(1-0.04)</f>
        <v>351.93600000000004</v>
      </c>
      <c r="Y644" s="43"/>
      <c r="Z644" s="43">
        <f ca="1">('TUSD BE'!$AM$21+'TUSD BF'!$AM$21+'TUSD CVA'!$AM$21)*1*(1-0.02)</f>
        <v>910.29360198079769</v>
      </c>
      <c r="AA644" s="43">
        <f>('TE BE'!$AA$7+'TE BF'!$AA$7+'TE CVA'!$AA$7)*1*(1-0.02)</f>
        <v>377.75625501595869</v>
      </c>
      <c r="AB644" s="6">
        <f>$K$644*$V$644</f>
        <v>0</v>
      </c>
      <c r="AC644" s="6">
        <f>$M$644*$W$644</f>
        <v>8085.6580223999981</v>
      </c>
      <c r="AD644" s="6">
        <f>$O$644*$X$644</f>
        <v>3140.676864</v>
      </c>
      <c r="AE644" s="6">
        <f>$K$644*$Y$644</f>
        <v>0</v>
      </c>
      <c r="AF644" s="6">
        <f ca="1">$M$644*$Z$644</f>
        <v>8123.4601040766383</v>
      </c>
      <c r="AG644" s="6">
        <f>$O$644*$AA$644</f>
        <v>3371.0968197624152</v>
      </c>
    </row>
    <row r="645" spans="1:33" ht="11.25" customHeight="1" x14ac:dyDescent="0.25">
      <c r="A645" s="4" t="s">
        <v>21</v>
      </c>
      <c r="B645" s="4" t="s">
        <v>39</v>
      </c>
      <c r="C645" s="4" t="s">
        <v>41</v>
      </c>
      <c r="D645" s="4" t="s">
        <v>44</v>
      </c>
      <c r="E645" s="4" t="s">
        <v>25</v>
      </c>
      <c r="F645" s="4" t="s">
        <v>25</v>
      </c>
      <c r="G645" s="4" t="s">
        <v>25</v>
      </c>
      <c r="H645" s="4" t="s">
        <v>34</v>
      </c>
      <c r="I645" s="5">
        <v>44348</v>
      </c>
      <c r="J645" s="6">
        <v>0</v>
      </c>
      <c r="K645" s="43">
        <v>0</v>
      </c>
      <c r="L645" s="6">
        <v>8.3420000000000005</v>
      </c>
      <c r="M645" s="43">
        <v>8.3420000000000005</v>
      </c>
      <c r="N645" s="6">
        <v>8.3420000000000005</v>
      </c>
      <c r="O645" s="43">
        <v>8.3420000000000005</v>
      </c>
      <c r="P645" s="6">
        <v>0</v>
      </c>
      <c r="Q645" s="4" t="s">
        <v>26</v>
      </c>
      <c r="R645" s="4">
        <v>0</v>
      </c>
      <c r="S645" s="6">
        <v>0</v>
      </c>
      <c r="T645" s="6">
        <v>24</v>
      </c>
      <c r="U645" s="6">
        <v>67</v>
      </c>
      <c r="V645" s="43">
        <f>IF(ISERROR(VLOOKUP($S$645,'TAR FIN'!$A$1:$O$100,15,0)),0,VLOOKUP($S$645,'TAR FIN'!$A$1:$O$100,15,0))</f>
        <v>0</v>
      </c>
      <c r="W645" s="43">
        <f>IF(ISERROR(VLOOKUP($T$645,'TAR FIN'!$A$1:$O$100,15,0)),0,VLOOKUP($T$645,'TAR FIN'!$A$1:$O$100,15,0))*(1-0.04)</f>
        <v>906.05759999999987</v>
      </c>
      <c r="X645" s="43">
        <f>IF(ISERROR(VLOOKUP($U$645,'TAR FIN'!$A$1:$O$100,15,0)),0,VLOOKUP($U$645,'TAR FIN'!$A$1:$O$100,15,0))*(1-0.04)</f>
        <v>351.93600000000004</v>
      </c>
      <c r="Y645" s="43"/>
      <c r="Z645" s="43">
        <f ca="1">('TUSD BE'!$AM$21+'TUSD BF'!$AM$21+'TUSD CVA'!$AM$21)*1*(1-0.02)</f>
        <v>910.29360198079769</v>
      </c>
      <c r="AA645" s="43">
        <f>('TE BE'!$AA$7+'TE BF'!$AA$7+'TE CVA'!$AA$7)*1*(1-0.02)</f>
        <v>377.75625501595869</v>
      </c>
      <c r="AB645" s="6">
        <f>$K$645*$V$645</f>
        <v>0</v>
      </c>
      <c r="AC645" s="6">
        <f>$M$645*$W$645</f>
        <v>7558.3324991999998</v>
      </c>
      <c r="AD645" s="6">
        <f>$O$645*$X$645</f>
        <v>2935.8501120000005</v>
      </c>
      <c r="AE645" s="6">
        <f>$K$645*$Y$645</f>
        <v>0</v>
      </c>
      <c r="AF645" s="6">
        <f ca="1">$M$645*$Z$645</f>
        <v>7593.6692277238144</v>
      </c>
      <c r="AG645" s="6">
        <f>$O$645*$AA$645</f>
        <v>3151.2426793431277</v>
      </c>
    </row>
    <row r="646" spans="1:33" ht="11.25" customHeight="1" x14ac:dyDescent="0.25">
      <c r="A646" s="4" t="s">
        <v>21</v>
      </c>
      <c r="B646" s="4" t="s">
        <v>39</v>
      </c>
      <c r="C646" s="4" t="s">
        <v>41</v>
      </c>
      <c r="D646" s="4" t="s">
        <v>44</v>
      </c>
      <c r="E646" s="4" t="s">
        <v>25</v>
      </c>
      <c r="F646" s="4" t="s">
        <v>25</v>
      </c>
      <c r="G646" s="4" t="s">
        <v>25</v>
      </c>
      <c r="H646" s="4" t="s">
        <v>34</v>
      </c>
      <c r="I646" s="5">
        <v>44378</v>
      </c>
      <c r="J646" s="6">
        <v>0</v>
      </c>
      <c r="K646" s="43">
        <v>0</v>
      </c>
      <c r="L646" s="6">
        <v>8.1620000000000008</v>
      </c>
      <c r="M646" s="43">
        <v>8.1620000000000008</v>
      </c>
      <c r="N646" s="6">
        <v>8.1620000000000008</v>
      </c>
      <c r="O646" s="43">
        <v>8.1620000000000008</v>
      </c>
      <c r="P646" s="6">
        <v>0</v>
      </c>
      <c r="Q646" s="4" t="s">
        <v>26</v>
      </c>
      <c r="R646" s="4">
        <v>0</v>
      </c>
      <c r="S646" s="6">
        <v>0</v>
      </c>
      <c r="T646" s="6">
        <v>24</v>
      </c>
      <c r="U646" s="6">
        <v>67</v>
      </c>
      <c r="V646" s="43">
        <f>IF(ISERROR(VLOOKUP($S$646,'TAR FIN'!$A$1:$O$100,15,0)),0,VLOOKUP($S$646,'TAR FIN'!$A$1:$O$100,15,0))</f>
        <v>0</v>
      </c>
      <c r="W646" s="43">
        <f>IF(ISERROR(VLOOKUP($T$646,'TAR FIN'!$A$1:$O$100,15,0)),0,VLOOKUP($T$646,'TAR FIN'!$A$1:$O$100,15,0))*(1-0.04)</f>
        <v>906.05759999999987</v>
      </c>
      <c r="X646" s="43">
        <f>IF(ISERROR(VLOOKUP($U$646,'TAR FIN'!$A$1:$O$100,15,0)),0,VLOOKUP($U$646,'TAR FIN'!$A$1:$O$100,15,0))*(1-0.04)</f>
        <v>351.93600000000004</v>
      </c>
      <c r="Y646" s="43"/>
      <c r="Z646" s="43">
        <f ca="1">('TUSD BE'!$AM$21+'TUSD BF'!$AM$21+'TUSD CVA'!$AM$21)*1*(1-0.02)</f>
        <v>910.29360198079769</v>
      </c>
      <c r="AA646" s="43">
        <f>('TE BE'!$AA$7+'TE BF'!$AA$7+'TE CVA'!$AA$7)*1*(1-0.02)</f>
        <v>377.75625501595869</v>
      </c>
      <c r="AB646" s="6">
        <f>$K$646*$V$646</f>
        <v>0</v>
      </c>
      <c r="AC646" s="6">
        <f>$M$646*$W$646</f>
        <v>7395.2421311999997</v>
      </c>
      <c r="AD646" s="6">
        <f>$O$646*$X$646</f>
        <v>2872.5016320000004</v>
      </c>
      <c r="AE646" s="6">
        <f>$K$646*$Y$646</f>
        <v>0</v>
      </c>
      <c r="AF646" s="6">
        <f ca="1">$M$646*$Z$646</f>
        <v>7429.8163793672711</v>
      </c>
      <c r="AG646" s="6">
        <f>$O$646*$AA$646</f>
        <v>3083.246553440255</v>
      </c>
    </row>
    <row r="647" spans="1:33" ht="11.25" customHeight="1" x14ac:dyDescent="0.25">
      <c r="A647" s="4" t="s">
        <v>21</v>
      </c>
      <c r="B647" s="4" t="s">
        <v>39</v>
      </c>
      <c r="C647" s="4" t="s">
        <v>41</v>
      </c>
      <c r="D647" s="4" t="s">
        <v>44</v>
      </c>
      <c r="E647" s="4" t="s">
        <v>25</v>
      </c>
      <c r="F647" s="4" t="s">
        <v>25</v>
      </c>
      <c r="G647" s="4" t="s">
        <v>25</v>
      </c>
      <c r="H647" s="4" t="s">
        <v>34</v>
      </c>
      <c r="I647" s="5">
        <v>44409</v>
      </c>
      <c r="J647" s="6">
        <v>0</v>
      </c>
      <c r="K647" s="43">
        <v>0</v>
      </c>
      <c r="L647" s="6">
        <v>7.782</v>
      </c>
      <c r="M647" s="43">
        <v>7.782</v>
      </c>
      <c r="N647" s="6">
        <v>7.782</v>
      </c>
      <c r="O647" s="43">
        <v>7.782</v>
      </c>
      <c r="P647" s="6">
        <v>0</v>
      </c>
      <c r="Q647" s="4" t="s">
        <v>26</v>
      </c>
      <c r="R647" s="4">
        <v>0</v>
      </c>
      <c r="S647" s="6">
        <v>0</v>
      </c>
      <c r="T647" s="6">
        <v>24</v>
      </c>
      <c r="U647" s="6">
        <v>67</v>
      </c>
      <c r="V647" s="43">
        <f>IF(ISERROR(VLOOKUP($S$647,'TAR FIN'!$A$1:$O$100,15,0)),0,VLOOKUP($S$647,'TAR FIN'!$A$1:$O$100,15,0))</f>
        <v>0</v>
      </c>
      <c r="W647" s="43">
        <f>IF(ISERROR(VLOOKUP($T$647,'TAR FIN'!$A$1:$O$100,15,0)),0,VLOOKUP($T$647,'TAR FIN'!$A$1:$O$100,15,0))*(1-0.04)</f>
        <v>906.05759999999987</v>
      </c>
      <c r="X647" s="43">
        <f>IF(ISERROR(VLOOKUP($U$647,'TAR FIN'!$A$1:$O$100,15,0)),0,VLOOKUP($U$647,'TAR FIN'!$A$1:$O$100,15,0))*(1-0.04)</f>
        <v>351.93600000000004</v>
      </c>
      <c r="Y647" s="43"/>
      <c r="Z647" s="43">
        <f ca="1">('TUSD BE'!$AM$21+'TUSD BF'!$AM$21+'TUSD CVA'!$AM$21)*1*(1-0.02)</f>
        <v>910.29360198079769</v>
      </c>
      <c r="AA647" s="43">
        <f>('TE BE'!$AA$7+'TE BF'!$AA$7+'TE CVA'!$AA$7)*1*(1-0.02)</f>
        <v>377.75625501595869</v>
      </c>
      <c r="AB647" s="6">
        <f>$K$647*$V$647</f>
        <v>0</v>
      </c>
      <c r="AC647" s="6">
        <f>$M$647*$W$647</f>
        <v>7050.9402431999988</v>
      </c>
      <c r="AD647" s="6">
        <f>$O$647*$X$647</f>
        <v>2738.7659520000002</v>
      </c>
      <c r="AE647" s="6">
        <f>$K$647*$Y$647</f>
        <v>0</v>
      </c>
      <c r="AF647" s="6">
        <f ca="1">$M$647*$Z$647</f>
        <v>7083.9048106145674</v>
      </c>
      <c r="AG647" s="6">
        <f>$O$647*$AA$647</f>
        <v>2939.6991765341904</v>
      </c>
    </row>
    <row r="648" spans="1:33" ht="11.25" customHeight="1" x14ac:dyDescent="0.25">
      <c r="A648" s="4" t="s">
        <v>21</v>
      </c>
      <c r="B648" s="4" t="s">
        <v>39</v>
      </c>
      <c r="C648" s="4" t="s">
        <v>41</v>
      </c>
      <c r="D648" s="4" t="s">
        <v>44</v>
      </c>
      <c r="E648" s="4" t="s">
        <v>25</v>
      </c>
      <c r="F648" s="4" t="s">
        <v>25</v>
      </c>
      <c r="G648" s="4" t="s">
        <v>25</v>
      </c>
      <c r="H648" s="4" t="s">
        <v>34</v>
      </c>
      <c r="I648" s="5">
        <v>44440</v>
      </c>
      <c r="J648" s="6">
        <v>0</v>
      </c>
      <c r="K648" s="43">
        <v>0</v>
      </c>
      <c r="L648" s="6">
        <v>8.4819999999999993</v>
      </c>
      <c r="M648" s="43">
        <v>8.4819999999999993</v>
      </c>
      <c r="N648" s="6">
        <v>8.4819999999999993</v>
      </c>
      <c r="O648" s="43">
        <v>8.4819999999999993</v>
      </c>
      <c r="P648" s="6">
        <v>0</v>
      </c>
      <c r="Q648" s="4" t="s">
        <v>26</v>
      </c>
      <c r="R648" s="4">
        <v>0</v>
      </c>
      <c r="S648" s="6">
        <v>0</v>
      </c>
      <c r="T648" s="6">
        <v>24</v>
      </c>
      <c r="U648" s="6">
        <v>67</v>
      </c>
      <c r="V648" s="43">
        <f>IF(ISERROR(VLOOKUP($S$648,'TAR FIN'!$A$1:$O$100,15,0)),0,VLOOKUP($S$648,'TAR FIN'!$A$1:$O$100,15,0))</f>
        <v>0</v>
      </c>
      <c r="W648" s="43">
        <f>IF(ISERROR(VLOOKUP($T$648,'TAR FIN'!$A$1:$O$100,15,0)),0,VLOOKUP($T$648,'TAR FIN'!$A$1:$O$100,15,0))*(1-0.04)</f>
        <v>906.05759999999987</v>
      </c>
      <c r="X648" s="43">
        <f>IF(ISERROR(VLOOKUP($U$648,'TAR FIN'!$A$1:$O$100,15,0)),0,VLOOKUP($U$648,'TAR FIN'!$A$1:$O$100,15,0))*(1-0.04)</f>
        <v>351.93600000000004</v>
      </c>
      <c r="Y648" s="43"/>
      <c r="Z648" s="43">
        <f ca="1">('TUSD BE'!$AM$21+'TUSD BF'!$AM$21+'TUSD CVA'!$AM$21)*1*(1-0.02)</f>
        <v>910.29360198079769</v>
      </c>
      <c r="AA648" s="43">
        <f>('TE BE'!$AA$7+'TE BF'!$AA$7+'TE CVA'!$AA$7)*1*(1-0.02)</f>
        <v>377.75625501595869</v>
      </c>
      <c r="AB648" s="6">
        <f>$K$648*$V$648</f>
        <v>0</v>
      </c>
      <c r="AC648" s="6">
        <f>$M$648*$W$648</f>
        <v>7685.1805631999987</v>
      </c>
      <c r="AD648" s="6">
        <f>$O$648*$X$648</f>
        <v>2985.1211520000002</v>
      </c>
      <c r="AE648" s="6">
        <f>$K$648*$Y$648</f>
        <v>0</v>
      </c>
      <c r="AF648" s="6">
        <f ca="1">$M$648*$Z$648</f>
        <v>7721.1103320011252</v>
      </c>
      <c r="AG648" s="6">
        <f>$O$648*$AA$648</f>
        <v>3204.1285550453613</v>
      </c>
    </row>
    <row r="649" spans="1:33" ht="11.25" customHeight="1" x14ac:dyDescent="0.25">
      <c r="A649" s="4" t="s">
        <v>21</v>
      </c>
      <c r="B649" s="4" t="s">
        <v>39</v>
      </c>
      <c r="C649" s="4" t="s">
        <v>41</v>
      </c>
      <c r="D649" s="4" t="s">
        <v>44</v>
      </c>
      <c r="E649" s="4" t="s">
        <v>25</v>
      </c>
      <c r="F649" s="4" t="s">
        <v>25</v>
      </c>
      <c r="G649" s="4" t="s">
        <v>25</v>
      </c>
      <c r="H649" s="4" t="s">
        <v>34</v>
      </c>
      <c r="I649" s="5">
        <v>44470</v>
      </c>
      <c r="J649" s="6">
        <v>0</v>
      </c>
      <c r="K649" s="43">
        <v>0</v>
      </c>
      <c r="L649" s="6">
        <v>7.4420000000000002</v>
      </c>
      <c r="M649" s="43">
        <v>7.4420000000000002</v>
      </c>
      <c r="N649" s="6">
        <v>7.4420000000000002</v>
      </c>
      <c r="O649" s="43">
        <v>7.4420000000000002</v>
      </c>
      <c r="P649" s="6">
        <v>0</v>
      </c>
      <c r="Q649" s="4" t="s">
        <v>26</v>
      </c>
      <c r="R649" s="4">
        <v>0</v>
      </c>
      <c r="S649" s="6">
        <v>0</v>
      </c>
      <c r="T649" s="6">
        <v>24</v>
      </c>
      <c r="U649" s="6">
        <v>67</v>
      </c>
      <c r="V649" s="43">
        <f>IF(ISERROR(VLOOKUP($S$649,'TAR FIN'!$A$1:$O$100,15,0)),0,VLOOKUP($S$649,'TAR FIN'!$A$1:$O$100,15,0))</f>
        <v>0</v>
      </c>
      <c r="W649" s="43">
        <f>IF(ISERROR(VLOOKUP($T$649,'TAR FIN'!$A$1:$O$100,15,0)),0,VLOOKUP($T$649,'TAR FIN'!$A$1:$O$100,15,0))*(1-0.04)</f>
        <v>906.05759999999987</v>
      </c>
      <c r="X649" s="43">
        <f>IF(ISERROR(VLOOKUP($U$649,'TAR FIN'!$A$1:$O$100,15,0)),0,VLOOKUP($U$649,'TAR FIN'!$A$1:$O$100,15,0))*(1-0.04)</f>
        <v>351.93600000000004</v>
      </c>
      <c r="Y649" s="43"/>
      <c r="Z649" s="43">
        <f ca="1">('TUSD BE'!$AM$21+'TUSD BF'!$AM$21+'TUSD CVA'!$AM$21)*1*(1-0.02)</f>
        <v>910.29360198079769</v>
      </c>
      <c r="AA649" s="43">
        <f>('TE BE'!$AA$7+'TE BF'!$AA$7+'TE CVA'!$AA$7)*1*(1-0.02)</f>
        <v>377.75625501595869</v>
      </c>
      <c r="AB649" s="6">
        <f>$K$649*$V$649</f>
        <v>0</v>
      </c>
      <c r="AC649" s="6">
        <f>$M$649*$W$649</f>
        <v>6742.8806591999992</v>
      </c>
      <c r="AD649" s="6">
        <f>$O$649*$X$649</f>
        <v>2619.1077120000004</v>
      </c>
      <c r="AE649" s="6">
        <f>$K$649*$Y$649</f>
        <v>0</v>
      </c>
      <c r="AF649" s="6">
        <f ca="1">$M$649*$Z$649</f>
        <v>6774.4049859410961</v>
      </c>
      <c r="AG649" s="6">
        <f>$O$649*$AA$649</f>
        <v>2811.2620498287647</v>
      </c>
    </row>
    <row r="650" spans="1:33" ht="11.25" customHeight="1" x14ac:dyDescent="0.25">
      <c r="A650" s="4" t="s">
        <v>21</v>
      </c>
      <c r="B650" s="4" t="s">
        <v>39</v>
      </c>
      <c r="C650" s="4" t="s">
        <v>41</v>
      </c>
      <c r="D650" s="4" t="s">
        <v>44</v>
      </c>
      <c r="E650" s="4" t="s">
        <v>25</v>
      </c>
      <c r="F650" s="4" t="s">
        <v>25</v>
      </c>
      <c r="G650" s="4" t="s">
        <v>25</v>
      </c>
      <c r="H650" s="4" t="s">
        <v>34</v>
      </c>
      <c r="I650" s="5">
        <v>44501</v>
      </c>
      <c r="J650" s="6">
        <v>0</v>
      </c>
      <c r="K650" s="43">
        <v>0</v>
      </c>
      <c r="L650" s="6">
        <v>6.782</v>
      </c>
      <c r="M650" s="43">
        <v>6.782</v>
      </c>
      <c r="N650" s="6">
        <v>6.782</v>
      </c>
      <c r="O650" s="43">
        <v>6.782</v>
      </c>
      <c r="P650" s="6">
        <v>0</v>
      </c>
      <c r="Q650" s="4" t="s">
        <v>26</v>
      </c>
      <c r="R650" s="4">
        <v>0</v>
      </c>
      <c r="S650" s="6">
        <v>0</v>
      </c>
      <c r="T650" s="6">
        <v>24</v>
      </c>
      <c r="U650" s="6">
        <v>67</v>
      </c>
      <c r="V650" s="43">
        <f>IF(ISERROR(VLOOKUP($S$650,'TAR FIN'!$A$1:$O$100,15,0)),0,VLOOKUP($S$650,'TAR FIN'!$A$1:$O$100,15,0))</f>
        <v>0</v>
      </c>
      <c r="W650" s="43">
        <f>IF(ISERROR(VLOOKUP($T$650,'TAR FIN'!$A$1:$O$100,15,0)),0,VLOOKUP($T$650,'TAR FIN'!$A$1:$O$100,15,0))*(1-0.04)</f>
        <v>906.05759999999987</v>
      </c>
      <c r="X650" s="43">
        <f>IF(ISERROR(VLOOKUP($U$650,'TAR FIN'!$A$1:$O$100,15,0)),0,VLOOKUP($U$650,'TAR FIN'!$A$1:$O$100,15,0))*(1-0.04)</f>
        <v>351.93600000000004</v>
      </c>
      <c r="Y650" s="43"/>
      <c r="Z650" s="43">
        <f ca="1">('TUSD BE'!$AM$21+'TUSD BF'!$AM$21+'TUSD CVA'!$AM$21)*1*(1-0.02)</f>
        <v>910.29360198079769</v>
      </c>
      <c r="AA650" s="43">
        <f>('TE BE'!$AA$7+'TE BF'!$AA$7+'TE CVA'!$AA$7)*1*(1-0.02)</f>
        <v>377.75625501595869</v>
      </c>
      <c r="AB650" s="6">
        <f>$K$650*$V$650</f>
        <v>0</v>
      </c>
      <c r="AC650" s="6">
        <f>$M$650*$W$650</f>
        <v>6144.8826431999987</v>
      </c>
      <c r="AD650" s="6">
        <f>$O$650*$X$650</f>
        <v>2386.829952</v>
      </c>
      <c r="AE650" s="6">
        <f>$K$650*$Y$650</f>
        <v>0</v>
      </c>
      <c r="AF650" s="6">
        <f ca="1">$M$650*$Z$650</f>
        <v>6173.6112086337698</v>
      </c>
      <c r="AG650" s="6">
        <f>$O$650*$AA$650</f>
        <v>2561.9429215182317</v>
      </c>
    </row>
    <row r="651" spans="1:33" ht="11.25" customHeight="1" x14ac:dyDescent="0.25">
      <c r="A651" s="4" t="s">
        <v>21</v>
      </c>
      <c r="B651" s="4" t="s">
        <v>39</v>
      </c>
      <c r="C651" s="4" t="s">
        <v>41</v>
      </c>
      <c r="D651" s="4" t="s">
        <v>44</v>
      </c>
      <c r="E651" s="4" t="s">
        <v>25</v>
      </c>
      <c r="F651" s="4" t="s">
        <v>25</v>
      </c>
      <c r="G651" s="4" t="s">
        <v>25</v>
      </c>
      <c r="H651" s="4" t="s">
        <v>34</v>
      </c>
      <c r="I651" s="5">
        <v>44531</v>
      </c>
      <c r="J651" s="6">
        <v>0</v>
      </c>
      <c r="K651" s="43">
        <v>0</v>
      </c>
      <c r="L651" s="6">
        <v>9.6020000000000003</v>
      </c>
      <c r="M651" s="43">
        <v>9.6020000000000003</v>
      </c>
      <c r="N651" s="6">
        <v>9.6020000000000003</v>
      </c>
      <c r="O651" s="43">
        <v>9.6020000000000003</v>
      </c>
      <c r="P651" s="6">
        <v>0</v>
      </c>
      <c r="Q651" s="4" t="s">
        <v>26</v>
      </c>
      <c r="R651" s="4">
        <v>0</v>
      </c>
      <c r="S651" s="6">
        <v>0</v>
      </c>
      <c r="T651" s="6">
        <v>24</v>
      </c>
      <c r="U651" s="6">
        <v>67</v>
      </c>
      <c r="V651" s="43">
        <f>IF(ISERROR(VLOOKUP($S$651,'TAR FIN'!$A$1:$O$100,15,0)),0,VLOOKUP($S$651,'TAR FIN'!$A$1:$O$100,15,0))</f>
        <v>0</v>
      </c>
      <c r="W651" s="43">
        <f>IF(ISERROR(VLOOKUP($T$651,'TAR FIN'!$A$1:$O$100,15,0)),0,VLOOKUP($T$651,'TAR FIN'!$A$1:$O$100,15,0))*(1-0.04)</f>
        <v>906.05759999999987</v>
      </c>
      <c r="X651" s="43">
        <f>IF(ISERROR(VLOOKUP($U$651,'TAR FIN'!$A$1:$O$100,15,0)),0,VLOOKUP($U$651,'TAR FIN'!$A$1:$O$100,15,0))*(1-0.04)</f>
        <v>351.93600000000004</v>
      </c>
      <c r="Y651" s="43"/>
      <c r="Z651" s="43">
        <f ca="1">('TUSD BE'!$AM$21+'TUSD BF'!$AM$21+'TUSD CVA'!$AM$21)*1*(1-0.02)</f>
        <v>910.29360198079769</v>
      </c>
      <c r="AA651" s="43">
        <f>('TE BE'!$AA$7+'TE BF'!$AA$7+'TE CVA'!$AA$7)*1*(1-0.02)</f>
        <v>377.75625501595869</v>
      </c>
      <c r="AB651" s="6">
        <f>$K$651*$V$651</f>
        <v>0</v>
      </c>
      <c r="AC651" s="6">
        <f>$M$651*$W$651</f>
        <v>8699.9650751999998</v>
      </c>
      <c r="AD651" s="6">
        <f>$O$651*$X$651</f>
        <v>3379.2894720000004</v>
      </c>
      <c r="AE651" s="6">
        <f>$K$651*$Y$651</f>
        <v>0</v>
      </c>
      <c r="AF651" s="6">
        <f ca="1">$M$651*$Z$651</f>
        <v>8740.6391662196202</v>
      </c>
      <c r="AG651" s="6">
        <f>$O$651*$AA$651</f>
        <v>3627.2155606632355</v>
      </c>
    </row>
    <row r="652" spans="1:33" ht="11.25" customHeight="1" x14ac:dyDescent="0.25">
      <c r="A652" s="4" t="s">
        <v>55</v>
      </c>
      <c r="B652" s="4" t="s">
        <v>39</v>
      </c>
      <c r="C652" s="4" t="s">
        <v>41</v>
      </c>
      <c r="D652" s="4" t="s">
        <v>44</v>
      </c>
      <c r="E652" s="4" t="s">
        <v>25</v>
      </c>
      <c r="F652" s="4" t="s">
        <v>25</v>
      </c>
      <c r="G652" s="4" t="s">
        <v>25</v>
      </c>
      <c r="H652" s="4" t="s">
        <v>34</v>
      </c>
      <c r="I652" s="5">
        <v>44562</v>
      </c>
      <c r="J652" s="6">
        <v>0</v>
      </c>
      <c r="K652" s="43">
        <v>0</v>
      </c>
      <c r="L652" s="6">
        <v>9.6020000000000003</v>
      </c>
      <c r="M652" s="43">
        <v>9.6020000000000003</v>
      </c>
      <c r="N652" s="6">
        <v>9.6020000000000003</v>
      </c>
      <c r="O652" s="43">
        <v>9.6020000000000003</v>
      </c>
      <c r="P652" s="6">
        <v>0</v>
      </c>
      <c r="Q652" s="4" t="s">
        <v>26</v>
      </c>
      <c r="R652" s="4">
        <v>0</v>
      </c>
      <c r="S652" s="6">
        <v>0</v>
      </c>
      <c r="T652" s="6">
        <v>24</v>
      </c>
      <c r="U652" s="6">
        <v>67</v>
      </c>
      <c r="V652" s="43">
        <f>IF(ISERROR(VLOOKUP($S$652,'TAR FIN'!$A$1:$O$100,15,0)),0,VLOOKUP($S$652,'TAR FIN'!$A$1:$O$100,15,0))</f>
        <v>0</v>
      </c>
      <c r="W652" s="43">
        <f>IF(ISERROR(VLOOKUP($T$652,'TAR FIN'!$A$1:$O$100,15,0)),0,VLOOKUP($T$652,'TAR FIN'!$A$1:$O$100,15,0))*(1-0.04)</f>
        <v>906.05759999999987</v>
      </c>
      <c r="X652" s="43">
        <f>IF(ISERROR(VLOOKUP($U$652,'TAR FIN'!$A$1:$O$100,15,0)),0,VLOOKUP($U$652,'TAR FIN'!$A$1:$O$100,15,0))*(1-0.04)</f>
        <v>351.93600000000004</v>
      </c>
      <c r="Y652" s="43"/>
      <c r="Z652" s="43">
        <f ca="1">('TUSD BE'!$AM$21+'TUSD BF'!$AM$21+'TUSD CVA'!$AM$21)*1*(1-0.02)</f>
        <v>910.29360198079769</v>
      </c>
      <c r="AA652" s="43">
        <f>('TE BE'!$AA$7+'TE BF'!$AA$7+'TE CVA'!$AA$7)*1*(1-0.02)</f>
        <v>377.75625501595869</v>
      </c>
      <c r="AB652" s="6">
        <f>$K$652*$V$652</f>
        <v>0</v>
      </c>
      <c r="AC652" s="6">
        <f>$M$652*$W$652</f>
        <v>8699.9650751999998</v>
      </c>
      <c r="AD652" s="6">
        <f>$O$652*$X$652</f>
        <v>3379.2894720000004</v>
      </c>
      <c r="AE652" s="6">
        <f>$K$652*$Y$652</f>
        <v>0</v>
      </c>
      <c r="AF652" s="6">
        <f ca="1">$M$652*$Z$652</f>
        <v>8740.6391662196202</v>
      </c>
      <c r="AG652" s="6">
        <f>$O$652*$AA$652</f>
        <v>3627.2155606632355</v>
      </c>
    </row>
    <row r="653" spans="1:33" ht="11.25" customHeight="1" x14ac:dyDescent="0.25">
      <c r="A653" s="4" t="s">
        <v>21</v>
      </c>
      <c r="B653" s="4" t="s">
        <v>39</v>
      </c>
      <c r="C653" s="4" t="s">
        <v>41</v>
      </c>
      <c r="D653" s="4" t="s">
        <v>49</v>
      </c>
      <c r="E653" s="4" t="s">
        <v>50</v>
      </c>
      <c r="F653" s="4" t="s">
        <v>25</v>
      </c>
      <c r="G653" s="4" t="s">
        <v>25</v>
      </c>
      <c r="H653" s="4" t="s">
        <v>35</v>
      </c>
      <c r="I653" s="5">
        <v>44228</v>
      </c>
      <c r="J653" s="6">
        <v>0</v>
      </c>
      <c r="K653" s="43">
        <v>0</v>
      </c>
      <c r="L653" s="6">
        <v>165.36600000000001</v>
      </c>
      <c r="M653" s="43">
        <v>165.36600000000001</v>
      </c>
      <c r="N653" s="6">
        <v>165.36600000000001</v>
      </c>
      <c r="O653" s="43">
        <v>165.36600000000001</v>
      </c>
      <c r="P653" s="6">
        <v>0</v>
      </c>
      <c r="Q653" s="4" t="s">
        <v>26</v>
      </c>
      <c r="R653" s="4">
        <v>0</v>
      </c>
      <c r="S653" s="6">
        <v>0</v>
      </c>
      <c r="T653" s="6">
        <v>25</v>
      </c>
      <c r="U653" s="6">
        <v>68</v>
      </c>
      <c r="V653" s="43">
        <f>IF(ISERROR(VLOOKUP($S$653,'TAR FIN'!$A$1:$O$100,15,0)),0,VLOOKUP($S$653,'TAR FIN'!$A$1:$O$100,15,0))</f>
        <v>0</v>
      </c>
      <c r="W653" s="43">
        <f>IF(ISERROR(VLOOKUP($T$653,'TAR FIN'!$A$1:$O$100,15,0)),0,VLOOKUP($T$653,'TAR FIN'!$A$1:$O$100,15,0))*(1-0.06)</f>
        <v>41.030999999999999</v>
      </c>
      <c r="X653" s="43">
        <f>IF(ISERROR(VLOOKUP($U$653,'TAR FIN'!$A$1:$O$100,15,0)),0,VLOOKUP($U$653,'TAR FIN'!$A$1:$O$100,15,0))*(1-0.06)</f>
        <v>205.88819999999998</v>
      </c>
      <c r="Y653" s="43"/>
      <c r="Z653" s="43">
        <f ca="1">('TUSD BE'!$AM$22+'TUSD BF'!$AM$22+'TUSD CVA'!$AM$22)*1*(1-0.03)</f>
        <v>48.293429791201078</v>
      </c>
      <c r="AA653" s="43">
        <f>('TE BE'!$AA$8+'TE BF'!$AA$8+'TE CVA'!$AA$8)*1*(1-0.03)</f>
        <v>231.39425553651549</v>
      </c>
      <c r="AB653" s="6">
        <f>$K$653*$V$653</f>
        <v>0</v>
      </c>
      <c r="AC653" s="6">
        <f>$M$653*$W$653</f>
        <v>6785.1323460000003</v>
      </c>
      <c r="AD653" s="6">
        <f>$O$653*$X$653</f>
        <v>34046.908081200003</v>
      </c>
      <c r="AE653" s="6">
        <f>$K$653*$Y$653</f>
        <v>0</v>
      </c>
      <c r="AF653" s="6">
        <f ca="1">$M$653*$Z$653</f>
        <v>7986.091310851758</v>
      </c>
      <c r="AG653" s="6">
        <f>$O$653*$AA$653</f>
        <v>38264.742461051421</v>
      </c>
    </row>
    <row r="654" spans="1:33" ht="11.25" customHeight="1" x14ac:dyDescent="0.25">
      <c r="A654" s="4" t="s">
        <v>21</v>
      </c>
      <c r="B654" s="4" t="s">
        <v>39</v>
      </c>
      <c r="C654" s="4" t="s">
        <v>41</v>
      </c>
      <c r="D654" s="4" t="s">
        <v>49</v>
      </c>
      <c r="E654" s="4" t="s">
        <v>50</v>
      </c>
      <c r="F654" s="4" t="s">
        <v>25</v>
      </c>
      <c r="G654" s="4" t="s">
        <v>25</v>
      </c>
      <c r="H654" s="4" t="s">
        <v>35</v>
      </c>
      <c r="I654" s="5">
        <v>44256</v>
      </c>
      <c r="J654" s="6">
        <v>0</v>
      </c>
      <c r="K654" s="43">
        <v>0</v>
      </c>
      <c r="L654" s="6">
        <v>182.43700000000001</v>
      </c>
      <c r="M654" s="43">
        <v>182.43700000000001</v>
      </c>
      <c r="N654" s="6">
        <v>182.43700000000001</v>
      </c>
      <c r="O654" s="43">
        <v>182.43700000000001</v>
      </c>
      <c r="P654" s="6">
        <v>0</v>
      </c>
      <c r="Q654" s="4" t="s">
        <v>26</v>
      </c>
      <c r="R654" s="4">
        <v>0</v>
      </c>
      <c r="S654" s="6">
        <v>0</v>
      </c>
      <c r="T654" s="6">
        <v>25</v>
      </c>
      <c r="U654" s="6">
        <v>68</v>
      </c>
      <c r="V654" s="43">
        <f>IF(ISERROR(VLOOKUP($S$654,'TAR FIN'!$A$1:$O$100,15,0)),0,VLOOKUP($S$654,'TAR FIN'!$A$1:$O$100,15,0))</f>
        <v>0</v>
      </c>
      <c r="W654" s="43">
        <f>IF(ISERROR(VLOOKUP($T$654,'TAR FIN'!$A$1:$O$100,15,0)),0,VLOOKUP($T$654,'TAR FIN'!$A$1:$O$100,15,0))*(1-0.06)</f>
        <v>41.030999999999999</v>
      </c>
      <c r="X654" s="43">
        <f>IF(ISERROR(VLOOKUP($U$654,'TAR FIN'!$A$1:$O$100,15,0)),0,VLOOKUP($U$654,'TAR FIN'!$A$1:$O$100,15,0))*(1-0.06)</f>
        <v>205.88819999999998</v>
      </c>
      <c r="Y654" s="43"/>
      <c r="Z654" s="43">
        <f ca="1">('TUSD BE'!$AM$22+'TUSD BF'!$AM$22+'TUSD CVA'!$AM$22)*1*(1-0.03)</f>
        <v>48.293429791201078</v>
      </c>
      <c r="AA654" s="43">
        <f>('TE BE'!$AA$8+'TE BF'!$AA$8+'TE CVA'!$AA$8)*1*(1-0.03)</f>
        <v>231.39425553651549</v>
      </c>
      <c r="AB654" s="6">
        <f>$K$654*$V$654</f>
        <v>0</v>
      </c>
      <c r="AC654" s="6">
        <f>$M$654*$W$654</f>
        <v>7485.5725470000007</v>
      </c>
      <c r="AD654" s="6">
        <f>$O$654*$X$654</f>
        <v>37561.625543399998</v>
      </c>
      <c r="AE654" s="6">
        <f>$K$654*$Y$654</f>
        <v>0</v>
      </c>
      <c r="AF654" s="6">
        <f ca="1">$M$654*$Z$654</f>
        <v>8810.5084508173513</v>
      </c>
      <c r="AG654" s="6">
        <f>$O$654*$AA$654</f>
        <v>42214.873797315282</v>
      </c>
    </row>
    <row r="655" spans="1:33" ht="11.25" customHeight="1" x14ac:dyDescent="0.25">
      <c r="A655" s="4" t="s">
        <v>21</v>
      </c>
      <c r="B655" s="4" t="s">
        <v>39</v>
      </c>
      <c r="C655" s="4" t="s">
        <v>41</v>
      </c>
      <c r="D655" s="4" t="s">
        <v>49</v>
      </c>
      <c r="E655" s="4" t="s">
        <v>50</v>
      </c>
      <c r="F655" s="4" t="s">
        <v>25</v>
      </c>
      <c r="G655" s="4" t="s">
        <v>25</v>
      </c>
      <c r="H655" s="4" t="s">
        <v>35</v>
      </c>
      <c r="I655" s="5">
        <v>44287</v>
      </c>
      <c r="J655" s="6">
        <v>0</v>
      </c>
      <c r="K655" s="43">
        <v>0</v>
      </c>
      <c r="L655" s="6">
        <v>187.5</v>
      </c>
      <c r="M655" s="43">
        <v>187.5</v>
      </c>
      <c r="N655" s="6">
        <v>187.5</v>
      </c>
      <c r="O655" s="43">
        <v>187.5</v>
      </c>
      <c r="P655" s="6">
        <v>0</v>
      </c>
      <c r="Q655" s="4" t="s">
        <v>26</v>
      </c>
      <c r="R655" s="4">
        <v>0</v>
      </c>
      <c r="S655" s="6">
        <v>0</v>
      </c>
      <c r="T655" s="6">
        <v>25</v>
      </c>
      <c r="U655" s="6">
        <v>68</v>
      </c>
      <c r="V655" s="43">
        <f>IF(ISERROR(VLOOKUP($S$655,'TAR FIN'!$A$1:$O$100,15,0)),0,VLOOKUP($S$655,'TAR FIN'!$A$1:$O$100,15,0))</f>
        <v>0</v>
      </c>
      <c r="W655" s="43">
        <f>IF(ISERROR(VLOOKUP($T$655,'TAR FIN'!$A$1:$O$100,15,0)),0,VLOOKUP($T$655,'TAR FIN'!$A$1:$O$100,15,0))*(1-0.06)</f>
        <v>41.030999999999999</v>
      </c>
      <c r="X655" s="43">
        <f>IF(ISERROR(VLOOKUP($U$655,'TAR FIN'!$A$1:$O$100,15,0)),0,VLOOKUP($U$655,'TAR FIN'!$A$1:$O$100,15,0))*(1-0.06)</f>
        <v>205.88819999999998</v>
      </c>
      <c r="Y655" s="43"/>
      <c r="Z655" s="43">
        <f ca="1">('TUSD BE'!$AM$22+'TUSD BF'!$AM$22+'TUSD CVA'!$AM$22)*1*(1-0.03)</f>
        <v>48.293429791201078</v>
      </c>
      <c r="AA655" s="43">
        <f>('TE BE'!$AA$8+'TE BF'!$AA$8+'TE CVA'!$AA$8)*1*(1-0.03)</f>
        <v>231.39425553651549</v>
      </c>
      <c r="AB655" s="6">
        <f>$K$655*$V$655</f>
        <v>0</v>
      </c>
      <c r="AC655" s="6">
        <f>$M$655*$W$655</f>
        <v>7693.3125</v>
      </c>
      <c r="AD655" s="6">
        <f>$O$655*$X$655</f>
        <v>38604.037499999999</v>
      </c>
      <c r="AE655" s="6">
        <f>$K$655*$Y$655</f>
        <v>0</v>
      </c>
      <c r="AF655" s="6">
        <f ca="1">$M$655*$Z$655</f>
        <v>9055.0180858502026</v>
      </c>
      <c r="AG655" s="6">
        <f>$O$655*$AA$655</f>
        <v>43386.422913096656</v>
      </c>
    </row>
    <row r="656" spans="1:33" ht="11.25" customHeight="1" x14ac:dyDescent="0.25">
      <c r="A656" s="4" t="s">
        <v>21</v>
      </c>
      <c r="B656" s="4" t="s">
        <v>39</v>
      </c>
      <c r="C656" s="4" t="s">
        <v>41</v>
      </c>
      <c r="D656" s="4" t="s">
        <v>49</v>
      </c>
      <c r="E656" s="4" t="s">
        <v>50</v>
      </c>
      <c r="F656" s="4" t="s">
        <v>25</v>
      </c>
      <c r="G656" s="4" t="s">
        <v>25</v>
      </c>
      <c r="H656" s="4" t="s">
        <v>35</v>
      </c>
      <c r="I656" s="5">
        <v>44317</v>
      </c>
      <c r="J656" s="6">
        <v>0</v>
      </c>
      <c r="K656" s="43">
        <v>0</v>
      </c>
      <c r="L656" s="6">
        <v>178.53899999999999</v>
      </c>
      <c r="M656" s="43">
        <v>178.53899999999999</v>
      </c>
      <c r="N656" s="6">
        <v>178.53899999999999</v>
      </c>
      <c r="O656" s="43">
        <v>178.53899999999999</v>
      </c>
      <c r="P656" s="6">
        <v>0</v>
      </c>
      <c r="Q656" s="4" t="s">
        <v>26</v>
      </c>
      <c r="R656" s="4">
        <v>0</v>
      </c>
      <c r="S656" s="6">
        <v>0</v>
      </c>
      <c r="T656" s="6">
        <v>25</v>
      </c>
      <c r="U656" s="6">
        <v>68</v>
      </c>
      <c r="V656" s="43">
        <f>IF(ISERROR(VLOOKUP($S$656,'TAR FIN'!$A$1:$O$100,15,0)),0,VLOOKUP($S$656,'TAR FIN'!$A$1:$O$100,15,0))</f>
        <v>0</v>
      </c>
      <c r="W656" s="43">
        <f>IF(ISERROR(VLOOKUP($T$656,'TAR FIN'!$A$1:$O$100,15,0)),0,VLOOKUP($T$656,'TAR FIN'!$A$1:$O$100,15,0))*(1-0.06)</f>
        <v>41.030999999999999</v>
      </c>
      <c r="X656" s="43">
        <f>IF(ISERROR(VLOOKUP($U$656,'TAR FIN'!$A$1:$O$100,15,0)),0,VLOOKUP($U$656,'TAR FIN'!$A$1:$O$100,15,0))*(1-0.06)</f>
        <v>205.88819999999998</v>
      </c>
      <c r="Y656" s="43"/>
      <c r="Z656" s="43">
        <f ca="1">('TUSD BE'!$AM$22+'TUSD BF'!$AM$22+'TUSD CVA'!$AM$22)*1*(1-0.03)</f>
        <v>48.293429791201078</v>
      </c>
      <c r="AA656" s="43">
        <f>('TE BE'!$AA$8+'TE BF'!$AA$8+'TE CVA'!$AA$8)*1*(1-0.03)</f>
        <v>231.39425553651549</v>
      </c>
      <c r="AB656" s="6">
        <f>$K$656*$V$656</f>
        <v>0</v>
      </c>
      <c r="AC656" s="6">
        <f>$M$656*$W$656</f>
        <v>7325.6337089999988</v>
      </c>
      <c r="AD656" s="6">
        <f>$O$656*$X$656</f>
        <v>36759.073339799994</v>
      </c>
      <c r="AE656" s="6">
        <f>$K$656*$Y$656</f>
        <v>0</v>
      </c>
      <c r="AF656" s="6">
        <f ca="1">$M$656*$Z$656</f>
        <v>8622.2606614912493</v>
      </c>
      <c r="AG656" s="6">
        <f>$O$656*$AA$656</f>
        <v>41312.898989233938</v>
      </c>
    </row>
    <row r="657" spans="1:33" ht="11.25" customHeight="1" x14ac:dyDescent="0.25">
      <c r="A657" s="4" t="s">
        <v>21</v>
      </c>
      <c r="B657" s="4" t="s">
        <v>39</v>
      </c>
      <c r="C657" s="4" t="s">
        <v>41</v>
      </c>
      <c r="D657" s="4" t="s">
        <v>49</v>
      </c>
      <c r="E657" s="4" t="s">
        <v>50</v>
      </c>
      <c r="F657" s="4" t="s">
        <v>25</v>
      </c>
      <c r="G657" s="4" t="s">
        <v>25</v>
      </c>
      <c r="H657" s="4" t="s">
        <v>35</v>
      </c>
      <c r="I657" s="5">
        <v>44348</v>
      </c>
      <c r="J657" s="6">
        <v>0</v>
      </c>
      <c r="K657" s="43">
        <v>0</v>
      </c>
      <c r="L657" s="6">
        <v>155.35400000000001</v>
      </c>
      <c r="M657" s="43">
        <v>155.35400000000001</v>
      </c>
      <c r="N657" s="6">
        <v>155.35400000000001</v>
      </c>
      <c r="O657" s="43">
        <v>155.35400000000001</v>
      </c>
      <c r="P657" s="6">
        <v>0</v>
      </c>
      <c r="Q657" s="4" t="s">
        <v>26</v>
      </c>
      <c r="R657" s="4">
        <v>0</v>
      </c>
      <c r="S657" s="6">
        <v>0</v>
      </c>
      <c r="T657" s="6">
        <v>25</v>
      </c>
      <c r="U657" s="6">
        <v>68</v>
      </c>
      <c r="V657" s="43">
        <f>IF(ISERROR(VLOOKUP($S$657,'TAR FIN'!$A$1:$O$100,15,0)),0,VLOOKUP($S$657,'TAR FIN'!$A$1:$O$100,15,0))</f>
        <v>0</v>
      </c>
      <c r="W657" s="43">
        <f>IF(ISERROR(VLOOKUP($T$657,'TAR FIN'!$A$1:$O$100,15,0)),0,VLOOKUP($T$657,'TAR FIN'!$A$1:$O$100,15,0))*(1-0.06)</f>
        <v>41.030999999999999</v>
      </c>
      <c r="X657" s="43">
        <f>IF(ISERROR(VLOOKUP($U$657,'TAR FIN'!$A$1:$O$100,15,0)),0,VLOOKUP($U$657,'TAR FIN'!$A$1:$O$100,15,0))*(1-0.06)</f>
        <v>205.88819999999998</v>
      </c>
      <c r="Y657" s="43"/>
      <c r="Z657" s="43">
        <f ca="1">('TUSD BE'!$AM$22+'TUSD BF'!$AM$22+'TUSD CVA'!$AM$22)*1*(1-0.03)</f>
        <v>48.293429791201078</v>
      </c>
      <c r="AA657" s="43">
        <f>('TE BE'!$AA$8+'TE BF'!$AA$8+'TE CVA'!$AA$8)*1*(1-0.03)</f>
        <v>231.39425553651549</v>
      </c>
      <c r="AB657" s="6">
        <f>$K$657*$V$657</f>
        <v>0</v>
      </c>
      <c r="AC657" s="6">
        <f>$M$657*$W$657</f>
        <v>6374.3299740000002</v>
      </c>
      <c r="AD657" s="6">
        <f>$O$657*$X$657</f>
        <v>31985.5554228</v>
      </c>
      <c r="AE657" s="6">
        <f>$K$657*$Y$657</f>
        <v>0</v>
      </c>
      <c r="AF657" s="6">
        <f ca="1">$M$657*$Z$657</f>
        <v>7502.5774917822528</v>
      </c>
      <c r="AG657" s="6">
        <f>$O$657*$AA$657</f>
        <v>35948.023174619833</v>
      </c>
    </row>
    <row r="658" spans="1:33" ht="11.25" customHeight="1" x14ac:dyDescent="0.25">
      <c r="A658" s="4" t="s">
        <v>21</v>
      </c>
      <c r="B658" s="4" t="s">
        <v>39</v>
      </c>
      <c r="C658" s="4" t="s">
        <v>41</v>
      </c>
      <c r="D658" s="4" t="s">
        <v>49</v>
      </c>
      <c r="E658" s="4" t="s">
        <v>50</v>
      </c>
      <c r="F658" s="4" t="s">
        <v>25</v>
      </c>
      <c r="G658" s="4" t="s">
        <v>25</v>
      </c>
      <c r="H658" s="4" t="s">
        <v>35</v>
      </c>
      <c r="I658" s="5">
        <v>44378</v>
      </c>
      <c r="J658" s="6">
        <v>0</v>
      </c>
      <c r="K658" s="43">
        <v>0</v>
      </c>
      <c r="L658" s="6">
        <v>177.529</v>
      </c>
      <c r="M658" s="43">
        <v>177.529</v>
      </c>
      <c r="N658" s="6">
        <v>177.529</v>
      </c>
      <c r="O658" s="43">
        <v>177.529</v>
      </c>
      <c r="P658" s="6">
        <v>0</v>
      </c>
      <c r="Q658" s="4" t="s">
        <v>26</v>
      </c>
      <c r="R658" s="4">
        <v>0</v>
      </c>
      <c r="S658" s="6">
        <v>0</v>
      </c>
      <c r="T658" s="6">
        <v>25</v>
      </c>
      <c r="U658" s="6">
        <v>68</v>
      </c>
      <c r="V658" s="43">
        <f>IF(ISERROR(VLOOKUP($S$658,'TAR FIN'!$A$1:$O$100,15,0)),0,VLOOKUP($S$658,'TAR FIN'!$A$1:$O$100,15,0))</f>
        <v>0</v>
      </c>
      <c r="W658" s="43">
        <f>IF(ISERROR(VLOOKUP($T$658,'TAR FIN'!$A$1:$O$100,15,0)),0,VLOOKUP($T$658,'TAR FIN'!$A$1:$O$100,15,0))*(1-0.06)</f>
        <v>41.030999999999999</v>
      </c>
      <c r="X658" s="43">
        <f>IF(ISERROR(VLOOKUP($U$658,'TAR FIN'!$A$1:$O$100,15,0)),0,VLOOKUP($U$658,'TAR FIN'!$A$1:$O$100,15,0))*(1-0.06)</f>
        <v>205.88819999999998</v>
      </c>
      <c r="Y658" s="43"/>
      <c r="Z658" s="43">
        <f ca="1">('TUSD BE'!$AM$22+'TUSD BF'!$AM$22+'TUSD CVA'!$AM$22)*1*(1-0.03)</f>
        <v>48.293429791201078</v>
      </c>
      <c r="AA658" s="43">
        <f>('TE BE'!$AA$8+'TE BF'!$AA$8+'TE CVA'!$AA$8)*1*(1-0.03)</f>
        <v>231.39425553651549</v>
      </c>
      <c r="AB658" s="6">
        <f>$K$658*$V$658</f>
        <v>0</v>
      </c>
      <c r="AC658" s="6">
        <f>$M$658*$W$658</f>
        <v>7284.1923989999996</v>
      </c>
      <c r="AD658" s="6">
        <f>$O$658*$X$658</f>
        <v>36551.126257799995</v>
      </c>
      <c r="AE658" s="6">
        <f>$K$658*$Y$658</f>
        <v>0</v>
      </c>
      <c r="AF658" s="6">
        <f ca="1">$M$658*$Z$658</f>
        <v>8573.4842974021358</v>
      </c>
      <c r="AG658" s="6">
        <f>$O$658*$AA$658</f>
        <v>41079.190791142057</v>
      </c>
    </row>
    <row r="659" spans="1:33" ht="11.25" customHeight="1" x14ac:dyDescent="0.25">
      <c r="A659" s="4" t="s">
        <v>21</v>
      </c>
      <c r="B659" s="4" t="s">
        <v>39</v>
      </c>
      <c r="C659" s="4" t="s">
        <v>41</v>
      </c>
      <c r="D659" s="4" t="s">
        <v>49</v>
      </c>
      <c r="E659" s="4" t="s">
        <v>50</v>
      </c>
      <c r="F659" s="4" t="s">
        <v>25</v>
      </c>
      <c r="G659" s="4" t="s">
        <v>25</v>
      </c>
      <c r="H659" s="4" t="s">
        <v>35</v>
      </c>
      <c r="I659" s="5">
        <v>44409</v>
      </c>
      <c r="J659" s="6">
        <v>0</v>
      </c>
      <c r="K659" s="43">
        <v>0</v>
      </c>
      <c r="L659" s="6">
        <v>175.899</v>
      </c>
      <c r="M659" s="43">
        <v>175.899</v>
      </c>
      <c r="N659" s="6">
        <v>175.899</v>
      </c>
      <c r="O659" s="43">
        <v>175.899</v>
      </c>
      <c r="P659" s="6">
        <v>0</v>
      </c>
      <c r="Q659" s="4" t="s">
        <v>26</v>
      </c>
      <c r="R659" s="4">
        <v>0</v>
      </c>
      <c r="S659" s="6">
        <v>0</v>
      </c>
      <c r="T659" s="6">
        <v>25</v>
      </c>
      <c r="U659" s="6">
        <v>68</v>
      </c>
      <c r="V659" s="43">
        <f>IF(ISERROR(VLOOKUP($S$659,'TAR FIN'!$A$1:$O$100,15,0)),0,VLOOKUP($S$659,'TAR FIN'!$A$1:$O$100,15,0))</f>
        <v>0</v>
      </c>
      <c r="W659" s="43">
        <f>IF(ISERROR(VLOOKUP($T$659,'TAR FIN'!$A$1:$O$100,15,0)),0,VLOOKUP($T$659,'TAR FIN'!$A$1:$O$100,15,0))*(1-0.06)</f>
        <v>41.030999999999999</v>
      </c>
      <c r="X659" s="43">
        <f>IF(ISERROR(VLOOKUP($U$659,'TAR FIN'!$A$1:$O$100,15,0)),0,VLOOKUP($U$659,'TAR FIN'!$A$1:$O$100,15,0))*(1-0.06)</f>
        <v>205.88819999999998</v>
      </c>
      <c r="Y659" s="43"/>
      <c r="Z659" s="43">
        <f ca="1">('TUSD BE'!$AM$22+'TUSD BF'!$AM$22+'TUSD CVA'!$AM$22)*1*(1-0.03)</f>
        <v>48.293429791201078</v>
      </c>
      <c r="AA659" s="43">
        <f>('TE BE'!$AA$8+'TE BF'!$AA$8+'TE CVA'!$AA$8)*1*(1-0.03)</f>
        <v>231.39425553651549</v>
      </c>
      <c r="AB659" s="6">
        <f>$K$659*$V$659</f>
        <v>0</v>
      </c>
      <c r="AC659" s="6">
        <f>$M$659*$W$659</f>
        <v>7217.3118690000001</v>
      </c>
      <c r="AD659" s="6">
        <f>$O$659*$X$659</f>
        <v>36215.528491799996</v>
      </c>
      <c r="AE659" s="6">
        <f>$K$659*$Y$659</f>
        <v>0</v>
      </c>
      <c r="AF659" s="6">
        <f ca="1">$M$659*$Z$659</f>
        <v>8494.7660068424775</v>
      </c>
      <c r="AG659" s="6">
        <f>$O$659*$AA$659</f>
        <v>40702.018154617537</v>
      </c>
    </row>
    <row r="660" spans="1:33" ht="11.25" customHeight="1" x14ac:dyDescent="0.25">
      <c r="A660" s="4" t="s">
        <v>21</v>
      </c>
      <c r="B660" s="4" t="s">
        <v>39</v>
      </c>
      <c r="C660" s="4" t="s">
        <v>41</v>
      </c>
      <c r="D660" s="4" t="s">
        <v>49</v>
      </c>
      <c r="E660" s="4" t="s">
        <v>50</v>
      </c>
      <c r="F660" s="4" t="s">
        <v>25</v>
      </c>
      <c r="G660" s="4" t="s">
        <v>25</v>
      </c>
      <c r="H660" s="4" t="s">
        <v>35</v>
      </c>
      <c r="I660" s="5">
        <v>44440</v>
      </c>
      <c r="J660" s="6">
        <v>0</v>
      </c>
      <c r="K660" s="43">
        <v>0</v>
      </c>
      <c r="L660" s="6">
        <v>169.065</v>
      </c>
      <c r="M660" s="43">
        <v>169.065</v>
      </c>
      <c r="N660" s="6">
        <v>169.065</v>
      </c>
      <c r="O660" s="43">
        <v>169.065</v>
      </c>
      <c r="P660" s="6">
        <v>0</v>
      </c>
      <c r="Q660" s="4" t="s">
        <v>26</v>
      </c>
      <c r="R660" s="4">
        <v>0</v>
      </c>
      <c r="S660" s="6">
        <v>0</v>
      </c>
      <c r="T660" s="6">
        <v>25</v>
      </c>
      <c r="U660" s="6">
        <v>68</v>
      </c>
      <c r="V660" s="43">
        <f>IF(ISERROR(VLOOKUP($S$660,'TAR FIN'!$A$1:$O$100,15,0)),0,VLOOKUP($S$660,'TAR FIN'!$A$1:$O$100,15,0))</f>
        <v>0</v>
      </c>
      <c r="W660" s="43">
        <f>IF(ISERROR(VLOOKUP($T$660,'TAR FIN'!$A$1:$O$100,15,0)),0,VLOOKUP($T$660,'TAR FIN'!$A$1:$O$100,15,0))*(1-0.06)</f>
        <v>41.030999999999999</v>
      </c>
      <c r="X660" s="43">
        <f>IF(ISERROR(VLOOKUP($U$660,'TAR FIN'!$A$1:$O$100,15,0)),0,VLOOKUP($U$660,'TAR FIN'!$A$1:$O$100,15,0))*(1-0.06)</f>
        <v>205.88819999999998</v>
      </c>
      <c r="Y660" s="43"/>
      <c r="Z660" s="43">
        <f ca="1">('TUSD BE'!$AM$22+'TUSD BF'!$AM$22+'TUSD CVA'!$AM$22)*1*(1-0.03)</f>
        <v>48.293429791201078</v>
      </c>
      <c r="AA660" s="43">
        <f>('TE BE'!$AA$8+'TE BF'!$AA$8+'TE CVA'!$AA$8)*1*(1-0.03)</f>
        <v>231.39425553651549</v>
      </c>
      <c r="AB660" s="6">
        <f>$K$660*$V$660</f>
        <v>0</v>
      </c>
      <c r="AC660" s="6">
        <f>$M$660*$W$660</f>
        <v>6936.9060149999996</v>
      </c>
      <c r="AD660" s="6">
        <f>$O$660*$X$660</f>
        <v>34808.488532999996</v>
      </c>
      <c r="AE660" s="6">
        <f>$K$660*$Y$660</f>
        <v>0</v>
      </c>
      <c r="AF660" s="6">
        <f ca="1">$M$660*$Z$660</f>
        <v>8164.7287076494104</v>
      </c>
      <c r="AG660" s="6">
        <f>$O$660*$AA$660</f>
        <v>39120.66981228099</v>
      </c>
    </row>
    <row r="661" spans="1:33" ht="11.25" customHeight="1" x14ac:dyDescent="0.25">
      <c r="A661" s="4" t="s">
        <v>21</v>
      </c>
      <c r="B661" s="4" t="s">
        <v>39</v>
      </c>
      <c r="C661" s="4" t="s">
        <v>41</v>
      </c>
      <c r="D661" s="4" t="s">
        <v>49</v>
      </c>
      <c r="E661" s="4" t="s">
        <v>50</v>
      </c>
      <c r="F661" s="4" t="s">
        <v>25</v>
      </c>
      <c r="G661" s="4" t="s">
        <v>25</v>
      </c>
      <c r="H661" s="4" t="s">
        <v>35</v>
      </c>
      <c r="I661" s="5">
        <v>44470</v>
      </c>
      <c r="J661" s="6">
        <v>0</v>
      </c>
      <c r="K661" s="43">
        <v>0</v>
      </c>
      <c r="L661" s="6">
        <v>150.64099999999999</v>
      </c>
      <c r="M661" s="43">
        <v>150.64099999999999</v>
      </c>
      <c r="N661" s="6">
        <v>150.64099999999999</v>
      </c>
      <c r="O661" s="43">
        <v>150.64099999999999</v>
      </c>
      <c r="P661" s="6">
        <v>0</v>
      </c>
      <c r="Q661" s="4" t="s">
        <v>26</v>
      </c>
      <c r="R661" s="4">
        <v>0</v>
      </c>
      <c r="S661" s="6">
        <v>0</v>
      </c>
      <c r="T661" s="6">
        <v>25</v>
      </c>
      <c r="U661" s="6">
        <v>68</v>
      </c>
      <c r="V661" s="43">
        <f>IF(ISERROR(VLOOKUP($S$661,'TAR FIN'!$A$1:$O$100,15,0)),0,VLOOKUP($S$661,'TAR FIN'!$A$1:$O$100,15,0))</f>
        <v>0</v>
      </c>
      <c r="W661" s="43">
        <f>IF(ISERROR(VLOOKUP($T$661,'TAR FIN'!$A$1:$O$100,15,0)),0,VLOOKUP($T$661,'TAR FIN'!$A$1:$O$100,15,0))*(1-0.06)</f>
        <v>41.030999999999999</v>
      </c>
      <c r="X661" s="43">
        <f>IF(ISERROR(VLOOKUP($U$661,'TAR FIN'!$A$1:$O$100,15,0)),0,VLOOKUP($U$661,'TAR FIN'!$A$1:$O$100,15,0))*(1-0.06)</f>
        <v>205.88819999999998</v>
      </c>
      <c r="Y661" s="43"/>
      <c r="Z661" s="43">
        <f ca="1">('TUSD BE'!$AM$22+'TUSD BF'!$AM$22+'TUSD CVA'!$AM$22)*1*(1-0.03)</f>
        <v>48.293429791201078</v>
      </c>
      <c r="AA661" s="43">
        <f>('TE BE'!$AA$8+'TE BF'!$AA$8+'TE CVA'!$AA$8)*1*(1-0.03)</f>
        <v>231.39425553651549</v>
      </c>
      <c r="AB661" s="6">
        <f>$K$661*$V$661</f>
        <v>0</v>
      </c>
      <c r="AC661" s="6">
        <f>$M$661*$W$661</f>
        <v>6180.9508709999991</v>
      </c>
      <c r="AD661" s="6">
        <f>$O$661*$X$661</f>
        <v>31015.204336199997</v>
      </c>
      <c r="AE661" s="6">
        <f>$K$661*$Y$661</f>
        <v>0</v>
      </c>
      <c r="AF661" s="6">
        <f ca="1">$M$661*$Z$661</f>
        <v>7274.9705571763216</v>
      </c>
      <c r="AG661" s="6">
        <f>$O$661*$AA$661</f>
        <v>34857.462048276226</v>
      </c>
    </row>
    <row r="662" spans="1:33" ht="11.25" customHeight="1" x14ac:dyDescent="0.25">
      <c r="A662" s="4" t="s">
        <v>21</v>
      </c>
      <c r="B662" s="4" t="s">
        <v>39</v>
      </c>
      <c r="C662" s="4" t="s">
        <v>41</v>
      </c>
      <c r="D662" s="4" t="s">
        <v>49</v>
      </c>
      <c r="E662" s="4" t="s">
        <v>50</v>
      </c>
      <c r="F662" s="4" t="s">
        <v>25</v>
      </c>
      <c r="G662" s="4" t="s">
        <v>25</v>
      </c>
      <c r="H662" s="4" t="s">
        <v>35</v>
      </c>
      <c r="I662" s="5">
        <v>44501</v>
      </c>
      <c r="J662" s="6">
        <v>0</v>
      </c>
      <c r="K662" s="43">
        <v>0</v>
      </c>
      <c r="L662" s="6">
        <v>152.87100000000001</v>
      </c>
      <c r="M662" s="43">
        <v>152.87100000000001</v>
      </c>
      <c r="N662" s="6">
        <v>152.87100000000001</v>
      </c>
      <c r="O662" s="43">
        <v>152.87100000000001</v>
      </c>
      <c r="P662" s="6">
        <v>0</v>
      </c>
      <c r="Q662" s="4" t="s">
        <v>26</v>
      </c>
      <c r="R662" s="4">
        <v>0</v>
      </c>
      <c r="S662" s="6">
        <v>0</v>
      </c>
      <c r="T662" s="6">
        <v>25</v>
      </c>
      <c r="U662" s="6">
        <v>68</v>
      </c>
      <c r="V662" s="43">
        <f>IF(ISERROR(VLOOKUP($S$662,'TAR FIN'!$A$1:$O$100,15,0)),0,VLOOKUP($S$662,'TAR FIN'!$A$1:$O$100,15,0))</f>
        <v>0</v>
      </c>
      <c r="W662" s="43">
        <f>IF(ISERROR(VLOOKUP($T$662,'TAR FIN'!$A$1:$O$100,15,0)),0,VLOOKUP($T$662,'TAR FIN'!$A$1:$O$100,15,0))*(1-0.06)</f>
        <v>41.030999999999999</v>
      </c>
      <c r="X662" s="43">
        <f>IF(ISERROR(VLOOKUP($U$662,'TAR FIN'!$A$1:$O$100,15,0)),0,VLOOKUP($U$662,'TAR FIN'!$A$1:$O$100,15,0))*(1-0.06)</f>
        <v>205.88819999999998</v>
      </c>
      <c r="Y662" s="43"/>
      <c r="Z662" s="43">
        <f ca="1">('TUSD BE'!$AM$22+'TUSD BF'!$AM$22+'TUSD CVA'!$AM$22)*1*(1-0.03)</f>
        <v>48.293429791201078</v>
      </c>
      <c r="AA662" s="43">
        <f>('TE BE'!$AA$8+'TE BF'!$AA$8+'TE CVA'!$AA$8)*1*(1-0.03)</f>
        <v>231.39425553651549</v>
      </c>
      <c r="AB662" s="6">
        <f>$K$662*$V$662</f>
        <v>0</v>
      </c>
      <c r="AC662" s="6">
        <f>$M$662*$W$662</f>
        <v>6272.4500010000002</v>
      </c>
      <c r="AD662" s="6">
        <f>$O$662*$X$662</f>
        <v>31474.335022200001</v>
      </c>
      <c r="AE662" s="6">
        <f>$K$662*$Y$662</f>
        <v>0</v>
      </c>
      <c r="AF662" s="6">
        <f ca="1">$M$662*$Z$662</f>
        <v>7382.6649056107008</v>
      </c>
      <c r="AG662" s="6">
        <f>$O$662*$AA$662</f>
        <v>35373.471238122664</v>
      </c>
    </row>
    <row r="663" spans="1:33" ht="11.25" customHeight="1" x14ac:dyDescent="0.25">
      <c r="A663" s="4" t="s">
        <v>21</v>
      </c>
      <c r="B663" s="4" t="s">
        <v>39</v>
      </c>
      <c r="C663" s="4" t="s">
        <v>41</v>
      </c>
      <c r="D663" s="4" t="s">
        <v>49</v>
      </c>
      <c r="E663" s="4" t="s">
        <v>50</v>
      </c>
      <c r="F663" s="4" t="s">
        <v>25</v>
      </c>
      <c r="G663" s="4" t="s">
        <v>25</v>
      </c>
      <c r="H663" s="4" t="s">
        <v>35</v>
      </c>
      <c r="I663" s="5">
        <v>44531</v>
      </c>
      <c r="J663" s="6">
        <v>0</v>
      </c>
      <c r="K663" s="43">
        <v>0</v>
      </c>
      <c r="L663" s="6">
        <v>174.13800000000001</v>
      </c>
      <c r="M663" s="43">
        <v>174.13800000000001</v>
      </c>
      <c r="N663" s="6">
        <v>174.13800000000001</v>
      </c>
      <c r="O663" s="43">
        <v>174.13800000000001</v>
      </c>
      <c r="P663" s="6">
        <v>0</v>
      </c>
      <c r="Q663" s="4" t="s">
        <v>26</v>
      </c>
      <c r="R663" s="4">
        <v>0</v>
      </c>
      <c r="S663" s="6">
        <v>0</v>
      </c>
      <c r="T663" s="6">
        <v>25</v>
      </c>
      <c r="U663" s="6">
        <v>68</v>
      </c>
      <c r="V663" s="43">
        <f>IF(ISERROR(VLOOKUP($S$663,'TAR FIN'!$A$1:$O$100,15,0)),0,VLOOKUP($S$663,'TAR FIN'!$A$1:$O$100,15,0))</f>
        <v>0</v>
      </c>
      <c r="W663" s="43">
        <f>IF(ISERROR(VLOOKUP($T$663,'TAR FIN'!$A$1:$O$100,15,0)),0,VLOOKUP($T$663,'TAR FIN'!$A$1:$O$100,15,0))*(1-0.06)</f>
        <v>41.030999999999999</v>
      </c>
      <c r="X663" s="43">
        <f>IF(ISERROR(VLOOKUP($U$663,'TAR FIN'!$A$1:$O$100,15,0)),0,VLOOKUP($U$663,'TAR FIN'!$A$1:$O$100,15,0))*(1-0.06)</f>
        <v>205.88819999999998</v>
      </c>
      <c r="Y663" s="43"/>
      <c r="Z663" s="43">
        <f ca="1">('TUSD BE'!$AM$22+'TUSD BF'!$AM$22+'TUSD CVA'!$AM$22)*1*(1-0.03)</f>
        <v>48.293429791201078</v>
      </c>
      <c r="AA663" s="43">
        <f>('TE BE'!$AA$8+'TE BF'!$AA$8+'TE CVA'!$AA$8)*1*(1-0.03)</f>
        <v>231.39425553651549</v>
      </c>
      <c r="AB663" s="6">
        <f>$K$663*$V$663</f>
        <v>0</v>
      </c>
      <c r="AC663" s="6">
        <f>$M$663*$W$663</f>
        <v>7145.056278</v>
      </c>
      <c r="AD663" s="6">
        <f>$O$663*$X$663</f>
        <v>35852.959371600002</v>
      </c>
      <c r="AE663" s="6">
        <f>$K$663*$Y$663</f>
        <v>0</v>
      </c>
      <c r="AF663" s="6">
        <f ca="1">$M$663*$Z$663</f>
        <v>8409.7212769801736</v>
      </c>
      <c r="AG663" s="6">
        <f>$O$663*$AA$663</f>
        <v>40294.532870617732</v>
      </c>
    </row>
    <row r="664" spans="1:33" ht="11.25" customHeight="1" x14ac:dyDescent="0.25">
      <c r="A664" s="4" t="s">
        <v>55</v>
      </c>
      <c r="B664" s="4" t="s">
        <v>39</v>
      </c>
      <c r="C664" s="4" t="s">
        <v>41</v>
      </c>
      <c r="D664" s="4" t="s">
        <v>49</v>
      </c>
      <c r="E664" s="4" t="s">
        <v>50</v>
      </c>
      <c r="F664" s="4" t="s">
        <v>25</v>
      </c>
      <c r="G664" s="4" t="s">
        <v>25</v>
      </c>
      <c r="H664" s="4" t="s">
        <v>35</v>
      </c>
      <c r="I664" s="5">
        <v>44562</v>
      </c>
      <c r="J664" s="6">
        <v>0</v>
      </c>
      <c r="K664" s="43">
        <v>0</v>
      </c>
      <c r="L664" s="6">
        <v>174.13800000000001</v>
      </c>
      <c r="M664" s="43">
        <v>174.13800000000001</v>
      </c>
      <c r="N664" s="6">
        <v>174.13800000000001</v>
      </c>
      <c r="O664" s="43">
        <v>174.13800000000001</v>
      </c>
      <c r="P664" s="6">
        <v>0</v>
      </c>
      <c r="Q664" s="4" t="s">
        <v>26</v>
      </c>
      <c r="R664" s="4">
        <v>0</v>
      </c>
      <c r="S664" s="6">
        <v>0</v>
      </c>
      <c r="T664" s="6">
        <v>25</v>
      </c>
      <c r="U664" s="6">
        <v>68</v>
      </c>
      <c r="V664" s="43">
        <f>IF(ISERROR(VLOOKUP($S$664,'TAR FIN'!$A$1:$O$100,15,0)),0,VLOOKUP($S$664,'TAR FIN'!$A$1:$O$100,15,0))</f>
        <v>0</v>
      </c>
      <c r="W664" s="43">
        <f>IF(ISERROR(VLOOKUP($T$664,'TAR FIN'!$A$1:$O$100,15,0)),0,VLOOKUP($T$664,'TAR FIN'!$A$1:$O$100,15,0))*(1-0.06)</f>
        <v>41.030999999999999</v>
      </c>
      <c r="X664" s="43">
        <f>IF(ISERROR(VLOOKUP($U$664,'TAR FIN'!$A$1:$O$100,15,0)),0,VLOOKUP($U$664,'TAR FIN'!$A$1:$O$100,15,0))*(1-0.06)</f>
        <v>205.88819999999998</v>
      </c>
      <c r="Y664" s="43"/>
      <c r="Z664" s="43">
        <f ca="1">('TUSD BE'!$AM$22+'TUSD BF'!$AM$22+'TUSD CVA'!$AM$22)*1*(1-0.03)</f>
        <v>48.293429791201078</v>
      </c>
      <c r="AA664" s="43">
        <f>('TE BE'!$AA$8+'TE BF'!$AA$8+'TE CVA'!$AA$8)*1*(1-0.03)</f>
        <v>231.39425553651549</v>
      </c>
      <c r="AB664" s="6">
        <f>$K$664*$V$664</f>
        <v>0</v>
      </c>
      <c r="AC664" s="6">
        <f>$M$664*$W$664</f>
        <v>7145.056278</v>
      </c>
      <c r="AD664" s="6">
        <f>$O$664*$X$664</f>
        <v>35852.959371600002</v>
      </c>
      <c r="AE664" s="6">
        <f>$K$664*$Y$664</f>
        <v>0</v>
      </c>
      <c r="AF664" s="6">
        <f ca="1">$M$664*$Z$664</f>
        <v>8409.7212769801736</v>
      </c>
      <c r="AG664" s="6">
        <f>$O$664*$AA$664</f>
        <v>40294.532870617732</v>
      </c>
    </row>
    <row r="665" spans="1:33" ht="11.25" customHeight="1" x14ac:dyDescent="0.25">
      <c r="A665" s="4" t="s">
        <v>21</v>
      </c>
      <c r="B665" s="4" t="s">
        <v>39</v>
      </c>
      <c r="C665" s="4" t="s">
        <v>41</v>
      </c>
      <c r="D665" s="4" t="s">
        <v>49</v>
      </c>
      <c r="E665" s="4" t="s">
        <v>50</v>
      </c>
      <c r="F665" s="4" t="s">
        <v>25</v>
      </c>
      <c r="G665" s="4" t="s">
        <v>25</v>
      </c>
      <c r="H665" s="4" t="s">
        <v>25</v>
      </c>
      <c r="I665" s="5">
        <v>44228</v>
      </c>
      <c r="J665" s="6">
        <v>700</v>
      </c>
      <c r="K665" s="42">
        <v>700</v>
      </c>
      <c r="L665" s="6">
        <v>0</v>
      </c>
      <c r="M665" s="43">
        <v>0</v>
      </c>
      <c r="N665" s="6">
        <v>0</v>
      </c>
      <c r="O665" s="43">
        <v>0</v>
      </c>
      <c r="P665" s="6">
        <v>7</v>
      </c>
      <c r="Q665" s="4" t="s">
        <v>26</v>
      </c>
      <c r="R665" s="4">
        <v>0</v>
      </c>
      <c r="S665" s="6">
        <v>23</v>
      </c>
      <c r="T665" s="6">
        <v>0</v>
      </c>
      <c r="U665" s="6">
        <v>0</v>
      </c>
      <c r="V665" s="43">
        <f>IF(ISERROR(VLOOKUP($S$665,'TAR FIN'!$A$1:$O$100,15,0)),0,VLOOKUP($S$665,'TAR FIN'!$A$1:$O$100,15,0))*(1-0.06)</f>
        <v>17.371199999999998</v>
      </c>
      <c r="W665" s="43">
        <f>IF(ISERROR(VLOOKUP($T$665,'TAR FIN'!$A$1:$O$100,15,0)),0,VLOOKUP($T$665,'TAR FIN'!$A$1:$O$100,15,0))</f>
        <v>0</v>
      </c>
      <c r="X665" s="43">
        <f>IF(ISERROR(VLOOKUP($U$665,'TAR FIN'!$A$1:$O$100,15,0)),0,VLOOKUP($U$665,'TAR FIN'!$A$1:$O$100,15,0))</f>
        <v>0</v>
      </c>
      <c r="Y665" s="43">
        <f ca="1">('TUSD BE'!$AM$20+'TUSD BF'!$AM$20+'TUSD CVA'!$AM$20)*1*(1-0.03)</f>
        <v>17.321137290425</v>
      </c>
      <c r="Z665" s="43"/>
      <c r="AA665" s="43"/>
      <c r="AB665" s="6">
        <f>$K$665*$V$665</f>
        <v>12159.839999999998</v>
      </c>
      <c r="AC665" s="6">
        <f>$M$665*$W$665</f>
        <v>0</v>
      </c>
      <c r="AD665" s="6">
        <f>$O$665*$X$665</f>
        <v>0</v>
      </c>
      <c r="AE665" s="6">
        <f ca="1">$K$665*$Y$665</f>
        <v>12124.7961032975</v>
      </c>
      <c r="AF665" s="6">
        <f>$M$665*$Z$665</f>
        <v>0</v>
      </c>
      <c r="AG665" s="6">
        <f>$O$665*$AA$665</f>
        <v>0</v>
      </c>
    </row>
    <row r="666" spans="1:33" ht="11.25" customHeight="1" x14ac:dyDescent="0.25">
      <c r="A666" s="4" t="s">
        <v>21</v>
      </c>
      <c r="B666" s="4" t="s">
        <v>39</v>
      </c>
      <c r="C666" s="4" t="s">
        <v>41</v>
      </c>
      <c r="D666" s="4" t="s">
        <v>49</v>
      </c>
      <c r="E666" s="4" t="s">
        <v>50</v>
      </c>
      <c r="F666" s="4" t="s">
        <v>25</v>
      </c>
      <c r="G666" s="4" t="s">
        <v>25</v>
      </c>
      <c r="H666" s="4" t="s">
        <v>25</v>
      </c>
      <c r="I666" s="5">
        <v>44256</v>
      </c>
      <c r="J666" s="6">
        <v>700</v>
      </c>
      <c r="K666" s="42">
        <v>700</v>
      </c>
      <c r="L666" s="6">
        <v>0</v>
      </c>
      <c r="M666" s="43">
        <v>0</v>
      </c>
      <c r="N666" s="6">
        <v>0</v>
      </c>
      <c r="O666" s="43">
        <v>0</v>
      </c>
      <c r="P666" s="6">
        <v>7</v>
      </c>
      <c r="Q666" s="4" t="s">
        <v>26</v>
      </c>
      <c r="R666" s="4">
        <v>0</v>
      </c>
      <c r="S666" s="6">
        <v>23</v>
      </c>
      <c r="T666" s="6">
        <v>0</v>
      </c>
      <c r="U666" s="6">
        <v>0</v>
      </c>
      <c r="V666" s="43">
        <f>IF(ISERROR(VLOOKUP($S$666,'TAR FIN'!$A$1:$O$100,15,0)),0,VLOOKUP($S$666,'TAR FIN'!$A$1:$O$100,15,0))*(1-0.06)</f>
        <v>17.371199999999998</v>
      </c>
      <c r="W666" s="43">
        <f>IF(ISERROR(VLOOKUP($T$666,'TAR FIN'!$A$1:$O$100,15,0)),0,VLOOKUP($T$666,'TAR FIN'!$A$1:$O$100,15,0))</f>
        <v>0</v>
      </c>
      <c r="X666" s="43">
        <f>IF(ISERROR(VLOOKUP($U$666,'TAR FIN'!$A$1:$O$100,15,0)),0,VLOOKUP($U$666,'TAR FIN'!$A$1:$O$100,15,0))</f>
        <v>0</v>
      </c>
      <c r="Y666" s="43">
        <f ca="1">('TUSD BE'!$AM$20+'TUSD BF'!$AM$20+'TUSD CVA'!$AM$20)*1*(1-0.03)</f>
        <v>17.321137290425</v>
      </c>
      <c r="Z666" s="43"/>
      <c r="AA666" s="43"/>
      <c r="AB666" s="6">
        <f>$K$666*$V$666</f>
        <v>12159.839999999998</v>
      </c>
      <c r="AC666" s="6">
        <f>$M$666*$W$666</f>
        <v>0</v>
      </c>
      <c r="AD666" s="6">
        <f>$O$666*$X$666</f>
        <v>0</v>
      </c>
      <c r="AE666" s="6">
        <f ca="1">$K$666*$Y$666</f>
        <v>12124.7961032975</v>
      </c>
      <c r="AF666" s="6">
        <f>$M$666*$Z$666</f>
        <v>0</v>
      </c>
      <c r="AG666" s="6">
        <f>$O$666*$AA$666</f>
        <v>0</v>
      </c>
    </row>
    <row r="667" spans="1:33" ht="11.25" customHeight="1" x14ac:dyDescent="0.25">
      <c r="A667" s="4" t="s">
        <v>21</v>
      </c>
      <c r="B667" s="4" t="s">
        <v>39</v>
      </c>
      <c r="C667" s="4" t="s">
        <v>41</v>
      </c>
      <c r="D667" s="4" t="s">
        <v>49</v>
      </c>
      <c r="E667" s="4" t="s">
        <v>50</v>
      </c>
      <c r="F667" s="4" t="s">
        <v>25</v>
      </c>
      <c r="G667" s="4" t="s">
        <v>25</v>
      </c>
      <c r="H667" s="4" t="s">
        <v>25</v>
      </c>
      <c r="I667" s="5">
        <v>44287</v>
      </c>
      <c r="J667" s="6">
        <v>710</v>
      </c>
      <c r="K667" s="42">
        <v>710</v>
      </c>
      <c r="L667" s="6">
        <v>0</v>
      </c>
      <c r="M667" s="43">
        <v>0</v>
      </c>
      <c r="N667" s="6">
        <v>0</v>
      </c>
      <c r="O667" s="43">
        <v>0</v>
      </c>
      <c r="P667" s="6">
        <v>7</v>
      </c>
      <c r="Q667" s="4" t="s">
        <v>26</v>
      </c>
      <c r="R667" s="4">
        <v>0</v>
      </c>
      <c r="S667" s="6">
        <v>23</v>
      </c>
      <c r="T667" s="6">
        <v>0</v>
      </c>
      <c r="U667" s="6">
        <v>0</v>
      </c>
      <c r="V667" s="43">
        <f>IF(ISERROR(VLOOKUP($S$667,'TAR FIN'!$A$1:$O$100,15,0)),0,VLOOKUP($S$667,'TAR FIN'!$A$1:$O$100,15,0))*(1-0.06)</f>
        <v>17.371199999999998</v>
      </c>
      <c r="W667" s="43">
        <f>IF(ISERROR(VLOOKUP($T$667,'TAR FIN'!$A$1:$O$100,15,0)),0,VLOOKUP($T$667,'TAR FIN'!$A$1:$O$100,15,0))</f>
        <v>0</v>
      </c>
      <c r="X667" s="43">
        <f>IF(ISERROR(VLOOKUP($U$667,'TAR FIN'!$A$1:$O$100,15,0)),0,VLOOKUP($U$667,'TAR FIN'!$A$1:$O$100,15,0))</f>
        <v>0</v>
      </c>
      <c r="Y667" s="43">
        <f ca="1">('TUSD BE'!$AM$20+'TUSD BF'!$AM$20+'TUSD CVA'!$AM$20)*1*(1-0.03)</f>
        <v>17.321137290425</v>
      </c>
      <c r="Z667" s="43"/>
      <c r="AA667" s="43"/>
      <c r="AB667" s="6">
        <f>$K$667*$V$667</f>
        <v>12333.551999999998</v>
      </c>
      <c r="AC667" s="6">
        <f>$M$667*$W$667</f>
        <v>0</v>
      </c>
      <c r="AD667" s="6">
        <f>$O$667*$X$667</f>
        <v>0</v>
      </c>
      <c r="AE667" s="6">
        <f ca="1">$K$667*$Y$667</f>
        <v>12298.00747620175</v>
      </c>
      <c r="AF667" s="6">
        <f>$M$667*$Z$667</f>
        <v>0</v>
      </c>
      <c r="AG667" s="6">
        <f>$O$667*$AA$667</f>
        <v>0</v>
      </c>
    </row>
    <row r="668" spans="1:33" ht="11.25" customHeight="1" x14ac:dyDescent="0.25">
      <c r="A668" s="4" t="s">
        <v>21</v>
      </c>
      <c r="B668" s="4" t="s">
        <v>39</v>
      </c>
      <c r="C668" s="4" t="s">
        <v>41</v>
      </c>
      <c r="D668" s="4" t="s">
        <v>49</v>
      </c>
      <c r="E668" s="4" t="s">
        <v>50</v>
      </c>
      <c r="F668" s="4" t="s">
        <v>25</v>
      </c>
      <c r="G668" s="4" t="s">
        <v>25</v>
      </c>
      <c r="H668" s="4" t="s">
        <v>25</v>
      </c>
      <c r="I668" s="5">
        <v>44317</v>
      </c>
      <c r="J668" s="6">
        <v>703</v>
      </c>
      <c r="K668" s="42">
        <v>703</v>
      </c>
      <c r="L668" s="6">
        <v>0</v>
      </c>
      <c r="M668" s="43">
        <v>0</v>
      </c>
      <c r="N668" s="6">
        <v>0</v>
      </c>
      <c r="O668" s="43">
        <v>0</v>
      </c>
      <c r="P668" s="6">
        <v>7</v>
      </c>
      <c r="Q668" s="4" t="s">
        <v>26</v>
      </c>
      <c r="R668" s="4">
        <v>0</v>
      </c>
      <c r="S668" s="6">
        <v>23</v>
      </c>
      <c r="T668" s="6">
        <v>0</v>
      </c>
      <c r="U668" s="6">
        <v>0</v>
      </c>
      <c r="V668" s="43">
        <f>IF(ISERROR(VLOOKUP($S$668,'TAR FIN'!$A$1:$O$100,15,0)),0,VLOOKUP($S$668,'TAR FIN'!$A$1:$O$100,15,0))*(1-0.06)</f>
        <v>17.371199999999998</v>
      </c>
      <c r="W668" s="43">
        <f>IF(ISERROR(VLOOKUP($T$668,'TAR FIN'!$A$1:$O$100,15,0)),0,VLOOKUP($T$668,'TAR FIN'!$A$1:$O$100,15,0))</f>
        <v>0</v>
      </c>
      <c r="X668" s="43">
        <f>IF(ISERROR(VLOOKUP($U$668,'TAR FIN'!$A$1:$O$100,15,0)),0,VLOOKUP($U$668,'TAR FIN'!$A$1:$O$100,15,0))</f>
        <v>0</v>
      </c>
      <c r="Y668" s="43">
        <f ca="1">('TUSD BE'!$AM$20+'TUSD BF'!$AM$20+'TUSD CVA'!$AM$20)*1*(1-0.03)</f>
        <v>17.321137290425</v>
      </c>
      <c r="Z668" s="43"/>
      <c r="AA668" s="43"/>
      <c r="AB668" s="6">
        <f>$K$668*$V$668</f>
        <v>12211.953599999999</v>
      </c>
      <c r="AC668" s="6">
        <f>$M$668*$W$668</f>
        <v>0</v>
      </c>
      <c r="AD668" s="6">
        <f>$O$668*$X$668</f>
        <v>0</v>
      </c>
      <c r="AE668" s="6">
        <f ca="1">$K$668*$Y$668</f>
        <v>12176.759515168775</v>
      </c>
      <c r="AF668" s="6">
        <f>$M$668*$Z$668</f>
        <v>0</v>
      </c>
      <c r="AG668" s="6">
        <f>$O$668*$AA$668</f>
        <v>0</v>
      </c>
    </row>
    <row r="669" spans="1:33" ht="11.25" customHeight="1" x14ac:dyDescent="0.25">
      <c r="A669" s="4" t="s">
        <v>21</v>
      </c>
      <c r="B669" s="4" t="s">
        <v>39</v>
      </c>
      <c r="C669" s="4" t="s">
        <v>41</v>
      </c>
      <c r="D669" s="4" t="s">
        <v>49</v>
      </c>
      <c r="E669" s="4" t="s">
        <v>50</v>
      </c>
      <c r="F669" s="4" t="s">
        <v>25</v>
      </c>
      <c r="G669" s="4" t="s">
        <v>25</v>
      </c>
      <c r="H669" s="4" t="s">
        <v>25</v>
      </c>
      <c r="I669" s="5">
        <v>44348</v>
      </c>
      <c r="J669" s="6">
        <v>709</v>
      </c>
      <c r="K669" s="42">
        <v>709</v>
      </c>
      <c r="L669" s="6">
        <v>0</v>
      </c>
      <c r="M669" s="43">
        <v>0</v>
      </c>
      <c r="N669" s="6">
        <v>0</v>
      </c>
      <c r="O669" s="43">
        <v>0</v>
      </c>
      <c r="P669" s="6">
        <v>7</v>
      </c>
      <c r="Q669" s="4" t="s">
        <v>26</v>
      </c>
      <c r="R669" s="4">
        <v>0</v>
      </c>
      <c r="S669" s="6">
        <v>23</v>
      </c>
      <c r="T669" s="6">
        <v>0</v>
      </c>
      <c r="U669" s="6">
        <v>0</v>
      </c>
      <c r="V669" s="43">
        <f>IF(ISERROR(VLOOKUP($S$669,'TAR FIN'!$A$1:$O$100,15,0)),0,VLOOKUP($S$669,'TAR FIN'!$A$1:$O$100,15,0))*(1-0.06)</f>
        <v>17.371199999999998</v>
      </c>
      <c r="W669" s="43">
        <f>IF(ISERROR(VLOOKUP($T$669,'TAR FIN'!$A$1:$O$100,15,0)),0,VLOOKUP($T$669,'TAR FIN'!$A$1:$O$100,15,0))</f>
        <v>0</v>
      </c>
      <c r="X669" s="43">
        <f>IF(ISERROR(VLOOKUP($U$669,'TAR FIN'!$A$1:$O$100,15,0)),0,VLOOKUP($U$669,'TAR FIN'!$A$1:$O$100,15,0))</f>
        <v>0</v>
      </c>
      <c r="Y669" s="43">
        <f ca="1">('TUSD BE'!$AM$20+'TUSD BF'!$AM$20+'TUSD CVA'!$AM$20)*1*(1-0.03)</f>
        <v>17.321137290425</v>
      </c>
      <c r="Z669" s="43"/>
      <c r="AA669" s="43"/>
      <c r="AB669" s="6">
        <f>$K$669*$V$669</f>
        <v>12316.180799999998</v>
      </c>
      <c r="AC669" s="6">
        <f>$M$669*$W$669</f>
        <v>0</v>
      </c>
      <c r="AD669" s="6">
        <f>$O$669*$X$669</f>
        <v>0</v>
      </c>
      <c r="AE669" s="6">
        <f ca="1">$K$669*$Y$669</f>
        <v>12280.686338911324</v>
      </c>
      <c r="AF669" s="6">
        <f>$M$669*$Z$669</f>
        <v>0</v>
      </c>
      <c r="AG669" s="6">
        <f>$O$669*$AA$669</f>
        <v>0</v>
      </c>
    </row>
    <row r="670" spans="1:33" ht="11.25" customHeight="1" x14ac:dyDescent="0.25">
      <c r="A670" s="4" t="s">
        <v>21</v>
      </c>
      <c r="B670" s="4" t="s">
        <v>39</v>
      </c>
      <c r="C670" s="4" t="s">
        <v>41</v>
      </c>
      <c r="D670" s="4" t="s">
        <v>49</v>
      </c>
      <c r="E670" s="4" t="s">
        <v>50</v>
      </c>
      <c r="F670" s="4" t="s">
        <v>25</v>
      </c>
      <c r="G670" s="4" t="s">
        <v>25</v>
      </c>
      <c r="H670" s="4" t="s">
        <v>25</v>
      </c>
      <c r="I670" s="5">
        <v>44378</v>
      </c>
      <c r="J670" s="6">
        <v>713</v>
      </c>
      <c r="K670" s="42">
        <v>713</v>
      </c>
      <c r="L670" s="6">
        <v>0</v>
      </c>
      <c r="M670" s="43">
        <v>0</v>
      </c>
      <c r="N670" s="6">
        <v>0</v>
      </c>
      <c r="O670" s="43">
        <v>0</v>
      </c>
      <c r="P670" s="6">
        <v>7</v>
      </c>
      <c r="Q670" s="4" t="s">
        <v>26</v>
      </c>
      <c r="R670" s="4">
        <v>0</v>
      </c>
      <c r="S670" s="6">
        <v>23</v>
      </c>
      <c r="T670" s="6">
        <v>0</v>
      </c>
      <c r="U670" s="6">
        <v>0</v>
      </c>
      <c r="V670" s="43">
        <f>IF(ISERROR(VLOOKUP($S$670,'TAR FIN'!$A$1:$O$100,15,0)),0,VLOOKUP($S$670,'TAR FIN'!$A$1:$O$100,15,0))*(1-0.06)</f>
        <v>17.371199999999998</v>
      </c>
      <c r="W670" s="43">
        <f>IF(ISERROR(VLOOKUP($T$670,'TAR FIN'!$A$1:$O$100,15,0)),0,VLOOKUP($T$670,'TAR FIN'!$A$1:$O$100,15,0))</f>
        <v>0</v>
      </c>
      <c r="X670" s="43">
        <f>IF(ISERROR(VLOOKUP($U$670,'TAR FIN'!$A$1:$O$100,15,0)),0,VLOOKUP($U$670,'TAR FIN'!$A$1:$O$100,15,0))</f>
        <v>0</v>
      </c>
      <c r="Y670" s="43">
        <f ca="1">('TUSD BE'!$AM$20+'TUSD BF'!$AM$20+'TUSD CVA'!$AM$20)*1*(1-0.03)</f>
        <v>17.321137290425</v>
      </c>
      <c r="Z670" s="43"/>
      <c r="AA670" s="43"/>
      <c r="AB670" s="6">
        <f>$K$670*$V$670</f>
        <v>12385.665599999998</v>
      </c>
      <c r="AC670" s="6">
        <f>$M$670*$W$670</f>
        <v>0</v>
      </c>
      <c r="AD670" s="6">
        <f>$O$670*$X$670</f>
        <v>0</v>
      </c>
      <c r="AE670" s="6">
        <f ca="1">$K$670*$Y$670</f>
        <v>12349.970888073025</v>
      </c>
      <c r="AF670" s="6">
        <f>$M$670*$Z$670</f>
        <v>0</v>
      </c>
      <c r="AG670" s="6">
        <f>$O$670*$AA$670</f>
        <v>0</v>
      </c>
    </row>
    <row r="671" spans="1:33" ht="11.25" customHeight="1" x14ac:dyDescent="0.25">
      <c r="A671" s="4" t="s">
        <v>21</v>
      </c>
      <c r="B671" s="4" t="s">
        <v>39</v>
      </c>
      <c r="C671" s="4" t="s">
        <v>41</v>
      </c>
      <c r="D671" s="4" t="s">
        <v>49</v>
      </c>
      <c r="E671" s="4" t="s">
        <v>50</v>
      </c>
      <c r="F671" s="4" t="s">
        <v>25</v>
      </c>
      <c r="G671" s="4" t="s">
        <v>25</v>
      </c>
      <c r="H671" s="4" t="s">
        <v>25</v>
      </c>
      <c r="I671" s="5">
        <v>44409</v>
      </c>
      <c r="J671" s="6">
        <v>710</v>
      </c>
      <c r="K671" s="42">
        <v>710</v>
      </c>
      <c r="L671" s="6">
        <v>0</v>
      </c>
      <c r="M671" s="43">
        <v>0</v>
      </c>
      <c r="N671" s="6">
        <v>0</v>
      </c>
      <c r="O671" s="43">
        <v>0</v>
      </c>
      <c r="P671" s="6">
        <v>7</v>
      </c>
      <c r="Q671" s="4" t="s">
        <v>26</v>
      </c>
      <c r="R671" s="4">
        <v>0</v>
      </c>
      <c r="S671" s="6">
        <v>23</v>
      </c>
      <c r="T671" s="6">
        <v>0</v>
      </c>
      <c r="U671" s="6">
        <v>0</v>
      </c>
      <c r="V671" s="43">
        <f>IF(ISERROR(VLOOKUP($S$671,'TAR FIN'!$A$1:$O$100,15,0)),0,VLOOKUP($S$671,'TAR FIN'!$A$1:$O$100,15,0))*(1-0.06)</f>
        <v>17.371199999999998</v>
      </c>
      <c r="W671" s="43">
        <f>IF(ISERROR(VLOOKUP($T$671,'TAR FIN'!$A$1:$O$100,15,0)),0,VLOOKUP($T$671,'TAR FIN'!$A$1:$O$100,15,0))</f>
        <v>0</v>
      </c>
      <c r="X671" s="43">
        <f>IF(ISERROR(VLOOKUP($U$671,'TAR FIN'!$A$1:$O$100,15,0)),0,VLOOKUP($U$671,'TAR FIN'!$A$1:$O$100,15,0))</f>
        <v>0</v>
      </c>
      <c r="Y671" s="43">
        <f ca="1">('TUSD BE'!$AM$20+'TUSD BF'!$AM$20+'TUSD CVA'!$AM$20)*1*(1-0.03)</f>
        <v>17.321137290425</v>
      </c>
      <c r="Z671" s="43"/>
      <c r="AA671" s="43"/>
      <c r="AB671" s="6">
        <f>$K$671*$V$671</f>
        <v>12333.551999999998</v>
      </c>
      <c r="AC671" s="6">
        <f>$M$671*$W$671</f>
        <v>0</v>
      </c>
      <c r="AD671" s="6">
        <f>$O$671*$X$671</f>
        <v>0</v>
      </c>
      <c r="AE671" s="6">
        <f ca="1">$K$671*$Y$671</f>
        <v>12298.00747620175</v>
      </c>
      <c r="AF671" s="6">
        <f>$M$671*$Z$671</f>
        <v>0</v>
      </c>
      <c r="AG671" s="6">
        <f>$O$671*$AA$671</f>
        <v>0</v>
      </c>
    </row>
    <row r="672" spans="1:33" ht="11.25" customHeight="1" x14ac:dyDescent="0.25">
      <c r="A672" s="4" t="s">
        <v>21</v>
      </c>
      <c r="B672" s="4" t="s">
        <v>39</v>
      </c>
      <c r="C672" s="4" t="s">
        <v>41</v>
      </c>
      <c r="D672" s="4" t="s">
        <v>49</v>
      </c>
      <c r="E672" s="4" t="s">
        <v>50</v>
      </c>
      <c r="F672" s="4" t="s">
        <v>25</v>
      </c>
      <c r="G672" s="4" t="s">
        <v>25</v>
      </c>
      <c r="H672" s="4" t="s">
        <v>25</v>
      </c>
      <c r="I672" s="5">
        <v>44440</v>
      </c>
      <c r="J672" s="6">
        <v>771</v>
      </c>
      <c r="K672" s="42">
        <v>771</v>
      </c>
      <c r="L672" s="6">
        <v>0</v>
      </c>
      <c r="M672" s="43">
        <v>0</v>
      </c>
      <c r="N672" s="6">
        <v>0</v>
      </c>
      <c r="O672" s="43">
        <v>0</v>
      </c>
      <c r="P672" s="6">
        <v>7</v>
      </c>
      <c r="Q672" s="4" t="s">
        <v>26</v>
      </c>
      <c r="R672" s="4">
        <v>0</v>
      </c>
      <c r="S672" s="6">
        <v>23</v>
      </c>
      <c r="T672" s="6">
        <v>0</v>
      </c>
      <c r="U672" s="6">
        <v>0</v>
      </c>
      <c r="V672" s="43">
        <f>IF(ISERROR(VLOOKUP($S$672,'TAR FIN'!$A$1:$O$100,15,0)),0,VLOOKUP($S$672,'TAR FIN'!$A$1:$O$100,15,0))*(1-0.06)</f>
        <v>17.371199999999998</v>
      </c>
      <c r="W672" s="43">
        <f>IF(ISERROR(VLOOKUP($T$672,'TAR FIN'!$A$1:$O$100,15,0)),0,VLOOKUP($T$672,'TAR FIN'!$A$1:$O$100,15,0))</f>
        <v>0</v>
      </c>
      <c r="X672" s="43">
        <f>IF(ISERROR(VLOOKUP($U$672,'TAR FIN'!$A$1:$O$100,15,0)),0,VLOOKUP($U$672,'TAR FIN'!$A$1:$O$100,15,0))</f>
        <v>0</v>
      </c>
      <c r="Y672" s="43">
        <f ca="1">('TUSD BE'!$AM$20+'TUSD BF'!$AM$20+'TUSD CVA'!$AM$20)*1*(1-0.03)</f>
        <v>17.321137290425</v>
      </c>
      <c r="Z672" s="43"/>
      <c r="AA672" s="43"/>
      <c r="AB672" s="6">
        <f>$K$672*$V$672</f>
        <v>13393.195199999998</v>
      </c>
      <c r="AC672" s="6">
        <f>$M$672*$W$672</f>
        <v>0</v>
      </c>
      <c r="AD672" s="6">
        <f>$O$672*$X$672</f>
        <v>0</v>
      </c>
      <c r="AE672" s="6">
        <f ca="1">$K$672*$Y$672</f>
        <v>13354.596850917675</v>
      </c>
      <c r="AF672" s="6">
        <f>$M$672*$Z$672</f>
        <v>0</v>
      </c>
      <c r="AG672" s="6">
        <f>$O$672*$AA$672</f>
        <v>0</v>
      </c>
    </row>
    <row r="673" spans="1:33" ht="11.25" customHeight="1" x14ac:dyDescent="0.25">
      <c r="A673" s="4" t="s">
        <v>21</v>
      </c>
      <c r="B673" s="4" t="s">
        <v>39</v>
      </c>
      <c r="C673" s="4" t="s">
        <v>41</v>
      </c>
      <c r="D673" s="4" t="s">
        <v>49</v>
      </c>
      <c r="E673" s="4" t="s">
        <v>50</v>
      </c>
      <c r="F673" s="4" t="s">
        <v>25</v>
      </c>
      <c r="G673" s="4" t="s">
        <v>25</v>
      </c>
      <c r="H673" s="4" t="s">
        <v>25</v>
      </c>
      <c r="I673" s="5">
        <v>44470</v>
      </c>
      <c r="J673" s="6">
        <v>747</v>
      </c>
      <c r="K673" s="42">
        <v>747</v>
      </c>
      <c r="L673" s="6">
        <v>0</v>
      </c>
      <c r="M673" s="43">
        <v>0</v>
      </c>
      <c r="N673" s="6">
        <v>0</v>
      </c>
      <c r="O673" s="43">
        <v>0</v>
      </c>
      <c r="P673" s="6">
        <v>7</v>
      </c>
      <c r="Q673" s="4" t="s">
        <v>26</v>
      </c>
      <c r="R673" s="4">
        <v>0</v>
      </c>
      <c r="S673" s="6">
        <v>23</v>
      </c>
      <c r="T673" s="6">
        <v>0</v>
      </c>
      <c r="U673" s="6">
        <v>0</v>
      </c>
      <c r="V673" s="43">
        <f>IF(ISERROR(VLOOKUP($S$673,'TAR FIN'!$A$1:$O$100,15,0)),0,VLOOKUP($S$673,'TAR FIN'!$A$1:$O$100,15,0))*(1-0.06)</f>
        <v>17.371199999999998</v>
      </c>
      <c r="W673" s="43">
        <f>IF(ISERROR(VLOOKUP($T$673,'TAR FIN'!$A$1:$O$100,15,0)),0,VLOOKUP($T$673,'TAR FIN'!$A$1:$O$100,15,0))</f>
        <v>0</v>
      </c>
      <c r="X673" s="43">
        <f>IF(ISERROR(VLOOKUP($U$673,'TAR FIN'!$A$1:$O$100,15,0)),0,VLOOKUP($U$673,'TAR FIN'!$A$1:$O$100,15,0))</f>
        <v>0</v>
      </c>
      <c r="Y673" s="43">
        <f ca="1">('TUSD BE'!$AM$20+'TUSD BF'!$AM$20+'TUSD CVA'!$AM$20)*1*(1-0.03)</f>
        <v>17.321137290425</v>
      </c>
      <c r="Z673" s="43"/>
      <c r="AA673" s="43"/>
      <c r="AB673" s="6">
        <f>$K$673*$V$673</f>
        <v>12976.286399999999</v>
      </c>
      <c r="AC673" s="6">
        <f>$M$673*$W$673</f>
        <v>0</v>
      </c>
      <c r="AD673" s="6">
        <f>$O$673*$X$673</f>
        <v>0</v>
      </c>
      <c r="AE673" s="6">
        <f ca="1">$K$673*$Y$673</f>
        <v>12938.889555947475</v>
      </c>
      <c r="AF673" s="6">
        <f>$M$673*$Z$673</f>
        <v>0</v>
      </c>
      <c r="AG673" s="6">
        <f>$O$673*$AA$673</f>
        <v>0</v>
      </c>
    </row>
    <row r="674" spans="1:33" ht="11.25" customHeight="1" x14ac:dyDescent="0.25">
      <c r="A674" s="4" t="s">
        <v>21</v>
      </c>
      <c r="B674" s="4" t="s">
        <v>39</v>
      </c>
      <c r="C674" s="4" t="s">
        <v>41</v>
      </c>
      <c r="D674" s="4" t="s">
        <v>49</v>
      </c>
      <c r="E674" s="4" t="s">
        <v>50</v>
      </c>
      <c r="F674" s="4" t="s">
        <v>25</v>
      </c>
      <c r="G674" s="4" t="s">
        <v>25</v>
      </c>
      <c r="H674" s="4" t="s">
        <v>25</v>
      </c>
      <c r="I674" s="5">
        <v>44501</v>
      </c>
      <c r="J674" s="6">
        <v>711</v>
      </c>
      <c r="K674" s="42">
        <v>711</v>
      </c>
      <c r="L674" s="6">
        <v>0</v>
      </c>
      <c r="M674" s="43">
        <v>0</v>
      </c>
      <c r="N674" s="6">
        <v>0</v>
      </c>
      <c r="O674" s="43">
        <v>0</v>
      </c>
      <c r="P674" s="6">
        <v>7</v>
      </c>
      <c r="Q674" s="4" t="s">
        <v>26</v>
      </c>
      <c r="R674" s="4">
        <v>0</v>
      </c>
      <c r="S674" s="6">
        <v>23</v>
      </c>
      <c r="T674" s="6">
        <v>0</v>
      </c>
      <c r="U674" s="6">
        <v>0</v>
      </c>
      <c r="V674" s="43">
        <f>IF(ISERROR(VLOOKUP($S$674,'TAR FIN'!$A$1:$O$100,15,0)),0,VLOOKUP($S$674,'TAR FIN'!$A$1:$O$100,15,0))*(1-0.06)</f>
        <v>17.371199999999998</v>
      </c>
      <c r="W674" s="43">
        <f>IF(ISERROR(VLOOKUP($T$674,'TAR FIN'!$A$1:$O$100,15,0)),0,VLOOKUP($T$674,'TAR FIN'!$A$1:$O$100,15,0))</f>
        <v>0</v>
      </c>
      <c r="X674" s="43">
        <f>IF(ISERROR(VLOOKUP($U$674,'TAR FIN'!$A$1:$O$100,15,0)),0,VLOOKUP($U$674,'TAR FIN'!$A$1:$O$100,15,0))</f>
        <v>0</v>
      </c>
      <c r="Y674" s="43">
        <f ca="1">('TUSD BE'!$AM$20+'TUSD BF'!$AM$20+'TUSD CVA'!$AM$20)*1*(1-0.03)</f>
        <v>17.321137290425</v>
      </c>
      <c r="Z674" s="43"/>
      <c r="AA674" s="43"/>
      <c r="AB674" s="6">
        <f>$K$674*$V$674</f>
        <v>12350.923199999999</v>
      </c>
      <c r="AC674" s="6">
        <f>$M$674*$W$674</f>
        <v>0</v>
      </c>
      <c r="AD674" s="6">
        <f>$O$674*$X$674</f>
        <v>0</v>
      </c>
      <c r="AE674" s="6">
        <f ca="1">$K$674*$Y$674</f>
        <v>12315.328613492175</v>
      </c>
      <c r="AF674" s="6">
        <f>$M$674*$Z$674</f>
        <v>0</v>
      </c>
      <c r="AG674" s="6">
        <f>$O$674*$AA$674</f>
        <v>0</v>
      </c>
    </row>
    <row r="675" spans="1:33" ht="11.25" customHeight="1" x14ac:dyDescent="0.25">
      <c r="A675" s="4" t="s">
        <v>21</v>
      </c>
      <c r="B675" s="4" t="s">
        <v>39</v>
      </c>
      <c r="C675" s="4" t="s">
        <v>41</v>
      </c>
      <c r="D675" s="4" t="s">
        <v>49</v>
      </c>
      <c r="E675" s="4" t="s">
        <v>50</v>
      </c>
      <c r="F675" s="4" t="s">
        <v>25</v>
      </c>
      <c r="G675" s="4" t="s">
        <v>25</v>
      </c>
      <c r="H675" s="4" t="s">
        <v>25</v>
      </c>
      <c r="I675" s="5">
        <v>44531</v>
      </c>
      <c r="J675" s="6">
        <v>740</v>
      </c>
      <c r="K675" s="42">
        <v>740</v>
      </c>
      <c r="L675" s="6">
        <v>0</v>
      </c>
      <c r="M675" s="43">
        <v>0</v>
      </c>
      <c r="N675" s="6">
        <v>0</v>
      </c>
      <c r="O675" s="43">
        <v>0</v>
      </c>
      <c r="P675" s="6">
        <v>7</v>
      </c>
      <c r="Q675" s="4" t="s">
        <v>26</v>
      </c>
      <c r="R675" s="4">
        <v>0</v>
      </c>
      <c r="S675" s="6">
        <v>23</v>
      </c>
      <c r="T675" s="6">
        <v>0</v>
      </c>
      <c r="U675" s="6">
        <v>0</v>
      </c>
      <c r="V675" s="43">
        <f>IF(ISERROR(VLOOKUP($S$675,'TAR FIN'!$A$1:$O$100,15,0)),0,VLOOKUP($S$675,'TAR FIN'!$A$1:$O$100,15,0))*(1-0.06)</f>
        <v>17.371199999999998</v>
      </c>
      <c r="W675" s="43">
        <f>IF(ISERROR(VLOOKUP($T$675,'TAR FIN'!$A$1:$O$100,15,0)),0,VLOOKUP($T$675,'TAR FIN'!$A$1:$O$100,15,0))</f>
        <v>0</v>
      </c>
      <c r="X675" s="43">
        <f>IF(ISERROR(VLOOKUP($U$675,'TAR FIN'!$A$1:$O$100,15,0)),0,VLOOKUP($U$675,'TAR FIN'!$A$1:$O$100,15,0))</f>
        <v>0</v>
      </c>
      <c r="Y675" s="43">
        <f ca="1">('TUSD BE'!$AM$20+'TUSD BF'!$AM$20+'TUSD CVA'!$AM$20)*1*(1-0.03)</f>
        <v>17.321137290425</v>
      </c>
      <c r="Z675" s="43"/>
      <c r="AA675" s="43"/>
      <c r="AB675" s="6">
        <f>$K$675*$V$675</f>
        <v>12854.687999999998</v>
      </c>
      <c r="AC675" s="6">
        <f>$M$675*$W$675</f>
        <v>0</v>
      </c>
      <c r="AD675" s="6">
        <f>$O$675*$X$675</f>
        <v>0</v>
      </c>
      <c r="AE675" s="6">
        <f ca="1">$K$675*$Y$675</f>
        <v>12817.641594914499</v>
      </c>
      <c r="AF675" s="6">
        <f>$M$675*$Z$675</f>
        <v>0</v>
      </c>
      <c r="AG675" s="6">
        <f>$O$675*$AA$675</f>
        <v>0</v>
      </c>
    </row>
    <row r="676" spans="1:33" ht="11.25" customHeight="1" x14ac:dyDescent="0.25">
      <c r="A676" s="4" t="s">
        <v>55</v>
      </c>
      <c r="B676" s="4" t="s">
        <v>39</v>
      </c>
      <c r="C676" s="4" t="s">
        <v>41</v>
      </c>
      <c r="D676" s="4" t="s">
        <v>49</v>
      </c>
      <c r="E676" s="4" t="s">
        <v>50</v>
      </c>
      <c r="F676" s="4" t="s">
        <v>25</v>
      </c>
      <c r="G676" s="4" t="s">
        <v>25</v>
      </c>
      <c r="H676" s="4" t="s">
        <v>25</v>
      </c>
      <c r="I676" s="5">
        <v>44562</v>
      </c>
      <c r="J676" s="6">
        <v>740</v>
      </c>
      <c r="K676" s="42">
        <v>740</v>
      </c>
      <c r="L676" s="6">
        <v>0</v>
      </c>
      <c r="M676" s="43">
        <v>0</v>
      </c>
      <c r="N676" s="6">
        <v>0</v>
      </c>
      <c r="O676" s="43">
        <v>0</v>
      </c>
      <c r="P676" s="6">
        <v>7</v>
      </c>
      <c r="Q676" s="4" t="s">
        <v>26</v>
      </c>
      <c r="R676" s="4">
        <v>0</v>
      </c>
      <c r="S676" s="6">
        <v>23</v>
      </c>
      <c r="T676" s="6">
        <v>0</v>
      </c>
      <c r="U676" s="6">
        <v>0</v>
      </c>
      <c r="V676" s="43">
        <f>IF(ISERROR(VLOOKUP($S$676,'TAR FIN'!$A$1:$O$100,15,0)),0,VLOOKUP($S$676,'TAR FIN'!$A$1:$O$100,15,0))*(1-0.06)</f>
        <v>17.371199999999998</v>
      </c>
      <c r="W676" s="43">
        <f>IF(ISERROR(VLOOKUP($T$676,'TAR FIN'!$A$1:$O$100,15,0)),0,VLOOKUP($T$676,'TAR FIN'!$A$1:$O$100,15,0))</f>
        <v>0</v>
      </c>
      <c r="X676" s="43">
        <f>IF(ISERROR(VLOOKUP($U$676,'TAR FIN'!$A$1:$O$100,15,0)),0,VLOOKUP($U$676,'TAR FIN'!$A$1:$O$100,15,0))</f>
        <v>0</v>
      </c>
      <c r="Y676" s="43">
        <f ca="1">('TUSD BE'!$AM$20+'TUSD BF'!$AM$20+'TUSD CVA'!$AM$20)*1*(1-0.03)</f>
        <v>17.321137290425</v>
      </c>
      <c r="Z676" s="43"/>
      <c r="AA676" s="43"/>
      <c r="AB676" s="6">
        <f>$K$676*$V$676</f>
        <v>12854.687999999998</v>
      </c>
      <c r="AC676" s="6">
        <f>$M$676*$W$676</f>
        <v>0</v>
      </c>
      <c r="AD676" s="6">
        <f>$O$676*$X$676</f>
        <v>0</v>
      </c>
      <c r="AE676" s="6">
        <f ca="1">$K$676*$Y$676</f>
        <v>12817.641594914499</v>
      </c>
      <c r="AF676" s="6">
        <f>$M$676*$Z$676</f>
        <v>0</v>
      </c>
      <c r="AG676" s="6">
        <f>$O$676*$AA$676</f>
        <v>0</v>
      </c>
    </row>
    <row r="677" spans="1:33" ht="11.25" customHeight="1" x14ac:dyDescent="0.25">
      <c r="A677" s="4" t="s">
        <v>21</v>
      </c>
      <c r="B677" s="4" t="s">
        <v>39</v>
      </c>
      <c r="C677" s="4" t="s">
        <v>41</v>
      </c>
      <c r="D677" s="4" t="s">
        <v>49</v>
      </c>
      <c r="E677" s="4" t="s">
        <v>50</v>
      </c>
      <c r="F677" s="4" t="s">
        <v>25</v>
      </c>
      <c r="G677" s="4" t="s">
        <v>25</v>
      </c>
      <c r="H677" s="4" t="s">
        <v>34</v>
      </c>
      <c r="I677" s="5">
        <v>44228</v>
      </c>
      <c r="J677" s="6">
        <v>0</v>
      </c>
      <c r="K677" s="43">
        <v>0</v>
      </c>
      <c r="L677" s="6">
        <v>16.684999999999999</v>
      </c>
      <c r="M677" s="43">
        <v>16.684999999999999</v>
      </c>
      <c r="N677" s="6">
        <v>16.684999999999999</v>
      </c>
      <c r="O677" s="43">
        <v>16.684999999999999</v>
      </c>
      <c r="P677" s="6">
        <v>0</v>
      </c>
      <c r="Q677" s="4" t="s">
        <v>26</v>
      </c>
      <c r="R677" s="4">
        <v>0</v>
      </c>
      <c r="S677" s="6">
        <v>0</v>
      </c>
      <c r="T677" s="6">
        <v>24</v>
      </c>
      <c r="U677" s="6">
        <v>67</v>
      </c>
      <c r="V677" s="43">
        <f>IF(ISERROR(VLOOKUP($S$677,'TAR FIN'!$A$1:$O$100,15,0)),0,VLOOKUP($S$677,'TAR FIN'!$A$1:$O$100,15,0))</f>
        <v>0</v>
      </c>
      <c r="W677" s="43">
        <f>IF(ISERROR(VLOOKUP($T$677,'TAR FIN'!$A$1:$O$100,15,0)),0,VLOOKUP($T$677,'TAR FIN'!$A$1:$O$100,15,0))*(1-0.06)</f>
        <v>887.18139999999994</v>
      </c>
      <c r="X677" s="43">
        <f>IF(ISERROR(VLOOKUP($U$677,'TAR FIN'!$A$1:$O$100,15,0)),0,VLOOKUP($U$677,'TAR FIN'!$A$1:$O$100,15,0))*(1-0.06)</f>
        <v>344.60399999999998</v>
      </c>
      <c r="Y677" s="43"/>
      <c r="Z677" s="43">
        <f ca="1">('TUSD BE'!$AM$21+'TUSD BF'!$AM$21+'TUSD CVA'!$AM$21)*1*(1-0.03)</f>
        <v>901.00489175650387</v>
      </c>
      <c r="AA677" s="43">
        <f>('TE BE'!$AA$7+'TE BF'!$AA$7+'TE CVA'!$AA$7)*1*(1-0.03)</f>
        <v>373.90159935253052</v>
      </c>
      <c r="AB677" s="6">
        <f>$K$677*$V$677</f>
        <v>0</v>
      </c>
      <c r="AC677" s="6">
        <f>$M$677*$W$677</f>
        <v>14802.621658999999</v>
      </c>
      <c r="AD677" s="6">
        <f>$O$677*$X$677</f>
        <v>5749.7177399999991</v>
      </c>
      <c r="AE677" s="6">
        <f>$K$677*$Y$677</f>
        <v>0</v>
      </c>
      <c r="AF677" s="6">
        <f ca="1">$M$677*$Z$677</f>
        <v>15033.266618957266</v>
      </c>
      <c r="AG677" s="6">
        <f>$O$677*$AA$677</f>
        <v>6238.5481851969716</v>
      </c>
    </row>
    <row r="678" spans="1:33" ht="11.25" customHeight="1" x14ac:dyDescent="0.25">
      <c r="A678" s="4" t="s">
        <v>21</v>
      </c>
      <c r="B678" s="4" t="s">
        <v>39</v>
      </c>
      <c r="C678" s="4" t="s">
        <v>41</v>
      </c>
      <c r="D678" s="4" t="s">
        <v>49</v>
      </c>
      <c r="E678" s="4" t="s">
        <v>50</v>
      </c>
      <c r="F678" s="4" t="s">
        <v>25</v>
      </c>
      <c r="G678" s="4" t="s">
        <v>25</v>
      </c>
      <c r="H678" s="4" t="s">
        <v>34</v>
      </c>
      <c r="I678" s="5">
        <v>44256</v>
      </c>
      <c r="J678" s="6">
        <v>0</v>
      </c>
      <c r="K678" s="43">
        <v>0</v>
      </c>
      <c r="L678" s="6">
        <v>18.707999999999998</v>
      </c>
      <c r="M678" s="43">
        <v>18.707999999999998</v>
      </c>
      <c r="N678" s="6">
        <v>18.707999999999998</v>
      </c>
      <c r="O678" s="43">
        <v>18.707999999999998</v>
      </c>
      <c r="P678" s="6">
        <v>0</v>
      </c>
      <c r="Q678" s="4" t="s">
        <v>26</v>
      </c>
      <c r="R678" s="4">
        <v>0</v>
      </c>
      <c r="S678" s="6">
        <v>0</v>
      </c>
      <c r="T678" s="6">
        <v>24</v>
      </c>
      <c r="U678" s="6">
        <v>67</v>
      </c>
      <c r="V678" s="43">
        <f>IF(ISERROR(VLOOKUP($S$678,'TAR FIN'!$A$1:$O$100,15,0)),0,VLOOKUP($S$678,'TAR FIN'!$A$1:$O$100,15,0))</f>
        <v>0</v>
      </c>
      <c r="W678" s="43">
        <f>IF(ISERROR(VLOOKUP($T$678,'TAR FIN'!$A$1:$O$100,15,0)),0,VLOOKUP($T$678,'TAR FIN'!$A$1:$O$100,15,0))*(1-0.06)</f>
        <v>887.18139999999994</v>
      </c>
      <c r="X678" s="43">
        <f>IF(ISERROR(VLOOKUP($U$678,'TAR FIN'!$A$1:$O$100,15,0)),0,VLOOKUP($U$678,'TAR FIN'!$A$1:$O$100,15,0))*(1-0.06)</f>
        <v>344.60399999999998</v>
      </c>
      <c r="Y678" s="43"/>
      <c r="Z678" s="43">
        <f ca="1">('TUSD BE'!$AM$21+'TUSD BF'!$AM$21+'TUSD CVA'!$AM$21)*1*(1-0.03)</f>
        <v>901.00489175650387</v>
      </c>
      <c r="AA678" s="43">
        <f>('TE BE'!$AA$7+'TE BF'!$AA$7+'TE CVA'!$AA$7)*1*(1-0.03)</f>
        <v>373.90159935253052</v>
      </c>
      <c r="AB678" s="6">
        <f>$K$678*$V$678</f>
        <v>0</v>
      </c>
      <c r="AC678" s="6">
        <f>$M$678*$W$678</f>
        <v>16597.389631199996</v>
      </c>
      <c r="AD678" s="6">
        <f>$O$678*$X$678</f>
        <v>6446.851631999999</v>
      </c>
      <c r="AE678" s="6">
        <f>$K$678*$Y$678</f>
        <v>0</v>
      </c>
      <c r="AF678" s="6">
        <f ca="1">$M$678*$Z$678</f>
        <v>16855.999514980675</v>
      </c>
      <c r="AG678" s="6">
        <f>$O$678*$AA$678</f>
        <v>6994.9511206871402</v>
      </c>
    </row>
    <row r="679" spans="1:33" ht="11.25" customHeight="1" x14ac:dyDescent="0.25">
      <c r="A679" s="4" t="s">
        <v>21</v>
      </c>
      <c r="B679" s="4" t="s">
        <v>39</v>
      </c>
      <c r="C679" s="4" t="s">
        <v>41</v>
      </c>
      <c r="D679" s="4" t="s">
        <v>49</v>
      </c>
      <c r="E679" s="4" t="s">
        <v>50</v>
      </c>
      <c r="F679" s="4" t="s">
        <v>25</v>
      </c>
      <c r="G679" s="4" t="s">
        <v>25</v>
      </c>
      <c r="H679" s="4" t="s">
        <v>34</v>
      </c>
      <c r="I679" s="5">
        <v>44287</v>
      </c>
      <c r="J679" s="6">
        <v>0</v>
      </c>
      <c r="K679" s="43">
        <v>0</v>
      </c>
      <c r="L679" s="6">
        <v>18.599</v>
      </c>
      <c r="M679" s="43">
        <v>18.599</v>
      </c>
      <c r="N679" s="6">
        <v>18.599</v>
      </c>
      <c r="O679" s="43">
        <v>18.599</v>
      </c>
      <c r="P679" s="6">
        <v>0</v>
      </c>
      <c r="Q679" s="4" t="s">
        <v>26</v>
      </c>
      <c r="R679" s="4">
        <v>0</v>
      </c>
      <c r="S679" s="6">
        <v>0</v>
      </c>
      <c r="T679" s="6">
        <v>24</v>
      </c>
      <c r="U679" s="6">
        <v>67</v>
      </c>
      <c r="V679" s="43">
        <f>IF(ISERROR(VLOOKUP($S$679,'TAR FIN'!$A$1:$O$100,15,0)),0,VLOOKUP($S$679,'TAR FIN'!$A$1:$O$100,15,0))</f>
        <v>0</v>
      </c>
      <c r="W679" s="43">
        <f>IF(ISERROR(VLOOKUP($T$679,'TAR FIN'!$A$1:$O$100,15,0)),0,VLOOKUP($T$679,'TAR FIN'!$A$1:$O$100,15,0))*(1-0.06)</f>
        <v>887.18139999999994</v>
      </c>
      <c r="X679" s="43">
        <f>IF(ISERROR(VLOOKUP($U$679,'TAR FIN'!$A$1:$O$100,15,0)),0,VLOOKUP($U$679,'TAR FIN'!$A$1:$O$100,15,0))*(1-0.06)</f>
        <v>344.60399999999998</v>
      </c>
      <c r="Y679" s="43"/>
      <c r="Z679" s="43">
        <f ca="1">('TUSD BE'!$AM$21+'TUSD BF'!$AM$21+'TUSD CVA'!$AM$21)*1*(1-0.03)</f>
        <v>901.00489175650387</v>
      </c>
      <c r="AA679" s="43">
        <f>('TE BE'!$AA$7+'TE BF'!$AA$7+'TE CVA'!$AA$7)*1*(1-0.03)</f>
        <v>373.90159935253052</v>
      </c>
      <c r="AB679" s="6">
        <f>$K$679*$V$679</f>
        <v>0</v>
      </c>
      <c r="AC679" s="6">
        <f>$M$679*$W$679</f>
        <v>16500.686858599998</v>
      </c>
      <c r="AD679" s="6">
        <f>$O$679*$X$679</f>
        <v>6409.289796</v>
      </c>
      <c r="AE679" s="6">
        <f>$K$679*$Y$679</f>
        <v>0</v>
      </c>
      <c r="AF679" s="6">
        <f ca="1">$M$679*$Z$679</f>
        <v>16757.789981779217</v>
      </c>
      <c r="AG679" s="6">
        <f>$O$679*$AA$679</f>
        <v>6954.1958463577157</v>
      </c>
    </row>
    <row r="680" spans="1:33" ht="11.25" customHeight="1" x14ac:dyDescent="0.25">
      <c r="A680" s="4" t="s">
        <v>21</v>
      </c>
      <c r="B680" s="4" t="s">
        <v>39</v>
      </c>
      <c r="C680" s="4" t="s">
        <v>41</v>
      </c>
      <c r="D680" s="4" t="s">
        <v>49</v>
      </c>
      <c r="E680" s="4" t="s">
        <v>50</v>
      </c>
      <c r="F680" s="4" t="s">
        <v>25</v>
      </c>
      <c r="G680" s="4" t="s">
        <v>25</v>
      </c>
      <c r="H680" s="4" t="s">
        <v>34</v>
      </c>
      <c r="I680" s="5">
        <v>44317</v>
      </c>
      <c r="J680" s="6">
        <v>0</v>
      </c>
      <c r="K680" s="43">
        <v>0</v>
      </c>
      <c r="L680" s="6">
        <v>18.626000000000001</v>
      </c>
      <c r="M680" s="43">
        <v>18.626000000000001</v>
      </c>
      <c r="N680" s="6">
        <v>18.626000000000001</v>
      </c>
      <c r="O680" s="43">
        <v>18.626000000000001</v>
      </c>
      <c r="P680" s="6">
        <v>0</v>
      </c>
      <c r="Q680" s="4" t="s">
        <v>26</v>
      </c>
      <c r="R680" s="4">
        <v>0</v>
      </c>
      <c r="S680" s="6">
        <v>0</v>
      </c>
      <c r="T680" s="6">
        <v>24</v>
      </c>
      <c r="U680" s="6">
        <v>67</v>
      </c>
      <c r="V680" s="43">
        <f>IF(ISERROR(VLOOKUP($S$680,'TAR FIN'!$A$1:$O$100,15,0)),0,VLOOKUP($S$680,'TAR FIN'!$A$1:$O$100,15,0))</f>
        <v>0</v>
      </c>
      <c r="W680" s="43">
        <f>IF(ISERROR(VLOOKUP($T$680,'TAR FIN'!$A$1:$O$100,15,0)),0,VLOOKUP($T$680,'TAR FIN'!$A$1:$O$100,15,0))*(1-0.06)</f>
        <v>887.18139999999994</v>
      </c>
      <c r="X680" s="43">
        <f>IF(ISERROR(VLOOKUP($U$680,'TAR FIN'!$A$1:$O$100,15,0)),0,VLOOKUP($U$680,'TAR FIN'!$A$1:$O$100,15,0))*(1-0.06)</f>
        <v>344.60399999999998</v>
      </c>
      <c r="Y680" s="43"/>
      <c r="Z680" s="43">
        <f ca="1">('TUSD BE'!$AM$21+'TUSD BF'!$AM$21+'TUSD CVA'!$AM$21)*1*(1-0.03)</f>
        <v>901.00489175650387</v>
      </c>
      <c r="AA680" s="43">
        <f>('TE BE'!$AA$7+'TE BF'!$AA$7+'TE CVA'!$AA$7)*1*(1-0.03)</f>
        <v>373.90159935253052</v>
      </c>
      <c r="AB680" s="6">
        <f>$K$680*$V$680</f>
        <v>0</v>
      </c>
      <c r="AC680" s="6">
        <f>$M$680*$W$680</f>
        <v>16524.6407564</v>
      </c>
      <c r="AD680" s="6">
        <f>$O$680*$X$680</f>
        <v>6418.5941039999998</v>
      </c>
      <c r="AE680" s="6">
        <f>$K$680*$Y$680</f>
        <v>0</v>
      </c>
      <c r="AF680" s="6">
        <f ca="1">$M$680*$Z$680</f>
        <v>16782.117113856642</v>
      </c>
      <c r="AG680" s="6">
        <f>$O$680*$AA$680</f>
        <v>6964.291189540234</v>
      </c>
    </row>
    <row r="681" spans="1:33" ht="11.25" customHeight="1" x14ac:dyDescent="0.25">
      <c r="A681" s="4" t="s">
        <v>21</v>
      </c>
      <c r="B681" s="4" t="s">
        <v>39</v>
      </c>
      <c r="C681" s="4" t="s">
        <v>41</v>
      </c>
      <c r="D681" s="4" t="s">
        <v>49</v>
      </c>
      <c r="E681" s="4" t="s">
        <v>50</v>
      </c>
      <c r="F681" s="4" t="s">
        <v>25</v>
      </c>
      <c r="G681" s="4" t="s">
        <v>25</v>
      </c>
      <c r="H681" s="4" t="s">
        <v>34</v>
      </c>
      <c r="I681" s="5">
        <v>44348</v>
      </c>
      <c r="J681" s="6">
        <v>0</v>
      </c>
      <c r="K681" s="43">
        <v>0</v>
      </c>
      <c r="L681" s="6">
        <v>18.396000000000001</v>
      </c>
      <c r="M681" s="43">
        <v>18.396000000000001</v>
      </c>
      <c r="N681" s="6">
        <v>18.396000000000001</v>
      </c>
      <c r="O681" s="43">
        <v>18.396000000000001</v>
      </c>
      <c r="P681" s="6">
        <v>0</v>
      </c>
      <c r="Q681" s="4" t="s">
        <v>26</v>
      </c>
      <c r="R681" s="4">
        <v>0</v>
      </c>
      <c r="S681" s="6">
        <v>0</v>
      </c>
      <c r="T681" s="6">
        <v>24</v>
      </c>
      <c r="U681" s="6">
        <v>67</v>
      </c>
      <c r="V681" s="43">
        <f>IF(ISERROR(VLOOKUP($S$681,'TAR FIN'!$A$1:$O$100,15,0)),0,VLOOKUP($S$681,'TAR FIN'!$A$1:$O$100,15,0))</f>
        <v>0</v>
      </c>
      <c r="W681" s="43">
        <f>IF(ISERROR(VLOOKUP($T$681,'TAR FIN'!$A$1:$O$100,15,0)),0,VLOOKUP($T$681,'TAR FIN'!$A$1:$O$100,15,0))*(1-0.06)</f>
        <v>887.18139999999994</v>
      </c>
      <c r="X681" s="43">
        <f>IF(ISERROR(VLOOKUP($U$681,'TAR FIN'!$A$1:$O$100,15,0)),0,VLOOKUP($U$681,'TAR FIN'!$A$1:$O$100,15,0))*(1-0.06)</f>
        <v>344.60399999999998</v>
      </c>
      <c r="Y681" s="43"/>
      <c r="Z681" s="43">
        <f ca="1">('TUSD BE'!$AM$21+'TUSD BF'!$AM$21+'TUSD CVA'!$AM$21)*1*(1-0.03)</f>
        <v>901.00489175650387</v>
      </c>
      <c r="AA681" s="43">
        <f>('TE BE'!$AA$7+'TE BF'!$AA$7+'TE CVA'!$AA$7)*1*(1-0.03)</f>
        <v>373.90159935253052</v>
      </c>
      <c r="AB681" s="6">
        <f>$K$681*$V$681</f>
        <v>0</v>
      </c>
      <c r="AC681" s="6">
        <f>$M$681*$W$681</f>
        <v>16320.5890344</v>
      </c>
      <c r="AD681" s="6">
        <f>$O$681*$X$681</f>
        <v>6339.3351839999996</v>
      </c>
      <c r="AE681" s="6">
        <f>$K$681*$Y$681</f>
        <v>0</v>
      </c>
      <c r="AF681" s="6">
        <f ca="1">$M$681*$Z$681</f>
        <v>16574.885988752645</v>
      </c>
      <c r="AG681" s="6">
        <f>$O$681*$AA$681</f>
        <v>6878.2938216891516</v>
      </c>
    </row>
    <row r="682" spans="1:33" ht="11.25" customHeight="1" x14ac:dyDescent="0.25">
      <c r="A682" s="4" t="s">
        <v>21</v>
      </c>
      <c r="B682" s="4" t="s">
        <v>39</v>
      </c>
      <c r="C682" s="4" t="s">
        <v>41</v>
      </c>
      <c r="D682" s="4" t="s">
        <v>49</v>
      </c>
      <c r="E682" s="4" t="s">
        <v>50</v>
      </c>
      <c r="F682" s="4" t="s">
        <v>25</v>
      </c>
      <c r="G682" s="4" t="s">
        <v>25</v>
      </c>
      <c r="H682" s="4" t="s">
        <v>34</v>
      </c>
      <c r="I682" s="5">
        <v>44378</v>
      </c>
      <c r="J682" s="6">
        <v>0</v>
      </c>
      <c r="K682" s="43">
        <v>0</v>
      </c>
      <c r="L682" s="6">
        <v>18.393999999999998</v>
      </c>
      <c r="M682" s="43">
        <v>18.393999999999998</v>
      </c>
      <c r="N682" s="6">
        <v>18.393999999999998</v>
      </c>
      <c r="O682" s="43">
        <v>18.393999999999998</v>
      </c>
      <c r="P682" s="6">
        <v>0</v>
      </c>
      <c r="Q682" s="4" t="s">
        <v>26</v>
      </c>
      <c r="R682" s="4">
        <v>0</v>
      </c>
      <c r="S682" s="6">
        <v>0</v>
      </c>
      <c r="T682" s="6">
        <v>24</v>
      </c>
      <c r="U682" s="6">
        <v>67</v>
      </c>
      <c r="V682" s="43">
        <f>IF(ISERROR(VLOOKUP($S$682,'TAR FIN'!$A$1:$O$100,15,0)),0,VLOOKUP($S$682,'TAR FIN'!$A$1:$O$100,15,0))</f>
        <v>0</v>
      </c>
      <c r="W682" s="43">
        <f>IF(ISERROR(VLOOKUP($T$682,'TAR FIN'!$A$1:$O$100,15,0)),0,VLOOKUP($T$682,'TAR FIN'!$A$1:$O$100,15,0))*(1-0.06)</f>
        <v>887.18139999999994</v>
      </c>
      <c r="X682" s="43">
        <f>IF(ISERROR(VLOOKUP($U$682,'TAR FIN'!$A$1:$O$100,15,0)),0,VLOOKUP($U$682,'TAR FIN'!$A$1:$O$100,15,0))*(1-0.06)</f>
        <v>344.60399999999998</v>
      </c>
      <c r="Y682" s="43"/>
      <c r="Z682" s="43">
        <f ca="1">('TUSD BE'!$AM$21+'TUSD BF'!$AM$21+'TUSD CVA'!$AM$21)*1*(1-0.03)</f>
        <v>901.00489175650387</v>
      </c>
      <c r="AA682" s="43">
        <f>('TE BE'!$AA$7+'TE BF'!$AA$7+'TE CVA'!$AA$7)*1*(1-0.03)</f>
        <v>373.90159935253052</v>
      </c>
      <c r="AB682" s="6">
        <f>$K$682*$V$682</f>
        <v>0</v>
      </c>
      <c r="AC682" s="6">
        <f>$M$682*$W$682</f>
        <v>16318.814671599997</v>
      </c>
      <c r="AD682" s="6">
        <f>$O$682*$X$682</f>
        <v>6338.6459759999989</v>
      </c>
      <c r="AE682" s="6">
        <f>$K$682*$Y$682</f>
        <v>0</v>
      </c>
      <c r="AF682" s="6">
        <f ca="1">$M$682*$Z$682</f>
        <v>16573.083978969131</v>
      </c>
      <c r="AG682" s="6">
        <f>$O$682*$AA$682</f>
        <v>6877.5460184904459</v>
      </c>
    </row>
    <row r="683" spans="1:33" ht="11.25" customHeight="1" x14ac:dyDescent="0.25">
      <c r="A683" s="4" t="s">
        <v>21</v>
      </c>
      <c r="B683" s="4" t="s">
        <v>39</v>
      </c>
      <c r="C683" s="4" t="s">
        <v>41</v>
      </c>
      <c r="D683" s="4" t="s">
        <v>49</v>
      </c>
      <c r="E683" s="4" t="s">
        <v>50</v>
      </c>
      <c r="F683" s="4" t="s">
        <v>25</v>
      </c>
      <c r="G683" s="4" t="s">
        <v>25</v>
      </c>
      <c r="H683" s="4" t="s">
        <v>34</v>
      </c>
      <c r="I683" s="5">
        <v>44409</v>
      </c>
      <c r="J683" s="6">
        <v>0</v>
      </c>
      <c r="K683" s="43">
        <v>0</v>
      </c>
      <c r="L683" s="6">
        <v>19.405999999999999</v>
      </c>
      <c r="M683" s="43">
        <v>19.405999999999999</v>
      </c>
      <c r="N683" s="6">
        <v>19.405999999999999</v>
      </c>
      <c r="O683" s="43">
        <v>19.405999999999999</v>
      </c>
      <c r="P683" s="6">
        <v>0</v>
      </c>
      <c r="Q683" s="4" t="s">
        <v>26</v>
      </c>
      <c r="R683" s="4">
        <v>0</v>
      </c>
      <c r="S683" s="6">
        <v>0</v>
      </c>
      <c r="T683" s="6">
        <v>24</v>
      </c>
      <c r="U683" s="6">
        <v>67</v>
      </c>
      <c r="V683" s="43">
        <f>IF(ISERROR(VLOOKUP($S$683,'TAR FIN'!$A$1:$O$100,15,0)),0,VLOOKUP($S$683,'TAR FIN'!$A$1:$O$100,15,0))</f>
        <v>0</v>
      </c>
      <c r="W683" s="43">
        <f>IF(ISERROR(VLOOKUP($T$683,'TAR FIN'!$A$1:$O$100,15,0)),0,VLOOKUP($T$683,'TAR FIN'!$A$1:$O$100,15,0))*(1-0.06)</f>
        <v>887.18139999999994</v>
      </c>
      <c r="X683" s="43">
        <f>IF(ISERROR(VLOOKUP($U$683,'TAR FIN'!$A$1:$O$100,15,0)),0,VLOOKUP($U$683,'TAR FIN'!$A$1:$O$100,15,0))*(1-0.06)</f>
        <v>344.60399999999998</v>
      </c>
      <c r="Y683" s="43"/>
      <c r="Z683" s="43">
        <f ca="1">('TUSD BE'!$AM$21+'TUSD BF'!$AM$21+'TUSD CVA'!$AM$21)*1*(1-0.03)</f>
        <v>901.00489175650387</v>
      </c>
      <c r="AA683" s="43">
        <f>('TE BE'!$AA$7+'TE BF'!$AA$7+'TE CVA'!$AA$7)*1*(1-0.03)</f>
        <v>373.90159935253052</v>
      </c>
      <c r="AB683" s="6">
        <f>$K$683*$V$683</f>
        <v>0</v>
      </c>
      <c r="AC683" s="6">
        <f>$M$683*$W$683</f>
        <v>17216.6422484</v>
      </c>
      <c r="AD683" s="6">
        <f>$O$683*$X$683</f>
        <v>6687.3852239999997</v>
      </c>
      <c r="AE683" s="6">
        <f>$K$683*$Y$683</f>
        <v>0</v>
      </c>
      <c r="AF683" s="6">
        <f ca="1">$M$683*$Z$683</f>
        <v>17484.900929426713</v>
      </c>
      <c r="AG683" s="6">
        <f>$O$683*$AA$683</f>
        <v>7255.9344370352073</v>
      </c>
    </row>
    <row r="684" spans="1:33" ht="11.25" customHeight="1" x14ac:dyDescent="0.25">
      <c r="A684" s="4" t="s">
        <v>21</v>
      </c>
      <c r="B684" s="4" t="s">
        <v>39</v>
      </c>
      <c r="C684" s="4" t="s">
        <v>41</v>
      </c>
      <c r="D684" s="4" t="s">
        <v>49</v>
      </c>
      <c r="E684" s="4" t="s">
        <v>50</v>
      </c>
      <c r="F684" s="4" t="s">
        <v>25</v>
      </c>
      <c r="G684" s="4" t="s">
        <v>25</v>
      </c>
      <c r="H684" s="4" t="s">
        <v>34</v>
      </c>
      <c r="I684" s="5">
        <v>44440</v>
      </c>
      <c r="J684" s="6">
        <v>0</v>
      </c>
      <c r="K684" s="43">
        <v>0</v>
      </c>
      <c r="L684" s="6">
        <v>18.053999999999998</v>
      </c>
      <c r="M684" s="43">
        <v>18.053999999999998</v>
      </c>
      <c r="N684" s="6">
        <v>18.053999999999998</v>
      </c>
      <c r="O684" s="43">
        <v>18.053999999999998</v>
      </c>
      <c r="P684" s="6">
        <v>0</v>
      </c>
      <c r="Q684" s="4" t="s">
        <v>26</v>
      </c>
      <c r="R684" s="4">
        <v>0</v>
      </c>
      <c r="S684" s="6">
        <v>0</v>
      </c>
      <c r="T684" s="6">
        <v>24</v>
      </c>
      <c r="U684" s="6">
        <v>67</v>
      </c>
      <c r="V684" s="43">
        <f>IF(ISERROR(VLOOKUP($S$684,'TAR FIN'!$A$1:$O$100,15,0)),0,VLOOKUP($S$684,'TAR FIN'!$A$1:$O$100,15,0))</f>
        <v>0</v>
      </c>
      <c r="W684" s="43">
        <f>IF(ISERROR(VLOOKUP($T$684,'TAR FIN'!$A$1:$O$100,15,0)),0,VLOOKUP($T$684,'TAR FIN'!$A$1:$O$100,15,0))*(1-0.06)</f>
        <v>887.18139999999994</v>
      </c>
      <c r="X684" s="43">
        <f>IF(ISERROR(VLOOKUP($U$684,'TAR FIN'!$A$1:$O$100,15,0)),0,VLOOKUP($U$684,'TAR FIN'!$A$1:$O$100,15,0))*(1-0.06)</f>
        <v>344.60399999999998</v>
      </c>
      <c r="Y684" s="43"/>
      <c r="Z684" s="43">
        <f ca="1">('TUSD BE'!$AM$21+'TUSD BF'!$AM$21+'TUSD CVA'!$AM$21)*1*(1-0.03)</f>
        <v>901.00489175650387</v>
      </c>
      <c r="AA684" s="43">
        <f>('TE BE'!$AA$7+'TE BF'!$AA$7+'TE CVA'!$AA$7)*1*(1-0.03)</f>
        <v>373.90159935253052</v>
      </c>
      <c r="AB684" s="6">
        <f>$K$684*$V$684</f>
        <v>0</v>
      </c>
      <c r="AC684" s="6">
        <f>$M$684*$W$684</f>
        <v>16017.172995599998</v>
      </c>
      <c r="AD684" s="6">
        <f>$O$684*$X$684</f>
        <v>6221.4806159999989</v>
      </c>
      <c r="AE684" s="6">
        <f>$K$684*$Y$684</f>
        <v>0</v>
      </c>
      <c r="AF684" s="6">
        <f ca="1">$M$684*$Z$684</f>
        <v>16266.742315771919</v>
      </c>
      <c r="AG684" s="6">
        <f>$O$684*$AA$684</f>
        <v>6750.4194747105857</v>
      </c>
    </row>
    <row r="685" spans="1:33" ht="11.25" customHeight="1" x14ac:dyDescent="0.25">
      <c r="A685" s="4" t="s">
        <v>21</v>
      </c>
      <c r="B685" s="4" t="s">
        <v>39</v>
      </c>
      <c r="C685" s="4" t="s">
        <v>41</v>
      </c>
      <c r="D685" s="4" t="s">
        <v>49</v>
      </c>
      <c r="E685" s="4" t="s">
        <v>50</v>
      </c>
      <c r="F685" s="4" t="s">
        <v>25</v>
      </c>
      <c r="G685" s="4" t="s">
        <v>25</v>
      </c>
      <c r="H685" s="4" t="s">
        <v>34</v>
      </c>
      <c r="I685" s="5">
        <v>44470</v>
      </c>
      <c r="J685" s="6">
        <v>0</v>
      </c>
      <c r="K685" s="43">
        <v>0</v>
      </c>
      <c r="L685" s="6">
        <v>14.632999999999999</v>
      </c>
      <c r="M685" s="43">
        <v>14.632999999999999</v>
      </c>
      <c r="N685" s="6">
        <v>14.632999999999999</v>
      </c>
      <c r="O685" s="43">
        <v>14.632999999999999</v>
      </c>
      <c r="P685" s="6">
        <v>0</v>
      </c>
      <c r="Q685" s="4" t="s">
        <v>26</v>
      </c>
      <c r="R685" s="4">
        <v>0</v>
      </c>
      <c r="S685" s="6">
        <v>0</v>
      </c>
      <c r="T685" s="6">
        <v>24</v>
      </c>
      <c r="U685" s="6">
        <v>67</v>
      </c>
      <c r="V685" s="43">
        <f>IF(ISERROR(VLOOKUP($S$685,'TAR FIN'!$A$1:$O$100,15,0)),0,VLOOKUP($S$685,'TAR FIN'!$A$1:$O$100,15,0))</f>
        <v>0</v>
      </c>
      <c r="W685" s="43">
        <f>IF(ISERROR(VLOOKUP($T$685,'TAR FIN'!$A$1:$O$100,15,0)),0,VLOOKUP($T$685,'TAR FIN'!$A$1:$O$100,15,0))*(1-0.06)</f>
        <v>887.18139999999994</v>
      </c>
      <c r="X685" s="43">
        <f>IF(ISERROR(VLOOKUP($U$685,'TAR FIN'!$A$1:$O$100,15,0)),0,VLOOKUP($U$685,'TAR FIN'!$A$1:$O$100,15,0))*(1-0.06)</f>
        <v>344.60399999999998</v>
      </c>
      <c r="Y685" s="43"/>
      <c r="Z685" s="43">
        <f ca="1">('TUSD BE'!$AM$21+'TUSD BF'!$AM$21+'TUSD CVA'!$AM$21)*1*(1-0.03)</f>
        <v>901.00489175650387</v>
      </c>
      <c r="AA685" s="43">
        <f>('TE BE'!$AA$7+'TE BF'!$AA$7+'TE CVA'!$AA$7)*1*(1-0.03)</f>
        <v>373.90159935253052</v>
      </c>
      <c r="AB685" s="6">
        <f>$K$685*$V$685</f>
        <v>0</v>
      </c>
      <c r="AC685" s="6">
        <f>$M$685*$W$685</f>
        <v>12982.125426199998</v>
      </c>
      <c r="AD685" s="6">
        <f>$O$685*$X$685</f>
        <v>5042.5903319999998</v>
      </c>
      <c r="AE685" s="6">
        <f>$K$685*$Y$685</f>
        <v>0</v>
      </c>
      <c r="AF685" s="6">
        <f ca="1">$M$685*$Z$685</f>
        <v>13184.40458107292</v>
      </c>
      <c r="AG685" s="6">
        <f>$O$685*$AA$685</f>
        <v>5471.3021033255791</v>
      </c>
    </row>
    <row r="686" spans="1:33" ht="11.25" customHeight="1" x14ac:dyDescent="0.25">
      <c r="A686" s="4" t="s">
        <v>21</v>
      </c>
      <c r="B686" s="4" t="s">
        <v>39</v>
      </c>
      <c r="C686" s="4" t="s">
        <v>41</v>
      </c>
      <c r="D686" s="4" t="s">
        <v>49</v>
      </c>
      <c r="E686" s="4" t="s">
        <v>50</v>
      </c>
      <c r="F686" s="4" t="s">
        <v>25</v>
      </c>
      <c r="G686" s="4" t="s">
        <v>25</v>
      </c>
      <c r="H686" s="4" t="s">
        <v>34</v>
      </c>
      <c r="I686" s="5">
        <v>44501</v>
      </c>
      <c r="J686" s="6">
        <v>0</v>
      </c>
      <c r="K686" s="43">
        <v>0</v>
      </c>
      <c r="L686" s="6">
        <v>14.364000000000001</v>
      </c>
      <c r="M686" s="43">
        <v>14.364000000000001</v>
      </c>
      <c r="N686" s="6">
        <v>14.364000000000001</v>
      </c>
      <c r="O686" s="43">
        <v>14.364000000000001</v>
      </c>
      <c r="P686" s="6">
        <v>0</v>
      </c>
      <c r="Q686" s="4" t="s">
        <v>26</v>
      </c>
      <c r="R686" s="4">
        <v>0</v>
      </c>
      <c r="S686" s="6">
        <v>0</v>
      </c>
      <c r="T686" s="6">
        <v>24</v>
      </c>
      <c r="U686" s="6">
        <v>67</v>
      </c>
      <c r="V686" s="43">
        <f>IF(ISERROR(VLOOKUP($S$686,'TAR FIN'!$A$1:$O$100,15,0)),0,VLOOKUP($S$686,'TAR FIN'!$A$1:$O$100,15,0))</f>
        <v>0</v>
      </c>
      <c r="W686" s="43">
        <f>IF(ISERROR(VLOOKUP($T$686,'TAR FIN'!$A$1:$O$100,15,0)),0,VLOOKUP($T$686,'TAR FIN'!$A$1:$O$100,15,0))*(1-0.06)</f>
        <v>887.18139999999994</v>
      </c>
      <c r="X686" s="43">
        <f>IF(ISERROR(VLOOKUP($U$686,'TAR FIN'!$A$1:$O$100,15,0)),0,VLOOKUP($U$686,'TAR FIN'!$A$1:$O$100,15,0))*(1-0.06)</f>
        <v>344.60399999999998</v>
      </c>
      <c r="Y686" s="43"/>
      <c r="Z686" s="43">
        <f ca="1">('TUSD BE'!$AM$21+'TUSD BF'!$AM$21+'TUSD CVA'!$AM$21)*1*(1-0.03)</f>
        <v>901.00489175650387</v>
      </c>
      <c r="AA686" s="43">
        <f>('TE BE'!$AA$7+'TE BF'!$AA$7+'TE CVA'!$AA$7)*1*(1-0.03)</f>
        <v>373.90159935253052</v>
      </c>
      <c r="AB686" s="6">
        <f>$K$686*$V$686</f>
        <v>0</v>
      </c>
      <c r="AC686" s="6">
        <f>$M$686*$W$686</f>
        <v>12743.473629599999</v>
      </c>
      <c r="AD686" s="6">
        <f>$O$686*$X$686</f>
        <v>4949.8918560000002</v>
      </c>
      <c r="AE686" s="6">
        <f>$K$686*$Y$686</f>
        <v>0</v>
      </c>
      <c r="AF686" s="6">
        <f ca="1">$M$686*$Z$686</f>
        <v>12942.034265190423</v>
      </c>
      <c r="AG686" s="6">
        <f>$O$686*$AA$686</f>
        <v>5370.7225730997488</v>
      </c>
    </row>
    <row r="687" spans="1:33" ht="11.25" customHeight="1" x14ac:dyDescent="0.25">
      <c r="A687" s="4" t="s">
        <v>21</v>
      </c>
      <c r="B687" s="4" t="s">
        <v>39</v>
      </c>
      <c r="C687" s="4" t="s">
        <v>41</v>
      </c>
      <c r="D687" s="4" t="s">
        <v>49</v>
      </c>
      <c r="E687" s="4" t="s">
        <v>50</v>
      </c>
      <c r="F687" s="4" t="s">
        <v>25</v>
      </c>
      <c r="G687" s="4" t="s">
        <v>25</v>
      </c>
      <c r="H687" s="4" t="s">
        <v>34</v>
      </c>
      <c r="I687" s="5">
        <v>44531</v>
      </c>
      <c r="J687" s="6">
        <v>0</v>
      </c>
      <c r="K687" s="43">
        <v>0</v>
      </c>
      <c r="L687" s="6">
        <v>19.558</v>
      </c>
      <c r="M687" s="43">
        <v>19.558</v>
      </c>
      <c r="N687" s="6">
        <v>19.558</v>
      </c>
      <c r="O687" s="43">
        <v>19.558</v>
      </c>
      <c r="P687" s="6">
        <v>0</v>
      </c>
      <c r="Q687" s="4" t="s">
        <v>26</v>
      </c>
      <c r="R687" s="4">
        <v>0</v>
      </c>
      <c r="S687" s="6">
        <v>0</v>
      </c>
      <c r="T687" s="6">
        <v>24</v>
      </c>
      <c r="U687" s="6">
        <v>67</v>
      </c>
      <c r="V687" s="43">
        <f>IF(ISERROR(VLOOKUP($S$687,'TAR FIN'!$A$1:$O$100,15,0)),0,VLOOKUP($S$687,'TAR FIN'!$A$1:$O$100,15,0))</f>
        <v>0</v>
      </c>
      <c r="W687" s="43">
        <f>IF(ISERROR(VLOOKUP($T$687,'TAR FIN'!$A$1:$O$100,15,0)),0,VLOOKUP($T$687,'TAR FIN'!$A$1:$O$100,15,0))*(1-0.06)</f>
        <v>887.18139999999994</v>
      </c>
      <c r="X687" s="43">
        <f>IF(ISERROR(VLOOKUP($U$687,'TAR FIN'!$A$1:$O$100,15,0)),0,VLOOKUP($U$687,'TAR FIN'!$A$1:$O$100,15,0))*(1-0.06)</f>
        <v>344.60399999999998</v>
      </c>
      <c r="Y687" s="43"/>
      <c r="Z687" s="43">
        <f ca="1">('TUSD BE'!$AM$21+'TUSD BF'!$AM$21+'TUSD CVA'!$AM$21)*1*(1-0.03)</f>
        <v>901.00489175650387</v>
      </c>
      <c r="AA687" s="43">
        <f>('TE BE'!$AA$7+'TE BF'!$AA$7+'TE CVA'!$AA$7)*1*(1-0.03)</f>
        <v>373.90159935253052</v>
      </c>
      <c r="AB687" s="6">
        <f>$K$687*$V$687</f>
        <v>0</v>
      </c>
      <c r="AC687" s="6">
        <f>$M$687*$W$687</f>
        <v>17351.493821199998</v>
      </c>
      <c r="AD687" s="6">
        <f>$O$687*$X$687</f>
        <v>6739.7650319999993</v>
      </c>
      <c r="AE687" s="6">
        <f>$K$687*$Y$687</f>
        <v>0</v>
      </c>
      <c r="AF687" s="6">
        <f ca="1">$M$687*$Z$687</f>
        <v>17621.853672973702</v>
      </c>
      <c r="AG687" s="6">
        <f>$O$687*$AA$687</f>
        <v>7312.7674801367921</v>
      </c>
    </row>
    <row r="688" spans="1:33" ht="11.25" customHeight="1" x14ac:dyDescent="0.25">
      <c r="A688" s="4" t="s">
        <v>55</v>
      </c>
      <c r="B688" s="4" t="s">
        <v>39</v>
      </c>
      <c r="C688" s="4" t="s">
        <v>41</v>
      </c>
      <c r="D688" s="4" t="s">
        <v>49</v>
      </c>
      <c r="E688" s="4" t="s">
        <v>50</v>
      </c>
      <c r="F688" s="4" t="s">
        <v>25</v>
      </c>
      <c r="G688" s="4" t="s">
        <v>25</v>
      </c>
      <c r="H688" s="4" t="s">
        <v>34</v>
      </c>
      <c r="I688" s="5">
        <v>44562</v>
      </c>
      <c r="J688" s="6">
        <v>0</v>
      </c>
      <c r="K688" s="43">
        <v>0</v>
      </c>
      <c r="L688" s="6">
        <v>19.558</v>
      </c>
      <c r="M688" s="43">
        <v>19.558</v>
      </c>
      <c r="N688" s="6">
        <v>19.558</v>
      </c>
      <c r="O688" s="43">
        <v>19.558</v>
      </c>
      <c r="P688" s="6">
        <v>0</v>
      </c>
      <c r="Q688" s="4" t="s">
        <v>26</v>
      </c>
      <c r="R688" s="4">
        <v>0</v>
      </c>
      <c r="S688" s="6">
        <v>0</v>
      </c>
      <c r="T688" s="6">
        <v>24</v>
      </c>
      <c r="U688" s="6">
        <v>67</v>
      </c>
      <c r="V688" s="43">
        <f>IF(ISERROR(VLOOKUP($S$688,'TAR FIN'!$A$1:$O$100,15,0)),0,VLOOKUP($S$688,'TAR FIN'!$A$1:$O$100,15,0))</f>
        <v>0</v>
      </c>
      <c r="W688" s="43">
        <f>IF(ISERROR(VLOOKUP($T$688,'TAR FIN'!$A$1:$O$100,15,0)),0,VLOOKUP($T$688,'TAR FIN'!$A$1:$O$100,15,0))*(1-0.06)</f>
        <v>887.18139999999994</v>
      </c>
      <c r="X688" s="43">
        <f>IF(ISERROR(VLOOKUP($U$688,'TAR FIN'!$A$1:$O$100,15,0)),0,VLOOKUP($U$688,'TAR FIN'!$A$1:$O$100,15,0))*(1-0.06)</f>
        <v>344.60399999999998</v>
      </c>
      <c r="Y688" s="43"/>
      <c r="Z688" s="43">
        <f ca="1">('TUSD BE'!$AM$21+'TUSD BF'!$AM$21+'TUSD CVA'!$AM$21)*1*(1-0.03)</f>
        <v>901.00489175650387</v>
      </c>
      <c r="AA688" s="43">
        <f>('TE BE'!$AA$7+'TE BF'!$AA$7+'TE CVA'!$AA$7)*1*(1-0.03)</f>
        <v>373.90159935253052</v>
      </c>
      <c r="AB688" s="6">
        <f>$K$688*$V$688</f>
        <v>0</v>
      </c>
      <c r="AC688" s="6">
        <f>$M$688*$W$688</f>
        <v>17351.493821199998</v>
      </c>
      <c r="AD688" s="6">
        <f>$O$688*$X$688</f>
        <v>6739.7650319999993</v>
      </c>
      <c r="AE688" s="6">
        <f>$K$688*$Y$688</f>
        <v>0</v>
      </c>
      <c r="AF688" s="6">
        <f ca="1">$M$688*$Z$688</f>
        <v>17621.853672973702</v>
      </c>
      <c r="AG688" s="6">
        <f>$O$688*$AA$688</f>
        <v>7312.7674801367921</v>
      </c>
    </row>
    <row r="689" spans="1:33" ht="11.25" customHeight="1" x14ac:dyDescent="0.25">
      <c r="A689" s="4" t="s">
        <v>21</v>
      </c>
      <c r="B689" s="4" t="s">
        <v>22</v>
      </c>
      <c r="C689" s="4" t="s">
        <v>33</v>
      </c>
      <c r="D689" s="4" t="s">
        <v>24</v>
      </c>
      <c r="E689" s="4" t="s">
        <v>24</v>
      </c>
      <c r="F689" s="4" t="s">
        <v>25</v>
      </c>
      <c r="G689" s="4" t="s">
        <v>25</v>
      </c>
      <c r="H689" s="4" t="s">
        <v>35</v>
      </c>
      <c r="I689" s="5">
        <v>44228</v>
      </c>
      <c r="J689" s="6">
        <v>0</v>
      </c>
      <c r="K689" s="6">
        <v>0</v>
      </c>
      <c r="L689" s="6">
        <v>6.6319999999999997</v>
      </c>
      <c r="M689" s="6">
        <v>6.6319999999999997</v>
      </c>
      <c r="N689" s="6">
        <v>6.6319999999999997</v>
      </c>
      <c r="O689" s="6">
        <v>6.6319999999999997</v>
      </c>
      <c r="P689" s="6">
        <v>0</v>
      </c>
      <c r="Q689" s="4" t="s">
        <v>26</v>
      </c>
      <c r="R689" s="4">
        <v>0</v>
      </c>
      <c r="S689" s="6">
        <v>0</v>
      </c>
      <c r="T689" s="6">
        <v>16</v>
      </c>
      <c r="U689" s="6">
        <v>72</v>
      </c>
      <c r="V689" s="6">
        <f>IF(ISERROR(VLOOKUP($S$689,'TAR FIN'!$A$1:$O$100,15,0)),0,VLOOKUP($S$689,'TAR FIN'!$A$1:$O$100,15,0))</f>
        <v>0</v>
      </c>
      <c r="W689" s="6">
        <f>IF(ISERROR(VLOOKUP($T$689,'TAR FIN'!$A$1:$O$100,15,0)),0,VLOOKUP($T$689,'TAR FIN'!$A$1:$O$100,15,0))</f>
        <v>204.7</v>
      </c>
      <c r="X689" s="6">
        <f>IF(ISERROR(VLOOKUP($U$689,'TAR FIN'!$A$1:$O$100,15,0)),0,VLOOKUP($U$689,'TAR FIN'!$A$1:$O$100,15,0))</f>
        <v>219.03</v>
      </c>
      <c r="Y689" s="6"/>
      <c r="Z689" s="6">
        <f ca="1">('TUSD BE'!$AM$29+'TUSD BF'!$AM$29+'TUSD CVA'!$AM$29)*1</f>
        <v>207.38016361420267</v>
      </c>
      <c r="AA689" s="6">
        <f>('TE BE'!$AA$12+'TE BF'!$AA$12+'TE CVA'!$AA$12)*1</f>
        <v>238.55077890362423</v>
      </c>
      <c r="AB689" s="6">
        <f>$K$689*$V$689</f>
        <v>0</v>
      </c>
      <c r="AC689" s="6">
        <f>$M$689*$W$689</f>
        <v>1357.5703999999998</v>
      </c>
      <c r="AD689" s="6">
        <f>$O$689*$X$689</f>
        <v>1452.6069599999998</v>
      </c>
      <c r="AE689" s="6">
        <f>$K$689*$Y$689</f>
        <v>0</v>
      </c>
      <c r="AF689" s="6">
        <f ca="1">$M$689*$Z$689</f>
        <v>1375.3452450893922</v>
      </c>
      <c r="AG689" s="6">
        <f>$O$689*$AA$689</f>
        <v>1582.0687656888358</v>
      </c>
    </row>
    <row r="690" spans="1:33" ht="11.25" customHeight="1" x14ac:dyDescent="0.25">
      <c r="A690" s="4" t="s">
        <v>21</v>
      </c>
      <c r="B690" s="4" t="s">
        <v>22</v>
      </c>
      <c r="C690" s="4" t="s">
        <v>33</v>
      </c>
      <c r="D690" s="4" t="s">
        <v>24</v>
      </c>
      <c r="E690" s="4" t="s">
        <v>24</v>
      </c>
      <c r="F690" s="4" t="s">
        <v>25</v>
      </c>
      <c r="G690" s="4" t="s">
        <v>25</v>
      </c>
      <c r="H690" s="4" t="s">
        <v>35</v>
      </c>
      <c r="I690" s="5">
        <v>44256</v>
      </c>
      <c r="J690" s="6">
        <v>0</v>
      </c>
      <c r="K690" s="6">
        <v>0</v>
      </c>
      <c r="L690" s="6">
        <v>7.2290000000000001</v>
      </c>
      <c r="M690" s="6">
        <v>7.2290000000000001</v>
      </c>
      <c r="N690" s="6">
        <v>7.2290000000000001</v>
      </c>
      <c r="O690" s="6">
        <v>7.2290000000000001</v>
      </c>
      <c r="P690" s="6">
        <v>0</v>
      </c>
      <c r="Q690" s="4" t="s">
        <v>26</v>
      </c>
      <c r="R690" s="4">
        <v>0</v>
      </c>
      <c r="S690" s="6">
        <v>0</v>
      </c>
      <c r="T690" s="6">
        <v>16</v>
      </c>
      <c r="U690" s="6">
        <v>72</v>
      </c>
      <c r="V690" s="6">
        <f>IF(ISERROR(VLOOKUP($S$690,'TAR FIN'!$A$1:$O$100,15,0)),0,VLOOKUP($S$690,'TAR FIN'!$A$1:$O$100,15,0))</f>
        <v>0</v>
      </c>
      <c r="W690" s="6">
        <f>IF(ISERROR(VLOOKUP($T$690,'TAR FIN'!$A$1:$O$100,15,0)),0,VLOOKUP($T$690,'TAR FIN'!$A$1:$O$100,15,0))</f>
        <v>204.7</v>
      </c>
      <c r="X690" s="6">
        <f>IF(ISERROR(VLOOKUP($U$690,'TAR FIN'!$A$1:$O$100,15,0)),0,VLOOKUP($U$690,'TAR FIN'!$A$1:$O$100,15,0))</f>
        <v>219.03</v>
      </c>
      <c r="Y690" s="6"/>
      <c r="Z690" s="6">
        <f ca="1">('TUSD BE'!$AM$29+'TUSD BF'!$AM$29+'TUSD CVA'!$AM$29)*1</f>
        <v>207.38016361420267</v>
      </c>
      <c r="AA690" s="6">
        <f>('TE BE'!$AA$12+'TE BF'!$AA$12+'TE CVA'!$AA$12)*1</f>
        <v>238.55077890362423</v>
      </c>
      <c r="AB690" s="6">
        <f>$K$690*$V$690</f>
        <v>0</v>
      </c>
      <c r="AC690" s="6">
        <f>$M$690*$W$690</f>
        <v>1479.7763</v>
      </c>
      <c r="AD690" s="6">
        <f>$O$690*$X$690</f>
        <v>1583.36787</v>
      </c>
      <c r="AE690" s="6">
        <f>$K$690*$Y$690</f>
        <v>0</v>
      </c>
      <c r="AF690" s="6">
        <f ca="1">$M$690*$Z$690</f>
        <v>1499.151202767071</v>
      </c>
      <c r="AG690" s="6">
        <f>$O$690*$AA$690</f>
        <v>1724.4835806942997</v>
      </c>
    </row>
    <row r="691" spans="1:33" ht="11.25" customHeight="1" x14ac:dyDescent="0.25">
      <c r="A691" s="4" t="s">
        <v>21</v>
      </c>
      <c r="B691" s="4" t="s">
        <v>22</v>
      </c>
      <c r="C691" s="4" t="s">
        <v>33</v>
      </c>
      <c r="D691" s="4" t="s">
        <v>24</v>
      </c>
      <c r="E691" s="4" t="s">
        <v>24</v>
      </c>
      <c r="F691" s="4" t="s">
        <v>25</v>
      </c>
      <c r="G691" s="4" t="s">
        <v>25</v>
      </c>
      <c r="H691" s="4" t="s">
        <v>35</v>
      </c>
      <c r="I691" s="5">
        <v>44287</v>
      </c>
      <c r="J691" s="6">
        <v>0</v>
      </c>
      <c r="K691" s="6">
        <v>0</v>
      </c>
      <c r="L691" s="6">
        <v>7.3940000000000001</v>
      </c>
      <c r="M691" s="6">
        <v>7.3940000000000001</v>
      </c>
      <c r="N691" s="6">
        <v>7.3940000000000001</v>
      </c>
      <c r="O691" s="6">
        <v>7.3940000000000001</v>
      </c>
      <c r="P691" s="6">
        <v>0</v>
      </c>
      <c r="Q691" s="4" t="s">
        <v>26</v>
      </c>
      <c r="R691" s="4">
        <v>0</v>
      </c>
      <c r="S691" s="6">
        <v>0</v>
      </c>
      <c r="T691" s="6">
        <v>16</v>
      </c>
      <c r="U691" s="6">
        <v>72</v>
      </c>
      <c r="V691" s="6">
        <f>IF(ISERROR(VLOOKUP($S$691,'TAR FIN'!$A$1:$O$100,15,0)),0,VLOOKUP($S$691,'TAR FIN'!$A$1:$O$100,15,0))</f>
        <v>0</v>
      </c>
      <c r="W691" s="6">
        <f>IF(ISERROR(VLOOKUP($T$691,'TAR FIN'!$A$1:$O$100,15,0)),0,VLOOKUP($T$691,'TAR FIN'!$A$1:$O$100,15,0))</f>
        <v>204.7</v>
      </c>
      <c r="X691" s="6">
        <f>IF(ISERROR(VLOOKUP($U$691,'TAR FIN'!$A$1:$O$100,15,0)),0,VLOOKUP($U$691,'TAR FIN'!$A$1:$O$100,15,0))</f>
        <v>219.03</v>
      </c>
      <c r="Y691" s="6"/>
      <c r="Z691" s="6">
        <f ca="1">('TUSD BE'!$AM$29+'TUSD BF'!$AM$29+'TUSD CVA'!$AM$29)*1</f>
        <v>207.38016361420267</v>
      </c>
      <c r="AA691" s="6">
        <f>('TE BE'!$AA$12+'TE BF'!$AA$12+'TE CVA'!$AA$12)*1</f>
        <v>238.55077890362423</v>
      </c>
      <c r="AB691" s="6">
        <f>$K$691*$V$691</f>
        <v>0</v>
      </c>
      <c r="AC691" s="6">
        <f>$M$691*$W$691</f>
        <v>1513.5518</v>
      </c>
      <c r="AD691" s="6">
        <f>$O$691*$X$691</f>
        <v>1619.50782</v>
      </c>
      <c r="AE691" s="6">
        <f>$K$691*$Y$691</f>
        <v>0</v>
      </c>
      <c r="AF691" s="6">
        <f ca="1">$M$691*$Z$691</f>
        <v>1533.3689297634146</v>
      </c>
      <c r="AG691" s="6">
        <f>$O$691*$AA$691</f>
        <v>1763.8444592133976</v>
      </c>
    </row>
    <row r="692" spans="1:33" ht="11.25" customHeight="1" x14ac:dyDescent="0.25">
      <c r="A692" s="4" t="s">
        <v>27</v>
      </c>
      <c r="B692" s="4" t="s">
        <v>22</v>
      </c>
      <c r="C692" s="4" t="s">
        <v>33</v>
      </c>
      <c r="D692" s="4" t="s">
        <v>24</v>
      </c>
      <c r="E692" s="4" t="s">
        <v>24</v>
      </c>
      <c r="F692" s="4" t="s">
        <v>25</v>
      </c>
      <c r="G692" s="4" t="s">
        <v>25</v>
      </c>
      <c r="H692" s="4" t="s">
        <v>35</v>
      </c>
      <c r="I692" s="5">
        <v>44287</v>
      </c>
      <c r="J692" s="6">
        <v>0</v>
      </c>
      <c r="K692" s="6">
        <v>0</v>
      </c>
      <c r="L692" s="6">
        <v>-3.1059999999999999</v>
      </c>
      <c r="M692" s="6">
        <v>-3.1059999999999999</v>
      </c>
      <c r="N692" s="6">
        <v>-3.1059999999999999</v>
      </c>
      <c r="O692" s="6">
        <v>-3.1059999999999999</v>
      </c>
      <c r="P692" s="6">
        <v>0</v>
      </c>
      <c r="Q692" s="4" t="s">
        <v>26</v>
      </c>
      <c r="R692" s="4">
        <v>0</v>
      </c>
      <c r="S692" s="6">
        <v>0</v>
      </c>
      <c r="T692" s="6">
        <v>16</v>
      </c>
      <c r="U692" s="6">
        <v>72</v>
      </c>
      <c r="V692" s="6">
        <f>IF(ISERROR(VLOOKUP($S$692,'TAR FIN'!$A$1:$O$100,15,0)),0,VLOOKUP($S$692,'TAR FIN'!$A$1:$O$100,15,0))</f>
        <v>0</v>
      </c>
      <c r="W692" s="6">
        <f>IF(ISERROR(VLOOKUP($T$692,'TAR FIN'!$A$1:$O$100,15,0)),0,VLOOKUP($T$692,'TAR FIN'!$A$1:$O$100,15,0))</f>
        <v>204.7</v>
      </c>
      <c r="X692" s="6">
        <f>IF(ISERROR(VLOOKUP($U$692,'TAR FIN'!$A$1:$O$100,15,0)),0,VLOOKUP($U$692,'TAR FIN'!$A$1:$O$100,15,0))</f>
        <v>219.03</v>
      </c>
      <c r="Y692" s="6"/>
      <c r="Z692" s="6">
        <f ca="1">('TUSD BE'!$AM$29+'TUSD BF'!$AM$29+'TUSD CVA'!$AM$29)*1</f>
        <v>207.38016361420267</v>
      </c>
      <c r="AA692" s="6">
        <f>('TE BE'!$AA$12+'TE BF'!$AA$12+'TE CVA'!$AA$12)*1</f>
        <v>238.55077890362423</v>
      </c>
      <c r="AB692" s="6">
        <f>$K$692*$V$692</f>
        <v>0</v>
      </c>
      <c r="AC692" s="6">
        <f>$M$692*$W$692</f>
        <v>-635.79819999999995</v>
      </c>
      <c r="AD692" s="6">
        <f>$O$692*$X$692</f>
        <v>-680.30718000000002</v>
      </c>
      <c r="AE692" s="6">
        <f>$K$692*$Y$692</f>
        <v>0</v>
      </c>
      <c r="AF692" s="6">
        <f ca="1">$M$692*$Z$692</f>
        <v>-644.12278818571349</v>
      </c>
      <c r="AG692" s="6">
        <f>$O$692*$AA$692</f>
        <v>-740.93871927465682</v>
      </c>
    </row>
    <row r="693" spans="1:33" ht="11.25" customHeight="1" x14ac:dyDescent="0.25">
      <c r="A693" s="4" t="s">
        <v>21</v>
      </c>
      <c r="B693" s="4" t="s">
        <v>22</v>
      </c>
      <c r="C693" s="4" t="s">
        <v>33</v>
      </c>
      <c r="D693" s="4" t="s">
        <v>24</v>
      </c>
      <c r="E693" s="4" t="s">
        <v>24</v>
      </c>
      <c r="F693" s="4" t="s">
        <v>25</v>
      </c>
      <c r="G693" s="4" t="s">
        <v>25</v>
      </c>
      <c r="H693" s="4" t="s">
        <v>35</v>
      </c>
      <c r="I693" s="5">
        <v>44317</v>
      </c>
      <c r="J693" s="6">
        <v>0</v>
      </c>
      <c r="K693" s="6">
        <v>0</v>
      </c>
      <c r="L693" s="6">
        <v>7.01</v>
      </c>
      <c r="M693" s="6">
        <v>7.01</v>
      </c>
      <c r="N693" s="6">
        <v>7.01</v>
      </c>
      <c r="O693" s="6">
        <v>7.01</v>
      </c>
      <c r="P693" s="6">
        <v>0</v>
      </c>
      <c r="Q693" s="4" t="s">
        <v>26</v>
      </c>
      <c r="R693" s="4">
        <v>0</v>
      </c>
      <c r="S693" s="6">
        <v>0</v>
      </c>
      <c r="T693" s="6">
        <v>16</v>
      </c>
      <c r="U693" s="6">
        <v>72</v>
      </c>
      <c r="V693" s="6">
        <f>IF(ISERROR(VLOOKUP($S$693,'TAR FIN'!$A$1:$O$100,15,0)),0,VLOOKUP($S$693,'TAR FIN'!$A$1:$O$100,15,0))</f>
        <v>0</v>
      </c>
      <c r="W693" s="6">
        <f>IF(ISERROR(VLOOKUP($T$693,'TAR FIN'!$A$1:$O$100,15,0)),0,VLOOKUP($T$693,'TAR FIN'!$A$1:$O$100,15,0))</f>
        <v>204.7</v>
      </c>
      <c r="X693" s="6">
        <f>IF(ISERROR(VLOOKUP($U$693,'TAR FIN'!$A$1:$O$100,15,0)),0,VLOOKUP($U$693,'TAR FIN'!$A$1:$O$100,15,0))</f>
        <v>219.03</v>
      </c>
      <c r="Y693" s="6"/>
      <c r="Z693" s="6">
        <f ca="1">('TUSD BE'!$AM$29+'TUSD BF'!$AM$29+'TUSD CVA'!$AM$29)*1</f>
        <v>207.38016361420267</v>
      </c>
      <c r="AA693" s="6">
        <f>('TE BE'!$AA$12+'TE BF'!$AA$12+'TE CVA'!$AA$12)*1</f>
        <v>238.55077890362423</v>
      </c>
      <c r="AB693" s="6">
        <f>$K$693*$V$693</f>
        <v>0</v>
      </c>
      <c r="AC693" s="6">
        <f>$M$693*$W$693</f>
        <v>1434.9469999999999</v>
      </c>
      <c r="AD693" s="6">
        <f>$O$693*$X$693</f>
        <v>1535.4003</v>
      </c>
      <c r="AE693" s="6">
        <f>$K$693*$Y$693</f>
        <v>0</v>
      </c>
      <c r="AF693" s="6">
        <f ca="1">$M$693*$Z$693</f>
        <v>1453.7349469355606</v>
      </c>
      <c r="AG693" s="6">
        <f>$O$693*$AA$693</f>
        <v>1672.2409601144059</v>
      </c>
    </row>
    <row r="694" spans="1:33" ht="11.25" customHeight="1" x14ac:dyDescent="0.25">
      <c r="A694" s="4" t="s">
        <v>21</v>
      </c>
      <c r="B694" s="4" t="s">
        <v>22</v>
      </c>
      <c r="C694" s="4" t="s">
        <v>33</v>
      </c>
      <c r="D694" s="4" t="s">
        <v>24</v>
      </c>
      <c r="E694" s="4" t="s">
        <v>24</v>
      </c>
      <c r="F694" s="4" t="s">
        <v>25</v>
      </c>
      <c r="G694" s="4" t="s">
        <v>25</v>
      </c>
      <c r="H694" s="4" t="s">
        <v>35</v>
      </c>
      <c r="I694" s="5">
        <v>44348</v>
      </c>
      <c r="J694" s="6">
        <v>0</v>
      </c>
      <c r="K694" s="6">
        <v>0</v>
      </c>
      <c r="L694" s="6">
        <v>6.101</v>
      </c>
      <c r="M694" s="6">
        <v>6.101</v>
      </c>
      <c r="N694" s="6">
        <v>6.101</v>
      </c>
      <c r="O694" s="6">
        <v>6.101</v>
      </c>
      <c r="P694" s="6">
        <v>0</v>
      </c>
      <c r="Q694" s="4" t="s">
        <v>26</v>
      </c>
      <c r="R694" s="4">
        <v>0</v>
      </c>
      <c r="S694" s="6">
        <v>0</v>
      </c>
      <c r="T694" s="6">
        <v>16</v>
      </c>
      <c r="U694" s="6">
        <v>72</v>
      </c>
      <c r="V694" s="6">
        <f>IF(ISERROR(VLOOKUP($S$694,'TAR FIN'!$A$1:$O$100,15,0)),0,VLOOKUP($S$694,'TAR FIN'!$A$1:$O$100,15,0))</f>
        <v>0</v>
      </c>
      <c r="W694" s="6">
        <f>IF(ISERROR(VLOOKUP($T$694,'TAR FIN'!$A$1:$O$100,15,0)),0,VLOOKUP($T$694,'TAR FIN'!$A$1:$O$100,15,0))</f>
        <v>204.7</v>
      </c>
      <c r="X694" s="6">
        <f>IF(ISERROR(VLOOKUP($U$694,'TAR FIN'!$A$1:$O$100,15,0)),0,VLOOKUP($U$694,'TAR FIN'!$A$1:$O$100,15,0))</f>
        <v>219.03</v>
      </c>
      <c r="Y694" s="6"/>
      <c r="Z694" s="6">
        <f ca="1">('TUSD BE'!$AM$29+'TUSD BF'!$AM$29+'TUSD CVA'!$AM$29)*1</f>
        <v>207.38016361420267</v>
      </c>
      <c r="AA694" s="6">
        <f>('TE BE'!$AA$12+'TE BF'!$AA$12+'TE CVA'!$AA$12)*1</f>
        <v>238.55077890362423</v>
      </c>
      <c r="AB694" s="6">
        <f>$K$694*$V$694</f>
        <v>0</v>
      </c>
      <c r="AC694" s="6">
        <f>$M$694*$W$694</f>
        <v>1248.8746999999998</v>
      </c>
      <c r="AD694" s="6">
        <f>$O$694*$X$694</f>
        <v>1336.3020300000001</v>
      </c>
      <c r="AE694" s="6">
        <f>$K$694*$Y$694</f>
        <v>0</v>
      </c>
      <c r="AF694" s="6">
        <f ca="1">$M$694*$Z$694</f>
        <v>1265.2263782102505</v>
      </c>
      <c r="AG694" s="6">
        <f>$O$694*$AA$694</f>
        <v>1455.3983020910114</v>
      </c>
    </row>
    <row r="695" spans="1:33" ht="11.25" customHeight="1" x14ac:dyDescent="0.25">
      <c r="A695" s="4" t="s">
        <v>21</v>
      </c>
      <c r="B695" s="4" t="s">
        <v>22</v>
      </c>
      <c r="C695" s="4" t="s">
        <v>33</v>
      </c>
      <c r="D695" s="4" t="s">
        <v>24</v>
      </c>
      <c r="E695" s="4" t="s">
        <v>24</v>
      </c>
      <c r="F695" s="4" t="s">
        <v>25</v>
      </c>
      <c r="G695" s="4" t="s">
        <v>25</v>
      </c>
      <c r="H695" s="4" t="s">
        <v>35</v>
      </c>
      <c r="I695" s="5">
        <v>44378</v>
      </c>
      <c r="J695" s="6">
        <v>0</v>
      </c>
      <c r="K695" s="6">
        <v>0</v>
      </c>
      <c r="L695" s="6">
        <v>6.0250000000000004</v>
      </c>
      <c r="M695" s="6">
        <v>6.0250000000000004</v>
      </c>
      <c r="N695" s="6">
        <v>6.0250000000000004</v>
      </c>
      <c r="O695" s="6">
        <v>6.0250000000000004</v>
      </c>
      <c r="P695" s="6">
        <v>0</v>
      </c>
      <c r="Q695" s="4" t="s">
        <v>26</v>
      </c>
      <c r="R695" s="4">
        <v>0</v>
      </c>
      <c r="S695" s="6">
        <v>0</v>
      </c>
      <c r="T695" s="6">
        <v>16</v>
      </c>
      <c r="U695" s="6">
        <v>72</v>
      </c>
      <c r="V695" s="6">
        <f>IF(ISERROR(VLOOKUP($S$695,'TAR FIN'!$A$1:$O$100,15,0)),0,VLOOKUP($S$695,'TAR FIN'!$A$1:$O$100,15,0))</f>
        <v>0</v>
      </c>
      <c r="W695" s="6">
        <f>IF(ISERROR(VLOOKUP($T$695,'TAR FIN'!$A$1:$O$100,15,0)),0,VLOOKUP($T$695,'TAR FIN'!$A$1:$O$100,15,0))</f>
        <v>204.7</v>
      </c>
      <c r="X695" s="6">
        <f>IF(ISERROR(VLOOKUP($U$695,'TAR FIN'!$A$1:$O$100,15,0)),0,VLOOKUP($U$695,'TAR FIN'!$A$1:$O$100,15,0))</f>
        <v>219.03</v>
      </c>
      <c r="Y695" s="6"/>
      <c r="Z695" s="6">
        <f ca="1">('TUSD BE'!$AM$29+'TUSD BF'!$AM$29+'TUSD CVA'!$AM$29)*1</f>
        <v>207.38016361420267</v>
      </c>
      <c r="AA695" s="6">
        <f>('TE BE'!$AA$12+'TE BF'!$AA$12+'TE CVA'!$AA$12)*1</f>
        <v>238.55077890362423</v>
      </c>
      <c r="AB695" s="6">
        <f>$K$695*$V$695</f>
        <v>0</v>
      </c>
      <c r="AC695" s="6">
        <f>$M$695*$W$695</f>
        <v>1233.3175000000001</v>
      </c>
      <c r="AD695" s="6">
        <f>$O$695*$X$695</f>
        <v>1319.6557500000001</v>
      </c>
      <c r="AE695" s="6">
        <f>$K$695*$Y$695</f>
        <v>0</v>
      </c>
      <c r="AF695" s="6">
        <f ca="1">$M$695*$Z$695</f>
        <v>1249.4654857755711</v>
      </c>
      <c r="AG695" s="6">
        <f>$O$695*$AA$695</f>
        <v>1437.2684428943362</v>
      </c>
    </row>
    <row r="696" spans="1:33" ht="11.25" customHeight="1" x14ac:dyDescent="0.25">
      <c r="A696" s="4" t="s">
        <v>21</v>
      </c>
      <c r="B696" s="4" t="s">
        <v>22</v>
      </c>
      <c r="C696" s="4" t="s">
        <v>33</v>
      </c>
      <c r="D696" s="4" t="s">
        <v>24</v>
      </c>
      <c r="E696" s="4" t="s">
        <v>24</v>
      </c>
      <c r="F696" s="4" t="s">
        <v>25</v>
      </c>
      <c r="G696" s="4" t="s">
        <v>25</v>
      </c>
      <c r="H696" s="4" t="s">
        <v>35</v>
      </c>
      <c r="I696" s="5">
        <v>44409</v>
      </c>
      <c r="J696" s="6">
        <v>0</v>
      </c>
      <c r="K696" s="6">
        <v>0</v>
      </c>
      <c r="L696" s="6">
        <v>5.3410000000000002</v>
      </c>
      <c r="M696" s="6">
        <v>5.3410000000000002</v>
      </c>
      <c r="N696" s="6">
        <v>5.3410000000000002</v>
      </c>
      <c r="O696" s="6">
        <v>5.3410000000000002</v>
      </c>
      <c r="P696" s="6">
        <v>0</v>
      </c>
      <c r="Q696" s="4" t="s">
        <v>26</v>
      </c>
      <c r="R696" s="4">
        <v>0</v>
      </c>
      <c r="S696" s="6">
        <v>0</v>
      </c>
      <c r="T696" s="6">
        <v>16</v>
      </c>
      <c r="U696" s="6">
        <v>72</v>
      </c>
      <c r="V696" s="6">
        <f>IF(ISERROR(VLOOKUP($S$696,'TAR FIN'!$A$1:$O$100,15,0)),0,VLOOKUP($S$696,'TAR FIN'!$A$1:$O$100,15,0))</f>
        <v>0</v>
      </c>
      <c r="W696" s="6">
        <f>IF(ISERROR(VLOOKUP($T$696,'TAR FIN'!$A$1:$O$100,15,0)),0,VLOOKUP($T$696,'TAR FIN'!$A$1:$O$100,15,0))</f>
        <v>204.7</v>
      </c>
      <c r="X696" s="6">
        <f>IF(ISERROR(VLOOKUP($U$696,'TAR FIN'!$A$1:$O$100,15,0)),0,VLOOKUP($U$696,'TAR FIN'!$A$1:$O$100,15,0))</f>
        <v>219.03</v>
      </c>
      <c r="Y696" s="6"/>
      <c r="Z696" s="6">
        <f ca="1">('TUSD BE'!$AM$29+'TUSD BF'!$AM$29+'TUSD CVA'!$AM$29)*1</f>
        <v>207.38016361420267</v>
      </c>
      <c r="AA696" s="6">
        <f>('TE BE'!$AA$12+'TE BF'!$AA$12+'TE CVA'!$AA$12)*1</f>
        <v>238.55077890362423</v>
      </c>
      <c r="AB696" s="6">
        <f>$K$696*$V$696</f>
        <v>0</v>
      </c>
      <c r="AC696" s="6">
        <f>$M$696*$W$696</f>
        <v>1093.3027</v>
      </c>
      <c r="AD696" s="6">
        <f>$O$696*$X$696</f>
        <v>1169.83923</v>
      </c>
      <c r="AE696" s="6">
        <f>$K$696*$Y$696</f>
        <v>0</v>
      </c>
      <c r="AF696" s="6">
        <f ca="1">$M$696*$Z$696</f>
        <v>1107.6174538634566</v>
      </c>
      <c r="AG696" s="6">
        <f>$O$696*$AA$696</f>
        <v>1274.0997101242572</v>
      </c>
    </row>
    <row r="697" spans="1:33" ht="11.25" customHeight="1" x14ac:dyDescent="0.25">
      <c r="A697" s="4" t="s">
        <v>21</v>
      </c>
      <c r="B697" s="4" t="s">
        <v>22</v>
      </c>
      <c r="C697" s="4" t="s">
        <v>33</v>
      </c>
      <c r="D697" s="4" t="s">
        <v>24</v>
      </c>
      <c r="E697" s="4" t="s">
        <v>24</v>
      </c>
      <c r="F697" s="4" t="s">
        <v>25</v>
      </c>
      <c r="G697" s="4" t="s">
        <v>25</v>
      </c>
      <c r="H697" s="4" t="s">
        <v>35</v>
      </c>
      <c r="I697" s="5">
        <v>44440</v>
      </c>
      <c r="J697" s="6">
        <v>0</v>
      </c>
      <c r="K697" s="6">
        <v>0</v>
      </c>
      <c r="L697" s="6">
        <v>4.9790000000000001</v>
      </c>
      <c r="M697" s="6">
        <v>4.9790000000000001</v>
      </c>
      <c r="N697" s="6">
        <v>4.9790000000000001</v>
      </c>
      <c r="O697" s="6">
        <v>4.9790000000000001</v>
      </c>
      <c r="P697" s="6">
        <v>0</v>
      </c>
      <c r="Q697" s="4" t="s">
        <v>26</v>
      </c>
      <c r="R697" s="4">
        <v>0</v>
      </c>
      <c r="S697" s="6">
        <v>0</v>
      </c>
      <c r="T697" s="6">
        <v>16</v>
      </c>
      <c r="U697" s="6">
        <v>72</v>
      </c>
      <c r="V697" s="6">
        <f>IF(ISERROR(VLOOKUP($S$697,'TAR FIN'!$A$1:$O$100,15,0)),0,VLOOKUP($S$697,'TAR FIN'!$A$1:$O$100,15,0))</f>
        <v>0</v>
      </c>
      <c r="W697" s="6">
        <f>IF(ISERROR(VLOOKUP($T$697,'TAR FIN'!$A$1:$O$100,15,0)),0,VLOOKUP($T$697,'TAR FIN'!$A$1:$O$100,15,0))</f>
        <v>204.7</v>
      </c>
      <c r="X697" s="6">
        <f>IF(ISERROR(VLOOKUP($U$697,'TAR FIN'!$A$1:$O$100,15,0)),0,VLOOKUP($U$697,'TAR FIN'!$A$1:$O$100,15,0))</f>
        <v>219.03</v>
      </c>
      <c r="Y697" s="6"/>
      <c r="Z697" s="6">
        <f ca="1">('TUSD BE'!$AM$29+'TUSD BF'!$AM$29+'TUSD CVA'!$AM$29)*1</f>
        <v>207.38016361420267</v>
      </c>
      <c r="AA697" s="6">
        <f>('TE BE'!$AA$12+'TE BF'!$AA$12+'TE CVA'!$AA$12)*1</f>
        <v>238.55077890362423</v>
      </c>
      <c r="AB697" s="6">
        <f>$K$697*$V$697</f>
        <v>0</v>
      </c>
      <c r="AC697" s="6">
        <f>$M$697*$W$697</f>
        <v>1019.2012999999999</v>
      </c>
      <c r="AD697" s="6">
        <f>$O$697*$X$697</f>
        <v>1090.5503699999999</v>
      </c>
      <c r="AE697" s="6">
        <f>$K$697*$Y$697</f>
        <v>0</v>
      </c>
      <c r="AF697" s="6">
        <f ca="1">$M$697*$Z$697</f>
        <v>1032.5458346351152</v>
      </c>
      <c r="AG697" s="6">
        <f>$O$697*$AA$697</f>
        <v>1187.7443281611452</v>
      </c>
    </row>
    <row r="698" spans="1:33" ht="11.25" customHeight="1" x14ac:dyDescent="0.25">
      <c r="A698" s="4" t="s">
        <v>21</v>
      </c>
      <c r="B698" s="4" t="s">
        <v>22</v>
      </c>
      <c r="C698" s="4" t="s">
        <v>33</v>
      </c>
      <c r="D698" s="4" t="s">
        <v>24</v>
      </c>
      <c r="E698" s="4" t="s">
        <v>24</v>
      </c>
      <c r="F698" s="4" t="s">
        <v>25</v>
      </c>
      <c r="G698" s="4" t="s">
        <v>25</v>
      </c>
      <c r="H698" s="4" t="s">
        <v>35</v>
      </c>
      <c r="I698" s="5">
        <v>44470</v>
      </c>
      <c r="J698" s="6">
        <v>0</v>
      </c>
      <c r="K698" s="6">
        <v>0</v>
      </c>
      <c r="L698" s="6">
        <v>6.0339999999999998</v>
      </c>
      <c r="M698" s="6">
        <v>6.0339999999999998</v>
      </c>
      <c r="N698" s="6">
        <v>6.0339999999999998</v>
      </c>
      <c r="O698" s="6">
        <v>6.0339999999999998</v>
      </c>
      <c r="P698" s="6">
        <v>0</v>
      </c>
      <c r="Q698" s="4" t="s">
        <v>26</v>
      </c>
      <c r="R698" s="4">
        <v>0</v>
      </c>
      <c r="S698" s="6">
        <v>0</v>
      </c>
      <c r="T698" s="6">
        <v>16</v>
      </c>
      <c r="U698" s="6">
        <v>72</v>
      </c>
      <c r="V698" s="6">
        <f>IF(ISERROR(VLOOKUP($S$698,'TAR FIN'!$A$1:$O$100,15,0)),0,VLOOKUP($S$698,'TAR FIN'!$A$1:$O$100,15,0))</f>
        <v>0</v>
      </c>
      <c r="W698" s="6">
        <f>IF(ISERROR(VLOOKUP($T$698,'TAR FIN'!$A$1:$O$100,15,0)),0,VLOOKUP($T$698,'TAR FIN'!$A$1:$O$100,15,0))</f>
        <v>204.7</v>
      </c>
      <c r="X698" s="6">
        <f>IF(ISERROR(VLOOKUP($U$698,'TAR FIN'!$A$1:$O$100,15,0)),0,VLOOKUP($U$698,'TAR FIN'!$A$1:$O$100,15,0))</f>
        <v>219.03</v>
      </c>
      <c r="Y698" s="6"/>
      <c r="Z698" s="6">
        <f ca="1">('TUSD BE'!$AM$29+'TUSD BF'!$AM$29+'TUSD CVA'!$AM$29)*1</f>
        <v>207.38016361420267</v>
      </c>
      <c r="AA698" s="6">
        <f>('TE BE'!$AA$12+'TE BF'!$AA$12+'TE CVA'!$AA$12)*1</f>
        <v>238.55077890362423</v>
      </c>
      <c r="AB698" s="6">
        <f>$K$698*$V$698</f>
        <v>0</v>
      </c>
      <c r="AC698" s="6">
        <f>$M$698*$W$698</f>
        <v>1235.1597999999999</v>
      </c>
      <c r="AD698" s="6">
        <f>$O$698*$X$698</f>
        <v>1321.6270199999999</v>
      </c>
      <c r="AE698" s="6">
        <f>$K$698*$Y$698</f>
        <v>0</v>
      </c>
      <c r="AF698" s="6">
        <f ca="1">$M$698*$Z$698</f>
        <v>1251.3319072480988</v>
      </c>
      <c r="AG698" s="6">
        <f>$O$698*$AA$698</f>
        <v>1439.4153999044686</v>
      </c>
    </row>
    <row r="699" spans="1:33" ht="11.25" customHeight="1" x14ac:dyDescent="0.25">
      <c r="A699" s="4" t="s">
        <v>21</v>
      </c>
      <c r="B699" s="4" t="s">
        <v>22</v>
      </c>
      <c r="C699" s="4" t="s">
        <v>33</v>
      </c>
      <c r="D699" s="4" t="s">
        <v>24</v>
      </c>
      <c r="E699" s="4" t="s">
        <v>24</v>
      </c>
      <c r="F699" s="4" t="s">
        <v>25</v>
      </c>
      <c r="G699" s="4" t="s">
        <v>25</v>
      </c>
      <c r="H699" s="4" t="s">
        <v>35</v>
      </c>
      <c r="I699" s="5">
        <v>44501</v>
      </c>
      <c r="J699" s="6">
        <v>0</v>
      </c>
      <c r="K699" s="6">
        <v>0</v>
      </c>
      <c r="L699" s="6">
        <v>6.1790000000000003</v>
      </c>
      <c r="M699" s="6">
        <v>6.1790000000000003</v>
      </c>
      <c r="N699" s="6">
        <v>6.1790000000000003</v>
      </c>
      <c r="O699" s="6">
        <v>6.1790000000000003</v>
      </c>
      <c r="P699" s="6">
        <v>0</v>
      </c>
      <c r="Q699" s="4" t="s">
        <v>26</v>
      </c>
      <c r="R699" s="4">
        <v>0</v>
      </c>
      <c r="S699" s="6">
        <v>0</v>
      </c>
      <c r="T699" s="6">
        <v>16</v>
      </c>
      <c r="U699" s="6">
        <v>72</v>
      </c>
      <c r="V699" s="6">
        <f>IF(ISERROR(VLOOKUP($S$699,'TAR FIN'!$A$1:$O$100,15,0)),0,VLOOKUP($S$699,'TAR FIN'!$A$1:$O$100,15,0))</f>
        <v>0</v>
      </c>
      <c r="W699" s="6">
        <f>IF(ISERROR(VLOOKUP($T$699,'TAR FIN'!$A$1:$O$100,15,0)),0,VLOOKUP($T$699,'TAR FIN'!$A$1:$O$100,15,0))</f>
        <v>204.7</v>
      </c>
      <c r="X699" s="6">
        <f>IF(ISERROR(VLOOKUP($U$699,'TAR FIN'!$A$1:$O$100,15,0)),0,VLOOKUP($U$699,'TAR FIN'!$A$1:$O$100,15,0))</f>
        <v>219.03</v>
      </c>
      <c r="Y699" s="6"/>
      <c r="Z699" s="6">
        <f ca="1">('TUSD BE'!$AM$29+'TUSD BF'!$AM$29+'TUSD CVA'!$AM$29)*1</f>
        <v>207.38016361420267</v>
      </c>
      <c r="AA699" s="6">
        <f>('TE BE'!$AA$12+'TE BF'!$AA$12+'TE CVA'!$AA$12)*1</f>
        <v>238.55077890362423</v>
      </c>
      <c r="AB699" s="6">
        <f>$K$699*$V$699</f>
        <v>0</v>
      </c>
      <c r="AC699" s="6">
        <f>$M$699*$W$699</f>
        <v>1264.8413</v>
      </c>
      <c r="AD699" s="6">
        <f>$O$699*$X$699</f>
        <v>1353.3863700000002</v>
      </c>
      <c r="AE699" s="6">
        <f>$K$699*$Y$699</f>
        <v>0</v>
      </c>
      <c r="AF699" s="6">
        <f ca="1">$M$699*$Z$699</f>
        <v>1281.4020309721584</v>
      </c>
      <c r="AG699" s="6">
        <f>$O$699*$AA$699</f>
        <v>1474.0052628454941</v>
      </c>
    </row>
    <row r="700" spans="1:33" ht="11.25" customHeight="1" x14ac:dyDescent="0.25">
      <c r="A700" s="4" t="s">
        <v>21</v>
      </c>
      <c r="B700" s="4" t="s">
        <v>22</v>
      </c>
      <c r="C700" s="4" t="s">
        <v>33</v>
      </c>
      <c r="D700" s="4" t="s">
        <v>24</v>
      </c>
      <c r="E700" s="4" t="s">
        <v>24</v>
      </c>
      <c r="F700" s="4" t="s">
        <v>25</v>
      </c>
      <c r="G700" s="4" t="s">
        <v>25</v>
      </c>
      <c r="H700" s="4" t="s">
        <v>35</v>
      </c>
      <c r="I700" s="5">
        <v>44531</v>
      </c>
      <c r="J700" s="6">
        <v>0</v>
      </c>
      <c r="K700" s="6">
        <v>0</v>
      </c>
      <c r="L700" s="6">
        <v>6.6619999999999999</v>
      </c>
      <c r="M700" s="6">
        <v>6.6619999999999999</v>
      </c>
      <c r="N700" s="6">
        <v>6.6619999999999999</v>
      </c>
      <c r="O700" s="6">
        <v>6.6619999999999999</v>
      </c>
      <c r="P700" s="6">
        <v>0</v>
      </c>
      <c r="Q700" s="4" t="s">
        <v>26</v>
      </c>
      <c r="R700" s="4">
        <v>0</v>
      </c>
      <c r="S700" s="6">
        <v>0</v>
      </c>
      <c r="T700" s="6">
        <v>16</v>
      </c>
      <c r="U700" s="6">
        <v>72</v>
      </c>
      <c r="V700" s="6">
        <f>IF(ISERROR(VLOOKUP($S$700,'TAR FIN'!$A$1:$O$100,15,0)),0,VLOOKUP($S$700,'TAR FIN'!$A$1:$O$100,15,0))</f>
        <v>0</v>
      </c>
      <c r="W700" s="6">
        <f>IF(ISERROR(VLOOKUP($T$700,'TAR FIN'!$A$1:$O$100,15,0)),0,VLOOKUP($T$700,'TAR FIN'!$A$1:$O$100,15,0))</f>
        <v>204.7</v>
      </c>
      <c r="X700" s="6">
        <f>IF(ISERROR(VLOOKUP($U$700,'TAR FIN'!$A$1:$O$100,15,0)),0,VLOOKUP($U$700,'TAR FIN'!$A$1:$O$100,15,0))</f>
        <v>219.03</v>
      </c>
      <c r="Y700" s="6"/>
      <c r="Z700" s="6">
        <f ca="1">('TUSD BE'!$AM$29+'TUSD BF'!$AM$29+'TUSD CVA'!$AM$29)*1</f>
        <v>207.38016361420267</v>
      </c>
      <c r="AA700" s="6">
        <f>('TE BE'!$AA$12+'TE BF'!$AA$12+'TE CVA'!$AA$12)*1</f>
        <v>238.55077890362423</v>
      </c>
      <c r="AB700" s="6">
        <f>$K$700*$V$700</f>
        <v>0</v>
      </c>
      <c r="AC700" s="6">
        <f>$M$700*$W$700</f>
        <v>1363.7113999999999</v>
      </c>
      <c r="AD700" s="6">
        <f>$O$700*$X$700</f>
        <v>1459.17786</v>
      </c>
      <c r="AE700" s="6">
        <f>$K$700*$Y$700</f>
        <v>0</v>
      </c>
      <c r="AF700" s="6">
        <f ca="1">$M$700*$Z$700</f>
        <v>1381.5666499978181</v>
      </c>
      <c r="AG700" s="6">
        <f>$O$700*$AA$700</f>
        <v>1589.2252890559446</v>
      </c>
    </row>
    <row r="701" spans="1:33" ht="11.25" customHeight="1" x14ac:dyDescent="0.25">
      <c r="A701" s="4" t="s">
        <v>55</v>
      </c>
      <c r="B701" s="4" t="s">
        <v>22</v>
      </c>
      <c r="C701" s="4" t="s">
        <v>33</v>
      </c>
      <c r="D701" s="4" t="s">
        <v>24</v>
      </c>
      <c r="E701" s="4" t="s">
        <v>24</v>
      </c>
      <c r="F701" s="4" t="s">
        <v>25</v>
      </c>
      <c r="G701" s="4" t="s">
        <v>25</v>
      </c>
      <c r="H701" s="4" t="s">
        <v>35</v>
      </c>
      <c r="I701" s="5">
        <v>44562</v>
      </c>
      <c r="J701" s="6">
        <v>0</v>
      </c>
      <c r="K701" s="6">
        <v>0</v>
      </c>
      <c r="L701" s="6">
        <v>6.6619999999999999</v>
      </c>
      <c r="M701" s="6">
        <v>6.6619999999999999</v>
      </c>
      <c r="N701" s="6">
        <v>6.6619999999999999</v>
      </c>
      <c r="O701" s="6">
        <v>6.6619999999999999</v>
      </c>
      <c r="P701" s="6">
        <v>0</v>
      </c>
      <c r="Q701" s="4" t="s">
        <v>26</v>
      </c>
      <c r="R701" s="4">
        <v>0</v>
      </c>
      <c r="S701" s="6">
        <v>0</v>
      </c>
      <c r="T701" s="6">
        <v>16</v>
      </c>
      <c r="U701" s="6">
        <v>72</v>
      </c>
      <c r="V701" s="6">
        <f>IF(ISERROR(VLOOKUP($S$701,'TAR FIN'!$A$1:$O$100,15,0)),0,VLOOKUP($S$701,'TAR FIN'!$A$1:$O$100,15,0))</f>
        <v>0</v>
      </c>
      <c r="W701" s="6">
        <f>IF(ISERROR(VLOOKUP($T$701,'TAR FIN'!$A$1:$O$100,15,0)),0,VLOOKUP($T$701,'TAR FIN'!$A$1:$O$100,15,0))</f>
        <v>204.7</v>
      </c>
      <c r="X701" s="6">
        <f>IF(ISERROR(VLOOKUP($U$701,'TAR FIN'!$A$1:$O$100,15,0)),0,VLOOKUP($U$701,'TAR FIN'!$A$1:$O$100,15,0))</f>
        <v>219.03</v>
      </c>
      <c r="Y701" s="6"/>
      <c r="Z701" s="6">
        <f ca="1">('TUSD BE'!$AM$29+'TUSD BF'!$AM$29+'TUSD CVA'!$AM$29)*1</f>
        <v>207.38016361420267</v>
      </c>
      <c r="AA701" s="6">
        <f>('TE BE'!$AA$12+'TE BF'!$AA$12+'TE CVA'!$AA$12)*1</f>
        <v>238.55077890362423</v>
      </c>
      <c r="AB701" s="6">
        <f>$K$701*$V$701</f>
        <v>0</v>
      </c>
      <c r="AC701" s="6">
        <f>$M$701*$W$701</f>
        <v>1363.7113999999999</v>
      </c>
      <c r="AD701" s="6">
        <f>$O$701*$X$701</f>
        <v>1459.17786</v>
      </c>
      <c r="AE701" s="6">
        <f>$K$701*$Y$701</f>
        <v>0</v>
      </c>
      <c r="AF701" s="6">
        <f ca="1">$M$701*$Z$701</f>
        <v>1381.5666499978181</v>
      </c>
      <c r="AG701" s="6">
        <f>$O$701*$AA$701</f>
        <v>1589.2252890559446</v>
      </c>
    </row>
    <row r="702" spans="1:33" ht="11.25" customHeight="1" x14ac:dyDescent="0.25">
      <c r="A702" s="4" t="s">
        <v>21</v>
      </c>
      <c r="B702" s="4" t="s">
        <v>22</v>
      </c>
      <c r="C702" s="4" t="s">
        <v>33</v>
      </c>
      <c r="D702" s="4" t="s">
        <v>24</v>
      </c>
      <c r="E702" s="4" t="s">
        <v>24</v>
      </c>
      <c r="F702" s="4" t="s">
        <v>25</v>
      </c>
      <c r="G702" s="4" t="s">
        <v>25</v>
      </c>
      <c r="H702" s="4" t="s">
        <v>36</v>
      </c>
      <c r="I702" s="5">
        <v>44228</v>
      </c>
      <c r="J702" s="6">
        <v>0</v>
      </c>
      <c r="K702" s="6">
        <v>0</v>
      </c>
      <c r="L702" s="6">
        <v>0.41499999999999998</v>
      </c>
      <c r="M702" s="6">
        <v>0.41499999999999998</v>
      </c>
      <c r="N702" s="6">
        <v>0.41499999999999998</v>
      </c>
      <c r="O702" s="6">
        <v>0.41499999999999998</v>
      </c>
      <c r="P702" s="6">
        <v>0</v>
      </c>
      <c r="Q702" s="4" t="s">
        <v>26</v>
      </c>
      <c r="R702" s="4">
        <v>0</v>
      </c>
      <c r="S702" s="6">
        <v>0</v>
      </c>
      <c r="T702" s="6">
        <v>15</v>
      </c>
      <c r="U702" s="6">
        <v>71</v>
      </c>
      <c r="V702" s="6">
        <f>IF(ISERROR(VLOOKUP($S$702,'TAR FIN'!$A$1:$O$100,15,0)),0,VLOOKUP($S$702,'TAR FIN'!$A$1:$O$100,15,0))</f>
        <v>0</v>
      </c>
      <c r="W702" s="6">
        <f>IF(ISERROR(VLOOKUP($T$702,'TAR FIN'!$A$1:$O$100,15,0)),0,VLOOKUP($T$702,'TAR FIN'!$A$1:$O$100,15,0))</f>
        <v>492.88</v>
      </c>
      <c r="X702" s="6">
        <f>IF(ISERROR(VLOOKUP($U$702,'TAR FIN'!$A$1:$O$100,15,0)),0,VLOOKUP($U$702,'TAR FIN'!$A$1:$O$100,15,0))</f>
        <v>219.03</v>
      </c>
      <c r="Y702" s="6"/>
      <c r="Z702" s="6">
        <f ca="1">('TUSD BE'!$AM$28+'TUSD BF'!$AM$28+'TUSD CVA'!$AM$28)*1</f>
        <v>485.65577847245737</v>
      </c>
      <c r="AA702" s="6">
        <f>('TE BE'!$AA$11+'TE BF'!$AA$11+'TE CVA'!$AA$11)*1</f>
        <v>238.55077890362423</v>
      </c>
      <c r="AB702" s="6">
        <f>$K$702*$V$702</f>
        <v>0</v>
      </c>
      <c r="AC702" s="6">
        <f>$M$702*$W$702</f>
        <v>204.54519999999999</v>
      </c>
      <c r="AD702" s="6">
        <f>$O$702*$X$702</f>
        <v>90.897449999999992</v>
      </c>
      <c r="AE702" s="6">
        <f>$K$702*$Y$702</f>
        <v>0</v>
      </c>
      <c r="AF702" s="6">
        <f ca="1">$M$702*$Z$702</f>
        <v>201.54714806606981</v>
      </c>
      <c r="AG702" s="6">
        <f>$O$702*$AA$702</f>
        <v>98.998573245004053</v>
      </c>
    </row>
    <row r="703" spans="1:33" ht="11.25" customHeight="1" x14ac:dyDescent="0.25">
      <c r="A703" s="4" t="s">
        <v>21</v>
      </c>
      <c r="B703" s="4" t="s">
        <v>22</v>
      </c>
      <c r="C703" s="4" t="s">
        <v>33</v>
      </c>
      <c r="D703" s="4" t="s">
        <v>24</v>
      </c>
      <c r="E703" s="4" t="s">
        <v>24</v>
      </c>
      <c r="F703" s="4" t="s">
        <v>25</v>
      </c>
      <c r="G703" s="4" t="s">
        <v>25</v>
      </c>
      <c r="H703" s="4" t="s">
        <v>36</v>
      </c>
      <c r="I703" s="5">
        <v>44256</v>
      </c>
      <c r="J703" s="6">
        <v>0</v>
      </c>
      <c r="K703" s="6">
        <v>0</v>
      </c>
      <c r="L703" s="6">
        <v>0.47099999999999997</v>
      </c>
      <c r="M703" s="6">
        <v>0.47099999999999997</v>
      </c>
      <c r="N703" s="6">
        <v>0.47099999999999997</v>
      </c>
      <c r="O703" s="6">
        <v>0.47099999999999997</v>
      </c>
      <c r="P703" s="6">
        <v>0</v>
      </c>
      <c r="Q703" s="4" t="s">
        <v>26</v>
      </c>
      <c r="R703" s="4">
        <v>0</v>
      </c>
      <c r="S703" s="6">
        <v>0</v>
      </c>
      <c r="T703" s="6">
        <v>15</v>
      </c>
      <c r="U703" s="6">
        <v>71</v>
      </c>
      <c r="V703" s="6">
        <f>IF(ISERROR(VLOOKUP($S$703,'TAR FIN'!$A$1:$O$100,15,0)),0,VLOOKUP($S$703,'TAR FIN'!$A$1:$O$100,15,0))</f>
        <v>0</v>
      </c>
      <c r="W703" s="6">
        <f>IF(ISERROR(VLOOKUP($T$703,'TAR FIN'!$A$1:$O$100,15,0)),0,VLOOKUP($T$703,'TAR FIN'!$A$1:$O$100,15,0))</f>
        <v>492.88</v>
      </c>
      <c r="X703" s="6">
        <f>IF(ISERROR(VLOOKUP($U$703,'TAR FIN'!$A$1:$O$100,15,0)),0,VLOOKUP($U$703,'TAR FIN'!$A$1:$O$100,15,0))</f>
        <v>219.03</v>
      </c>
      <c r="Y703" s="6"/>
      <c r="Z703" s="6">
        <f ca="1">('TUSD BE'!$AM$28+'TUSD BF'!$AM$28+'TUSD CVA'!$AM$28)*1</f>
        <v>485.65577847245737</v>
      </c>
      <c r="AA703" s="6">
        <f>('TE BE'!$AA$11+'TE BF'!$AA$11+'TE CVA'!$AA$11)*1</f>
        <v>238.55077890362423</v>
      </c>
      <c r="AB703" s="6">
        <f>$K$703*$V$703</f>
        <v>0</v>
      </c>
      <c r="AC703" s="6">
        <f>$M$703*$W$703</f>
        <v>232.14648</v>
      </c>
      <c r="AD703" s="6">
        <f>$O$703*$X$703</f>
        <v>103.16313</v>
      </c>
      <c r="AE703" s="6">
        <f>$K$703*$Y$703</f>
        <v>0</v>
      </c>
      <c r="AF703" s="6">
        <f ca="1">$M$703*$Z$703</f>
        <v>228.74387166052742</v>
      </c>
      <c r="AG703" s="6">
        <f>$O$703*$AA$703</f>
        <v>112.35741686360701</v>
      </c>
    </row>
    <row r="704" spans="1:33" ht="11.25" customHeight="1" x14ac:dyDescent="0.25">
      <c r="A704" s="4" t="s">
        <v>21</v>
      </c>
      <c r="B704" s="4" t="s">
        <v>22</v>
      </c>
      <c r="C704" s="4" t="s">
        <v>33</v>
      </c>
      <c r="D704" s="4" t="s">
        <v>24</v>
      </c>
      <c r="E704" s="4" t="s">
        <v>24</v>
      </c>
      <c r="F704" s="4" t="s">
        <v>25</v>
      </c>
      <c r="G704" s="4" t="s">
        <v>25</v>
      </c>
      <c r="H704" s="4" t="s">
        <v>36</v>
      </c>
      <c r="I704" s="5">
        <v>44287</v>
      </c>
      <c r="J704" s="6">
        <v>0</v>
      </c>
      <c r="K704" s="6">
        <v>0</v>
      </c>
      <c r="L704" s="6">
        <v>0.46400000000000002</v>
      </c>
      <c r="M704" s="6">
        <v>0.46400000000000002</v>
      </c>
      <c r="N704" s="6">
        <v>0.46400000000000002</v>
      </c>
      <c r="O704" s="6">
        <v>0.46400000000000002</v>
      </c>
      <c r="P704" s="6">
        <v>0</v>
      </c>
      <c r="Q704" s="4" t="s">
        <v>26</v>
      </c>
      <c r="R704" s="4">
        <v>0</v>
      </c>
      <c r="S704" s="6">
        <v>0</v>
      </c>
      <c r="T704" s="6">
        <v>15</v>
      </c>
      <c r="U704" s="6">
        <v>71</v>
      </c>
      <c r="V704" s="6">
        <f>IF(ISERROR(VLOOKUP($S$704,'TAR FIN'!$A$1:$O$100,15,0)),0,VLOOKUP($S$704,'TAR FIN'!$A$1:$O$100,15,0))</f>
        <v>0</v>
      </c>
      <c r="W704" s="6">
        <f>IF(ISERROR(VLOOKUP($T$704,'TAR FIN'!$A$1:$O$100,15,0)),0,VLOOKUP($T$704,'TAR FIN'!$A$1:$O$100,15,0))</f>
        <v>492.88</v>
      </c>
      <c r="X704" s="6">
        <f>IF(ISERROR(VLOOKUP($U$704,'TAR FIN'!$A$1:$O$100,15,0)),0,VLOOKUP($U$704,'TAR FIN'!$A$1:$O$100,15,0))</f>
        <v>219.03</v>
      </c>
      <c r="Y704" s="6"/>
      <c r="Z704" s="6">
        <f ca="1">('TUSD BE'!$AM$28+'TUSD BF'!$AM$28+'TUSD CVA'!$AM$28)*1</f>
        <v>485.65577847245737</v>
      </c>
      <c r="AA704" s="6">
        <f>('TE BE'!$AA$11+'TE BF'!$AA$11+'TE CVA'!$AA$11)*1</f>
        <v>238.55077890362423</v>
      </c>
      <c r="AB704" s="6">
        <f>$K$704*$V$704</f>
        <v>0</v>
      </c>
      <c r="AC704" s="6">
        <f>$M$704*$W$704</f>
        <v>228.69632000000001</v>
      </c>
      <c r="AD704" s="6">
        <f>$O$704*$X$704</f>
        <v>101.62992000000001</v>
      </c>
      <c r="AE704" s="6">
        <f>$K$704*$Y$704</f>
        <v>0</v>
      </c>
      <c r="AF704" s="6">
        <f ca="1">$M$704*$Z$704</f>
        <v>225.34428121122022</v>
      </c>
      <c r="AG704" s="6">
        <f>$O$704*$AA$704</f>
        <v>110.68756141128165</v>
      </c>
    </row>
    <row r="705" spans="1:33" ht="11.25" customHeight="1" x14ac:dyDescent="0.25">
      <c r="A705" s="4" t="s">
        <v>27</v>
      </c>
      <c r="B705" s="4" t="s">
        <v>22</v>
      </c>
      <c r="C705" s="4" t="s">
        <v>33</v>
      </c>
      <c r="D705" s="4" t="s">
        <v>24</v>
      </c>
      <c r="E705" s="4" t="s">
        <v>24</v>
      </c>
      <c r="F705" s="4" t="s">
        <v>25</v>
      </c>
      <c r="G705" s="4" t="s">
        <v>25</v>
      </c>
      <c r="H705" s="4" t="s">
        <v>36</v>
      </c>
      <c r="I705" s="5">
        <v>44287</v>
      </c>
      <c r="J705" s="6">
        <v>0</v>
      </c>
      <c r="K705" s="6">
        <v>0</v>
      </c>
      <c r="L705" s="6">
        <v>-0.218</v>
      </c>
      <c r="M705" s="6">
        <v>-0.218</v>
      </c>
      <c r="N705" s="6">
        <v>-0.218</v>
      </c>
      <c r="O705" s="6">
        <v>-0.218</v>
      </c>
      <c r="P705" s="6">
        <v>0</v>
      </c>
      <c r="Q705" s="4" t="s">
        <v>26</v>
      </c>
      <c r="R705" s="4">
        <v>0</v>
      </c>
      <c r="S705" s="6">
        <v>0</v>
      </c>
      <c r="T705" s="6">
        <v>15</v>
      </c>
      <c r="U705" s="6">
        <v>71</v>
      </c>
      <c r="V705" s="6">
        <f>IF(ISERROR(VLOOKUP($S$705,'TAR FIN'!$A$1:$O$100,15,0)),0,VLOOKUP($S$705,'TAR FIN'!$A$1:$O$100,15,0))</f>
        <v>0</v>
      </c>
      <c r="W705" s="6">
        <f>IF(ISERROR(VLOOKUP($T$705,'TAR FIN'!$A$1:$O$100,15,0)),0,VLOOKUP($T$705,'TAR FIN'!$A$1:$O$100,15,0))</f>
        <v>492.88</v>
      </c>
      <c r="X705" s="6">
        <f>IF(ISERROR(VLOOKUP($U$705,'TAR FIN'!$A$1:$O$100,15,0)),0,VLOOKUP($U$705,'TAR FIN'!$A$1:$O$100,15,0))</f>
        <v>219.03</v>
      </c>
      <c r="Y705" s="6"/>
      <c r="Z705" s="6">
        <f ca="1">('TUSD BE'!$AM$28+'TUSD BF'!$AM$28+'TUSD CVA'!$AM$28)*1</f>
        <v>485.65577847245737</v>
      </c>
      <c r="AA705" s="6">
        <f>('TE BE'!$AA$11+'TE BF'!$AA$11+'TE CVA'!$AA$11)*1</f>
        <v>238.55077890362423</v>
      </c>
      <c r="AB705" s="6">
        <f>$K$705*$V$705</f>
        <v>0</v>
      </c>
      <c r="AC705" s="6">
        <f>$M$705*$W$705</f>
        <v>-107.44784</v>
      </c>
      <c r="AD705" s="6">
        <f>$O$705*$X$705</f>
        <v>-47.748539999999998</v>
      </c>
      <c r="AE705" s="6">
        <f>$K$705*$Y$705</f>
        <v>0</v>
      </c>
      <c r="AF705" s="6">
        <f ca="1">$M$705*$Z$705</f>
        <v>-105.8729597069957</v>
      </c>
      <c r="AG705" s="6">
        <f>$O$705*$AA$705</f>
        <v>-52.004069800990081</v>
      </c>
    </row>
    <row r="706" spans="1:33" ht="11.25" customHeight="1" x14ac:dyDescent="0.25">
      <c r="A706" s="4" t="s">
        <v>21</v>
      </c>
      <c r="B706" s="4" t="s">
        <v>22</v>
      </c>
      <c r="C706" s="4" t="s">
        <v>33</v>
      </c>
      <c r="D706" s="4" t="s">
        <v>24</v>
      </c>
      <c r="E706" s="4" t="s">
        <v>24</v>
      </c>
      <c r="F706" s="4" t="s">
        <v>25</v>
      </c>
      <c r="G706" s="4" t="s">
        <v>25</v>
      </c>
      <c r="H706" s="4" t="s">
        <v>36</v>
      </c>
      <c r="I706" s="5">
        <v>44317</v>
      </c>
      <c r="J706" s="6">
        <v>0</v>
      </c>
      <c r="K706" s="6">
        <v>0</v>
      </c>
      <c r="L706" s="6">
        <v>0.42599999999999999</v>
      </c>
      <c r="M706" s="6">
        <v>0.42599999999999999</v>
      </c>
      <c r="N706" s="6">
        <v>0.42599999999999999</v>
      </c>
      <c r="O706" s="6">
        <v>0.42599999999999999</v>
      </c>
      <c r="P706" s="6">
        <v>0</v>
      </c>
      <c r="Q706" s="4" t="s">
        <v>26</v>
      </c>
      <c r="R706" s="4">
        <v>0</v>
      </c>
      <c r="S706" s="6">
        <v>0</v>
      </c>
      <c r="T706" s="6">
        <v>15</v>
      </c>
      <c r="U706" s="6">
        <v>71</v>
      </c>
      <c r="V706" s="6">
        <f>IF(ISERROR(VLOOKUP($S$706,'TAR FIN'!$A$1:$O$100,15,0)),0,VLOOKUP($S$706,'TAR FIN'!$A$1:$O$100,15,0))</f>
        <v>0</v>
      </c>
      <c r="W706" s="6">
        <f>IF(ISERROR(VLOOKUP($T$706,'TAR FIN'!$A$1:$O$100,15,0)),0,VLOOKUP($T$706,'TAR FIN'!$A$1:$O$100,15,0))</f>
        <v>492.88</v>
      </c>
      <c r="X706" s="6">
        <f>IF(ISERROR(VLOOKUP($U$706,'TAR FIN'!$A$1:$O$100,15,0)),0,VLOOKUP($U$706,'TAR FIN'!$A$1:$O$100,15,0))</f>
        <v>219.03</v>
      </c>
      <c r="Y706" s="6"/>
      <c r="Z706" s="6">
        <f ca="1">('TUSD BE'!$AM$28+'TUSD BF'!$AM$28+'TUSD CVA'!$AM$28)*1</f>
        <v>485.65577847245737</v>
      </c>
      <c r="AA706" s="6">
        <f>('TE BE'!$AA$11+'TE BF'!$AA$11+'TE CVA'!$AA$11)*1</f>
        <v>238.55077890362423</v>
      </c>
      <c r="AB706" s="6">
        <f>$K$706*$V$706</f>
        <v>0</v>
      </c>
      <c r="AC706" s="6">
        <f>$M$706*$W$706</f>
        <v>209.96688</v>
      </c>
      <c r="AD706" s="6">
        <f>$O$706*$X$706</f>
        <v>93.306780000000003</v>
      </c>
      <c r="AE706" s="6">
        <f>$K$706*$Y$706</f>
        <v>0</v>
      </c>
      <c r="AF706" s="6">
        <f ca="1">$M$706*$Z$706</f>
        <v>206.88936162926683</v>
      </c>
      <c r="AG706" s="6">
        <f>$O$706*$AA$706</f>
        <v>101.62263181294392</v>
      </c>
    </row>
    <row r="707" spans="1:33" ht="11.25" customHeight="1" x14ac:dyDescent="0.25">
      <c r="A707" s="4" t="s">
        <v>21</v>
      </c>
      <c r="B707" s="4" t="s">
        <v>22</v>
      </c>
      <c r="C707" s="4" t="s">
        <v>33</v>
      </c>
      <c r="D707" s="4" t="s">
        <v>24</v>
      </c>
      <c r="E707" s="4" t="s">
        <v>24</v>
      </c>
      <c r="F707" s="4" t="s">
        <v>25</v>
      </c>
      <c r="G707" s="4" t="s">
        <v>25</v>
      </c>
      <c r="H707" s="4" t="s">
        <v>36</v>
      </c>
      <c r="I707" s="5">
        <v>44348</v>
      </c>
      <c r="J707" s="6">
        <v>0</v>
      </c>
      <c r="K707" s="6">
        <v>0</v>
      </c>
      <c r="L707" s="6">
        <v>0.40200000000000002</v>
      </c>
      <c r="M707" s="6">
        <v>0.40200000000000002</v>
      </c>
      <c r="N707" s="6">
        <v>0.40200000000000002</v>
      </c>
      <c r="O707" s="6">
        <v>0.40200000000000002</v>
      </c>
      <c r="P707" s="6">
        <v>0</v>
      </c>
      <c r="Q707" s="4" t="s">
        <v>26</v>
      </c>
      <c r="R707" s="4">
        <v>0</v>
      </c>
      <c r="S707" s="6">
        <v>0</v>
      </c>
      <c r="T707" s="6">
        <v>15</v>
      </c>
      <c r="U707" s="6">
        <v>71</v>
      </c>
      <c r="V707" s="6">
        <f>IF(ISERROR(VLOOKUP($S$707,'TAR FIN'!$A$1:$O$100,15,0)),0,VLOOKUP($S$707,'TAR FIN'!$A$1:$O$100,15,0))</f>
        <v>0</v>
      </c>
      <c r="W707" s="6">
        <f>IF(ISERROR(VLOOKUP($T$707,'TAR FIN'!$A$1:$O$100,15,0)),0,VLOOKUP($T$707,'TAR FIN'!$A$1:$O$100,15,0))</f>
        <v>492.88</v>
      </c>
      <c r="X707" s="6">
        <f>IF(ISERROR(VLOOKUP($U$707,'TAR FIN'!$A$1:$O$100,15,0)),0,VLOOKUP($U$707,'TAR FIN'!$A$1:$O$100,15,0))</f>
        <v>219.03</v>
      </c>
      <c r="Y707" s="6"/>
      <c r="Z707" s="6">
        <f ca="1">('TUSD BE'!$AM$28+'TUSD BF'!$AM$28+'TUSD CVA'!$AM$28)*1</f>
        <v>485.65577847245737</v>
      </c>
      <c r="AA707" s="6">
        <f>('TE BE'!$AA$11+'TE BF'!$AA$11+'TE CVA'!$AA$11)*1</f>
        <v>238.55077890362423</v>
      </c>
      <c r="AB707" s="6">
        <f>$K$707*$V$707</f>
        <v>0</v>
      </c>
      <c r="AC707" s="6">
        <f>$M$707*$W$707</f>
        <v>198.13776000000001</v>
      </c>
      <c r="AD707" s="6">
        <f>$O$707*$X$707</f>
        <v>88.050060000000002</v>
      </c>
      <c r="AE707" s="6">
        <f>$K$707*$Y$707</f>
        <v>0</v>
      </c>
      <c r="AF707" s="6">
        <f ca="1">$M$707*$Z$707</f>
        <v>195.23362294592786</v>
      </c>
      <c r="AG707" s="6">
        <f>$O$707*$AA$707</f>
        <v>95.897413119256953</v>
      </c>
    </row>
    <row r="708" spans="1:33" ht="11.25" customHeight="1" x14ac:dyDescent="0.25">
      <c r="A708" s="4" t="s">
        <v>21</v>
      </c>
      <c r="B708" s="4" t="s">
        <v>22</v>
      </c>
      <c r="C708" s="4" t="s">
        <v>33</v>
      </c>
      <c r="D708" s="4" t="s">
        <v>24</v>
      </c>
      <c r="E708" s="4" t="s">
        <v>24</v>
      </c>
      <c r="F708" s="4" t="s">
        <v>25</v>
      </c>
      <c r="G708" s="4" t="s">
        <v>25</v>
      </c>
      <c r="H708" s="4" t="s">
        <v>36</v>
      </c>
      <c r="I708" s="5">
        <v>44378</v>
      </c>
      <c r="J708" s="6">
        <v>0</v>
      </c>
      <c r="K708" s="6">
        <v>0</v>
      </c>
      <c r="L708" s="6">
        <v>0.40400000000000003</v>
      </c>
      <c r="M708" s="6">
        <v>0.40400000000000003</v>
      </c>
      <c r="N708" s="6">
        <v>0.40400000000000003</v>
      </c>
      <c r="O708" s="6">
        <v>0.40400000000000003</v>
      </c>
      <c r="P708" s="6">
        <v>0</v>
      </c>
      <c r="Q708" s="4" t="s">
        <v>26</v>
      </c>
      <c r="R708" s="4">
        <v>0</v>
      </c>
      <c r="S708" s="6">
        <v>0</v>
      </c>
      <c r="T708" s="6">
        <v>15</v>
      </c>
      <c r="U708" s="6">
        <v>71</v>
      </c>
      <c r="V708" s="6">
        <f>IF(ISERROR(VLOOKUP($S$708,'TAR FIN'!$A$1:$O$100,15,0)),0,VLOOKUP($S$708,'TAR FIN'!$A$1:$O$100,15,0))</f>
        <v>0</v>
      </c>
      <c r="W708" s="6">
        <f>IF(ISERROR(VLOOKUP($T$708,'TAR FIN'!$A$1:$O$100,15,0)),0,VLOOKUP($T$708,'TAR FIN'!$A$1:$O$100,15,0))</f>
        <v>492.88</v>
      </c>
      <c r="X708" s="6">
        <f>IF(ISERROR(VLOOKUP($U$708,'TAR FIN'!$A$1:$O$100,15,0)),0,VLOOKUP($U$708,'TAR FIN'!$A$1:$O$100,15,0))</f>
        <v>219.03</v>
      </c>
      <c r="Y708" s="6"/>
      <c r="Z708" s="6">
        <f ca="1">('TUSD BE'!$AM$28+'TUSD BF'!$AM$28+'TUSD CVA'!$AM$28)*1</f>
        <v>485.65577847245737</v>
      </c>
      <c r="AA708" s="6">
        <f>('TE BE'!$AA$11+'TE BF'!$AA$11+'TE CVA'!$AA$11)*1</f>
        <v>238.55077890362423</v>
      </c>
      <c r="AB708" s="6">
        <f>$K$708*$V$708</f>
        <v>0</v>
      </c>
      <c r="AC708" s="6">
        <f>$M$708*$W$708</f>
        <v>199.12352000000001</v>
      </c>
      <c r="AD708" s="6">
        <f>$O$708*$X$708</f>
        <v>88.488120000000009</v>
      </c>
      <c r="AE708" s="6">
        <f>$K$708*$Y$708</f>
        <v>0</v>
      </c>
      <c r="AF708" s="6">
        <f ca="1">$M$708*$Z$708</f>
        <v>196.20493450287279</v>
      </c>
      <c r="AG708" s="6">
        <f>$O$708*$AA$708</f>
        <v>96.374514677064198</v>
      </c>
    </row>
    <row r="709" spans="1:33" ht="11.25" customHeight="1" x14ac:dyDescent="0.25">
      <c r="A709" s="4" t="s">
        <v>21</v>
      </c>
      <c r="B709" s="4" t="s">
        <v>22</v>
      </c>
      <c r="C709" s="4" t="s">
        <v>33</v>
      </c>
      <c r="D709" s="4" t="s">
        <v>24</v>
      </c>
      <c r="E709" s="4" t="s">
        <v>24</v>
      </c>
      <c r="F709" s="4" t="s">
        <v>25</v>
      </c>
      <c r="G709" s="4" t="s">
        <v>25</v>
      </c>
      <c r="H709" s="4" t="s">
        <v>36</v>
      </c>
      <c r="I709" s="5">
        <v>44409</v>
      </c>
      <c r="J709" s="6">
        <v>0</v>
      </c>
      <c r="K709" s="6">
        <v>0</v>
      </c>
      <c r="L709" s="6">
        <v>0.34399999999999997</v>
      </c>
      <c r="M709" s="6">
        <v>0.34399999999999997</v>
      </c>
      <c r="N709" s="6">
        <v>0.34399999999999997</v>
      </c>
      <c r="O709" s="6">
        <v>0.34399999999999997</v>
      </c>
      <c r="P709" s="6">
        <v>0</v>
      </c>
      <c r="Q709" s="4" t="s">
        <v>26</v>
      </c>
      <c r="R709" s="4">
        <v>0</v>
      </c>
      <c r="S709" s="6">
        <v>0</v>
      </c>
      <c r="T709" s="6">
        <v>15</v>
      </c>
      <c r="U709" s="6">
        <v>71</v>
      </c>
      <c r="V709" s="6">
        <f>IF(ISERROR(VLOOKUP($S$709,'TAR FIN'!$A$1:$O$100,15,0)),0,VLOOKUP($S$709,'TAR FIN'!$A$1:$O$100,15,0))</f>
        <v>0</v>
      </c>
      <c r="W709" s="6">
        <f>IF(ISERROR(VLOOKUP($T$709,'TAR FIN'!$A$1:$O$100,15,0)),0,VLOOKUP($T$709,'TAR FIN'!$A$1:$O$100,15,0))</f>
        <v>492.88</v>
      </c>
      <c r="X709" s="6">
        <f>IF(ISERROR(VLOOKUP($U$709,'TAR FIN'!$A$1:$O$100,15,0)),0,VLOOKUP($U$709,'TAR FIN'!$A$1:$O$100,15,0))</f>
        <v>219.03</v>
      </c>
      <c r="Y709" s="6"/>
      <c r="Z709" s="6">
        <f ca="1">('TUSD BE'!$AM$28+'TUSD BF'!$AM$28+'TUSD CVA'!$AM$28)*1</f>
        <v>485.65577847245737</v>
      </c>
      <c r="AA709" s="6">
        <f>('TE BE'!$AA$11+'TE BF'!$AA$11+'TE CVA'!$AA$11)*1</f>
        <v>238.55077890362423</v>
      </c>
      <c r="AB709" s="6">
        <f>$K$709*$V$709</f>
        <v>0</v>
      </c>
      <c r="AC709" s="6">
        <f>$M$709*$W$709</f>
        <v>169.55071999999998</v>
      </c>
      <c r="AD709" s="6">
        <f>$O$709*$X$709</f>
        <v>75.346319999999992</v>
      </c>
      <c r="AE709" s="6">
        <f>$K$709*$Y$709</f>
        <v>0</v>
      </c>
      <c r="AF709" s="6">
        <f ca="1">$M$709*$Z$709</f>
        <v>167.06558779452533</v>
      </c>
      <c r="AG709" s="6">
        <f>$O$709*$AA$709</f>
        <v>82.061467942846733</v>
      </c>
    </row>
    <row r="710" spans="1:33" ht="11.25" customHeight="1" x14ac:dyDescent="0.25">
      <c r="A710" s="4" t="s">
        <v>21</v>
      </c>
      <c r="B710" s="4" t="s">
        <v>22</v>
      </c>
      <c r="C710" s="4" t="s">
        <v>33</v>
      </c>
      <c r="D710" s="4" t="s">
        <v>24</v>
      </c>
      <c r="E710" s="4" t="s">
        <v>24</v>
      </c>
      <c r="F710" s="4" t="s">
        <v>25</v>
      </c>
      <c r="G710" s="4" t="s">
        <v>25</v>
      </c>
      <c r="H710" s="4" t="s">
        <v>36</v>
      </c>
      <c r="I710" s="5">
        <v>44440</v>
      </c>
      <c r="J710" s="6">
        <v>0</v>
      </c>
      <c r="K710" s="6">
        <v>0</v>
      </c>
      <c r="L710" s="6">
        <v>0.308</v>
      </c>
      <c r="M710" s="6">
        <v>0.308</v>
      </c>
      <c r="N710" s="6">
        <v>0.308</v>
      </c>
      <c r="O710" s="6">
        <v>0.308</v>
      </c>
      <c r="P710" s="6">
        <v>0</v>
      </c>
      <c r="Q710" s="4" t="s">
        <v>26</v>
      </c>
      <c r="R710" s="4">
        <v>0</v>
      </c>
      <c r="S710" s="6">
        <v>0</v>
      </c>
      <c r="T710" s="6">
        <v>15</v>
      </c>
      <c r="U710" s="6">
        <v>71</v>
      </c>
      <c r="V710" s="6">
        <f>IF(ISERROR(VLOOKUP($S$710,'TAR FIN'!$A$1:$O$100,15,0)),0,VLOOKUP($S$710,'TAR FIN'!$A$1:$O$100,15,0))</f>
        <v>0</v>
      </c>
      <c r="W710" s="6">
        <f>IF(ISERROR(VLOOKUP($T$710,'TAR FIN'!$A$1:$O$100,15,0)),0,VLOOKUP($T$710,'TAR FIN'!$A$1:$O$100,15,0))</f>
        <v>492.88</v>
      </c>
      <c r="X710" s="6">
        <f>IF(ISERROR(VLOOKUP($U$710,'TAR FIN'!$A$1:$O$100,15,0)),0,VLOOKUP($U$710,'TAR FIN'!$A$1:$O$100,15,0))</f>
        <v>219.03</v>
      </c>
      <c r="Y710" s="6"/>
      <c r="Z710" s="6">
        <f ca="1">('TUSD BE'!$AM$28+'TUSD BF'!$AM$28+'TUSD CVA'!$AM$28)*1</f>
        <v>485.65577847245737</v>
      </c>
      <c r="AA710" s="6">
        <f>('TE BE'!$AA$11+'TE BF'!$AA$11+'TE CVA'!$AA$11)*1</f>
        <v>238.55077890362423</v>
      </c>
      <c r="AB710" s="6">
        <f>$K$710*$V$710</f>
        <v>0</v>
      </c>
      <c r="AC710" s="6">
        <f>$M$710*$W$710</f>
        <v>151.80704</v>
      </c>
      <c r="AD710" s="6">
        <f>$O$710*$X$710</f>
        <v>67.461240000000004</v>
      </c>
      <c r="AE710" s="6">
        <f>$K$710*$Y$710</f>
        <v>0</v>
      </c>
      <c r="AF710" s="6">
        <f ca="1">$M$710*$Z$710</f>
        <v>149.58197976951686</v>
      </c>
      <c r="AG710" s="6">
        <f>$O$710*$AA$710</f>
        <v>73.473639902316265</v>
      </c>
    </row>
    <row r="711" spans="1:33" ht="11.25" customHeight="1" x14ac:dyDescent="0.25">
      <c r="A711" s="4" t="s">
        <v>21</v>
      </c>
      <c r="B711" s="4" t="s">
        <v>22</v>
      </c>
      <c r="C711" s="4" t="s">
        <v>33</v>
      </c>
      <c r="D711" s="4" t="s">
        <v>24</v>
      </c>
      <c r="E711" s="4" t="s">
        <v>24</v>
      </c>
      <c r="F711" s="4" t="s">
        <v>25</v>
      </c>
      <c r="G711" s="4" t="s">
        <v>25</v>
      </c>
      <c r="H711" s="4" t="s">
        <v>36</v>
      </c>
      <c r="I711" s="5">
        <v>44470</v>
      </c>
      <c r="J711" s="6">
        <v>0</v>
      </c>
      <c r="K711" s="6">
        <v>0</v>
      </c>
      <c r="L711" s="6">
        <v>0.38400000000000001</v>
      </c>
      <c r="M711" s="6">
        <v>0.38400000000000001</v>
      </c>
      <c r="N711" s="6">
        <v>0.38400000000000001</v>
      </c>
      <c r="O711" s="6">
        <v>0.38400000000000001</v>
      </c>
      <c r="P711" s="6">
        <v>0</v>
      </c>
      <c r="Q711" s="4" t="s">
        <v>26</v>
      </c>
      <c r="R711" s="4">
        <v>0</v>
      </c>
      <c r="S711" s="6">
        <v>0</v>
      </c>
      <c r="T711" s="6">
        <v>15</v>
      </c>
      <c r="U711" s="6">
        <v>71</v>
      </c>
      <c r="V711" s="6">
        <f>IF(ISERROR(VLOOKUP($S$711,'TAR FIN'!$A$1:$O$100,15,0)),0,VLOOKUP($S$711,'TAR FIN'!$A$1:$O$100,15,0))</f>
        <v>0</v>
      </c>
      <c r="W711" s="6">
        <f>IF(ISERROR(VLOOKUP($T$711,'TAR FIN'!$A$1:$O$100,15,0)),0,VLOOKUP($T$711,'TAR FIN'!$A$1:$O$100,15,0))</f>
        <v>492.88</v>
      </c>
      <c r="X711" s="6">
        <f>IF(ISERROR(VLOOKUP($U$711,'TAR FIN'!$A$1:$O$100,15,0)),0,VLOOKUP($U$711,'TAR FIN'!$A$1:$O$100,15,0))</f>
        <v>219.03</v>
      </c>
      <c r="Y711" s="6"/>
      <c r="Z711" s="6">
        <f ca="1">('TUSD BE'!$AM$28+'TUSD BF'!$AM$28+'TUSD CVA'!$AM$28)*1</f>
        <v>485.65577847245737</v>
      </c>
      <c r="AA711" s="6">
        <f>('TE BE'!$AA$11+'TE BF'!$AA$11+'TE CVA'!$AA$11)*1</f>
        <v>238.55077890362423</v>
      </c>
      <c r="AB711" s="6">
        <f>$K$711*$V$711</f>
        <v>0</v>
      </c>
      <c r="AC711" s="6">
        <f>$M$711*$W$711</f>
        <v>189.26591999999999</v>
      </c>
      <c r="AD711" s="6">
        <f>$O$711*$X$711</f>
        <v>84.107520000000008</v>
      </c>
      <c r="AE711" s="6">
        <f>$K$711*$Y$711</f>
        <v>0</v>
      </c>
      <c r="AF711" s="6">
        <f ca="1">$M$711*$Z$711</f>
        <v>186.49181893342364</v>
      </c>
      <c r="AG711" s="6">
        <f>$O$711*$AA$711</f>
        <v>91.603499098991705</v>
      </c>
    </row>
    <row r="712" spans="1:33" ht="11.25" customHeight="1" x14ac:dyDescent="0.25">
      <c r="A712" s="4" t="s">
        <v>21</v>
      </c>
      <c r="B712" s="4" t="s">
        <v>22</v>
      </c>
      <c r="C712" s="4" t="s">
        <v>33</v>
      </c>
      <c r="D712" s="4" t="s">
        <v>24</v>
      </c>
      <c r="E712" s="4" t="s">
        <v>24</v>
      </c>
      <c r="F712" s="4" t="s">
        <v>25</v>
      </c>
      <c r="G712" s="4" t="s">
        <v>25</v>
      </c>
      <c r="H712" s="4" t="s">
        <v>36</v>
      </c>
      <c r="I712" s="5">
        <v>44501</v>
      </c>
      <c r="J712" s="6">
        <v>0</v>
      </c>
      <c r="K712" s="6">
        <v>0</v>
      </c>
      <c r="L712" s="6">
        <v>0.38</v>
      </c>
      <c r="M712" s="6">
        <v>0.38</v>
      </c>
      <c r="N712" s="6">
        <v>0.38</v>
      </c>
      <c r="O712" s="6">
        <v>0.38</v>
      </c>
      <c r="P712" s="6">
        <v>0</v>
      </c>
      <c r="Q712" s="4" t="s">
        <v>26</v>
      </c>
      <c r="R712" s="4">
        <v>0</v>
      </c>
      <c r="S712" s="6">
        <v>0</v>
      </c>
      <c r="T712" s="6">
        <v>15</v>
      </c>
      <c r="U712" s="6">
        <v>71</v>
      </c>
      <c r="V712" s="6">
        <f>IF(ISERROR(VLOOKUP($S$712,'TAR FIN'!$A$1:$O$100,15,0)),0,VLOOKUP($S$712,'TAR FIN'!$A$1:$O$100,15,0))</f>
        <v>0</v>
      </c>
      <c r="W712" s="6">
        <f>IF(ISERROR(VLOOKUP($T$712,'TAR FIN'!$A$1:$O$100,15,0)),0,VLOOKUP($T$712,'TAR FIN'!$A$1:$O$100,15,0))</f>
        <v>492.88</v>
      </c>
      <c r="X712" s="6">
        <f>IF(ISERROR(VLOOKUP($U$712,'TAR FIN'!$A$1:$O$100,15,0)),0,VLOOKUP($U$712,'TAR FIN'!$A$1:$O$100,15,0))</f>
        <v>219.03</v>
      </c>
      <c r="Y712" s="6"/>
      <c r="Z712" s="6">
        <f ca="1">('TUSD BE'!$AM$28+'TUSD BF'!$AM$28+'TUSD CVA'!$AM$28)*1</f>
        <v>485.65577847245737</v>
      </c>
      <c r="AA712" s="6">
        <f>('TE BE'!$AA$11+'TE BF'!$AA$11+'TE CVA'!$AA$11)*1</f>
        <v>238.55077890362423</v>
      </c>
      <c r="AB712" s="6">
        <f>$K$712*$V$712</f>
        <v>0</v>
      </c>
      <c r="AC712" s="6">
        <f>$M$712*$W$712</f>
        <v>187.2944</v>
      </c>
      <c r="AD712" s="6">
        <f>$O$712*$X$712</f>
        <v>83.231400000000008</v>
      </c>
      <c r="AE712" s="6">
        <f>$K$712*$Y$712</f>
        <v>0</v>
      </c>
      <c r="AF712" s="6">
        <f ca="1">$M$712*$Z$712</f>
        <v>184.54919581953379</v>
      </c>
      <c r="AG712" s="6">
        <f>$O$712*$AA$712</f>
        <v>90.649295983377215</v>
      </c>
    </row>
    <row r="713" spans="1:33" ht="11.25" customHeight="1" x14ac:dyDescent="0.25">
      <c r="A713" s="4" t="s">
        <v>21</v>
      </c>
      <c r="B713" s="4" t="s">
        <v>22</v>
      </c>
      <c r="C713" s="4" t="s">
        <v>33</v>
      </c>
      <c r="D713" s="4" t="s">
        <v>24</v>
      </c>
      <c r="E713" s="4" t="s">
        <v>24</v>
      </c>
      <c r="F713" s="4" t="s">
        <v>25</v>
      </c>
      <c r="G713" s="4" t="s">
        <v>25</v>
      </c>
      <c r="H713" s="4" t="s">
        <v>36</v>
      </c>
      <c r="I713" s="5">
        <v>44531</v>
      </c>
      <c r="J713" s="6">
        <v>0</v>
      </c>
      <c r="K713" s="6">
        <v>0</v>
      </c>
      <c r="L713" s="6">
        <v>0.41499999999999998</v>
      </c>
      <c r="M713" s="6">
        <v>0.41499999999999998</v>
      </c>
      <c r="N713" s="6">
        <v>0.41499999999999998</v>
      </c>
      <c r="O713" s="6">
        <v>0.41499999999999998</v>
      </c>
      <c r="P713" s="6">
        <v>0</v>
      </c>
      <c r="Q713" s="4" t="s">
        <v>26</v>
      </c>
      <c r="R713" s="4">
        <v>0</v>
      </c>
      <c r="S713" s="6">
        <v>0</v>
      </c>
      <c r="T713" s="6">
        <v>15</v>
      </c>
      <c r="U713" s="6">
        <v>71</v>
      </c>
      <c r="V713" s="6">
        <f>IF(ISERROR(VLOOKUP($S$713,'TAR FIN'!$A$1:$O$100,15,0)),0,VLOOKUP($S$713,'TAR FIN'!$A$1:$O$100,15,0))</f>
        <v>0</v>
      </c>
      <c r="W713" s="6">
        <f>IF(ISERROR(VLOOKUP($T$713,'TAR FIN'!$A$1:$O$100,15,0)),0,VLOOKUP($T$713,'TAR FIN'!$A$1:$O$100,15,0))</f>
        <v>492.88</v>
      </c>
      <c r="X713" s="6">
        <f>IF(ISERROR(VLOOKUP($U$713,'TAR FIN'!$A$1:$O$100,15,0)),0,VLOOKUP($U$713,'TAR FIN'!$A$1:$O$100,15,0))</f>
        <v>219.03</v>
      </c>
      <c r="Y713" s="6"/>
      <c r="Z713" s="6">
        <f ca="1">('TUSD BE'!$AM$28+'TUSD BF'!$AM$28+'TUSD CVA'!$AM$28)*1</f>
        <v>485.65577847245737</v>
      </c>
      <c r="AA713" s="6">
        <f>('TE BE'!$AA$11+'TE BF'!$AA$11+'TE CVA'!$AA$11)*1</f>
        <v>238.55077890362423</v>
      </c>
      <c r="AB713" s="6">
        <f>$K$713*$V$713</f>
        <v>0</v>
      </c>
      <c r="AC713" s="6">
        <f>$M$713*$W$713</f>
        <v>204.54519999999999</v>
      </c>
      <c r="AD713" s="6">
        <f>$O$713*$X$713</f>
        <v>90.897449999999992</v>
      </c>
      <c r="AE713" s="6">
        <f>$K$713*$Y$713</f>
        <v>0</v>
      </c>
      <c r="AF713" s="6">
        <f ca="1">$M$713*$Z$713</f>
        <v>201.54714806606981</v>
      </c>
      <c r="AG713" s="6">
        <f>$O$713*$AA$713</f>
        <v>98.998573245004053</v>
      </c>
    </row>
    <row r="714" spans="1:33" ht="11.25" customHeight="1" x14ac:dyDescent="0.25">
      <c r="A714" s="4" t="s">
        <v>55</v>
      </c>
      <c r="B714" s="4" t="s">
        <v>22</v>
      </c>
      <c r="C714" s="4" t="s">
        <v>33</v>
      </c>
      <c r="D714" s="4" t="s">
        <v>24</v>
      </c>
      <c r="E714" s="4" t="s">
        <v>24</v>
      </c>
      <c r="F714" s="4" t="s">
        <v>25</v>
      </c>
      <c r="G714" s="4" t="s">
        <v>25</v>
      </c>
      <c r="H714" s="4" t="s">
        <v>36</v>
      </c>
      <c r="I714" s="5">
        <v>44562</v>
      </c>
      <c r="J714" s="6">
        <v>0</v>
      </c>
      <c r="K714" s="6">
        <v>0</v>
      </c>
      <c r="L714" s="6">
        <v>0.41499999999999998</v>
      </c>
      <c r="M714" s="6">
        <v>0.41499999999999998</v>
      </c>
      <c r="N714" s="6">
        <v>0.41499999999999998</v>
      </c>
      <c r="O714" s="6">
        <v>0.41499999999999998</v>
      </c>
      <c r="P714" s="6">
        <v>0</v>
      </c>
      <c r="Q714" s="4" t="s">
        <v>26</v>
      </c>
      <c r="R714" s="4">
        <v>0</v>
      </c>
      <c r="S714" s="6">
        <v>0</v>
      </c>
      <c r="T714" s="6">
        <v>15</v>
      </c>
      <c r="U714" s="6">
        <v>71</v>
      </c>
      <c r="V714" s="6">
        <f>IF(ISERROR(VLOOKUP($S$714,'TAR FIN'!$A$1:$O$100,15,0)),0,VLOOKUP($S$714,'TAR FIN'!$A$1:$O$100,15,0))</f>
        <v>0</v>
      </c>
      <c r="W714" s="6">
        <f>IF(ISERROR(VLOOKUP($T$714,'TAR FIN'!$A$1:$O$100,15,0)),0,VLOOKUP($T$714,'TAR FIN'!$A$1:$O$100,15,0))</f>
        <v>492.88</v>
      </c>
      <c r="X714" s="6">
        <f>IF(ISERROR(VLOOKUP($U$714,'TAR FIN'!$A$1:$O$100,15,0)),0,VLOOKUP($U$714,'TAR FIN'!$A$1:$O$100,15,0))</f>
        <v>219.03</v>
      </c>
      <c r="Y714" s="6"/>
      <c r="Z714" s="6">
        <f ca="1">('TUSD BE'!$AM$28+'TUSD BF'!$AM$28+'TUSD CVA'!$AM$28)*1</f>
        <v>485.65577847245737</v>
      </c>
      <c r="AA714" s="6">
        <f>('TE BE'!$AA$11+'TE BF'!$AA$11+'TE CVA'!$AA$11)*1</f>
        <v>238.55077890362423</v>
      </c>
      <c r="AB714" s="6">
        <f>$K$714*$V$714</f>
        <v>0</v>
      </c>
      <c r="AC714" s="6">
        <f>$M$714*$W$714</f>
        <v>204.54519999999999</v>
      </c>
      <c r="AD714" s="6">
        <f>$O$714*$X$714</f>
        <v>90.897449999999992</v>
      </c>
      <c r="AE714" s="6">
        <f>$K$714*$Y$714</f>
        <v>0</v>
      </c>
      <c r="AF714" s="6">
        <f ca="1">$M$714*$Z$714</f>
        <v>201.54714806606981</v>
      </c>
      <c r="AG714" s="6">
        <f>$O$714*$AA$714</f>
        <v>98.998573245004053</v>
      </c>
    </row>
    <row r="715" spans="1:33" ht="11.25" customHeight="1" x14ac:dyDescent="0.25">
      <c r="A715" s="4" t="s">
        <v>21</v>
      </c>
      <c r="B715" s="4" t="s">
        <v>22</v>
      </c>
      <c r="C715" s="4" t="s">
        <v>33</v>
      </c>
      <c r="D715" s="4" t="s">
        <v>24</v>
      </c>
      <c r="E715" s="4" t="s">
        <v>24</v>
      </c>
      <c r="F715" s="4" t="s">
        <v>25</v>
      </c>
      <c r="G715" s="4" t="s">
        <v>25</v>
      </c>
      <c r="H715" s="4" t="s">
        <v>34</v>
      </c>
      <c r="I715" s="5">
        <v>44228</v>
      </c>
      <c r="J715" s="6">
        <v>0</v>
      </c>
      <c r="K715" s="6">
        <v>0</v>
      </c>
      <c r="L715" s="6">
        <v>0.63500000000000001</v>
      </c>
      <c r="M715" s="6">
        <v>0.63500000000000001</v>
      </c>
      <c r="N715" s="6">
        <v>0.63500000000000001</v>
      </c>
      <c r="O715" s="6">
        <v>0.63500000000000001</v>
      </c>
      <c r="P715" s="6">
        <v>0</v>
      </c>
      <c r="Q715" s="4" t="s">
        <v>26</v>
      </c>
      <c r="R715" s="4">
        <v>0</v>
      </c>
      <c r="S715" s="6">
        <v>0</v>
      </c>
      <c r="T715" s="6">
        <v>14</v>
      </c>
      <c r="U715" s="6">
        <v>70</v>
      </c>
      <c r="V715" s="6">
        <f>IF(ISERROR(VLOOKUP($S$715,'TAR FIN'!$A$1:$O$100,15,0)),0,VLOOKUP($S$715,'TAR FIN'!$A$1:$O$100,15,0))</f>
        <v>0</v>
      </c>
      <c r="W715" s="6">
        <f>IF(ISERROR(VLOOKUP($T$715,'TAR FIN'!$A$1:$O$100,15,0)),0,VLOOKUP($T$715,'TAR FIN'!$A$1:$O$100,15,0))</f>
        <v>781.06</v>
      </c>
      <c r="X715" s="6">
        <f>IF(ISERROR(VLOOKUP($U$715,'TAR FIN'!$A$1:$O$100,15,0)),0,VLOOKUP($U$715,'TAR FIN'!$A$1:$O$100,15,0))</f>
        <v>366.6</v>
      </c>
      <c r="Y715" s="6"/>
      <c r="Z715" s="6">
        <f ca="1">('TUSD BE'!$AM$27+'TUSD BF'!$AM$27+'TUSD CVA'!$AM$27)*1</f>
        <v>763.9315774772972</v>
      </c>
      <c r="AA715" s="6">
        <f>('TE BE'!$AA$10+'TE BF'!$AA$10+'TE CVA'!$AA$10)*1</f>
        <v>385.46556634281501</v>
      </c>
      <c r="AB715" s="6">
        <f>$K$715*$V$715</f>
        <v>0</v>
      </c>
      <c r="AC715" s="6">
        <f>$M$715*$W$715</f>
        <v>495.97309999999999</v>
      </c>
      <c r="AD715" s="6">
        <f>$O$715*$X$715</f>
        <v>232.79100000000003</v>
      </c>
      <c r="AE715" s="6">
        <f>$K$715*$Y$715</f>
        <v>0</v>
      </c>
      <c r="AF715" s="6">
        <f ca="1">$M$715*$Z$715</f>
        <v>485.09655169808372</v>
      </c>
      <c r="AG715" s="6">
        <f>$O$715*$AA$715</f>
        <v>244.77063462768754</v>
      </c>
    </row>
    <row r="716" spans="1:33" ht="11.25" customHeight="1" x14ac:dyDescent="0.25">
      <c r="A716" s="4" t="s">
        <v>21</v>
      </c>
      <c r="B716" s="4" t="s">
        <v>22</v>
      </c>
      <c r="C716" s="4" t="s">
        <v>33</v>
      </c>
      <c r="D716" s="4" t="s">
        <v>24</v>
      </c>
      <c r="E716" s="4" t="s">
        <v>24</v>
      </c>
      <c r="F716" s="4" t="s">
        <v>25</v>
      </c>
      <c r="G716" s="4" t="s">
        <v>25</v>
      </c>
      <c r="H716" s="4" t="s">
        <v>34</v>
      </c>
      <c r="I716" s="5">
        <v>44256</v>
      </c>
      <c r="J716" s="6">
        <v>0</v>
      </c>
      <c r="K716" s="6">
        <v>0</v>
      </c>
      <c r="L716" s="6">
        <v>0.71899999999999997</v>
      </c>
      <c r="M716" s="6">
        <v>0.71899999999999997</v>
      </c>
      <c r="N716" s="6">
        <v>0.71899999999999997</v>
      </c>
      <c r="O716" s="6">
        <v>0.71899999999999997</v>
      </c>
      <c r="P716" s="6">
        <v>0</v>
      </c>
      <c r="Q716" s="4" t="s">
        <v>26</v>
      </c>
      <c r="R716" s="4">
        <v>0</v>
      </c>
      <c r="S716" s="6">
        <v>0</v>
      </c>
      <c r="T716" s="6">
        <v>14</v>
      </c>
      <c r="U716" s="6">
        <v>70</v>
      </c>
      <c r="V716" s="6">
        <f>IF(ISERROR(VLOOKUP($S$716,'TAR FIN'!$A$1:$O$100,15,0)),0,VLOOKUP($S$716,'TAR FIN'!$A$1:$O$100,15,0))</f>
        <v>0</v>
      </c>
      <c r="W716" s="6">
        <f>IF(ISERROR(VLOOKUP($T$716,'TAR FIN'!$A$1:$O$100,15,0)),0,VLOOKUP($T$716,'TAR FIN'!$A$1:$O$100,15,0))</f>
        <v>781.06</v>
      </c>
      <c r="X716" s="6">
        <f>IF(ISERROR(VLOOKUP($U$716,'TAR FIN'!$A$1:$O$100,15,0)),0,VLOOKUP($U$716,'TAR FIN'!$A$1:$O$100,15,0))</f>
        <v>366.6</v>
      </c>
      <c r="Y716" s="6"/>
      <c r="Z716" s="6">
        <f ca="1">('TUSD BE'!$AM$27+'TUSD BF'!$AM$27+'TUSD CVA'!$AM$27)*1</f>
        <v>763.9315774772972</v>
      </c>
      <c r="AA716" s="6">
        <f>('TE BE'!$AA$10+'TE BF'!$AA$10+'TE CVA'!$AA$10)*1</f>
        <v>385.46556634281501</v>
      </c>
      <c r="AB716" s="6">
        <f>$K$716*$V$716</f>
        <v>0</v>
      </c>
      <c r="AC716" s="6">
        <f>$M$716*$W$716</f>
        <v>561.58213999999998</v>
      </c>
      <c r="AD716" s="6">
        <f>$O$716*$X$716</f>
        <v>263.58539999999999</v>
      </c>
      <c r="AE716" s="6">
        <f>$K$716*$Y$716</f>
        <v>0</v>
      </c>
      <c r="AF716" s="6">
        <f ca="1">$M$716*$Z$716</f>
        <v>549.26680420617663</v>
      </c>
      <c r="AG716" s="6">
        <f>$O$716*$AA$716</f>
        <v>277.14974220048396</v>
      </c>
    </row>
    <row r="717" spans="1:33" ht="11.25" customHeight="1" x14ac:dyDescent="0.25">
      <c r="A717" s="4" t="s">
        <v>21</v>
      </c>
      <c r="B717" s="4" t="s">
        <v>22</v>
      </c>
      <c r="C717" s="4" t="s">
        <v>33</v>
      </c>
      <c r="D717" s="4" t="s">
        <v>24</v>
      </c>
      <c r="E717" s="4" t="s">
        <v>24</v>
      </c>
      <c r="F717" s="4" t="s">
        <v>25</v>
      </c>
      <c r="G717" s="4" t="s">
        <v>25</v>
      </c>
      <c r="H717" s="4" t="s">
        <v>34</v>
      </c>
      <c r="I717" s="5">
        <v>44287</v>
      </c>
      <c r="J717" s="6">
        <v>0</v>
      </c>
      <c r="K717" s="6">
        <v>0</v>
      </c>
      <c r="L717" s="6">
        <v>0.71699999999999997</v>
      </c>
      <c r="M717" s="6">
        <v>0.71699999999999997</v>
      </c>
      <c r="N717" s="6">
        <v>0.71699999999999997</v>
      </c>
      <c r="O717" s="6">
        <v>0.71699999999999997</v>
      </c>
      <c r="P717" s="6">
        <v>0</v>
      </c>
      <c r="Q717" s="4" t="s">
        <v>26</v>
      </c>
      <c r="R717" s="4">
        <v>0</v>
      </c>
      <c r="S717" s="6">
        <v>0</v>
      </c>
      <c r="T717" s="6">
        <v>14</v>
      </c>
      <c r="U717" s="6">
        <v>70</v>
      </c>
      <c r="V717" s="6">
        <f>IF(ISERROR(VLOOKUP($S$717,'TAR FIN'!$A$1:$O$100,15,0)),0,VLOOKUP($S$717,'TAR FIN'!$A$1:$O$100,15,0))</f>
        <v>0</v>
      </c>
      <c r="W717" s="6">
        <f>IF(ISERROR(VLOOKUP($T$717,'TAR FIN'!$A$1:$O$100,15,0)),0,VLOOKUP($T$717,'TAR FIN'!$A$1:$O$100,15,0))</f>
        <v>781.06</v>
      </c>
      <c r="X717" s="6">
        <f>IF(ISERROR(VLOOKUP($U$717,'TAR FIN'!$A$1:$O$100,15,0)),0,VLOOKUP($U$717,'TAR FIN'!$A$1:$O$100,15,0))</f>
        <v>366.6</v>
      </c>
      <c r="Y717" s="6"/>
      <c r="Z717" s="6">
        <f ca="1">('TUSD BE'!$AM$27+'TUSD BF'!$AM$27+'TUSD CVA'!$AM$27)*1</f>
        <v>763.9315774772972</v>
      </c>
      <c r="AA717" s="6">
        <f>('TE BE'!$AA$10+'TE BF'!$AA$10+'TE CVA'!$AA$10)*1</f>
        <v>385.46556634281501</v>
      </c>
      <c r="AB717" s="6">
        <f>$K$717*$V$717</f>
        <v>0</v>
      </c>
      <c r="AC717" s="6">
        <f>$M$717*$W$717</f>
        <v>560.02001999999993</v>
      </c>
      <c r="AD717" s="6">
        <f>$O$717*$X$717</f>
        <v>262.85219999999998</v>
      </c>
      <c r="AE717" s="6">
        <f>$K$717*$Y$717</f>
        <v>0</v>
      </c>
      <c r="AF717" s="6">
        <f ca="1">$M$717*$Z$717</f>
        <v>547.73894105122201</v>
      </c>
      <c r="AG717" s="6">
        <f>$O$717*$AA$717</f>
        <v>276.37881106779832</v>
      </c>
    </row>
    <row r="718" spans="1:33" ht="11.25" customHeight="1" x14ac:dyDescent="0.25">
      <c r="A718" s="4" t="s">
        <v>27</v>
      </c>
      <c r="B718" s="4" t="s">
        <v>22</v>
      </c>
      <c r="C718" s="4" t="s">
        <v>33</v>
      </c>
      <c r="D718" s="4" t="s">
        <v>24</v>
      </c>
      <c r="E718" s="4" t="s">
        <v>24</v>
      </c>
      <c r="F718" s="4" t="s">
        <v>25</v>
      </c>
      <c r="G718" s="4" t="s">
        <v>25</v>
      </c>
      <c r="H718" s="4" t="s">
        <v>34</v>
      </c>
      <c r="I718" s="5">
        <v>44287</v>
      </c>
      <c r="J718" s="6">
        <v>0</v>
      </c>
      <c r="K718" s="6">
        <v>0</v>
      </c>
      <c r="L718" s="6">
        <v>-0.36899999999999999</v>
      </c>
      <c r="M718" s="6">
        <v>-0.36899999999999999</v>
      </c>
      <c r="N718" s="6">
        <v>-0.36899999999999999</v>
      </c>
      <c r="O718" s="6">
        <v>-0.36899999999999999</v>
      </c>
      <c r="P718" s="6">
        <v>0</v>
      </c>
      <c r="Q718" s="4" t="s">
        <v>26</v>
      </c>
      <c r="R718" s="4">
        <v>0</v>
      </c>
      <c r="S718" s="6">
        <v>0</v>
      </c>
      <c r="T718" s="6">
        <v>14</v>
      </c>
      <c r="U718" s="6">
        <v>70</v>
      </c>
      <c r="V718" s="6">
        <f>IF(ISERROR(VLOOKUP($S$718,'TAR FIN'!$A$1:$O$100,15,0)),0,VLOOKUP($S$718,'TAR FIN'!$A$1:$O$100,15,0))</f>
        <v>0</v>
      </c>
      <c r="W718" s="6">
        <f>IF(ISERROR(VLOOKUP($T$718,'TAR FIN'!$A$1:$O$100,15,0)),0,VLOOKUP($T$718,'TAR FIN'!$A$1:$O$100,15,0))</f>
        <v>781.06</v>
      </c>
      <c r="X718" s="6">
        <f>IF(ISERROR(VLOOKUP($U$718,'TAR FIN'!$A$1:$O$100,15,0)),0,VLOOKUP($U$718,'TAR FIN'!$A$1:$O$100,15,0))</f>
        <v>366.6</v>
      </c>
      <c r="Y718" s="6"/>
      <c r="Z718" s="6">
        <f ca="1">('TUSD BE'!$AM$27+'TUSD BF'!$AM$27+'TUSD CVA'!$AM$27)*1</f>
        <v>763.9315774772972</v>
      </c>
      <c r="AA718" s="6">
        <f>('TE BE'!$AA$10+'TE BF'!$AA$10+'TE CVA'!$AA$10)*1</f>
        <v>385.46556634281501</v>
      </c>
      <c r="AB718" s="6">
        <f>$K$718*$V$718</f>
        <v>0</v>
      </c>
      <c r="AC718" s="6">
        <f>$M$718*$W$718</f>
        <v>-288.21114</v>
      </c>
      <c r="AD718" s="6">
        <f>$O$718*$X$718</f>
        <v>-135.27540000000002</v>
      </c>
      <c r="AE718" s="6">
        <f>$K$718*$Y$718</f>
        <v>0</v>
      </c>
      <c r="AF718" s="6">
        <f ca="1">$M$718*$Z$718</f>
        <v>-281.89075208912266</v>
      </c>
      <c r="AG718" s="6">
        <f>$O$718*$AA$718</f>
        <v>-142.23679398049873</v>
      </c>
    </row>
    <row r="719" spans="1:33" ht="11.25" customHeight="1" x14ac:dyDescent="0.25">
      <c r="A719" s="4" t="s">
        <v>21</v>
      </c>
      <c r="B719" s="4" t="s">
        <v>22</v>
      </c>
      <c r="C719" s="4" t="s">
        <v>33</v>
      </c>
      <c r="D719" s="4" t="s">
        <v>24</v>
      </c>
      <c r="E719" s="4" t="s">
        <v>24</v>
      </c>
      <c r="F719" s="4" t="s">
        <v>25</v>
      </c>
      <c r="G719" s="4" t="s">
        <v>25</v>
      </c>
      <c r="H719" s="4" t="s">
        <v>34</v>
      </c>
      <c r="I719" s="5">
        <v>44317</v>
      </c>
      <c r="J719" s="6">
        <v>0</v>
      </c>
      <c r="K719" s="6">
        <v>0</v>
      </c>
      <c r="L719" s="6">
        <v>0.69099999999999995</v>
      </c>
      <c r="M719" s="6">
        <v>0.69099999999999995</v>
      </c>
      <c r="N719" s="6">
        <v>0.69099999999999995</v>
      </c>
      <c r="O719" s="6">
        <v>0.69099999999999995</v>
      </c>
      <c r="P719" s="6">
        <v>0</v>
      </c>
      <c r="Q719" s="4" t="s">
        <v>26</v>
      </c>
      <c r="R719" s="4">
        <v>0</v>
      </c>
      <c r="S719" s="6">
        <v>0</v>
      </c>
      <c r="T719" s="6">
        <v>14</v>
      </c>
      <c r="U719" s="6">
        <v>70</v>
      </c>
      <c r="V719" s="6">
        <f>IF(ISERROR(VLOOKUP($S$719,'TAR FIN'!$A$1:$O$100,15,0)),0,VLOOKUP($S$719,'TAR FIN'!$A$1:$O$100,15,0))</f>
        <v>0</v>
      </c>
      <c r="W719" s="6">
        <f>IF(ISERROR(VLOOKUP($T$719,'TAR FIN'!$A$1:$O$100,15,0)),0,VLOOKUP($T$719,'TAR FIN'!$A$1:$O$100,15,0))</f>
        <v>781.06</v>
      </c>
      <c r="X719" s="6">
        <f>IF(ISERROR(VLOOKUP($U$719,'TAR FIN'!$A$1:$O$100,15,0)),0,VLOOKUP($U$719,'TAR FIN'!$A$1:$O$100,15,0))</f>
        <v>366.6</v>
      </c>
      <c r="Y719" s="6"/>
      <c r="Z719" s="6">
        <f ca="1">('TUSD BE'!$AM$27+'TUSD BF'!$AM$27+'TUSD CVA'!$AM$27)*1</f>
        <v>763.9315774772972</v>
      </c>
      <c r="AA719" s="6">
        <f>('TE BE'!$AA$10+'TE BF'!$AA$10+'TE CVA'!$AA$10)*1</f>
        <v>385.46556634281501</v>
      </c>
      <c r="AB719" s="6">
        <f>$K$719*$V$719</f>
        <v>0</v>
      </c>
      <c r="AC719" s="6">
        <f>$M$719*$W$719</f>
        <v>539.71245999999996</v>
      </c>
      <c r="AD719" s="6">
        <f>$O$719*$X$719</f>
        <v>253.32059999999998</v>
      </c>
      <c r="AE719" s="6">
        <f>$K$719*$Y$719</f>
        <v>0</v>
      </c>
      <c r="AF719" s="6">
        <f ca="1">$M$719*$Z$719</f>
        <v>527.87672003681234</v>
      </c>
      <c r="AG719" s="6">
        <f>$O$719*$AA$719</f>
        <v>266.35670634288516</v>
      </c>
    </row>
    <row r="720" spans="1:33" ht="11.25" customHeight="1" x14ac:dyDescent="0.25">
      <c r="A720" s="4" t="s">
        <v>21</v>
      </c>
      <c r="B720" s="4" t="s">
        <v>22</v>
      </c>
      <c r="C720" s="4" t="s">
        <v>33</v>
      </c>
      <c r="D720" s="4" t="s">
        <v>24</v>
      </c>
      <c r="E720" s="4" t="s">
        <v>24</v>
      </c>
      <c r="F720" s="4" t="s">
        <v>25</v>
      </c>
      <c r="G720" s="4" t="s">
        <v>25</v>
      </c>
      <c r="H720" s="4" t="s">
        <v>34</v>
      </c>
      <c r="I720" s="5">
        <v>44348</v>
      </c>
      <c r="J720" s="6">
        <v>0</v>
      </c>
      <c r="K720" s="6">
        <v>0</v>
      </c>
      <c r="L720" s="6">
        <v>0.65400000000000003</v>
      </c>
      <c r="M720" s="6">
        <v>0.65400000000000003</v>
      </c>
      <c r="N720" s="6">
        <v>0.65400000000000003</v>
      </c>
      <c r="O720" s="6">
        <v>0.65400000000000003</v>
      </c>
      <c r="P720" s="6">
        <v>0</v>
      </c>
      <c r="Q720" s="4" t="s">
        <v>26</v>
      </c>
      <c r="R720" s="4">
        <v>0</v>
      </c>
      <c r="S720" s="6">
        <v>0</v>
      </c>
      <c r="T720" s="6">
        <v>14</v>
      </c>
      <c r="U720" s="6">
        <v>70</v>
      </c>
      <c r="V720" s="6">
        <f>IF(ISERROR(VLOOKUP($S$720,'TAR FIN'!$A$1:$O$100,15,0)),0,VLOOKUP($S$720,'TAR FIN'!$A$1:$O$100,15,0))</f>
        <v>0</v>
      </c>
      <c r="W720" s="6">
        <f>IF(ISERROR(VLOOKUP($T$720,'TAR FIN'!$A$1:$O$100,15,0)),0,VLOOKUP($T$720,'TAR FIN'!$A$1:$O$100,15,0))</f>
        <v>781.06</v>
      </c>
      <c r="X720" s="6">
        <f>IF(ISERROR(VLOOKUP($U$720,'TAR FIN'!$A$1:$O$100,15,0)),0,VLOOKUP($U$720,'TAR FIN'!$A$1:$O$100,15,0))</f>
        <v>366.6</v>
      </c>
      <c r="Y720" s="6"/>
      <c r="Z720" s="6">
        <f ca="1">('TUSD BE'!$AM$27+'TUSD BF'!$AM$27+'TUSD CVA'!$AM$27)*1</f>
        <v>763.9315774772972</v>
      </c>
      <c r="AA720" s="6">
        <f>('TE BE'!$AA$10+'TE BF'!$AA$10+'TE CVA'!$AA$10)*1</f>
        <v>385.46556634281501</v>
      </c>
      <c r="AB720" s="6">
        <f>$K$720*$V$720</f>
        <v>0</v>
      </c>
      <c r="AC720" s="6">
        <f>$M$720*$W$720</f>
        <v>510.81324000000001</v>
      </c>
      <c r="AD720" s="6">
        <f>$O$720*$X$720</f>
        <v>239.75640000000001</v>
      </c>
      <c r="AE720" s="6">
        <f>$K$720*$Y$720</f>
        <v>0</v>
      </c>
      <c r="AF720" s="6">
        <f ca="1">$M$720*$Z$720</f>
        <v>499.6112516701524</v>
      </c>
      <c r="AG720" s="6">
        <f>$O$720*$AA$720</f>
        <v>252.09448038820102</v>
      </c>
    </row>
    <row r="721" spans="1:33" ht="11.25" customHeight="1" x14ac:dyDescent="0.25">
      <c r="A721" s="4" t="s">
        <v>21</v>
      </c>
      <c r="B721" s="4" t="s">
        <v>22</v>
      </c>
      <c r="C721" s="4" t="s">
        <v>33</v>
      </c>
      <c r="D721" s="4" t="s">
        <v>24</v>
      </c>
      <c r="E721" s="4" t="s">
        <v>24</v>
      </c>
      <c r="F721" s="4" t="s">
        <v>25</v>
      </c>
      <c r="G721" s="4" t="s">
        <v>25</v>
      </c>
      <c r="H721" s="4" t="s">
        <v>34</v>
      </c>
      <c r="I721" s="5">
        <v>44378</v>
      </c>
      <c r="J721" s="6">
        <v>0</v>
      </c>
      <c r="K721" s="6">
        <v>0</v>
      </c>
      <c r="L721" s="6">
        <v>0.65400000000000003</v>
      </c>
      <c r="M721" s="6">
        <v>0.65400000000000003</v>
      </c>
      <c r="N721" s="6">
        <v>0.65400000000000003</v>
      </c>
      <c r="O721" s="6">
        <v>0.65400000000000003</v>
      </c>
      <c r="P721" s="6">
        <v>0</v>
      </c>
      <c r="Q721" s="4" t="s">
        <v>26</v>
      </c>
      <c r="R721" s="4">
        <v>0</v>
      </c>
      <c r="S721" s="6">
        <v>0</v>
      </c>
      <c r="T721" s="6">
        <v>14</v>
      </c>
      <c r="U721" s="6">
        <v>70</v>
      </c>
      <c r="V721" s="6">
        <f>IF(ISERROR(VLOOKUP($S$721,'TAR FIN'!$A$1:$O$100,15,0)),0,VLOOKUP($S$721,'TAR FIN'!$A$1:$O$100,15,0))</f>
        <v>0</v>
      </c>
      <c r="W721" s="6">
        <f>IF(ISERROR(VLOOKUP($T$721,'TAR FIN'!$A$1:$O$100,15,0)),0,VLOOKUP($T$721,'TAR FIN'!$A$1:$O$100,15,0))</f>
        <v>781.06</v>
      </c>
      <c r="X721" s="6">
        <f>IF(ISERROR(VLOOKUP($U$721,'TAR FIN'!$A$1:$O$100,15,0)),0,VLOOKUP($U$721,'TAR FIN'!$A$1:$O$100,15,0))</f>
        <v>366.6</v>
      </c>
      <c r="Y721" s="6"/>
      <c r="Z721" s="6">
        <f ca="1">('TUSD BE'!$AM$27+'TUSD BF'!$AM$27+'TUSD CVA'!$AM$27)*1</f>
        <v>763.9315774772972</v>
      </c>
      <c r="AA721" s="6">
        <f>('TE BE'!$AA$10+'TE BF'!$AA$10+'TE CVA'!$AA$10)*1</f>
        <v>385.46556634281501</v>
      </c>
      <c r="AB721" s="6">
        <f>$K$721*$V$721</f>
        <v>0</v>
      </c>
      <c r="AC721" s="6">
        <f>$M$721*$W$721</f>
        <v>510.81324000000001</v>
      </c>
      <c r="AD721" s="6">
        <f>$O$721*$X$721</f>
        <v>239.75640000000001</v>
      </c>
      <c r="AE721" s="6">
        <f>$K$721*$Y$721</f>
        <v>0</v>
      </c>
      <c r="AF721" s="6">
        <f ca="1">$M$721*$Z$721</f>
        <v>499.6112516701524</v>
      </c>
      <c r="AG721" s="6">
        <f>$O$721*$AA$721</f>
        <v>252.09448038820102</v>
      </c>
    </row>
    <row r="722" spans="1:33" ht="11.25" customHeight="1" x14ac:dyDescent="0.25">
      <c r="A722" s="4" t="s">
        <v>21</v>
      </c>
      <c r="B722" s="4" t="s">
        <v>22</v>
      </c>
      <c r="C722" s="4" t="s">
        <v>33</v>
      </c>
      <c r="D722" s="4" t="s">
        <v>24</v>
      </c>
      <c r="E722" s="4" t="s">
        <v>24</v>
      </c>
      <c r="F722" s="4" t="s">
        <v>25</v>
      </c>
      <c r="G722" s="4" t="s">
        <v>25</v>
      </c>
      <c r="H722" s="4" t="s">
        <v>34</v>
      </c>
      <c r="I722" s="5">
        <v>44409</v>
      </c>
      <c r="J722" s="6">
        <v>0</v>
      </c>
      <c r="K722" s="6">
        <v>0</v>
      </c>
      <c r="L722" s="6">
        <v>0.55800000000000005</v>
      </c>
      <c r="M722" s="6">
        <v>0.55800000000000005</v>
      </c>
      <c r="N722" s="6">
        <v>0.55800000000000005</v>
      </c>
      <c r="O722" s="6">
        <v>0.55800000000000005</v>
      </c>
      <c r="P722" s="6">
        <v>0</v>
      </c>
      <c r="Q722" s="4" t="s">
        <v>26</v>
      </c>
      <c r="R722" s="4">
        <v>0</v>
      </c>
      <c r="S722" s="6">
        <v>0</v>
      </c>
      <c r="T722" s="6">
        <v>14</v>
      </c>
      <c r="U722" s="6">
        <v>70</v>
      </c>
      <c r="V722" s="6">
        <f>IF(ISERROR(VLOOKUP($S$722,'TAR FIN'!$A$1:$O$100,15,0)),0,VLOOKUP($S$722,'TAR FIN'!$A$1:$O$100,15,0))</f>
        <v>0</v>
      </c>
      <c r="W722" s="6">
        <f>IF(ISERROR(VLOOKUP($T$722,'TAR FIN'!$A$1:$O$100,15,0)),0,VLOOKUP($T$722,'TAR FIN'!$A$1:$O$100,15,0))</f>
        <v>781.06</v>
      </c>
      <c r="X722" s="6">
        <f>IF(ISERROR(VLOOKUP($U$722,'TAR FIN'!$A$1:$O$100,15,0)),0,VLOOKUP($U$722,'TAR FIN'!$A$1:$O$100,15,0))</f>
        <v>366.6</v>
      </c>
      <c r="Y722" s="6"/>
      <c r="Z722" s="6">
        <f ca="1">('TUSD BE'!$AM$27+'TUSD BF'!$AM$27+'TUSD CVA'!$AM$27)*1</f>
        <v>763.9315774772972</v>
      </c>
      <c r="AA722" s="6">
        <f>('TE BE'!$AA$10+'TE BF'!$AA$10+'TE CVA'!$AA$10)*1</f>
        <v>385.46556634281501</v>
      </c>
      <c r="AB722" s="6">
        <f>$K$722*$V$722</f>
        <v>0</v>
      </c>
      <c r="AC722" s="6">
        <f>$M$722*$W$722</f>
        <v>435.83148</v>
      </c>
      <c r="AD722" s="6">
        <f>$O$722*$X$722</f>
        <v>204.56280000000004</v>
      </c>
      <c r="AE722" s="6">
        <f>$K$722*$Y$722</f>
        <v>0</v>
      </c>
      <c r="AF722" s="6">
        <f ca="1">$M$722*$Z$722</f>
        <v>426.2738202323319</v>
      </c>
      <c r="AG722" s="6">
        <f>$O$722*$AA$722</f>
        <v>215.08978601929078</v>
      </c>
    </row>
    <row r="723" spans="1:33" ht="11.25" customHeight="1" x14ac:dyDescent="0.25">
      <c r="A723" s="4" t="s">
        <v>21</v>
      </c>
      <c r="B723" s="4" t="s">
        <v>22</v>
      </c>
      <c r="C723" s="4" t="s">
        <v>33</v>
      </c>
      <c r="D723" s="4" t="s">
        <v>24</v>
      </c>
      <c r="E723" s="4" t="s">
        <v>24</v>
      </c>
      <c r="F723" s="4" t="s">
        <v>25</v>
      </c>
      <c r="G723" s="4" t="s">
        <v>25</v>
      </c>
      <c r="H723" s="4" t="s">
        <v>34</v>
      </c>
      <c r="I723" s="5">
        <v>44440</v>
      </c>
      <c r="J723" s="6">
        <v>0</v>
      </c>
      <c r="K723" s="6">
        <v>0</v>
      </c>
      <c r="L723" s="6">
        <v>0.48199999999999998</v>
      </c>
      <c r="M723" s="6">
        <v>0.48199999999999998</v>
      </c>
      <c r="N723" s="6">
        <v>0.48199999999999998</v>
      </c>
      <c r="O723" s="6">
        <v>0.48199999999999998</v>
      </c>
      <c r="P723" s="6">
        <v>0</v>
      </c>
      <c r="Q723" s="4" t="s">
        <v>26</v>
      </c>
      <c r="R723" s="4">
        <v>0</v>
      </c>
      <c r="S723" s="6">
        <v>0</v>
      </c>
      <c r="T723" s="6">
        <v>14</v>
      </c>
      <c r="U723" s="6">
        <v>70</v>
      </c>
      <c r="V723" s="6">
        <f>IF(ISERROR(VLOOKUP($S$723,'TAR FIN'!$A$1:$O$100,15,0)),0,VLOOKUP($S$723,'TAR FIN'!$A$1:$O$100,15,0))</f>
        <v>0</v>
      </c>
      <c r="W723" s="6">
        <f>IF(ISERROR(VLOOKUP($T$723,'TAR FIN'!$A$1:$O$100,15,0)),0,VLOOKUP($T$723,'TAR FIN'!$A$1:$O$100,15,0))</f>
        <v>781.06</v>
      </c>
      <c r="X723" s="6">
        <f>IF(ISERROR(VLOOKUP($U$723,'TAR FIN'!$A$1:$O$100,15,0)),0,VLOOKUP($U$723,'TAR FIN'!$A$1:$O$100,15,0))</f>
        <v>366.6</v>
      </c>
      <c r="Y723" s="6"/>
      <c r="Z723" s="6">
        <f ca="1">('TUSD BE'!$AM$27+'TUSD BF'!$AM$27+'TUSD CVA'!$AM$27)*1</f>
        <v>763.9315774772972</v>
      </c>
      <c r="AA723" s="6">
        <f>('TE BE'!$AA$10+'TE BF'!$AA$10+'TE CVA'!$AA$10)*1</f>
        <v>385.46556634281501</v>
      </c>
      <c r="AB723" s="6">
        <f>$K$723*$V$723</f>
        <v>0</v>
      </c>
      <c r="AC723" s="6">
        <f>$M$723*$W$723</f>
        <v>376.47091999999998</v>
      </c>
      <c r="AD723" s="6">
        <f>$O$723*$X$723</f>
        <v>176.7012</v>
      </c>
      <c r="AE723" s="6">
        <f>$K$723*$Y$723</f>
        <v>0</v>
      </c>
      <c r="AF723" s="6">
        <f ca="1">$M$723*$Z$723</f>
        <v>368.21502034405722</v>
      </c>
      <c r="AG723" s="6">
        <f>$O$723*$AA$723</f>
        <v>185.79440297723684</v>
      </c>
    </row>
    <row r="724" spans="1:33" ht="11.25" customHeight="1" x14ac:dyDescent="0.25">
      <c r="A724" s="4" t="s">
        <v>21</v>
      </c>
      <c r="B724" s="4" t="s">
        <v>22</v>
      </c>
      <c r="C724" s="4" t="s">
        <v>33</v>
      </c>
      <c r="D724" s="4" t="s">
        <v>24</v>
      </c>
      <c r="E724" s="4" t="s">
        <v>24</v>
      </c>
      <c r="F724" s="4" t="s">
        <v>25</v>
      </c>
      <c r="G724" s="4" t="s">
        <v>25</v>
      </c>
      <c r="H724" s="4" t="s">
        <v>34</v>
      </c>
      <c r="I724" s="5">
        <v>44470</v>
      </c>
      <c r="J724" s="6">
        <v>0</v>
      </c>
      <c r="K724" s="6">
        <v>0</v>
      </c>
      <c r="L724" s="6">
        <v>0.53300000000000003</v>
      </c>
      <c r="M724" s="6">
        <v>0.53300000000000003</v>
      </c>
      <c r="N724" s="6">
        <v>0.53300000000000003</v>
      </c>
      <c r="O724" s="6">
        <v>0.53300000000000003</v>
      </c>
      <c r="P724" s="6">
        <v>0</v>
      </c>
      <c r="Q724" s="4" t="s">
        <v>26</v>
      </c>
      <c r="R724" s="4">
        <v>0</v>
      </c>
      <c r="S724" s="6">
        <v>0</v>
      </c>
      <c r="T724" s="6">
        <v>14</v>
      </c>
      <c r="U724" s="6">
        <v>70</v>
      </c>
      <c r="V724" s="6">
        <f>IF(ISERROR(VLOOKUP($S$724,'TAR FIN'!$A$1:$O$100,15,0)),0,VLOOKUP($S$724,'TAR FIN'!$A$1:$O$100,15,0))</f>
        <v>0</v>
      </c>
      <c r="W724" s="6">
        <f>IF(ISERROR(VLOOKUP($T$724,'TAR FIN'!$A$1:$O$100,15,0)),0,VLOOKUP($T$724,'TAR FIN'!$A$1:$O$100,15,0))</f>
        <v>781.06</v>
      </c>
      <c r="X724" s="6">
        <f>IF(ISERROR(VLOOKUP($U$724,'TAR FIN'!$A$1:$O$100,15,0)),0,VLOOKUP($U$724,'TAR FIN'!$A$1:$O$100,15,0))</f>
        <v>366.6</v>
      </c>
      <c r="Y724" s="6"/>
      <c r="Z724" s="6">
        <f ca="1">('TUSD BE'!$AM$27+'TUSD BF'!$AM$27+'TUSD CVA'!$AM$27)*1</f>
        <v>763.9315774772972</v>
      </c>
      <c r="AA724" s="6">
        <f>('TE BE'!$AA$10+'TE BF'!$AA$10+'TE CVA'!$AA$10)*1</f>
        <v>385.46556634281501</v>
      </c>
      <c r="AB724" s="6">
        <f>$K$724*$V$724</f>
        <v>0</v>
      </c>
      <c r="AC724" s="6">
        <f>$M$724*$W$724</f>
        <v>416.30498</v>
      </c>
      <c r="AD724" s="6">
        <f>$O$724*$X$724</f>
        <v>195.39780000000002</v>
      </c>
      <c r="AE724" s="6">
        <f>$K$724*$Y$724</f>
        <v>0</v>
      </c>
      <c r="AF724" s="6">
        <f ca="1">$M$724*$Z$724</f>
        <v>407.17553079539942</v>
      </c>
      <c r="AG724" s="6">
        <f>$O$724*$AA$724</f>
        <v>205.45314686072041</v>
      </c>
    </row>
    <row r="725" spans="1:33" ht="11.25" customHeight="1" x14ac:dyDescent="0.25">
      <c r="A725" s="4" t="s">
        <v>21</v>
      </c>
      <c r="B725" s="4" t="s">
        <v>22</v>
      </c>
      <c r="C725" s="4" t="s">
        <v>33</v>
      </c>
      <c r="D725" s="4" t="s">
        <v>24</v>
      </c>
      <c r="E725" s="4" t="s">
        <v>24</v>
      </c>
      <c r="F725" s="4" t="s">
        <v>25</v>
      </c>
      <c r="G725" s="4" t="s">
        <v>25</v>
      </c>
      <c r="H725" s="4" t="s">
        <v>34</v>
      </c>
      <c r="I725" s="5">
        <v>44501</v>
      </c>
      <c r="J725" s="6">
        <v>0</v>
      </c>
      <c r="K725" s="6">
        <v>0</v>
      </c>
      <c r="L725" s="6">
        <v>0.51600000000000001</v>
      </c>
      <c r="M725" s="6">
        <v>0.51600000000000001</v>
      </c>
      <c r="N725" s="6">
        <v>0.51600000000000001</v>
      </c>
      <c r="O725" s="6">
        <v>0.51600000000000001</v>
      </c>
      <c r="P725" s="6">
        <v>0</v>
      </c>
      <c r="Q725" s="4" t="s">
        <v>26</v>
      </c>
      <c r="R725" s="4">
        <v>0</v>
      </c>
      <c r="S725" s="6">
        <v>0</v>
      </c>
      <c r="T725" s="6">
        <v>14</v>
      </c>
      <c r="U725" s="6">
        <v>70</v>
      </c>
      <c r="V725" s="6">
        <f>IF(ISERROR(VLOOKUP($S$725,'TAR FIN'!$A$1:$O$100,15,0)),0,VLOOKUP($S$725,'TAR FIN'!$A$1:$O$100,15,0))</f>
        <v>0</v>
      </c>
      <c r="W725" s="6">
        <f>IF(ISERROR(VLOOKUP($T$725,'TAR FIN'!$A$1:$O$100,15,0)),0,VLOOKUP($T$725,'TAR FIN'!$A$1:$O$100,15,0))</f>
        <v>781.06</v>
      </c>
      <c r="X725" s="6">
        <f>IF(ISERROR(VLOOKUP($U$725,'TAR FIN'!$A$1:$O$100,15,0)),0,VLOOKUP($U$725,'TAR FIN'!$A$1:$O$100,15,0))</f>
        <v>366.6</v>
      </c>
      <c r="Y725" s="6"/>
      <c r="Z725" s="6">
        <f ca="1">('TUSD BE'!$AM$27+'TUSD BF'!$AM$27+'TUSD CVA'!$AM$27)*1</f>
        <v>763.9315774772972</v>
      </c>
      <c r="AA725" s="6">
        <f>('TE BE'!$AA$10+'TE BF'!$AA$10+'TE CVA'!$AA$10)*1</f>
        <v>385.46556634281501</v>
      </c>
      <c r="AB725" s="6">
        <f>$K$725*$V$725</f>
        <v>0</v>
      </c>
      <c r="AC725" s="6">
        <f>$M$725*$W$725</f>
        <v>403.02695999999997</v>
      </c>
      <c r="AD725" s="6">
        <f>$O$725*$X$725</f>
        <v>189.16560000000001</v>
      </c>
      <c r="AE725" s="6">
        <f>$K$725*$Y$725</f>
        <v>0</v>
      </c>
      <c r="AF725" s="6">
        <f ca="1">$M$725*$Z$725</f>
        <v>394.18869397828536</v>
      </c>
      <c r="AG725" s="6">
        <f>$O$725*$AA$725</f>
        <v>198.90023223289256</v>
      </c>
    </row>
    <row r="726" spans="1:33" ht="11.25" customHeight="1" x14ac:dyDescent="0.25">
      <c r="A726" s="4" t="s">
        <v>21</v>
      </c>
      <c r="B726" s="4" t="s">
        <v>22</v>
      </c>
      <c r="C726" s="4" t="s">
        <v>33</v>
      </c>
      <c r="D726" s="4" t="s">
        <v>24</v>
      </c>
      <c r="E726" s="4" t="s">
        <v>24</v>
      </c>
      <c r="F726" s="4" t="s">
        <v>25</v>
      </c>
      <c r="G726" s="4" t="s">
        <v>25</v>
      </c>
      <c r="H726" s="4" t="s">
        <v>34</v>
      </c>
      <c r="I726" s="5">
        <v>44531</v>
      </c>
      <c r="J726" s="6">
        <v>0</v>
      </c>
      <c r="K726" s="6">
        <v>0</v>
      </c>
      <c r="L726" s="6">
        <v>0.56799999999999995</v>
      </c>
      <c r="M726" s="6">
        <v>0.56799999999999995</v>
      </c>
      <c r="N726" s="6">
        <v>0.56799999999999995</v>
      </c>
      <c r="O726" s="6">
        <v>0.56799999999999995</v>
      </c>
      <c r="P726" s="6">
        <v>0</v>
      </c>
      <c r="Q726" s="4" t="s">
        <v>26</v>
      </c>
      <c r="R726" s="4">
        <v>0</v>
      </c>
      <c r="S726" s="6">
        <v>0</v>
      </c>
      <c r="T726" s="6">
        <v>14</v>
      </c>
      <c r="U726" s="6">
        <v>70</v>
      </c>
      <c r="V726" s="6">
        <f>IF(ISERROR(VLOOKUP($S$726,'TAR FIN'!$A$1:$O$100,15,0)),0,VLOOKUP($S$726,'TAR FIN'!$A$1:$O$100,15,0))</f>
        <v>0</v>
      </c>
      <c r="W726" s="6">
        <f>IF(ISERROR(VLOOKUP($T$726,'TAR FIN'!$A$1:$O$100,15,0)),0,VLOOKUP($T$726,'TAR FIN'!$A$1:$O$100,15,0))</f>
        <v>781.06</v>
      </c>
      <c r="X726" s="6">
        <f>IF(ISERROR(VLOOKUP($U$726,'TAR FIN'!$A$1:$O$100,15,0)),0,VLOOKUP($U$726,'TAR FIN'!$A$1:$O$100,15,0))</f>
        <v>366.6</v>
      </c>
      <c r="Y726" s="6"/>
      <c r="Z726" s="6">
        <f ca="1">('TUSD BE'!$AM$27+'TUSD BF'!$AM$27+'TUSD CVA'!$AM$27)*1</f>
        <v>763.9315774772972</v>
      </c>
      <c r="AA726" s="6">
        <f>('TE BE'!$AA$10+'TE BF'!$AA$10+'TE CVA'!$AA$10)*1</f>
        <v>385.46556634281501</v>
      </c>
      <c r="AB726" s="6">
        <f>$K$726*$V$726</f>
        <v>0</v>
      </c>
      <c r="AC726" s="6">
        <f>$M$726*$W$726</f>
        <v>443.64207999999991</v>
      </c>
      <c r="AD726" s="6">
        <f>$O$726*$X$726</f>
        <v>208.22880000000001</v>
      </c>
      <c r="AE726" s="6">
        <f>$K$726*$Y$726</f>
        <v>0</v>
      </c>
      <c r="AF726" s="6">
        <f ca="1">$M$726*$Z$726</f>
        <v>433.91313600710475</v>
      </c>
      <c r="AG726" s="6">
        <f>$O$726*$AA$726</f>
        <v>218.94444168271892</v>
      </c>
    </row>
    <row r="727" spans="1:33" ht="11.25" customHeight="1" x14ac:dyDescent="0.25">
      <c r="A727" s="4" t="s">
        <v>55</v>
      </c>
      <c r="B727" s="4" t="s">
        <v>22</v>
      </c>
      <c r="C727" s="4" t="s">
        <v>33</v>
      </c>
      <c r="D727" s="4" t="s">
        <v>24</v>
      </c>
      <c r="E727" s="4" t="s">
        <v>24</v>
      </c>
      <c r="F727" s="4" t="s">
        <v>25</v>
      </c>
      <c r="G727" s="4" t="s">
        <v>25</v>
      </c>
      <c r="H727" s="4" t="s">
        <v>34</v>
      </c>
      <c r="I727" s="5">
        <v>44562</v>
      </c>
      <c r="J727" s="6">
        <v>0</v>
      </c>
      <c r="K727" s="6">
        <v>0</v>
      </c>
      <c r="L727" s="6">
        <v>0.56799999999999995</v>
      </c>
      <c r="M727" s="6">
        <v>0.56799999999999995</v>
      </c>
      <c r="N727" s="6">
        <v>0.56799999999999995</v>
      </c>
      <c r="O727" s="6">
        <v>0.56799999999999995</v>
      </c>
      <c r="P727" s="6">
        <v>0</v>
      </c>
      <c r="Q727" s="4" t="s">
        <v>26</v>
      </c>
      <c r="R727" s="4">
        <v>0</v>
      </c>
      <c r="S727" s="6">
        <v>0</v>
      </c>
      <c r="T727" s="6">
        <v>14</v>
      </c>
      <c r="U727" s="6">
        <v>70</v>
      </c>
      <c r="V727" s="6">
        <f>IF(ISERROR(VLOOKUP($S$727,'TAR FIN'!$A$1:$O$100,15,0)),0,VLOOKUP($S$727,'TAR FIN'!$A$1:$O$100,15,0))</f>
        <v>0</v>
      </c>
      <c r="W727" s="6">
        <f>IF(ISERROR(VLOOKUP($T$727,'TAR FIN'!$A$1:$O$100,15,0)),0,VLOOKUP($T$727,'TAR FIN'!$A$1:$O$100,15,0))</f>
        <v>781.06</v>
      </c>
      <c r="X727" s="6">
        <f>IF(ISERROR(VLOOKUP($U$727,'TAR FIN'!$A$1:$O$100,15,0)),0,VLOOKUP($U$727,'TAR FIN'!$A$1:$O$100,15,0))</f>
        <v>366.6</v>
      </c>
      <c r="Y727" s="6"/>
      <c r="Z727" s="6">
        <f ca="1">('TUSD BE'!$AM$27+'TUSD BF'!$AM$27+'TUSD CVA'!$AM$27)*1</f>
        <v>763.9315774772972</v>
      </c>
      <c r="AA727" s="6">
        <f>('TE BE'!$AA$10+'TE BF'!$AA$10+'TE CVA'!$AA$10)*1</f>
        <v>385.46556634281501</v>
      </c>
      <c r="AB727" s="6">
        <f>$K$727*$V$727</f>
        <v>0</v>
      </c>
      <c r="AC727" s="6">
        <f>$M$727*$W$727</f>
        <v>443.64207999999991</v>
      </c>
      <c r="AD727" s="6">
        <f>$O$727*$X$727</f>
        <v>208.22880000000001</v>
      </c>
      <c r="AE727" s="6">
        <f>$K$727*$Y$727</f>
        <v>0</v>
      </c>
      <c r="AF727" s="6">
        <f ca="1">$M$727*$Z$727</f>
        <v>433.91313600710475</v>
      </c>
      <c r="AG727" s="6">
        <f>$O$727*$AA$727</f>
        <v>218.94444168271892</v>
      </c>
    </row>
    <row r="728" spans="1:33" ht="11.25" customHeight="1" x14ac:dyDescent="0.25">
      <c r="A728" s="4" t="s">
        <v>21</v>
      </c>
      <c r="B728" s="4" t="s">
        <v>22</v>
      </c>
      <c r="C728" s="4" t="s">
        <v>23</v>
      </c>
      <c r="D728" s="4" t="s">
        <v>24</v>
      </c>
      <c r="E728" s="4" t="s">
        <v>24</v>
      </c>
      <c r="F728" s="4" t="s">
        <v>25</v>
      </c>
      <c r="G728" s="4" t="s">
        <v>25</v>
      </c>
      <c r="H728" s="4" t="s">
        <v>25</v>
      </c>
      <c r="I728" s="5">
        <v>44228</v>
      </c>
      <c r="J728" s="6">
        <v>0</v>
      </c>
      <c r="K728" s="6">
        <v>0</v>
      </c>
      <c r="L728" s="6">
        <v>17718.171999999999</v>
      </c>
      <c r="M728" s="6">
        <v>17718.171999999999</v>
      </c>
      <c r="N728" s="6">
        <v>17718.171999999999</v>
      </c>
      <c r="O728" s="6">
        <v>17718.171999999999</v>
      </c>
      <c r="P728" s="6">
        <v>136517</v>
      </c>
      <c r="Q728" s="4" t="s">
        <v>26</v>
      </c>
      <c r="R728" s="4">
        <v>0</v>
      </c>
      <c r="S728" s="6">
        <v>0</v>
      </c>
      <c r="T728" s="6">
        <v>17</v>
      </c>
      <c r="U728" s="6">
        <v>73</v>
      </c>
      <c r="V728" s="6">
        <f>IF(ISERROR(VLOOKUP($S$728,'TAR FIN'!$A$1:$O$100,15,0)),0,VLOOKUP($S$728,'TAR FIN'!$A$1:$O$100,15,0))</f>
        <v>0</v>
      </c>
      <c r="W728" s="6">
        <f>IF(ISERROR(VLOOKUP($T$728,'TAR FIN'!$A$1:$O$100,15,0)),0,VLOOKUP($T$728,'TAR FIN'!$A$1:$O$100,15,0))</f>
        <v>285.75</v>
      </c>
      <c r="X728" s="6">
        <f>IF(ISERROR(VLOOKUP($U$728,'TAR FIN'!$A$1:$O$100,15,0)),0,VLOOKUP($U$728,'TAR FIN'!$A$1:$O$100,15,0))</f>
        <v>231.33</v>
      </c>
      <c r="Y728" s="6"/>
      <c r="Z728" s="6">
        <f ca="1">('TUSD BE'!$AM$30+'TUSD BF'!$AM$30+'TUSD CVA'!$AM$30)*1</f>
        <v>285.64503648725872</v>
      </c>
      <c r="AA728" s="6">
        <f>('TE BE'!$AA$13+'TE BF'!$AA$13+'TE CVA'!$AA$13)*1</f>
        <v>250.79367785689016</v>
      </c>
      <c r="AB728" s="6">
        <f>$K$728*$V$728</f>
        <v>0</v>
      </c>
      <c r="AC728" s="6">
        <f>$M$728*$W$728</f>
        <v>5062967.6489999993</v>
      </c>
      <c r="AD728" s="6">
        <f>$O$728*$X$728</f>
        <v>4098744.7287599999</v>
      </c>
      <c r="AE728" s="6">
        <f>$K$728*$Y$728</f>
        <v>0</v>
      </c>
      <c r="AF728" s="6">
        <f ca="1">$M$728*$Z$728</f>
        <v>5061107.8874275256</v>
      </c>
      <c r="AG728" s="6">
        <f>$O$728*$AA$728</f>
        <v>4443605.5207809713</v>
      </c>
    </row>
    <row r="729" spans="1:33" ht="11.25" customHeight="1" x14ac:dyDescent="0.25">
      <c r="A729" s="4" t="s">
        <v>27</v>
      </c>
      <c r="B729" s="4" t="s">
        <v>22</v>
      </c>
      <c r="C729" s="4" t="s">
        <v>23</v>
      </c>
      <c r="D729" s="4" t="s">
        <v>24</v>
      </c>
      <c r="E729" s="4" t="s">
        <v>24</v>
      </c>
      <c r="F729" s="4" t="s">
        <v>25</v>
      </c>
      <c r="G729" s="4" t="s">
        <v>25</v>
      </c>
      <c r="H729" s="4" t="s">
        <v>25</v>
      </c>
      <c r="I729" s="5">
        <v>44228</v>
      </c>
      <c r="J729" s="6">
        <v>0</v>
      </c>
      <c r="K729" s="6">
        <v>0</v>
      </c>
      <c r="L729" s="6">
        <v>-8.2080000000000002</v>
      </c>
      <c r="M729" s="6">
        <v>-8.2080000000000002</v>
      </c>
      <c r="N729" s="6">
        <v>-8.2080000000000002</v>
      </c>
      <c r="O729" s="6">
        <v>-8.2080000000000002</v>
      </c>
      <c r="P729" s="6">
        <v>-13</v>
      </c>
      <c r="Q729" s="4" t="s">
        <v>26</v>
      </c>
      <c r="R729" s="4">
        <v>0</v>
      </c>
      <c r="S729" s="6">
        <v>0</v>
      </c>
      <c r="T729" s="6">
        <v>17</v>
      </c>
      <c r="U729" s="6">
        <v>73</v>
      </c>
      <c r="V729" s="6">
        <f>IF(ISERROR(VLOOKUP($S$729,'TAR FIN'!$A$1:$O$100,15,0)),0,VLOOKUP($S$729,'TAR FIN'!$A$1:$O$100,15,0))</f>
        <v>0</v>
      </c>
      <c r="W729" s="6">
        <f>IF(ISERROR(VLOOKUP($T$729,'TAR FIN'!$A$1:$O$100,15,0)),0,VLOOKUP($T$729,'TAR FIN'!$A$1:$O$100,15,0))</f>
        <v>285.75</v>
      </c>
      <c r="X729" s="6">
        <f>IF(ISERROR(VLOOKUP($U$729,'TAR FIN'!$A$1:$O$100,15,0)),0,VLOOKUP($U$729,'TAR FIN'!$A$1:$O$100,15,0))</f>
        <v>231.33</v>
      </c>
      <c r="Y729" s="6"/>
      <c r="Z729" s="6">
        <f ca="1">('TUSD BE'!$AM$30+'TUSD BF'!$AM$30+'TUSD CVA'!$AM$30)*1</f>
        <v>285.64503648725872</v>
      </c>
      <c r="AA729" s="6">
        <f>('TE BE'!$AA$13+'TE BF'!$AA$13+'TE CVA'!$AA$13)*1</f>
        <v>250.79367785689016</v>
      </c>
      <c r="AB729" s="6">
        <f>$K$729*$V$729</f>
        <v>0</v>
      </c>
      <c r="AC729" s="6">
        <f>$M$729*$W$729</f>
        <v>-2345.4360000000001</v>
      </c>
      <c r="AD729" s="6">
        <f>$O$729*$X$729</f>
        <v>-1898.7566400000001</v>
      </c>
      <c r="AE729" s="6">
        <f>$K$729*$Y$729</f>
        <v>0</v>
      </c>
      <c r="AF729" s="6">
        <f ca="1">$M$729*$Z$729</f>
        <v>-2344.5744594874195</v>
      </c>
      <c r="AG729" s="6">
        <f>$O$729*$AA$729</f>
        <v>-2058.5145078493542</v>
      </c>
    </row>
    <row r="730" spans="1:33" ht="11.25" customHeight="1" x14ac:dyDescent="0.25">
      <c r="A730" s="4" t="s">
        <v>28</v>
      </c>
      <c r="B730" s="4" t="s">
        <v>22</v>
      </c>
      <c r="C730" s="4" t="s">
        <v>23</v>
      </c>
      <c r="D730" s="4" t="s">
        <v>24</v>
      </c>
      <c r="E730" s="4" t="s">
        <v>24</v>
      </c>
      <c r="F730" s="4" t="s">
        <v>25</v>
      </c>
      <c r="G730" s="4" t="s">
        <v>25</v>
      </c>
      <c r="H730" s="4" t="s">
        <v>25</v>
      </c>
      <c r="I730" s="5">
        <v>44228</v>
      </c>
      <c r="J730" s="6">
        <v>0</v>
      </c>
      <c r="K730" s="6">
        <v>0</v>
      </c>
      <c r="L730" s="6">
        <v>123.98</v>
      </c>
      <c r="M730" s="6">
        <v>123.98</v>
      </c>
      <c r="N730" s="6">
        <v>123.98</v>
      </c>
      <c r="O730" s="6">
        <v>123.98</v>
      </c>
      <c r="P730" s="6">
        <v>687</v>
      </c>
      <c r="Q730" s="4" t="s">
        <v>26</v>
      </c>
      <c r="R730" s="4">
        <v>0</v>
      </c>
      <c r="S730" s="6">
        <v>0</v>
      </c>
      <c r="T730" s="6">
        <v>17</v>
      </c>
      <c r="U730" s="6">
        <v>73</v>
      </c>
      <c r="V730" s="6">
        <f>IF(ISERROR(VLOOKUP($S$730,'TAR FIN'!$A$1:$O$100,15,0)),0,VLOOKUP($S$730,'TAR FIN'!$A$1:$O$100,15,0))</f>
        <v>0</v>
      </c>
      <c r="W730" s="6">
        <f>IF(ISERROR(VLOOKUP($T$730,'TAR FIN'!$A$1:$O$100,15,0)),0,VLOOKUP($T$730,'TAR FIN'!$A$1:$O$100,15,0))</f>
        <v>285.75</v>
      </c>
      <c r="X730" s="6">
        <f>IF(ISERROR(VLOOKUP($U$730,'TAR FIN'!$A$1:$O$100,15,0)),0,VLOOKUP($U$730,'TAR FIN'!$A$1:$O$100,15,0))</f>
        <v>231.33</v>
      </c>
      <c r="Y730" s="6"/>
      <c r="Z730" s="6">
        <f ca="1">('TUSD BE'!$AM$30+'TUSD BF'!$AM$30+'TUSD CVA'!$AM$30)*1</f>
        <v>285.64503648725872</v>
      </c>
      <c r="AA730" s="6">
        <f>('TE BE'!$AA$13+'TE BF'!$AA$13+'TE CVA'!$AA$13)*1</f>
        <v>250.79367785689016</v>
      </c>
      <c r="AB730" s="6">
        <f>$K$730*$V$730</f>
        <v>0</v>
      </c>
      <c r="AC730" s="6">
        <f>$M$730*$W$730</f>
        <v>35427.285000000003</v>
      </c>
      <c r="AD730" s="6">
        <f>$O$730*$X$730</f>
        <v>28680.293400000002</v>
      </c>
      <c r="AE730" s="6">
        <f>$K$730*$Y$730</f>
        <v>0</v>
      </c>
      <c r="AF730" s="6">
        <f ca="1">$M$730*$Z$730</f>
        <v>35414.271623690336</v>
      </c>
      <c r="AG730" s="6">
        <f>$O$730*$AA$730</f>
        <v>31093.400180697241</v>
      </c>
    </row>
    <row r="731" spans="1:33" ht="11.25" customHeight="1" x14ac:dyDescent="0.25">
      <c r="A731" s="4" t="s">
        <v>21</v>
      </c>
      <c r="B731" s="4" t="s">
        <v>22</v>
      </c>
      <c r="C731" s="4" t="s">
        <v>23</v>
      </c>
      <c r="D731" s="4" t="s">
        <v>24</v>
      </c>
      <c r="E731" s="4" t="s">
        <v>24</v>
      </c>
      <c r="F731" s="4" t="s">
        <v>25</v>
      </c>
      <c r="G731" s="4" t="s">
        <v>25</v>
      </c>
      <c r="H731" s="4" t="s">
        <v>25</v>
      </c>
      <c r="I731" s="5">
        <v>44256</v>
      </c>
      <c r="J731" s="6">
        <v>0</v>
      </c>
      <c r="K731" s="6">
        <v>0</v>
      </c>
      <c r="L731" s="6">
        <v>19265.760999999999</v>
      </c>
      <c r="M731" s="6">
        <v>19265.760999999999</v>
      </c>
      <c r="N731" s="6">
        <v>19265.760999999999</v>
      </c>
      <c r="O731" s="6">
        <v>19265.760999999999</v>
      </c>
      <c r="P731" s="6">
        <v>136908</v>
      </c>
      <c r="Q731" s="4" t="s">
        <v>26</v>
      </c>
      <c r="R731" s="4">
        <v>0</v>
      </c>
      <c r="S731" s="6">
        <v>0</v>
      </c>
      <c r="T731" s="6">
        <v>17</v>
      </c>
      <c r="U731" s="6">
        <v>73</v>
      </c>
      <c r="V731" s="6">
        <f>IF(ISERROR(VLOOKUP($S$731,'TAR FIN'!$A$1:$O$100,15,0)),0,VLOOKUP($S$731,'TAR FIN'!$A$1:$O$100,15,0))</f>
        <v>0</v>
      </c>
      <c r="W731" s="6">
        <f>IF(ISERROR(VLOOKUP($T$731,'TAR FIN'!$A$1:$O$100,15,0)),0,VLOOKUP($T$731,'TAR FIN'!$A$1:$O$100,15,0))</f>
        <v>285.75</v>
      </c>
      <c r="X731" s="6">
        <f>IF(ISERROR(VLOOKUP($U$731,'TAR FIN'!$A$1:$O$100,15,0)),0,VLOOKUP($U$731,'TAR FIN'!$A$1:$O$100,15,0))</f>
        <v>231.33</v>
      </c>
      <c r="Y731" s="6"/>
      <c r="Z731" s="6">
        <f ca="1">('TUSD BE'!$AM$30+'TUSD BF'!$AM$30+'TUSD CVA'!$AM$30)*1</f>
        <v>285.64503648725872</v>
      </c>
      <c r="AA731" s="6">
        <f>('TE BE'!$AA$13+'TE BF'!$AA$13+'TE CVA'!$AA$13)*1</f>
        <v>250.79367785689016</v>
      </c>
      <c r="AB731" s="6">
        <f>$K$731*$V$731</f>
        <v>0</v>
      </c>
      <c r="AC731" s="6">
        <f>$M$731*$W$731</f>
        <v>5505191.2057499997</v>
      </c>
      <c r="AD731" s="6">
        <f>$O$731*$X$731</f>
        <v>4456748.4921300001</v>
      </c>
      <c r="AE731" s="6">
        <f>$K$731*$Y$731</f>
        <v>0</v>
      </c>
      <c r="AF731" s="6">
        <f ca="1">$M$731*$Z$731</f>
        <v>5503169.0037998054</v>
      </c>
      <c r="AG731" s="6">
        <f>$O$731*$AA$731</f>
        <v>4831731.0579018379</v>
      </c>
    </row>
    <row r="732" spans="1:33" ht="11.25" customHeight="1" x14ac:dyDescent="0.25">
      <c r="A732" s="4" t="s">
        <v>27</v>
      </c>
      <c r="B732" s="4" t="s">
        <v>22</v>
      </c>
      <c r="C732" s="4" t="s">
        <v>23</v>
      </c>
      <c r="D732" s="4" t="s">
        <v>24</v>
      </c>
      <c r="E732" s="4" t="s">
        <v>24</v>
      </c>
      <c r="F732" s="4" t="s">
        <v>25</v>
      </c>
      <c r="G732" s="4" t="s">
        <v>25</v>
      </c>
      <c r="H732" s="4" t="s">
        <v>25</v>
      </c>
      <c r="I732" s="5">
        <v>44256</v>
      </c>
      <c r="J732" s="6">
        <v>0</v>
      </c>
      <c r="K732" s="6">
        <v>0</v>
      </c>
      <c r="L732" s="6">
        <v>-11.406000000000001</v>
      </c>
      <c r="M732" s="6">
        <v>-11.406000000000001</v>
      </c>
      <c r="N732" s="6">
        <v>-11.406000000000001</v>
      </c>
      <c r="O732" s="6">
        <v>-11.406000000000001</v>
      </c>
      <c r="P732" s="6">
        <v>-14</v>
      </c>
      <c r="Q732" s="4" t="s">
        <v>26</v>
      </c>
      <c r="R732" s="4">
        <v>0</v>
      </c>
      <c r="S732" s="6">
        <v>0</v>
      </c>
      <c r="T732" s="6">
        <v>17</v>
      </c>
      <c r="U732" s="6">
        <v>73</v>
      </c>
      <c r="V732" s="6">
        <f>IF(ISERROR(VLOOKUP($S$732,'TAR FIN'!$A$1:$O$100,15,0)),0,VLOOKUP($S$732,'TAR FIN'!$A$1:$O$100,15,0))</f>
        <v>0</v>
      </c>
      <c r="W732" s="6">
        <f>IF(ISERROR(VLOOKUP($T$732,'TAR FIN'!$A$1:$O$100,15,0)),0,VLOOKUP($T$732,'TAR FIN'!$A$1:$O$100,15,0))</f>
        <v>285.75</v>
      </c>
      <c r="X732" s="6">
        <f>IF(ISERROR(VLOOKUP($U$732,'TAR FIN'!$A$1:$O$100,15,0)),0,VLOOKUP($U$732,'TAR FIN'!$A$1:$O$100,15,0))</f>
        <v>231.33</v>
      </c>
      <c r="Y732" s="6"/>
      <c r="Z732" s="6">
        <f ca="1">('TUSD BE'!$AM$30+'TUSD BF'!$AM$30+'TUSD CVA'!$AM$30)*1</f>
        <v>285.64503648725872</v>
      </c>
      <c r="AA732" s="6">
        <f>('TE BE'!$AA$13+'TE BF'!$AA$13+'TE CVA'!$AA$13)*1</f>
        <v>250.79367785689016</v>
      </c>
      <c r="AB732" s="6">
        <f>$K$732*$V$732</f>
        <v>0</v>
      </c>
      <c r="AC732" s="6">
        <f>$M$732*$W$732</f>
        <v>-3259.2645000000002</v>
      </c>
      <c r="AD732" s="6">
        <f>$O$732*$X$732</f>
        <v>-2638.5499800000002</v>
      </c>
      <c r="AE732" s="6">
        <f>$K$732*$Y$732</f>
        <v>0</v>
      </c>
      <c r="AF732" s="6">
        <f ca="1">$M$732*$Z$732</f>
        <v>-3258.067286173673</v>
      </c>
      <c r="AG732" s="6">
        <f>$O$732*$AA$732</f>
        <v>-2860.5526896356891</v>
      </c>
    </row>
    <row r="733" spans="1:33" ht="11.25" customHeight="1" x14ac:dyDescent="0.25">
      <c r="A733" s="4" t="s">
        <v>28</v>
      </c>
      <c r="B733" s="4" t="s">
        <v>22</v>
      </c>
      <c r="C733" s="4" t="s">
        <v>23</v>
      </c>
      <c r="D733" s="4" t="s">
        <v>24</v>
      </c>
      <c r="E733" s="4" t="s">
        <v>24</v>
      </c>
      <c r="F733" s="4" t="s">
        <v>25</v>
      </c>
      <c r="G733" s="4" t="s">
        <v>25</v>
      </c>
      <c r="H733" s="4" t="s">
        <v>25</v>
      </c>
      <c r="I733" s="5">
        <v>44256</v>
      </c>
      <c r="J733" s="6">
        <v>0</v>
      </c>
      <c r="K733" s="6">
        <v>0</v>
      </c>
      <c r="L733" s="6">
        <v>144.601</v>
      </c>
      <c r="M733" s="6">
        <v>144.601</v>
      </c>
      <c r="N733" s="6">
        <v>144.601</v>
      </c>
      <c r="O733" s="6">
        <v>144.601</v>
      </c>
      <c r="P733" s="6">
        <v>727</v>
      </c>
      <c r="Q733" s="4" t="s">
        <v>26</v>
      </c>
      <c r="R733" s="4">
        <v>0</v>
      </c>
      <c r="S733" s="6">
        <v>0</v>
      </c>
      <c r="T733" s="6">
        <v>17</v>
      </c>
      <c r="U733" s="6">
        <v>73</v>
      </c>
      <c r="V733" s="6">
        <f>IF(ISERROR(VLOOKUP($S$733,'TAR FIN'!$A$1:$O$100,15,0)),0,VLOOKUP($S$733,'TAR FIN'!$A$1:$O$100,15,0))</f>
        <v>0</v>
      </c>
      <c r="W733" s="6">
        <f>IF(ISERROR(VLOOKUP($T$733,'TAR FIN'!$A$1:$O$100,15,0)),0,VLOOKUP($T$733,'TAR FIN'!$A$1:$O$100,15,0))</f>
        <v>285.75</v>
      </c>
      <c r="X733" s="6">
        <f>IF(ISERROR(VLOOKUP($U$733,'TAR FIN'!$A$1:$O$100,15,0)),0,VLOOKUP($U$733,'TAR FIN'!$A$1:$O$100,15,0))</f>
        <v>231.33</v>
      </c>
      <c r="Y733" s="6"/>
      <c r="Z733" s="6">
        <f ca="1">('TUSD BE'!$AM$30+'TUSD BF'!$AM$30+'TUSD CVA'!$AM$30)*1</f>
        <v>285.64503648725872</v>
      </c>
      <c r="AA733" s="6">
        <f>('TE BE'!$AA$13+'TE BF'!$AA$13+'TE CVA'!$AA$13)*1</f>
        <v>250.79367785689016</v>
      </c>
      <c r="AB733" s="6">
        <f>$K$733*$V$733</f>
        <v>0</v>
      </c>
      <c r="AC733" s="6">
        <f>$M$733*$W$733</f>
        <v>41319.73575</v>
      </c>
      <c r="AD733" s="6">
        <f>$O$733*$X$733</f>
        <v>33450.549330000002</v>
      </c>
      <c r="AE733" s="6">
        <f>$K$733*$Y$733</f>
        <v>0</v>
      </c>
      <c r="AF733" s="6">
        <f ca="1">$M$733*$Z$733</f>
        <v>41304.5579210941</v>
      </c>
      <c r="AG733" s="6">
        <f>$O$733*$AA$733</f>
        <v>36265.016611784173</v>
      </c>
    </row>
    <row r="734" spans="1:33" ht="11.25" customHeight="1" x14ac:dyDescent="0.25">
      <c r="A734" s="4" t="s">
        <v>21</v>
      </c>
      <c r="B734" s="4" t="s">
        <v>22</v>
      </c>
      <c r="C734" s="4" t="s">
        <v>23</v>
      </c>
      <c r="D734" s="4" t="s">
        <v>24</v>
      </c>
      <c r="E734" s="4" t="s">
        <v>24</v>
      </c>
      <c r="F734" s="4" t="s">
        <v>25</v>
      </c>
      <c r="G734" s="4" t="s">
        <v>25</v>
      </c>
      <c r="H734" s="4" t="s">
        <v>25</v>
      </c>
      <c r="I734" s="5">
        <v>44287</v>
      </c>
      <c r="J734" s="6">
        <v>0</v>
      </c>
      <c r="K734" s="6">
        <v>0</v>
      </c>
      <c r="L734" s="6">
        <v>19542.993999999999</v>
      </c>
      <c r="M734" s="6">
        <v>19542.993999999999</v>
      </c>
      <c r="N734" s="6">
        <v>19542.993999999999</v>
      </c>
      <c r="O734" s="6">
        <v>19542.993999999999</v>
      </c>
      <c r="P734" s="6">
        <v>137147</v>
      </c>
      <c r="Q734" s="4" t="s">
        <v>26</v>
      </c>
      <c r="R734" s="4">
        <v>0</v>
      </c>
      <c r="S734" s="6">
        <v>0</v>
      </c>
      <c r="T734" s="6">
        <v>17</v>
      </c>
      <c r="U734" s="6">
        <v>73</v>
      </c>
      <c r="V734" s="6">
        <f>IF(ISERROR(VLOOKUP($S$734,'TAR FIN'!$A$1:$O$100,15,0)),0,VLOOKUP($S$734,'TAR FIN'!$A$1:$O$100,15,0))</f>
        <v>0</v>
      </c>
      <c r="W734" s="6">
        <f>IF(ISERROR(VLOOKUP($T$734,'TAR FIN'!$A$1:$O$100,15,0)),0,VLOOKUP($T$734,'TAR FIN'!$A$1:$O$100,15,0))</f>
        <v>285.75</v>
      </c>
      <c r="X734" s="6">
        <f>IF(ISERROR(VLOOKUP($U$734,'TAR FIN'!$A$1:$O$100,15,0)),0,VLOOKUP($U$734,'TAR FIN'!$A$1:$O$100,15,0))</f>
        <v>231.33</v>
      </c>
      <c r="Y734" s="6"/>
      <c r="Z734" s="6">
        <f ca="1">('TUSD BE'!$AM$30+'TUSD BF'!$AM$30+'TUSD CVA'!$AM$30)*1</f>
        <v>285.64503648725872</v>
      </c>
      <c r="AA734" s="6">
        <f>('TE BE'!$AA$13+'TE BF'!$AA$13+'TE CVA'!$AA$13)*1</f>
        <v>250.79367785689016</v>
      </c>
      <c r="AB734" s="6">
        <f>$K$734*$V$734</f>
        <v>0</v>
      </c>
      <c r="AC734" s="6">
        <f>$M$734*$W$734</f>
        <v>5584410.5354999993</v>
      </c>
      <c r="AD734" s="6">
        <f>$O$734*$X$734</f>
        <v>4520880.8020200003</v>
      </c>
      <c r="AE734" s="6">
        <f>$K$734*$Y$734</f>
        <v>0</v>
      </c>
      <c r="AF734" s="6">
        <f ca="1">$M$734*$Z$734</f>
        <v>5582359.2342002783</v>
      </c>
      <c r="AG734" s="6">
        <f>$O$734*$AA$734</f>
        <v>4901259.3415951366</v>
      </c>
    </row>
    <row r="735" spans="1:33" ht="11.25" customHeight="1" x14ac:dyDescent="0.25">
      <c r="A735" s="4" t="s">
        <v>27</v>
      </c>
      <c r="B735" s="4" t="s">
        <v>22</v>
      </c>
      <c r="C735" s="4" t="s">
        <v>23</v>
      </c>
      <c r="D735" s="4" t="s">
        <v>24</v>
      </c>
      <c r="E735" s="4" t="s">
        <v>24</v>
      </c>
      <c r="F735" s="4" t="s">
        <v>25</v>
      </c>
      <c r="G735" s="4" t="s">
        <v>25</v>
      </c>
      <c r="H735" s="4" t="s">
        <v>25</v>
      </c>
      <c r="I735" s="5">
        <v>44287</v>
      </c>
      <c r="J735" s="6">
        <v>0</v>
      </c>
      <c r="K735" s="6">
        <v>0</v>
      </c>
      <c r="L735" s="6">
        <v>-6.0590000000000002</v>
      </c>
      <c r="M735" s="6">
        <v>-6.0590000000000002</v>
      </c>
      <c r="N735" s="6">
        <v>-6.0590000000000002</v>
      </c>
      <c r="O735" s="6">
        <v>-6.0590000000000002</v>
      </c>
      <c r="P735" s="6">
        <v>-15</v>
      </c>
      <c r="Q735" s="4" t="s">
        <v>26</v>
      </c>
      <c r="R735" s="4">
        <v>0</v>
      </c>
      <c r="S735" s="6">
        <v>0</v>
      </c>
      <c r="T735" s="6">
        <v>17</v>
      </c>
      <c r="U735" s="6">
        <v>73</v>
      </c>
      <c r="V735" s="6">
        <f>IF(ISERROR(VLOOKUP($S$735,'TAR FIN'!$A$1:$O$100,15,0)),0,VLOOKUP($S$735,'TAR FIN'!$A$1:$O$100,15,0))</f>
        <v>0</v>
      </c>
      <c r="W735" s="6">
        <f>IF(ISERROR(VLOOKUP($T$735,'TAR FIN'!$A$1:$O$100,15,0)),0,VLOOKUP($T$735,'TAR FIN'!$A$1:$O$100,15,0))</f>
        <v>285.75</v>
      </c>
      <c r="X735" s="6">
        <f>IF(ISERROR(VLOOKUP($U$735,'TAR FIN'!$A$1:$O$100,15,0)),0,VLOOKUP($U$735,'TAR FIN'!$A$1:$O$100,15,0))</f>
        <v>231.33</v>
      </c>
      <c r="Y735" s="6"/>
      <c r="Z735" s="6">
        <f ca="1">('TUSD BE'!$AM$30+'TUSD BF'!$AM$30+'TUSD CVA'!$AM$30)*1</f>
        <v>285.64503648725872</v>
      </c>
      <c r="AA735" s="6">
        <f>('TE BE'!$AA$13+'TE BF'!$AA$13+'TE CVA'!$AA$13)*1</f>
        <v>250.79367785689016</v>
      </c>
      <c r="AB735" s="6">
        <f>$K$735*$V$735</f>
        <v>0</v>
      </c>
      <c r="AC735" s="6">
        <f>$M$735*$W$735</f>
        <v>-1731.35925</v>
      </c>
      <c r="AD735" s="6">
        <f>$O$735*$X$735</f>
        <v>-1401.6284700000001</v>
      </c>
      <c r="AE735" s="6">
        <f>$K$735*$Y$735</f>
        <v>0</v>
      </c>
      <c r="AF735" s="6">
        <f ca="1">$M$735*$Z$735</f>
        <v>-1730.7232760763006</v>
      </c>
      <c r="AG735" s="6">
        <f>$O$735*$AA$735</f>
        <v>-1519.5588941348974</v>
      </c>
    </row>
    <row r="736" spans="1:33" ht="11.25" customHeight="1" x14ac:dyDescent="0.25">
      <c r="A736" s="4" t="s">
        <v>28</v>
      </c>
      <c r="B736" s="4" t="s">
        <v>22</v>
      </c>
      <c r="C736" s="4" t="s">
        <v>23</v>
      </c>
      <c r="D736" s="4" t="s">
        <v>24</v>
      </c>
      <c r="E736" s="4" t="s">
        <v>24</v>
      </c>
      <c r="F736" s="4" t="s">
        <v>25</v>
      </c>
      <c r="G736" s="4" t="s">
        <v>25</v>
      </c>
      <c r="H736" s="4" t="s">
        <v>25</v>
      </c>
      <c r="I736" s="5">
        <v>44287</v>
      </c>
      <c r="J736" s="6">
        <v>0</v>
      </c>
      <c r="K736" s="6">
        <v>0</v>
      </c>
      <c r="L736" s="6">
        <v>170.22300000000001</v>
      </c>
      <c r="M736" s="6">
        <v>170.22300000000001</v>
      </c>
      <c r="N736" s="6">
        <v>170.22300000000001</v>
      </c>
      <c r="O736" s="6">
        <v>170.22300000000001</v>
      </c>
      <c r="P736" s="6">
        <v>791</v>
      </c>
      <c r="Q736" s="4" t="s">
        <v>26</v>
      </c>
      <c r="R736" s="4">
        <v>0</v>
      </c>
      <c r="S736" s="6">
        <v>0</v>
      </c>
      <c r="T736" s="6">
        <v>17</v>
      </c>
      <c r="U736" s="6">
        <v>73</v>
      </c>
      <c r="V736" s="6">
        <f>IF(ISERROR(VLOOKUP($S$736,'TAR FIN'!$A$1:$O$100,15,0)),0,VLOOKUP($S$736,'TAR FIN'!$A$1:$O$100,15,0))</f>
        <v>0</v>
      </c>
      <c r="W736" s="6">
        <f>IF(ISERROR(VLOOKUP($T$736,'TAR FIN'!$A$1:$O$100,15,0)),0,VLOOKUP($T$736,'TAR FIN'!$A$1:$O$100,15,0))</f>
        <v>285.75</v>
      </c>
      <c r="X736" s="6">
        <f>IF(ISERROR(VLOOKUP($U$736,'TAR FIN'!$A$1:$O$100,15,0)),0,VLOOKUP($U$736,'TAR FIN'!$A$1:$O$100,15,0))</f>
        <v>231.33</v>
      </c>
      <c r="Y736" s="6"/>
      <c r="Z736" s="6">
        <f ca="1">('TUSD BE'!$AM$30+'TUSD BF'!$AM$30+'TUSD CVA'!$AM$30)*1</f>
        <v>285.64503648725872</v>
      </c>
      <c r="AA736" s="6">
        <f>('TE BE'!$AA$13+'TE BF'!$AA$13+'TE CVA'!$AA$13)*1</f>
        <v>250.79367785689016</v>
      </c>
      <c r="AB736" s="6">
        <f>$K$736*$V$736</f>
        <v>0</v>
      </c>
      <c r="AC736" s="6">
        <f>$M$736*$W$736</f>
        <v>48641.222250000006</v>
      </c>
      <c r="AD736" s="6">
        <f>$O$736*$X$736</f>
        <v>39377.686590000005</v>
      </c>
      <c r="AE736" s="6">
        <f>$K$736*$Y$736</f>
        <v>0</v>
      </c>
      <c r="AF736" s="6">
        <f ca="1">$M$736*$Z$736</f>
        <v>48623.355045970646</v>
      </c>
      <c r="AG736" s="6">
        <f>$O$736*$AA$736</f>
        <v>42690.85222583342</v>
      </c>
    </row>
    <row r="737" spans="1:33" ht="11.25" customHeight="1" x14ac:dyDescent="0.25">
      <c r="A737" s="4" t="s">
        <v>21</v>
      </c>
      <c r="B737" s="4" t="s">
        <v>22</v>
      </c>
      <c r="C737" s="4" t="s">
        <v>23</v>
      </c>
      <c r="D737" s="4" t="s">
        <v>24</v>
      </c>
      <c r="E737" s="4" t="s">
        <v>24</v>
      </c>
      <c r="F737" s="4" t="s">
        <v>25</v>
      </c>
      <c r="G737" s="4" t="s">
        <v>25</v>
      </c>
      <c r="H737" s="4" t="s">
        <v>25</v>
      </c>
      <c r="I737" s="5">
        <v>44317</v>
      </c>
      <c r="J737" s="6">
        <v>0</v>
      </c>
      <c r="K737" s="6">
        <v>0</v>
      </c>
      <c r="L737" s="6">
        <v>18086.802</v>
      </c>
      <c r="M737" s="6">
        <v>18086.802</v>
      </c>
      <c r="N737" s="6">
        <v>18086.802</v>
      </c>
      <c r="O737" s="6">
        <v>18086.802</v>
      </c>
      <c r="P737" s="6">
        <v>137003</v>
      </c>
      <c r="Q737" s="4" t="s">
        <v>26</v>
      </c>
      <c r="R737" s="4">
        <v>0</v>
      </c>
      <c r="S737" s="6">
        <v>0</v>
      </c>
      <c r="T737" s="6">
        <v>17</v>
      </c>
      <c r="U737" s="6">
        <v>73</v>
      </c>
      <c r="V737" s="6">
        <f>IF(ISERROR(VLOOKUP($S$737,'TAR FIN'!$A$1:$O$100,15,0)),0,VLOOKUP($S$737,'TAR FIN'!$A$1:$O$100,15,0))</f>
        <v>0</v>
      </c>
      <c r="W737" s="6">
        <f>IF(ISERROR(VLOOKUP($T$737,'TAR FIN'!$A$1:$O$100,15,0)),0,VLOOKUP($T$737,'TAR FIN'!$A$1:$O$100,15,0))</f>
        <v>285.75</v>
      </c>
      <c r="X737" s="6">
        <f>IF(ISERROR(VLOOKUP($U$737,'TAR FIN'!$A$1:$O$100,15,0)),0,VLOOKUP($U$737,'TAR FIN'!$A$1:$O$100,15,0))</f>
        <v>231.33</v>
      </c>
      <c r="Y737" s="6"/>
      <c r="Z737" s="6">
        <f ca="1">('TUSD BE'!$AM$30+'TUSD BF'!$AM$30+'TUSD CVA'!$AM$30)*1</f>
        <v>285.64503648725872</v>
      </c>
      <c r="AA737" s="6">
        <f>('TE BE'!$AA$13+'TE BF'!$AA$13+'TE CVA'!$AA$13)*1</f>
        <v>250.79367785689016</v>
      </c>
      <c r="AB737" s="6">
        <f>$K$737*$V$737</f>
        <v>0</v>
      </c>
      <c r="AC737" s="6">
        <f>$M$737*$W$737</f>
        <v>5168303.6715000002</v>
      </c>
      <c r="AD737" s="6">
        <f>$O$737*$X$737</f>
        <v>4184019.9066600003</v>
      </c>
      <c r="AE737" s="6">
        <f>$K$737*$Y$737</f>
        <v>0</v>
      </c>
      <c r="AF737" s="6">
        <f ca="1">$M$737*$Z$737</f>
        <v>5166405.217227824</v>
      </c>
      <c r="AG737" s="6">
        <f>$O$737*$AA$737</f>
        <v>4536055.5942493565</v>
      </c>
    </row>
    <row r="738" spans="1:33" ht="11.25" customHeight="1" x14ac:dyDescent="0.25">
      <c r="A738" s="4" t="s">
        <v>27</v>
      </c>
      <c r="B738" s="4" t="s">
        <v>22</v>
      </c>
      <c r="C738" s="4" t="s">
        <v>23</v>
      </c>
      <c r="D738" s="4" t="s">
        <v>24</v>
      </c>
      <c r="E738" s="4" t="s">
        <v>24</v>
      </c>
      <c r="F738" s="4" t="s">
        <v>25</v>
      </c>
      <c r="G738" s="4" t="s">
        <v>25</v>
      </c>
      <c r="H738" s="4" t="s">
        <v>25</v>
      </c>
      <c r="I738" s="5">
        <v>44317</v>
      </c>
      <c r="J738" s="6">
        <v>0</v>
      </c>
      <c r="K738" s="6">
        <v>0</v>
      </c>
      <c r="L738" s="6">
        <v>-10.641</v>
      </c>
      <c r="M738" s="6">
        <v>-10.641</v>
      </c>
      <c r="N738" s="6">
        <v>-10.641</v>
      </c>
      <c r="O738" s="6">
        <v>-10.641</v>
      </c>
      <c r="P738" s="6">
        <v>-6</v>
      </c>
      <c r="Q738" s="4" t="s">
        <v>26</v>
      </c>
      <c r="R738" s="4">
        <v>0</v>
      </c>
      <c r="S738" s="6">
        <v>0</v>
      </c>
      <c r="T738" s="6">
        <v>17</v>
      </c>
      <c r="U738" s="6">
        <v>73</v>
      </c>
      <c r="V738" s="6">
        <f>IF(ISERROR(VLOOKUP($S$738,'TAR FIN'!$A$1:$O$100,15,0)),0,VLOOKUP($S$738,'TAR FIN'!$A$1:$O$100,15,0))</f>
        <v>0</v>
      </c>
      <c r="W738" s="6">
        <f>IF(ISERROR(VLOOKUP($T$738,'TAR FIN'!$A$1:$O$100,15,0)),0,VLOOKUP($T$738,'TAR FIN'!$A$1:$O$100,15,0))</f>
        <v>285.75</v>
      </c>
      <c r="X738" s="6">
        <f>IF(ISERROR(VLOOKUP($U$738,'TAR FIN'!$A$1:$O$100,15,0)),0,VLOOKUP($U$738,'TAR FIN'!$A$1:$O$100,15,0))</f>
        <v>231.33</v>
      </c>
      <c r="Y738" s="6"/>
      <c r="Z738" s="6">
        <f ca="1">('TUSD BE'!$AM$30+'TUSD BF'!$AM$30+'TUSD CVA'!$AM$30)*1</f>
        <v>285.64503648725872</v>
      </c>
      <c r="AA738" s="6">
        <f>('TE BE'!$AA$13+'TE BF'!$AA$13+'TE CVA'!$AA$13)*1</f>
        <v>250.79367785689016</v>
      </c>
      <c r="AB738" s="6">
        <f>$K$738*$V$738</f>
        <v>0</v>
      </c>
      <c r="AC738" s="6">
        <f>$M$738*$W$738</f>
        <v>-3040.6657500000001</v>
      </c>
      <c r="AD738" s="6">
        <f>$O$738*$X$738</f>
        <v>-2461.5825300000001</v>
      </c>
      <c r="AE738" s="6">
        <f>$K$738*$Y$738</f>
        <v>0</v>
      </c>
      <c r="AF738" s="6">
        <f ca="1">$M$738*$Z$738</f>
        <v>-3039.5488332609202</v>
      </c>
      <c r="AG738" s="6">
        <f>$O$738*$AA$738</f>
        <v>-2668.6955260751683</v>
      </c>
    </row>
    <row r="739" spans="1:33" ht="11.25" customHeight="1" x14ac:dyDescent="0.25">
      <c r="A739" s="4" t="s">
        <v>28</v>
      </c>
      <c r="B739" s="4" t="s">
        <v>22</v>
      </c>
      <c r="C739" s="4" t="s">
        <v>23</v>
      </c>
      <c r="D739" s="4" t="s">
        <v>24</v>
      </c>
      <c r="E739" s="4" t="s">
        <v>24</v>
      </c>
      <c r="F739" s="4" t="s">
        <v>25</v>
      </c>
      <c r="G739" s="4" t="s">
        <v>25</v>
      </c>
      <c r="H739" s="4" t="s">
        <v>25</v>
      </c>
      <c r="I739" s="5">
        <v>44317</v>
      </c>
      <c r="J739" s="6">
        <v>0</v>
      </c>
      <c r="K739" s="6">
        <v>0</v>
      </c>
      <c r="L739" s="6">
        <v>170.70599999999999</v>
      </c>
      <c r="M739" s="6">
        <v>170.70599999999999</v>
      </c>
      <c r="N739" s="6">
        <v>170.70599999999999</v>
      </c>
      <c r="O739" s="6">
        <v>170.70599999999999</v>
      </c>
      <c r="P739" s="6">
        <v>845</v>
      </c>
      <c r="Q739" s="4" t="s">
        <v>26</v>
      </c>
      <c r="R739" s="4">
        <v>0</v>
      </c>
      <c r="S739" s="6">
        <v>0</v>
      </c>
      <c r="T739" s="6">
        <v>17</v>
      </c>
      <c r="U739" s="6">
        <v>73</v>
      </c>
      <c r="V739" s="6">
        <f>IF(ISERROR(VLOOKUP($S$739,'TAR FIN'!$A$1:$O$100,15,0)),0,VLOOKUP($S$739,'TAR FIN'!$A$1:$O$100,15,0))</f>
        <v>0</v>
      </c>
      <c r="W739" s="6">
        <f>IF(ISERROR(VLOOKUP($T$739,'TAR FIN'!$A$1:$O$100,15,0)),0,VLOOKUP($T$739,'TAR FIN'!$A$1:$O$100,15,0))</f>
        <v>285.75</v>
      </c>
      <c r="X739" s="6">
        <f>IF(ISERROR(VLOOKUP($U$739,'TAR FIN'!$A$1:$O$100,15,0)),0,VLOOKUP($U$739,'TAR FIN'!$A$1:$O$100,15,0))</f>
        <v>231.33</v>
      </c>
      <c r="Y739" s="6"/>
      <c r="Z739" s="6">
        <f ca="1">('TUSD BE'!$AM$30+'TUSD BF'!$AM$30+'TUSD CVA'!$AM$30)*1</f>
        <v>285.64503648725872</v>
      </c>
      <c r="AA739" s="6">
        <f>('TE BE'!$AA$13+'TE BF'!$AA$13+'TE CVA'!$AA$13)*1</f>
        <v>250.79367785689016</v>
      </c>
      <c r="AB739" s="6">
        <f>$K$739*$V$739</f>
        <v>0</v>
      </c>
      <c r="AC739" s="6">
        <f>$M$739*$W$739</f>
        <v>48779.239499999996</v>
      </c>
      <c r="AD739" s="6">
        <f>$O$739*$X$739</f>
        <v>39489.418980000002</v>
      </c>
      <c r="AE739" s="6">
        <f>$K$739*$Y$739</f>
        <v>0</v>
      </c>
      <c r="AF739" s="6">
        <f ca="1">$M$739*$Z$739</f>
        <v>48761.321598593982</v>
      </c>
      <c r="AG739" s="6">
        <f>$O$739*$AA$739</f>
        <v>42811.985572238285</v>
      </c>
    </row>
    <row r="740" spans="1:33" ht="11.25" customHeight="1" x14ac:dyDescent="0.25">
      <c r="A740" s="4" t="s">
        <v>28</v>
      </c>
      <c r="B740" s="4" t="s">
        <v>22</v>
      </c>
      <c r="C740" s="4" t="s">
        <v>23</v>
      </c>
      <c r="D740" s="4" t="s">
        <v>24</v>
      </c>
      <c r="E740" s="4" t="s">
        <v>24</v>
      </c>
      <c r="F740" s="4" t="s">
        <v>25</v>
      </c>
      <c r="G740" s="4" t="s">
        <v>25</v>
      </c>
      <c r="H740" s="4" t="s">
        <v>25</v>
      </c>
      <c r="I740" s="5">
        <v>44317</v>
      </c>
      <c r="J740" s="6">
        <v>0</v>
      </c>
      <c r="K740" s="6">
        <v>0</v>
      </c>
      <c r="L740" s="6">
        <v>-0.03</v>
      </c>
      <c r="M740" s="6">
        <v>-0.03</v>
      </c>
      <c r="N740" s="6">
        <v>-0.03</v>
      </c>
      <c r="O740" s="6">
        <v>-0.03</v>
      </c>
      <c r="P740" s="6">
        <v>-1</v>
      </c>
      <c r="Q740" s="4" t="s">
        <v>26</v>
      </c>
      <c r="R740" s="4">
        <v>0</v>
      </c>
      <c r="S740" s="6">
        <v>0</v>
      </c>
      <c r="T740" s="6">
        <v>17</v>
      </c>
      <c r="U740" s="6">
        <v>73</v>
      </c>
      <c r="V740" s="6">
        <f>IF(ISERROR(VLOOKUP($S$740,'TAR FIN'!$A$1:$O$100,15,0)),0,VLOOKUP($S$740,'TAR FIN'!$A$1:$O$100,15,0))</f>
        <v>0</v>
      </c>
      <c r="W740" s="6">
        <f>IF(ISERROR(VLOOKUP($T$740,'TAR FIN'!$A$1:$O$100,15,0)),0,VLOOKUP($T$740,'TAR FIN'!$A$1:$O$100,15,0))</f>
        <v>285.75</v>
      </c>
      <c r="X740" s="6">
        <f>IF(ISERROR(VLOOKUP($U$740,'TAR FIN'!$A$1:$O$100,15,0)),0,VLOOKUP($U$740,'TAR FIN'!$A$1:$O$100,15,0))</f>
        <v>231.33</v>
      </c>
      <c r="Y740" s="6"/>
      <c r="Z740" s="6">
        <f ca="1">('TUSD BE'!$AM$30+'TUSD BF'!$AM$30+'TUSD CVA'!$AM$30)*1</f>
        <v>285.64503648725872</v>
      </c>
      <c r="AA740" s="6">
        <f>('TE BE'!$AA$13+'TE BF'!$AA$13+'TE CVA'!$AA$13)*1</f>
        <v>250.79367785689016</v>
      </c>
      <c r="AB740" s="6">
        <f>$K$740*$V$740</f>
        <v>0</v>
      </c>
      <c r="AC740" s="6">
        <f>$M$740*$W$740</f>
        <v>-8.5724999999999998</v>
      </c>
      <c r="AD740" s="6">
        <f>$O$740*$X$740</f>
        <v>-6.9398999999999997</v>
      </c>
      <c r="AE740" s="6">
        <f>$K$740*$Y$740</f>
        <v>0</v>
      </c>
      <c r="AF740" s="6">
        <f ca="1">$M$740*$Z$740</f>
        <v>-8.5693510946177618</v>
      </c>
      <c r="AG740" s="6">
        <f>$O$740*$AA$740</f>
        <v>-7.5238103357067043</v>
      </c>
    </row>
    <row r="741" spans="1:33" ht="11.25" customHeight="1" x14ac:dyDescent="0.25">
      <c r="A741" s="4" t="s">
        <v>21</v>
      </c>
      <c r="B741" s="4" t="s">
        <v>22</v>
      </c>
      <c r="C741" s="4" t="s">
        <v>23</v>
      </c>
      <c r="D741" s="4" t="s">
        <v>24</v>
      </c>
      <c r="E741" s="4" t="s">
        <v>24</v>
      </c>
      <c r="F741" s="4" t="s">
        <v>25</v>
      </c>
      <c r="G741" s="4" t="s">
        <v>25</v>
      </c>
      <c r="H741" s="4" t="s">
        <v>25</v>
      </c>
      <c r="I741" s="5">
        <v>44348</v>
      </c>
      <c r="J741" s="6">
        <v>0</v>
      </c>
      <c r="K741" s="6">
        <v>0</v>
      </c>
      <c r="L741" s="6">
        <v>17011.955000000002</v>
      </c>
      <c r="M741" s="6">
        <v>17011.955000000002</v>
      </c>
      <c r="N741" s="6">
        <v>17011.955000000002</v>
      </c>
      <c r="O741" s="6">
        <v>17011.955000000002</v>
      </c>
      <c r="P741" s="6">
        <v>136870</v>
      </c>
      <c r="Q741" s="4" t="s">
        <v>26</v>
      </c>
      <c r="R741" s="4">
        <v>0</v>
      </c>
      <c r="S741" s="6">
        <v>0</v>
      </c>
      <c r="T741" s="6">
        <v>17</v>
      </c>
      <c r="U741" s="6">
        <v>73</v>
      </c>
      <c r="V741" s="6">
        <f>IF(ISERROR(VLOOKUP($S$741,'TAR FIN'!$A$1:$O$100,15,0)),0,VLOOKUP($S$741,'TAR FIN'!$A$1:$O$100,15,0))</f>
        <v>0</v>
      </c>
      <c r="W741" s="6">
        <f>IF(ISERROR(VLOOKUP($T$741,'TAR FIN'!$A$1:$O$100,15,0)),0,VLOOKUP($T$741,'TAR FIN'!$A$1:$O$100,15,0))</f>
        <v>285.75</v>
      </c>
      <c r="X741" s="6">
        <f>IF(ISERROR(VLOOKUP($U$741,'TAR FIN'!$A$1:$O$100,15,0)),0,VLOOKUP($U$741,'TAR FIN'!$A$1:$O$100,15,0))</f>
        <v>231.33</v>
      </c>
      <c r="Y741" s="6"/>
      <c r="Z741" s="6">
        <f ca="1">('TUSD BE'!$AM$30+'TUSD BF'!$AM$30+'TUSD CVA'!$AM$30)*1</f>
        <v>285.64503648725872</v>
      </c>
      <c r="AA741" s="6">
        <f>('TE BE'!$AA$13+'TE BF'!$AA$13+'TE CVA'!$AA$13)*1</f>
        <v>250.79367785689016</v>
      </c>
      <c r="AB741" s="6">
        <f>$K$741*$V$741</f>
        <v>0</v>
      </c>
      <c r="AC741" s="6">
        <f>$M$741*$W$741</f>
        <v>4861166.1412500003</v>
      </c>
      <c r="AD741" s="6">
        <f>$O$741*$X$741</f>
        <v>3935375.5501500005</v>
      </c>
      <c r="AE741" s="6">
        <f>$K$741*$Y$741</f>
        <v>0</v>
      </c>
      <c r="AF741" s="6">
        <f ca="1">$M$741*$Z$741</f>
        <v>4859380.5066946037</v>
      </c>
      <c r="AG741" s="6">
        <f>$O$741*$AA$741</f>
        <v>4266490.761985912</v>
      </c>
    </row>
    <row r="742" spans="1:33" ht="11.25" customHeight="1" x14ac:dyDescent="0.25">
      <c r="A742" s="4" t="s">
        <v>27</v>
      </c>
      <c r="B742" s="4" t="s">
        <v>22</v>
      </c>
      <c r="C742" s="4" t="s">
        <v>23</v>
      </c>
      <c r="D742" s="4" t="s">
        <v>24</v>
      </c>
      <c r="E742" s="4" t="s">
        <v>24</v>
      </c>
      <c r="F742" s="4" t="s">
        <v>25</v>
      </c>
      <c r="G742" s="4" t="s">
        <v>25</v>
      </c>
      <c r="H742" s="4" t="s">
        <v>25</v>
      </c>
      <c r="I742" s="5">
        <v>44348</v>
      </c>
      <c r="J742" s="6">
        <v>0</v>
      </c>
      <c r="K742" s="6">
        <v>0</v>
      </c>
      <c r="L742" s="6">
        <v>-4.4340000000000002</v>
      </c>
      <c r="M742" s="6">
        <v>-4.4340000000000002</v>
      </c>
      <c r="N742" s="6">
        <v>-4.4340000000000002</v>
      </c>
      <c r="O742" s="6">
        <v>-4.4340000000000002</v>
      </c>
      <c r="P742" s="6">
        <v>-5</v>
      </c>
      <c r="Q742" s="4" t="s">
        <v>26</v>
      </c>
      <c r="R742" s="4">
        <v>0</v>
      </c>
      <c r="S742" s="6">
        <v>0</v>
      </c>
      <c r="T742" s="6">
        <v>17</v>
      </c>
      <c r="U742" s="6">
        <v>73</v>
      </c>
      <c r="V742" s="6">
        <f>IF(ISERROR(VLOOKUP($S$742,'TAR FIN'!$A$1:$O$100,15,0)),0,VLOOKUP($S$742,'TAR FIN'!$A$1:$O$100,15,0))</f>
        <v>0</v>
      </c>
      <c r="W742" s="6">
        <f>IF(ISERROR(VLOOKUP($T$742,'TAR FIN'!$A$1:$O$100,15,0)),0,VLOOKUP($T$742,'TAR FIN'!$A$1:$O$100,15,0))</f>
        <v>285.75</v>
      </c>
      <c r="X742" s="6">
        <f>IF(ISERROR(VLOOKUP($U$742,'TAR FIN'!$A$1:$O$100,15,0)),0,VLOOKUP($U$742,'TAR FIN'!$A$1:$O$100,15,0))</f>
        <v>231.33</v>
      </c>
      <c r="Y742" s="6"/>
      <c r="Z742" s="6">
        <f ca="1">('TUSD BE'!$AM$30+'TUSD BF'!$AM$30+'TUSD CVA'!$AM$30)*1</f>
        <v>285.64503648725872</v>
      </c>
      <c r="AA742" s="6">
        <f>('TE BE'!$AA$13+'TE BF'!$AA$13+'TE CVA'!$AA$13)*1</f>
        <v>250.79367785689016</v>
      </c>
      <c r="AB742" s="6">
        <f>$K$742*$V$742</f>
        <v>0</v>
      </c>
      <c r="AC742" s="6">
        <f>$M$742*$W$742</f>
        <v>-1267.0155</v>
      </c>
      <c r="AD742" s="6">
        <f>$O$742*$X$742</f>
        <v>-1025.71722</v>
      </c>
      <c r="AE742" s="6">
        <f>$K$742*$Y$742</f>
        <v>0</v>
      </c>
      <c r="AF742" s="6">
        <f ca="1">$M$742*$Z$742</f>
        <v>-1266.5500917845052</v>
      </c>
      <c r="AG742" s="6">
        <f>$O$742*$AA$742</f>
        <v>-1112.0191676174511</v>
      </c>
    </row>
    <row r="743" spans="1:33" ht="11.25" customHeight="1" x14ac:dyDescent="0.25">
      <c r="A743" s="4" t="s">
        <v>28</v>
      </c>
      <c r="B743" s="4" t="s">
        <v>22</v>
      </c>
      <c r="C743" s="4" t="s">
        <v>23</v>
      </c>
      <c r="D743" s="4" t="s">
        <v>24</v>
      </c>
      <c r="E743" s="4" t="s">
        <v>24</v>
      </c>
      <c r="F743" s="4" t="s">
        <v>25</v>
      </c>
      <c r="G743" s="4" t="s">
        <v>25</v>
      </c>
      <c r="H743" s="4" t="s">
        <v>25</v>
      </c>
      <c r="I743" s="5">
        <v>44348</v>
      </c>
      <c r="J743" s="6">
        <v>0</v>
      </c>
      <c r="K743" s="6">
        <v>0</v>
      </c>
      <c r="L743" s="6">
        <v>173.17599999999999</v>
      </c>
      <c r="M743" s="6">
        <v>173.17599999999999</v>
      </c>
      <c r="N743" s="6">
        <v>173.17599999999999</v>
      </c>
      <c r="O743" s="6">
        <v>173.17599999999999</v>
      </c>
      <c r="P743" s="6">
        <v>897</v>
      </c>
      <c r="Q743" s="4" t="s">
        <v>26</v>
      </c>
      <c r="R743" s="4">
        <v>0</v>
      </c>
      <c r="S743" s="6">
        <v>0</v>
      </c>
      <c r="T743" s="6">
        <v>17</v>
      </c>
      <c r="U743" s="6">
        <v>73</v>
      </c>
      <c r="V743" s="6">
        <f>IF(ISERROR(VLOOKUP($S$743,'TAR FIN'!$A$1:$O$100,15,0)),0,VLOOKUP($S$743,'TAR FIN'!$A$1:$O$100,15,0))</f>
        <v>0</v>
      </c>
      <c r="W743" s="6">
        <f>IF(ISERROR(VLOOKUP($T$743,'TAR FIN'!$A$1:$O$100,15,0)),0,VLOOKUP($T$743,'TAR FIN'!$A$1:$O$100,15,0))</f>
        <v>285.75</v>
      </c>
      <c r="X743" s="6">
        <f>IF(ISERROR(VLOOKUP($U$743,'TAR FIN'!$A$1:$O$100,15,0)),0,VLOOKUP($U$743,'TAR FIN'!$A$1:$O$100,15,0))</f>
        <v>231.33</v>
      </c>
      <c r="Y743" s="6"/>
      <c r="Z743" s="6">
        <f ca="1">('TUSD BE'!$AM$30+'TUSD BF'!$AM$30+'TUSD CVA'!$AM$30)*1</f>
        <v>285.64503648725872</v>
      </c>
      <c r="AA743" s="6">
        <f>('TE BE'!$AA$13+'TE BF'!$AA$13+'TE CVA'!$AA$13)*1</f>
        <v>250.79367785689016</v>
      </c>
      <c r="AB743" s="6">
        <f>$K$743*$V$743</f>
        <v>0</v>
      </c>
      <c r="AC743" s="6">
        <f>$M$743*$W$743</f>
        <v>49485.041999999994</v>
      </c>
      <c r="AD743" s="6">
        <f>$O$743*$X$743</f>
        <v>40060.804080000002</v>
      </c>
      <c r="AE743" s="6">
        <f>$K$743*$Y$743</f>
        <v>0</v>
      </c>
      <c r="AF743" s="6">
        <f ca="1">$M$743*$Z$743</f>
        <v>49466.864838717513</v>
      </c>
      <c r="AG743" s="6">
        <f>$O$743*$AA$743</f>
        <v>43431.445956544805</v>
      </c>
    </row>
    <row r="744" spans="1:33" ht="11.25" customHeight="1" x14ac:dyDescent="0.25">
      <c r="A744" s="4" t="s">
        <v>21</v>
      </c>
      <c r="B744" s="4" t="s">
        <v>22</v>
      </c>
      <c r="C744" s="4" t="s">
        <v>23</v>
      </c>
      <c r="D744" s="4" t="s">
        <v>24</v>
      </c>
      <c r="E744" s="4" t="s">
        <v>24</v>
      </c>
      <c r="F744" s="4" t="s">
        <v>25</v>
      </c>
      <c r="G744" s="4" t="s">
        <v>25</v>
      </c>
      <c r="H744" s="4" t="s">
        <v>25</v>
      </c>
      <c r="I744" s="5">
        <v>44378</v>
      </c>
      <c r="J744" s="6">
        <v>0</v>
      </c>
      <c r="K744" s="6">
        <v>0</v>
      </c>
      <c r="L744" s="6">
        <v>17620.891</v>
      </c>
      <c r="M744" s="6">
        <v>17620.891</v>
      </c>
      <c r="N744" s="6">
        <v>17620.891</v>
      </c>
      <c r="O744" s="6">
        <v>17620.891</v>
      </c>
      <c r="P744" s="6">
        <v>136478</v>
      </c>
      <c r="Q744" s="4" t="s">
        <v>26</v>
      </c>
      <c r="R744" s="4">
        <v>0</v>
      </c>
      <c r="S744" s="6">
        <v>0</v>
      </c>
      <c r="T744" s="6">
        <v>17</v>
      </c>
      <c r="U744" s="6">
        <v>73</v>
      </c>
      <c r="V744" s="6">
        <f>IF(ISERROR(VLOOKUP($S$744,'TAR FIN'!$A$1:$O$100,15,0)),0,VLOOKUP($S$744,'TAR FIN'!$A$1:$O$100,15,0))</f>
        <v>0</v>
      </c>
      <c r="W744" s="6">
        <f>IF(ISERROR(VLOOKUP($T$744,'TAR FIN'!$A$1:$O$100,15,0)),0,VLOOKUP($T$744,'TAR FIN'!$A$1:$O$100,15,0))</f>
        <v>285.75</v>
      </c>
      <c r="X744" s="6">
        <f>IF(ISERROR(VLOOKUP($U$744,'TAR FIN'!$A$1:$O$100,15,0)),0,VLOOKUP($U$744,'TAR FIN'!$A$1:$O$100,15,0))</f>
        <v>231.33</v>
      </c>
      <c r="Y744" s="6"/>
      <c r="Z744" s="6">
        <f ca="1">('TUSD BE'!$AM$30+'TUSD BF'!$AM$30+'TUSD CVA'!$AM$30)*1</f>
        <v>285.64503648725872</v>
      </c>
      <c r="AA744" s="6">
        <f>('TE BE'!$AA$13+'TE BF'!$AA$13+'TE CVA'!$AA$13)*1</f>
        <v>250.79367785689016</v>
      </c>
      <c r="AB744" s="6">
        <f>$K$744*$V$744</f>
        <v>0</v>
      </c>
      <c r="AC744" s="6">
        <f>$M$744*$W$744</f>
        <v>5035169.6032499997</v>
      </c>
      <c r="AD744" s="6">
        <f>$O$744*$X$744</f>
        <v>4076240.7150300001</v>
      </c>
      <c r="AE744" s="6">
        <f>$K$744*$Y$744</f>
        <v>0</v>
      </c>
      <c r="AF744" s="6">
        <f ca="1">$M$744*$Z$744</f>
        <v>5033320.0526330089</v>
      </c>
      <c r="AG744" s="6">
        <f>$O$744*$AA$744</f>
        <v>4419208.0610053753</v>
      </c>
    </row>
    <row r="745" spans="1:33" ht="11.25" customHeight="1" x14ac:dyDescent="0.25">
      <c r="A745" s="4" t="s">
        <v>27</v>
      </c>
      <c r="B745" s="4" t="s">
        <v>22</v>
      </c>
      <c r="C745" s="4" t="s">
        <v>23</v>
      </c>
      <c r="D745" s="4" t="s">
        <v>24</v>
      </c>
      <c r="E745" s="4" t="s">
        <v>24</v>
      </c>
      <c r="F745" s="4" t="s">
        <v>25</v>
      </c>
      <c r="G745" s="4" t="s">
        <v>25</v>
      </c>
      <c r="H745" s="4" t="s">
        <v>25</v>
      </c>
      <c r="I745" s="5">
        <v>44378</v>
      </c>
      <c r="J745" s="6">
        <v>0</v>
      </c>
      <c r="K745" s="6">
        <v>0</v>
      </c>
      <c r="L745" s="6">
        <v>-13.129</v>
      </c>
      <c r="M745" s="6">
        <v>-13.129</v>
      </c>
      <c r="N745" s="6">
        <v>-13.129</v>
      </c>
      <c r="O745" s="6">
        <v>-13.129</v>
      </c>
      <c r="P745" s="6">
        <v>-6</v>
      </c>
      <c r="Q745" s="4" t="s">
        <v>26</v>
      </c>
      <c r="R745" s="4">
        <v>0</v>
      </c>
      <c r="S745" s="6">
        <v>0</v>
      </c>
      <c r="T745" s="6">
        <v>17</v>
      </c>
      <c r="U745" s="6">
        <v>73</v>
      </c>
      <c r="V745" s="6">
        <f>IF(ISERROR(VLOOKUP($S$745,'TAR FIN'!$A$1:$O$100,15,0)),0,VLOOKUP($S$745,'TAR FIN'!$A$1:$O$100,15,0))</f>
        <v>0</v>
      </c>
      <c r="W745" s="6">
        <f>IF(ISERROR(VLOOKUP($T$745,'TAR FIN'!$A$1:$O$100,15,0)),0,VLOOKUP($T$745,'TAR FIN'!$A$1:$O$100,15,0))</f>
        <v>285.75</v>
      </c>
      <c r="X745" s="6">
        <f>IF(ISERROR(VLOOKUP($U$745,'TAR FIN'!$A$1:$O$100,15,0)),0,VLOOKUP($U$745,'TAR FIN'!$A$1:$O$100,15,0))</f>
        <v>231.33</v>
      </c>
      <c r="Y745" s="6"/>
      <c r="Z745" s="6">
        <f ca="1">('TUSD BE'!$AM$30+'TUSD BF'!$AM$30+'TUSD CVA'!$AM$30)*1</f>
        <v>285.64503648725872</v>
      </c>
      <c r="AA745" s="6">
        <f>('TE BE'!$AA$13+'TE BF'!$AA$13+'TE CVA'!$AA$13)*1</f>
        <v>250.79367785689016</v>
      </c>
      <c r="AB745" s="6">
        <f>$K$745*$V$745</f>
        <v>0</v>
      </c>
      <c r="AC745" s="6">
        <f>$M$745*$W$745</f>
        <v>-3751.61175</v>
      </c>
      <c r="AD745" s="6">
        <f>$O$745*$X$745</f>
        <v>-3037.13157</v>
      </c>
      <c r="AE745" s="6">
        <f>$K$745*$Y$745</f>
        <v>0</v>
      </c>
      <c r="AF745" s="6">
        <f ca="1">$M$745*$Z$745</f>
        <v>-3750.2336840412195</v>
      </c>
      <c r="AG745" s="6">
        <f>$O$745*$AA$745</f>
        <v>-3292.6701965831107</v>
      </c>
    </row>
    <row r="746" spans="1:33" ht="11.25" customHeight="1" x14ac:dyDescent="0.25">
      <c r="A746" s="4" t="s">
        <v>28</v>
      </c>
      <c r="B746" s="4" t="s">
        <v>22</v>
      </c>
      <c r="C746" s="4" t="s">
        <v>23</v>
      </c>
      <c r="D746" s="4" t="s">
        <v>24</v>
      </c>
      <c r="E746" s="4" t="s">
        <v>24</v>
      </c>
      <c r="F746" s="4" t="s">
        <v>25</v>
      </c>
      <c r="G746" s="4" t="s">
        <v>25</v>
      </c>
      <c r="H746" s="4" t="s">
        <v>25</v>
      </c>
      <c r="I746" s="5">
        <v>44378</v>
      </c>
      <c r="J746" s="6">
        <v>0</v>
      </c>
      <c r="K746" s="6">
        <v>0</v>
      </c>
      <c r="L746" s="6">
        <v>203.07499999999999</v>
      </c>
      <c r="M746" s="6">
        <v>203.07499999999999</v>
      </c>
      <c r="N746" s="6">
        <v>203.07499999999999</v>
      </c>
      <c r="O746" s="6">
        <v>203.07499999999999</v>
      </c>
      <c r="P746" s="6">
        <v>1142</v>
      </c>
      <c r="Q746" s="4" t="s">
        <v>26</v>
      </c>
      <c r="R746" s="4">
        <v>0</v>
      </c>
      <c r="S746" s="6">
        <v>0</v>
      </c>
      <c r="T746" s="6">
        <v>17</v>
      </c>
      <c r="U746" s="6">
        <v>73</v>
      </c>
      <c r="V746" s="6">
        <f>IF(ISERROR(VLOOKUP($S$746,'TAR FIN'!$A$1:$O$100,15,0)),0,VLOOKUP($S$746,'TAR FIN'!$A$1:$O$100,15,0))</f>
        <v>0</v>
      </c>
      <c r="W746" s="6">
        <f>IF(ISERROR(VLOOKUP($T$746,'TAR FIN'!$A$1:$O$100,15,0)),0,VLOOKUP($T$746,'TAR FIN'!$A$1:$O$100,15,0))</f>
        <v>285.75</v>
      </c>
      <c r="X746" s="6">
        <f>IF(ISERROR(VLOOKUP($U$746,'TAR FIN'!$A$1:$O$100,15,0)),0,VLOOKUP($U$746,'TAR FIN'!$A$1:$O$100,15,0))</f>
        <v>231.33</v>
      </c>
      <c r="Y746" s="6"/>
      <c r="Z746" s="6">
        <f ca="1">('TUSD BE'!$AM$30+'TUSD BF'!$AM$30+'TUSD CVA'!$AM$30)*1</f>
        <v>285.64503648725872</v>
      </c>
      <c r="AA746" s="6">
        <f>('TE BE'!$AA$13+'TE BF'!$AA$13+'TE CVA'!$AA$13)*1</f>
        <v>250.79367785689016</v>
      </c>
      <c r="AB746" s="6">
        <f>$K$746*$V$746</f>
        <v>0</v>
      </c>
      <c r="AC746" s="6">
        <f>$M$746*$W$746</f>
        <v>58028.681249999994</v>
      </c>
      <c r="AD746" s="6">
        <f>$O$746*$X$746</f>
        <v>46977.339749999999</v>
      </c>
      <c r="AE746" s="6">
        <f>$K$746*$Y$746</f>
        <v>0</v>
      </c>
      <c r="AF746" s="6">
        <f ca="1">$M$746*$Z$746</f>
        <v>58007.365784650065</v>
      </c>
      <c r="AG746" s="6">
        <f>$O$746*$AA$746</f>
        <v>50929.926130787964</v>
      </c>
    </row>
    <row r="747" spans="1:33" ht="11.25" customHeight="1" x14ac:dyDescent="0.25">
      <c r="A747" s="4" t="s">
        <v>21</v>
      </c>
      <c r="B747" s="4" t="s">
        <v>22</v>
      </c>
      <c r="C747" s="4" t="s">
        <v>23</v>
      </c>
      <c r="D747" s="4" t="s">
        <v>24</v>
      </c>
      <c r="E747" s="4" t="s">
        <v>24</v>
      </c>
      <c r="F747" s="4" t="s">
        <v>25</v>
      </c>
      <c r="G747" s="4" t="s">
        <v>25</v>
      </c>
      <c r="H747" s="4" t="s">
        <v>25</v>
      </c>
      <c r="I747" s="5">
        <v>44409</v>
      </c>
      <c r="J747" s="6">
        <v>0</v>
      </c>
      <c r="K747" s="6">
        <v>0</v>
      </c>
      <c r="L747" s="6">
        <v>16379.379000000001</v>
      </c>
      <c r="M747" s="6">
        <v>16379.379000000001</v>
      </c>
      <c r="N747" s="6">
        <v>16379.379000000001</v>
      </c>
      <c r="O747" s="6">
        <v>16379.379000000001</v>
      </c>
      <c r="P747" s="6">
        <v>136167</v>
      </c>
      <c r="Q747" s="4" t="s">
        <v>26</v>
      </c>
      <c r="R747" s="4">
        <v>0</v>
      </c>
      <c r="S747" s="6">
        <v>0</v>
      </c>
      <c r="T747" s="6">
        <v>17</v>
      </c>
      <c r="U747" s="6">
        <v>73</v>
      </c>
      <c r="V747" s="6">
        <f>IF(ISERROR(VLOOKUP($S$747,'TAR FIN'!$A$1:$O$100,15,0)),0,VLOOKUP($S$747,'TAR FIN'!$A$1:$O$100,15,0))</f>
        <v>0</v>
      </c>
      <c r="W747" s="6">
        <f>IF(ISERROR(VLOOKUP($T$747,'TAR FIN'!$A$1:$O$100,15,0)),0,VLOOKUP($T$747,'TAR FIN'!$A$1:$O$100,15,0))</f>
        <v>285.75</v>
      </c>
      <c r="X747" s="6">
        <f>IF(ISERROR(VLOOKUP($U$747,'TAR FIN'!$A$1:$O$100,15,0)),0,VLOOKUP($U$747,'TAR FIN'!$A$1:$O$100,15,0))</f>
        <v>231.33</v>
      </c>
      <c r="Y747" s="6"/>
      <c r="Z747" s="6">
        <f ca="1">('TUSD BE'!$AM$30+'TUSD BF'!$AM$30+'TUSD CVA'!$AM$30)*1</f>
        <v>285.64503648725872</v>
      </c>
      <c r="AA747" s="6">
        <f>('TE BE'!$AA$13+'TE BF'!$AA$13+'TE CVA'!$AA$13)*1</f>
        <v>250.79367785689016</v>
      </c>
      <c r="AB747" s="6">
        <f>$K$747*$V$747</f>
        <v>0</v>
      </c>
      <c r="AC747" s="6">
        <f>$M$747*$W$747</f>
        <v>4680407.5492500002</v>
      </c>
      <c r="AD747" s="6">
        <f>$O$747*$X$747</f>
        <v>3789041.7440700005</v>
      </c>
      <c r="AE747" s="6">
        <f>$K$747*$Y$747</f>
        <v>0</v>
      </c>
      <c r="AF747" s="6">
        <f ca="1">$M$747*$Z$747</f>
        <v>4678688.3120936397</v>
      </c>
      <c r="AG747" s="6">
        <f>$O$747*$AA$747</f>
        <v>4107844.7004219117</v>
      </c>
    </row>
    <row r="748" spans="1:33" ht="11.25" customHeight="1" x14ac:dyDescent="0.25">
      <c r="A748" s="4" t="s">
        <v>27</v>
      </c>
      <c r="B748" s="4" t="s">
        <v>22</v>
      </c>
      <c r="C748" s="4" t="s">
        <v>23</v>
      </c>
      <c r="D748" s="4" t="s">
        <v>24</v>
      </c>
      <c r="E748" s="4" t="s">
        <v>24</v>
      </c>
      <c r="F748" s="4" t="s">
        <v>25</v>
      </c>
      <c r="G748" s="4" t="s">
        <v>25</v>
      </c>
      <c r="H748" s="4" t="s">
        <v>25</v>
      </c>
      <c r="I748" s="5">
        <v>44409</v>
      </c>
      <c r="J748" s="6">
        <v>0</v>
      </c>
      <c r="K748" s="6">
        <v>0</v>
      </c>
      <c r="L748" s="6">
        <v>-24.356000000000002</v>
      </c>
      <c r="M748" s="6">
        <v>-24.356000000000002</v>
      </c>
      <c r="N748" s="6">
        <v>-24.356000000000002</v>
      </c>
      <c r="O748" s="6">
        <v>-24.356000000000002</v>
      </c>
      <c r="P748" s="6">
        <v>-10</v>
      </c>
      <c r="Q748" s="4" t="s">
        <v>26</v>
      </c>
      <c r="R748" s="4">
        <v>0</v>
      </c>
      <c r="S748" s="6">
        <v>0</v>
      </c>
      <c r="T748" s="6">
        <v>17</v>
      </c>
      <c r="U748" s="6">
        <v>73</v>
      </c>
      <c r="V748" s="6">
        <f>IF(ISERROR(VLOOKUP($S$748,'TAR FIN'!$A$1:$O$100,15,0)),0,VLOOKUP($S$748,'TAR FIN'!$A$1:$O$100,15,0))</f>
        <v>0</v>
      </c>
      <c r="W748" s="6">
        <f>IF(ISERROR(VLOOKUP($T$748,'TAR FIN'!$A$1:$O$100,15,0)),0,VLOOKUP($T$748,'TAR FIN'!$A$1:$O$100,15,0))</f>
        <v>285.75</v>
      </c>
      <c r="X748" s="6">
        <f>IF(ISERROR(VLOOKUP($U$748,'TAR FIN'!$A$1:$O$100,15,0)),0,VLOOKUP($U$748,'TAR FIN'!$A$1:$O$100,15,0))</f>
        <v>231.33</v>
      </c>
      <c r="Y748" s="6"/>
      <c r="Z748" s="6">
        <f ca="1">('TUSD BE'!$AM$30+'TUSD BF'!$AM$30+'TUSD CVA'!$AM$30)*1</f>
        <v>285.64503648725872</v>
      </c>
      <c r="AA748" s="6">
        <f>('TE BE'!$AA$13+'TE BF'!$AA$13+'TE CVA'!$AA$13)*1</f>
        <v>250.79367785689016</v>
      </c>
      <c r="AB748" s="6">
        <f>$K$748*$V$748</f>
        <v>0</v>
      </c>
      <c r="AC748" s="6">
        <f>$M$748*$W$748</f>
        <v>-6959.7270000000008</v>
      </c>
      <c r="AD748" s="6">
        <f>$O$748*$X$748</f>
        <v>-5634.2734800000007</v>
      </c>
      <c r="AE748" s="6">
        <f>$K$748*$Y$748</f>
        <v>0</v>
      </c>
      <c r="AF748" s="6">
        <f ca="1">$M$748*$Z$748</f>
        <v>-6957.1705086836737</v>
      </c>
      <c r="AG748" s="6">
        <f>$O$748*$AA$748</f>
        <v>-6108.3308178824173</v>
      </c>
    </row>
    <row r="749" spans="1:33" ht="11.25" customHeight="1" x14ac:dyDescent="0.25">
      <c r="A749" s="4" t="s">
        <v>28</v>
      </c>
      <c r="B749" s="4" t="s">
        <v>22</v>
      </c>
      <c r="C749" s="4" t="s">
        <v>23</v>
      </c>
      <c r="D749" s="4" t="s">
        <v>24</v>
      </c>
      <c r="E749" s="4" t="s">
        <v>24</v>
      </c>
      <c r="F749" s="4" t="s">
        <v>25</v>
      </c>
      <c r="G749" s="4" t="s">
        <v>25</v>
      </c>
      <c r="H749" s="4" t="s">
        <v>25</v>
      </c>
      <c r="I749" s="5">
        <v>44409</v>
      </c>
      <c r="J749" s="6">
        <v>0</v>
      </c>
      <c r="K749" s="6">
        <v>0</v>
      </c>
      <c r="L749" s="6">
        <v>186.37100000000001</v>
      </c>
      <c r="M749" s="6">
        <v>186.37100000000001</v>
      </c>
      <c r="N749" s="6">
        <v>186.37100000000001</v>
      </c>
      <c r="O749" s="6">
        <v>186.37100000000001</v>
      </c>
      <c r="P749" s="6">
        <v>1268</v>
      </c>
      <c r="Q749" s="4" t="s">
        <v>26</v>
      </c>
      <c r="R749" s="4">
        <v>0</v>
      </c>
      <c r="S749" s="6">
        <v>0</v>
      </c>
      <c r="T749" s="6">
        <v>17</v>
      </c>
      <c r="U749" s="6">
        <v>73</v>
      </c>
      <c r="V749" s="6">
        <f>IF(ISERROR(VLOOKUP($S$749,'TAR FIN'!$A$1:$O$100,15,0)),0,VLOOKUP($S$749,'TAR FIN'!$A$1:$O$100,15,0))</f>
        <v>0</v>
      </c>
      <c r="W749" s="6">
        <f>IF(ISERROR(VLOOKUP($T$749,'TAR FIN'!$A$1:$O$100,15,0)),0,VLOOKUP($T$749,'TAR FIN'!$A$1:$O$100,15,0))</f>
        <v>285.75</v>
      </c>
      <c r="X749" s="6">
        <f>IF(ISERROR(VLOOKUP($U$749,'TAR FIN'!$A$1:$O$100,15,0)),0,VLOOKUP($U$749,'TAR FIN'!$A$1:$O$100,15,0))</f>
        <v>231.33</v>
      </c>
      <c r="Y749" s="6"/>
      <c r="Z749" s="6">
        <f ca="1">('TUSD BE'!$AM$30+'TUSD BF'!$AM$30+'TUSD CVA'!$AM$30)*1</f>
        <v>285.64503648725872</v>
      </c>
      <c r="AA749" s="6">
        <f>('TE BE'!$AA$13+'TE BF'!$AA$13+'TE CVA'!$AA$13)*1</f>
        <v>250.79367785689016</v>
      </c>
      <c r="AB749" s="6">
        <f>$K$749*$V$749</f>
        <v>0</v>
      </c>
      <c r="AC749" s="6">
        <f>$M$749*$W$749</f>
        <v>53255.513250000004</v>
      </c>
      <c r="AD749" s="6">
        <f>$O$749*$X$749</f>
        <v>43113.203430000001</v>
      </c>
      <c r="AE749" s="6">
        <f>$K$749*$Y$749</f>
        <v>0</v>
      </c>
      <c r="AF749" s="6">
        <f ca="1">$M$749*$Z$749</f>
        <v>53235.9510951669</v>
      </c>
      <c r="AG749" s="6">
        <f>$O$749*$AA$749</f>
        <v>46740.668535866476</v>
      </c>
    </row>
    <row r="750" spans="1:33" ht="11.25" customHeight="1" x14ac:dyDescent="0.25">
      <c r="A750" s="4" t="s">
        <v>21</v>
      </c>
      <c r="B750" s="4" t="s">
        <v>22</v>
      </c>
      <c r="C750" s="4" t="s">
        <v>23</v>
      </c>
      <c r="D750" s="4" t="s">
        <v>24</v>
      </c>
      <c r="E750" s="4" t="s">
        <v>24</v>
      </c>
      <c r="F750" s="4" t="s">
        <v>25</v>
      </c>
      <c r="G750" s="4" t="s">
        <v>25</v>
      </c>
      <c r="H750" s="4" t="s">
        <v>25</v>
      </c>
      <c r="I750" s="5">
        <v>44440</v>
      </c>
      <c r="J750" s="6">
        <v>0</v>
      </c>
      <c r="K750" s="6">
        <v>0</v>
      </c>
      <c r="L750" s="6">
        <v>16643.237000000001</v>
      </c>
      <c r="M750" s="6">
        <v>16643.237000000001</v>
      </c>
      <c r="N750" s="6">
        <v>16643.237000000001</v>
      </c>
      <c r="O750" s="6">
        <v>16643.237000000001</v>
      </c>
      <c r="P750" s="6">
        <v>137086</v>
      </c>
      <c r="Q750" s="4" t="s">
        <v>26</v>
      </c>
      <c r="R750" s="4">
        <v>0</v>
      </c>
      <c r="S750" s="6">
        <v>0</v>
      </c>
      <c r="T750" s="6">
        <v>17</v>
      </c>
      <c r="U750" s="6">
        <v>73</v>
      </c>
      <c r="V750" s="6">
        <f>IF(ISERROR(VLOOKUP($S$750,'TAR FIN'!$A$1:$O$100,15,0)),0,VLOOKUP($S$750,'TAR FIN'!$A$1:$O$100,15,0))</f>
        <v>0</v>
      </c>
      <c r="W750" s="6">
        <f>IF(ISERROR(VLOOKUP($T$750,'TAR FIN'!$A$1:$O$100,15,0)),0,VLOOKUP($T$750,'TAR FIN'!$A$1:$O$100,15,0))</f>
        <v>285.75</v>
      </c>
      <c r="X750" s="6">
        <f>IF(ISERROR(VLOOKUP($U$750,'TAR FIN'!$A$1:$O$100,15,0)),0,VLOOKUP($U$750,'TAR FIN'!$A$1:$O$100,15,0))</f>
        <v>231.33</v>
      </c>
      <c r="Y750" s="6"/>
      <c r="Z750" s="6">
        <f ca="1">('TUSD BE'!$AM$30+'TUSD BF'!$AM$30+'TUSD CVA'!$AM$30)*1</f>
        <v>285.64503648725872</v>
      </c>
      <c r="AA750" s="6">
        <f>('TE BE'!$AA$13+'TE BF'!$AA$13+'TE CVA'!$AA$13)*1</f>
        <v>250.79367785689016</v>
      </c>
      <c r="AB750" s="6">
        <f>$K$750*$V$750</f>
        <v>0</v>
      </c>
      <c r="AC750" s="6">
        <f>$M$750*$W$750</f>
        <v>4755804.9727500007</v>
      </c>
      <c r="AD750" s="6">
        <f>$O$750*$X$750</f>
        <v>3850080.0152100003</v>
      </c>
      <c r="AE750" s="6">
        <f>$K$750*$Y$750</f>
        <v>0</v>
      </c>
      <c r="AF750" s="6">
        <f ca="1">$M$750*$Z$750</f>
        <v>4754058.0401310949</v>
      </c>
      <c r="AG750" s="6">
        <f>$O$750*$AA$750</f>
        <v>4174018.618673875</v>
      </c>
    </row>
    <row r="751" spans="1:33" ht="11.25" customHeight="1" x14ac:dyDescent="0.25">
      <c r="A751" s="4" t="s">
        <v>27</v>
      </c>
      <c r="B751" s="4" t="s">
        <v>22</v>
      </c>
      <c r="C751" s="4" t="s">
        <v>23</v>
      </c>
      <c r="D751" s="4" t="s">
        <v>24</v>
      </c>
      <c r="E751" s="4" t="s">
        <v>24</v>
      </c>
      <c r="F751" s="4" t="s">
        <v>25</v>
      </c>
      <c r="G751" s="4" t="s">
        <v>25</v>
      </c>
      <c r="H751" s="4" t="s">
        <v>25</v>
      </c>
      <c r="I751" s="5">
        <v>44440</v>
      </c>
      <c r="J751" s="6">
        <v>0</v>
      </c>
      <c r="K751" s="6">
        <v>0</v>
      </c>
      <c r="L751" s="6">
        <v>-2.968</v>
      </c>
      <c r="M751" s="6">
        <v>-2.968</v>
      </c>
      <c r="N751" s="6">
        <v>-2.968</v>
      </c>
      <c r="O751" s="6">
        <v>-2.968</v>
      </c>
      <c r="P751" s="6">
        <v>-4</v>
      </c>
      <c r="Q751" s="4" t="s">
        <v>26</v>
      </c>
      <c r="R751" s="4">
        <v>0</v>
      </c>
      <c r="S751" s="6">
        <v>0</v>
      </c>
      <c r="T751" s="6">
        <v>17</v>
      </c>
      <c r="U751" s="6">
        <v>73</v>
      </c>
      <c r="V751" s="6">
        <f>IF(ISERROR(VLOOKUP($S$751,'TAR FIN'!$A$1:$O$100,15,0)),0,VLOOKUP($S$751,'TAR FIN'!$A$1:$O$100,15,0))</f>
        <v>0</v>
      </c>
      <c r="W751" s="6">
        <f>IF(ISERROR(VLOOKUP($T$751,'TAR FIN'!$A$1:$O$100,15,0)),0,VLOOKUP($T$751,'TAR FIN'!$A$1:$O$100,15,0))</f>
        <v>285.75</v>
      </c>
      <c r="X751" s="6">
        <f>IF(ISERROR(VLOOKUP($U$751,'TAR FIN'!$A$1:$O$100,15,0)),0,VLOOKUP($U$751,'TAR FIN'!$A$1:$O$100,15,0))</f>
        <v>231.33</v>
      </c>
      <c r="Y751" s="6"/>
      <c r="Z751" s="6">
        <f ca="1">('TUSD BE'!$AM$30+'TUSD BF'!$AM$30+'TUSD CVA'!$AM$30)*1</f>
        <v>285.64503648725872</v>
      </c>
      <c r="AA751" s="6">
        <f>('TE BE'!$AA$13+'TE BF'!$AA$13+'TE CVA'!$AA$13)*1</f>
        <v>250.79367785689016</v>
      </c>
      <c r="AB751" s="6">
        <f>$K$751*$V$751</f>
        <v>0</v>
      </c>
      <c r="AC751" s="6">
        <f>$M$751*$W$751</f>
        <v>-848.10599999999999</v>
      </c>
      <c r="AD751" s="6">
        <f>$O$751*$X$751</f>
        <v>-686.58744000000002</v>
      </c>
      <c r="AE751" s="6">
        <f>$K$751*$Y$751</f>
        <v>0</v>
      </c>
      <c r="AF751" s="6">
        <f ca="1">$M$751*$Z$751</f>
        <v>-847.79446829418384</v>
      </c>
      <c r="AG751" s="6">
        <f>$O$751*$AA$751</f>
        <v>-744.35563587925003</v>
      </c>
    </row>
    <row r="752" spans="1:33" ht="11.25" customHeight="1" x14ac:dyDescent="0.25">
      <c r="A752" s="4" t="s">
        <v>28</v>
      </c>
      <c r="B752" s="4" t="s">
        <v>22</v>
      </c>
      <c r="C752" s="4" t="s">
        <v>23</v>
      </c>
      <c r="D752" s="4" t="s">
        <v>24</v>
      </c>
      <c r="E752" s="4" t="s">
        <v>24</v>
      </c>
      <c r="F752" s="4" t="s">
        <v>25</v>
      </c>
      <c r="G752" s="4" t="s">
        <v>25</v>
      </c>
      <c r="H752" s="4" t="s">
        <v>25</v>
      </c>
      <c r="I752" s="5">
        <v>44440</v>
      </c>
      <c r="J752" s="6">
        <v>0</v>
      </c>
      <c r="K752" s="6">
        <v>0</v>
      </c>
      <c r="L752" s="6">
        <v>181.53800000000001</v>
      </c>
      <c r="M752" s="6">
        <v>181.53800000000001</v>
      </c>
      <c r="N752" s="6">
        <v>181.53800000000001</v>
      </c>
      <c r="O752" s="6">
        <v>181.53800000000001</v>
      </c>
      <c r="P752" s="6">
        <v>1350</v>
      </c>
      <c r="Q752" s="4" t="s">
        <v>26</v>
      </c>
      <c r="R752" s="4">
        <v>0</v>
      </c>
      <c r="S752" s="6">
        <v>0</v>
      </c>
      <c r="T752" s="6">
        <v>17</v>
      </c>
      <c r="U752" s="6">
        <v>73</v>
      </c>
      <c r="V752" s="6">
        <f>IF(ISERROR(VLOOKUP($S$752,'TAR FIN'!$A$1:$O$100,15,0)),0,VLOOKUP($S$752,'TAR FIN'!$A$1:$O$100,15,0))</f>
        <v>0</v>
      </c>
      <c r="W752" s="6">
        <f>IF(ISERROR(VLOOKUP($T$752,'TAR FIN'!$A$1:$O$100,15,0)),0,VLOOKUP($T$752,'TAR FIN'!$A$1:$O$100,15,0))</f>
        <v>285.75</v>
      </c>
      <c r="X752" s="6">
        <f>IF(ISERROR(VLOOKUP($U$752,'TAR FIN'!$A$1:$O$100,15,0)),0,VLOOKUP($U$752,'TAR FIN'!$A$1:$O$100,15,0))</f>
        <v>231.33</v>
      </c>
      <c r="Y752" s="6"/>
      <c r="Z752" s="6">
        <f ca="1">('TUSD BE'!$AM$30+'TUSD BF'!$AM$30+'TUSD CVA'!$AM$30)*1</f>
        <v>285.64503648725872</v>
      </c>
      <c r="AA752" s="6">
        <f>('TE BE'!$AA$13+'TE BF'!$AA$13+'TE CVA'!$AA$13)*1</f>
        <v>250.79367785689016</v>
      </c>
      <c r="AB752" s="6">
        <f>$K$752*$V$752</f>
        <v>0</v>
      </c>
      <c r="AC752" s="6">
        <f>$M$752*$W$752</f>
        <v>51874.483500000002</v>
      </c>
      <c r="AD752" s="6">
        <f>$O$752*$X$752</f>
        <v>41995.185540000006</v>
      </c>
      <c r="AE752" s="6">
        <f>$K$752*$Y$752</f>
        <v>0</v>
      </c>
      <c r="AF752" s="6">
        <f ca="1">$M$752*$Z$752</f>
        <v>51855.428633823976</v>
      </c>
      <c r="AG752" s="6">
        <f>$O$752*$AA$752</f>
        <v>45528.582690784126</v>
      </c>
    </row>
    <row r="753" spans="1:33" ht="11.25" customHeight="1" x14ac:dyDescent="0.25">
      <c r="A753" s="4" t="s">
        <v>21</v>
      </c>
      <c r="B753" s="4" t="s">
        <v>22</v>
      </c>
      <c r="C753" s="4" t="s">
        <v>23</v>
      </c>
      <c r="D753" s="4" t="s">
        <v>24</v>
      </c>
      <c r="E753" s="4" t="s">
        <v>24</v>
      </c>
      <c r="F753" s="4" t="s">
        <v>25</v>
      </c>
      <c r="G753" s="4" t="s">
        <v>25</v>
      </c>
      <c r="H753" s="4" t="s">
        <v>25</v>
      </c>
      <c r="I753" s="5">
        <v>44470</v>
      </c>
      <c r="J753" s="6">
        <v>0</v>
      </c>
      <c r="K753" s="6">
        <v>0</v>
      </c>
      <c r="L753" s="6">
        <v>17437.793000000001</v>
      </c>
      <c r="M753" s="6">
        <v>17437.793000000001</v>
      </c>
      <c r="N753" s="6">
        <v>17437.793000000001</v>
      </c>
      <c r="O753" s="6">
        <v>17437.793000000001</v>
      </c>
      <c r="P753" s="6">
        <v>136484</v>
      </c>
      <c r="Q753" s="4" t="s">
        <v>26</v>
      </c>
      <c r="R753" s="4">
        <v>0</v>
      </c>
      <c r="S753" s="6">
        <v>0</v>
      </c>
      <c r="T753" s="6">
        <v>17</v>
      </c>
      <c r="U753" s="6">
        <v>73</v>
      </c>
      <c r="V753" s="6">
        <f>IF(ISERROR(VLOOKUP($S$753,'TAR FIN'!$A$1:$O$100,15,0)),0,VLOOKUP($S$753,'TAR FIN'!$A$1:$O$100,15,0))</f>
        <v>0</v>
      </c>
      <c r="W753" s="6">
        <f>IF(ISERROR(VLOOKUP($T$753,'TAR FIN'!$A$1:$O$100,15,0)),0,VLOOKUP($T$753,'TAR FIN'!$A$1:$O$100,15,0))</f>
        <v>285.75</v>
      </c>
      <c r="X753" s="6">
        <f>IF(ISERROR(VLOOKUP($U$753,'TAR FIN'!$A$1:$O$100,15,0)),0,VLOOKUP($U$753,'TAR FIN'!$A$1:$O$100,15,0))</f>
        <v>231.33</v>
      </c>
      <c r="Y753" s="6"/>
      <c r="Z753" s="6">
        <f ca="1">('TUSD BE'!$AM$30+'TUSD BF'!$AM$30+'TUSD CVA'!$AM$30)*1</f>
        <v>285.64503648725872</v>
      </c>
      <c r="AA753" s="6">
        <f>('TE BE'!$AA$13+'TE BF'!$AA$13+'TE CVA'!$AA$13)*1</f>
        <v>250.79367785689016</v>
      </c>
      <c r="AB753" s="6">
        <f>$K$753*$V$753</f>
        <v>0</v>
      </c>
      <c r="AC753" s="6">
        <f>$M$753*$W$753</f>
        <v>4982849.3497500001</v>
      </c>
      <c r="AD753" s="6">
        <f>$O$753*$X$753</f>
        <v>4033884.6546900007</v>
      </c>
      <c r="AE753" s="6">
        <f>$K$753*$Y$753</f>
        <v>0</v>
      </c>
      <c r="AF753" s="6">
        <f ca="1">$M$753*$Z$753</f>
        <v>4981019.017742265</v>
      </c>
      <c r="AG753" s="6">
        <f>$O$753*$AA$753</f>
        <v>4373288.240177135</v>
      </c>
    </row>
    <row r="754" spans="1:33" ht="11.25" customHeight="1" x14ac:dyDescent="0.25">
      <c r="A754" s="4" t="s">
        <v>27</v>
      </c>
      <c r="B754" s="4" t="s">
        <v>22</v>
      </c>
      <c r="C754" s="4" t="s">
        <v>23</v>
      </c>
      <c r="D754" s="4" t="s">
        <v>24</v>
      </c>
      <c r="E754" s="4" t="s">
        <v>24</v>
      </c>
      <c r="F754" s="4" t="s">
        <v>25</v>
      </c>
      <c r="G754" s="4" t="s">
        <v>25</v>
      </c>
      <c r="H754" s="4" t="s">
        <v>25</v>
      </c>
      <c r="I754" s="5">
        <v>44470</v>
      </c>
      <c r="J754" s="6">
        <v>0</v>
      </c>
      <c r="K754" s="6">
        <v>0</v>
      </c>
      <c r="L754" s="6">
        <v>-4.5659999999999998</v>
      </c>
      <c r="M754" s="6">
        <v>-4.5659999999999998</v>
      </c>
      <c r="N754" s="6">
        <v>-4.5659999999999998</v>
      </c>
      <c r="O754" s="6">
        <v>-4.5659999999999998</v>
      </c>
      <c r="P754" s="6">
        <v>-9</v>
      </c>
      <c r="Q754" s="4" t="s">
        <v>26</v>
      </c>
      <c r="R754" s="4">
        <v>0</v>
      </c>
      <c r="S754" s="6">
        <v>0</v>
      </c>
      <c r="T754" s="6">
        <v>17</v>
      </c>
      <c r="U754" s="6">
        <v>73</v>
      </c>
      <c r="V754" s="6">
        <f>IF(ISERROR(VLOOKUP($S$754,'TAR FIN'!$A$1:$O$100,15,0)),0,VLOOKUP($S$754,'TAR FIN'!$A$1:$O$100,15,0))</f>
        <v>0</v>
      </c>
      <c r="W754" s="6">
        <f>IF(ISERROR(VLOOKUP($T$754,'TAR FIN'!$A$1:$O$100,15,0)),0,VLOOKUP($T$754,'TAR FIN'!$A$1:$O$100,15,0))</f>
        <v>285.75</v>
      </c>
      <c r="X754" s="6">
        <f>IF(ISERROR(VLOOKUP($U$754,'TAR FIN'!$A$1:$O$100,15,0)),0,VLOOKUP($U$754,'TAR FIN'!$A$1:$O$100,15,0))</f>
        <v>231.33</v>
      </c>
      <c r="Y754" s="6"/>
      <c r="Z754" s="6">
        <f ca="1">('TUSD BE'!$AM$30+'TUSD BF'!$AM$30+'TUSD CVA'!$AM$30)*1</f>
        <v>285.64503648725872</v>
      </c>
      <c r="AA754" s="6">
        <f>('TE BE'!$AA$13+'TE BF'!$AA$13+'TE CVA'!$AA$13)*1</f>
        <v>250.79367785689016</v>
      </c>
      <c r="AB754" s="6">
        <f>$K$754*$V$754</f>
        <v>0</v>
      </c>
      <c r="AC754" s="6">
        <f>$M$754*$W$754</f>
        <v>-1304.7345</v>
      </c>
      <c r="AD754" s="6">
        <f>$O$754*$X$754</f>
        <v>-1056.25278</v>
      </c>
      <c r="AE754" s="6">
        <f>$K$754*$Y$754</f>
        <v>0</v>
      </c>
      <c r="AF754" s="6">
        <f ca="1">$M$754*$Z$754</f>
        <v>-1304.2552366008233</v>
      </c>
      <c r="AG754" s="6">
        <f>$O$754*$AA$754</f>
        <v>-1145.1239330945605</v>
      </c>
    </row>
    <row r="755" spans="1:33" ht="11.25" customHeight="1" x14ac:dyDescent="0.25">
      <c r="A755" s="4" t="s">
        <v>28</v>
      </c>
      <c r="B755" s="4" t="s">
        <v>22</v>
      </c>
      <c r="C755" s="4" t="s">
        <v>23</v>
      </c>
      <c r="D755" s="4" t="s">
        <v>24</v>
      </c>
      <c r="E755" s="4" t="s">
        <v>24</v>
      </c>
      <c r="F755" s="4" t="s">
        <v>25</v>
      </c>
      <c r="G755" s="4" t="s">
        <v>25</v>
      </c>
      <c r="H755" s="4" t="s">
        <v>25</v>
      </c>
      <c r="I755" s="5">
        <v>44470</v>
      </c>
      <c r="J755" s="6">
        <v>0</v>
      </c>
      <c r="K755" s="6">
        <v>0</v>
      </c>
      <c r="L755" s="6">
        <v>208.422</v>
      </c>
      <c r="M755" s="6">
        <v>208.422</v>
      </c>
      <c r="N755" s="6">
        <v>208.422</v>
      </c>
      <c r="O755" s="6">
        <v>208.422</v>
      </c>
      <c r="P755" s="6">
        <v>1443</v>
      </c>
      <c r="Q755" s="4" t="s">
        <v>26</v>
      </c>
      <c r="R755" s="4">
        <v>0</v>
      </c>
      <c r="S755" s="6">
        <v>0</v>
      </c>
      <c r="T755" s="6">
        <v>17</v>
      </c>
      <c r="U755" s="6">
        <v>73</v>
      </c>
      <c r="V755" s="6">
        <f>IF(ISERROR(VLOOKUP($S$755,'TAR FIN'!$A$1:$O$100,15,0)),0,VLOOKUP($S$755,'TAR FIN'!$A$1:$O$100,15,0))</f>
        <v>0</v>
      </c>
      <c r="W755" s="6">
        <f>IF(ISERROR(VLOOKUP($T$755,'TAR FIN'!$A$1:$O$100,15,0)),0,VLOOKUP($T$755,'TAR FIN'!$A$1:$O$100,15,0))</f>
        <v>285.75</v>
      </c>
      <c r="X755" s="6">
        <f>IF(ISERROR(VLOOKUP($U$755,'TAR FIN'!$A$1:$O$100,15,0)),0,VLOOKUP($U$755,'TAR FIN'!$A$1:$O$100,15,0))</f>
        <v>231.33</v>
      </c>
      <c r="Y755" s="6"/>
      <c r="Z755" s="6">
        <f ca="1">('TUSD BE'!$AM$30+'TUSD BF'!$AM$30+'TUSD CVA'!$AM$30)*1</f>
        <v>285.64503648725872</v>
      </c>
      <c r="AA755" s="6">
        <f>('TE BE'!$AA$13+'TE BF'!$AA$13+'TE CVA'!$AA$13)*1</f>
        <v>250.79367785689016</v>
      </c>
      <c r="AB755" s="6">
        <f>$K$755*$V$755</f>
        <v>0</v>
      </c>
      <c r="AC755" s="6">
        <f>$M$755*$W$755</f>
        <v>59556.586499999998</v>
      </c>
      <c r="AD755" s="6">
        <f>$O$755*$X$755</f>
        <v>48214.261259999999</v>
      </c>
      <c r="AE755" s="6">
        <f>$K$755*$Y$755</f>
        <v>0</v>
      </c>
      <c r="AF755" s="6">
        <f ca="1">$M$755*$Z$755</f>
        <v>59534.709794747439</v>
      </c>
      <c r="AG755" s="6">
        <f>$O$755*$AA$755</f>
        <v>52270.919926288756</v>
      </c>
    </row>
    <row r="756" spans="1:33" ht="11.25" customHeight="1" x14ac:dyDescent="0.25">
      <c r="A756" s="4" t="s">
        <v>28</v>
      </c>
      <c r="B756" s="4" t="s">
        <v>22</v>
      </c>
      <c r="C756" s="4" t="s">
        <v>23</v>
      </c>
      <c r="D756" s="4" t="s">
        <v>24</v>
      </c>
      <c r="E756" s="4" t="s">
        <v>24</v>
      </c>
      <c r="F756" s="4" t="s">
        <v>25</v>
      </c>
      <c r="G756" s="4" t="s">
        <v>25</v>
      </c>
      <c r="H756" s="4" t="s">
        <v>25</v>
      </c>
      <c r="I756" s="5">
        <v>44470</v>
      </c>
      <c r="J756" s="6">
        <v>0</v>
      </c>
      <c r="K756" s="6">
        <v>0</v>
      </c>
      <c r="L756" s="6">
        <v>-0.23699999999999999</v>
      </c>
      <c r="M756" s="6">
        <v>-0.23699999999999999</v>
      </c>
      <c r="N756" s="6">
        <v>-0.23699999999999999</v>
      </c>
      <c r="O756" s="6">
        <v>-0.23699999999999999</v>
      </c>
      <c r="P756" s="6">
        <v>0</v>
      </c>
      <c r="Q756" s="4" t="s">
        <v>26</v>
      </c>
      <c r="R756" s="4">
        <v>0</v>
      </c>
      <c r="S756" s="6">
        <v>0</v>
      </c>
      <c r="T756" s="6">
        <v>17</v>
      </c>
      <c r="U756" s="6">
        <v>73</v>
      </c>
      <c r="V756" s="6">
        <f>IF(ISERROR(VLOOKUP($S$756,'TAR FIN'!$A$1:$O$100,15,0)),0,VLOOKUP($S$756,'TAR FIN'!$A$1:$O$100,15,0))</f>
        <v>0</v>
      </c>
      <c r="W756" s="6">
        <f>IF(ISERROR(VLOOKUP($T$756,'TAR FIN'!$A$1:$O$100,15,0)),0,VLOOKUP($T$756,'TAR FIN'!$A$1:$O$100,15,0))</f>
        <v>285.75</v>
      </c>
      <c r="X756" s="6">
        <f>IF(ISERROR(VLOOKUP($U$756,'TAR FIN'!$A$1:$O$100,15,0)),0,VLOOKUP($U$756,'TAR FIN'!$A$1:$O$100,15,0))</f>
        <v>231.33</v>
      </c>
      <c r="Y756" s="6"/>
      <c r="Z756" s="6">
        <f ca="1">('TUSD BE'!$AM$30+'TUSD BF'!$AM$30+'TUSD CVA'!$AM$30)*1</f>
        <v>285.64503648725872</v>
      </c>
      <c r="AA756" s="6">
        <f>('TE BE'!$AA$13+'TE BF'!$AA$13+'TE CVA'!$AA$13)*1</f>
        <v>250.79367785689016</v>
      </c>
      <c r="AB756" s="6">
        <f>$K$756*$V$756</f>
        <v>0</v>
      </c>
      <c r="AC756" s="6">
        <f>$M$756*$W$756</f>
        <v>-67.722749999999991</v>
      </c>
      <c r="AD756" s="6">
        <f>$O$756*$X$756</f>
        <v>-54.825209999999998</v>
      </c>
      <c r="AE756" s="6">
        <f>$K$756*$Y$756</f>
        <v>0</v>
      </c>
      <c r="AF756" s="6">
        <f ca="1">$M$756*$Z$756</f>
        <v>-67.697873647480307</v>
      </c>
      <c r="AG756" s="6">
        <f>$O$756*$AA$756</f>
        <v>-59.438101652082963</v>
      </c>
    </row>
    <row r="757" spans="1:33" ht="11.25" customHeight="1" x14ac:dyDescent="0.25">
      <c r="A757" s="4" t="s">
        <v>21</v>
      </c>
      <c r="B757" s="4" t="s">
        <v>22</v>
      </c>
      <c r="C757" s="4" t="s">
        <v>23</v>
      </c>
      <c r="D757" s="4" t="s">
        <v>24</v>
      </c>
      <c r="E757" s="4" t="s">
        <v>24</v>
      </c>
      <c r="F757" s="4" t="s">
        <v>25</v>
      </c>
      <c r="G757" s="4" t="s">
        <v>25</v>
      </c>
      <c r="H757" s="4" t="s">
        <v>25</v>
      </c>
      <c r="I757" s="5">
        <v>44501</v>
      </c>
      <c r="J757" s="6">
        <v>0</v>
      </c>
      <c r="K757" s="6">
        <v>0</v>
      </c>
      <c r="L757" s="6">
        <v>17640.810000000001</v>
      </c>
      <c r="M757" s="6">
        <v>17640.810000000001</v>
      </c>
      <c r="N757" s="6">
        <v>17640.810000000001</v>
      </c>
      <c r="O757" s="6">
        <v>17640.810000000001</v>
      </c>
      <c r="P757" s="6">
        <v>136472</v>
      </c>
      <c r="Q757" s="4" t="s">
        <v>26</v>
      </c>
      <c r="R757" s="4">
        <v>0</v>
      </c>
      <c r="S757" s="6">
        <v>0</v>
      </c>
      <c r="T757" s="6">
        <v>17</v>
      </c>
      <c r="U757" s="6">
        <v>73</v>
      </c>
      <c r="V757" s="6">
        <f>IF(ISERROR(VLOOKUP($S$757,'TAR FIN'!$A$1:$O$100,15,0)),0,VLOOKUP($S$757,'TAR FIN'!$A$1:$O$100,15,0))</f>
        <v>0</v>
      </c>
      <c r="W757" s="6">
        <f>IF(ISERROR(VLOOKUP($T$757,'TAR FIN'!$A$1:$O$100,15,0)),0,VLOOKUP($T$757,'TAR FIN'!$A$1:$O$100,15,0))</f>
        <v>285.75</v>
      </c>
      <c r="X757" s="6">
        <f>IF(ISERROR(VLOOKUP($U$757,'TAR FIN'!$A$1:$O$100,15,0)),0,VLOOKUP($U$757,'TAR FIN'!$A$1:$O$100,15,0))</f>
        <v>231.33</v>
      </c>
      <c r="Y757" s="6"/>
      <c r="Z757" s="6">
        <f ca="1">('TUSD BE'!$AM$30+'TUSD BF'!$AM$30+'TUSD CVA'!$AM$30)*1</f>
        <v>285.64503648725872</v>
      </c>
      <c r="AA757" s="6">
        <f>('TE BE'!$AA$13+'TE BF'!$AA$13+'TE CVA'!$AA$13)*1</f>
        <v>250.79367785689016</v>
      </c>
      <c r="AB757" s="6">
        <f>$K$757*$V$757</f>
        <v>0</v>
      </c>
      <c r="AC757" s="6">
        <f>$M$757*$W$757</f>
        <v>5040861.4575000005</v>
      </c>
      <c r="AD757" s="6">
        <f>$O$757*$X$757</f>
        <v>4080848.5773000005</v>
      </c>
      <c r="AE757" s="6">
        <f>$K$757*$Y$757</f>
        <v>0</v>
      </c>
      <c r="AF757" s="6">
        <f ca="1">$M$757*$Z$757</f>
        <v>5039009.8161147991</v>
      </c>
      <c r="AG757" s="6">
        <f>$O$757*$AA$757</f>
        <v>4424203.6202746071</v>
      </c>
    </row>
    <row r="758" spans="1:33" ht="11.25" customHeight="1" x14ac:dyDescent="0.25">
      <c r="A758" s="4" t="s">
        <v>27</v>
      </c>
      <c r="B758" s="4" t="s">
        <v>22</v>
      </c>
      <c r="C758" s="4" t="s">
        <v>23</v>
      </c>
      <c r="D758" s="4" t="s">
        <v>24</v>
      </c>
      <c r="E758" s="4" t="s">
        <v>24</v>
      </c>
      <c r="F758" s="4" t="s">
        <v>25</v>
      </c>
      <c r="G758" s="4" t="s">
        <v>25</v>
      </c>
      <c r="H758" s="4" t="s">
        <v>25</v>
      </c>
      <c r="I758" s="5">
        <v>44501</v>
      </c>
      <c r="J758" s="6">
        <v>0</v>
      </c>
      <c r="K758" s="6">
        <v>0</v>
      </c>
      <c r="L758" s="6">
        <v>-8.3629999999999995</v>
      </c>
      <c r="M758" s="6">
        <v>-8.3629999999999995</v>
      </c>
      <c r="N758" s="6">
        <v>-8.3629999999999995</v>
      </c>
      <c r="O758" s="6">
        <v>-8.3629999999999995</v>
      </c>
      <c r="P758" s="6">
        <v>-8</v>
      </c>
      <c r="Q758" s="4" t="s">
        <v>26</v>
      </c>
      <c r="R758" s="4">
        <v>0</v>
      </c>
      <c r="S758" s="6">
        <v>0</v>
      </c>
      <c r="T758" s="6">
        <v>17</v>
      </c>
      <c r="U758" s="6">
        <v>73</v>
      </c>
      <c r="V758" s="6">
        <f>IF(ISERROR(VLOOKUP($S$758,'TAR FIN'!$A$1:$O$100,15,0)),0,VLOOKUP($S$758,'TAR FIN'!$A$1:$O$100,15,0))</f>
        <v>0</v>
      </c>
      <c r="W758" s="6">
        <f>IF(ISERROR(VLOOKUP($T$758,'TAR FIN'!$A$1:$O$100,15,0)),0,VLOOKUP($T$758,'TAR FIN'!$A$1:$O$100,15,0))</f>
        <v>285.75</v>
      </c>
      <c r="X758" s="6">
        <f>IF(ISERROR(VLOOKUP($U$758,'TAR FIN'!$A$1:$O$100,15,0)),0,VLOOKUP($U$758,'TAR FIN'!$A$1:$O$100,15,0))</f>
        <v>231.33</v>
      </c>
      <c r="Y758" s="6"/>
      <c r="Z758" s="6">
        <f ca="1">('TUSD BE'!$AM$30+'TUSD BF'!$AM$30+'TUSD CVA'!$AM$30)*1</f>
        <v>285.64503648725872</v>
      </c>
      <c r="AA758" s="6">
        <f>('TE BE'!$AA$13+'TE BF'!$AA$13+'TE CVA'!$AA$13)*1</f>
        <v>250.79367785689016</v>
      </c>
      <c r="AB758" s="6">
        <f>$K$758*$V$758</f>
        <v>0</v>
      </c>
      <c r="AC758" s="6">
        <f>$M$758*$W$758</f>
        <v>-2389.7272499999999</v>
      </c>
      <c r="AD758" s="6">
        <f>$O$758*$X$758</f>
        <v>-1934.6127899999999</v>
      </c>
      <c r="AE758" s="6">
        <f>$K$758*$Y$758</f>
        <v>0</v>
      </c>
      <c r="AF758" s="6">
        <f ca="1">$M$758*$Z$758</f>
        <v>-2388.8494401429443</v>
      </c>
      <c r="AG758" s="6">
        <f>$O$758*$AA$758</f>
        <v>-2097.3875279171721</v>
      </c>
    </row>
    <row r="759" spans="1:33" ht="11.25" customHeight="1" x14ac:dyDescent="0.25">
      <c r="A759" s="4" t="s">
        <v>28</v>
      </c>
      <c r="B759" s="4" t="s">
        <v>22</v>
      </c>
      <c r="C759" s="4" t="s">
        <v>23</v>
      </c>
      <c r="D759" s="4" t="s">
        <v>24</v>
      </c>
      <c r="E759" s="4" t="s">
        <v>24</v>
      </c>
      <c r="F759" s="4" t="s">
        <v>25</v>
      </c>
      <c r="G759" s="4" t="s">
        <v>25</v>
      </c>
      <c r="H759" s="4" t="s">
        <v>25</v>
      </c>
      <c r="I759" s="5">
        <v>44501</v>
      </c>
      <c r="J759" s="6">
        <v>0</v>
      </c>
      <c r="K759" s="6">
        <v>0</v>
      </c>
      <c r="L759" s="6">
        <v>208.89500000000001</v>
      </c>
      <c r="M759" s="6">
        <v>208.89500000000001</v>
      </c>
      <c r="N759" s="6">
        <v>208.89500000000001</v>
      </c>
      <c r="O759" s="6">
        <v>208.89500000000001</v>
      </c>
      <c r="P759" s="6">
        <v>1522</v>
      </c>
      <c r="Q759" s="4" t="s">
        <v>26</v>
      </c>
      <c r="R759" s="4">
        <v>0</v>
      </c>
      <c r="S759" s="6">
        <v>0</v>
      </c>
      <c r="T759" s="6">
        <v>17</v>
      </c>
      <c r="U759" s="6">
        <v>73</v>
      </c>
      <c r="V759" s="6">
        <f>IF(ISERROR(VLOOKUP($S$759,'TAR FIN'!$A$1:$O$100,15,0)),0,VLOOKUP($S$759,'TAR FIN'!$A$1:$O$100,15,0))</f>
        <v>0</v>
      </c>
      <c r="W759" s="6">
        <f>IF(ISERROR(VLOOKUP($T$759,'TAR FIN'!$A$1:$O$100,15,0)),0,VLOOKUP($T$759,'TAR FIN'!$A$1:$O$100,15,0))</f>
        <v>285.75</v>
      </c>
      <c r="X759" s="6">
        <f>IF(ISERROR(VLOOKUP($U$759,'TAR FIN'!$A$1:$O$100,15,0)),0,VLOOKUP($U$759,'TAR FIN'!$A$1:$O$100,15,0))</f>
        <v>231.33</v>
      </c>
      <c r="Y759" s="6"/>
      <c r="Z759" s="6">
        <f ca="1">('TUSD BE'!$AM$30+'TUSD BF'!$AM$30+'TUSD CVA'!$AM$30)*1</f>
        <v>285.64503648725872</v>
      </c>
      <c r="AA759" s="6">
        <f>('TE BE'!$AA$13+'TE BF'!$AA$13+'TE CVA'!$AA$13)*1</f>
        <v>250.79367785689016</v>
      </c>
      <c r="AB759" s="6">
        <f>$K$759*$V$759</f>
        <v>0</v>
      </c>
      <c r="AC759" s="6">
        <f>$M$759*$W$759</f>
        <v>59691.746250000004</v>
      </c>
      <c r="AD759" s="6">
        <f>$O$759*$X$759</f>
        <v>48323.680350000002</v>
      </c>
      <c r="AE759" s="6">
        <f>$K$759*$Y$759</f>
        <v>0</v>
      </c>
      <c r="AF759" s="6">
        <f ca="1">$M$759*$Z$759</f>
        <v>59669.819897005917</v>
      </c>
      <c r="AG759" s="6">
        <f>$O$759*$AA$759</f>
        <v>52389.545335915071</v>
      </c>
    </row>
    <row r="760" spans="1:33" ht="11.25" customHeight="1" x14ac:dyDescent="0.25">
      <c r="A760" s="4" t="s">
        <v>21</v>
      </c>
      <c r="B760" s="4" t="s">
        <v>22</v>
      </c>
      <c r="C760" s="4" t="s">
        <v>23</v>
      </c>
      <c r="D760" s="4" t="s">
        <v>24</v>
      </c>
      <c r="E760" s="4" t="s">
        <v>24</v>
      </c>
      <c r="F760" s="4" t="s">
        <v>25</v>
      </c>
      <c r="G760" s="4" t="s">
        <v>25</v>
      </c>
      <c r="H760" s="4" t="s">
        <v>25</v>
      </c>
      <c r="I760" s="5">
        <v>44531</v>
      </c>
      <c r="J760" s="6">
        <v>0</v>
      </c>
      <c r="K760" s="6">
        <v>0</v>
      </c>
      <c r="L760" s="6">
        <v>18499.393</v>
      </c>
      <c r="M760" s="6">
        <v>18499.393</v>
      </c>
      <c r="N760" s="6">
        <v>18499.393</v>
      </c>
      <c r="O760" s="6">
        <v>18499.393</v>
      </c>
      <c r="P760" s="6">
        <v>136700</v>
      </c>
      <c r="Q760" s="4" t="s">
        <v>26</v>
      </c>
      <c r="R760" s="4">
        <v>0</v>
      </c>
      <c r="S760" s="6">
        <v>0</v>
      </c>
      <c r="T760" s="6">
        <v>17</v>
      </c>
      <c r="U760" s="6">
        <v>73</v>
      </c>
      <c r="V760" s="6">
        <f>IF(ISERROR(VLOOKUP($S$760,'TAR FIN'!$A$1:$O$100,15,0)),0,VLOOKUP($S$760,'TAR FIN'!$A$1:$O$100,15,0))</f>
        <v>0</v>
      </c>
      <c r="W760" s="6">
        <f>IF(ISERROR(VLOOKUP($T$760,'TAR FIN'!$A$1:$O$100,15,0)),0,VLOOKUP($T$760,'TAR FIN'!$A$1:$O$100,15,0))</f>
        <v>285.75</v>
      </c>
      <c r="X760" s="6">
        <f>IF(ISERROR(VLOOKUP($U$760,'TAR FIN'!$A$1:$O$100,15,0)),0,VLOOKUP($U$760,'TAR FIN'!$A$1:$O$100,15,0))</f>
        <v>231.33</v>
      </c>
      <c r="Y760" s="6"/>
      <c r="Z760" s="6">
        <f ca="1">('TUSD BE'!$AM$30+'TUSD BF'!$AM$30+'TUSD CVA'!$AM$30)*1</f>
        <v>285.64503648725872</v>
      </c>
      <c r="AA760" s="6">
        <f>('TE BE'!$AA$13+'TE BF'!$AA$13+'TE CVA'!$AA$13)*1</f>
        <v>250.79367785689016</v>
      </c>
      <c r="AB760" s="6">
        <f>$K$760*$V$760</f>
        <v>0</v>
      </c>
      <c r="AC760" s="6">
        <f>$M$760*$W$760</f>
        <v>5286201.5497500002</v>
      </c>
      <c r="AD760" s="6">
        <f>$O$760*$X$760</f>
        <v>4279464.5826900005</v>
      </c>
      <c r="AE760" s="6">
        <f>$K$760*$Y$760</f>
        <v>0</v>
      </c>
      <c r="AF760" s="6">
        <f ca="1">$M$760*$Z$760</f>
        <v>5284259.7884771386</v>
      </c>
      <c r="AG760" s="6">
        <f>$O$760*$AA$760</f>
        <v>4639530.8085900089</v>
      </c>
    </row>
    <row r="761" spans="1:33" ht="11.25" customHeight="1" x14ac:dyDescent="0.25">
      <c r="A761" s="4" t="s">
        <v>27</v>
      </c>
      <c r="B761" s="4" t="s">
        <v>22</v>
      </c>
      <c r="C761" s="4" t="s">
        <v>23</v>
      </c>
      <c r="D761" s="4" t="s">
        <v>24</v>
      </c>
      <c r="E761" s="4" t="s">
        <v>24</v>
      </c>
      <c r="F761" s="4" t="s">
        <v>25</v>
      </c>
      <c r="G761" s="4" t="s">
        <v>25</v>
      </c>
      <c r="H761" s="4" t="s">
        <v>25</v>
      </c>
      <c r="I761" s="5">
        <v>44531</v>
      </c>
      <c r="J761" s="6">
        <v>0</v>
      </c>
      <c r="K761" s="6">
        <v>0</v>
      </c>
      <c r="L761" s="6">
        <v>-15.736000000000001</v>
      </c>
      <c r="M761" s="6">
        <v>-15.736000000000001</v>
      </c>
      <c r="N761" s="6">
        <v>-15.736000000000001</v>
      </c>
      <c r="O761" s="6">
        <v>-15.736000000000001</v>
      </c>
      <c r="P761" s="6">
        <v>-4</v>
      </c>
      <c r="Q761" s="4" t="s">
        <v>26</v>
      </c>
      <c r="R761" s="4">
        <v>0</v>
      </c>
      <c r="S761" s="6">
        <v>0</v>
      </c>
      <c r="T761" s="6">
        <v>17</v>
      </c>
      <c r="U761" s="6">
        <v>73</v>
      </c>
      <c r="V761" s="6">
        <f>IF(ISERROR(VLOOKUP($S$761,'TAR FIN'!$A$1:$O$100,15,0)),0,VLOOKUP($S$761,'TAR FIN'!$A$1:$O$100,15,0))</f>
        <v>0</v>
      </c>
      <c r="W761" s="6">
        <f>IF(ISERROR(VLOOKUP($T$761,'TAR FIN'!$A$1:$O$100,15,0)),0,VLOOKUP($T$761,'TAR FIN'!$A$1:$O$100,15,0))</f>
        <v>285.75</v>
      </c>
      <c r="X761" s="6">
        <f>IF(ISERROR(VLOOKUP($U$761,'TAR FIN'!$A$1:$O$100,15,0)),0,VLOOKUP($U$761,'TAR FIN'!$A$1:$O$100,15,0))</f>
        <v>231.33</v>
      </c>
      <c r="Y761" s="6"/>
      <c r="Z761" s="6">
        <f ca="1">('TUSD BE'!$AM$30+'TUSD BF'!$AM$30+'TUSD CVA'!$AM$30)*1</f>
        <v>285.64503648725872</v>
      </c>
      <c r="AA761" s="6">
        <f>('TE BE'!$AA$13+'TE BF'!$AA$13+'TE CVA'!$AA$13)*1</f>
        <v>250.79367785689016</v>
      </c>
      <c r="AB761" s="6">
        <f>$K$761*$V$761</f>
        <v>0</v>
      </c>
      <c r="AC761" s="6">
        <f>$M$761*$W$761</f>
        <v>-4496.5619999999999</v>
      </c>
      <c r="AD761" s="6">
        <f>$O$761*$X$761</f>
        <v>-3640.2088800000001</v>
      </c>
      <c r="AE761" s="6">
        <f>$K$761*$Y$761</f>
        <v>0</v>
      </c>
      <c r="AF761" s="6">
        <f ca="1">$M$761*$Z$761</f>
        <v>-4494.9102941635037</v>
      </c>
      <c r="AG761" s="6">
        <f>$O$761*$AA$761</f>
        <v>-3946.4893147560238</v>
      </c>
    </row>
    <row r="762" spans="1:33" ht="11.25" customHeight="1" x14ac:dyDescent="0.25">
      <c r="A762" s="4" t="s">
        <v>28</v>
      </c>
      <c r="B762" s="4" t="s">
        <v>22</v>
      </c>
      <c r="C762" s="4" t="s">
        <v>23</v>
      </c>
      <c r="D762" s="4" t="s">
        <v>24</v>
      </c>
      <c r="E762" s="4" t="s">
        <v>24</v>
      </c>
      <c r="F762" s="4" t="s">
        <v>25</v>
      </c>
      <c r="G762" s="4" t="s">
        <v>25</v>
      </c>
      <c r="H762" s="4" t="s">
        <v>25</v>
      </c>
      <c r="I762" s="5">
        <v>44531</v>
      </c>
      <c r="J762" s="6">
        <v>0</v>
      </c>
      <c r="K762" s="6">
        <v>0</v>
      </c>
      <c r="L762" s="6">
        <v>269.25400000000002</v>
      </c>
      <c r="M762" s="6">
        <v>269.25400000000002</v>
      </c>
      <c r="N762" s="6">
        <v>269.25400000000002</v>
      </c>
      <c r="O762" s="6">
        <v>269.25400000000002</v>
      </c>
      <c r="P762" s="6">
        <v>1632</v>
      </c>
      <c r="Q762" s="4" t="s">
        <v>26</v>
      </c>
      <c r="R762" s="4">
        <v>0</v>
      </c>
      <c r="S762" s="6">
        <v>0</v>
      </c>
      <c r="T762" s="6">
        <v>17</v>
      </c>
      <c r="U762" s="6">
        <v>73</v>
      </c>
      <c r="V762" s="6">
        <f>IF(ISERROR(VLOOKUP($S$762,'TAR FIN'!$A$1:$O$100,15,0)),0,VLOOKUP($S$762,'TAR FIN'!$A$1:$O$100,15,0))</f>
        <v>0</v>
      </c>
      <c r="W762" s="6">
        <f>IF(ISERROR(VLOOKUP($T$762,'TAR FIN'!$A$1:$O$100,15,0)),0,VLOOKUP($T$762,'TAR FIN'!$A$1:$O$100,15,0))</f>
        <v>285.75</v>
      </c>
      <c r="X762" s="6">
        <f>IF(ISERROR(VLOOKUP($U$762,'TAR FIN'!$A$1:$O$100,15,0)),0,VLOOKUP($U$762,'TAR FIN'!$A$1:$O$100,15,0))</f>
        <v>231.33</v>
      </c>
      <c r="Y762" s="6"/>
      <c r="Z762" s="6">
        <f ca="1">('TUSD BE'!$AM$30+'TUSD BF'!$AM$30+'TUSD CVA'!$AM$30)*1</f>
        <v>285.64503648725872</v>
      </c>
      <c r="AA762" s="6">
        <f>('TE BE'!$AA$13+'TE BF'!$AA$13+'TE CVA'!$AA$13)*1</f>
        <v>250.79367785689016</v>
      </c>
      <c r="AB762" s="6">
        <f>$K$762*$V$762</f>
        <v>0</v>
      </c>
      <c r="AC762" s="6">
        <f>$M$762*$W$762</f>
        <v>76939.330500000011</v>
      </c>
      <c r="AD762" s="6">
        <f>$O$762*$X$762</f>
        <v>62286.52782000001</v>
      </c>
      <c r="AE762" s="6">
        <f>$K$762*$Y$762</f>
        <v>0</v>
      </c>
      <c r="AF762" s="6">
        <f ca="1">$M$762*$Z$762</f>
        <v>76911.068654340372</v>
      </c>
      <c r="AG762" s="6">
        <f>$O$762*$AA$762</f>
        <v>67527.20093767911</v>
      </c>
    </row>
    <row r="763" spans="1:33" ht="11.25" customHeight="1" x14ac:dyDescent="0.25">
      <c r="A763" s="4" t="s">
        <v>28</v>
      </c>
      <c r="B763" s="4" t="s">
        <v>22</v>
      </c>
      <c r="C763" s="4" t="s">
        <v>23</v>
      </c>
      <c r="D763" s="4" t="s">
        <v>24</v>
      </c>
      <c r="E763" s="4" t="s">
        <v>24</v>
      </c>
      <c r="F763" s="4" t="s">
        <v>25</v>
      </c>
      <c r="G763" s="4" t="s">
        <v>25</v>
      </c>
      <c r="H763" s="4" t="s">
        <v>25</v>
      </c>
      <c r="I763" s="5">
        <v>44531</v>
      </c>
      <c r="J763" s="6">
        <v>0</v>
      </c>
      <c r="K763" s="6">
        <v>0</v>
      </c>
      <c r="L763" s="6">
        <v>-0.28100000000000003</v>
      </c>
      <c r="M763" s="6">
        <v>-0.28100000000000003</v>
      </c>
      <c r="N763" s="6">
        <v>-0.28100000000000003</v>
      </c>
      <c r="O763" s="6">
        <v>-0.28100000000000003</v>
      </c>
      <c r="P763" s="6">
        <v>0</v>
      </c>
      <c r="Q763" s="4" t="s">
        <v>26</v>
      </c>
      <c r="R763" s="4">
        <v>0</v>
      </c>
      <c r="S763" s="6">
        <v>0</v>
      </c>
      <c r="T763" s="6">
        <v>17</v>
      </c>
      <c r="U763" s="6">
        <v>73</v>
      </c>
      <c r="V763" s="6">
        <f>IF(ISERROR(VLOOKUP($S$763,'TAR FIN'!$A$1:$O$100,15,0)),0,VLOOKUP($S$763,'TAR FIN'!$A$1:$O$100,15,0))</f>
        <v>0</v>
      </c>
      <c r="W763" s="6">
        <f>IF(ISERROR(VLOOKUP($T$763,'TAR FIN'!$A$1:$O$100,15,0)),0,VLOOKUP($T$763,'TAR FIN'!$A$1:$O$100,15,0))</f>
        <v>285.75</v>
      </c>
      <c r="X763" s="6">
        <f>IF(ISERROR(VLOOKUP($U$763,'TAR FIN'!$A$1:$O$100,15,0)),0,VLOOKUP($U$763,'TAR FIN'!$A$1:$O$100,15,0))</f>
        <v>231.33</v>
      </c>
      <c r="Y763" s="6"/>
      <c r="Z763" s="6">
        <f ca="1">('TUSD BE'!$AM$30+'TUSD BF'!$AM$30+'TUSD CVA'!$AM$30)*1</f>
        <v>285.64503648725872</v>
      </c>
      <c r="AA763" s="6">
        <f>('TE BE'!$AA$13+'TE BF'!$AA$13+'TE CVA'!$AA$13)*1</f>
        <v>250.79367785689016</v>
      </c>
      <c r="AB763" s="6">
        <f>$K$763*$V$763</f>
        <v>0</v>
      </c>
      <c r="AC763" s="6">
        <f>$M$763*$W$763</f>
        <v>-80.295750000000012</v>
      </c>
      <c r="AD763" s="6">
        <f>$O$763*$X$763</f>
        <v>-65.003730000000004</v>
      </c>
      <c r="AE763" s="6">
        <f>$K$763*$Y$763</f>
        <v>0</v>
      </c>
      <c r="AF763" s="6">
        <f ca="1">$M$763*$Z$763</f>
        <v>-80.266255252919706</v>
      </c>
      <c r="AG763" s="6">
        <f>$O$763*$AA$763</f>
        <v>-70.473023477786143</v>
      </c>
    </row>
    <row r="764" spans="1:33" ht="11.25" customHeight="1" x14ac:dyDescent="0.25">
      <c r="A764" s="4" t="s">
        <v>55</v>
      </c>
      <c r="B764" s="4" t="s">
        <v>22</v>
      </c>
      <c r="C764" s="4" t="s">
        <v>23</v>
      </c>
      <c r="D764" s="4" t="s">
        <v>24</v>
      </c>
      <c r="E764" s="4" t="s">
        <v>24</v>
      </c>
      <c r="F764" s="4" t="s">
        <v>25</v>
      </c>
      <c r="G764" s="4" t="s">
        <v>25</v>
      </c>
      <c r="H764" s="4" t="s">
        <v>25</v>
      </c>
      <c r="I764" s="5">
        <v>44562</v>
      </c>
      <c r="J764" s="6">
        <v>0</v>
      </c>
      <c r="K764" s="6">
        <v>0</v>
      </c>
      <c r="L764" s="6">
        <v>18499.393</v>
      </c>
      <c r="M764" s="6">
        <v>18499.393</v>
      </c>
      <c r="N764" s="6">
        <v>18499.393</v>
      </c>
      <c r="O764" s="6">
        <v>18499.393</v>
      </c>
      <c r="P764" s="6">
        <v>136700</v>
      </c>
      <c r="Q764" s="4" t="s">
        <v>26</v>
      </c>
      <c r="R764" s="4">
        <v>0</v>
      </c>
      <c r="S764" s="6">
        <v>0</v>
      </c>
      <c r="T764" s="6">
        <v>17</v>
      </c>
      <c r="U764" s="6">
        <v>73</v>
      </c>
      <c r="V764" s="6">
        <f>IF(ISERROR(VLOOKUP($S$764,'TAR FIN'!$A$1:$O$100,15,0)),0,VLOOKUP($S$764,'TAR FIN'!$A$1:$O$100,15,0))</f>
        <v>0</v>
      </c>
      <c r="W764" s="6">
        <f>IF(ISERROR(VLOOKUP($T$764,'TAR FIN'!$A$1:$O$100,15,0)),0,VLOOKUP($T$764,'TAR FIN'!$A$1:$O$100,15,0))</f>
        <v>285.75</v>
      </c>
      <c r="X764" s="6">
        <f>IF(ISERROR(VLOOKUP($U$764,'TAR FIN'!$A$1:$O$100,15,0)),0,VLOOKUP($U$764,'TAR FIN'!$A$1:$O$100,15,0))</f>
        <v>231.33</v>
      </c>
      <c r="Y764" s="6"/>
      <c r="Z764" s="6">
        <f ca="1">('TUSD BE'!$AM$30+'TUSD BF'!$AM$30+'TUSD CVA'!$AM$30)*1</f>
        <v>285.64503648725872</v>
      </c>
      <c r="AA764" s="6">
        <f>('TE BE'!$AA$13+'TE BF'!$AA$13+'TE CVA'!$AA$13)*1</f>
        <v>250.79367785689016</v>
      </c>
      <c r="AB764" s="6">
        <f>$K$764*$V$764</f>
        <v>0</v>
      </c>
      <c r="AC764" s="6">
        <f>$M$764*$W$764</f>
        <v>5286201.5497500002</v>
      </c>
      <c r="AD764" s="6">
        <f>$O$764*$X$764</f>
        <v>4279464.5826900005</v>
      </c>
      <c r="AE764" s="6">
        <f>$K$764*$Y$764</f>
        <v>0</v>
      </c>
      <c r="AF764" s="6">
        <f ca="1">$M$764*$Z$764</f>
        <v>5284259.7884771386</v>
      </c>
      <c r="AG764" s="6">
        <f>$O$764*$AA$764</f>
        <v>4639530.8085900089</v>
      </c>
    </row>
    <row r="765" spans="1:33" ht="11.25" customHeight="1" x14ac:dyDescent="0.25">
      <c r="A765" s="4" t="s">
        <v>55</v>
      </c>
      <c r="B765" s="4" t="s">
        <v>22</v>
      </c>
      <c r="C765" s="4" t="s">
        <v>23</v>
      </c>
      <c r="D765" s="4" t="s">
        <v>24</v>
      </c>
      <c r="E765" s="4" t="s">
        <v>24</v>
      </c>
      <c r="F765" s="4" t="s">
        <v>25</v>
      </c>
      <c r="G765" s="4" t="s">
        <v>25</v>
      </c>
      <c r="H765" s="4" t="s">
        <v>25</v>
      </c>
      <c r="I765" s="5">
        <v>44562</v>
      </c>
      <c r="J765" s="6">
        <v>0</v>
      </c>
      <c r="K765" s="6">
        <v>0</v>
      </c>
      <c r="L765" s="6">
        <v>-15.736000000000001</v>
      </c>
      <c r="M765" s="6">
        <v>-15.736000000000001</v>
      </c>
      <c r="N765" s="6">
        <v>-15.736000000000001</v>
      </c>
      <c r="O765" s="6">
        <v>-15.736000000000001</v>
      </c>
      <c r="P765" s="6">
        <v>-4</v>
      </c>
      <c r="Q765" s="4" t="s">
        <v>26</v>
      </c>
      <c r="R765" s="4">
        <v>0</v>
      </c>
      <c r="S765" s="6">
        <v>0</v>
      </c>
      <c r="T765" s="6">
        <v>17</v>
      </c>
      <c r="U765" s="6">
        <v>73</v>
      </c>
      <c r="V765" s="6">
        <f>IF(ISERROR(VLOOKUP($S$765,'TAR FIN'!$A$1:$O$100,15,0)),0,VLOOKUP($S$765,'TAR FIN'!$A$1:$O$100,15,0))</f>
        <v>0</v>
      </c>
      <c r="W765" s="6">
        <f>IF(ISERROR(VLOOKUP($T$765,'TAR FIN'!$A$1:$O$100,15,0)),0,VLOOKUP($T$765,'TAR FIN'!$A$1:$O$100,15,0))</f>
        <v>285.75</v>
      </c>
      <c r="X765" s="6">
        <f>IF(ISERROR(VLOOKUP($U$765,'TAR FIN'!$A$1:$O$100,15,0)),0,VLOOKUP($U$765,'TAR FIN'!$A$1:$O$100,15,0))</f>
        <v>231.33</v>
      </c>
      <c r="Y765" s="6"/>
      <c r="Z765" s="6">
        <f ca="1">('TUSD BE'!$AM$30+'TUSD BF'!$AM$30+'TUSD CVA'!$AM$30)*1</f>
        <v>285.64503648725872</v>
      </c>
      <c r="AA765" s="6">
        <f>('TE BE'!$AA$13+'TE BF'!$AA$13+'TE CVA'!$AA$13)*1</f>
        <v>250.79367785689016</v>
      </c>
      <c r="AB765" s="6">
        <f>$K$765*$V$765</f>
        <v>0</v>
      </c>
      <c r="AC765" s="6">
        <f>$M$765*$W$765</f>
        <v>-4496.5619999999999</v>
      </c>
      <c r="AD765" s="6">
        <f>$O$765*$X$765</f>
        <v>-3640.2088800000001</v>
      </c>
      <c r="AE765" s="6">
        <f>$K$765*$Y$765</f>
        <v>0</v>
      </c>
      <c r="AF765" s="6">
        <f ca="1">$M$765*$Z$765</f>
        <v>-4494.9102941635037</v>
      </c>
      <c r="AG765" s="6">
        <f>$O$765*$AA$765</f>
        <v>-3946.4893147560238</v>
      </c>
    </row>
    <row r="766" spans="1:33" ht="11.25" customHeight="1" x14ac:dyDescent="0.25">
      <c r="A766" s="4" t="s">
        <v>55</v>
      </c>
      <c r="B766" s="4" t="s">
        <v>22</v>
      </c>
      <c r="C766" s="4" t="s">
        <v>23</v>
      </c>
      <c r="D766" s="4" t="s">
        <v>24</v>
      </c>
      <c r="E766" s="4" t="s">
        <v>24</v>
      </c>
      <c r="F766" s="4" t="s">
        <v>25</v>
      </c>
      <c r="G766" s="4" t="s">
        <v>25</v>
      </c>
      <c r="H766" s="4" t="s">
        <v>25</v>
      </c>
      <c r="I766" s="5">
        <v>44562</v>
      </c>
      <c r="J766" s="6">
        <v>0</v>
      </c>
      <c r="K766" s="6">
        <v>0</v>
      </c>
      <c r="L766" s="6">
        <v>269.25400000000002</v>
      </c>
      <c r="M766" s="6">
        <v>269.25400000000002</v>
      </c>
      <c r="N766" s="6">
        <v>269.25400000000002</v>
      </c>
      <c r="O766" s="6">
        <v>269.25400000000002</v>
      </c>
      <c r="P766" s="6">
        <v>1632</v>
      </c>
      <c r="Q766" s="4" t="s">
        <v>26</v>
      </c>
      <c r="R766" s="4">
        <v>0</v>
      </c>
      <c r="S766" s="6">
        <v>0</v>
      </c>
      <c r="T766" s="6">
        <v>17</v>
      </c>
      <c r="U766" s="6">
        <v>73</v>
      </c>
      <c r="V766" s="6">
        <f>IF(ISERROR(VLOOKUP($S$766,'TAR FIN'!$A$1:$O$100,15,0)),0,VLOOKUP($S$766,'TAR FIN'!$A$1:$O$100,15,0))</f>
        <v>0</v>
      </c>
      <c r="W766" s="6">
        <f>IF(ISERROR(VLOOKUP($T$766,'TAR FIN'!$A$1:$O$100,15,0)),0,VLOOKUP($T$766,'TAR FIN'!$A$1:$O$100,15,0))</f>
        <v>285.75</v>
      </c>
      <c r="X766" s="6">
        <f>IF(ISERROR(VLOOKUP($U$766,'TAR FIN'!$A$1:$O$100,15,0)),0,VLOOKUP($U$766,'TAR FIN'!$A$1:$O$100,15,0))</f>
        <v>231.33</v>
      </c>
      <c r="Y766" s="6"/>
      <c r="Z766" s="6">
        <f ca="1">('TUSD BE'!$AM$30+'TUSD BF'!$AM$30+'TUSD CVA'!$AM$30)*1</f>
        <v>285.64503648725872</v>
      </c>
      <c r="AA766" s="6">
        <f>('TE BE'!$AA$13+'TE BF'!$AA$13+'TE CVA'!$AA$13)*1</f>
        <v>250.79367785689016</v>
      </c>
      <c r="AB766" s="6">
        <f>$K$766*$V$766</f>
        <v>0</v>
      </c>
      <c r="AC766" s="6">
        <f>$M$766*$W$766</f>
        <v>76939.330500000011</v>
      </c>
      <c r="AD766" s="6">
        <f>$O$766*$X$766</f>
        <v>62286.52782000001</v>
      </c>
      <c r="AE766" s="6">
        <f>$K$766*$Y$766</f>
        <v>0</v>
      </c>
      <c r="AF766" s="6">
        <f ca="1">$M$766*$Z$766</f>
        <v>76911.068654340372</v>
      </c>
      <c r="AG766" s="6">
        <f>$O$766*$AA$766</f>
        <v>67527.20093767911</v>
      </c>
    </row>
    <row r="767" spans="1:33" ht="11.25" customHeight="1" x14ac:dyDescent="0.25">
      <c r="A767" s="4" t="s">
        <v>55</v>
      </c>
      <c r="B767" s="4" t="s">
        <v>22</v>
      </c>
      <c r="C767" s="4" t="s">
        <v>23</v>
      </c>
      <c r="D767" s="4" t="s">
        <v>24</v>
      </c>
      <c r="E767" s="4" t="s">
        <v>24</v>
      </c>
      <c r="F767" s="4" t="s">
        <v>25</v>
      </c>
      <c r="G767" s="4" t="s">
        <v>25</v>
      </c>
      <c r="H767" s="4" t="s">
        <v>25</v>
      </c>
      <c r="I767" s="5">
        <v>44562</v>
      </c>
      <c r="J767" s="6">
        <v>0</v>
      </c>
      <c r="K767" s="6">
        <v>0</v>
      </c>
      <c r="L767" s="6">
        <v>-0.28100000000000003</v>
      </c>
      <c r="M767" s="6">
        <v>-0.28100000000000003</v>
      </c>
      <c r="N767" s="6">
        <v>-0.28100000000000003</v>
      </c>
      <c r="O767" s="6">
        <v>-0.28100000000000003</v>
      </c>
      <c r="P767" s="6">
        <v>0</v>
      </c>
      <c r="Q767" s="4" t="s">
        <v>26</v>
      </c>
      <c r="R767" s="4">
        <v>0</v>
      </c>
      <c r="S767" s="6">
        <v>0</v>
      </c>
      <c r="T767" s="6">
        <v>17</v>
      </c>
      <c r="U767" s="6">
        <v>73</v>
      </c>
      <c r="V767" s="6">
        <f>IF(ISERROR(VLOOKUP($S$767,'TAR FIN'!$A$1:$O$100,15,0)),0,VLOOKUP($S$767,'TAR FIN'!$A$1:$O$100,15,0))</f>
        <v>0</v>
      </c>
      <c r="W767" s="6">
        <f>IF(ISERROR(VLOOKUP($T$767,'TAR FIN'!$A$1:$O$100,15,0)),0,VLOOKUP($T$767,'TAR FIN'!$A$1:$O$100,15,0))</f>
        <v>285.75</v>
      </c>
      <c r="X767" s="6">
        <f>IF(ISERROR(VLOOKUP($U$767,'TAR FIN'!$A$1:$O$100,15,0)),0,VLOOKUP($U$767,'TAR FIN'!$A$1:$O$100,15,0))</f>
        <v>231.33</v>
      </c>
      <c r="Y767" s="6"/>
      <c r="Z767" s="6">
        <f ca="1">('TUSD BE'!$AM$30+'TUSD BF'!$AM$30+'TUSD CVA'!$AM$30)*1</f>
        <v>285.64503648725872</v>
      </c>
      <c r="AA767" s="6">
        <f>('TE BE'!$AA$13+'TE BF'!$AA$13+'TE CVA'!$AA$13)*1</f>
        <v>250.79367785689016</v>
      </c>
      <c r="AB767" s="6">
        <f>$K$767*$V$767</f>
        <v>0</v>
      </c>
      <c r="AC767" s="6">
        <f>$M$767*$W$767</f>
        <v>-80.295750000000012</v>
      </c>
      <c r="AD767" s="6">
        <f>$O$767*$X$767</f>
        <v>-65.003730000000004</v>
      </c>
      <c r="AE767" s="6">
        <f>$K$767*$Y$767</f>
        <v>0</v>
      </c>
      <c r="AF767" s="6">
        <f ca="1">$M$767*$Z$767</f>
        <v>-80.266255252919706</v>
      </c>
      <c r="AG767" s="6">
        <f>$O$767*$AA$767</f>
        <v>-70.473023477786143</v>
      </c>
    </row>
    <row r="768" spans="1:33" ht="11.25" customHeight="1" x14ac:dyDescent="0.25">
      <c r="A768" s="4" t="s">
        <v>21</v>
      </c>
      <c r="B768" s="4" t="s">
        <v>22</v>
      </c>
      <c r="C768" s="4" t="s">
        <v>23</v>
      </c>
      <c r="D768" s="4" t="s">
        <v>24</v>
      </c>
      <c r="E768" s="4" t="s">
        <v>29</v>
      </c>
      <c r="F768" s="4" t="s">
        <v>25</v>
      </c>
      <c r="G768" s="4" t="s">
        <v>25</v>
      </c>
      <c r="H768" s="4" t="s">
        <v>25</v>
      </c>
      <c r="I768" s="5">
        <v>44228</v>
      </c>
      <c r="J768" s="6">
        <v>0</v>
      </c>
      <c r="K768" s="6">
        <v>0</v>
      </c>
      <c r="L768" s="6">
        <v>1664.172</v>
      </c>
      <c r="M768" s="6">
        <v>1664.172</v>
      </c>
      <c r="N768" s="6">
        <v>1664.172</v>
      </c>
      <c r="O768" s="6">
        <v>1664.172</v>
      </c>
      <c r="P768" s="6">
        <v>5102</v>
      </c>
      <c r="Q768" s="4" t="s">
        <v>26</v>
      </c>
      <c r="R768" s="4">
        <v>0</v>
      </c>
      <c r="S768" s="6">
        <v>0</v>
      </c>
      <c r="T768" s="6">
        <v>34</v>
      </c>
      <c r="U768" s="6">
        <v>74</v>
      </c>
      <c r="V768" s="6">
        <f>IF(ISERROR(VLOOKUP($S$768,'TAR FIN'!$A$1:$O$100,15,0)),0,VLOOKUP($S$768,'TAR FIN'!$A$1:$O$100,15,0))</f>
        <v>0</v>
      </c>
      <c r="W768" s="6">
        <f>IF(ISERROR(VLOOKUP($T$768,'TAR FIN'!$A$1:$O$100,15,0)),0,VLOOKUP($T$768,'TAR FIN'!$A$1:$O$100,15,0))</f>
        <v>86.27</v>
      </c>
      <c r="X768" s="6">
        <f>IF(ISERROR(VLOOKUP($U$768,'TAR FIN'!$A$1:$O$100,15,0)),0,VLOOKUP($U$768,'TAR FIN'!$A$1:$O$100,15,0))</f>
        <v>80.959999999999994</v>
      </c>
      <c r="Y768" s="6"/>
      <c r="Z76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68" s="6">
        <f>('TE BE'!$AA$14+'TE BF'!$AA$14+'TE CVA'!$AA$14)*(1-CUSTOS!$M$34)</f>
        <v>87.777787249911555</v>
      </c>
      <c r="AB768" s="6">
        <f>$K$768*$V$768</f>
        <v>0</v>
      </c>
      <c r="AC768" s="6">
        <f>$M$768*$W$768</f>
        <v>143568.11843999999</v>
      </c>
      <c r="AD768" s="6">
        <f>$O$768*$X$768</f>
        <v>134731.36512</v>
      </c>
      <c r="AE768" s="6">
        <f>$K$768*$Y$768</f>
        <v>0</v>
      </c>
      <c r="AF768" s="6">
        <f ca="1">$M$768*$Z$768</f>
        <v>139041.35141416264</v>
      </c>
      <c r="AG768" s="6">
        <f>$O$768*$AA$768</f>
        <v>146077.33576325982</v>
      </c>
    </row>
    <row r="769" spans="1:33" ht="11.25" customHeight="1" x14ac:dyDescent="0.25">
      <c r="A769" s="4" t="s">
        <v>28</v>
      </c>
      <c r="B769" s="4" t="s">
        <v>22</v>
      </c>
      <c r="C769" s="4" t="s">
        <v>23</v>
      </c>
      <c r="D769" s="4" t="s">
        <v>24</v>
      </c>
      <c r="E769" s="4" t="s">
        <v>29</v>
      </c>
      <c r="F769" s="4" t="s">
        <v>25</v>
      </c>
      <c r="G769" s="4" t="s">
        <v>25</v>
      </c>
      <c r="H769" s="4" t="s">
        <v>25</v>
      </c>
      <c r="I769" s="5">
        <v>44228</v>
      </c>
      <c r="J769" s="6">
        <v>0</v>
      </c>
      <c r="K769" s="6">
        <v>0</v>
      </c>
      <c r="L769" s="6">
        <v>0.42</v>
      </c>
      <c r="M769" s="6">
        <v>0.42</v>
      </c>
      <c r="N769" s="6">
        <v>0.42</v>
      </c>
      <c r="O769" s="6">
        <v>0.42</v>
      </c>
      <c r="P769" s="6">
        <v>1</v>
      </c>
      <c r="Q769" s="4" t="s">
        <v>26</v>
      </c>
      <c r="R769" s="4">
        <v>0</v>
      </c>
      <c r="S769" s="6">
        <v>0</v>
      </c>
      <c r="T769" s="6">
        <v>34</v>
      </c>
      <c r="U769" s="6">
        <v>74</v>
      </c>
      <c r="V769" s="6">
        <f>IF(ISERROR(VLOOKUP($S$769,'TAR FIN'!$A$1:$O$100,15,0)),0,VLOOKUP($S$769,'TAR FIN'!$A$1:$O$100,15,0))</f>
        <v>0</v>
      </c>
      <c r="W769" s="6">
        <f>IF(ISERROR(VLOOKUP($T$769,'TAR FIN'!$A$1:$O$100,15,0)),0,VLOOKUP($T$769,'TAR FIN'!$A$1:$O$100,15,0))</f>
        <v>86.27</v>
      </c>
      <c r="X769" s="6">
        <f>IF(ISERROR(VLOOKUP($U$769,'TAR FIN'!$A$1:$O$100,15,0)),0,VLOOKUP($U$769,'TAR FIN'!$A$1:$O$100,15,0))</f>
        <v>80.959999999999994</v>
      </c>
      <c r="Y769" s="6"/>
      <c r="Z76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69" s="6">
        <f>('TE BE'!$AA$14+'TE BF'!$AA$14+'TE CVA'!$AA$14)*(1-CUSTOS!$M$34)</f>
        <v>87.777787249911555</v>
      </c>
      <c r="AB769" s="6">
        <f>$K$769*$V$769</f>
        <v>0</v>
      </c>
      <c r="AC769" s="6">
        <f>$M$769*$W$769</f>
        <v>36.233399999999996</v>
      </c>
      <c r="AD769" s="6">
        <f>$O$769*$X$769</f>
        <v>34.0032</v>
      </c>
      <c r="AE769" s="6">
        <f>$K$769*$Y$769</f>
        <v>0</v>
      </c>
      <c r="AF769" s="6">
        <f ca="1">$M$769*$Z$769</f>
        <v>35.090944682369553</v>
      </c>
      <c r="AG769" s="6">
        <f>$O$769*$AA$769</f>
        <v>36.866670644962852</v>
      </c>
    </row>
    <row r="770" spans="1:33" ht="11.25" customHeight="1" x14ac:dyDescent="0.25">
      <c r="A770" s="4" t="s">
        <v>21</v>
      </c>
      <c r="B770" s="4" t="s">
        <v>22</v>
      </c>
      <c r="C770" s="4" t="s">
        <v>23</v>
      </c>
      <c r="D770" s="4" t="s">
        <v>24</v>
      </c>
      <c r="E770" s="4" t="s">
        <v>29</v>
      </c>
      <c r="F770" s="4" t="s">
        <v>25</v>
      </c>
      <c r="G770" s="4" t="s">
        <v>25</v>
      </c>
      <c r="H770" s="4" t="s">
        <v>25</v>
      </c>
      <c r="I770" s="5">
        <v>44256</v>
      </c>
      <c r="J770" s="6">
        <v>0</v>
      </c>
      <c r="K770" s="6">
        <v>0</v>
      </c>
      <c r="L770" s="6">
        <v>1672.7059999999999</v>
      </c>
      <c r="M770" s="6">
        <v>1672.7059999999999</v>
      </c>
      <c r="N770" s="6">
        <v>1672.7059999999999</v>
      </c>
      <c r="O770" s="6">
        <v>1672.7059999999999</v>
      </c>
      <c r="P770" s="6">
        <v>4873</v>
      </c>
      <c r="Q770" s="4" t="s">
        <v>26</v>
      </c>
      <c r="R770" s="4">
        <v>0</v>
      </c>
      <c r="S770" s="6">
        <v>0</v>
      </c>
      <c r="T770" s="6">
        <v>34</v>
      </c>
      <c r="U770" s="6">
        <v>74</v>
      </c>
      <c r="V770" s="6">
        <f>IF(ISERROR(VLOOKUP($S$770,'TAR FIN'!$A$1:$O$100,15,0)),0,VLOOKUP($S$770,'TAR FIN'!$A$1:$O$100,15,0))</f>
        <v>0</v>
      </c>
      <c r="W770" s="6">
        <f>IF(ISERROR(VLOOKUP($T$770,'TAR FIN'!$A$1:$O$100,15,0)),0,VLOOKUP($T$770,'TAR FIN'!$A$1:$O$100,15,0))</f>
        <v>86.27</v>
      </c>
      <c r="X770" s="6">
        <f>IF(ISERROR(VLOOKUP($U$770,'TAR FIN'!$A$1:$O$100,15,0)),0,VLOOKUP($U$770,'TAR FIN'!$A$1:$O$100,15,0))</f>
        <v>80.959999999999994</v>
      </c>
      <c r="Y770" s="6"/>
      <c r="Z77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0" s="6">
        <f>('TE BE'!$AA$14+'TE BF'!$AA$14+'TE CVA'!$AA$14)*(1-CUSTOS!$M$34)</f>
        <v>87.777787249911555</v>
      </c>
      <c r="AB770" s="6">
        <f>$K$770*$V$770</f>
        <v>0</v>
      </c>
      <c r="AC770" s="6">
        <f>$M$770*$W$770</f>
        <v>144304.34662</v>
      </c>
      <c r="AD770" s="6">
        <f>$O$770*$X$770</f>
        <v>135422.27775999997</v>
      </c>
      <c r="AE770" s="6">
        <f>$K$770*$Y$770</f>
        <v>0</v>
      </c>
      <c r="AF770" s="6">
        <f ca="1">$M$770*$Z$770</f>
        <v>139754.36599016105</v>
      </c>
      <c r="AG770" s="6">
        <f>$O$770*$AA$770</f>
        <v>146826.43139965055</v>
      </c>
    </row>
    <row r="771" spans="1:33" ht="11.25" customHeight="1" x14ac:dyDescent="0.25">
      <c r="A771" s="4" t="s">
        <v>27</v>
      </c>
      <c r="B771" s="4" t="s">
        <v>22</v>
      </c>
      <c r="C771" s="4" t="s">
        <v>23</v>
      </c>
      <c r="D771" s="4" t="s">
        <v>24</v>
      </c>
      <c r="E771" s="4" t="s">
        <v>29</v>
      </c>
      <c r="F771" s="4" t="s">
        <v>25</v>
      </c>
      <c r="G771" s="4" t="s">
        <v>25</v>
      </c>
      <c r="H771" s="4" t="s">
        <v>25</v>
      </c>
      <c r="I771" s="5">
        <v>44256</v>
      </c>
      <c r="J771" s="6">
        <v>0</v>
      </c>
      <c r="K771" s="6">
        <v>0</v>
      </c>
      <c r="L771" s="6">
        <v>0.56599999999999995</v>
      </c>
      <c r="M771" s="6">
        <v>0.56599999999999995</v>
      </c>
      <c r="N771" s="6">
        <v>0.56599999999999995</v>
      </c>
      <c r="O771" s="6">
        <v>0.56599999999999995</v>
      </c>
      <c r="P771" s="6">
        <v>10</v>
      </c>
      <c r="Q771" s="4" t="s">
        <v>26</v>
      </c>
      <c r="R771" s="4">
        <v>0</v>
      </c>
      <c r="S771" s="6">
        <v>0</v>
      </c>
      <c r="T771" s="6">
        <v>34</v>
      </c>
      <c r="U771" s="6">
        <v>74</v>
      </c>
      <c r="V771" s="6">
        <f>IF(ISERROR(VLOOKUP($S$771,'TAR FIN'!$A$1:$O$100,15,0)),0,VLOOKUP($S$771,'TAR FIN'!$A$1:$O$100,15,0))</f>
        <v>0</v>
      </c>
      <c r="W771" s="6">
        <f>IF(ISERROR(VLOOKUP($T$771,'TAR FIN'!$A$1:$O$100,15,0)),0,VLOOKUP($T$771,'TAR FIN'!$A$1:$O$100,15,0))</f>
        <v>86.27</v>
      </c>
      <c r="X771" s="6">
        <f>IF(ISERROR(VLOOKUP($U$771,'TAR FIN'!$A$1:$O$100,15,0)),0,VLOOKUP($U$771,'TAR FIN'!$A$1:$O$100,15,0))</f>
        <v>80.959999999999994</v>
      </c>
      <c r="Y771" s="6"/>
      <c r="Z77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1" s="6">
        <f>('TE BE'!$AA$14+'TE BF'!$AA$14+'TE CVA'!$AA$14)*(1-CUSTOS!$M$34)</f>
        <v>87.777787249911555</v>
      </c>
      <c r="AB771" s="6">
        <f>$K$771*$V$771</f>
        <v>0</v>
      </c>
      <c r="AC771" s="6">
        <f>$M$771*$W$771</f>
        <v>48.828819999999993</v>
      </c>
      <c r="AD771" s="6">
        <f>$O$771*$X$771</f>
        <v>45.823359999999994</v>
      </c>
      <c r="AE771" s="6">
        <f>$K$771*$Y$771</f>
        <v>0</v>
      </c>
      <c r="AF771" s="6">
        <f ca="1">$M$771*$Z$771</f>
        <v>47.289225452907537</v>
      </c>
      <c r="AG771" s="6">
        <f>$O$771*$AA$771</f>
        <v>49.682227583449937</v>
      </c>
    </row>
    <row r="772" spans="1:33" ht="11.25" customHeight="1" x14ac:dyDescent="0.25">
      <c r="A772" s="4" t="s">
        <v>28</v>
      </c>
      <c r="B772" s="4" t="s">
        <v>22</v>
      </c>
      <c r="C772" s="4" t="s">
        <v>23</v>
      </c>
      <c r="D772" s="4" t="s">
        <v>24</v>
      </c>
      <c r="E772" s="4" t="s">
        <v>29</v>
      </c>
      <c r="F772" s="4" t="s">
        <v>25</v>
      </c>
      <c r="G772" s="4" t="s">
        <v>25</v>
      </c>
      <c r="H772" s="4" t="s">
        <v>25</v>
      </c>
      <c r="I772" s="5">
        <v>44256</v>
      </c>
      <c r="J772" s="6">
        <v>0</v>
      </c>
      <c r="K772" s="6">
        <v>0</v>
      </c>
      <c r="L772" s="6">
        <v>0.45</v>
      </c>
      <c r="M772" s="6">
        <v>0.45</v>
      </c>
      <c r="N772" s="6">
        <v>0.45</v>
      </c>
      <c r="O772" s="6">
        <v>0.45</v>
      </c>
      <c r="P772" s="6">
        <v>0</v>
      </c>
      <c r="Q772" s="4" t="s">
        <v>26</v>
      </c>
      <c r="R772" s="4">
        <v>0</v>
      </c>
      <c r="S772" s="6">
        <v>0</v>
      </c>
      <c r="T772" s="6">
        <v>34</v>
      </c>
      <c r="U772" s="6">
        <v>74</v>
      </c>
      <c r="V772" s="6">
        <f>IF(ISERROR(VLOOKUP($S$772,'TAR FIN'!$A$1:$O$100,15,0)),0,VLOOKUP($S$772,'TAR FIN'!$A$1:$O$100,15,0))</f>
        <v>0</v>
      </c>
      <c r="W772" s="6">
        <f>IF(ISERROR(VLOOKUP($T$772,'TAR FIN'!$A$1:$O$100,15,0)),0,VLOOKUP($T$772,'TAR FIN'!$A$1:$O$100,15,0))</f>
        <v>86.27</v>
      </c>
      <c r="X772" s="6">
        <f>IF(ISERROR(VLOOKUP($U$772,'TAR FIN'!$A$1:$O$100,15,0)),0,VLOOKUP($U$772,'TAR FIN'!$A$1:$O$100,15,0))</f>
        <v>80.959999999999994</v>
      </c>
      <c r="Y772" s="6"/>
      <c r="Z77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2" s="6">
        <f>('TE BE'!$AA$14+'TE BF'!$AA$14+'TE CVA'!$AA$14)*(1-CUSTOS!$M$34)</f>
        <v>87.777787249911555</v>
      </c>
      <c r="AB772" s="6">
        <f>$K$772*$V$772</f>
        <v>0</v>
      </c>
      <c r="AC772" s="6">
        <f>$M$772*$W$772</f>
        <v>38.8215</v>
      </c>
      <c r="AD772" s="6">
        <f>$O$772*$X$772</f>
        <v>36.431999999999995</v>
      </c>
      <c r="AE772" s="6">
        <f>$K$772*$Y$772</f>
        <v>0</v>
      </c>
      <c r="AF772" s="6">
        <f ca="1">$M$772*$Z$772</f>
        <v>37.597440731110233</v>
      </c>
      <c r="AG772" s="6">
        <f>$O$772*$AA$772</f>
        <v>39.500004262460202</v>
      </c>
    </row>
    <row r="773" spans="1:33" ht="11.25" customHeight="1" x14ac:dyDescent="0.25">
      <c r="A773" s="4" t="s">
        <v>21</v>
      </c>
      <c r="B773" s="4" t="s">
        <v>22</v>
      </c>
      <c r="C773" s="4" t="s">
        <v>23</v>
      </c>
      <c r="D773" s="4" t="s">
        <v>24</v>
      </c>
      <c r="E773" s="4" t="s">
        <v>29</v>
      </c>
      <c r="F773" s="4" t="s">
        <v>25</v>
      </c>
      <c r="G773" s="4" t="s">
        <v>25</v>
      </c>
      <c r="H773" s="4" t="s">
        <v>25</v>
      </c>
      <c r="I773" s="5">
        <v>44287</v>
      </c>
      <c r="J773" s="6">
        <v>0</v>
      </c>
      <c r="K773" s="6">
        <v>0</v>
      </c>
      <c r="L773" s="6">
        <v>1672.297</v>
      </c>
      <c r="M773" s="6">
        <v>1672.297</v>
      </c>
      <c r="N773" s="6">
        <v>1672.297</v>
      </c>
      <c r="O773" s="6">
        <v>1672.297</v>
      </c>
      <c r="P773" s="6">
        <v>4813</v>
      </c>
      <c r="Q773" s="4" t="s">
        <v>26</v>
      </c>
      <c r="R773" s="4">
        <v>0</v>
      </c>
      <c r="S773" s="6">
        <v>0</v>
      </c>
      <c r="T773" s="6">
        <v>34</v>
      </c>
      <c r="U773" s="6">
        <v>74</v>
      </c>
      <c r="V773" s="6">
        <f>IF(ISERROR(VLOOKUP($S$773,'TAR FIN'!$A$1:$O$100,15,0)),0,VLOOKUP($S$773,'TAR FIN'!$A$1:$O$100,15,0))</f>
        <v>0</v>
      </c>
      <c r="W773" s="6">
        <f>IF(ISERROR(VLOOKUP($T$773,'TAR FIN'!$A$1:$O$100,15,0)),0,VLOOKUP($T$773,'TAR FIN'!$A$1:$O$100,15,0))</f>
        <v>86.27</v>
      </c>
      <c r="X773" s="6">
        <f>IF(ISERROR(VLOOKUP($U$773,'TAR FIN'!$A$1:$O$100,15,0)),0,VLOOKUP($U$773,'TAR FIN'!$A$1:$O$100,15,0))</f>
        <v>80.959999999999994</v>
      </c>
      <c r="Y773" s="6"/>
      <c r="Z77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3" s="6">
        <f>('TE BE'!$AA$14+'TE BF'!$AA$14+'TE CVA'!$AA$14)*(1-CUSTOS!$M$34)</f>
        <v>87.777787249911555</v>
      </c>
      <c r="AB773" s="6">
        <f>$K$773*$V$773</f>
        <v>0</v>
      </c>
      <c r="AC773" s="6">
        <f>$M$773*$W$773</f>
        <v>144269.06219</v>
      </c>
      <c r="AD773" s="6">
        <f>$O$773*$X$773</f>
        <v>135389.16511999999</v>
      </c>
      <c r="AE773" s="6">
        <f>$K$773*$Y$773</f>
        <v>0</v>
      </c>
      <c r="AF773" s="6">
        <f ca="1">$M$773*$Z$773</f>
        <v>139720.1940940299</v>
      </c>
      <c r="AG773" s="6">
        <f>$O$773*$AA$773</f>
        <v>146790.53028466535</v>
      </c>
    </row>
    <row r="774" spans="1:33" ht="11.25" customHeight="1" x14ac:dyDescent="0.25">
      <c r="A774" s="4" t="s">
        <v>27</v>
      </c>
      <c r="B774" s="4" t="s">
        <v>22</v>
      </c>
      <c r="C774" s="4" t="s">
        <v>23</v>
      </c>
      <c r="D774" s="4" t="s">
        <v>24</v>
      </c>
      <c r="E774" s="4" t="s">
        <v>29</v>
      </c>
      <c r="F774" s="4" t="s">
        <v>25</v>
      </c>
      <c r="G774" s="4" t="s">
        <v>25</v>
      </c>
      <c r="H774" s="4" t="s">
        <v>25</v>
      </c>
      <c r="I774" s="5">
        <v>44287</v>
      </c>
      <c r="J774" s="6">
        <v>0</v>
      </c>
      <c r="K774" s="6">
        <v>0</v>
      </c>
      <c r="L774" s="6">
        <v>3.3000000000000002E-2</v>
      </c>
      <c r="M774" s="6">
        <v>3.3000000000000002E-2</v>
      </c>
      <c r="N774" s="6">
        <v>3.3000000000000002E-2</v>
      </c>
      <c r="O774" s="6">
        <v>3.3000000000000002E-2</v>
      </c>
      <c r="P774" s="6">
        <v>1</v>
      </c>
      <c r="Q774" s="4" t="s">
        <v>26</v>
      </c>
      <c r="R774" s="4">
        <v>0</v>
      </c>
      <c r="S774" s="6">
        <v>0</v>
      </c>
      <c r="T774" s="6">
        <v>34</v>
      </c>
      <c r="U774" s="6">
        <v>74</v>
      </c>
      <c r="V774" s="6">
        <f>IF(ISERROR(VLOOKUP($S$774,'TAR FIN'!$A$1:$O$100,15,0)),0,VLOOKUP($S$774,'TAR FIN'!$A$1:$O$100,15,0))</f>
        <v>0</v>
      </c>
      <c r="W774" s="6">
        <f>IF(ISERROR(VLOOKUP($T$774,'TAR FIN'!$A$1:$O$100,15,0)),0,VLOOKUP($T$774,'TAR FIN'!$A$1:$O$100,15,0))</f>
        <v>86.27</v>
      </c>
      <c r="X774" s="6">
        <f>IF(ISERROR(VLOOKUP($U$774,'TAR FIN'!$A$1:$O$100,15,0)),0,VLOOKUP($U$774,'TAR FIN'!$A$1:$O$100,15,0))</f>
        <v>80.959999999999994</v>
      </c>
      <c r="Y774" s="6"/>
      <c r="Z77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4" s="6">
        <f>('TE BE'!$AA$14+'TE BF'!$AA$14+'TE CVA'!$AA$14)*(1-CUSTOS!$M$34)</f>
        <v>87.777787249911555</v>
      </c>
      <c r="AB774" s="6">
        <f>$K$774*$V$774</f>
        <v>0</v>
      </c>
      <c r="AC774" s="6">
        <f>$M$774*$W$774</f>
        <v>2.8469099999999998</v>
      </c>
      <c r="AD774" s="6">
        <f>$O$774*$X$774</f>
        <v>2.6716799999999998</v>
      </c>
      <c r="AE774" s="6">
        <f>$K$774*$Y$774</f>
        <v>0</v>
      </c>
      <c r="AF774" s="6">
        <f ca="1">$M$774*$Z$774</f>
        <v>2.7571456536147507</v>
      </c>
      <c r="AG774" s="6">
        <f>$O$774*$AA$774</f>
        <v>2.8966669792470814</v>
      </c>
    </row>
    <row r="775" spans="1:33" ht="11.25" customHeight="1" x14ac:dyDescent="0.25">
      <c r="A775" s="4" t="s">
        <v>28</v>
      </c>
      <c r="B775" s="4" t="s">
        <v>22</v>
      </c>
      <c r="C775" s="4" t="s">
        <v>23</v>
      </c>
      <c r="D775" s="4" t="s">
        <v>24</v>
      </c>
      <c r="E775" s="4" t="s">
        <v>29</v>
      </c>
      <c r="F775" s="4" t="s">
        <v>25</v>
      </c>
      <c r="G775" s="4" t="s">
        <v>25</v>
      </c>
      <c r="H775" s="4" t="s">
        <v>25</v>
      </c>
      <c r="I775" s="5">
        <v>44287</v>
      </c>
      <c r="J775" s="6">
        <v>0</v>
      </c>
      <c r="K775" s="6">
        <v>0</v>
      </c>
      <c r="L775" s="6">
        <v>0.45</v>
      </c>
      <c r="M775" s="6">
        <v>0.45</v>
      </c>
      <c r="N775" s="6">
        <v>0.45</v>
      </c>
      <c r="O775" s="6">
        <v>0.45</v>
      </c>
      <c r="P775" s="6">
        <v>0</v>
      </c>
      <c r="Q775" s="4" t="s">
        <v>26</v>
      </c>
      <c r="R775" s="4">
        <v>0</v>
      </c>
      <c r="S775" s="6">
        <v>0</v>
      </c>
      <c r="T775" s="6">
        <v>34</v>
      </c>
      <c r="U775" s="6">
        <v>74</v>
      </c>
      <c r="V775" s="6">
        <f>IF(ISERROR(VLOOKUP($S$775,'TAR FIN'!$A$1:$O$100,15,0)),0,VLOOKUP($S$775,'TAR FIN'!$A$1:$O$100,15,0))</f>
        <v>0</v>
      </c>
      <c r="W775" s="6">
        <f>IF(ISERROR(VLOOKUP($T$775,'TAR FIN'!$A$1:$O$100,15,0)),0,VLOOKUP($T$775,'TAR FIN'!$A$1:$O$100,15,0))</f>
        <v>86.27</v>
      </c>
      <c r="X775" s="6">
        <f>IF(ISERROR(VLOOKUP($U$775,'TAR FIN'!$A$1:$O$100,15,0)),0,VLOOKUP($U$775,'TAR FIN'!$A$1:$O$100,15,0))</f>
        <v>80.959999999999994</v>
      </c>
      <c r="Y775" s="6"/>
      <c r="Z77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5" s="6">
        <f>('TE BE'!$AA$14+'TE BF'!$AA$14+'TE CVA'!$AA$14)*(1-CUSTOS!$M$34)</f>
        <v>87.777787249911555</v>
      </c>
      <c r="AB775" s="6">
        <f>$K$775*$V$775</f>
        <v>0</v>
      </c>
      <c r="AC775" s="6">
        <f>$M$775*$W$775</f>
        <v>38.8215</v>
      </c>
      <c r="AD775" s="6">
        <f>$O$775*$X$775</f>
        <v>36.431999999999995</v>
      </c>
      <c r="AE775" s="6">
        <f>$K$775*$Y$775</f>
        <v>0</v>
      </c>
      <c r="AF775" s="6">
        <f ca="1">$M$775*$Z$775</f>
        <v>37.597440731110233</v>
      </c>
      <c r="AG775" s="6">
        <f>$O$775*$AA$775</f>
        <v>39.500004262460202</v>
      </c>
    </row>
    <row r="776" spans="1:33" ht="11.25" customHeight="1" x14ac:dyDescent="0.25">
      <c r="A776" s="4" t="s">
        <v>21</v>
      </c>
      <c r="B776" s="4" t="s">
        <v>22</v>
      </c>
      <c r="C776" s="4" t="s">
        <v>23</v>
      </c>
      <c r="D776" s="4" t="s">
        <v>24</v>
      </c>
      <c r="E776" s="4" t="s">
        <v>29</v>
      </c>
      <c r="F776" s="4" t="s">
        <v>25</v>
      </c>
      <c r="G776" s="4" t="s">
        <v>25</v>
      </c>
      <c r="H776" s="4" t="s">
        <v>25</v>
      </c>
      <c r="I776" s="5">
        <v>44317</v>
      </c>
      <c r="J776" s="6">
        <v>0</v>
      </c>
      <c r="K776" s="6">
        <v>0</v>
      </c>
      <c r="L776" s="6">
        <v>1676.741</v>
      </c>
      <c r="M776" s="6">
        <v>1676.741</v>
      </c>
      <c r="N776" s="6">
        <v>1676.741</v>
      </c>
      <c r="O776" s="6">
        <v>1676.741</v>
      </c>
      <c r="P776" s="6">
        <v>5077</v>
      </c>
      <c r="Q776" s="4" t="s">
        <v>26</v>
      </c>
      <c r="R776" s="4">
        <v>0</v>
      </c>
      <c r="S776" s="6">
        <v>0</v>
      </c>
      <c r="T776" s="6">
        <v>34</v>
      </c>
      <c r="U776" s="6">
        <v>74</v>
      </c>
      <c r="V776" s="6">
        <f>IF(ISERROR(VLOOKUP($S$776,'TAR FIN'!$A$1:$O$100,15,0)),0,VLOOKUP($S$776,'TAR FIN'!$A$1:$O$100,15,0))</f>
        <v>0</v>
      </c>
      <c r="W776" s="6">
        <f>IF(ISERROR(VLOOKUP($T$776,'TAR FIN'!$A$1:$O$100,15,0)),0,VLOOKUP($T$776,'TAR FIN'!$A$1:$O$100,15,0))</f>
        <v>86.27</v>
      </c>
      <c r="X776" s="6">
        <f>IF(ISERROR(VLOOKUP($U$776,'TAR FIN'!$A$1:$O$100,15,0)),0,VLOOKUP($U$776,'TAR FIN'!$A$1:$O$100,15,0))</f>
        <v>80.959999999999994</v>
      </c>
      <c r="Y776" s="6"/>
      <c r="Z776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6" s="6">
        <f>('TE BE'!$AA$14+'TE BF'!$AA$14+'TE CVA'!$AA$14)*(1-CUSTOS!$M$34)</f>
        <v>87.777787249911555</v>
      </c>
      <c r="AB776" s="6">
        <f>$K$776*$V$776</f>
        <v>0</v>
      </c>
      <c r="AC776" s="6">
        <f>$M$776*$W$776</f>
        <v>144652.44607000001</v>
      </c>
      <c r="AD776" s="6">
        <f>$O$776*$X$776</f>
        <v>135748.95135999998</v>
      </c>
      <c r="AE776" s="6">
        <f>$K$776*$Y$776</f>
        <v>0</v>
      </c>
      <c r="AF776" s="6">
        <f ca="1">$M$776*$Z$776</f>
        <v>140091.48970871669</v>
      </c>
      <c r="AG776" s="6">
        <f>$O$776*$AA$776</f>
        <v>147180.61477120395</v>
      </c>
    </row>
    <row r="777" spans="1:33" ht="11.25" customHeight="1" x14ac:dyDescent="0.25">
      <c r="A777" s="4" t="s">
        <v>27</v>
      </c>
      <c r="B777" s="4" t="s">
        <v>22</v>
      </c>
      <c r="C777" s="4" t="s">
        <v>23</v>
      </c>
      <c r="D777" s="4" t="s">
        <v>24</v>
      </c>
      <c r="E777" s="4" t="s">
        <v>29</v>
      </c>
      <c r="F777" s="4" t="s">
        <v>25</v>
      </c>
      <c r="G777" s="4" t="s">
        <v>25</v>
      </c>
      <c r="H777" s="4" t="s">
        <v>25</v>
      </c>
      <c r="I777" s="5">
        <v>44317</v>
      </c>
      <c r="J777" s="6">
        <v>0</v>
      </c>
      <c r="K777" s="6">
        <v>0</v>
      </c>
      <c r="L777" s="6">
        <v>4.2000000000000003E-2</v>
      </c>
      <c r="M777" s="6">
        <v>4.2000000000000003E-2</v>
      </c>
      <c r="N777" s="6">
        <v>4.2000000000000003E-2</v>
      </c>
      <c r="O777" s="6">
        <v>4.2000000000000003E-2</v>
      </c>
      <c r="P777" s="6">
        <v>3</v>
      </c>
      <c r="Q777" s="4" t="s">
        <v>26</v>
      </c>
      <c r="R777" s="4">
        <v>0</v>
      </c>
      <c r="S777" s="6">
        <v>0</v>
      </c>
      <c r="T777" s="6">
        <v>34</v>
      </c>
      <c r="U777" s="6">
        <v>74</v>
      </c>
      <c r="V777" s="6">
        <f>IF(ISERROR(VLOOKUP($S$777,'TAR FIN'!$A$1:$O$100,15,0)),0,VLOOKUP($S$777,'TAR FIN'!$A$1:$O$100,15,0))</f>
        <v>0</v>
      </c>
      <c r="W777" s="6">
        <f>IF(ISERROR(VLOOKUP($T$777,'TAR FIN'!$A$1:$O$100,15,0)),0,VLOOKUP($T$777,'TAR FIN'!$A$1:$O$100,15,0))</f>
        <v>86.27</v>
      </c>
      <c r="X777" s="6">
        <f>IF(ISERROR(VLOOKUP($U$777,'TAR FIN'!$A$1:$O$100,15,0)),0,VLOOKUP($U$777,'TAR FIN'!$A$1:$O$100,15,0))</f>
        <v>80.959999999999994</v>
      </c>
      <c r="Y777" s="6"/>
      <c r="Z777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7" s="6">
        <f>('TE BE'!$AA$14+'TE BF'!$AA$14+'TE CVA'!$AA$14)*(1-CUSTOS!$M$34)</f>
        <v>87.777787249911555</v>
      </c>
      <c r="AB777" s="6">
        <f>$K$777*$V$777</f>
        <v>0</v>
      </c>
      <c r="AC777" s="6">
        <f>$M$777*$W$777</f>
        <v>3.6233400000000002</v>
      </c>
      <c r="AD777" s="6">
        <f>$O$777*$X$777</f>
        <v>3.4003199999999998</v>
      </c>
      <c r="AE777" s="6">
        <f>$K$777*$Y$777</f>
        <v>0</v>
      </c>
      <c r="AF777" s="6">
        <f ca="1">$M$777*$Z$777</f>
        <v>3.5090944682369556</v>
      </c>
      <c r="AG777" s="6">
        <f>$O$777*$AA$777</f>
        <v>3.6866670644962856</v>
      </c>
    </row>
    <row r="778" spans="1:33" ht="11.25" customHeight="1" x14ac:dyDescent="0.25">
      <c r="A778" s="4" t="s">
        <v>28</v>
      </c>
      <c r="B778" s="4" t="s">
        <v>22</v>
      </c>
      <c r="C778" s="4" t="s">
        <v>23</v>
      </c>
      <c r="D778" s="4" t="s">
        <v>24</v>
      </c>
      <c r="E778" s="4" t="s">
        <v>29</v>
      </c>
      <c r="F778" s="4" t="s">
        <v>25</v>
      </c>
      <c r="G778" s="4" t="s">
        <v>25</v>
      </c>
      <c r="H778" s="4" t="s">
        <v>25</v>
      </c>
      <c r="I778" s="5">
        <v>44317</v>
      </c>
      <c r="J778" s="6">
        <v>0</v>
      </c>
      <c r="K778" s="6">
        <v>0</v>
      </c>
      <c r="L778" s="6">
        <v>0.48</v>
      </c>
      <c r="M778" s="6">
        <v>0.48</v>
      </c>
      <c r="N778" s="6">
        <v>0.48</v>
      </c>
      <c r="O778" s="6">
        <v>0.48</v>
      </c>
      <c r="P778" s="6">
        <v>1</v>
      </c>
      <c r="Q778" s="4" t="s">
        <v>26</v>
      </c>
      <c r="R778" s="4">
        <v>0</v>
      </c>
      <c r="S778" s="6">
        <v>0</v>
      </c>
      <c r="T778" s="6">
        <v>34</v>
      </c>
      <c r="U778" s="6">
        <v>74</v>
      </c>
      <c r="V778" s="6">
        <f>IF(ISERROR(VLOOKUP($S$778,'TAR FIN'!$A$1:$O$100,15,0)),0,VLOOKUP($S$778,'TAR FIN'!$A$1:$O$100,15,0))</f>
        <v>0</v>
      </c>
      <c r="W778" s="6">
        <f>IF(ISERROR(VLOOKUP($T$778,'TAR FIN'!$A$1:$O$100,15,0)),0,VLOOKUP($T$778,'TAR FIN'!$A$1:$O$100,15,0))</f>
        <v>86.27</v>
      </c>
      <c r="X778" s="6">
        <f>IF(ISERROR(VLOOKUP($U$778,'TAR FIN'!$A$1:$O$100,15,0)),0,VLOOKUP($U$778,'TAR FIN'!$A$1:$O$100,15,0))</f>
        <v>80.959999999999994</v>
      </c>
      <c r="Y778" s="6"/>
      <c r="Z77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8" s="6">
        <f>('TE BE'!$AA$14+'TE BF'!$AA$14+'TE CVA'!$AA$14)*(1-CUSTOS!$M$34)</f>
        <v>87.777787249911555</v>
      </c>
      <c r="AB778" s="6">
        <f>$K$778*$V$778</f>
        <v>0</v>
      </c>
      <c r="AC778" s="6">
        <f>$M$778*$W$778</f>
        <v>41.409599999999998</v>
      </c>
      <c r="AD778" s="6">
        <f>$O$778*$X$778</f>
        <v>38.860799999999998</v>
      </c>
      <c r="AE778" s="6">
        <f>$K$778*$Y$778</f>
        <v>0</v>
      </c>
      <c r="AF778" s="6">
        <f ca="1">$M$778*$Z$778</f>
        <v>40.103936779850919</v>
      </c>
      <c r="AG778" s="6">
        <f>$O$778*$AA$778</f>
        <v>42.133337879957544</v>
      </c>
    </row>
    <row r="779" spans="1:33" ht="11.25" customHeight="1" x14ac:dyDescent="0.25">
      <c r="A779" s="4" t="s">
        <v>21</v>
      </c>
      <c r="B779" s="4" t="s">
        <v>22</v>
      </c>
      <c r="C779" s="4" t="s">
        <v>23</v>
      </c>
      <c r="D779" s="4" t="s">
        <v>24</v>
      </c>
      <c r="E779" s="4" t="s">
        <v>29</v>
      </c>
      <c r="F779" s="4" t="s">
        <v>25</v>
      </c>
      <c r="G779" s="4" t="s">
        <v>25</v>
      </c>
      <c r="H779" s="4" t="s">
        <v>25</v>
      </c>
      <c r="I779" s="5">
        <v>44348</v>
      </c>
      <c r="J779" s="6">
        <v>0</v>
      </c>
      <c r="K779" s="6">
        <v>0</v>
      </c>
      <c r="L779" s="6">
        <v>1685.271</v>
      </c>
      <c r="M779" s="6">
        <v>1685.271</v>
      </c>
      <c r="N779" s="6">
        <v>1685.271</v>
      </c>
      <c r="O779" s="6">
        <v>1685.271</v>
      </c>
      <c r="P779" s="6">
        <v>5372</v>
      </c>
      <c r="Q779" s="4" t="s">
        <v>26</v>
      </c>
      <c r="R779" s="4">
        <v>0</v>
      </c>
      <c r="S779" s="6">
        <v>0</v>
      </c>
      <c r="T779" s="6">
        <v>34</v>
      </c>
      <c r="U779" s="6">
        <v>74</v>
      </c>
      <c r="V779" s="6">
        <f>IF(ISERROR(VLOOKUP($S$779,'TAR FIN'!$A$1:$O$100,15,0)),0,VLOOKUP($S$779,'TAR FIN'!$A$1:$O$100,15,0))</f>
        <v>0</v>
      </c>
      <c r="W779" s="6">
        <f>IF(ISERROR(VLOOKUP($T$779,'TAR FIN'!$A$1:$O$100,15,0)),0,VLOOKUP($T$779,'TAR FIN'!$A$1:$O$100,15,0))</f>
        <v>86.27</v>
      </c>
      <c r="X779" s="6">
        <f>IF(ISERROR(VLOOKUP($U$779,'TAR FIN'!$A$1:$O$100,15,0)),0,VLOOKUP($U$779,'TAR FIN'!$A$1:$O$100,15,0))</f>
        <v>80.959999999999994</v>
      </c>
      <c r="Y779" s="6"/>
      <c r="Z77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79" s="6">
        <f>('TE BE'!$AA$14+'TE BF'!$AA$14+'TE CVA'!$AA$14)*(1-CUSTOS!$M$34)</f>
        <v>87.777787249911555</v>
      </c>
      <c r="AB779" s="6">
        <f>$K$779*$V$779</f>
        <v>0</v>
      </c>
      <c r="AC779" s="6">
        <f>$M$779*$W$779</f>
        <v>145388.32916999998</v>
      </c>
      <c r="AD779" s="6">
        <f>$O$779*$X$779</f>
        <v>136439.54015999998</v>
      </c>
      <c r="AE779" s="6">
        <f>$K$779*$Y$779</f>
        <v>0</v>
      </c>
      <c r="AF779" s="6">
        <f ca="1">$M$779*$Z$779</f>
        <v>140804.17008524193</v>
      </c>
      <c r="AG779" s="6">
        <f>$O$779*$AA$779</f>
        <v>147929.35929644571</v>
      </c>
    </row>
    <row r="780" spans="1:33" ht="11.25" customHeight="1" x14ac:dyDescent="0.25">
      <c r="A780" s="4" t="s">
        <v>27</v>
      </c>
      <c r="B780" s="4" t="s">
        <v>22</v>
      </c>
      <c r="C780" s="4" t="s">
        <v>23</v>
      </c>
      <c r="D780" s="4" t="s">
        <v>24</v>
      </c>
      <c r="E780" s="4" t="s">
        <v>29</v>
      </c>
      <c r="F780" s="4" t="s">
        <v>25</v>
      </c>
      <c r="G780" s="4" t="s">
        <v>25</v>
      </c>
      <c r="H780" s="4" t="s">
        <v>25</v>
      </c>
      <c r="I780" s="5">
        <v>44348</v>
      </c>
      <c r="J780" s="6">
        <v>0</v>
      </c>
      <c r="K780" s="6">
        <v>0</v>
      </c>
      <c r="L780" s="6">
        <v>0.70599999999999996</v>
      </c>
      <c r="M780" s="6">
        <v>0.70599999999999996</v>
      </c>
      <c r="N780" s="6">
        <v>0.70599999999999996</v>
      </c>
      <c r="O780" s="6">
        <v>0.70599999999999996</v>
      </c>
      <c r="P780" s="6">
        <v>6</v>
      </c>
      <c r="Q780" s="4" t="s">
        <v>26</v>
      </c>
      <c r="R780" s="4">
        <v>0</v>
      </c>
      <c r="S780" s="6">
        <v>0</v>
      </c>
      <c r="T780" s="6">
        <v>34</v>
      </c>
      <c r="U780" s="6">
        <v>74</v>
      </c>
      <c r="V780" s="6">
        <f>IF(ISERROR(VLOOKUP($S$780,'TAR FIN'!$A$1:$O$100,15,0)),0,VLOOKUP($S$780,'TAR FIN'!$A$1:$O$100,15,0))</f>
        <v>0</v>
      </c>
      <c r="W780" s="6">
        <f>IF(ISERROR(VLOOKUP($T$780,'TAR FIN'!$A$1:$O$100,15,0)),0,VLOOKUP($T$780,'TAR FIN'!$A$1:$O$100,15,0))</f>
        <v>86.27</v>
      </c>
      <c r="X780" s="6">
        <f>IF(ISERROR(VLOOKUP($U$780,'TAR FIN'!$A$1:$O$100,15,0)),0,VLOOKUP($U$780,'TAR FIN'!$A$1:$O$100,15,0))</f>
        <v>80.959999999999994</v>
      </c>
      <c r="Y780" s="6"/>
      <c r="Z78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0" s="6">
        <f>('TE BE'!$AA$14+'TE BF'!$AA$14+'TE CVA'!$AA$14)*(1-CUSTOS!$M$34)</f>
        <v>87.777787249911555</v>
      </c>
      <c r="AB780" s="6">
        <f>$K$780*$V$780</f>
        <v>0</v>
      </c>
      <c r="AC780" s="6">
        <f>$M$780*$W$780</f>
        <v>60.906619999999997</v>
      </c>
      <c r="AD780" s="6">
        <f>$O$780*$X$780</f>
        <v>57.157759999999989</v>
      </c>
      <c r="AE780" s="6">
        <f>$K$780*$Y$780</f>
        <v>0</v>
      </c>
      <c r="AF780" s="6">
        <f ca="1">$M$780*$Z$780</f>
        <v>58.986207013697388</v>
      </c>
      <c r="AG780" s="6">
        <f>$O$780*$AA$780</f>
        <v>61.971117798437554</v>
      </c>
    </row>
    <row r="781" spans="1:33" ht="11.25" customHeight="1" x14ac:dyDescent="0.25">
      <c r="A781" s="4" t="s">
        <v>28</v>
      </c>
      <c r="B781" s="4" t="s">
        <v>22</v>
      </c>
      <c r="C781" s="4" t="s">
        <v>23</v>
      </c>
      <c r="D781" s="4" t="s">
        <v>24</v>
      </c>
      <c r="E781" s="4" t="s">
        <v>29</v>
      </c>
      <c r="F781" s="4" t="s">
        <v>25</v>
      </c>
      <c r="G781" s="4" t="s">
        <v>25</v>
      </c>
      <c r="H781" s="4" t="s">
        <v>25</v>
      </c>
      <c r="I781" s="5">
        <v>44348</v>
      </c>
      <c r="J781" s="6">
        <v>0</v>
      </c>
      <c r="K781" s="6">
        <v>0</v>
      </c>
      <c r="L781" s="6">
        <v>0.54</v>
      </c>
      <c r="M781" s="6">
        <v>0.54</v>
      </c>
      <c r="N781" s="6">
        <v>0.54</v>
      </c>
      <c r="O781" s="6">
        <v>0.54</v>
      </c>
      <c r="P781" s="6">
        <v>1</v>
      </c>
      <c r="Q781" s="4" t="s">
        <v>26</v>
      </c>
      <c r="R781" s="4">
        <v>0</v>
      </c>
      <c r="S781" s="6">
        <v>0</v>
      </c>
      <c r="T781" s="6">
        <v>34</v>
      </c>
      <c r="U781" s="6">
        <v>74</v>
      </c>
      <c r="V781" s="6">
        <f>IF(ISERROR(VLOOKUP($S$781,'TAR FIN'!$A$1:$O$100,15,0)),0,VLOOKUP($S$781,'TAR FIN'!$A$1:$O$100,15,0))</f>
        <v>0</v>
      </c>
      <c r="W781" s="6">
        <f>IF(ISERROR(VLOOKUP($T$781,'TAR FIN'!$A$1:$O$100,15,0)),0,VLOOKUP($T$781,'TAR FIN'!$A$1:$O$100,15,0))</f>
        <v>86.27</v>
      </c>
      <c r="X781" s="6">
        <f>IF(ISERROR(VLOOKUP($U$781,'TAR FIN'!$A$1:$O$100,15,0)),0,VLOOKUP($U$781,'TAR FIN'!$A$1:$O$100,15,0))</f>
        <v>80.959999999999994</v>
      </c>
      <c r="Y781" s="6"/>
      <c r="Z78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1" s="6">
        <f>('TE BE'!$AA$14+'TE BF'!$AA$14+'TE CVA'!$AA$14)*(1-CUSTOS!$M$34)</f>
        <v>87.777787249911555</v>
      </c>
      <c r="AB781" s="6">
        <f>$K$781*$V$781</f>
        <v>0</v>
      </c>
      <c r="AC781" s="6">
        <f>$M$781*$W$781</f>
        <v>46.585799999999999</v>
      </c>
      <c r="AD781" s="6">
        <f>$O$781*$X$781</f>
        <v>43.718400000000003</v>
      </c>
      <c r="AE781" s="6">
        <f>$K$781*$Y$781</f>
        <v>0</v>
      </c>
      <c r="AF781" s="6">
        <f ca="1">$M$781*$Z$781</f>
        <v>45.116928877332285</v>
      </c>
      <c r="AG781" s="6">
        <f>$O$781*$AA$781</f>
        <v>47.400005114952243</v>
      </c>
    </row>
    <row r="782" spans="1:33" ht="11.25" customHeight="1" x14ac:dyDescent="0.25">
      <c r="A782" s="4" t="s">
        <v>21</v>
      </c>
      <c r="B782" s="4" t="s">
        <v>22</v>
      </c>
      <c r="C782" s="4" t="s">
        <v>23</v>
      </c>
      <c r="D782" s="4" t="s">
        <v>24</v>
      </c>
      <c r="E782" s="4" t="s">
        <v>29</v>
      </c>
      <c r="F782" s="4" t="s">
        <v>25</v>
      </c>
      <c r="G782" s="4" t="s">
        <v>25</v>
      </c>
      <c r="H782" s="4" t="s">
        <v>25</v>
      </c>
      <c r="I782" s="5">
        <v>44378</v>
      </c>
      <c r="J782" s="6">
        <v>0</v>
      </c>
      <c r="K782" s="6">
        <v>0</v>
      </c>
      <c r="L782" s="6">
        <v>1704.3109999999999</v>
      </c>
      <c r="M782" s="6">
        <v>1704.3109999999999</v>
      </c>
      <c r="N782" s="6">
        <v>1704.3109999999999</v>
      </c>
      <c r="O782" s="6">
        <v>1704.3109999999999</v>
      </c>
      <c r="P782" s="6">
        <v>5324</v>
      </c>
      <c r="Q782" s="4" t="s">
        <v>26</v>
      </c>
      <c r="R782" s="4">
        <v>0</v>
      </c>
      <c r="S782" s="6">
        <v>0</v>
      </c>
      <c r="T782" s="6">
        <v>34</v>
      </c>
      <c r="U782" s="6">
        <v>74</v>
      </c>
      <c r="V782" s="6">
        <f>IF(ISERROR(VLOOKUP($S$782,'TAR FIN'!$A$1:$O$100,15,0)),0,VLOOKUP($S$782,'TAR FIN'!$A$1:$O$100,15,0))</f>
        <v>0</v>
      </c>
      <c r="W782" s="6">
        <f>IF(ISERROR(VLOOKUP($T$782,'TAR FIN'!$A$1:$O$100,15,0)),0,VLOOKUP($T$782,'TAR FIN'!$A$1:$O$100,15,0))</f>
        <v>86.27</v>
      </c>
      <c r="X782" s="6">
        <f>IF(ISERROR(VLOOKUP($U$782,'TAR FIN'!$A$1:$O$100,15,0)),0,VLOOKUP($U$782,'TAR FIN'!$A$1:$O$100,15,0))</f>
        <v>80.959999999999994</v>
      </c>
      <c r="Y782" s="6"/>
      <c r="Z78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2" s="6">
        <f>('TE BE'!$AA$14+'TE BF'!$AA$14+'TE CVA'!$AA$14)*(1-CUSTOS!$M$34)</f>
        <v>87.777787249911555</v>
      </c>
      <c r="AB782" s="6">
        <f>$K$782*$V$782</f>
        <v>0</v>
      </c>
      <c r="AC782" s="6">
        <f>$M$782*$W$782</f>
        <v>147030.90996999998</v>
      </c>
      <c r="AD782" s="6">
        <f>$O$782*$X$782</f>
        <v>137981.01856</v>
      </c>
      <c r="AE782" s="6">
        <f>$K$782*$Y$782</f>
        <v>0</v>
      </c>
      <c r="AF782" s="6">
        <f ca="1">$M$782*$Z$782</f>
        <v>142394.95957750935</v>
      </c>
      <c r="AG782" s="6">
        <f>$O$782*$AA$782</f>
        <v>149600.648365684</v>
      </c>
    </row>
    <row r="783" spans="1:33" ht="11.25" customHeight="1" x14ac:dyDescent="0.25">
      <c r="A783" s="4" t="s">
        <v>27</v>
      </c>
      <c r="B783" s="4" t="s">
        <v>22</v>
      </c>
      <c r="C783" s="4" t="s">
        <v>23</v>
      </c>
      <c r="D783" s="4" t="s">
        <v>24</v>
      </c>
      <c r="E783" s="4" t="s">
        <v>29</v>
      </c>
      <c r="F783" s="4" t="s">
        <v>25</v>
      </c>
      <c r="G783" s="4" t="s">
        <v>25</v>
      </c>
      <c r="H783" s="4" t="s">
        <v>25</v>
      </c>
      <c r="I783" s="5">
        <v>44378</v>
      </c>
      <c r="J783" s="6">
        <v>0</v>
      </c>
      <c r="K783" s="6">
        <v>0</v>
      </c>
      <c r="L783" s="6">
        <v>0.877</v>
      </c>
      <c r="M783" s="6">
        <v>0.877</v>
      </c>
      <c r="N783" s="6">
        <v>0.877</v>
      </c>
      <c r="O783" s="6">
        <v>0.877</v>
      </c>
      <c r="P783" s="6">
        <v>15</v>
      </c>
      <c r="Q783" s="4" t="s">
        <v>26</v>
      </c>
      <c r="R783" s="4">
        <v>0</v>
      </c>
      <c r="S783" s="6">
        <v>0</v>
      </c>
      <c r="T783" s="6">
        <v>34</v>
      </c>
      <c r="U783" s="6">
        <v>74</v>
      </c>
      <c r="V783" s="6">
        <f>IF(ISERROR(VLOOKUP($S$783,'TAR FIN'!$A$1:$O$100,15,0)),0,VLOOKUP($S$783,'TAR FIN'!$A$1:$O$100,15,0))</f>
        <v>0</v>
      </c>
      <c r="W783" s="6">
        <f>IF(ISERROR(VLOOKUP($T$783,'TAR FIN'!$A$1:$O$100,15,0)),0,VLOOKUP($T$783,'TAR FIN'!$A$1:$O$100,15,0))</f>
        <v>86.27</v>
      </c>
      <c r="X783" s="6">
        <f>IF(ISERROR(VLOOKUP($U$783,'TAR FIN'!$A$1:$O$100,15,0)),0,VLOOKUP($U$783,'TAR FIN'!$A$1:$O$100,15,0))</f>
        <v>80.959999999999994</v>
      </c>
      <c r="Y783" s="6"/>
      <c r="Z78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3" s="6">
        <f>('TE BE'!$AA$14+'TE BF'!$AA$14+'TE CVA'!$AA$14)*(1-CUSTOS!$M$34)</f>
        <v>87.777787249911555</v>
      </c>
      <c r="AB783" s="6">
        <f>$K$783*$V$783</f>
        <v>0</v>
      </c>
      <c r="AC783" s="6">
        <f>$M$783*$W$783</f>
        <v>75.658789999999996</v>
      </c>
      <c r="AD783" s="6">
        <f>$O$783*$X$783</f>
        <v>71.001919999999998</v>
      </c>
      <c r="AE783" s="6">
        <f>$K$783*$Y$783</f>
        <v>0</v>
      </c>
      <c r="AF783" s="6">
        <f ca="1">$M$783*$Z$783</f>
        <v>73.273234491519275</v>
      </c>
      <c r="AG783" s="6">
        <f>$O$783*$AA$783</f>
        <v>76.98111941817244</v>
      </c>
    </row>
    <row r="784" spans="1:33" ht="11.25" customHeight="1" x14ac:dyDescent="0.25">
      <c r="A784" s="4" t="s">
        <v>28</v>
      </c>
      <c r="B784" s="4" t="s">
        <v>22</v>
      </c>
      <c r="C784" s="4" t="s">
        <v>23</v>
      </c>
      <c r="D784" s="4" t="s">
        <v>24</v>
      </c>
      <c r="E784" s="4" t="s">
        <v>29</v>
      </c>
      <c r="F784" s="4" t="s">
        <v>25</v>
      </c>
      <c r="G784" s="4" t="s">
        <v>25</v>
      </c>
      <c r="H784" s="4" t="s">
        <v>25</v>
      </c>
      <c r="I784" s="5">
        <v>44378</v>
      </c>
      <c r="J784" s="6">
        <v>0</v>
      </c>
      <c r="K784" s="6">
        <v>0</v>
      </c>
      <c r="L784" s="6">
        <v>0.75</v>
      </c>
      <c r="M784" s="6">
        <v>0.75</v>
      </c>
      <c r="N784" s="6">
        <v>0.75</v>
      </c>
      <c r="O784" s="6">
        <v>0.75</v>
      </c>
      <c r="P784" s="6">
        <v>1</v>
      </c>
      <c r="Q784" s="4" t="s">
        <v>26</v>
      </c>
      <c r="R784" s="4">
        <v>0</v>
      </c>
      <c r="S784" s="6">
        <v>0</v>
      </c>
      <c r="T784" s="6">
        <v>34</v>
      </c>
      <c r="U784" s="6">
        <v>74</v>
      </c>
      <c r="V784" s="6">
        <f>IF(ISERROR(VLOOKUP($S$784,'TAR FIN'!$A$1:$O$100,15,0)),0,VLOOKUP($S$784,'TAR FIN'!$A$1:$O$100,15,0))</f>
        <v>0</v>
      </c>
      <c r="W784" s="6">
        <f>IF(ISERROR(VLOOKUP($T$784,'TAR FIN'!$A$1:$O$100,15,0)),0,VLOOKUP($T$784,'TAR FIN'!$A$1:$O$100,15,0))</f>
        <v>86.27</v>
      </c>
      <c r="X784" s="6">
        <f>IF(ISERROR(VLOOKUP($U$784,'TAR FIN'!$A$1:$O$100,15,0)),0,VLOOKUP($U$784,'TAR FIN'!$A$1:$O$100,15,0))</f>
        <v>80.959999999999994</v>
      </c>
      <c r="Y784" s="6"/>
      <c r="Z78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4" s="6">
        <f>('TE BE'!$AA$14+'TE BF'!$AA$14+'TE CVA'!$AA$14)*(1-CUSTOS!$M$34)</f>
        <v>87.777787249911555</v>
      </c>
      <c r="AB784" s="6">
        <f>$K$784*$V$784</f>
        <v>0</v>
      </c>
      <c r="AC784" s="6">
        <f>$M$784*$W$784</f>
        <v>64.702500000000001</v>
      </c>
      <c r="AD784" s="6">
        <f>$O$784*$X$784</f>
        <v>60.72</v>
      </c>
      <c r="AE784" s="6">
        <f>$K$784*$Y$784</f>
        <v>0</v>
      </c>
      <c r="AF784" s="6">
        <f ca="1">$M$784*$Z$784</f>
        <v>62.662401218517061</v>
      </c>
      <c r="AG784" s="6">
        <f>$O$784*$AA$784</f>
        <v>65.833340437433662</v>
      </c>
    </row>
    <row r="785" spans="1:33" ht="11.25" customHeight="1" x14ac:dyDescent="0.25">
      <c r="A785" s="4" t="s">
        <v>21</v>
      </c>
      <c r="B785" s="4" t="s">
        <v>22</v>
      </c>
      <c r="C785" s="4" t="s">
        <v>23</v>
      </c>
      <c r="D785" s="4" t="s">
        <v>24</v>
      </c>
      <c r="E785" s="4" t="s">
        <v>29</v>
      </c>
      <c r="F785" s="4" t="s">
        <v>25</v>
      </c>
      <c r="G785" s="4" t="s">
        <v>25</v>
      </c>
      <c r="H785" s="4" t="s">
        <v>25</v>
      </c>
      <c r="I785" s="5">
        <v>44409</v>
      </c>
      <c r="J785" s="6">
        <v>0</v>
      </c>
      <c r="K785" s="6">
        <v>0</v>
      </c>
      <c r="L785" s="6">
        <v>1720.7809999999999</v>
      </c>
      <c r="M785" s="6">
        <v>1720.7809999999999</v>
      </c>
      <c r="N785" s="6">
        <v>1720.7809999999999</v>
      </c>
      <c r="O785" s="6">
        <v>1720.7809999999999</v>
      </c>
      <c r="P785" s="6">
        <v>5751</v>
      </c>
      <c r="Q785" s="4" t="s">
        <v>26</v>
      </c>
      <c r="R785" s="4">
        <v>0</v>
      </c>
      <c r="S785" s="6">
        <v>0</v>
      </c>
      <c r="T785" s="6">
        <v>34</v>
      </c>
      <c r="U785" s="6">
        <v>74</v>
      </c>
      <c r="V785" s="6">
        <f>IF(ISERROR(VLOOKUP($S$785,'TAR FIN'!$A$1:$O$100,15,0)),0,VLOOKUP($S$785,'TAR FIN'!$A$1:$O$100,15,0))</f>
        <v>0</v>
      </c>
      <c r="W785" s="6">
        <f>IF(ISERROR(VLOOKUP($T$785,'TAR FIN'!$A$1:$O$100,15,0)),0,VLOOKUP($T$785,'TAR FIN'!$A$1:$O$100,15,0))</f>
        <v>86.27</v>
      </c>
      <c r="X785" s="6">
        <f>IF(ISERROR(VLOOKUP($U$785,'TAR FIN'!$A$1:$O$100,15,0)),0,VLOOKUP($U$785,'TAR FIN'!$A$1:$O$100,15,0))</f>
        <v>80.959999999999994</v>
      </c>
      <c r="Y785" s="6"/>
      <c r="Z78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5" s="6">
        <f>('TE BE'!$AA$14+'TE BF'!$AA$14+'TE CVA'!$AA$14)*(1-CUSTOS!$M$34)</f>
        <v>87.777787249911555</v>
      </c>
      <c r="AB785" s="6">
        <f>$K$785*$V$785</f>
        <v>0</v>
      </c>
      <c r="AC785" s="6">
        <f>$M$785*$W$785</f>
        <v>148451.77687</v>
      </c>
      <c r="AD785" s="6">
        <f>$O$785*$X$785</f>
        <v>139314.42976</v>
      </c>
      <c r="AE785" s="6">
        <f>$K$785*$Y$785</f>
        <v>0</v>
      </c>
      <c r="AF785" s="6">
        <f ca="1">$M$785*$Z$785</f>
        <v>143771.025908268</v>
      </c>
      <c r="AG785" s="6">
        <f>$O$785*$AA$785</f>
        <v>151046.34852169006</v>
      </c>
    </row>
    <row r="786" spans="1:33" ht="11.25" customHeight="1" x14ac:dyDescent="0.25">
      <c r="A786" s="4" t="s">
        <v>27</v>
      </c>
      <c r="B786" s="4" t="s">
        <v>22</v>
      </c>
      <c r="C786" s="4" t="s">
        <v>23</v>
      </c>
      <c r="D786" s="4" t="s">
        <v>24</v>
      </c>
      <c r="E786" s="4" t="s">
        <v>29</v>
      </c>
      <c r="F786" s="4" t="s">
        <v>25</v>
      </c>
      <c r="G786" s="4" t="s">
        <v>25</v>
      </c>
      <c r="H786" s="4" t="s">
        <v>25</v>
      </c>
      <c r="I786" s="5">
        <v>44409</v>
      </c>
      <c r="J786" s="6">
        <v>0</v>
      </c>
      <c r="K786" s="6">
        <v>0</v>
      </c>
      <c r="L786" s="6">
        <v>0.33500000000000002</v>
      </c>
      <c r="M786" s="6">
        <v>0.33500000000000002</v>
      </c>
      <c r="N786" s="6">
        <v>0.33500000000000002</v>
      </c>
      <c r="O786" s="6">
        <v>0.33500000000000002</v>
      </c>
      <c r="P786" s="6">
        <v>8</v>
      </c>
      <c r="Q786" s="4" t="s">
        <v>26</v>
      </c>
      <c r="R786" s="4">
        <v>0</v>
      </c>
      <c r="S786" s="6">
        <v>0</v>
      </c>
      <c r="T786" s="6">
        <v>34</v>
      </c>
      <c r="U786" s="6">
        <v>74</v>
      </c>
      <c r="V786" s="6">
        <f>IF(ISERROR(VLOOKUP($S$786,'TAR FIN'!$A$1:$O$100,15,0)),0,VLOOKUP($S$786,'TAR FIN'!$A$1:$O$100,15,0))</f>
        <v>0</v>
      </c>
      <c r="W786" s="6">
        <f>IF(ISERROR(VLOOKUP($T$786,'TAR FIN'!$A$1:$O$100,15,0)),0,VLOOKUP($T$786,'TAR FIN'!$A$1:$O$100,15,0))</f>
        <v>86.27</v>
      </c>
      <c r="X786" s="6">
        <f>IF(ISERROR(VLOOKUP($U$786,'TAR FIN'!$A$1:$O$100,15,0)),0,VLOOKUP($U$786,'TAR FIN'!$A$1:$O$100,15,0))</f>
        <v>80.959999999999994</v>
      </c>
      <c r="Y786" s="6"/>
      <c r="Z786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6" s="6">
        <f>('TE BE'!$AA$14+'TE BF'!$AA$14+'TE CVA'!$AA$14)*(1-CUSTOS!$M$34)</f>
        <v>87.777787249911555</v>
      </c>
      <c r="AB786" s="6">
        <f>$K$786*$V$786</f>
        <v>0</v>
      </c>
      <c r="AC786" s="6">
        <f>$M$786*$W$786</f>
        <v>28.900449999999999</v>
      </c>
      <c r="AD786" s="6">
        <f>$O$786*$X$786</f>
        <v>27.121600000000001</v>
      </c>
      <c r="AE786" s="6">
        <f>$K$786*$Y$786</f>
        <v>0</v>
      </c>
      <c r="AF786" s="6">
        <f ca="1">$M$786*$Z$786</f>
        <v>27.989205877604288</v>
      </c>
      <c r="AG786" s="6">
        <f>$O$786*$AA$786</f>
        <v>29.405558728720372</v>
      </c>
    </row>
    <row r="787" spans="1:33" ht="11.25" customHeight="1" x14ac:dyDescent="0.25">
      <c r="A787" s="4" t="s">
        <v>28</v>
      </c>
      <c r="B787" s="4" t="s">
        <v>22</v>
      </c>
      <c r="C787" s="4" t="s">
        <v>23</v>
      </c>
      <c r="D787" s="4" t="s">
        <v>24</v>
      </c>
      <c r="E787" s="4" t="s">
        <v>29</v>
      </c>
      <c r="F787" s="4" t="s">
        <v>25</v>
      </c>
      <c r="G787" s="4" t="s">
        <v>25</v>
      </c>
      <c r="H787" s="4" t="s">
        <v>25</v>
      </c>
      <c r="I787" s="5">
        <v>44409</v>
      </c>
      <c r="J787" s="6">
        <v>0</v>
      </c>
      <c r="K787" s="6">
        <v>0</v>
      </c>
      <c r="L787" s="6">
        <v>0.87</v>
      </c>
      <c r="M787" s="6">
        <v>0.87</v>
      </c>
      <c r="N787" s="6">
        <v>0.87</v>
      </c>
      <c r="O787" s="6">
        <v>0.87</v>
      </c>
      <c r="P787" s="6">
        <v>2</v>
      </c>
      <c r="Q787" s="4" t="s">
        <v>26</v>
      </c>
      <c r="R787" s="4">
        <v>0</v>
      </c>
      <c r="S787" s="6">
        <v>0</v>
      </c>
      <c r="T787" s="6">
        <v>34</v>
      </c>
      <c r="U787" s="6">
        <v>74</v>
      </c>
      <c r="V787" s="6">
        <f>IF(ISERROR(VLOOKUP($S$787,'TAR FIN'!$A$1:$O$100,15,0)),0,VLOOKUP($S$787,'TAR FIN'!$A$1:$O$100,15,0))</f>
        <v>0</v>
      </c>
      <c r="W787" s="6">
        <f>IF(ISERROR(VLOOKUP($T$787,'TAR FIN'!$A$1:$O$100,15,0)),0,VLOOKUP($T$787,'TAR FIN'!$A$1:$O$100,15,0))</f>
        <v>86.27</v>
      </c>
      <c r="X787" s="6">
        <f>IF(ISERROR(VLOOKUP($U$787,'TAR FIN'!$A$1:$O$100,15,0)),0,VLOOKUP($U$787,'TAR FIN'!$A$1:$O$100,15,0))</f>
        <v>80.959999999999994</v>
      </c>
      <c r="Y787" s="6"/>
      <c r="Z787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7" s="6">
        <f>('TE BE'!$AA$14+'TE BF'!$AA$14+'TE CVA'!$AA$14)*(1-CUSTOS!$M$34)</f>
        <v>87.777787249911555</v>
      </c>
      <c r="AB787" s="6">
        <f>$K$787*$V$787</f>
        <v>0</v>
      </c>
      <c r="AC787" s="6">
        <f>$M$787*$W$787</f>
        <v>75.054899999999989</v>
      </c>
      <c r="AD787" s="6">
        <f>$O$787*$X$787</f>
        <v>70.435199999999995</v>
      </c>
      <c r="AE787" s="6">
        <f>$K$787*$Y$787</f>
        <v>0</v>
      </c>
      <c r="AF787" s="6">
        <f ca="1">$M$787*$Z$787</f>
        <v>72.688385413479793</v>
      </c>
      <c r="AG787" s="6">
        <f>$O$787*$AA$787</f>
        <v>76.366674907423047</v>
      </c>
    </row>
    <row r="788" spans="1:33" ht="11.25" customHeight="1" x14ac:dyDescent="0.25">
      <c r="A788" s="4" t="s">
        <v>28</v>
      </c>
      <c r="B788" s="4" t="s">
        <v>22</v>
      </c>
      <c r="C788" s="4" t="s">
        <v>23</v>
      </c>
      <c r="D788" s="4" t="s">
        <v>24</v>
      </c>
      <c r="E788" s="4" t="s">
        <v>29</v>
      </c>
      <c r="F788" s="4" t="s">
        <v>25</v>
      </c>
      <c r="G788" s="4" t="s">
        <v>25</v>
      </c>
      <c r="H788" s="4" t="s">
        <v>25</v>
      </c>
      <c r="I788" s="5">
        <v>44409</v>
      </c>
      <c r="J788" s="6">
        <v>0</v>
      </c>
      <c r="K788" s="6">
        <v>0</v>
      </c>
      <c r="L788" s="6">
        <v>6.9000000000000006E-2</v>
      </c>
      <c r="M788" s="6">
        <v>6.9000000000000006E-2</v>
      </c>
      <c r="N788" s="6">
        <v>6.9000000000000006E-2</v>
      </c>
      <c r="O788" s="6">
        <v>6.9000000000000006E-2</v>
      </c>
      <c r="P788" s="6">
        <v>1</v>
      </c>
      <c r="Q788" s="4" t="s">
        <v>26</v>
      </c>
      <c r="R788" s="4">
        <v>0</v>
      </c>
      <c r="S788" s="6">
        <v>0</v>
      </c>
      <c r="T788" s="6">
        <v>34</v>
      </c>
      <c r="U788" s="6">
        <v>74</v>
      </c>
      <c r="V788" s="6">
        <f>IF(ISERROR(VLOOKUP($S$788,'TAR FIN'!$A$1:$O$100,15,0)),0,VLOOKUP($S$788,'TAR FIN'!$A$1:$O$100,15,0))</f>
        <v>0</v>
      </c>
      <c r="W788" s="6">
        <f>IF(ISERROR(VLOOKUP($T$788,'TAR FIN'!$A$1:$O$100,15,0)),0,VLOOKUP($T$788,'TAR FIN'!$A$1:$O$100,15,0))</f>
        <v>86.27</v>
      </c>
      <c r="X788" s="6">
        <f>IF(ISERROR(VLOOKUP($U$788,'TAR FIN'!$A$1:$O$100,15,0)),0,VLOOKUP($U$788,'TAR FIN'!$A$1:$O$100,15,0))</f>
        <v>80.959999999999994</v>
      </c>
      <c r="Y788" s="6"/>
      <c r="Z78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8" s="6">
        <f>('TE BE'!$AA$14+'TE BF'!$AA$14+'TE CVA'!$AA$14)*(1-CUSTOS!$M$34)</f>
        <v>87.777787249911555</v>
      </c>
      <c r="AB788" s="6">
        <f>$K$788*$V$788</f>
        <v>0</v>
      </c>
      <c r="AC788" s="6">
        <f>$M$788*$W$788</f>
        <v>5.9526300000000001</v>
      </c>
      <c r="AD788" s="6">
        <f>$O$788*$X$788</f>
        <v>5.5862400000000001</v>
      </c>
      <c r="AE788" s="6">
        <f>$K$788*$Y$788</f>
        <v>0</v>
      </c>
      <c r="AF788" s="6">
        <f ca="1">$M$788*$Z$788</f>
        <v>5.7649409121035697</v>
      </c>
      <c r="AG788" s="6">
        <f>$O$788*$AA$788</f>
        <v>6.0566673202438981</v>
      </c>
    </row>
    <row r="789" spans="1:33" ht="11.25" customHeight="1" x14ac:dyDescent="0.25">
      <c r="A789" s="4" t="s">
        <v>21</v>
      </c>
      <c r="B789" s="4" t="s">
        <v>22</v>
      </c>
      <c r="C789" s="4" t="s">
        <v>23</v>
      </c>
      <c r="D789" s="4" t="s">
        <v>24</v>
      </c>
      <c r="E789" s="4" t="s">
        <v>29</v>
      </c>
      <c r="F789" s="4" t="s">
        <v>25</v>
      </c>
      <c r="G789" s="4" t="s">
        <v>25</v>
      </c>
      <c r="H789" s="4" t="s">
        <v>25</v>
      </c>
      <c r="I789" s="5">
        <v>44440</v>
      </c>
      <c r="J789" s="6">
        <v>0</v>
      </c>
      <c r="K789" s="6">
        <v>0</v>
      </c>
      <c r="L789" s="6">
        <v>1696.527</v>
      </c>
      <c r="M789" s="6">
        <v>1696.527</v>
      </c>
      <c r="N789" s="6">
        <v>1696.527</v>
      </c>
      <c r="O789" s="6">
        <v>1696.527</v>
      </c>
      <c r="P789" s="6">
        <v>5382</v>
      </c>
      <c r="Q789" s="4" t="s">
        <v>26</v>
      </c>
      <c r="R789" s="4">
        <v>0</v>
      </c>
      <c r="S789" s="6">
        <v>0</v>
      </c>
      <c r="T789" s="6">
        <v>34</v>
      </c>
      <c r="U789" s="6">
        <v>74</v>
      </c>
      <c r="V789" s="6">
        <f>IF(ISERROR(VLOOKUP($S$789,'TAR FIN'!$A$1:$O$100,15,0)),0,VLOOKUP($S$789,'TAR FIN'!$A$1:$O$100,15,0))</f>
        <v>0</v>
      </c>
      <c r="W789" s="6">
        <f>IF(ISERROR(VLOOKUP($T$789,'TAR FIN'!$A$1:$O$100,15,0)),0,VLOOKUP($T$789,'TAR FIN'!$A$1:$O$100,15,0))</f>
        <v>86.27</v>
      </c>
      <c r="X789" s="6">
        <f>IF(ISERROR(VLOOKUP($U$789,'TAR FIN'!$A$1:$O$100,15,0)),0,VLOOKUP($U$789,'TAR FIN'!$A$1:$O$100,15,0))</f>
        <v>80.959999999999994</v>
      </c>
      <c r="Y789" s="6"/>
      <c r="Z78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89" s="6">
        <f>('TE BE'!$AA$14+'TE BF'!$AA$14+'TE CVA'!$AA$14)*(1-CUSTOS!$M$34)</f>
        <v>87.777787249911555</v>
      </c>
      <c r="AB789" s="6">
        <f>$K$789*$V$789</f>
        <v>0</v>
      </c>
      <c r="AC789" s="6">
        <f>$M$789*$W$789</f>
        <v>146359.38428999999</v>
      </c>
      <c r="AD789" s="6">
        <f>$O$789*$X$789</f>
        <v>137350.82592</v>
      </c>
      <c r="AE789" s="6">
        <f>$K$789*$Y$789</f>
        <v>0</v>
      </c>
      <c r="AF789" s="6">
        <f ca="1">$M$789*$Z$789</f>
        <v>141744.60740272945</v>
      </c>
      <c r="AG789" s="6">
        <f>$O$789*$AA$789</f>
        <v>148917.38606973071</v>
      </c>
    </row>
    <row r="790" spans="1:33" ht="11.25" customHeight="1" x14ac:dyDescent="0.25">
      <c r="A790" s="4" t="s">
        <v>27</v>
      </c>
      <c r="B790" s="4" t="s">
        <v>22</v>
      </c>
      <c r="C790" s="4" t="s">
        <v>23</v>
      </c>
      <c r="D790" s="4" t="s">
        <v>24</v>
      </c>
      <c r="E790" s="4" t="s">
        <v>29</v>
      </c>
      <c r="F790" s="4" t="s">
        <v>25</v>
      </c>
      <c r="G790" s="4" t="s">
        <v>25</v>
      </c>
      <c r="H790" s="4" t="s">
        <v>25</v>
      </c>
      <c r="I790" s="5">
        <v>44440</v>
      </c>
      <c r="J790" s="6">
        <v>0</v>
      </c>
      <c r="K790" s="6">
        <v>0</v>
      </c>
      <c r="L790" s="6">
        <v>2.5000000000000001E-2</v>
      </c>
      <c r="M790" s="6">
        <v>2.5000000000000001E-2</v>
      </c>
      <c r="N790" s="6">
        <v>2.5000000000000001E-2</v>
      </c>
      <c r="O790" s="6">
        <v>2.5000000000000001E-2</v>
      </c>
      <c r="P790" s="6">
        <v>2</v>
      </c>
      <c r="Q790" s="4" t="s">
        <v>26</v>
      </c>
      <c r="R790" s="4">
        <v>0</v>
      </c>
      <c r="S790" s="6">
        <v>0</v>
      </c>
      <c r="T790" s="6">
        <v>34</v>
      </c>
      <c r="U790" s="6">
        <v>74</v>
      </c>
      <c r="V790" s="6">
        <f>IF(ISERROR(VLOOKUP($S$790,'TAR FIN'!$A$1:$O$100,15,0)),0,VLOOKUP($S$790,'TAR FIN'!$A$1:$O$100,15,0))</f>
        <v>0</v>
      </c>
      <c r="W790" s="6">
        <f>IF(ISERROR(VLOOKUP($T$790,'TAR FIN'!$A$1:$O$100,15,0)),0,VLOOKUP($T$790,'TAR FIN'!$A$1:$O$100,15,0))</f>
        <v>86.27</v>
      </c>
      <c r="X790" s="6">
        <f>IF(ISERROR(VLOOKUP($U$790,'TAR FIN'!$A$1:$O$100,15,0)),0,VLOOKUP($U$790,'TAR FIN'!$A$1:$O$100,15,0))</f>
        <v>80.959999999999994</v>
      </c>
      <c r="Y790" s="6"/>
      <c r="Z79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0" s="6">
        <f>('TE BE'!$AA$14+'TE BF'!$AA$14+'TE CVA'!$AA$14)*(1-CUSTOS!$M$34)</f>
        <v>87.777787249911555</v>
      </c>
      <c r="AB790" s="6">
        <f>$K$790*$V$790</f>
        <v>0</v>
      </c>
      <c r="AC790" s="6">
        <f>$M$790*$W$790</f>
        <v>2.1567500000000002</v>
      </c>
      <c r="AD790" s="6">
        <f>$O$790*$X$790</f>
        <v>2.024</v>
      </c>
      <c r="AE790" s="6">
        <f>$K$790*$Y$790</f>
        <v>0</v>
      </c>
      <c r="AF790" s="6">
        <f ca="1">$M$790*$Z$790</f>
        <v>2.0887467072839021</v>
      </c>
      <c r="AG790" s="6">
        <f>$O$790*$AA$790</f>
        <v>2.1944446812477891</v>
      </c>
    </row>
    <row r="791" spans="1:33" ht="11.25" customHeight="1" x14ac:dyDescent="0.25">
      <c r="A791" s="4" t="s">
        <v>28</v>
      </c>
      <c r="B791" s="4" t="s">
        <v>22</v>
      </c>
      <c r="C791" s="4" t="s">
        <v>23</v>
      </c>
      <c r="D791" s="4" t="s">
        <v>24</v>
      </c>
      <c r="E791" s="4" t="s">
        <v>29</v>
      </c>
      <c r="F791" s="4" t="s">
        <v>25</v>
      </c>
      <c r="G791" s="4" t="s">
        <v>25</v>
      </c>
      <c r="H791" s="4" t="s">
        <v>25</v>
      </c>
      <c r="I791" s="5">
        <v>44440</v>
      </c>
      <c r="J791" s="6">
        <v>0</v>
      </c>
      <c r="K791" s="6">
        <v>0</v>
      </c>
      <c r="L791" s="6">
        <v>0.96</v>
      </c>
      <c r="M791" s="6">
        <v>0.96</v>
      </c>
      <c r="N791" s="6">
        <v>0.96</v>
      </c>
      <c r="O791" s="6">
        <v>0.96</v>
      </c>
      <c r="P791" s="6">
        <v>6</v>
      </c>
      <c r="Q791" s="4" t="s">
        <v>26</v>
      </c>
      <c r="R791" s="4">
        <v>0</v>
      </c>
      <c r="S791" s="6">
        <v>0</v>
      </c>
      <c r="T791" s="6">
        <v>34</v>
      </c>
      <c r="U791" s="6">
        <v>74</v>
      </c>
      <c r="V791" s="6">
        <f>IF(ISERROR(VLOOKUP($S$791,'TAR FIN'!$A$1:$O$100,15,0)),0,VLOOKUP($S$791,'TAR FIN'!$A$1:$O$100,15,0))</f>
        <v>0</v>
      </c>
      <c r="W791" s="6">
        <f>IF(ISERROR(VLOOKUP($T$791,'TAR FIN'!$A$1:$O$100,15,0)),0,VLOOKUP($T$791,'TAR FIN'!$A$1:$O$100,15,0))</f>
        <v>86.27</v>
      </c>
      <c r="X791" s="6">
        <f>IF(ISERROR(VLOOKUP($U$791,'TAR FIN'!$A$1:$O$100,15,0)),0,VLOOKUP($U$791,'TAR FIN'!$A$1:$O$100,15,0))</f>
        <v>80.959999999999994</v>
      </c>
      <c r="Y791" s="6"/>
      <c r="Z79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1" s="6">
        <f>('TE BE'!$AA$14+'TE BF'!$AA$14+'TE CVA'!$AA$14)*(1-CUSTOS!$M$34)</f>
        <v>87.777787249911555</v>
      </c>
      <c r="AB791" s="6">
        <f>$K$791*$V$791</f>
        <v>0</v>
      </c>
      <c r="AC791" s="6">
        <f>$M$791*$W$791</f>
        <v>82.819199999999995</v>
      </c>
      <c r="AD791" s="6">
        <f>$O$791*$X$791</f>
        <v>77.721599999999995</v>
      </c>
      <c r="AE791" s="6">
        <f>$K$791*$Y$791</f>
        <v>0</v>
      </c>
      <c r="AF791" s="6">
        <f ca="1">$M$791*$Z$791</f>
        <v>80.207873559701838</v>
      </c>
      <c r="AG791" s="6">
        <f>$O$791*$AA$791</f>
        <v>84.266675759915088</v>
      </c>
    </row>
    <row r="792" spans="1:33" ht="11.25" customHeight="1" x14ac:dyDescent="0.25">
      <c r="A792" s="4" t="s">
        <v>21</v>
      </c>
      <c r="B792" s="4" t="s">
        <v>22</v>
      </c>
      <c r="C792" s="4" t="s">
        <v>23</v>
      </c>
      <c r="D792" s="4" t="s">
        <v>24</v>
      </c>
      <c r="E792" s="4" t="s">
        <v>29</v>
      </c>
      <c r="F792" s="4" t="s">
        <v>25</v>
      </c>
      <c r="G792" s="4" t="s">
        <v>25</v>
      </c>
      <c r="H792" s="4" t="s">
        <v>25</v>
      </c>
      <c r="I792" s="5">
        <v>44470</v>
      </c>
      <c r="J792" s="6">
        <v>0</v>
      </c>
      <c r="K792" s="6">
        <v>0</v>
      </c>
      <c r="L792" s="6">
        <v>1721.364</v>
      </c>
      <c r="M792" s="6">
        <v>1721.364</v>
      </c>
      <c r="N792" s="6">
        <v>1721.364</v>
      </c>
      <c r="O792" s="6">
        <v>1721.364</v>
      </c>
      <c r="P792" s="6">
        <v>5232</v>
      </c>
      <c r="Q792" s="4" t="s">
        <v>26</v>
      </c>
      <c r="R792" s="4">
        <v>0</v>
      </c>
      <c r="S792" s="6">
        <v>0</v>
      </c>
      <c r="T792" s="6">
        <v>34</v>
      </c>
      <c r="U792" s="6">
        <v>74</v>
      </c>
      <c r="V792" s="6">
        <f>IF(ISERROR(VLOOKUP($S$792,'TAR FIN'!$A$1:$O$100,15,0)),0,VLOOKUP($S$792,'TAR FIN'!$A$1:$O$100,15,0))</f>
        <v>0</v>
      </c>
      <c r="W792" s="6">
        <f>IF(ISERROR(VLOOKUP($T$792,'TAR FIN'!$A$1:$O$100,15,0)),0,VLOOKUP($T$792,'TAR FIN'!$A$1:$O$100,15,0))</f>
        <v>86.27</v>
      </c>
      <c r="X792" s="6">
        <f>IF(ISERROR(VLOOKUP($U$792,'TAR FIN'!$A$1:$O$100,15,0)),0,VLOOKUP($U$792,'TAR FIN'!$A$1:$O$100,15,0))</f>
        <v>80.959999999999994</v>
      </c>
      <c r="Y792" s="6"/>
      <c r="Z79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2" s="6">
        <f>('TE BE'!$AA$14+'TE BF'!$AA$14+'TE CVA'!$AA$14)*(1-CUSTOS!$M$34)</f>
        <v>87.777787249911555</v>
      </c>
      <c r="AB792" s="6">
        <f>$K$792*$V$792</f>
        <v>0</v>
      </c>
      <c r="AC792" s="6">
        <f>$M$792*$W$792</f>
        <v>148502.07227999999</v>
      </c>
      <c r="AD792" s="6">
        <f>$O$792*$X$792</f>
        <v>139361.62943999999</v>
      </c>
      <c r="AE792" s="6">
        <f>$K$792*$Y$792</f>
        <v>0</v>
      </c>
      <c r="AF792" s="6">
        <f ca="1">$M$792*$Z$792</f>
        <v>143819.73548148185</v>
      </c>
      <c r="AG792" s="6">
        <f>$O$792*$AA$792</f>
        <v>151097.52297165676</v>
      </c>
    </row>
    <row r="793" spans="1:33" ht="11.25" customHeight="1" x14ac:dyDescent="0.25">
      <c r="A793" s="4" t="s">
        <v>28</v>
      </c>
      <c r="B793" s="4" t="s">
        <v>22</v>
      </c>
      <c r="C793" s="4" t="s">
        <v>23</v>
      </c>
      <c r="D793" s="4" t="s">
        <v>24</v>
      </c>
      <c r="E793" s="4" t="s">
        <v>29</v>
      </c>
      <c r="F793" s="4" t="s">
        <v>25</v>
      </c>
      <c r="G793" s="4" t="s">
        <v>25</v>
      </c>
      <c r="H793" s="4" t="s">
        <v>25</v>
      </c>
      <c r="I793" s="5">
        <v>44470</v>
      </c>
      <c r="J793" s="6">
        <v>0</v>
      </c>
      <c r="K793" s="6">
        <v>0</v>
      </c>
      <c r="L793" s="6">
        <v>1.08</v>
      </c>
      <c r="M793" s="6">
        <v>1.08</v>
      </c>
      <c r="N793" s="6">
        <v>1.08</v>
      </c>
      <c r="O793" s="6">
        <v>1.08</v>
      </c>
      <c r="P793" s="6">
        <v>2</v>
      </c>
      <c r="Q793" s="4" t="s">
        <v>26</v>
      </c>
      <c r="R793" s="4">
        <v>0</v>
      </c>
      <c r="S793" s="6">
        <v>0</v>
      </c>
      <c r="T793" s="6">
        <v>34</v>
      </c>
      <c r="U793" s="6">
        <v>74</v>
      </c>
      <c r="V793" s="6">
        <f>IF(ISERROR(VLOOKUP($S$793,'TAR FIN'!$A$1:$O$100,15,0)),0,VLOOKUP($S$793,'TAR FIN'!$A$1:$O$100,15,0))</f>
        <v>0</v>
      </c>
      <c r="W793" s="6">
        <f>IF(ISERROR(VLOOKUP($T$793,'TAR FIN'!$A$1:$O$100,15,0)),0,VLOOKUP($T$793,'TAR FIN'!$A$1:$O$100,15,0))</f>
        <v>86.27</v>
      </c>
      <c r="X793" s="6">
        <f>IF(ISERROR(VLOOKUP($U$793,'TAR FIN'!$A$1:$O$100,15,0)),0,VLOOKUP($U$793,'TAR FIN'!$A$1:$O$100,15,0))</f>
        <v>80.959999999999994</v>
      </c>
      <c r="Y793" s="6"/>
      <c r="Z79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3" s="6">
        <f>('TE BE'!$AA$14+'TE BF'!$AA$14+'TE CVA'!$AA$14)*(1-CUSTOS!$M$34)</f>
        <v>87.777787249911555</v>
      </c>
      <c r="AB793" s="6">
        <f>$K$793*$V$793</f>
        <v>0</v>
      </c>
      <c r="AC793" s="6">
        <f>$M$793*$W$793</f>
        <v>93.171599999999998</v>
      </c>
      <c r="AD793" s="6">
        <f>$O$793*$X$793</f>
        <v>87.436800000000005</v>
      </c>
      <c r="AE793" s="6">
        <f>$K$793*$Y$793</f>
        <v>0</v>
      </c>
      <c r="AF793" s="6">
        <f ca="1">$M$793*$Z$793</f>
        <v>90.233857754664569</v>
      </c>
      <c r="AG793" s="6">
        <f>$O$793*$AA$793</f>
        <v>94.800010229904487</v>
      </c>
    </row>
    <row r="794" spans="1:33" ht="11.25" customHeight="1" x14ac:dyDescent="0.25">
      <c r="A794" s="4" t="s">
        <v>21</v>
      </c>
      <c r="B794" s="4" t="s">
        <v>22</v>
      </c>
      <c r="C794" s="4" t="s">
        <v>23</v>
      </c>
      <c r="D794" s="4" t="s">
        <v>24</v>
      </c>
      <c r="E794" s="4" t="s">
        <v>29</v>
      </c>
      <c r="F794" s="4" t="s">
        <v>25</v>
      </c>
      <c r="G794" s="4" t="s">
        <v>25</v>
      </c>
      <c r="H794" s="4" t="s">
        <v>25</v>
      </c>
      <c r="I794" s="5">
        <v>44501</v>
      </c>
      <c r="J794" s="6">
        <v>0</v>
      </c>
      <c r="K794" s="6">
        <v>0</v>
      </c>
      <c r="L794" s="6">
        <v>1726.7349999999999</v>
      </c>
      <c r="M794" s="6">
        <v>1726.7349999999999</v>
      </c>
      <c r="N794" s="6">
        <v>1726.7349999999999</v>
      </c>
      <c r="O794" s="6">
        <v>1726.7349999999999</v>
      </c>
      <c r="P794" s="6">
        <v>5311</v>
      </c>
      <c r="Q794" s="4" t="s">
        <v>26</v>
      </c>
      <c r="R794" s="4">
        <v>0</v>
      </c>
      <c r="S794" s="6">
        <v>0</v>
      </c>
      <c r="T794" s="6">
        <v>34</v>
      </c>
      <c r="U794" s="6">
        <v>74</v>
      </c>
      <c r="V794" s="6">
        <f>IF(ISERROR(VLOOKUP($S$794,'TAR FIN'!$A$1:$O$100,15,0)),0,VLOOKUP($S$794,'TAR FIN'!$A$1:$O$100,15,0))</f>
        <v>0</v>
      </c>
      <c r="W794" s="6">
        <f>IF(ISERROR(VLOOKUP($T$794,'TAR FIN'!$A$1:$O$100,15,0)),0,VLOOKUP($T$794,'TAR FIN'!$A$1:$O$100,15,0))</f>
        <v>86.27</v>
      </c>
      <c r="X794" s="6">
        <f>IF(ISERROR(VLOOKUP($U$794,'TAR FIN'!$A$1:$O$100,15,0)),0,VLOOKUP($U$794,'TAR FIN'!$A$1:$O$100,15,0))</f>
        <v>80.959999999999994</v>
      </c>
      <c r="Y794" s="6"/>
      <c r="Z79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4" s="6">
        <f>('TE BE'!$AA$14+'TE BF'!$AA$14+'TE CVA'!$AA$14)*(1-CUSTOS!$M$34)</f>
        <v>87.777787249911555</v>
      </c>
      <c r="AB794" s="6">
        <f>$K$794*$V$794</f>
        <v>0</v>
      </c>
      <c r="AC794" s="6">
        <f>$M$794*$W$794</f>
        <v>148965.42844999998</v>
      </c>
      <c r="AD794" s="6">
        <f>$O$794*$X$794</f>
        <v>139796.46559999997</v>
      </c>
      <c r="AE794" s="6">
        <f>$K$794*$Y$794</f>
        <v>0</v>
      </c>
      <c r="AF794" s="6">
        <f ca="1">$M$794*$Z$794</f>
        <v>144268.48182407473</v>
      </c>
      <c r="AG794" s="6">
        <f>$O$794*$AA$794</f>
        <v>151568.97746697601</v>
      </c>
    </row>
    <row r="795" spans="1:33" ht="11.25" customHeight="1" x14ac:dyDescent="0.25">
      <c r="A795" s="4" t="s">
        <v>27</v>
      </c>
      <c r="B795" s="4" t="s">
        <v>22</v>
      </c>
      <c r="C795" s="4" t="s">
        <v>23</v>
      </c>
      <c r="D795" s="4" t="s">
        <v>24</v>
      </c>
      <c r="E795" s="4" t="s">
        <v>29</v>
      </c>
      <c r="F795" s="4" t="s">
        <v>25</v>
      </c>
      <c r="G795" s="4" t="s">
        <v>25</v>
      </c>
      <c r="H795" s="4" t="s">
        <v>25</v>
      </c>
      <c r="I795" s="5">
        <v>44501</v>
      </c>
      <c r="J795" s="6">
        <v>0</v>
      </c>
      <c r="K795" s="6">
        <v>0</v>
      </c>
      <c r="L795" s="6">
        <v>0.46300000000000002</v>
      </c>
      <c r="M795" s="6">
        <v>0.46300000000000002</v>
      </c>
      <c r="N795" s="6">
        <v>0.46300000000000002</v>
      </c>
      <c r="O795" s="6">
        <v>0.46300000000000002</v>
      </c>
      <c r="P795" s="6">
        <v>4</v>
      </c>
      <c r="Q795" s="4" t="s">
        <v>26</v>
      </c>
      <c r="R795" s="4">
        <v>0</v>
      </c>
      <c r="S795" s="6">
        <v>0</v>
      </c>
      <c r="T795" s="6">
        <v>34</v>
      </c>
      <c r="U795" s="6">
        <v>74</v>
      </c>
      <c r="V795" s="6">
        <f>IF(ISERROR(VLOOKUP($S$795,'TAR FIN'!$A$1:$O$100,15,0)),0,VLOOKUP($S$795,'TAR FIN'!$A$1:$O$100,15,0))</f>
        <v>0</v>
      </c>
      <c r="W795" s="6">
        <f>IF(ISERROR(VLOOKUP($T$795,'TAR FIN'!$A$1:$O$100,15,0)),0,VLOOKUP($T$795,'TAR FIN'!$A$1:$O$100,15,0))</f>
        <v>86.27</v>
      </c>
      <c r="X795" s="6">
        <f>IF(ISERROR(VLOOKUP($U$795,'TAR FIN'!$A$1:$O$100,15,0)),0,VLOOKUP($U$795,'TAR FIN'!$A$1:$O$100,15,0))</f>
        <v>80.959999999999994</v>
      </c>
      <c r="Y795" s="6"/>
      <c r="Z79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5" s="6">
        <f>('TE BE'!$AA$14+'TE BF'!$AA$14+'TE CVA'!$AA$14)*(1-CUSTOS!$M$34)</f>
        <v>87.777787249911555</v>
      </c>
      <c r="AB795" s="6">
        <f>$K$795*$V$795</f>
        <v>0</v>
      </c>
      <c r="AC795" s="6">
        <f>$M$795*$W$795</f>
        <v>39.943010000000001</v>
      </c>
      <c r="AD795" s="6">
        <f>$O$795*$X$795</f>
        <v>37.484479999999998</v>
      </c>
      <c r="AE795" s="6">
        <f>$K$795*$Y$795</f>
        <v>0</v>
      </c>
      <c r="AF795" s="6">
        <f ca="1">$M$795*$Z$795</f>
        <v>38.683589018897862</v>
      </c>
      <c r="AG795" s="6">
        <f>$O$795*$AA$795</f>
        <v>40.641115496709048</v>
      </c>
    </row>
    <row r="796" spans="1:33" ht="11.25" customHeight="1" x14ac:dyDescent="0.25">
      <c r="A796" s="4" t="s">
        <v>28</v>
      </c>
      <c r="B796" s="4" t="s">
        <v>22</v>
      </c>
      <c r="C796" s="4" t="s">
        <v>23</v>
      </c>
      <c r="D796" s="4" t="s">
        <v>24</v>
      </c>
      <c r="E796" s="4" t="s">
        <v>29</v>
      </c>
      <c r="F796" s="4" t="s">
        <v>25</v>
      </c>
      <c r="G796" s="4" t="s">
        <v>25</v>
      </c>
      <c r="H796" s="4" t="s">
        <v>25</v>
      </c>
      <c r="I796" s="5">
        <v>44501</v>
      </c>
      <c r="J796" s="6">
        <v>0</v>
      </c>
      <c r="K796" s="6">
        <v>0</v>
      </c>
      <c r="L796" s="6">
        <v>1.2</v>
      </c>
      <c r="M796" s="6">
        <v>1.2</v>
      </c>
      <c r="N796" s="6">
        <v>1.2</v>
      </c>
      <c r="O796" s="6">
        <v>1.2</v>
      </c>
      <c r="P796" s="6">
        <v>3</v>
      </c>
      <c r="Q796" s="4" t="s">
        <v>26</v>
      </c>
      <c r="R796" s="4">
        <v>0</v>
      </c>
      <c r="S796" s="6">
        <v>0</v>
      </c>
      <c r="T796" s="6">
        <v>34</v>
      </c>
      <c r="U796" s="6">
        <v>74</v>
      </c>
      <c r="V796" s="6">
        <f>IF(ISERROR(VLOOKUP($S$796,'TAR FIN'!$A$1:$O$100,15,0)),0,VLOOKUP($S$796,'TAR FIN'!$A$1:$O$100,15,0))</f>
        <v>0</v>
      </c>
      <c r="W796" s="6">
        <f>IF(ISERROR(VLOOKUP($T$796,'TAR FIN'!$A$1:$O$100,15,0)),0,VLOOKUP($T$796,'TAR FIN'!$A$1:$O$100,15,0))</f>
        <v>86.27</v>
      </c>
      <c r="X796" s="6">
        <f>IF(ISERROR(VLOOKUP($U$796,'TAR FIN'!$A$1:$O$100,15,0)),0,VLOOKUP($U$796,'TAR FIN'!$A$1:$O$100,15,0))</f>
        <v>80.959999999999994</v>
      </c>
      <c r="Y796" s="6"/>
      <c r="Z796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6" s="6">
        <f>('TE BE'!$AA$14+'TE BF'!$AA$14+'TE CVA'!$AA$14)*(1-CUSTOS!$M$34)</f>
        <v>87.777787249911555</v>
      </c>
      <c r="AB796" s="6">
        <f>$K$796*$V$796</f>
        <v>0</v>
      </c>
      <c r="AC796" s="6">
        <f>$M$796*$W$796</f>
        <v>103.52399999999999</v>
      </c>
      <c r="AD796" s="6">
        <f>$O$796*$X$796</f>
        <v>97.151999999999987</v>
      </c>
      <c r="AE796" s="6">
        <f>$K$796*$Y$796</f>
        <v>0</v>
      </c>
      <c r="AF796" s="6">
        <f ca="1">$M$796*$Z$796</f>
        <v>100.25984194962729</v>
      </c>
      <c r="AG796" s="6">
        <f>$O$796*$AA$796</f>
        <v>105.33334469989386</v>
      </c>
    </row>
    <row r="797" spans="1:33" ht="11.25" customHeight="1" x14ac:dyDescent="0.25">
      <c r="A797" s="4" t="s">
        <v>21</v>
      </c>
      <c r="B797" s="4" t="s">
        <v>22</v>
      </c>
      <c r="C797" s="4" t="s">
        <v>23</v>
      </c>
      <c r="D797" s="4" t="s">
        <v>24</v>
      </c>
      <c r="E797" s="4" t="s">
        <v>29</v>
      </c>
      <c r="F797" s="4" t="s">
        <v>25</v>
      </c>
      <c r="G797" s="4" t="s">
        <v>25</v>
      </c>
      <c r="H797" s="4" t="s">
        <v>25</v>
      </c>
      <c r="I797" s="5">
        <v>44531</v>
      </c>
      <c r="J797" s="6">
        <v>0</v>
      </c>
      <c r="K797" s="6">
        <v>0</v>
      </c>
      <c r="L797" s="6">
        <v>1723.4369999999999</v>
      </c>
      <c r="M797" s="6">
        <v>1723.4369999999999</v>
      </c>
      <c r="N797" s="6">
        <v>1723.4369999999999</v>
      </c>
      <c r="O797" s="6">
        <v>1723.4369999999999</v>
      </c>
      <c r="P797" s="6">
        <v>5075</v>
      </c>
      <c r="Q797" s="4" t="s">
        <v>26</v>
      </c>
      <c r="R797" s="4">
        <v>0</v>
      </c>
      <c r="S797" s="6">
        <v>0</v>
      </c>
      <c r="T797" s="6">
        <v>34</v>
      </c>
      <c r="U797" s="6">
        <v>74</v>
      </c>
      <c r="V797" s="6">
        <f>IF(ISERROR(VLOOKUP($S$797,'TAR FIN'!$A$1:$O$100,15,0)),0,VLOOKUP($S$797,'TAR FIN'!$A$1:$O$100,15,0))</f>
        <v>0</v>
      </c>
      <c r="W797" s="6">
        <f>IF(ISERROR(VLOOKUP($T$797,'TAR FIN'!$A$1:$O$100,15,0)),0,VLOOKUP($T$797,'TAR FIN'!$A$1:$O$100,15,0))</f>
        <v>86.27</v>
      </c>
      <c r="X797" s="6">
        <f>IF(ISERROR(VLOOKUP($U$797,'TAR FIN'!$A$1:$O$100,15,0)),0,VLOOKUP($U$797,'TAR FIN'!$A$1:$O$100,15,0))</f>
        <v>80.959999999999994</v>
      </c>
      <c r="Y797" s="6"/>
      <c r="Z797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7" s="6">
        <f>('TE BE'!$AA$14+'TE BF'!$AA$14+'TE CVA'!$AA$14)*(1-CUSTOS!$M$34)</f>
        <v>87.777787249911555</v>
      </c>
      <c r="AB797" s="6">
        <f>$K$797*$V$797</f>
        <v>0</v>
      </c>
      <c r="AC797" s="6">
        <f>$M$797*$W$797</f>
        <v>148680.90998999999</v>
      </c>
      <c r="AD797" s="6">
        <f>$O$797*$X$797</f>
        <v>139529.45951999997</v>
      </c>
      <c r="AE797" s="6">
        <f>$K$797*$Y$797</f>
        <v>0</v>
      </c>
      <c r="AF797" s="6">
        <f ca="1">$M$797*$Z$797</f>
        <v>143992.93435844983</v>
      </c>
      <c r="AG797" s="6">
        <f>$O$797*$AA$797</f>
        <v>151279.48632462582</v>
      </c>
    </row>
    <row r="798" spans="1:33" ht="11.25" customHeight="1" x14ac:dyDescent="0.25">
      <c r="A798" s="4" t="s">
        <v>27</v>
      </c>
      <c r="B798" s="4" t="s">
        <v>22</v>
      </c>
      <c r="C798" s="4" t="s">
        <v>23</v>
      </c>
      <c r="D798" s="4" t="s">
        <v>24</v>
      </c>
      <c r="E798" s="4" t="s">
        <v>29</v>
      </c>
      <c r="F798" s="4" t="s">
        <v>25</v>
      </c>
      <c r="G798" s="4" t="s">
        <v>25</v>
      </c>
      <c r="H798" s="4" t="s">
        <v>25</v>
      </c>
      <c r="I798" s="5">
        <v>44531</v>
      </c>
      <c r="J798" s="6">
        <v>0</v>
      </c>
      <c r="K798" s="6">
        <v>0</v>
      </c>
      <c r="L798" s="6">
        <v>0.56299999999999994</v>
      </c>
      <c r="M798" s="6">
        <v>0.56299999999999994</v>
      </c>
      <c r="N798" s="6">
        <v>0.56299999999999994</v>
      </c>
      <c r="O798" s="6">
        <v>0.56299999999999994</v>
      </c>
      <c r="P798" s="6">
        <v>6</v>
      </c>
      <c r="Q798" s="4" t="s">
        <v>26</v>
      </c>
      <c r="R798" s="4">
        <v>0</v>
      </c>
      <c r="S798" s="6">
        <v>0</v>
      </c>
      <c r="T798" s="6">
        <v>34</v>
      </c>
      <c r="U798" s="6">
        <v>74</v>
      </c>
      <c r="V798" s="6">
        <f>IF(ISERROR(VLOOKUP($S$798,'TAR FIN'!$A$1:$O$100,15,0)),0,VLOOKUP($S$798,'TAR FIN'!$A$1:$O$100,15,0))</f>
        <v>0</v>
      </c>
      <c r="W798" s="6">
        <f>IF(ISERROR(VLOOKUP($T$798,'TAR FIN'!$A$1:$O$100,15,0)),0,VLOOKUP($T$798,'TAR FIN'!$A$1:$O$100,15,0))</f>
        <v>86.27</v>
      </c>
      <c r="X798" s="6">
        <f>IF(ISERROR(VLOOKUP($U$798,'TAR FIN'!$A$1:$O$100,15,0)),0,VLOOKUP($U$798,'TAR FIN'!$A$1:$O$100,15,0))</f>
        <v>80.959999999999994</v>
      </c>
      <c r="Y798" s="6"/>
      <c r="Z79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8" s="6">
        <f>('TE BE'!$AA$14+'TE BF'!$AA$14+'TE CVA'!$AA$14)*(1-CUSTOS!$M$34)</f>
        <v>87.777787249911555</v>
      </c>
      <c r="AB798" s="6">
        <f>$K$798*$V$798</f>
        <v>0</v>
      </c>
      <c r="AC798" s="6">
        <f>$M$798*$W$798</f>
        <v>48.570009999999996</v>
      </c>
      <c r="AD798" s="6">
        <f>$O$798*$X$798</f>
        <v>45.580479999999994</v>
      </c>
      <c r="AE798" s="6">
        <f>$K$798*$Y$798</f>
        <v>0</v>
      </c>
      <c r="AF798" s="6">
        <f ca="1">$M$798*$Z$798</f>
        <v>47.038575848033467</v>
      </c>
      <c r="AG798" s="6">
        <f>$O$798*$AA$798</f>
        <v>49.418894221700199</v>
      </c>
    </row>
    <row r="799" spans="1:33" ht="11.25" customHeight="1" x14ac:dyDescent="0.25">
      <c r="A799" s="4" t="s">
        <v>28</v>
      </c>
      <c r="B799" s="4" t="s">
        <v>22</v>
      </c>
      <c r="C799" s="4" t="s">
        <v>23</v>
      </c>
      <c r="D799" s="4" t="s">
        <v>24</v>
      </c>
      <c r="E799" s="4" t="s">
        <v>29</v>
      </c>
      <c r="F799" s="4" t="s">
        <v>25</v>
      </c>
      <c r="G799" s="4" t="s">
        <v>25</v>
      </c>
      <c r="H799" s="4" t="s">
        <v>25</v>
      </c>
      <c r="I799" s="5">
        <v>44531</v>
      </c>
      <c r="J799" s="6">
        <v>0</v>
      </c>
      <c r="K799" s="6">
        <v>0</v>
      </c>
      <c r="L799" s="6">
        <v>1.38</v>
      </c>
      <c r="M799" s="6">
        <v>1.38</v>
      </c>
      <c r="N799" s="6">
        <v>1.38</v>
      </c>
      <c r="O799" s="6">
        <v>1.38</v>
      </c>
      <c r="P799" s="6">
        <v>7</v>
      </c>
      <c r="Q799" s="4" t="s">
        <v>26</v>
      </c>
      <c r="R799" s="4">
        <v>0</v>
      </c>
      <c r="S799" s="6">
        <v>0</v>
      </c>
      <c r="T799" s="6">
        <v>34</v>
      </c>
      <c r="U799" s="6">
        <v>74</v>
      </c>
      <c r="V799" s="6">
        <f>IF(ISERROR(VLOOKUP($S$799,'TAR FIN'!$A$1:$O$100,15,0)),0,VLOOKUP($S$799,'TAR FIN'!$A$1:$O$100,15,0))</f>
        <v>0</v>
      </c>
      <c r="W799" s="6">
        <f>IF(ISERROR(VLOOKUP($T$799,'TAR FIN'!$A$1:$O$100,15,0)),0,VLOOKUP($T$799,'TAR FIN'!$A$1:$O$100,15,0))</f>
        <v>86.27</v>
      </c>
      <c r="X799" s="6">
        <f>IF(ISERROR(VLOOKUP($U$799,'TAR FIN'!$A$1:$O$100,15,0)),0,VLOOKUP($U$799,'TAR FIN'!$A$1:$O$100,15,0))</f>
        <v>80.959999999999994</v>
      </c>
      <c r="Y799" s="6"/>
      <c r="Z79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799" s="6">
        <f>('TE BE'!$AA$14+'TE BF'!$AA$14+'TE CVA'!$AA$14)*(1-CUSTOS!$M$34)</f>
        <v>87.777787249911555</v>
      </c>
      <c r="AB799" s="6">
        <f>$K$799*$V$799</f>
        <v>0</v>
      </c>
      <c r="AC799" s="6">
        <f>$M$799*$W$799</f>
        <v>119.05259999999998</v>
      </c>
      <c r="AD799" s="6">
        <f>$O$799*$X$799</f>
        <v>111.72479999999999</v>
      </c>
      <c r="AE799" s="6">
        <f>$K$799*$Y$799</f>
        <v>0</v>
      </c>
      <c r="AF799" s="6">
        <f ca="1">$M$799*$Z$799</f>
        <v>115.29881824207138</v>
      </c>
      <c r="AG799" s="6">
        <f>$O$799*$AA$799</f>
        <v>121.13334640487794</v>
      </c>
    </row>
    <row r="800" spans="1:33" ht="11.25" customHeight="1" x14ac:dyDescent="0.25">
      <c r="A800" s="4" t="s">
        <v>55</v>
      </c>
      <c r="B800" s="4" t="s">
        <v>22</v>
      </c>
      <c r="C800" s="4" t="s">
        <v>23</v>
      </c>
      <c r="D800" s="4" t="s">
        <v>24</v>
      </c>
      <c r="E800" s="4" t="s">
        <v>29</v>
      </c>
      <c r="F800" s="4" t="s">
        <v>25</v>
      </c>
      <c r="G800" s="4" t="s">
        <v>25</v>
      </c>
      <c r="H800" s="4" t="s">
        <v>25</v>
      </c>
      <c r="I800" s="5">
        <v>44562</v>
      </c>
      <c r="J800" s="6">
        <v>0</v>
      </c>
      <c r="K800" s="6">
        <v>0</v>
      </c>
      <c r="L800" s="6">
        <v>1723.4369999999999</v>
      </c>
      <c r="M800" s="6">
        <v>1723.4369999999999</v>
      </c>
      <c r="N800" s="6">
        <v>1723.4369999999999</v>
      </c>
      <c r="O800" s="6">
        <v>1723.4369999999999</v>
      </c>
      <c r="P800" s="6">
        <v>5075</v>
      </c>
      <c r="Q800" s="4" t="s">
        <v>26</v>
      </c>
      <c r="R800" s="4">
        <v>0</v>
      </c>
      <c r="S800" s="6">
        <v>0</v>
      </c>
      <c r="T800" s="6">
        <v>34</v>
      </c>
      <c r="U800" s="6">
        <v>74</v>
      </c>
      <c r="V800" s="6">
        <f>IF(ISERROR(VLOOKUP($S$800,'TAR FIN'!$A$1:$O$100,15,0)),0,VLOOKUP($S$800,'TAR FIN'!$A$1:$O$100,15,0))</f>
        <v>0</v>
      </c>
      <c r="W800" s="6">
        <f>IF(ISERROR(VLOOKUP($T$800,'TAR FIN'!$A$1:$O$100,15,0)),0,VLOOKUP($T$800,'TAR FIN'!$A$1:$O$100,15,0))</f>
        <v>86.27</v>
      </c>
      <c r="X800" s="6">
        <f>IF(ISERROR(VLOOKUP($U$800,'TAR FIN'!$A$1:$O$100,15,0)),0,VLOOKUP($U$800,'TAR FIN'!$A$1:$O$100,15,0))</f>
        <v>80.959999999999994</v>
      </c>
      <c r="Y800" s="6"/>
      <c r="Z80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800" s="6">
        <f>('TE BE'!$AA$14+'TE BF'!$AA$14+'TE CVA'!$AA$14)*(1-CUSTOS!$M$34)</f>
        <v>87.777787249911555</v>
      </c>
      <c r="AB800" s="6">
        <f>$K$800*$V$800</f>
        <v>0</v>
      </c>
      <c r="AC800" s="6">
        <f>$M$800*$W$800</f>
        <v>148680.90998999999</v>
      </c>
      <c r="AD800" s="6">
        <f>$O$800*$X$800</f>
        <v>139529.45951999997</v>
      </c>
      <c r="AE800" s="6">
        <f>$K$800*$Y$800</f>
        <v>0</v>
      </c>
      <c r="AF800" s="6">
        <f ca="1">$M$800*$Z$800</f>
        <v>143992.93435844983</v>
      </c>
      <c r="AG800" s="6">
        <f>$O$800*$AA$800</f>
        <v>151279.48632462582</v>
      </c>
    </row>
    <row r="801" spans="1:33" ht="11.25" customHeight="1" x14ac:dyDescent="0.25">
      <c r="A801" s="4" t="s">
        <v>55</v>
      </c>
      <c r="B801" s="4" t="s">
        <v>22</v>
      </c>
      <c r="C801" s="4" t="s">
        <v>23</v>
      </c>
      <c r="D801" s="4" t="s">
        <v>24</v>
      </c>
      <c r="E801" s="4" t="s">
        <v>29</v>
      </c>
      <c r="F801" s="4" t="s">
        <v>25</v>
      </c>
      <c r="G801" s="4" t="s">
        <v>25</v>
      </c>
      <c r="H801" s="4" t="s">
        <v>25</v>
      </c>
      <c r="I801" s="5">
        <v>44562</v>
      </c>
      <c r="J801" s="6">
        <v>0</v>
      </c>
      <c r="K801" s="6">
        <v>0</v>
      </c>
      <c r="L801" s="6">
        <v>0.56299999999999994</v>
      </c>
      <c r="M801" s="6">
        <v>0.56299999999999994</v>
      </c>
      <c r="N801" s="6">
        <v>0.56299999999999994</v>
      </c>
      <c r="O801" s="6">
        <v>0.56299999999999994</v>
      </c>
      <c r="P801" s="6">
        <v>6</v>
      </c>
      <c r="Q801" s="4" t="s">
        <v>26</v>
      </c>
      <c r="R801" s="4">
        <v>0</v>
      </c>
      <c r="S801" s="6">
        <v>0</v>
      </c>
      <c r="T801" s="6">
        <v>34</v>
      </c>
      <c r="U801" s="6">
        <v>74</v>
      </c>
      <c r="V801" s="6">
        <f>IF(ISERROR(VLOOKUP($S$801,'TAR FIN'!$A$1:$O$100,15,0)),0,VLOOKUP($S$801,'TAR FIN'!$A$1:$O$100,15,0))</f>
        <v>0</v>
      </c>
      <c r="W801" s="6">
        <f>IF(ISERROR(VLOOKUP($T$801,'TAR FIN'!$A$1:$O$100,15,0)),0,VLOOKUP($T$801,'TAR FIN'!$A$1:$O$100,15,0))</f>
        <v>86.27</v>
      </c>
      <c r="X801" s="6">
        <f>IF(ISERROR(VLOOKUP($U$801,'TAR FIN'!$A$1:$O$100,15,0)),0,VLOOKUP($U$801,'TAR FIN'!$A$1:$O$100,15,0))</f>
        <v>80.959999999999994</v>
      </c>
      <c r="Y801" s="6"/>
      <c r="Z80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801" s="6">
        <f>('TE BE'!$AA$14+'TE BF'!$AA$14+'TE CVA'!$AA$14)*(1-CUSTOS!$M$34)</f>
        <v>87.777787249911555</v>
      </c>
      <c r="AB801" s="6">
        <f>$K$801*$V$801</f>
        <v>0</v>
      </c>
      <c r="AC801" s="6">
        <f>$M$801*$W$801</f>
        <v>48.570009999999996</v>
      </c>
      <c r="AD801" s="6">
        <f>$O$801*$X$801</f>
        <v>45.580479999999994</v>
      </c>
      <c r="AE801" s="6">
        <f>$K$801*$Y$801</f>
        <v>0</v>
      </c>
      <c r="AF801" s="6">
        <f ca="1">$M$801*$Z$801</f>
        <v>47.038575848033467</v>
      </c>
      <c r="AG801" s="6">
        <f>$O$801*$AA$801</f>
        <v>49.418894221700199</v>
      </c>
    </row>
    <row r="802" spans="1:33" ht="11.25" customHeight="1" x14ac:dyDescent="0.25">
      <c r="A802" s="4" t="s">
        <v>55</v>
      </c>
      <c r="B802" s="4" t="s">
        <v>22</v>
      </c>
      <c r="C802" s="4" t="s">
        <v>23</v>
      </c>
      <c r="D802" s="4" t="s">
        <v>24</v>
      </c>
      <c r="E802" s="4" t="s">
        <v>29</v>
      </c>
      <c r="F802" s="4" t="s">
        <v>25</v>
      </c>
      <c r="G802" s="4" t="s">
        <v>25</v>
      </c>
      <c r="H802" s="4" t="s">
        <v>25</v>
      </c>
      <c r="I802" s="5">
        <v>44562</v>
      </c>
      <c r="J802" s="6">
        <v>0</v>
      </c>
      <c r="K802" s="6">
        <v>0</v>
      </c>
      <c r="L802" s="6">
        <v>1.38</v>
      </c>
      <c r="M802" s="6">
        <v>1.38</v>
      </c>
      <c r="N802" s="6">
        <v>1.38</v>
      </c>
      <c r="O802" s="6">
        <v>1.38</v>
      </c>
      <c r="P802" s="6">
        <v>7</v>
      </c>
      <c r="Q802" s="4" t="s">
        <v>26</v>
      </c>
      <c r="R802" s="4">
        <v>0</v>
      </c>
      <c r="S802" s="6">
        <v>0</v>
      </c>
      <c r="T802" s="6">
        <v>34</v>
      </c>
      <c r="U802" s="6">
        <v>74</v>
      </c>
      <c r="V802" s="6">
        <f>IF(ISERROR(VLOOKUP($S$802,'TAR FIN'!$A$1:$O$100,15,0)),0,VLOOKUP($S$802,'TAR FIN'!$A$1:$O$100,15,0))</f>
        <v>0</v>
      </c>
      <c r="W802" s="6">
        <f>IF(ISERROR(VLOOKUP($T$802,'TAR FIN'!$A$1:$O$100,15,0)),0,VLOOKUP($T$802,'TAR FIN'!$A$1:$O$100,15,0))</f>
        <v>86.27</v>
      </c>
      <c r="X802" s="6">
        <f>IF(ISERROR(VLOOKUP($U$802,'TAR FIN'!$A$1:$O$100,15,0)),0,VLOOKUP($U$802,'TAR FIN'!$A$1:$O$100,15,0))</f>
        <v>80.959999999999994</v>
      </c>
      <c r="Y802" s="6"/>
      <c r="Z80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802" s="6">
        <f>('TE BE'!$AA$14+'TE BF'!$AA$14+'TE CVA'!$AA$14)*(1-CUSTOS!$M$34)</f>
        <v>87.777787249911555</v>
      </c>
      <c r="AB802" s="6">
        <f>$K$802*$V$802</f>
        <v>0</v>
      </c>
      <c r="AC802" s="6">
        <f>$M$802*$W$802</f>
        <v>119.05259999999998</v>
      </c>
      <c r="AD802" s="6">
        <f>$O$802*$X$802</f>
        <v>111.72479999999999</v>
      </c>
      <c r="AE802" s="6">
        <f>$K$802*$Y$802</f>
        <v>0</v>
      </c>
      <c r="AF802" s="6">
        <f ca="1">$M$802*$Z$802</f>
        <v>115.29881824207138</v>
      </c>
      <c r="AG802" s="6">
        <f>$O$802*$AA$802</f>
        <v>121.13334640487794</v>
      </c>
    </row>
    <row r="803" spans="1:33" ht="11.25" customHeight="1" x14ac:dyDescent="0.25">
      <c r="A803" s="4" t="s">
        <v>21</v>
      </c>
      <c r="B803" s="4" t="s">
        <v>22</v>
      </c>
      <c r="C803" s="4" t="s">
        <v>23</v>
      </c>
      <c r="D803" s="4" t="s">
        <v>24</v>
      </c>
      <c r="E803" s="4" t="s">
        <v>30</v>
      </c>
      <c r="F803" s="4" t="s">
        <v>25</v>
      </c>
      <c r="G803" s="4" t="s">
        <v>25</v>
      </c>
      <c r="H803" s="4" t="s">
        <v>25</v>
      </c>
      <c r="I803" s="5">
        <v>44228</v>
      </c>
      <c r="J803" s="6">
        <v>0</v>
      </c>
      <c r="K803" s="6">
        <v>0</v>
      </c>
      <c r="L803" s="6">
        <v>2680.0149999999999</v>
      </c>
      <c r="M803" s="6">
        <v>2680.0149999999999</v>
      </c>
      <c r="N803" s="6">
        <v>2680.0149999999999</v>
      </c>
      <c r="O803" s="6">
        <v>2680.0149999999999</v>
      </c>
      <c r="P803" s="6">
        <v>28218</v>
      </c>
      <c r="Q803" s="4" t="s">
        <v>26</v>
      </c>
      <c r="R803" s="4">
        <v>0</v>
      </c>
      <c r="S803" s="6">
        <v>0</v>
      </c>
      <c r="T803" s="6">
        <v>35</v>
      </c>
      <c r="U803" s="6">
        <v>75</v>
      </c>
      <c r="V803" s="6">
        <f>IF(ISERROR(VLOOKUP($S$803,'TAR FIN'!$A$1:$O$100,15,0)),0,VLOOKUP($S$803,'TAR FIN'!$A$1:$O$100,15,0))</f>
        <v>0</v>
      </c>
      <c r="W803" s="6">
        <f>IF(ISERROR(VLOOKUP($T$803,'TAR FIN'!$A$1:$O$100,15,0)),0,VLOOKUP($T$803,'TAR FIN'!$A$1:$O$100,15,0))</f>
        <v>147.9</v>
      </c>
      <c r="X803" s="6">
        <f>IF(ISERROR(VLOOKUP($U$803,'TAR FIN'!$A$1:$O$100,15,0)),0,VLOOKUP($U$803,'TAR FIN'!$A$1:$O$100,15,0))</f>
        <v>138.80000000000001</v>
      </c>
      <c r="Y803" s="6"/>
      <c r="Z80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3" s="6">
        <f>('TE BE'!$AA$15+'TE BF'!$AA$15+'TE CVA'!$AA$15)*(1-CUSTOS!$M$35)</f>
        <v>150.47620671413409</v>
      </c>
      <c r="AB803" s="6">
        <f>$K$803*$V$803</f>
        <v>0</v>
      </c>
      <c r="AC803" s="6">
        <f>$M$803*$W$803</f>
        <v>396374.21850000002</v>
      </c>
      <c r="AD803" s="6">
        <f>$O$803*$X$803</f>
        <v>371986.08199999999</v>
      </c>
      <c r="AE803" s="6">
        <f>$K$803*$Y$803</f>
        <v>0</v>
      </c>
      <c r="AF803" s="6">
        <f ca="1">$M$803*$Z$803</f>
        <v>383854.11474661482</v>
      </c>
      <c r="AG803" s="6">
        <f>$O$803*$AA$803</f>
        <v>403278.49113698007</v>
      </c>
    </row>
    <row r="804" spans="1:33" ht="11.25" customHeight="1" x14ac:dyDescent="0.25">
      <c r="A804" s="4" t="s">
        <v>27</v>
      </c>
      <c r="B804" s="4" t="s">
        <v>22</v>
      </c>
      <c r="C804" s="4" t="s">
        <v>23</v>
      </c>
      <c r="D804" s="4" t="s">
        <v>24</v>
      </c>
      <c r="E804" s="4" t="s">
        <v>30</v>
      </c>
      <c r="F804" s="4" t="s">
        <v>25</v>
      </c>
      <c r="G804" s="4" t="s">
        <v>25</v>
      </c>
      <c r="H804" s="4" t="s">
        <v>25</v>
      </c>
      <c r="I804" s="5">
        <v>44228</v>
      </c>
      <c r="J804" s="6">
        <v>0</v>
      </c>
      <c r="K804" s="6">
        <v>0</v>
      </c>
      <c r="L804" s="6">
        <v>-0.19600000000000001</v>
      </c>
      <c r="M804" s="6">
        <v>-0.19600000000000001</v>
      </c>
      <c r="N804" s="6">
        <v>-0.19600000000000001</v>
      </c>
      <c r="O804" s="6">
        <v>-0.19600000000000001</v>
      </c>
      <c r="P804" s="6">
        <v>-2</v>
      </c>
      <c r="Q804" s="4" t="s">
        <v>26</v>
      </c>
      <c r="R804" s="4">
        <v>0</v>
      </c>
      <c r="S804" s="6">
        <v>0</v>
      </c>
      <c r="T804" s="6">
        <v>35</v>
      </c>
      <c r="U804" s="6">
        <v>75</v>
      </c>
      <c r="V804" s="6">
        <f>IF(ISERROR(VLOOKUP($S$804,'TAR FIN'!$A$1:$O$100,15,0)),0,VLOOKUP($S$804,'TAR FIN'!$A$1:$O$100,15,0))</f>
        <v>0</v>
      </c>
      <c r="W804" s="6">
        <f>IF(ISERROR(VLOOKUP($T$804,'TAR FIN'!$A$1:$O$100,15,0)),0,VLOOKUP($T$804,'TAR FIN'!$A$1:$O$100,15,0))</f>
        <v>147.9</v>
      </c>
      <c r="X804" s="6">
        <f>IF(ISERROR(VLOOKUP($U$804,'TAR FIN'!$A$1:$O$100,15,0)),0,VLOOKUP($U$804,'TAR FIN'!$A$1:$O$100,15,0))</f>
        <v>138.80000000000001</v>
      </c>
      <c r="Y804" s="6"/>
      <c r="Z80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4" s="6">
        <f>('TE BE'!$AA$15+'TE BF'!$AA$15+'TE CVA'!$AA$15)*(1-CUSTOS!$M$35)</f>
        <v>150.47620671413409</v>
      </c>
      <c r="AB804" s="6">
        <f>$K$804*$V$804</f>
        <v>0</v>
      </c>
      <c r="AC804" s="6">
        <f>$M$804*$W$804</f>
        <v>-28.988400000000002</v>
      </c>
      <c r="AD804" s="6">
        <f>$O$804*$X$804</f>
        <v>-27.204800000000002</v>
      </c>
      <c r="AE804" s="6">
        <f>$K$804*$Y$804</f>
        <v>0</v>
      </c>
      <c r="AF804" s="6">
        <f ca="1">$M$804*$Z$804</f>
        <v>-28.072755745895645</v>
      </c>
      <c r="AG804" s="6">
        <f>$O$804*$AA$804</f>
        <v>-29.493336515970284</v>
      </c>
    </row>
    <row r="805" spans="1:33" ht="11.25" customHeight="1" x14ac:dyDescent="0.25">
      <c r="A805" s="4" t="s">
        <v>28</v>
      </c>
      <c r="B805" s="4" t="s">
        <v>22</v>
      </c>
      <c r="C805" s="4" t="s">
        <v>23</v>
      </c>
      <c r="D805" s="4" t="s">
        <v>24</v>
      </c>
      <c r="E805" s="4" t="s">
        <v>30</v>
      </c>
      <c r="F805" s="4" t="s">
        <v>25</v>
      </c>
      <c r="G805" s="4" t="s">
        <v>25</v>
      </c>
      <c r="H805" s="4" t="s">
        <v>25</v>
      </c>
      <c r="I805" s="5">
        <v>44228</v>
      </c>
      <c r="J805" s="6">
        <v>0</v>
      </c>
      <c r="K805" s="6">
        <v>0</v>
      </c>
      <c r="L805" s="6">
        <v>0.55200000000000005</v>
      </c>
      <c r="M805" s="6">
        <v>0.55200000000000005</v>
      </c>
      <c r="N805" s="6">
        <v>0.55200000000000005</v>
      </c>
      <c r="O805" s="6">
        <v>0.55200000000000005</v>
      </c>
      <c r="P805" s="6">
        <v>2</v>
      </c>
      <c r="Q805" s="4" t="s">
        <v>26</v>
      </c>
      <c r="R805" s="4">
        <v>0</v>
      </c>
      <c r="S805" s="6">
        <v>0</v>
      </c>
      <c r="T805" s="6">
        <v>35</v>
      </c>
      <c r="U805" s="6">
        <v>75</v>
      </c>
      <c r="V805" s="6">
        <f>IF(ISERROR(VLOOKUP($S$805,'TAR FIN'!$A$1:$O$100,15,0)),0,VLOOKUP($S$805,'TAR FIN'!$A$1:$O$100,15,0))</f>
        <v>0</v>
      </c>
      <c r="W805" s="6">
        <f>IF(ISERROR(VLOOKUP($T$805,'TAR FIN'!$A$1:$O$100,15,0)),0,VLOOKUP($T$805,'TAR FIN'!$A$1:$O$100,15,0))</f>
        <v>147.9</v>
      </c>
      <c r="X805" s="6">
        <f>IF(ISERROR(VLOOKUP($U$805,'TAR FIN'!$A$1:$O$100,15,0)),0,VLOOKUP($U$805,'TAR FIN'!$A$1:$O$100,15,0))</f>
        <v>138.80000000000001</v>
      </c>
      <c r="Y805" s="6"/>
      <c r="Z80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5" s="6">
        <f>('TE BE'!$AA$15+'TE BF'!$AA$15+'TE CVA'!$AA$15)*(1-CUSTOS!$M$35)</f>
        <v>150.47620671413409</v>
      </c>
      <c r="AB805" s="6">
        <f>$K$805*$V$805</f>
        <v>0</v>
      </c>
      <c r="AC805" s="6">
        <f>$M$805*$W$805</f>
        <v>81.640800000000013</v>
      </c>
      <c r="AD805" s="6">
        <f>$O$805*$X$805</f>
        <v>76.61760000000001</v>
      </c>
      <c r="AE805" s="6">
        <f>$K$805*$Y$805</f>
        <v>0</v>
      </c>
      <c r="AF805" s="6">
        <f ca="1">$M$805*$Z$805</f>
        <v>79.062046794563244</v>
      </c>
      <c r="AG805" s="6">
        <f>$O$805*$AA$805</f>
        <v>83.062866106202023</v>
      </c>
    </row>
    <row r="806" spans="1:33" ht="11.25" customHeight="1" x14ac:dyDescent="0.25">
      <c r="A806" s="4" t="s">
        <v>21</v>
      </c>
      <c r="B806" s="4" t="s">
        <v>22</v>
      </c>
      <c r="C806" s="4" t="s">
        <v>23</v>
      </c>
      <c r="D806" s="4" t="s">
        <v>24</v>
      </c>
      <c r="E806" s="4" t="s">
        <v>30</v>
      </c>
      <c r="F806" s="4" t="s">
        <v>25</v>
      </c>
      <c r="G806" s="4" t="s">
        <v>25</v>
      </c>
      <c r="H806" s="4" t="s">
        <v>25</v>
      </c>
      <c r="I806" s="5">
        <v>44256</v>
      </c>
      <c r="J806" s="6">
        <v>0</v>
      </c>
      <c r="K806" s="6">
        <v>0</v>
      </c>
      <c r="L806" s="6">
        <v>2801.6529999999998</v>
      </c>
      <c r="M806" s="6">
        <v>2801.6529999999998</v>
      </c>
      <c r="N806" s="6">
        <v>2801.6529999999998</v>
      </c>
      <c r="O806" s="6">
        <v>2801.6529999999998</v>
      </c>
      <c r="P806" s="6">
        <v>26252</v>
      </c>
      <c r="Q806" s="4" t="s">
        <v>26</v>
      </c>
      <c r="R806" s="4">
        <v>0</v>
      </c>
      <c r="S806" s="6">
        <v>0</v>
      </c>
      <c r="T806" s="6">
        <v>35</v>
      </c>
      <c r="U806" s="6">
        <v>75</v>
      </c>
      <c r="V806" s="6">
        <f>IF(ISERROR(VLOOKUP($S$806,'TAR FIN'!$A$1:$O$100,15,0)),0,VLOOKUP($S$806,'TAR FIN'!$A$1:$O$100,15,0))</f>
        <v>0</v>
      </c>
      <c r="W806" s="6">
        <f>IF(ISERROR(VLOOKUP($T$806,'TAR FIN'!$A$1:$O$100,15,0)),0,VLOOKUP($T$806,'TAR FIN'!$A$1:$O$100,15,0))</f>
        <v>147.9</v>
      </c>
      <c r="X806" s="6">
        <f>IF(ISERROR(VLOOKUP($U$806,'TAR FIN'!$A$1:$O$100,15,0)),0,VLOOKUP($U$806,'TAR FIN'!$A$1:$O$100,15,0))</f>
        <v>138.80000000000001</v>
      </c>
      <c r="Y806" s="6"/>
      <c r="Z80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6" s="6">
        <f>('TE BE'!$AA$15+'TE BF'!$AA$15+'TE CVA'!$AA$15)*(1-CUSTOS!$M$35)</f>
        <v>150.47620671413409</v>
      </c>
      <c r="AB806" s="6">
        <f>$K$806*$V$806</f>
        <v>0</v>
      </c>
      <c r="AC806" s="6">
        <f>$M$806*$W$806</f>
        <v>414364.47869999998</v>
      </c>
      <c r="AD806" s="6">
        <f>$O$806*$X$806</f>
        <v>388869.43640000001</v>
      </c>
      <c r="AE806" s="6">
        <f>$K$806*$Y$806</f>
        <v>0</v>
      </c>
      <c r="AF806" s="6">
        <f ca="1">$M$806*$Z$806</f>
        <v>401276.1242538559</v>
      </c>
      <c r="AG806" s="6">
        <f>$O$806*$AA$806</f>
        <v>421582.1159692739</v>
      </c>
    </row>
    <row r="807" spans="1:33" ht="11.25" customHeight="1" x14ac:dyDescent="0.25">
      <c r="A807" s="4" t="s">
        <v>27</v>
      </c>
      <c r="B807" s="4" t="s">
        <v>22</v>
      </c>
      <c r="C807" s="4" t="s">
        <v>23</v>
      </c>
      <c r="D807" s="4" t="s">
        <v>24</v>
      </c>
      <c r="E807" s="4" t="s">
        <v>30</v>
      </c>
      <c r="F807" s="4" t="s">
        <v>25</v>
      </c>
      <c r="G807" s="4" t="s">
        <v>25</v>
      </c>
      <c r="H807" s="4" t="s">
        <v>25</v>
      </c>
      <c r="I807" s="5">
        <v>44256</v>
      </c>
      <c r="J807" s="6">
        <v>0</v>
      </c>
      <c r="K807" s="6">
        <v>0</v>
      </c>
      <c r="L807" s="6">
        <v>-0.52700000000000002</v>
      </c>
      <c r="M807" s="6">
        <v>-0.52700000000000002</v>
      </c>
      <c r="N807" s="6">
        <v>-0.52700000000000002</v>
      </c>
      <c r="O807" s="6">
        <v>-0.52700000000000002</v>
      </c>
      <c r="P807" s="6">
        <v>-4</v>
      </c>
      <c r="Q807" s="4" t="s">
        <v>26</v>
      </c>
      <c r="R807" s="4">
        <v>0</v>
      </c>
      <c r="S807" s="6">
        <v>0</v>
      </c>
      <c r="T807" s="6">
        <v>35</v>
      </c>
      <c r="U807" s="6">
        <v>75</v>
      </c>
      <c r="V807" s="6">
        <f>IF(ISERROR(VLOOKUP($S$807,'TAR FIN'!$A$1:$O$100,15,0)),0,VLOOKUP($S$807,'TAR FIN'!$A$1:$O$100,15,0))</f>
        <v>0</v>
      </c>
      <c r="W807" s="6">
        <f>IF(ISERROR(VLOOKUP($T$807,'TAR FIN'!$A$1:$O$100,15,0)),0,VLOOKUP($T$807,'TAR FIN'!$A$1:$O$100,15,0))</f>
        <v>147.9</v>
      </c>
      <c r="X807" s="6">
        <f>IF(ISERROR(VLOOKUP($U$807,'TAR FIN'!$A$1:$O$100,15,0)),0,VLOOKUP($U$807,'TAR FIN'!$A$1:$O$100,15,0))</f>
        <v>138.80000000000001</v>
      </c>
      <c r="Y807" s="6"/>
      <c r="Z80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7" s="6">
        <f>('TE BE'!$AA$15+'TE BF'!$AA$15+'TE CVA'!$AA$15)*(1-CUSTOS!$M$35)</f>
        <v>150.47620671413409</v>
      </c>
      <c r="AB807" s="6">
        <f>$K$807*$V$807</f>
        <v>0</v>
      </c>
      <c r="AC807" s="6">
        <f>$M$807*$W$807</f>
        <v>-77.943300000000008</v>
      </c>
      <c r="AD807" s="6">
        <f>$O$807*$X$807</f>
        <v>-73.147600000000011</v>
      </c>
      <c r="AE807" s="6">
        <f>$K$807*$Y$807</f>
        <v>0</v>
      </c>
      <c r="AF807" s="6">
        <f ca="1">$M$807*$Z$807</f>
        <v>-75.481338153505121</v>
      </c>
      <c r="AG807" s="6">
        <f>$O$807*$AA$807</f>
        <v>-79.300960938348666</v>
      </c>
    </row>
    <row r="808" spans="1:33" ht="11.25" customHeight="1" x14ac:dyDescent="0.25">
      <c r="A808" s="4" t="s">
        <v>28</v>
      </c>
      <c r="B808" s="4" t="s">
        <v>22</v>
      </c>
      <c r="C808" s="4" t="s">
        <v>23</v>
      </c>
      <c r="D808" s="4" t="s">
        <v>24</v>
      </c>
      <c r="E808" s="4" t="s">
        <v>30</v>
      </c>
      <c r="F808" s="4" t="s">
        <v>25</v>
      </c>
      <c r="G808" s="4" t="s">
        <v>25</v>
      </c>
      <c r="H808" s="4" t="s">
        <v>25</v>
      </c>
      <c r="I808" s="5">
        <v>44256</v>
      </c>
      <c r="J808" s="6">
        <v>0</v>
      </c>
      <c r="K808" s="6">
        <v>0</v>
      </c>
      <c r="L808" s="6">
        <v>0.35399999999999998</v>
      </c>
      <c r="M808" s="6">
        <v>0.35399999999999998</v>
      </c>
      <c r="N808" s="6">
        <v>0.35399999999999998</v>
      </c>
      <c r="O808" s="6">
        <v>0.35399999999999998</v>
      </c>
      <c r="P808" s="6">
        <v>1</v>
      </c>
      <c r="Q808" s="4" t="s">
        <v>26</v>
      </c>
      <c r="R808" s="4">
        <v>0</v>
      </c>
      <c r="S808" s="6">
        <v>0</v>
      </c>
      <c r="T808" s="6">
        <v>35</v>
      </c>
      <c r="U808" s="6">
        <v>75</v>
      </c>
      <c r="V808" s="6">
        <f>IF(ISERROR(VLOOKUP($S$808,'TAR FIN'!$A$1:$O$100,15,0)),0,VLOOKUP($S$808,'TAR FIN'!$A$1:$O$100,15,0))</f>
        <v>0</v>
      </c>
      <c r="W808" s="6">
        <f>IF(ISERROR(VLOOKUP($T$808,'TAR FIN'!$A$1:$O$100,15,0)),0,VLOOKUP($T$808,'TAR FIN'!$A$1:$O$100,15,0))</f>
        <v>147.9</v>
      </c>
      <c r="X808" s="6">
        <f>IF(ISERROR(VLOOKUP($U$808,'TAR FIN'!$A$1:$O$100,15,0)),0,VLOOKUP($U$808,'TAR FIN'!$A$1:$O$100,15,0))</f>
        <v>138.80000000000001</v>
      </c>
      <c r="Y808" s="6"/>
      <c r="Z80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8" s="6">
        <f>('TE BE'!$AA$15+'TE BF'!$AA$15+'TE CVA'!$AA$15)*(1-CUSTOS!$M$35)</f>
        <v>150.47620671413409</v>
      </c>
      <c r="AB808" s="6">
        <f>$K$808*$V$808</f>
        <v>0</v>
      </c>
      <c r="AC808" s="6">
        <f>$M$808*$W$808</f>
        <v>52.3566</v>
      </c>
      <c r="AD808" s="6">
        <f>$O$808*$X$808</f>
        <v>49.135200000000005</v>
      </c>
      <c r="AE808" s="6">
        <f>$K$808*$Y$808</f>
        <v>0</v>
      </c>
      <c r="AF808" s="6">
        <f ca="1">$M$808*$Z$808</f>
        <v>50.702834357382947</v>
      </c>
      <c r="AG808" s="6">
        <f>$O$808*$AA$808</f>
        <v>53.268577176803468</v>
      </c>
    </row>
    <row r="809" spans="1:33" ht="11.25" customHeight="1" x14ac:dyDescent="0.25">
      <c r="A809" s="4" t="s">
        <v>21</v>
      </c>
      <c r="B809" s="4" t="s">
        <v>22</v>
      </c>
      <c r="C809" s="4" t="s">
        <v>23</v>
      </c>
      <c r="D809" s="4" t="s">
        <v>24</v>
      </c>
      <c r="E809" s="4" t="s">
        <v>30</v>
      </c>
      <c r="F809" s="4" t="s">
        <v>25</v>
      </c>
      <c r="G809" s="4" t="s">
        <v>25</v>
      </c>
      <c r="H809" s="4" t="s">
        <v>25</v>
      </c>
      <c r="I809" s="5">
        <v>44287</v>
      </c>
      <c r="J809" s="6">
        <v>0</v>
      </c>
      <c r="K809" s="6">
        <v>0</v>
      </c>
      <c r="L809" s="6">
        <v>2819.8029999999999</v>
      </c>
      <c r="M809" s="6">
        <v>2819.8029999999999</v>
      </c>
      <c r="N809" s="6">
        <v>2819.8029999999999</v>
      </c>
      <c r="O809" s="6">
        <v>2819.8029999999999</v>
      </c>
      <c r="P809" s="6">
        <v>25869</v>
      </c>
      <c r="Q809" s="4" t="s">
        <v>26</v>
      </c>
      <c r="R809" s="4">
        <v>0</v>
      </c>
      <c r="S809" s="6">
        <v>0</v>
      </c>
      <c r="T809" s="6">
        <v>35</v>
      </c>
      <c r="U809" s="6">
        <v>75</v>
      </c>
      <c r="V809" s="6">
        <f>IF(ISERROR(VLOOKUP($S$809,'TAR FIN'!$A$1:$O$100,15,0)),0,VLOOKUP($S$809,'TAR FIN'!$A$1:$O$100,15,0))</f>
        <v>0</v>
      </c>
      <c r="W809" s="6">
        <f>IF(ISERROR(VLOOKUP($T$809,'TAR FIN'!$A$1:$O$100,15,0)),0,VLOOKUP($T$809,'TAR FIN'!$A$1:$O$100,15,0))</f>
        <v>147.9</v>
      </c>
      <c r="X809" s="6">
        <f>IF(ISERROR(VLOOKUP($U$809,'TAR FIN'!$A$1:$O$100,15,0)),0,VLOOKUP($U$809,'TAR FIN'!$A$1:$O$100,15,0))</f>
        <v>138.80000000000001</v>
      </c>
      <c r="Y809" s="6"/>
      <c r="Z80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09" s="6">
        <f>('TE BE'!$AA$15+'TE BF'!$AA$15+'TE CVA'!$AA$15)*(1-CUSTOS!$M$35)</f>
        <v>150.47620671413409</v>
      </c>
      <c r="AB809" s="6">
        <f>$K$809*$V$809</f>
        <v>0</v>
      </c>
      <c r="AC809" s="6">
        <f>$M$809*$W$809</f>
        <v>417048.86369999999</v>
      </c>
      <c r="AD809" s="6">
        <f>$O$809*$X$809</f>
        <v>391388.65640000004</v>
      </c>
      <c r="AE809" s="6">
        <f>$K$809*$Y$809</f>
        <v>0</v>
      </c>
      <c r="AF809" s="6">
        <f ca="1">$M$809*$Z$809</f>
        <v>403875.71872726415</v>
      </c>
      <c r="AG809" s="6">
        <f>$O$809*$AA$809</f>
        <v>424313.25912113546</v>
      </c>
    </row>
    <row r="810" spans="1:33" ht="11.25" customHeight="1" x14ac:dyDescent="0.25">
      <c r="A810" s="4" t="s">
        <v>27</v>
      </c>
      <c r="B810" s="4" t="s">
        <v>22</v>
      </c>
      <c r="C810" s="4" t="s">
        <v>23</v>
      </c>
      <c r="D810" s="4" t="s">
        <v>24</v>
      </c>
      <c r="E810" s="4" t="s">
        <v>30</v>
      </c>
      <c r="F810" s="4" t="s">
        <v>25</v>
      </c>
      <c r="G810" s="4" t="s">
        <v>25</v>
      </c>
      <c r="H810" s="4" t="s">
        <v>25</v>
      </c>
      <c r="I810" s="5">
        <v>44287</v>
      </c>
      <c r="J810" s="6">
        <v>0</v>
      </c>
      <c r="K810" s="6">
        <v>0</v>
      </c>
      <c r="L810" s="6">
        <v>-7.0000000000000007E-2</v>
      </c>
      <c r="M810" s="6">
        <v>-7.0000000000000007E-2</v>
      </c>
      <c r="N810" s="6">
        <v>-7.0000000000000007E-2</v>
      </c>
      <c r="O810" s="6">
        <v>-7.0000000000000007E-2</v>
      </c>
      <c r="P810" s="6">
        <v>0</v>
      </c>
      <c r="Q810" s="4" t="s">
        <v>26</v>
      </c>
      <c r="R810" s="4">
        <v>0</v>
      </c>
      <c r="S810" s="6">
        <v>0</v>
      </c>
      <c r="T810" s="6">
        <v>35</v>
      </c>
      <c r="U810" s="6">
        <v>75</v>
      </c>
      <c r="V810" s="6">
        <f>IF(ISERROR(VLOOKUP($S$810,'TAR FIN'!$A$1:$O$100,15,0)),0,VLOOKUP($S$810,'TAR FIN'!$A$1:$O$100,15,0))</f>
        <v>0</v>
      </c>
      <c r="W810" s="6">
        <f>IF(ISERROR(VLOOKUP($T$810,'TAR FIN'!$A$1:$O$100,15,0)),0,VLOOKUP($T$810,'TAR FIN'!$A$1:$O$100,15,0))</f>
        <v>147.9</v>
      </c>
      <c r="X810" s="6">
        <f>IF(ISERROR(VLOOKUP($U$810,'TAR FIN'!$A$1:$O$100,15,0)),0,VLOOKUP($U$810,'TAR FIN'!$A$1:$O$100,15,0))</f>
        <v>138.80000000000001</v>
      </c>
      <c r="Y810" s="6"/>
      <c r="Z81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0" s="6">
        <f>('TE BE'!$AA$15+'TE BF'!$AA$15+'TE CVA'!$AA$15)*(1-CUSTOS!$M$35)</f>
        <v>150.47620671413409</v>
      </c>
      <c r="AB810" s="6">
        <f>$K$810*$V$810</f>
        <v>0</v>
      </c>
      <c r="AC810" s="6">
        <f>$M$810*$W$810</f>
        <v>-10.353000000000002</v>
      </c>
      <c r="AD810" s="6">
        <f>$O$810*$X$810</f>
        <v>-9.7160000000000011</v>
      </c>
      <c r="AE810" s="6">
        <f>$K$810*$Y$810</f>
        <v>0</v>
      </c>
      <c r="AF810" s="6">
        <f ca="1">$M$810*$Z$810</f>
        <v>-10.025984194962732</v>
      </c>
      <c r="AG810" s="6">
        <f>$O$810*$AA$810</f>
        <v>-10.533334469989388</v>
      </c>
    </row>
    <row r="811" spans="1:33" ht="11.25" customHeight="1" x14ac:dyDescent="0.25">
      <c r="A811" s="4" t="s">
        <v>28</v>
      </c>
      <c r="B811" s="4" t="s">
        <v>22</v>
      </c>
      <c r="C811" s="4" t="s">
        <v>23</v>
      </c>
      <c r="D811" s="4" t="s">
        <v>24</v>
      </c>
      <c r="E811" s="4" t="s">
        <v>30</v>
      </c>
      <c r="F811" s="4" t="s">
        <v>25</v>
      </c>
      <c r="G811" s="4" t="s">
        <v>25</v>
      </c>
      <c r="H811" s="4" t="s">
        <v>25</v>
      </c>
      <c r="I811" s="5">
        <v>44287</v>
      </c>
      <c r="J811" s="6">
        <v>0</v>
      </c>
      <c r="K811" s="6">
        <v>0</v>
      </c>
      <c r="L811" s="6">
        <v>0.35</v>
      </c>
      <c r="M811" s="6">
        <v>0.35</v>
      </c>
      <c r="N811" s="6">
        <v>0.35</v>
      </c>
      <c r="O811" s="6">
        <v>0.35</v>
      </c>
      <c r="P811" s="6">
        <v>1</v>
      </c>
      <c r="Q811" s="4" t="s">
        <v>26</v>
      </c>
      <c r="R811" s="4">
        <v>0</v>
      </c>
      <c r="S811" s="6">
        <v>0</v>
      </c>
      <c r="T811" s="6">
        <v>35</v>
      </c>
      <c r="U811" s="6">
        <v>75</v>
      </c>
      <c r="V811" s="6">
        <f>IF(ISERROR(VLOOKUP($S$811,'TAR FIN'!$A$1:$O$100,15,0)),0,VLOOKUP($S$811,'TAR FIN'!$A$1:$O$100,15,0))</f>
        <v>0</v>
      </c>
      <c r="W811" s="6">
        <f>IF(ISERROR(VLOOKUP($T$811,'TAR FIN'!$A$1:$O$100,15,0)),0,VLOOKUP($T$811,'TAR FIN'!$A$1:$O$100,15,0))</f>
        <v>147.9</v>
      </c>
      <c r="X811" s="6">
        <f>IF(ISERROR(VLOOKUP($U$811,'TAR FIN'!$A$1:$O$100,15,0)),0,VLOOKUP($U$811,'TAR FIN'!$A$1:$O$100,15,0))</f>
        <v>138.80000000000001</v>
      </c>
      <c r="Y811" s="6"/>
      <c r="Z811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1" s="6">
        <f>('TE BE'!$AA$15+'TE BF'!$AA$15+'TE CVA'!$AA$15)*(1-CUSTOS!$M$35)</f>
        <v>150.47620671413409</v>
      </c>
      <c r="AB811" s="6">
        <f>$K$811*$V$811</f>
        <v>0</v>
      </c>
      <c r="AC811" s="6">
        <f>$M$811*$W$811</f>
        <v>51.765000000000001</v>
      </c>
      <c r="AD811" s="6">
        <f>$O$811*$X$811</f>
        <v>48.58</v>
      </c>
      <c r="AE811" s="6">
        <f>$K$811*$Y$811</f>
        <v>0</v>
      </c>
      <c r="AF811" s="6">
        <f ca="1">$M$811*$Z$811</f>
        <v>50.129920974813643</v>
      </c>
      <c r="AG811" s="6">
        <f>$O$811*$AA$811</f>
        <v>52.666672349946928</v>
      </c>
    </row>
    <row r="812" spans="1:33" ht="11.25" customHeight="1" x14ac:dyDescent="0.25">
      <c r="A812" s="4" t="s">
        <v>21</v>
      </c>
      <c r="B812" s="4" t="s">
        <v>22</v>
      </c>
      <c r="C812" s="4" t="s">
        <v>23</v>
      </c>
      <c r="D812" s="4" t="s">
        <v>24</v>
      </c>
      <c r="E812" s="4" t="s">
        <v>30</v>
      </c>
      <c r="F812" s="4" t="s">
        <v>25</v>
      </c>
      <c r="G812" s="4" t="s">
        <v>25</v>
      </c>
      <c r="H812" s="4" t="s">
        <v>25</v>
      </c>
      <c r="I812" s="5">
        <v>44317</v>
      </c>
      <c r="J812" s="6">
        <v>0</v>
      </c>
      <c r="K812" s="6">
        <v>0</v>
      </c>
      <c r="L812" s="6">
        <v>2696.9549999999999</v>
      </c>
      <c r="M812" s="6">
        <v>2696.9549999999999</v>
      </c>
      <c r="N812" s="6">
        <v>2696.9549999999999</v>
      </c>
      <c r="O812" s="6">
        <v>2696.9549999999999</v>
      </c>
      <c r="P812" s="6">
        <v>28492</v>
      </c>
      <c r="Q812" s="4" t="s">
        <v>26</v>
      </c>
      <c r="R812" s="4">
        <v>0</v>
      </c>
      <c r="S812" s="6">
        <v>0</v>
      </c>
      <c r="T812" s="6">
        <v>35</v>
      </c>
      <c r="U812" s="6">
        <v>75</v>
      </c>
      <c r="V812" s="6">
        <f>IF(ISERROR(VLOOKUP($S$812,'TAR FIN'!$A$1:$O$100,15,0)),0,VLOOKUP($S$812,'TAR FIN'!$A$1:$O$100,15,0))</f>
        <v>0</v>
      </c>
      <c r="W812" s="6">
        <f>IF(ISERROR(VLOOKUP($T$812,'TAR FIN'!$A$1:$O$100,15,0)),0,VLOOKUP($T$812,'TAR FIN'!$A$1:$O$100,15,0))</f>
        <v>147.9</v>
      </c>
      <c r="X812" s="6">
        <f>IF(ISERROR(VLOOKUP($U$812,'TAR FIN'!$A$1:$O$100,15,0)),0,VLOOKUP($U$812,'TAR FIN'!$A$1:$O$100,15,0))</f>
        <v>138.80000000000001</v>
      </c>
      <c r="Y812" s="6"/>
      <c r="Z812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2" s="6">
        <f>('TE BE'!$AA$15+'TE BF'!$AA$15+'TE CVA'!$AA$15)*(1-CUSTOS!$M$35)</f>
        <v>150.47620671413409</v>
      </c>
      <c r="AB812" s="6">
        <f>$K$812*$V$812</f>
        <v>0</v>
      </c>
      <c r="AC812" s="6">
        <f>$M$812*$W$812</f>
        <v>398879.64449999999</v>
      </c>
      <c r="AD812" s="6">
        <f>$O$812*$X$812</f>
        <v>374337.35399999999</v>
      </c>
      <c r="AE812" s="6">
        <f>$K$812*$Y$812</f>
        <v>0</v>
      </c>
      <c r="AF812" s="6">
        <f ca="1">$M$812*$Z$812</f>
        <v>386280.40292179585</v>
      </c>
      <c r="AG812" s="6">
        <f>$O$812*$AA$812</f>
        <v>405827.5580787175</v>
      </c>
    </row>
    <row r="813" spans="1:33" ht="11.25" customHeight="1" x14ac:dyDescent="0.25">
      <c r="A813" s="4" t="s">
        <v>27</v>
      </c>
      <c r="B813" s="4" t="s">
        <v>22</v>
      </c>
      <c r="C813" s="4" t="s">
        <v>23</v>
      </c>
      <c r="D813" s="4" t="s">
        <v>24</v>
      </c>
      <c r="E813" s="4" t="s">
        <v>30</v>
      </c>
      <c r="F813" s="4" t="s">
        <v>25</v>
      </c>
      <c r="G813" s="4" t="s">
        <v>25</v>
      </c>
      <c r="H813" s="4" t="s">
        <v>25</v>
      </c>
      <c r="I813" s="5">
        <v>44317</v>
      </c>
      <c r="J813" s="6">
        <v>0</v>
      </c>
      <c r="K813" s="6">
        <v>0</v>
      </c>
      <c r="L813" s="6">
        <v>-0.21</v>
      </c>
      <c r="M813" s="6">
        <v>-0.21</v>
      </c>
      <c r="N813" s="6">
        <v>-0.21</v>
      </c>
      <c r="O813" s="6">
        <v>-0.21</v>
      </c>
      <c r="P813" s="6">
        <v>0</v>
      </c>
      <c r="Q813" s="4" t="s">
        <v>26</v>
      </c>
      <c r="R813" s="4">
        <v>0</v>
      </c>
      <c r="S813" s="6">
        <v>0</v>
      </c>
      <c r="T813" s="6">
        <v>35</v>
      </c>
      <c r="U813" s="6">
        <v>75</v>
      </c>
      <c r="V813" s="6">
        <f>IF(ISERROR(VLOOKUP($S$813,'TAR FIN'!$A$1:$O$100,15,0)),0,VLOOKUP($S$813,'TAR FIN'!$A$1:$O$100,15,0))</f>
        <v>0</v>
      </c>
      <c r="W813" s="6">
        <f>IF(ISERROR(VLOOKUP($T$813,'TAR FIN'!$A$1:$O$100,15,0)),0,VLOOKUP($T$813,'TAR FIN'!$A$1:$O$100,15,0))</f>
        <v>147.9</v>
      </c>
      <c r="X813" s="6">
        <f>IF(ISERROR(VLOOKUP($U$813,'TAR FIN'!$A$1:$O$100,15,0)),0,VLOOKUP($U$813,'TAR FIN'!$A$1:$O$100,15,0))</f>
        <v>138.80000000000001</v>
      </c>
      <c r="Y813" s="6"/>
      <c r="Z81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3" s="6">
        <f>('TE BE'!$AA$15+'TE BF'!$AA$15+'TE CVA'!$AA$15)*(1-CUSTOS!$M$35)</f>
        <v>150.47620671413409</v>
      </c>
      <c r="AB813" s="6">
        <f>$K$813*$V$813</f>
        <v>0</v>
      </c>
      <c r="AC813" s="6">
        <f>$M$813*$W$813</f>
        <v>-31.059000000000001</v>
      </c>
      <c r="AD813" s="6">
        <f>$O$813*$X$813</f>
        <v>-29.148</v>
      </c>
      <c r="AE813" s="6">
        <f>$K$813*$Y$813</f>
        <v>0</v>
      </c>
      <c r="AF813" s="6">
        <f ca="1">$M$813*$Z$813</f>
        <v>-30.077952584888187</v>
      </c>
      <c r="AG813" s="6">
        <f>$O$813*$AA$813</f>
        <v>-31.60000340996816</v>
      </c>
    </row>
    <row r="814" spans="1:33" ht="11.25" customHeight="1" x14ac:dyDescent="0.25">
      <c r="A814" s="4" t="s">
        <v>28</v>
      </c>
      <c r="B814" s="4" t="s">
        <v>22</v>
      </c>
      <c r="C814" s="4" t="s">
        <v>23</v>
      </c>
      <c r="D814" s="4" t="s">
        <v>24</v>
      </c>
      <c r="E814" s="4" t="s">
        <v>30</v>
      </c>
      <c r="F814" s="4" t="s">
        <v>25</v>
      </c>
      <c r="G814" s="4" t="s">
        <v>25</v>
      </c>
      <c r="H814" s="4" t="s">
        <v>25</v>
      </c>
      <c r="I814" s="5">
        <v>44317</v>
      </c>
      <c r="J814" s="6">
        <v>0</v>
      </c>
      <c r="K814" s="6">
        <v>0</v>
      </c>
      <c r="L814" s="6">
        <v>0.42399999999999999</v>
      </c>
      <c r="M814" s="6">
        <v>0.42399999999999999</v>
      </c>
      <c r="N814" s="6">
        <v>0.42399999999999999</v>
      </c>
      <c r="O814" s="6">
        <v>0.42399999999999999</v>
      </c>
      <c r="P814" s="6">
        <v>1</v>
      </c>
      <c r="Q814" s="4" t="s">
        <v>26</v>
      </c>
      <c r="R814" s="4">
        <v>0</v>
      </c>
      <c r="S814" s="6">
        <v>0</v>
      </c>
      <c r="T814" s="6">
        <v>35</v>
      </c>
      <c r="U814" s="6">
        <v>75</v>
      </c>
      <c r="V814" s="6">
        <f>IF(ISERROR(VLOOKUP($S$814,'TAR FIN'!$A$1:$O$100,15,0)),0,VLOOKUP($S$814,'TAR FIN'!$A$1:$O$100,15,0))</f>
        <v>0</v>
      </c>
      <c r="W814" s="6">
        <f>IF(ISERROR(VLOOKUP($T$814,'TAR FIN'!$A$1:$O$100,15,0)),0,VLOOKUP($T$814,'TAR FIN'!$A$1:$O$100,15,0))</f>
        <v>147.9</v>
      </c>
      <c r="X814" s="6">
        <f>IF(ISERROR(VLOOKUP($U$814,'TAR FIN'!$A$1:$O$100,15,0)),0,VLOOKUP($U$814,'TAR FIN'!$A$1:$O$100,15,0))</f>
        <v>138.80000000000001</v>
      </c>
      <c r="Y814" s="6"/>
      <c r="Z81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4" s="6">
        <f>('TE BE'!$AA$15+'TE BF'!$AA$15+'TE CVA'!$AA$15)*(1-CUSTOS!$M$35)</f>
        <v>150.47620671413409</v>
      </c>
      <c r="AB814" s="6">
        <f>$K$814*$V$814</f>
        <v>0</v>
      </c>
      <c r="AC814" s="6">
        <f>$M$814*$W$814</f>
        <v>62.709600000000002</v>
      </c>
      <c r="AD814" s="6">
        <f>$O$814*$X$814</f>
        <v>58.851200000000006</v>
      </c>
      <c r="AE814" s="6">
        <f>$K$814*$Y$814</f>
        <v>0</v>
      </c>
      <c r="AF814" s="6">
        <f ca="1">$M$814*$Z$814</f>
        <v>60.728818552345679</v>
      </c>
      <c r="AG814" s="6">
        <f>$O$814*$AA$814</f>
        <v>63.801911646792853</v>
      </c>
    </row>
    <row r="815" spans="1:33" ht="11.25" customHeight="1" x14ac:dyDescent="0.25">
      <c r="A815" s="4" t="s">
        <v>21</v>
      </c>
      <c r="B815" s="4" t="s">
        <v>22</v>
      </c>
      <c r="C815" s="4" t="s">
        <v>23</v>
      </c>
      <c r="D815" s="4" t="s">
        <v>24</v>
      </c>
      <c r="E815" s="4" t="s">
        <v>30</v>
      </c>
      <c r="F815" s="4" t="s">
        <v>25</v>
      </c>
      <c r="G815" s="4" t="s">
        <v>25</v>
      </c>
      <c r="H815" s="4" t="s">
        <v>25</v>
      </c>
      <c r="I815" s="5">
        <v>44348</v>
      </c>
      <c r="J815" s="6">
        <v>0</v>
      </c>
      <c r="K815" s="6">
        <v>0</v>
      </c>
      <c r="L815" s="6">
        <v>2604.1880000000001</v>
      </c>
      <c r="M815" s="6">
        <v>2604.1880000000001</v>
      </c>
      <c r="N815" s="6">
        <v>2604.1880000000001</v>
      </c>
      <c r="O815" s="6">
        <v>2604.1880000000001</v>
      </c>
      <c r="P815" s="6">
        <v>30535</v>
      </c>
      <c r="Q815" s="4" t="s">
        <v>26</v>
      </c>
      <c r="R815" s="4">
        <v>0</v>
      </c>
      <c r="S815" s="6">
        <v>0</v>
      </c>
      <c r="T815" s="6">
        <v>35</v>
      </c>
      <c r="U815" s="6">
        <v>75</v>
      </c>
      <c r="V815" s="6">
        <f>IF(ISERROR(VLOOKUP($S$815,'TAR FIN'!$A$1:$O$100,15,0)),0,VLOOKUP($S$815,'TAR FIN'!$A$1:$O$100,15,0))</f>
        <v>0</v>
      </c>
      <c r="W815" s="6">
        <f>IF(ISERROR(VLOOKUP($T$815,'TAR FIN'!$A$1:$O$100,15,0)),0,VLOOKUP($T$815,'TAR FIN'!$A$1:$O$100,15,0))</f>
        <v>147.9</v>
      </c>
      <c r="X815" s="6">
        <f>IF(ISERROR(VLOOKUP($U$815,'TAR FIN'!$A$1:$O$100,15,0)),0,VLOOKUP($U$815,'TAR FIN'!$A$1:$O$100,15,0))</f>
        <v>138.80000000000001</v>
      </c>
      <c r="Y815" s="6"/>
      <c r="Z81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5" s="6">
        <f>('TE BE'!$AA$15+'TE BF'!$AA$15+'TE CVA'!$AA$15)*(1-CUSTOS!$M$35)</f>
        <v>150.47620671413409</v>
      </c>
      <c r="AB815" s="6">
        <f>$K$815*$V$815</f>
        <v>0</v>
      </c>
      <c r="AC815" s="6">
        <f>$M$815*$W$815</f>
        <v>385159.40520000004</v>
      </c>
      <c r="AD815" s="6">
        <f>$O$815*$X$815</f>
        <v>361461.29440000007</v>
      </c>
      <c r="AE815" s="6">
        <f>$K$815*$Y$815</f>
        <v>0</v>
      </c>
      <c r="AF815" s="6">
        <f ca="1">$M$815*$Z$815</f>
        <v>372993.53898159432</v>
      </c>
      <c r="AG815" s="6">
        <f>$O$815*$AA$815</f>
        <v>391868.33181046747</v>
      </c>
    </row>
    <row r="816" spans="1:33" ht="11.25" customHeight="1" x14ac:dyDescent="0.25">
      <c r="A816" s="4" t="s">
        <v>27</v>
      </c>
      <c r="B816" s="4" t="s">
        <v>22</v>
      </c>
      <c r="C816" s="4" t="s">
        <v>23</v>
      </c>
      <c r="D816" s="4" t="s">
        <v>24</v>
      </c>
      <c r="E816" s="4" t="s">
        <v>30</v>
      </c>
      <c r="F816" s="4" t="s">
        <v>25</v>
      </c>
      <c r="G816" s="4" t="s">
        <v>25</v>
      </c>
      <c r="H816" s="4" t="s">
        <v>25</v>
      </c>
      <c r="I816" s="5">
        <v>44348</v>
      </c>
      <c r="J816" s="6">
        <v>0</v>
      </c>
      <c r="K816" s="6">
        <v>0</v>
      </c>
      <c r="L816" s="6">
        <v>-0.42</v>
      </c>
      <c r="M816" s="6">
        <v>-0.42</v>
      </c>
      <c r="N816" s="6">
        <v>-0.42</v>
      </c>
      <c r="O816" s="6">
        <v>-0.42</v>
      </c>
      <c r="P816" s="6">
        <v>0</v>
      </c>
      <c r="Q816" s="4" t="s">
        <v>26</v>
      </c>
      <c r="R816" s="4">
        <v>0</v>
      </c>
      <c r="S816" s="6">
        <v>0</v>
      </c>
      <c r="T816" s="6">
        <v>35</v>
      </c>
      <c r="U816" s="6">
        <v>75</v>
      </c>
      <c r="V816" s="6">
        <f>IF(ISERROR(VLOOKUP($S$816,'TAR FIN'!$A$1:$O$100,15,0)),0,VLOOKUP($S$816,'TAR FIN'!$A$1:$O$100,15,0))</f>
        <v>0</v>
      </c>
      <c r="W816" s="6">
        <f>IF(ISERROR(VLOOKUP($T$816,'TAR FIN'!$A$1:$O$100,15,0)),0,VLOOKUP($T$816,'TAR FIN'!$A$1:$O$100,15,0))</f>
        <v>147.9</v>
      </c>
      <c r="X816" s="6">
        <f>IF(ISERROR(VLOOKUP($U$816,'TAR FIN'!$A$1:$O$100,15,0)),0,VLOOKUP($U$816,'TAR FIN'!$A$1:$O$100,15,0))</f>
        <v>138.80000000000001</v>
      </c>
      <c r="Y816" s="6"/>
      <c r="Z81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6" s="6">
        <f>('TE BE'!$AA$15+'TE BF'!$AA$15+'TE CVA'!$AA$15)*(1-CUSTOS!$M$35)</f>
        <v>150.47620671413409</v>
      </c>
      <c r="AB816" s="6">
        <f>$K$816*$V$816</f>
        <v>0</v>
      </c>
      <c r="AC816" s="6">
        <f>$M$816*$W$816</f>
        <v>-62.118000000000002</v>
      </c>
      <c r="AD816" s="6">
        <f>$O$816*$X$816</f>
        <v>-58.295999999999999</v>
      </c>
      <c r="AE816" s="6">
        <f>$K$816*$Y$816</f>
        <v>0</v>
      </c>
      <c r="AF816" s="6">
        <f ca="1">$M$816*$Z$816</f>
        <v>-60.155905169776375</v>
      </c>
      <c r="AG816" s="6">
        <f>$O$816*$AA$816</f>
        <v>-63.20000681993632</v>
      </c>
    </row>
    <row r="817" spans="1:33" ht="11.25" customHeight="1" x14ac:dyDescent="0.25">
      <c r="A817" s="4" t="s">
        <v>28</v>
      </c>
      <c r="B817" s="4" t="s">
        <v>22</v>
      </c>
      <c r="C817" s="4" t="s">
        <v>23</v>
      </c>
      <c r="D817" s="4" t="s">
        <v>24</v>
      </c>
      <c r="E817" s="4" t="s">
        <v>30</v>
      </c>
      <c r="F817" s="4" t="s">
        <v>25</v>
      </c>
      <c r="G817" s="4" t="s">
        <v>25</v>
      </c>
      <c r="H817" s="4" t="s">
        <v>25</v>
      </c>
      <c r="I817" s="5">
        <v>44348</v>
      </c>
      <c r="J817" s="6">
        <v>0</v>
      </c>
      <c r="K817" s="6">
        <v>0</v>
      </c>
      <c r="L817" s="6">
        <v>0.56000000000000005</v>
      </c>
      <c r="M817" s="6">
        <v>0.56000000000000005</v>
      </c>
      <c r="N817" s="6">
        <v>0.56000000000000005</v>
      </c>
      <c r="O817" s="6">
        <v>0.56000000000000005</v>
      </c>
      <c r="P817" s="6">
        <v>2</v>
      </c>
      <c r="Q817" s="4" t="s">
        <v>26</v>
      </c>
      <c r="R817" s="4">
        <v>0</v>
      </c>
      <c r="S817" s="6">
        <v>0</v>
      </c>
      <c r="T817" s="6">
        <v>35</v>
      </c>
      <c r="U817" s="6">
        <v>75</v>
      </c>
      <c r="V817" s="6">
        <f>IF(ISERROR(VLOOKUP($S$817,'TAR FIN'!$A$1:$O$100,15,0)),0,VLOOKUP($S$817,'TAR FIN'!$A$1:$O$100,15,0))</f>
        <v>0</v>
      </c>
      <c r="W817" s="6">
        <f>IF(ISERROR(VLOOKUP($T$817,'TAR FIN'!$A$1:$O$100,15,0)),0,VLOOKUP($T$817,'TAR FIN'!$A$1:$O$100,15,0))</f>
        <v>147.9</v>
      </c>
      <c r="X817" s="6">
        <f>IF(ISERROR(VLOOKUP($U$817,'TAR FIN'!$A$1:$O$100,15,0)),0,VLOOKUP($U$817,'TAR FIN'!$A$1:$O$100,15,0))</f>
        <v>138.80000000000001</v>
      </c>
      <c r="Y817" s="6"/>
      <c r="Z81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7" s="6">
        <f>('TE BE'!$AA$15+'TE BF'!$AA$15+'TE CVA'!$AA$15)*(1-CUSTOS!$M$35)</f>
        <v>150.47620671413409</v>
      </c>
      <c r="AB817" s="6">
        <f>$K$817*$V$817</f>
        <v>0</v>
      </c>
      <c r="AC817" s="6">
        <f>$M$817*$W$817</f>
        <v>82.824000000000012</v>
      </c>
      <c r="AD817" s="6">
        <f>$O$817*$X$817</f>
        <v>77.728000000000009</v>
      </c>
      <c r="AE817" s="6">
        <f>$K$817*$Y$817</f>
        <v>0</v>
      </c>
      <c r="AF817" s="6">
        <f ca="1">$M$817*$Z$817</f>
        <v>80.207873559701852</v>
      </c>
      <c r="AG817" s="6">
        <f>$O$817*$AA$817</f>
        <v>84.266675759915103</v>
      </c>
    </row>
    <row r="818" spans="1:33" ht="11.25" customHeight="1" x14ac:dyDescent="0.25">
      <c r="A818" s="4" t="s">
        <v>21</v>
      </c>
      <c r="B818" s="4" t="s">
        <v>22</v>
      </c>
      <c r="C818" s="4" t="s">
        <v>23</v>
      </c>
      <c r="D818" s="4" t="s">
        <v>24</v>
      </c>
      <c r="E818" s="4" t="s">
        <v>30</v>
      </c>
      <c r="F818" s="4" t="s">
        <v>25</v>
      </c>
      <c r="G818" s="4" t="s">
        <v>25</v>
      </c>
      <c r="H818" s="4" t="s">
        <v>25</v>
      </c>
      <c r="I818" s="5">
        <v>44378</v>
      </c>
      <c r="J818" s="6">
        <v>0</v>
      </c>
      <c r="K818" s="6">
        <v>0</v>
      </c>
      <c r="L818" s="6">
        <v>2703.8040000000001</v>
      </c>
      <c r="M818" s="6">
        <v>2703.8040000000001</v>
      </c>
      <c r="N818" s="6">
        <v>2703.8040000000001</v>
      </c>
      <c r="O818" s="6">
        <v>2703.8040000000001</v>
      </c>
      <c r="P818" s="6">
        <v>29593</v>
      </c>
      <c r="Q818" s="4" t="s">
        <v>26</v>
      </c>
      <c r="R818" s="4">
        <v>0</v>
      </c>
      <c r="S818" s="6">
        <v>0</v>
      </c>
      <c r="T818" s="6">
        <v>35</v>
      </c>
      <c r="U818" s="6">
        <v>75</v>
      </c>
      <c r="V818" s="6">
        <f>IF(ISERROR(VLOOKUP($S$818,'TAR FIN'!$A$1:$O$100,15,0)),0,VLOOKUP($S$818,'TAR FIN'!$A$1:$O$100,15,0))</f>
        <v>0</v>
      </c>
      <c r="W818" s="6">
        <f>IF(ISERROR(VLOOKUP($T$818,'TAR FIN'!$A$1:$O$100,15,0)),0,VLOOKUP($T$818,'TAR FIN'!$A$1:$O$100,15,0))</f>
        <v>147.9</v>
      </c>
      <c r="X818" s="6">
        <f>IF(ISERROR(VLOOKUP($U$818,'TAR FIN'!$A$1:$O$100,15,0)),0,VLOOKUP($U$818,'TAR FIN'!$A$1:$O$100,15,0))</f>
        <v>138.80000000000001</v>
      </c>
      <c r="Y818" s="6"/>
      <c r="Z81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8" s="6">
        <f>('TE BE'!$AA$15+'TE BF'!$AA$15+'TE CVA'!$AA$15)*(1-CUSTOS!$M$35)</f>
        <v>150.47620671413409</v>
      </c>
      <c r="AB818" s="6">
        <f>$K$818*$V$818</f>
        <v>0</v>
      </c>
      <c r="AC818" s="6">
        <f>$M$818*$W$818</f>
        <v>399892.6116</v>
      </c>
      <c r="AD818" s="6">
        <f>$O$818*$X$818</f>
        <v>375287.99520000006</v>
      </c>
      <c r="AE818" s="6">
        <f>$K$818*$Y$818</f>
        <v>0</v>
      </c>
      <c r="AF818" s="6">
        <f ca="1">$M$818*$Z$818</f>
        <v>387261.37386110012</v>
      </c>
      <c r="AG818" s="6">
        <f>$O$818*$AA$818</f>
        <v>406858.16961850261</v>
      </c>
    </row>
    <row r="819" spans="1:33" ht="11.25" customHeight="1" x14ac:dyDescent="0.25">
      <c r="A819" s="4" t="s">
        <v>27</v>
      </c>
      <c r="B819" s="4" t="s">
        <v>22</v>
      </c>
      <c r="C819" s="4" t="s">
        <v>23</v>
      </c>
      <c r="D819" s="4" t="s">
        <v>24</v>
      </c>
      <c r="E819" s="4" t="s">
        <v>30</v>
      </c>
      <c r="F819" s="4" t="s">
        <v>25</v>
      </c>
      <c r="G819" s="4" t="s">
        <v>25</v>
      </c>
      <c r="H819" s="4" t="s">
        <v>25</v>
      </c>
      <c r="I819" s="5">
        <v>44378</v>
      </c>
      <c r="J819" s="6">
        <v>0</v>
      </c>
      <c r="K819" s="6">
        <v>0</v>
      </c>
      <c r="L819" s="6">
        <v>-1.1200000000000001</v>
      </c>
      <c r="M819" s="6">
        <v>-1.1200000000000001</v>
      </c>
      <c r="N819" s="6">
        <v>-1.1200000000000001</v>
      </c>
      <c r="O819" s="6">
        <v>-1.1200000000000001</v>
      </c>
      <c r="P819" s="6">
        <v>0</v>
      </c>
      <c r="Q819" s="4" t="s">
        <v>26</v>
      </c>
      <c r="R819" s="4">
        <v>0</v>
      </c>
      <c r="S819" s="6">
        <v>0</v>
      </c>
      <c r="T819" s="6">
        <v>35</v>
      </c>
      <c r="U819" s="6">
        <v>75</v>
      </c>
      <c r="V819" s="6">
        <f>IF(ISERROR(VLOOKUP($S$819,'TAR FIN'!$A$1:$O$100,15,0)),0,VLOOKUP($S$819,'TAR FIN'!$A$1:$O$100,15,0))</f>
        <v>0</v>
      </c>
      <c r="W819" s="6">
        <f>IF(ISERROR(VLOOKUP($T$819,'TAR FIN'!$A$1:$O$100,15,0)),0,VLOOKUP($T$819,'TAR FIN'!$A$1:$O$100,15,0))</f>
        <v>147.9</v>
      </c>
      <c r="X819" s="6">
        <f>IF(ISERROR(VLOOKUP($U$819,'TAR FIN'!$A$1:$O$100,15,0)),0,VLOOKUP($U$819,'TAR FIN'!$A$1:$O$100,15,0))</f>
        <v>138.80000000000001</v>
      </c>
      <c r="Y819" s="6"/>
      <c r="Z81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19" s="6">
        <f>('TE BE'!$AA$15+'TE BF'!$AA$15+'TE CVA'!$AA$15)*(1-CUSTOS!$M$35)</f>
        <v>150.47620671413409</v>
      </c>
      <c r="AB819" s="6">
        <f>$K$819*$V$819</f>
        <v>0</v>
      </c>
      <c r="AC819" s="6">
        <f>$M$819*$W$819</f>
        <v>-165.64800000000002</v>
      </c>
      <c r="AD819" s="6">
        <f>$O$819*$X$819</f>
        <v>-155.45600000000002</v>
      </c>
      <c r="AE819" s="6">
        <f>$K$819*$Y$819</f>
        <v>0</v>
      </c>
      <c r="AF819" s="6">
        <f ca="1">$M$819*$Z$819</f>
        <v>-160.4157471194037</v>
      </c>
      <c r="AG819" s="6">
        <f>$O$819*$AA$819</f>
        <v>-168.53335151983021</v>
      </c>
    </row>
    <row r="820" spans="1:33" ht="11.25" customHeight="1" x14ac:dyDescent="0.25">
      <c r="A820" s="4" t="s">
        <v>28</v>
      </c>
      <c r="B820" s="4" t="s">
        <v>22</v>
      </c>
      <c r="C820" s="4" t="s">
        <v>23</v>
      </c>
      <c r="D820" s="4" t="s">
        <v>24</v>
      </c>
      <c r="E820" s="4" t="s">
        <v>30</v>
      </c>
      <c r="F820" s="4" t="s">
        <v>25</v>
      </c>
      <c r="G820" s="4" t="s">
        <v>25</v>
      </c>
      <c r="H820" s="4" t="s">
        <v>25</v>
      </c>
      <c r="I820" s="5">
        <v>44378</v>
      </c>
      <c r="J820" s="6">
        <v>0</v>
      </c>
      <c r="K820" s="6">
        <v>0</v>
      </c>
      <c r="L820" s="6">
        <v>1.0329999999999999</v>
      </c>
      <c r="M820" s="6">
        <v>1.0329999999999999</v>
      </c>
      <c r="N820" s="6">
        <v>1.0329999999999999</v>
      </c>
      <c r="O820" s="6">
        <v>1.0329999999999999</v>
      </c>
      <c r="P820" s="6">
        <v>4</v>
      </c>
      <c r="Q820" s="4" t="s">
        <v>26</v>
      </c>
      <c r="R820" s="4">
        <v>0</v>
      </c>
      <c r="S820" s="6">
        <v>0</v>
      </c>
      <c r="T820" s="6">
        <v>35</v>
      </c>
      <c r="U820" s="6">
        <v>75</v>
      </c>
      <c r="V820" s="6">
        <f>IF(ISERROR(VLOOKUP($S$820,'TAR FIN'!$A$1:$O$100,15,0)),0,VLOOKUP($S$820,'TAR FIN'!$A$1:$O$100,15,0))</f>
        <v>0</v>
      </c>
      <c r="W820" s="6">
        <f>IF(ISERROR(VLOOKUP($T$820,'TAR FIN'!$A$1:$O$100,15,0)),0,VLOOKUP($T$820,'TAR FIN'!$A$1:$O$100,15,0))</f>
        <v>147.9</v>
      </c>
      <c r="X820" s="6">
        <f>IF(ISERROR(VLOOKUP($U$820,'TAR FIN'!$A$1:$O$100,15,0)),0,VLOOKUP($U$820,'TAR FIN'!$A$1:$O$100,15,0))</f>
        <v>138.80000000000001</v>
      </c>
      <c r="Y820" s="6"/>
      <c r="Z82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0" s="6">
        <f>('TE BE'!$AA$15+'TE BF'!$AA$15+'TE CVA'!$AA$15)*(1-CUSTOS!$M$35)</f>
        <v>150.47620671413409</v>
      </c>
      <c r="AB820" s="6">
        <f>$K$820*$V$820</f>
        <v>0</v>
      </c>
      <c r="AC820" s="6">
        <f>$M$820*$W$820</f>
        <v>152.7807</v>
      </c>
      <c r="AD820" s="6">
        <f>$O$820*$X$820</f>
        <v>143.38040000000001</v>
      </c>
      <c r="AE820" s="6">
        <f>$K$820*$Y$820</f>
        <v>0</v>
      </c>
      <c r="AF820" s="6">
        <f ca="1">$M$820*$Z$820</f>
        <v>147.95488104852143</v>
      </c>
      <c r="AG820" s="6">
        <f>$O$820*$AA$820</f>
        <v>155.44192153570052</v>
      </c>
    </row>
    <row r="821" spans="1:33" ht="11.25" customHeight="1" x14ac:dyDescent="0.25">
      <c r="A821" s="4" t="s">
        <v>21</v>
      </c>
      <c r="B821" s="4" t="s">
        <v>22</v>
      </c>
      <c r="C821" s="4" t="s">
        <v>23</v>
      </c>
      <c r="D821" s="4" t="s">
        <v>24</v>
      </c>
      <c r="E821" s="4" t="s">
        <v>30</v>
      </c>
      <c r="F821" s="4" t="s">
        <v>25</v>
      </c>
      <c r="G821" s="4" t="s">
        <v>25</v>
      </c>
      <c r="H821" s="4" t="s">
        <v>25</v>
      </c>
      <c r="I821" s="5">
        <v>44409</v>
      </c>
      <c r="J821" s="6">
        <v>0</v>
      </c>
      <c r="K821" s="6">
        <v>0</v>
      </c>
      <c r="L821" s="6">
        <v>2601.038</v>
      </c>
      <c r="M821" s="6">
        <v>2601.038</v>
      </c>
      <c r="N821" s="6">
        <v>2601.038</v>
      </c>
      <c r="O821" s="6">
        <v>2601.038</v>
      </c>
      <c r="P821" s="6">
        <v>31913</v>
      </c>
      <c r="Q821" s="4" t="s">
        <v>26</v>
      </c>
      <c r="R821" s="4">
        <v>0</v>
      </c>
      <c r="S821" s="6">
        <v>0</v>
      </c>
      <c r="T821" s="6">
        <v>35</v>
      </c>
      <c r="U821" s="6">
        <v>75</v>
      </c>
      <c r="V821" s="6">
        <f>IF(ISERROR(VLOOKUP($S$821,'TAR FIN'!$A$1:$O$100,15,0)),0,VLOOKUP($S$821,'TAR FIN'!$A$1:$O$100,15,0))</f>
        <v>0</v>
      </c>
      <c r="W821" s="6">
        <f>IF(ISERROR(VLOOKUP($T$821,'TAR FIN'!$A$1:$O$100,15,0)),0,VLOOKUP($T$821,'TAR FIN'!$A$1:$O$100,15,0))</f>
        <v>147.9</v>
      </c>
      <c r="X821" s="6">
        <f>IF(ISERROR(VLOOKUP($U$821,'TAR FIN'!$A$1:$O$100,15,0)),0,VLOOKUP($U$821,'TAR FIN'!$A$1:$O$100,15,0))</f>
        <v>138.80000000000001</v>
      </c>
      <c r="Y821" s="6"/>
      <c r="Z821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1" s="6">
        <f>('TE BE'!$AA$15+'TE BF'!$AA$15+'TE CVA'!$AA$15)*(1-CUSTOS!$M$35)</f>
        <v>150.47620671413409</v>
      </c>
      <c r="AB821" s="6">
        <f>$K$821*$V$821</f>
        <v>0</v>
      </c>
      <c r="AC821" s="6">
        <f>$M$821*$W$821</f>
        <v>384693.52020000003</v>
      </c>
      <c r="AD821" s="6">
        <f>$O$821*$X$821</f>
        <v>361024.07440000004</v>
      </c>
      <c r="AE821" s="6">
        <f>$K$821*$Y$821</f>
        <v>0</v>
      </c>
      <c r="AF821" s="6">
        <f ca="1">$M$821*$Z$821</f>
        <v>372542.369692821</v>
      </c>
      <c r="AG821" s="6">
        <f>$O$821*$AA$821</f>
        <v>391394.33175931789</v>
      </c>
    </row>
    <row r="822" spans="1:33" ht="11.25" customHeight="1" x14ac:dyDescent="0.25">
      <c r="A822" s="4" t="s">
        <v>27</v>
      </c>
      <c r="B822" s="4" t="s">
        <v>22</v>
      </c>
      <c r="C822" s="4" t="s">
        <v>23</v>
      </c>
      <c r="D822" s="4" t="s">
        <v>24</v>
      </c>
      <c r="E822" s="4" t="s">
        <v>30</v>
      </c>
      <c r="F822" s="4" t="s">
        <v>25</v>
      </c>
      <c r="G822" s="4" t="s">
        <v>25</v>
      </c>
      <c r="H822" s="4" t="s">
        <v>25</v>
      </c>
      <c r="I822" s="5">
        <v>44409</v>
      </c>
      <c r="J822" s="6">
        <v>0</v>
      </c>
      <c r="K822" s="6">
        <v>0</v>
      </c>
      <c r="L822" s="6">
        <v>-0.55600000000000005</v>
      </c>
      <c r="M822" s="6">
        <v>-0.55600000000000005</v>
      </c>
      <c r="N822" s="6">
        <v>-0.55600000000000005</v>
      </c>
      <c r="O822" s="6">
        <v>-0.55600000000000005</v>
      </c>
      <c r="P822" s="6">
        <v>-2</v>
      </c>
      <c r="Q822" s="4" t="s">
        <v>26</v>
      </c>
      <c r="R822" s="4">
        <v>0</v>
      </c>
      <c r="S822" s="6">
        <v>0</v>
      </c>
      <c r="T822" s="6">
        <v>35</v>
      </c>
      <c r="U822" s="6">
        <v>75</v>
      </c>
      <c r="V822" s="6">
        <f>IF(ISERROR(VLOOKUP($S$822,'TAR FIN'!$A$1:$O$100,15,0)),0,VLOOKUP($S$822,'TAR FIN'!$A$1:$O$100,15,0))</f>
        <v>0</v>
      </c>
      <c r="W822" s="6">
        <f>IF(ISERROR(VLOOKUP($T$822,'TAR FIN'!$A$1:$O$100,15,0)),0,VLOOKUP($T$822,'TAR FIN'!$A$1:$O$100,15,0))</f>
        <v>147.9</v>
      </c>
      <c r="X822" s="6">
        <f>IF(ISERROR(VLOOKUP($U$822,'TAR FIN'!$A$1:$O$100,15,0)),0,VLOOKUP($U$822,'TAR FIN'!$A$1:$O$100,15,0))</f>
        <v>138.80000000000001</v>
      </c>
      <c r="Y822" s="6"/>
      <c r="Z822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2" s="6">
        <f>('TE BE'!$AA$15+'TE BF'!$AA$15+'TE CVA'!$AA$15)*(1-CUSTOS!$M$35)</f>
        <v>150.47620671413409</v>
      </c>
      <c r="AB822" s="6">
        <f>$K$822*$V$822</f>
        <v>0</v>
      </c>
      <c r="AC822" s="6">
        <f>$M$822*$W$822</f>
        <v>-82.232400000000013</v>
      </c>
      <c r="AD822" s="6">
        <f>$O$822*$X$822</f>
        <v>-77.172800000000009</v>
      </c>
      <c r="AE822" s="6">
        <f>$K$822*$Y$822</f>
        <v>0</v>
      </c>
      <c r="AF822" s="6">
        <f ca="1">$M$822*$Z$822</f>
        <v>-79.634960177132541</v>
      </c>
      <c r="AG822" s="6">
        <f>$O$822*$AA$822</f>
        <v>-83.664770933058563</v>
      </c>
    </row>
    <row r="823" spans="1:33" ht="11.25" customHeight="1" x14ac:dyDescent="0.25">
      <c r="A823" s="4" t="s">
        <v>28</v>
      </c>
      <c r="B823" s="4" t="s">
        <v>22</v>
      </c>
      <c r="C823" s="4" t="s">
        <v>23</v>
      </c>
      <c r="D823" s="4" t="s">
        <v>24</v>
      </c>
      <c r="E823" s="4" t="s">
        <v>30</v>
      </c>
      <c r="F823" s="4" t="s">
        <v>25</v>
      </c>
      <c r="G823" s="4" t="s">
        <v>25</v>
      </c>
      <c r="H823" s="4" t="s">
        <v>25</v>
      </c>
      <c r="I823" s="5">
        <v>44409</v>
      </c>
      <c r="J823" s="6">
        <v>0</v>
      </c>
      <c r="K823" s="6">
        <v>0</v>
      </c>
      <c r="L823" s="6">
        <v>0.94599999999999995</v>
      </c>
      <c r="M823" s="6">
        <v>0.94599999999999995</v>
      </c>
      <c r="N823" s="6">
        <v>0.94599999999999995</v>
      </c>
      <c r="O823" s="6">
        <v>0.94599999999999995</v>
      </c>
      <c r="P823" s="6">
        <v>7</v>
      </c>
      <c r="Q823" s="4" t="s">
        <v>26</v>
      </c>
      <c r="R823" s="4">
        <v>0</v>
      </c>
      <c r="S823" s="6">
        <v>0</v>
      </c>
      <c r="T823" s="6">
        <v>35</v>
      </c>
      <c r="U823" s="6">
        <v>75</v>
      </c>
      <c r="V823" s="6">
        <f>IF(ISERROR(VLOOKUP($S$823,'TAR FIN'!$A$1:$O$100,15,0)),0,VLOOKUP($S$823,'TAR FIN'!$A$1:$O$100,15,0))</f>
        <v>0</v>
      </c>
      <c r="W823" s="6">
        <f>IF(ISERROR(VLOOKUP($T$823,'TAR FIN'!$A$1:$O$100,15,0)),0,VLOOKUP($T$823,'TAR FIN'!$A$1:$O$100,15,0))</f>
        <v>147.9</v>
      </c>
      <c r="X823" s="6">
        <f>IF(ISERROR(VLOOKUP($U$823,'TAR FIN'!$A$1:$O$100,15,0)),0,VLOOKUP($U$823,'TAR FIN'!$A$1:$O$100,15,0))</f>
        <v>138.80000000000001</v>
      </c>
      <c r="Y823" s="6"/>
      <c r="Z82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3" s="6">
        <f>('TE BE'!$AA$15+'TE BF'!$AA$15+'TE CVA'!$AA$15)*(1-CUSTOS!$M$35)</f>
        <v>150.47620671413409</v>
      </c>
      <c r="AB823" s="6">
        <f>$K$823*$V$823</f>
        <v>0</v>
      </c>
      <c r="AC823" s="6">
        <f>$M$823*$W$823</f>
        <v>139.9134</v>
      </c>
      <c r="AD823" s="6">
        <f>$O$823*$X$823</f>
        <v>131.3048</v>
      </c>
      <c r="AE823" s="6">
        <f>$K$823*$Y$823</f>
        <v>0</v>
      </c>
      <c r="AF823" s="6">
        <f ca="1">$M$823*$Z$823</f>
        <v>135.49401497763918</v>
      </c>
      <c r="AG823" s="6">
        <f>$O$823*$AA$823</f>
        <v>142.35049155157085</v>
      </c>
    </row>
    <row r="824" spans="1:33" ht="11.25" customHeight="1" x14ac:dyDescent="0.25">
      <c r="A824" s="4" t="s">
        <v>21</v>
      </c>
      <c r="B824" s="4" t="s">
        <v>22</v>
      </c>
      <c r="C824" s="4" t="s">
        <v>23</v>
      </c>
      <c r="D824" s="4" t="s">
        <v>24</v>
      </c>
      <c r="E824" s="4" t="s">
        <v>30</v>
      </c>
      <c r="F824" s="4" t="s">
        <v>25</v>
      </c>
      <c r="G824" s="4" t="s">
        <v>25</v>
      </c>
      <c r="H824" s="4" t="s">
        <v>25</v>
      </c>
      <c r="I824" s="5">
        <v>44440</v>
      </c>
      <c r="J824" s="6">
        <v>0</v>
      </c>
      <c r="K824" s="6">
        <v>0</v>
      </c>
      <c r="L824" s="6">
        <v>2602.3040000000001</v>
      </c>
      <c r="M824" s="6">
        <v>2602.3040000000001</v>
      </c>
      <c r="N824" s="6">
        <v>2602.3040000000001</v>
      </c>
      <c r="O824" s="6">
        <v>2602.3040000000001</v>
      </c>
      <c r="P824" s="6">
        <v>31308</v>
      </c>
      <c r="Q824" s="4" t="s">
        <v>26</v>
      </c>
      <c r="R824" s="4">
        <v>0</v>
      </c>
      <c r="S824" s="6">
        <v>0</v>
      </c>
      <c r="T824" s="6">
        <v>35</v>
      </c>
      <c r="U824" s="6">
        <v>75</v>
      </c>
      <c r="V824" s="6">
        <f>IF(ISERROR(VLOOKUP($S$824,'TAR FIN'!$A$1:$O$100,15,0)),0,VLOOKUP($S$824,'TAR FIN'!$A$1:$O$100,15,0))</f>
        <v>0</v>
      </c>
      <c r="W824" s="6">
        <f>IF(ISERROR(VLOOKUP($T$824,'TAR FIN'!$A$1:$O$100,15,0)),0,VLOOKUP($T$824,'TAR FIN'!$A$1:$O$100,15,0))</f>
        <v>147.9</v>
      </c>
      <c r="X824" s="6">
        <f>IF(ISERROR(VLOOKUP($U$824,'TAR FIN'!$A$1:$O$100,15,0)),0,VLOOKUP($U$824,'TAR FIN'!$A$1:$O$100,15,0))</f>
        <v>138.80000000000001</v>
      </c>
      <c r="Y824" s="6"/>
      <c r="Z82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4" s="6">
        <f>('TE BE'!$AA$15+'TE BF'!$AA$15+'TE CVA'!$AA$15)*(1-CUSTOS!$M$35)</f>
        <v>150.47620671413409</v>
      </c>
      <c r="AB824" s="6">
        <f>$K$824*$V$824</f>
        <v>0</v>
      </c>
      <c r="AC824" s="6">
        <f>$M$824*$W$824</f>
        <v>384880.76160000003</v>
      </c>
      <c r="AD824" s="6">
        <f>$O$824*$X$824</f>
        <v>361199.79520000005</v>
      </c>
      <c r="AE824" s="6">
        <f>$K$824*$Y$824</f>
        <v>0</v>
      </c>
      <c r="AF824" s="6">
        <f ca="1">$M$824*$Z$824</f>
        <v>372723.69677840418</v>
      </c>
      <c r="AG824" s="6">
        <f>$O$824*$AA$824</f>
        <v>391584.83463701804</v>
      </c>
    </row>
    <row r="825" spans="1:33" ht="11.25" customHeight="1" x14ac:dyDescent="0.25">
      <c r="A825" s="4" t="s">
        <v>27</v>
      </c>
      <c r="B825" s="4" t="s">
        <v>22</v>
      </c>
      <c r="C825" s="4" t="s">
        <v>23</v>
      </c>
      <c r="D825" s="4" t="s">
        <v>24</v>
      </c>
      <c r="E825" s="4" t="s">
        <v>30</v>
      </c>
      <c r="F825" s="4" t="s">
        <v>25</v>
      </c>
      <c r="G825" s="4" t="s">
        <v>25</v>
      </c>
      <c r="H825" s="4" t="s">
        <v>25</v>
      </c>
      <c r="I825" s="5">
        <v>44440</v>
      </c>
      <c r="J825" s="6">
        <v>0</v>
      </c>
      <c r="K825" s="6">
        <v>0</v>
      </c>
      <c r="L825" s="6">
        <v>-9.5000000000000001E-2</v>
      </c>
      <c r="M825" s="6">
        <v>-9.5000000000000001E-2</v>
      </c>
      <c r="N825" s="6">
        <v>-9.5000000000000001E-2</v>
      </c>
      <c r="O825" s="6">
        <v>-9.5000000000000001E-2</v>
      </c>
      <c r="P825" s="6">
        <v>-1</v>
      </c>
      <c r="Q825" s="4" t="s">
        <v>26</v>
      </c>
      <c r="R825" s="4">
        <v>0</v>
      </c>
      <c r="S825" s="6">
        <v>0</v>
      </c>
      <c r="T825" s="6">
        <v>35</v>
      </c>
      <c r="U825" s="6">
        <v>75</v>
      </c>
      <c r="V825" s="6">
        <f>IF(ISERROR(VLOOKUP($S$825,'TAR FIN'!$A$1:$O$100,15,0)),0,VLOOKUP($S$825,'TAR FIN'!$A$1:$O$100,15,0))</f>
        <v>0</v>
      </c>
      <c r="W825" s="6">
        <f>IF(ISERROR(VLOOKUP($T$825,'TAR FIN'!$A$1:$O$100,15,0)),0,VLOOKUP($T$825,'TAR FIN'!$A$1:$O$100,15,0))</f>
        <v>147.9</v>
      </c>
      <c r="X825" s="6">
        <f>IF(ISERROR(VLOOKUP($U$825,'TAR FIN'!$A$1:$O$100,15,0)),0,VLOOKUP($U$825,'TAR FIN'!$A$1:$O$100,15,0))</f>
        <v>138.80000000000001</v>
      </c>
      <c r="Y825" s="6"/>
      <c r="Z82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5" s="6">
        <f>('TE BE'!$AA$15+'TE BF'!$AA$15+'TE CVA'!$AA$15)*(1-CUSTOS!$M$35)</f>
        <v>150.47620671413409</v>
      </c>
      <c r="AB825" s="6">
        <f>$K$825*$V$825</f>
        <v>0</v>
      </c>
      <c r="AC825" s="6">
        <f>$M$825*$W$825</f>
        <v>-14.050500000000001</v>
      </c>
      <c r="AD825" s="6">
        <f>$O$825*$X$825</f>
        <v>-13.186000000000002</v>
      </c>
      <c r="AE825" s="6">
        <f>$K$825*$Y$825</f>
        <v>0</v>
      </c>
      <c r="AF825" s="6">
        <f ca="1">$M$825*$Z$825</f>
        <v>-13.606692836020848</v>
      </c>
      <c r="AG825" s="6">
        <f>$O$825*$AA$825</f>
        <v>-14.295239637842739</v>
      </c>
    </row>
    <row r="826" spans="1:33" ht="11.25" customHeight="1" x14ac:dyDescent="0.25">
      <c r="A826" s="4" t="s">
        <v>28</v>
      </c>
      <c r="B826" s="4" t="s">
        <v>22</v>
      </c>
      <c r="C826" s="4" t="s">
        <v>23</v>
      </c>
      <c r="D826" s="4" t="s">
        <v>24</v>
      </c>
      <c r="E826" s="4" t="s">
        <v>30</v>
      </c>
      <c r="F826" s="4" t="s">
        <v>25</v>
      </c>
      <c r="G826" s="4" t="s">
        <v>25</v>
      </c>
      <c r="H826" s="4" t="s">
        <v>25</v>
      </c>
      <c r="I826" s="5">
        <v>44440</v>
      </c>
      <c r="J826" s="6">
        <v>0</v>
      </c>
      <c r="K826" s="6">
        <v>0</v>
      </c>
      <c r="L826" s="6">
        <v>1.323</v>
      </c>
      <c r="M826" s="6">
        <v>1.323</v>
      </c>
      <c r="N826" s="6">
        <v>1.323</v>
      </c>
      <c r="O826" s="6">
        <v>1.323</v>
      </c>
      <c r="P826" s="6">
        <v>12</v>
      </c>
      <c r="Q826" s="4" t="s">
        <v>26</v>
      </c>
      <c r="R826" s="4">
        <v>0</v>
      </c>
      <c r="S826" s="6">
        <v>0</v>
      </c>
      <c r="T826" s="6">
        <v>35</v>
      </c>
      <c r="U826" s="6">
        <v>75</v>
      </c>
      <c r="V826" s="6">
        <f>IF(ISERROR(VLOOKUP($S$826,'TAR FIN'!$A$1:$O$100,15,0)),0,VLOOKUP($S$826,'TAR FIN'!$A$1:$O$100,15,0))</f>
        <v>0</v>
      </c>
      <c r="W826" s="6">
        <f>IF(ISERROR(VLOOKUP($T$826,'TAR FIN'!$A$1:$O$100,15,0)),0,VLOOKUP($T$826,'TAR FIN'!$A$1:$O$100,15,0))</f>
        <v>147.9</v>
      </c>
      <c r="X826" s="6">
        <f>IF(ISERROR(VLOOKUP($U$826,'TAR FIN'!$A$1:$O$100,15,0)),0,VLOOKUP($U$826,'TAR FIN'!$A$1:$O$100,15,0))</f>
        <v>138.80000000000001</v>
      </c>
      <c r="Y826" s="6"/>
      <c r="Z82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6" s="6">
        <f>('TE BE'!$AA$15+'TE BF'!$AA$15+'TE CVA'!$AA$15)*(1-CUSTOS!$M$35)</f>
        <v>150.47620671413409</v>
      </c>
      <c r="AB826" s="6">
        <f>$K$826*$V$826</f>
        <v>0</v>
      </c>
      <c r="AC826" s="6">
        <f>$M$826*$W$826</f>
        <v>195.67169999999999</v>
      </c>
      <c r="AD826" s="6">
        <f>$O$826*$X$826</f>
        <v>183.63240000000002</v>
      </c>
      <c r="AE826" s="6">
        <f>$K$826*$Y$826</f>
        <v>0</v>
      </c>
      <c r="AF826" s="6">
        <f ca="1">$M$826*$Z$826</f>
        <v>189.49110128479558</v>
      </c>
      <c r="AG826" s="6">
        <f>$O$826*$AA$826</f>
        <v>199.0800214827994</v>
      </c>
    </row>
    <row r="827" spans="1:33" ht="11.25" customHeight="1" x14ac:dyDescent="0.25">
      <c r="A827" s="4" t="s">
        <v>21</v>
      </c>
      <c r="B827" s="4" t="s">
        <v>22</v>
      </c>
      <c r="C827" s="4" t="s">
        <v>23</v>
      </c>
      <c r="D827" s="4" t="s">
        <v>24</v>
      </c>
      <c r="E827" s="4" t="s">
        <v>30</v>
      </c>
      <c r="F827" s="4" t="s">
        <v>25</v>
      </c>
      <c r="G827" s="4" t="s">
        <v>25</v>
      </c>
      <c r="H827" s="4" t="s">
        <v>25</v>
      </c>
      <c r="I827" s="5">
        <v>44470</v>
      </c>
      <c r="J827" s="6">
        <v>0</v>
      </c>
      <c r="K827" s="6">
        <v>0</v>
      </c>
      <c r="L827" s="6">
        <v>2749.038</v>
      </c>
      <c r="M827" s="6">
        <v>2749.038</v>
      </c>
      <c r="N827" s="6">
        <v>2749.038</v>
      </c>
      <c r="O827" s="6">
        <v>2749.038</v>
      </c>
      <c r="P827" s="6">
        <v>29929</v>
      </c>
      <c r="Q827" s="4" t="s">
        <v>26</v>
      </c>
      <c r="R827" s="4">
        <v>0</v>
      </c>
      <c r="S827" s="6">
        <v>0</v>
      </c>
      <c r="T827" s="6">
        <v>35</v>
      </c>
      <c r="U827" s="6">
        <v>75</v>
      </c>
      <c r="V827" s="6">
        <f>IF(ISERROR(VLOOKUP($S$827,'TAR FIN'!$A$1:$O$100,15,0)),0,VLOOKUP($S$827,'TAR FIN'!$A$1:$O$100,15,0))</f>
        <v>0</v>
      </c>
      <c r="W827" s="6">
        <f>IF(ISERROR(VLOOKUP($T$827,'TAR FIN'!$A$1:$O$100,15,0)),0,VLOOKUP($T$827,'TAR FIN'!$A$1:$O$100,15,0))</f>
        <v>147.9</v>
      </c>
      <c r="X827" s="6">
        <f>IF(ISERROR(VLOOKUP($U$827,'TAR FIN'!$A$1:$O$100,15,0)),0,VLOOKUP($U$827,'TAR FIN'!$A$1:$O$100,15,0))</f>
        <v>138.80000000000001</v>
      </c>
      <c r="Y827" s="6"/>
      <c r="Z82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7" s="6">
        <f>('TE BE'!$AA$15+'TE BF'!$AA$15+'TE CVA'!$AA$15)*(1-CUSTOS!$M$35)</f>
        <v>150.47620671413409</v>
      </c>
      <c r="AB827" s="6">
        <f>$K$827*$V$827</f>
        <v>0</v>
      </c>
      <c r="AC827" s="6">
        <f>$M$827*$W$827</f>
        <v>406582.72020000004</v>
      </c>
      <c r="AD827" s="6">
        <f>$O$827*$X$827</f>
        <v>381566.47440000001</v>
      </c>
      <c r="AE827" s="6">
        <f>$K$827*$Y$827</f>
        <v>0</v>
      </c>
      <c r="AF827" s="6">
        <f ca="1">$M$827*$Z$827</f>
        <v>393740.16484788503</v>
      </c>
      <c r="AG827" s="6">
        <f>$O$827*$AA$827</f>
        <v>413664.81035300979</v>
      </c>
    </row>
    <row r="828" spans="1:33" ht="11.25" customHeight="1" x14ac:dyDescent="0.25">
      <c r="A828" s="4" t="s">
        <v>28</v>
      </c>
      <c r="B828" s="4" t="s">
        <v>22</v>
      </c>
      <c r="C828" s="4" t="s">
        <v>23</v>
      </c>
      <c r="D828" s="4" t="s">
        <v>24</v>
      </c>
      <c r="E828" s="4" t="s">
        <v>30</v>
      </c>
      <c r="F828" s="4" t="s">
        <v>25</v>
      </c>
      <c r="G828" s="4" t="s">
        <v>25</v>
      </c>
      <c r="H828" s="4" t="s">
        <v>25</v>
      </c>
      <c r="I828" s="5">
        <v>44470</v>
      </c>
      <c r="J828" s="6">
        <v>0</v>
      </c>
      <c r="K828" s="6">
        <v>0</v>
      </c>
      <c r="L828" s="6">
        <v>1.3640000000000001</v>
      </c>
      <c r="M828" s="6">
        <v>1.3640000000000001</v>
      </c>
      <c r="N828" s="6">
        <v>1.3640000000000001</v>
      </c>
      <c r="O828" s="6">
        <v>1.3640000000000001</v>
      </c>
      <c r="P828" s="6">
        <v>11</v>
      </c>
      <c r="Q828" s="4" t="s">
        <v>26</v>
      </c>
      <c r="R828" s="4">
        <v>0</v>
      </c>
      <c r="S828" s="6">
        <v>0</v>
      </c>
      <c r="T828" s="6">
        <v>35</v>
      </c>
      <c r="U828" s="6">
        <v>75</v>
      </c>
      <c r="V828" s="6">
        <f>IF(ISERROR(VLOOKUP($S$828,'TAR FIN'!$A$1:$O$100,15,0)),0,VLOOKUP($S$828,'TAR FIN'!$A$1:$O$100,15,0))</f>
        <v>0</v>
      </c>
      <c r="W828" s="6">
        <f>IF(ISERROR(VLOOKUP($T$828,'TAR FIN'!$A$1:$O$100,15,0)),0,VLOOKUP($T$828,'TAR FIN'!$A$1:$O$100,15,0))</f>
        <v>147.9</v>
      </c>
      <c r="X828" s="6">
        <f>IF(ISERROR(VLOOKUP($U$828,'TAR FIN'!$A$1:$O$100,15,0)),0,VLOOKUP($U$828,'TAR FIN'!$A$1:$O$100,15,0))</f>
        <v>138.80000000000001</v>
      </c>
      <c r="Y828" s="6"/>
      <c r="Z82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8" s="6">
        <f>('TE BE'!$AA$15+'TE BF'!$AA$15+'TE CVA'!$AA$15)*(1-CUSTOS!$M$35)</f>
        <v>150.47620671413409</v>
      </c>
      <c r="AB828" s="6">
        <f>$K$828*$V$828</f>
        <v>0</v>
      </c>
      <c r="AC828" s="6">
        <f>$M$828*$W$828</f>
        <v>201.73560000000003</v>
      </c>
      <c r="AD828" s="6">
        <f>$O$828*$X$828</f>
        <v>189.32320000000004</v>
      </c>
      <c r="AE828" s="6">
        <f>$K$828*$Y$828</f>
        <v>0</v>
      </c>
      <c r="AF828" s="6">
        <f ca="1">$M$828*$Z$828</f>
        <v>195.36346345613092</v>
      </c>
      <c r="AG828" s="6">
        <f>$O$828*$AA$828</f>
        <v>205.24954595807893</v>
      </c>
    </row>
    <row r="829" spans="1:33" ht="11.25" customHeight="1" x14ac:dyDescent="0.25">
      <c r="A829" s="4" t="s">
        <v>21</v>
      </c>
      <c r="B829" s="4" t="s">
        <v>22</v>
      </c>
      <c r="C829" s="4" t="s">
        <v>23</v>
      </c>
      <c r="D829" s="4" t="s">
        <v>24</v>
      </c>
      <c r="E829" s="4" t="s">
        <v>30</v>
      </c>
      <c r="F829" s="4" t="s">
        <v>25</v>
      </c>
      <c r="G829" s="4" t="s">
        <v>25</v>
      </c>
      <c r="H829" s="4" t="s">
        <v>25</v>
      </c>
      <c r="I829" s="5">
        <v>44501</v>
      </c>
      <c r="J829" s="6">
        <v>0</v>
      </c>
      <c r="K829" s="6">
        <v>0</v>
      </c>
      <c r="L829" s="6">
        <v>2769.5880000000002</v>
      </c>
      <c r="M829" s="6">
        <v>2769.5880000000002</v>
      </c>
      <c r="N829" s="6">
        <v>2769.5880000000002</v>
      </c>
      <c r="O829" s="6">
        <v>2769.5880000000002</v>
      </c>
      <c r="P829" s="6">
        <v>29731</v>
      </c>
      <c r="Q829" s="4" t="s">
        <v>26</v>
      </c>
      <c r="R829" s="4">
        <v>0</v>
      </c>
      <c r="S829" s="6">
        <v>0</v>
      </c>
      <c r="T829" s="6">
        <v>35</v>
      </c>
      <c r="U829" s="6">
        <v>75</v>
      </c>
      <c r="V829" s="6">
        <f>IF(ISERROR(VLOOKUP($S$829,'TAR FIN'!$A$1:$O$100,15,0)),0,VLOOKUP($S$829,'TAR FIN'!$A$1:$O$100,15,0))</f>
        <v>0</v>
      </c>
      <c r="W829" s="6">
        <f>IF(ISERROR(VLOOKUP($T$829,'TAR FIN'!$A$1:$O$100,15,0)),0,VLOOKUP($T$829,'TAR FIN'!$A$1:$O$100,15,0))</f>
        <v>147.9</v>
      </c>
      <c r="X829" s="6">
        <f>IF(ISERROR(VLOOKUP($U$829,'TAR FIN'!$A$1:$O$100,15,0)),0,VLOOKUP($U$829,'TAR FIN'!$A$1:$O$100,15,0))</f>
        <v>138.80000000000001</v>
      </c>
      <c r="Y829" s="6"/>
      <c r="Z82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29" s="6">
        <f>('TE BE'!$AA$15+'TE BF'!$AA$15+'TE CVA'!$AA$15)*(1-CUSTOS!$M$35)</f>
        <v>150.47620671413409</v>
      </c>
      <c r="AB829" s="6">
        <f>$K$829*$V$829</f>
        <v>0</v>
      </c>
      <c r="AC829" s="6">
        <f>$M$829*$W$829</f>
        <v>409622.06520000007</v>
      </c>
      <c r="AD829" s="6">
        <f>$O$829*$X$829</f>
        <v>384418.81440000003</v>
      </c>
      <c r="AE829" s="6">
        <f>$K$829*$Y$829</f>
        <v>0</v>
      </c>
      <c r="AF829" s="6">
        <f ca="1">$M$829*$Z$829</f>
        <v>396683.50735083484</v>
      </c>
      <c r="AG829" s="6">
        <f>$O$829*$AA$829</f>
        <v>416757.09640098526</v>
      </c>
    </row>
    <row r="830" spans="1:33" ht="11.25" customHeight="1" x14ac:dyDescent="0.25">
      <c r="A830" s="4" t="s">
        <v>27</v>
      </c>
      <c r="B830" s="4" t="s">
        <v>22</v>
      </c>
      <c r="C830" s="4" t="s">
        <v>23</v>
      </c>
      <c r="D830" s="4" t="s">
        <v>24</v>
      </c>
      <c r="E830" s="4" t="s">
        <v>30</v>
      </c>
      <c r="F830" s="4" t="s">
        <v>25</v>
      </c>
      <c r="G830" s="4" t="s">
        <v>25</v>
      </c>
      <c r="H830" s="4" t="s">
        <v>25</v>
      </c>
      <c r="I830" s="5">
        <v>44501</v>
      </c>
      <c r="J830" s="6">
        <v>0</v>
      </c>
      <c r="K830" s="6">
        <v>0</v>
      </c>
      <c r="L830" s="6">
        <v>-0.33100000000000002</v>
      </c>
      <c r="M830" s="6">
        <v>-0.33100000000000002</v>
      </c>
      <c r="N830" s="6">
        <v>-0.33100000000000002</v>
      </c>
      <c r="O830" s="6">
        <v>-0.33100000000000002</v>
      </c>
      <c r="P830" s="6">
        <v>-1</v>
      </c>
      <c r="Q830" s="4" t="s">
        <v>26</v>
      </c>
      <c r="R830" s="4">
        <v>0</v>
      </c>
      <c r="S830" s="6">
        <v>0</v>
      </c>
      <c r="T830" s="6">
        <v>35</v>
      </c>
      <c r="U830" s="6">
        <v>75</v>
      </c>
      <c r="V830" s="6">
        <f>IF(ISERROR(VLOOKUP($S$830,'TAR FIN'!$A$1:$O$100,15,0)),0,VLOOKUP($S$830,'TAR FIN'!$A$1:$O$100,15,0))</f>
        <v>0</v>
      </c>
      <c r="W830" s="6">
        <f>IF(ISERROR(VLOOKUP($T$830,'TAR FIN'!$A$1:$O$100,15,0)),0,VLOOKUP($T$830,'TAR FIN'!$A$1:$O$100,15,0))</f>
        <v>147.9</v>
      </c>
      <c r="X830" s="6">
        <f>IF(ISERROR(VLOOKUP($U$830,'TAR FIN'!$A$1:$O$100,15,0)),0,VLOOKUP($U$830,'TAR FIN'!$A$1:$O$100,15,0))</f>
        <v>138.80000000000001</v>
      </c>
      <c r="Y830" s="6"/>
      <c r="Z83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0" s="6">
        <f>('TE BE'!$AA$15+'TE BF'!$AA$15+'TE CVA'!$AA$15)*(1-CUSTOS!$M$35)</f>
        <v>150.47620671413409</v>
      </c>
      <c r="AB830" s="6">
        <f>$K$830*$V$830</f>
        <v>0</v>
      </c>
      <c r="AC830" s="6">
        <f>$M$830*$W$830</f>
        <v>-48.954900000000002</v>
      </c>
      <c r="AD830" s="6">
        <f>$O$830*$X$830</f>
        <v>-45.942800000000005</v>
      </c>
      <c r="AE830" s="6">
        <f>$K$830*$Y$830</f>
        <v>0</v>
      </c>
      <c r="AF830" s="6">
        <f ca="1">$M$830*$Z$830</f>
        <v>-47.40858240760948</v>
      </c>
      <c r="AG830" s="6">
        <f>$O$830*$AA$830</f>
        <v>-49.807624422378389</v>
      </c>
    </row>
    <row r="831" spans="1:33" ht="11.25" customHeight="1" x14ac:dyDescent="0.25">
      <c r="A831" s="4" t="s">
        <v>28</v>
      </c>
      <c r="B831" s="4" t="s">
        <v>22</v>
      </c>
      <c r="C831" s="4" t="s">
        <v>23</v>
      </c>
      <c r="D831" s="4" t="s">
        <v>24</v>
      </c>
      <c r="E831" s="4" t="s">
        <v>30</v>
      </c>
      <c r="F831" s="4" t="s">
        <v>25</v>
      </c>
      <c r="G831" s="4" t="s">
        <v>25</v>
      </c>
      <c r="H831" s="4" t="s">
        <v>25</v>
      </c>
      <c r="I831" s="5">
        <v>44501</v>
      </c>
      <c r="J831" s="6">
        <v>0</v>
      </c>
      <c r="K831" s="6">
        <v>0</v>
      </c>
      <c r="L831" s="6">
        <v>1.4750000000000001</v>
      </c>
      <c r="M831" s="6">
        <v>1.4750000000000001</v>
      </c>
      <c r="N831" s="6">
        <v>1.4750000000000001</v>
      </c>
      <c r="O831" s="6">
        <v>1.4750000000000001</v>
      </c>
      <c r="P831" s="6">
        <v>11</v>
      </c>
      <c r="Q831" s="4" t="s">
        <v>26</v>
      </c>
      <c r="R831" s="4">
        <v>0</v>
      </c>
      <c r="S831" s="6">
        <v>0</v>
      </c>
      <c r="T831" s="6">
        <v>35</v>
      </c>
      <c r="U831" s="6">
        <v>75</v>
      </c>
      <c r="V831" s="6">
        <f>IF(ISERROR(VLOOKUP($S$831,'TAR FIN'!$A$1:$O$100,15,0)),0,VLOOKUP($S$831,'TAR FIN'!$A$1:$O$100,15,0))</f>
        <v>0</v>
      </c>
      <c r="W831" s="6">
        <f>IF(ISERROR(VLOOKUP($T$831,'TAR FIN'!$A$1:$O$100,15,0)),0,VLOOKUP($T$831,'TAR FIN'!$A$1:$O$100,15,0))</f>
        <v>147.9</v>
      </c>
      <c r="X831" s="6">
        <f>IF(ISERROR(VLOOKUP($U$831,'TAR FIN'!$A$1:$O$100,15,0)),0,VLOOKUP($U$831,'TAR FIN'!$A$1:$O$100,15,0))</f>
        <v>138.80000000000001</v>
      </c>
      <c r="Y831" s="6"/>
      <c r="Z831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1" s="6">
        <f>('TE BE'!$AA$15+'TE BF'!$AA$15+'TE CVA'!$AA$15)*(1-CUSTOS!$M$35)</f>
        <v>150.47620671413409</v>
      </c>
      <c r="AB831" s="6">
        <f>$K$831*$V$831</f>
        <v>0</v>
      </c>
      <c r="AC831" s="6">
        <f>$M$831*$W$831</f>
        <v>218.15250000000003</v>
      </c>
      <c r="AD831" s="6">
        <f>$O$831*$X$831</f>
        <v>204.73000000000002</v>
      </c>
      <c r="AE831" s="6">
        <f>$K$831*$Y$831</f>
        <v>0</v>
      </c>
      <c r="AF831" s="6">
        <f ca="1">$M$831*$Z$831</f>
        <v>211.26180982242897</v>
      </c>
      <c r="AG831" s="6">
        <f>$O$831*$AA$831</f>
        <v>221.9524049033478</v>
      </c>
    </row>
    <row r="832" spans="1:33" ht="11.25" customHeight="1" x14ac:dyDescent="0.25">
      <c r="A832" s="4" t="s">
        <v>21</v>
      </c>
      <c r="B832" s="4" t="s">
        <v>22</v>
      </c>
      <c r="C832" s="4" t="s">
        <v>23</v>
      </c>
      <c r="D832" s="4" t="s">
        <v>24</v>
      </c>
      <c r="E832" s="4" t="s">
        <v>30</v>
      </c>
      <c r="F832" s="4" t="s">
        <v>25</v>
      </c>
      <c r="G832" s="4" t="s">
        <v>25</v>
      </c>
      <c r="H832" s="4" t="s">
        <v>25</v>
      </c>
      <c r="I832" s="5">
        <v>44531</v>
      </c>
      <c r="J832" s="6">
        <v>0</v>
      </c>
      <c r="K832" s="6">
        <v>0</v>
      </c>
      <c r="L832" s="6">
        <v>2835.3240000000001</v>
      </c>
      <c r="M832" s="6">
        <v>2835.3240000000001</v>
      </c>
      <c r="N832" s="6">
        <v>2835.3240000000001</v>
      </c>
      <c r="O832" s="6">
        <v>2835.3240000000001</v>
      </c>
      <c r="P832" s="6">
        <v>28527</v>
      </c>
      <c r="Q832" s="4" t="s">
        <v>26</v>
      </c>
      <c r="R832" s="4">
        <v>0</v>
      </c>
      <c r="S832" s="6">
        <v>0</v>
      </c>
      <c r="T832" s="6">
        <v>35</v>
      </c>
      <c r="U832" s="6">
        <v>75</v>
      </c>
      <c r="V832" s="6">
        <f>IF(ISERROR(VLOOKUP($S$832,'TAR FIN'!$A$1:$O$100,15,0)),0,VLOOKUP($S$832,'TAR FIN'!$A$1:$O$100,15,0))</f>
        <v>0</v>
      </c>
      <c r="W832" s="6">
        <f>IF(ISERROR(VLOOKUP($T$832,'TAR FIN'!$A$1:$O$100,15,0)),0,VLOOKUP($T$832,'TAR FIN'!$A$1:$O$100,15,0))</f>
        <v>147.9</v>
      </c>
      <c r="X832" s="6">
        <f>IF(ISERROR(VLOOKUP($U$832,'TAR FIN'!$A$1:$O$100,15,0)),0,VLOOKUP($U$832,'TAR FIN'!$A$1:$O$100,15,0))</f>
        <v>138.80000000000001</v>
      </c>
      <c r="Y832" s="6"/>
      <c r="Z832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2" s="6">
        <f>('TE BE'!$AA$15+'TE BF'!$AA$15+'TE CVA'!$AA$15)*(1-CUSTOS!$M$35)</f>
        <v>150.47620671413409</v>
      </c>
      <c r="AB832" s="6">
        <f>$K$832*$V$832</f>
        <v>0</v>
      </c>
      <c r="AC832" s="6">
        <f>$M$832*$W$832</f>
        <v>419344.41960000002</v>
      </c>
      <c r="AD832" s="6">
        <f>$O$832*$X$832</f>
        <v>393542.97120000003</v>
      </c>
      <c r="AE832" s="6">
        <f>$K$832*$Y$832</f>
        <v>0</v>
      </c>
      <c r="AF832" s="6">
        <f ca="1">$M$832*$Z$832</f>
        <v>406098.76587997866</v>
      </c>
      <c r="AG832" s="6">
        <f>$O$832*$AA$832</f>
        <v>426648.80032554554</v>
      </c>
    </row>
    <row r="833" spans="1:33" ht="11.25" customHeight="1" x14ac:dyDescent="0.25">
      <c r="A833" s="4" t="s">
        <v>27</v>
      </c>
      <c r="B833" s="4" t="s">
        <v>22</v>
      </c>
      <c r="C833" s="4" t="s">
        <v>23</v>
      </c>
      <c r="D833" s="4" t="s">
        <v>24</v>
      </c>
      <c r="E833" s="4" t="s">
        <v>30</v>
      </c>
      <c r="F833" s="4" t="s">
        <v>25</v>
      </c>
      <c r="G833" s="4" t="s">
        <v>25</v>
      </c>
      <c r="H833" s="4" t="s">
        <v>25</v>
      </c>
      <c r="I833" s="5">
        <v>44531</v>
      </c>
      <c r="J833" s="6">
        <v>0</v>
      </c>
      <c r="K833" s="6">
        <v>0</v>
      </c>
      <c r="L833" s="6">
        <v>-0.27100000000000002</v>
      </c>
      <c r="M833" s="6">
        <v>-0.27100000000000002</v>
      </c>
      <c r="N833" s="6">
        <v>-0.27100000000000002</v>
      </c>
      <c r="O833" s="6">
        <v>-0.27100000000000002</v>
      </c>
      <c r="P833" s="6">
        <v>-4</v>
      </c>
      <c r="Q833" s="4" t="s">
        <v>26</v>
      </c>
      <c r="R833" s="4">
        <v>0</v>
      </c>
      <c r="S833" s="6">
        <v>0</v>
      </c>
      <c r="T833" s="6">
        <v>35</v>
      </c>
      <c r="U833" s="6">
        <v>75</v>
      </c>
      <c r="V833" s="6">
        <f>IF(ISERROR(VLOOKUP($S$833,'TAR FIN'!$A$1:$O$100,15,0)),0,VLOOKUP($S$833,'TAR FIN'!$A$1:$O$100,15,0))</f>
        <v>0</v>
      </c>
      <c r="W833" s="6">
        <f>IF(ISERROR(VLOOKUP($T$833,'TAR FIN'!$A$1:$O$100,15,0)),0,VLOOKUP($T$833,'TAR FIN'!$A$1:$O$100,15,0))</f>
        <v>147.9</v>
      </c>
      <c r="X833" s="6">
        <f>IF(ISERROR(VLOOKUP($U$833,'TAR FIN'!$A$1:$O$100,15,0)),0,VLOOKUP($U$833,'TAR FIN'!$A$1:$O$100,15,0))</f>
        <v>138.80000000000001</v>
      </c>
      <c r="Y833" s="6"/>
      <c r="Z83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3" s="6">
        <f>('TE BE'!$AA$15+'TE BF'!$AA$15+'TE CVA'!$AA$15)*(1-CUSTOS!$M$35)</f>
        <v>150.47620671413409</v>
      </c>
      <c r="AB833" s="6">
        <f>$K$833*$V$833</f>
        <v>0</v>
      </c>
      <c r="AC833" s="6">
        <f>$M$833*$W$833</f>
        <v>-40.080900000000007</v>
      </c>
      <c r="AD833" s="6">
        <f>$O$833*$X$833</f>
        <v>-37.614800000000002</v>
      </c>
      <c r="AE833" s="6">
        <f>$K$833*$Y$833</f>
        <v>0</v>
      </c>
      <c r="AF833" s="6">
        <f ca="1">$M$833*$Z$833</f>
        <v>-38.814881669069997</v>
      </c>
      <c r="AG833" s="6">
        <f>$O$833*$AA$833</f>
        <v>-40.77905201953034</v>
      </c>
    </row>
    <row r="834" spans="1:33" ht="11.25" customHeight="1" x14ac:dyDescent="0.25">
      <c r="A834" s="4" t="s">
        <v>28</v>
      </c>
      <c r="B834" s="4" t="s">
        <v>22</v>
      </c>
      <c r="C834" s="4" t="s">
        <v>23</v>
      </c>
      <c r="D834" s="4" t="s">
        <v>24</v>
      </c>
      <c r="E834" s="4" t="s">
        <v>30</v>
      </c>
      <c r="F834" s="4" t="s">
        <v>25</v>
      </c>
      <c r="G834" s="4" t="s">
        <v>25</v>
      </c>
      <c r="H834" s="4" t="s">
        <v>25</v>
      </c>
      <c r="I834" s="5">
        <v>44531</v>
      </c>
      <c r="J834" s="6">
        <v>0</v>
      </c>
      <c r="K834" s="6">
        <v>0</v>
      </c>
      <c r="L834" s="6">
        <v>1.7030000000000001</v>
      </c>
      <c r="M834" s="6">
        <v>1.7030000000000001</v>
      </c>
      <c r="N834" s="6">
        <v>1.7030000000000001</v>
      </c>
      <c r="O834" s="6">
        <v>1.7030000000000001</v>
      </c>
      <c r="P834" s="6">
        <v>8</v>
      </c>
      <c r="Q834" s="4" t="s">
        <v>26</v>
      </c>
      <c r="R834" s="4">
        <v>0</v>
      </c>
      <c r="S834" s="6">
        <v>0</v>
      </c>
      <c r="T834" s="6">
        <v>35</v>
      </c>
      <c r="U834" s="6">
        <v>75</v>
      </c>
      <c r="V834" s="6">
        <f>IF(ISERROR(VLOOKUP($S$834,'TAR FIN'!$A$1:$O$100,15,0)),0,VLOOKUP($S$834,'TAR FIN'!$A$1:$O$100,15,0))</f>
        <v>0</v>
      </c>
      <c r="W834" s="6">
        <f>IF(ISERROR(VLOOKUP($T$834,'TAR FIN'!$A$1:$O$100,15,0)),0,VLOOKUP($T$834,'TAR FIN'!$A$1:$O$100,15,0))</f>
        <v>147.9</v>
      </c>
      <c r="X834" s="6">
        <f>IF(ISERROR(VLOOKUP($U$834,'TAR FIN'!$A$1:$O$100,15,0)),0,VLOOKUP($U$834,'TAR FIN'!$A$1:$O$100,15,0))</f>
        <v>138.80000000000001</v>
      </c>
      <c r="Y834" s="6"/>
      <c r="Z83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4" s="6">
        <f>('TE BE'!$AA$15+'TE BF'!$AA$15+'TE CVA'!$AA$15)*(1-CUSTOS!$M$35)</f>
        <v>150.47620671413409</v>
      </c>
      <c r="AB834" s="6">
        <f>$K$834*$V$834</f>
        <v>0</v>
      </c>
      <c r="AC834" s="6">
        <f>$M$834*$W$834</f>
        <v>251.87370000000001</v>
      </c>
      <c r="AD834" s="6">
        <f>$O$834*$X$834</f>
        <v>236.37640000000002</v>
      </c>
      <c r="AE834" s="6">
        <f>$K$834*$Y$834</f>
        <v>0</v>
      </c>
      <c r="AF834" s="6">
        <f ca="1">$M$834*$Z$834</f>
        <v>243.917872628879</v>
      </c>
      <c r="AG834" s="6">
        <f>$O$834*$AA$834</f>
        <v>256.26098003417036</v>
      </c>
    </row>
    <row r="835" spans="1:33" ht="11.25" customHeight="1" x14ac:dyDescent="0.25">
      <c r="A835" s="4" t="s">
        <v>55</v>
      </c>
      <c r="B835" s="4" t="s">
        <v>22</v>
      </c>
      <c r="C835" s="4" t="s">
        <v>23</v>
      </c>
      <c r="D835" s="4" t="s">
        <v>24</v>
      </c>
      <c r="E835" s="4" t="s">
        <v>30</v>
      </c>
      <c r="F835" s="4" t="s">
        <v>25</v>
      </c>
      <c r="G835" s="4" t="s">
        <v>25</v>
      </c>
      <c r="H835" s="4" t="s">
        <v>25</v>
      </c>
      <c r="I835" s="5">
        <v>44562</v>
      </c>
      <c r="J835" s="6">
        <v>0</v>
      </c>
      <c r="K835" s="6">
        <v>0</v>
      </c>
      <c r="L835" s="6">
        <v>2835.3240000000001</v>
      </c>
      <c r="M835" s="6">
        <v>2835.3240000000001</v>
      </c>
      <c r="N835" s="6">
        <v>2835.3240000000001</v>
      </c>
      <c r="O835" s="6">
        <v>2835.3240000000001</v>
      </c>
      <c r="P835" s="6">
        <v>28527</v>
      </c>
      <c r="Q835" s="4" t="s">
        <v>26</v>
      </c>
      <c r="R835" s="4">
        <v>0</v>
      </c>
      <c r="S835" s="6">
        <v>0</v>
      </c>
      <c r="T835" s="6">
        <v>35</v>
      </c>
      <c r="U835" s="6">
        <v>75</v>
      </c>
      <c r="V835" s="6">
        <f>IF(ISERROR(VLOOKUP($S$835,'TAR FIN'!$A$1:$O$100,15,0)),0,VLOOKUP($S$835,'TAR FIN'!$A$1:$O$100,15,0))</f>
        <v>0</v>
      </c>
      <c r="W835" s="6">
        <f>IF(ISERROR(VLOOKUP($T$835,'TAR FIN'!$A$1:$O$100,15,0)),0,VLOOKUP($T$835,'TAR FIN'!$A$1:$O$100,15,0))</f>
        <v>147.9</v>
      </c>
      <c r="X835" s="6">
        <f>IF(ISERROR(VLOOKUP($U$835,'TAR FIN'!$A$1:$O$100,15,0)),0,VLOOKUP($U$835,'TAR FIN'!$A$1:$O$100,15,0))</f>
        <v>138.80000000000001</v>
      </c>
      <c r="Y835" s="6"/>
      <c r="Z83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5" s="6">
        <f>('TE BE'!$AA$15+'TE BF'!$AA$15+'TE CVA'!$AA$15)*(1-CUSTOS!$M$35)</f>
        <v>150.47620671413409</v>
      </c>
      <c r="AB835" s="6">
        <f>$K$835*$V$835</f>
        <v>0</v>
      </c>
      <c r="AC835" s="6">
        <f>$M$835*$W$835</f>
        <v>419344.41960000002</v>
      </c>
      <c r="AD835" s="6">
        <f>$O$835*$X$835</f>
        <v>393542.97120000003</v>
      </c>
      <c r="AE835" s="6">
        <f>$K$835*$Y$835</f>
        <v>0</v>
      </c>
      <c r="AF835" s="6">
        <f ca="1">$M$835*$Z$835</f>
        <v>406098.76587997866</v>
      </c>
      <c r="AG835" s="6">
        <f>$O$835*$AA$835</f>
        <v>426648.80032554554</v>
      </c>
    </row>
    <row r="836" spans="1:33" ht="11.25" customHeight="1" x14ac:dyDescent="0.25">
      <c r="A836" s="4" t="s">
        <v>55</v>
      </c>
      <c r="B836" s="4" t="s">
        <v>22</v>
      </c>
      <c r="C836" s="4" t="s">
        <v>23</v>
      </c>
      <c r="D836" s="4" t="s">
        <v>24</v>
      </c>
      <c r="E836" s="4" t="s">
        <v>30</v>
      </c>
      <c r="F836" s="4" t="s">
        <v>25</v>
      </c>
      <c r="G836" s="4" t="s">
        <v>25</v>
      </c>
      <c r="H836" s="4" t="s">
        <v>25</v>
      </c>
      <c r="I836" s="5">
        <v>44562</v>
      </c>
      <c r="J836" s="6">
        <v>0</v>
      </c>
      <c r="K836" s="6">
        <v>0</v>
      </c>
      <c r="L836" s="6">
        <v>-0.27100000000000002</v>
      </c>
      <c r="M836" s="6">
        <v>-0.27100000000000002</v>
      </c>
      <c r="N836" s="6">
        <v>-0.27100000000000002</v>
      </c>
      <c r="O836" s="6">
        <v>-0.27100000000000002</v>
      </c>
      <c r="P836" s="6">
        <v>-4</v>
      </c>
      <c r="Q836" s="4" t="s">
        <v>26</v>
      </c>
      <c r="R836" s="4">
        <v>0</v>
      </c>
      <c r="S836" s="6">
        <v>0</v>
      </c>
      <c r="T836" s="6">
        <v>35</v>
      </c>
      <c r="U836" s="6">
        <v>75</v>
      </c>
      <c r="V836" s="6">
        <f>IF(ISERROR(VLOOKUP($S$836,'TAR FIN'!$A$1:$O$100,15,0)),0,VLOOKUP($S$836,'TAR FIN'!$A$1:$O$100,15,0))</f>
        <v>0</v>
      </c>
      <c r="W836" s="6">
        <f>IF(ISERROR(VLOOKUP($T$836,'TAR FIN'!$A$1:$O$100,15,0)),0,VLOOKUP($T$836,'TAR FIN'!$A$1:$O$100,15,0))</f>
        <v>147.9</v>
      </c>
      <c r="X836" s="6">
        <f>IF(ISERROR(VLOOKUP($U$836,'TAR FIN'!$A$1:$O$100,15,0)),0,VLOOKUP($U$836,'TAR FIN'!$A$1:$O$100,15,0))</f>
        <v>138.80000000000001</v>
      </c>
      <c r="Y836" s="6"/>
      <c r="Z83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6" s="6">
        <f>('TE BE'!$AA$15+'TE BF'!$AA$15+'TE CVA'!$AA$15)*(1-CUSTOS!$M$35)</f>
        <v>150.47620671413409</v>
      </c>
      <c r="AB836" s="6">
        <f>$K$836*$V$836</f>
        <v>0</v>
      </c>
      <c r="AC836" s="6">
        <f>$M$836*$W$836</f>
        <v>-40.080900000000007</v>
      </c>
      <c r="AD836" s="6">
        <f>$O$836*$X$836</f>
        <v>-37.614800000000002</v>
      </c>
      <c r="AE836" s="6">
        <f>$K$836*$Y$836</f>
        <v>0</v>
      </c>
      <c r="AF836" s="6">
        <f ca="1">$M$836*$Z$836</f>
        <v>-38.814881669069997</v>
      </c>
      <c r="AG836" s="6">
        <f>$O$836*$AA$836</f>
        <v>-40.77905201953034</v>
      </c>
    </row>
    <row r="837" spans="1:33" ht="11.25" customHeight="1" x14ac:dyDescent="0.25">
      <c r="A837" s="4" t="s">
        <v>55</v>
      </c>
      <c r="B837" s="4" t="s">
        <v>22</v>
      </c>
      <c r="C837" s="4" t="s">
        <v>23</v>
      </c>
      <c r="D837" s="4" t="s">
        <v>24</v>
      </c>
      <c r="E837" s="4" t="s">
        <v>30</v>
      </c>
      <c r="F837" s="4" t="s">
        <v>25</v>
      </c>
      <c r="G837" s="4" t="s">
        <v>25</v>
      </c>
      <c r="H837" s="4" t="s">
        <v>25</v>
      </c>
      <c r="I837" s="5">
        <v>44562</v>
      </c>
      <c r="J837" s="6">
        <v>0</v>
      </c>
      <c r="K837" s="6">
        <v>0</v>
      </c>
      <c r="L837" s="6">
        <v>1.7030000000000001</v>
      </c>
      <c r="M837" s="6">
        <v>1.7030000000000001</v>
      </c>
      <c r="N837" s="6">
        <v>1.7030000000000001</v>
      </c>
      <c r="O837" s="6">
        <v>1.7030000000000001</v>
      </c>
      <c r="P837" s="6">
        <v>8</v>
      </c>
      <c r="Q837" s="4" t="s">
        <v>26</v>
      </c>
      <c r="R837" s="4">
        <v>0</v>
      </c>
      <c r="S837" s="6">
        <v>0</v>
      </c>
      <c r="T837" s="6">
        <v>35</v>
      </c>
      <c r="U837" s="6">
        <v>75</v>
      </c>
      <c r="V837" s="6">
        <f>IF(ISERROR(VLOOKUP($S$837,'TAR FIN'!$A$1:$O$100,15,0)),0,VLOOKUP($S$837,'TAR FIN'!$A$1:$O$100,15,0))</f>
        <v>0</v>
      </c>
      <c r="W837" s="6">
        <f>IF(ISERROR(VLOOKUP($T$837,'TAR FIN'!$A$1:$O$100,15,0)),0,VLOOKUP($T$837,'TAR FIN'!$A$1:$O$100,15,0))</f>
        <v>147.9</v>
      </c>
      <c r="X837" s="6">
        <f>IF(ISERROR(VLOOKUP($U$837,'TAR FIN'!$A$1:$O$100,15,0)),0,VLOOKUP($U$837,'TAR FIN'!$A$1:$O$100,15,0))</f>
        <v>138.80000000000001</v>
      </c>
      <c r="Y837" s="6"/>
      <c r="Z83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837" s="6">
        <f>('TE BE'!$AA$15+'TE BF'!$AA$15+'TE CVA'!$AA$15)*(1-CUSTOS!$M$35)</f>
        <v>150.47620671413409</v>
      </c>
      <c r="AB837" s="6">
        <f>$K$837*$V$837</f>
        <v>0</v>
      </c>
      <c r="AC837" s="6">
        <f>$M$837*$W$837</f>
        <v>251.87370000000001</v>
      </c>
      <c r="AD837" s="6">
        <f>$O$837*$X$837</f>
        <v>236.37640000000002</v>
      </c>
      <c r="AE837" s="6">
        <f>$K$837*$Y$837</f>
        <v>0</v>
      </c>
      <c r="AF837" s="6">
        <f ca="1">$M$837*$Z$837</f>
        <v>243.917872628879</v>
      </c>
      <c r="AG837" s="6">
        <f>$O$837*$AA$837</f>
        <v>256.26098003417036</v>
      </c>
    </row>
    <row r="838" spans="1:33" ht="11.25" customHeight="1" x14ac:dyDescent="0.25">
      <c r="A838" s="4" t="s">
        <v>21</v>
      </c>
      <c r="B838" s="4" t="s">
        <v>22</v>
      </c>
      <c r="C838" s="4" t="s">
        <v>23</v>
      </c>
      <c r="D838" s="4" t="s">
        <v>24</v>
      </c>
      <c r="E838" s="4" t="s">
        <v>31</v>
      </c>
      <c r="F838" s="4" t="s">
        <v>25</v>
      </c>
      <c r="G838" s="4" t="s">
        <v>25</v>
      </c>
      <c r="H838" s="4" t="s">
        <v>25</v>
      </c>
      <c r="I838" s="5">
        <v>44228</v>
      </c>
      <c r="J838" s="6">
        <v>0</v>
      </c>
      <c r="K838" s="6">
        <v>0</v>
      </c>
      <c r="L838" s="6">
        <v>1090.69</v>
      </c>
      <c r="M838" s="6">
        <v>1090.69</v>
      </c>
      <c r="N838" s="6">
        <v>1090.69</v>
      </c>
      <c r="O838" s="6">
        <v>1090.69</v>
      </c>
      <c r="P838" s="6">
        <v>19553</v>
      </c>
      <c r="Q838" s="4" t="s">
        <v>26</v>
      </c>
      <c r="R838" s="4">
        <v>0</v>
      </c>
      <c r="S838" s="6">
        <v>0</v>
      </c>
      <c r="T838" s="6">
        <v>36</v>
      </c>
      <c r="U838" s="6">
        <v>76</v>
      </c>
      <c r="V838" s="6">
        <f>IF(ISERROR(VLOOKUP($S$838,'TAR FIN'!$A$1:$O$100,15,0)),0,VLOOKUP($S$838,'TAR FIN'!$A$1:$O$100,15,0))</f>
        <v>0</v>
      </c>
      <c r="W838" s="6">
        <f>IF(ISERROR(VLOOKUP($T$838,'TAR FIN'!$A$1:$O$100,15,0)),0,VLOOKUP($T$838,'TAR FIN'!$A$1:$O$100,15,0))</f>
        <v>221.85</v>
      </c>
      <c r="X838" s="6">
        <f>IF(ISERROR(VLOOKUP($U$838,'TAR FIN'!$A$1:$O$100,15,0)),0,VLOOKUP($U$838,'TAR FIN'!$A$1:$O$100,15,0))</f>
        <v>208.2</v>
      </c>
      <c r="Y838" s="6"/>
      <c r="Z83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38" s="6">
        <f>('TE BE'!$AA$16+'TE BF'!$AA$16+'TE CVA'!$AA$16)*(1-CUSTOS!$M$36)</f>
        <v>225.71431007120114</v>
      </c>
      <c r="AB838" s="6">
        <f>$K$838*$V$838</f>
        <v>0</v>
      </c>
      <c r="AC838" s="6">
        <f>$M$838*$W$838</f>
        <v>241969.5765</v>
      </c>
      <c r="AD838" s="6">
        <f>$O$838*$X$838</f>
        <v>227081.658</v>
      </c>
      <c r="AE838" s="6">
        <f>$K$838*$Y$838</f>
        <v>0</v>
      </c>
      <c r="AF838" s="6">
        <f ca="1">$M$838*$Z$838</f>
        <v>234326.58646294073</v>
      </c>
      <c r="AG838" s="6">
        <f>$O$838*$AA$838</f>
        <v>246184.34085155837</v>
      </c>
    </row>
    <row r="839" spans="1:33" ht="11.25" customHeight="1" x14ac:dyDescent="0.25">
      <c r="A839" s="4" t="s">
        <v>27</v>
      </c>
      <c r="B839" s="4" t="s">
        <v>22</v>
      </c>
      <c r="C839" s="4" t="s">
        <v>23</v>
      </c>
      <c r="D839" s="4" t="s">
        <v>24</v>
      </c>
      <c r="E839" s="4" t="s">
        <v>31</v>
      </c>
      <c r="F839" s="4" t="s">
        <v>25</v>
      </c>
      <c r="G839" s="4" t="s">
        <v>25</v>
      </c>
      <c r="H839" s="4" t="s">
        <v>25</v>
      </c>
      <c r="I839" s="5">
        <v>44228</v>
      </c>
      <c r="J839" s="6">
        <v>0</v>
      </c>
      <c r="K839" s="6">
        <v>0</v>
      </c>
      <c r="L839" s="6">
        <v>-4.9000000000000002E-2</v>
      </c>
      <c r="M839" s="6">
        <v>-4.9000000000000002E-2</v>
      </c>
      <c r="N839" s="6">
        <v>-4.9000000000000002E-2</v>
      </c>
      <c r="O839" s="6">
        <v>-4.9000000000000002E-2</v>
      </c>
      <c r="P839" s="6">
        <v>-1</v>
      </c>
      <c r="Q839" s="4" t="s">
        <v>26</v>
      </c>
      <c r="R839" s="4">
        <v>0</v>
      </c>
      <c r="S839" s="6">
        <v>0</v>
      </c>
      <c r="T839" s="6">
        <v>36</v>
      </c>
      <c r="U839" s="6">
        <v>76</v>
      </c>
      <c r="V839" s="6">
        <f>IF(ISERROR(VLOOKUP($S$839,'TAR FIN'!$A$1:$O$100,15,0)),0,VLOOKUP($S$839,'TAR FIN'!$A$1:$O$100,15,0))</f>
        <v>0</v>
      </c>
      <c r="W839" s="6">
        <f>IF(ISERROR(VLOOKUP($T$839,'TAR FIN'!$A$1:$O$100,15,0)),0,VLOOKUP($T$839,'TAR FIN'!$A$1:$O$100,15,0))</f>
        <v>221.85</v>
      </c>
      <c r="X839" s="6">
        <f>IF(ISERROR(VLOOKUP($U$839,'TAR FIN'!$A$1:$O$100,15,0)),0,VLOOKUP($U$839,'TAR FIN'!$A$1:$O$100,15,0))</f>
        <v>208.2</v>
      </c>
      <c r="Y839" s="6"/>
      <c r="Z83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39" s="6">
        <f>('TE BE'!$AA$16+'TE BF'!$AA$16+'TE CVA'!$AA$16)*(1-CUSTOS!$M$36)</f>
        <v>225.71431007120114</v>
      </c>
      <c r="AB839" s="6">
        <f>$K$839*$V$839</f>
        <v>0</v>
      </c>
      <c r="AC839" s="6">
        <f>$M$839*$W$839</f>
        <v>-10.870649999999999</v>
      </c>
      <c r="AD839" s="6">
        <f>$O$839*$X$839</f>
        <v>-10.2018</v>
      </c>
      <c r="AE839" s="6">
        <f>$K$839*$Y$839</f>
        <v>0</v>
      </c>
      <c r="AF839" s="6">
        <f ca="1">$M$839*$Z$839</f>
        <v>-10.527283404710866</v>
      </c>
      <c r="AG839" s="6">
        <f>$O$839*$AA$839</f>
        <v>-11.060001193488857</v>
      </c>
    </row>
    <row r="840" spans="1:33" ht="11.25" customHeight="1" x14ac:dyDescent="0.25">
      <c r="A840" s="4" t="s">
        <v>28</v>
      </c>
      <c r="B840" s="4" t="s">
        <v>22</v>
      </c>
      <c r="C840" s="4" t="s">
        <v>23</v>
      </c>
      <c r="D840" s="4" t="s">
        <v>24</v>
      </c>
      <c r="E840" s="4" t="s">
        <v>31</v>
      </c>
      <c r="F840" s="4" t="s">
        <v>25</v>
      </c>
      <c r="G840" s="4" t="s">
        <v>25</v>
      </c>
      <c r="H840" s="4" t="s">
        <v>25</v>
      </c>
      <c r="I840" s="5">
        <v>44228</v>
      </c>
      <c r="J840" s="6">
        <v>0</v>
      </c>
      <c r="K840" s="6">
        <v>0</v>
      </c>
      <c r="L840" s="6">
        <v>0.187</v>
      </c>
      <c r="M840" s="6">
        <v>0.187</v>
      </c>
      <c r="N840" s="6">
        <v>0.187</v>
      </c>
      <c r="O840" s="6">
        <v>0.187</v>
      </c>
      <c r="P840" s="6">
        <v>5</v>
      </c>
      <c r="Q840" s="4" t="s">
        <v>26</v>
      </c>
      <c r="R840" s="4">
        <v>0</v>
      </c>
      <c r="S840" s="6">
        <v>0</v>
      </c>
      <c r="T840" s="6">
        <v>36</v>
      </c>
      <c r="U840" s="6">
        <v>76</v>
      </c>
      <c r="V840" s="6">
        <f>IF(ISERROR(VLOOKUP($S$840,'TAR FIN'!$A$1:$O$100,15,0)),0,VLOOKUP($S$840,'TAR FIN'!$A$1:$O$100,15,0))</f>
        <v>0</v>
      </c>
      <c r="W840" s="6">
        <f>IF(ISERROR(VLOOKUP($T$840,'TAR FIN'!$A$1:$O$100,15,0)),0,VLOOKUP($T$840,'TAR FIN'!$A$1:$O$100,15,0))</f>
        <v>221.85</v>
      </c>
      <c r="X840" s="6">
        <f>IF(ISERROR(VLOOKUP($U$840,'TAR FIN'!$A$1:$O$100,15,0)),0,VLOOKUP($U$840,'TAR FIN'!$A$1:$O$100,15,0))</f>
        <v>208.2</v>
      </c>
      <c r="Y840" s="6"/>
      <c r="Z84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0" s="6">
        <f>('TE BE'!$AA$16+'TE BF'!$AA$16+'TE CVA'!$AA$16)*(1-CUSTOS!$M$36)</f>
        <v>225.71431007120114</v>
      </c>
      <c r="AB840" s="6">
        <f>$K$840*$V$840</f>
        <v>0</v>
      </c>
      <c r="AC840" s="6">
        <f>$M$840*$W$840</f>
        <v>41.485949999999995</v>
      </c>
      <c r="AD840" s="6">
        <f>$O$840*$X$840</f>
        <v>38.933399999999999</v>
      </c>
      <c r="AE840" s="6">
        <f>$K$840*$Y$840</f>
        <v>0</v>
      </c>
      <c r="AF840" s="6">
        <f ca="1">$M$840*$Z$840</f>
        <v>40.175550952672083</v>
      </c>
      <c r="AG840" s="6">
        <f>$O$840*$AA$840</f>
        <v>42.20857598331461</v>
      </c>
    </row>
    <row r="841" spans="1:33" ht="11.25" customHeight="1" x14ac:dyDescent="0.25">
      <c r="A841" s="4" t="s">
        <v>21</v>
      </c>
      <c r="B841" s="4" t="s">
        <v>22</v>
      </c>
      <c r="C841" s="4" t="s">
        <v>23</v>
      </c>
      <c r="D841" s="4" t="s">
        <v>24</v>
      </c>
      <c r="E841" s="4" t="s">
        <v>31</v>
      </c>
      <c r="F841" s="4" t="s">
        <v>25</v>
      </c>
      <c r="G841" s="4" t="s">
        <v>25</v>
      </c>
      <c r="H841" s="4" t="s">
        <v>25</v>
      </c>
      <c r="I841" s="5">
        <v>44256</v>
      </c>
      <c r="J841" s="6">
        <v>0</v>
      </c>
      <c r="K841" s="6">
        <v>0</v>
      </c>
      <c r="L841" s="6">
        <v>1264.3520000000001</v>
      </c>
      <c r="M841" s="6">
        <v>1264.3520000000001</v>
      </c>
      <c r="N841" s="6">
        <v>1264.3520000000001</v>
      </c>
      <c r="O841" s="6">
        <v>1264.3520000000001</v>
      </c>
      <c r="P841" s="6">
        <v>21419</v>
      </c>
      <c r="Q841" s="4" t="s">
        <v>26</v>
      </c>
      <c r="R841" s="4">
        <v>0</v>
      </c>
      <c r="S841" s="6">
        <v>0</v>
      </c>
      <c r="T841" s="6">
        <v>36</v>
      </c>
      <c r="U841" s="6">
        <v>76</v>
      </c>
      <c r="V841" s="6">
        <f>IF(ISERROR(VLOOKUP($S$841,'TAR FIN'!$A$1:$O$100,15,0)),0,VLOOKUP($S$841,'TAR FIN'!$A$1:$O$100,15,0))</f>
        <v>0</v>
      </c>
      <c r="W841" s="6">
        <f>IF(ISERROR(VLOOKUP($T$841,'TAR FIN'!$A$1:$O$100,15,0)),0,VLOOKUP($T$841,'TAR FIN'!$A$1:$O$100,15,0))</f>
        <v>221.85</v>
      </c>
      <c r="X841" s="6">
        <f>IF(ISERROR(VLOOKUP($U$841,'TAR FIN'!$A$1:$O$100,15,0)),0,VLOOKUP($U$841,'TAR FIN'!$A$1:$O$100,15,0))</f>
        <v>208.2</v>
      </c>
      <c r="Y841" s="6"/>
      <c r="Z84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1" s="6">
        <f>('TE BE'!$AA$16+'TE BF'!$AA$16+'TE CVA'!$AA$16)*(1-CUSTOS!$M$36)</f>
        <v>225.71431007120114</v>
      </c>
      <c r="AB841" s="6">
        <f>$K$841*$V$841</f>
        <v>0</v>
      </c>
      <c r="AC841" s="6">
        <f>$M$841*$W$841</f>
        <v>280496.49119999999</v>
      </c>
      <c r="AD841" s="6">
        <f>$O$841*$X$841</f>
        <v>263238.08640000003</v>
      </c>
      <c r="AE841" s="6">
        <f>$K$841*$Y$841</f>
        <v>0</v>
      </c>
      <c r="AF841" s="6">
        <f ca="1">$M$841*$Z$841</f>
        <v>271636.5679043468</v>
      </c>
      <c r="AG841" s="6">
        <f>$O$841*$AA$841</f>
        <v>285382.33936714334</v>
      </c>
    </row>
    <row r="842" spans="1:33" ht="11.25" customHeight="1" x14ac:dyDescent="0.25">
      <c r="A842" s="4" t="s">
        <v>27</v>
      </c>
      <c r="B842" s="4" t="s">
        <v>22</v>
      </c>
      <c r="C842" s="4" t="s">
        <v>23</v>
      </c>
      <c r="D842" s="4" t="s">
        <v>24</v>
      </c>
      <c r="E842" s="4" t="s">
        <v>31</v>
      </c>
      <c r="F842" s="4" t="s">
        <v>25</v>
      </c>
      <c r="G842" s="4" t="s">
        <v>25</v>
      </c>
      <c r="H842" s="4" t="s">
        <v>25</v>
      </c>
      <c r="I842" s="5">
        <v>44256</v>
      </c>
      <c r="J842" s="6">
        <v>0</v>
      </c>
      <c r="K842" s="6">
        <v>0</v>
      </c>
      <c r="L842" s="6">
        <v>-0.39400000000000002</v>
      </c>
      <c r="M842" s="6">
        <v>-0.39400000000000002</v>
      </c>
      <c r="N842" s="6">
        <v>-0.39400000000000002</v>
      </c>
      <c r="O842" s="6">
        <v>-0.39400000000000002</v>
      </c>
      <c r="P842" s="6">
        <v>-3</v>
      </c>
      <c r="Q842" s="4" t="s">
        <v>26</v>
      </c>
      <c r="R842" s="4">
        <v>0</v>
      </c>
      <c r="S842" s="6">
        <v>0</v>
      </c>
      <c r="T842" s="6">
        <v>36</v>
      </c>
      <c r="U842" s="6">
        <v>76</v>
      </c>
      <c r="V842" s="6">
        <f>IF(ISERROR(VLOOKUP($S$842,'TAR FIN'!$A$1:$O$100,15,0)),0,VLOOKUP($S$842,'TAR FIN'!$A$1:$O$100,15,0))</f>
        <v>0</v>
      </c>
      <c r="W842" s="6">
        <f>IF(ISERROR(VLOOKUP($T$842,'TAR FIN'!$A$1:$O$100,15,0)),0,VLOOKUP($T$842,'TAR FIN'!$A$1:$O$100,15,0))</f>
        <v>221.85</v>
      </c>
      <c r="X842" s="6">
        <f>IF(ISERROR(VLOOKUP($U$842,'TAR FIN'!$A$1:$O$100,15,0)),0,VLOOKUP($U$842,'TAR FIN'!$A$1:$O$100,15,0))</f>
        <v>208.2</v>
      </c>
      <c r="Y842" s="6"/>
      <c r="Z84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2" s="6">
        <f>('TE BE'!$AA$16+'TE BF'!$AA$16+'TE CVA'!$AA$16)*(1-CUSTOS!$M$36)</f>
        <v>225.71431007120114</v>
      </c>
      <c r="AB842" s="6">
        <f>$K$842*$V$842</f>
        <v>0</v>
      </c>
      <c r="AC842" s="6">
        <f>$M$842*$W$842</f>
        <v>-87.408900000000003</v>
      </c>
      <c r="AD842" s="6">
        <f>$O$842*$X$842</f>
        <v>-82.030799999999999</v>
      </c>
      <c r="AE842" s="6">
        <f>$K$842*$Y$842</f>
        <v>0</v>
      </c>
      <c r="AF842" s="6">
        <f ca="1">$M$842*$Z$842</f>
        <v>-84.647952274613914</v>
      </c>
      <c r="AG842" s="6">
        <f>$O$842*$AA$842</f>
        <v>-88.931438168053248</v>
      </c>
    </row>
    <row r="843" spans="1:33" ht="11.25" customHeight="1" x14ac:dyDescent="0.25">
      <c r="A843" s="4" t="s">
        <v>28</v>
      </c>
      <c r="B843" s="4" t="s">
        <v>22</v>
      </c>
      <c r="C843" s="4" t="s">
        <v>23</v>
      </c>
      <c r="D843" s="4" t="s">
        <v>24</v>
      </c>
      <c r="E843" s="4" t="s">
        <v>31</v>
      </c>
      <c r="F843" s="4" t="s">
        <v>25</v>
      </c>
      <c r="G843" s="4" t="s">
        <v>25</v>
      </c>
      <c r="H843" s="4" t="s">
        <v>25</v>
      </c>
      <c r="I843" s="5">
        <v>44256</v>
      </c>
      <c r="J843" s="6">
        <v>0</v>
      </c>
      <c r="K843" s="6">
        <v>0</v>
      </c>
      <c r="L843" s="6">
        <v>7.0000000000000007E-2</v>
      </c>
      <c r="M843" s="6">
        <v>7.0000000000000007E-2</v>
      </c>
      <c r="N843" s="6">
        <v>7.0000000000000007E-2</v>
      </c>
      <c r="O843" s="6">
        <v>7.0000000000000007E-2</v>
      </c>
      <c r="P843" s="6">
        <v>8</v>
      </c>
      <c r="Q843" s="4" t="s">
        <v>26</v>
      </c>
      <c r="R843" s="4">
        <v>0</v>
      </c>
      <c r="S843" s="6">
        <v>0</v>
      </c>
      <c r="T843" s="6">
        <v>36</v>
      </c>
      <c r="U843" s="6">
        <v>76</v>
      </c>
      <c r="V843" s="6">
        <f>IF(ISERROR(VLOOKUP($S$843,'TAR FIN'!$A$1:$O$100,15,0)),0,VLOOKUP($S$843,'TAR FIN'!$A$1:$O$100,15,0))</f>
        <v>0</v>
      </c>
      <c r="W843" s="6">
        <f>IF(ISERROR(VLOOKUP($T$843,'TAR FIN'!$A$1:$O$100,15,0)),0,VLOOKUP($T$843,'TAR FIN'!$A$1:$O$100,15,0))</f>
        <v>221.85</v>
      </c>
      <c r="X843" s="6">
        <f>IF(ISERROR(VLOOKUP($U$843,'TAR FIN'!$A$1:$O$100,15,0)),0,VLOOKUP($U$843,'TAR FIN'!$A$1:$O$100,15,0))</f>
        <v>208.2</v>
      </c>
      <c r="Y843" s="6"/>
      <c r="Z84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3" s="6">
        <f>('TE BE'!$AA$16+'TE BF'!$AA$16+'TE CVA'!$AA$16)*(1-CUSTOS!$M$36)</f>
        <v>225.71431007120114</v>
      </c>
      <c r="AB843" s="6">
        <f>$K$843*$V$843</f>
        <v>0</v>
      </c>
      <c r="AC843" s="6">
        <f>$M$843*$W$843</f>
        <v>15.529500000000001</v>
      </c>
      <c r="AD843" s="6">
        <f>$O$843*$X$843</f>
        <v>14.574</v>
      </c>
      <c r="AE843" s="6">
        <f>$K$843*$Y$843</f>
        <v>0</v>
      </c>
      <c r="AF843" s="6">
        <f ca="1">$M$843*$Z$843</f>
        <v>15.038976292444096</v>
      </c>
      <c r="AG843" s="6">
        <f>$O$843*$AA$843</f>
        <v>15.800001704984082</v>
      </c>
    </row>
    <row r="844" spans="1:33" ht="11.25" customHeight="1" x14ac:dyDescent="0.25">
      <c r="A844" s="4" t="s">
        <v>21</v>
      </c>
      <c r="B844" s="4" t="s">
        <v>22</v>
      </c>
      <c r="C844" s="4" t="s">
        <v>23</v>
      </c>
      <c r="D844" s="4" t="s">
        <v>24</v>
      </c>
      <c r="E844" s="4" t="s">
        <v>31</v>
      </c>
      <c r="F844" s="4" t="s">
        <v>25</v>
      </c>
      <c r="G844" s="4" t="s">
        <v>25</v>
      </c>
      <c r="H844" s="4" t="s">
        <v>25</v>
      </c>
      <c r="I844" s="5">
        <v>44287</v>
      </c>
      <c r="J844" s="6">
        <v>0</v>
      </c>
      <c r="K844" s="6">
        <v>0</v>
      </c>
      <c r="L844" s="6">
        <v>1304.2639999999999</v>
      </c>
      <c r="M844" s="6">
        <v>1304.2639999999999</v>
      </c>
      <c r="N844" s="6">
        <v>1304.2639999999999</v>
      </c>
      <c r="O844" s="6">
        <v>1304.2639999999999</v>
      </c>
      <c r="P844" s="6">
        <v>21669</v>
      </c>
      <c r="Q844" s="4" t="s">
        <v>26</v>
      </c>
      <c r="R844" s="4">
        <v>0</v>
      </c>
      <c r="S844" s="6">
        <v>0</v>
      </c>
      <c r="T844" s="6">
        <v>36</v>
      </c>
      <c r="U844" s="6">
        <v>76</v>
      </c>
      <c r="V844" s="6">
        <f>IF(ISERROR(VLOOKUP($S$844,'TAR FIN'!$A$1:$O$100,15,0)),0,VLOOKUP($S$844,'TAR FIN'!$A$1:$O$100,15,0))</f>
        <v>0</v>
      </c>
      <c r="W844" s="6">
        <f>IF(ISERROR(VLOOKUP($T$844,'TAR FIN'!$A$1:$O$100,15,0)),0,VLOOKUP($T$844,'TAR FIN'!$A$1:$O$100,15,0))</f>
        <v>221.85</v>
      </c>
      <c r="X844" s="6">
        <f>IF(ISERROR(VLOOKUP($U$844,'TAR FIN'!$A$1:$O$100,15,0)),0,VLOOKUP($U$844,'TAR FIN'!$A$1:$O$100,15,0))</f>
        <v>208.2</v>
      </c>
      <c r="Y844" s="6"/>
      <c r="Z84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4" s="6">
        <f>('TE BE'!$AA$16+'TE BF'!$AA$16+'TE CVA'!$AA$16)*(1-CUSTOS!$M$36)</f>
        <v>225.71431007120114</v>
      </c>
      <c r="AB844" s="6">
        <f>$K$844*$V$844</f>
        <v>0</v>
      </c>
      <c r="AC844" s="6">
        <f>$M$844*$W$844</f>
        <v>289350.96839999995</v>
      </c>
      <c r="AD844" s="6">
        <f>$O$844*$X$844</f>
        <v>271547.76479999995</v>
      </c>
      <c r="AE844" s="6">
        <f>$K$844*$Y$844</f>
        <v>0</v>
      </c>
      <c r="AF844" s="6">
        <f ca="1">$M$844*$Z$844</f>
        <v>280211.36250126146</v>
      </c>
      <c r="AG844" s="6">
        <f>$O$844*$AA$844</f>
        <v>294391.04891070508</v>
      </c>
    </row>
    <row r="845" spans="1:33" ht="11.25" customHeight="1" x14ac:dyDescent="0.25">
      <c r="A845" s="4" t="s">
        <v>27</v>
      </c>
      <c r="B845" s="4" t="s">
        <v>22</v>
      </c>
      <c r="C845" s="4" t="s">
        <v>23</v>
      </c>
      <c r="D845" s="4" t="s">
        <v>24</v>
      </c>
      <c r="E845" s="4" t="s">
        <v>31</v>
      </c>
      <c r="F845" s="4" t="s">
        <v>25</v>
      </c>
      <c r="G845" s="4" t="s">
        <v>25</v>
      </c>
      <c r="H845" s="4" t="s">
        <v>25</v>
      </c>
      <c r="I845" s="5">
        <v>44287</v>
      </c>
      <c r="J845" s="6">
        <v>0</v>
      </c>
      <c r="K845" s="6">
        <v>0</v>
      </c>
      <c r="L845" s="6">
        <v>-6.8000000000000005E-2</v>
      </c>
      <c r="M845" s="6">
        <v>-6.8000000000000005E-2</v>
      </c>
      <c r="N845" s="6">
        <v>-6.8000000000000005E-2</v>
      </c>
      <c r="O845" s="6">
        <v>-6.8000000000000005E-2</v>
      </c>
      <c r="P845" s="6">
        <v>-1</v>
      </c>
      <c r="Q845" s="4" t="s">
        <v>26</v>
      </c>
      <c r="R845" s="4">
        <v>0</v>
      </c>
      <c r="S845" s="6">
        <v>0</v>
      </c>
      <c r="T845" s="6">
        <v>36</v>
      </c>
      <c r="U845" s="6">
        <v>76</v>
      </c>
      <c r="V845" s="6">
        <f>IF(ISERROR(VLOOKUP($S$845,'TAR FIN'!$A$1:$O$100,15,0)),0,VLOOKUP($S$845,'TAR FIN'!$A$1:$O$100,15,0))</f>
        <v>0</v>
      </c>
      <c r="W845" s="6">
        <f>IF(ISERROR(VLOOKUP($T$845,'TAR FIN'!$A$1:$O$100,15,0)),0,VLOOKUP($T$845,'TAR FIN'!$A$1:$O$100,15,0))</f>
        <v>221.85</v>
      </c>
      <c r="X845" s="6">
        <f>IF(ISERROR(VLOOKUP($U$845,'TAR FIN'!$A$1:$O$100,15,0)),0,VLOOKUP($U$845,'TAR FIN'!$A$1:$O$100,15,0))</f>
        <v>208.2</v>
      </c>
      <c r="Y845" s="6"/>
      <c r="Z84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5" s="6">
        <f>('TE BE'!$AA$16+'TE BF'!$AA$16+'TE CVA'!$AA$16)*(1-CUSTOS!$M$36)</f>
        <v>225.71431007120114</v>
      </c>
      <c r="AB845" s="6">
        <f>$K$845*$V$845</f>
        <v>0</v>
      </c>
      <c r="AC845" s="6">
        <f>$M$845*$W$845</f>
        <v>-15.085800000000001</v>
      </c>
      <c r="AD845" s="6">
        <f>$O$845*$X$845</f>
        <v>-14.1576</v>
      </c>
      <c r="AE845" s="6">
        <f>$K$845*$Y$845</f>
        <v>0</v>
      </c>
      <c r="AF845" s="6">
        <f ca="1">$M$845*$Z$845</f>
        <v>-14.609291255517121</v>
      </c>
      <c r="AG845" s="6">
        <f>$O$845*$AA$845</f>
        <v>-15.348573084841679</v>
      </c>
    </row>
    <row r="846" spans="1:33" ht="11.25" customHeight="1" x14ac:dyDescent="0.25">
      <c r="A846" s="4" t="s">
        <v>28</v>
      </c>
      <c r="B846" s="4" t="s">
        <v>22</v>
      </c>
      <c r="C846" s="4" t="s">
        <v>23</v>
      </c>
      <c r="D846" s="4" t="s">
        <v>24</v>
      </c>
      <c r="E846" s="4" t="s">
        <v>31</v>
      </c>
      <c r="F846" s="4" t="s">
        <v>25</v>
      </c>
      <c r="G846" s="4" t="s">
        <v>25</v>
      </c>
      <c r="H846" s="4" t="s">
        <v>25</v>
      </c>
      <c r="I846" s="5">
        <v>44287</v>
      </c>
      <c r="J846" s="6">
        <v>0</v>
      </c>
      <c r="K846" s="6">
        <v>0</v>
      </c>
      <c r="L846" s="6">
        <v>0.14199999999999999</v>
      </c>
      <c r="M846" s="6">
        <v>0.14199999999999999</v>
      </c>
      <c r="N846" s="6">
        <v>0.14199999999999999</v>
      </c>
      <c r="O846" s="6">
        <v>0.14199999999999999</v>
      </c>
      <c r="P846" s="6">
        <v>7</v>
      </c>
      <c r="Q846" s="4" t="s">
        <v>26</v>
      </c>
      <c r="R846" s="4">
        <v>0</v>
      </c>
      <c r="S846" s="6">
        <v>0</v>
      </c>
      <c r="T846" s="6">
        <v>36</v>
      </c>
      <c r="U846" s="6">
        <v>76</v>
      </c>
      <c r="V846" s="6">
        <f>IF(ISERROR(VLOOKUP($S$846,'TAR FIN'!$A$1:$O$100,15,0)),0,VLOOKUP($S$846,'TAR FIN'!$A$1:$O$100,15,0))</f>
        <v>0</v>
      </c>
      <c r="W846" s="6">
        <f>IF(ISERROR(VLOOKUP($T$846,'TAR FIN'!$A$1:$O$100,15,0)),0,VLOOKUP($T$846,'TAR FIN'!$A$1:$O$100,15,0))</f>
        <v>221.85</v>
      </c>
      <c r="X846" s="6">
        <f>IF(ISERROR(VLOOKUP($U$846,'TAR FIN'!$A$1:$O$100,15,0)),0,VLOOKUP($U$846,'TAR FIN'!$A$1:$O$100,15,0))</f>
        <v>208.2</v>
      </c>
      <c r="Y846" s="6"/>
      <c r="Z846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6" s="6">
        <f>('TE BE'!$AA$16+'TE BF'!$AA$16+'TE CVA'!$AA$16)*(1-CUSTOS!$M$36)</f>
        <v>225.71431007120114</v>
      </c>
      <c r="AB846" s="6">
        <f>$K$846*$V$846</f>
        <v>0</v>
      </c>
      <c r="AC846" s="6">
        <f>$M$846*$W$846</f>
        <v>31.502699999999997</v>
      </c>
      <c r="AD846" s="6">
        <f>$O$846*$X$846</f>
        <v>29.564399999999996</v>
      </c>
      <c r="AE846" s="6">
        <f>$K$846*$Y$846</f>
        <v>0</v>
      </c>
      <c r="AF846" s="6">
        <f ca="1">$M$846*$Z$846</f>
        <v>30.50763762181516</v>
      </c>
      <c r="AG846" s="6">
        <f>$O$846*$AA$846</f>
        <v>32.051432030110561</v>
      </c>
    </row>
    <row r="847" spans="1:33" ht="11.25" customHeight="1" x14ac:dyDescent="0.25">
      <c r="A847" s="4" t="s">
        <v>21</v>
      </c>
      <c r="B847" s="4" t="s">
        <v>22</v>
      </c>
      <c r="C847" s="4" t="s">
        <v>23</v>
      </c>
      <c r="D847" s="4" t="s">
        <v>24</v>
      </c>
      <c r="E847" s="4" t="s">
        <v>31</v>
      </c>
      <c r="F847" s="4" t="s">
        <v>25</v>
      </c>
      <c r="G847" s="4" t="s">
        <v>25</v>
      </c>
      <c r="H847" s="4" t="s">
        <v>25</v>
      </c>
      <c r="I847" s="5">
        <v>44317</v>
      </c>
      <c r="J847" s="6">
        <v>0</v>
      </c>
      <c r="K847" s="6">
        <v>0</v>
      </c>
      <c r="L847" s="6">
        <v>1105.57</v>
      </c>
      <c r="M847" s="6">
        <v>1105.57</v>
      </c>
      <c r="N847" s="6">
        <v>1105.57</v>
      </c>
      <c r="O847" s="6">
        <v>1105.57</v>
      </c>
      <c r="P847" s="6">
        <v>19659</v>
      </c>
      <c r="Q847" s="4" t="s">
        <v>26</v>
      </c>
      <c r="R847" s="4">
        <v>0</v>
      </c>
      <c r="S847" s="6">
        <v>0</v>
      </c>
      <c r="T847" s="6">
        <v>36</v>
      </c>
      <c r="U847" s="6">
        <v>76</v>
      </c>
      <c r="V847" s="6">
        <f>IF(ISERROR(VLOOKUP($S$847,'TAR FIN'!$A$1:$O$100,15,0)),0,VLOOKUP($S$847,'TAR FIN'!$A$1:$O$100,15,0))</f>
        <v>0</v>
      </c>
      <c r="W847" s="6">
        <f>IF(ISERROR(VLOOKUP($T$847,'TAR FIN'!$A$1:$O$100,15,0)),0,VLOOKUP($T$847,'TAR FIN'!$A$1:$O$100,15,0))</f>
        <v>221.85</v>
      </c>
      <c r="X847" s="6">
        <f>IF(ISERROR(VLOOKUP($U$847,'TAR FIN'!$A$1:$O$100,15,0)),0,VLOOKUP($U$847,'TAR FIN'!$A$1:$O$100,15,0))</f>
        <v>208.2</v>
      </c>
      <c r="Y847" s="6"/>
      <c r="Z847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7" s="6">
        <f>('TE BE'!$AA$16+'TE BF'!$AA$16+'TE CVA'!$AA$16)*(1-CUSTOS!$M$36)</f>
        <v>225.71431007120114</v>
      </c>
      <c r="AB847" s="6">
        <f>$K$847*$V$847</f>
        <v>0</v>
      </c>
      <c r="AC847" s="6">
        <f>$M$847*$W$847</f>
        <v>245270.70449999999</v>
      </c>
      <c r="AD847" s="6">
        <f>$O$847*$X$847</f>
        <v>230179.67399999997</v>
      </c>
      <c r="AE847" s="6">
        <f>$K$847*$Y$847</f>
        <v>0</v>
      </c>
      <c r="AF847" s="6">
        <f ca="1">$M$847*$Z$847</f>
        <v>237523.44313767739</v>
      </c>
      <c r="AG847" s="6">
        <f>$O$847*$AA$847</f>
        <v>249542.96978541784</v>
      </c>
    </row>
    <row r="848" spans="1:33" ht="11.25" customHeight="1" x14ac:dyDescent="0.25">
      <c r="A848" s="4" t="s">
        <v>27</v>
      </c>
      <c r="B848" s="4" t="s">
        <v>22</v>
      </c>
      <c r="C848" s="4" t="s">
        <v>23</v>
      </c>
      <c r="D848" s="4" t="s">
        <v>24</v>
      </c>
      <c r="E848" s="4" t="s">
        <v>31</v>
      </c>
      <c r="F848" s="4" t="s">
        <v>25</v>
      </c>
      <c r="G848" s="4" t="s">
        <v>25</v>
      </c>
      <c r="H848" s="4" t="s">
        <v>25</v>
      </c>
      <c r="I848" s="5">
        <v>44317</v>
      </c>
      <c r="J848" s="6">
        <v>0</v>
      </c>
      <c r="K848" s="6">
        <v>0</v>
      </c>
      <c r="L848" s="6">
        <v>-0.28499999999999998</v>
      </c>
      <c r="M848" s="6">
        <v>-0.28499999999999998</v>
      </c>
      <c r="N848" s="6">
        <v>-0.28499999999999998</v>
      </c>
      <c r="O848" s="6">
        <v>-0.28499999999999998</v>
      </c>
      <c r="P848" s="6">
        <v>-2</v>
      </c>
      <c r="Q848" s="4" t="s">
        <v>26</v>
      </c>
      <c r="R848" s="4">
        <v>0</v>
      </c>
      <c r="S848" s="6">
        <v>0</v>
      </c>
      <c r="T848" s="6">
        <v>36</v>
      </c>
      <c r="U848" s="6">
        <v>76</v>
      </c>
      <c r="V848" s="6">
        <f>IF(ISERROR(VLOOKUP($S$848,'TAR FIN'!$A$1:$O$100,15,0)),0,VLOOKUP($S$848,'TAR FIN'!$A$1:$O$100,15,0))</f>
        <v>0</v>
      </c>
      <c r="W848" s="6">
        <f>IF(ISERROR(VLOOKUP($T$848,'TAR FIN'!$A$1:$O$100,15,0)),0,VLOOKUP($T$848,'TAR FIN'!$A$1:$O$100,15,0))</f>
        <v>221.85</v>
      </c>
      <c r="X848" s="6">
        <f>IF(ISERROR(VLOOKUP($U$848,'TAR FIN'!$A$1:$O$100,15,0)),0,VLOOKUP($U$848,'TAR FIN'!$A$1:$O$100,15,0))</f>
        <v>208.2</v>
      </c>
      <c r="Y848" s="6"/>
      <c r="Z84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8" s="6">
        <f>('TE BE'!$AA$16+'TE BF'!$AA$16+'TE CVA'!$AA$16)*(1-CUSTOS!$M$36)</f>
        <v>225.71431007120114</v>
      </c>
      <c r="AB848" s="6">
        <f>$K$848*$V$848</f>
        <v>0</v>
      </c>
      <c r="AC848" s="6">
        <f>$M$848*$W$848</f>
        <v>-63.227249999999991</v>
      </c>
      <c r="AD848" s="6">
        <f>$O$848*$X$848</f>
        <v>-59.336999999999989</v>
      </c>
      <c r="AE848" s="6">
        <f>$K$848*$Y$848</f>
        <v>0</v>
      </c>
      <c r="AF848" s="6">
        <f ca="1">$M$848*$Z$848</f>
        <v>-61.230117762093812</v>
      </c>
      <c r="AG848" s="6">
        <f>$O$848*$AA$848</f>
        <v>-64.32857837029232</v>
      </c>
    </row>
    <row r="849" spans="1:33" ht="11.25" customHeight="1" x14ac:dyDescent="0.25">
      <c r="A849" s="4" t="s">
        <v>28</v>
      </c>
      <c r="B849" s="4" t="s">
        <v>22</v>
      </c>
      <c r="C849" s="4" t="s">
        <v>23</v>
      </c>
      <c r="D849" s="4" t="s">
        <v>24</v>
      </c>
      <c r="E849" s="4" t="s">
        <v>31</v>
      </c>
      <c r="F849" s="4" t="s">
        <v>25</v>
      </c>
      <c r="G849" s="4" t="s">
        <v>25</v>
      </c>
      <c r="H849" s="4" t="s">
        <v>25</v>
      </c>
      <c r="I849" s="5">
        <v>44317</v>
      </c>
      <c r="J849" s="6">
        <v>0</v>
      </c>
      <c r="K849" s="6">
        <v>0</v>
      </c>
      <c r="L849" s="6">
        <v>0.20399999999999999</v>
      </c>
      <c r="M849" s="6">
        <v>0.20399999999999999</v>
      </c>
      <c r="N849" s="6">
        <v>0.20399999999999999</v>
      </c>
      <c r="O849" s="6">
        <v>0.20399999999999999</v>
      </c>
      <c r="P849" s="6">
        <v>8</v>
      </c>
      <c r="Q849" s="4" t="s">
        <v>26</v>
      </c>
      <c r="R849" s="4">
        <v>0</v>
      </c>
      <c r="S849" s="6">
        <v>0</v>
      </c>
      <c r="T849" s="6">
        <v>36</v>
      </c>
      <c r="U849" s="6">
        <v>76</v>
      </c>
      <c r="V849" s="6">
        <f>IF(ISERROR(VLOOKUP($S$849,'TAR FIN'!$A$1:$O$100,15,0)),0,VLOOKUP($S$849,'TAR FIN'!$A$1:$O$100,15,0))</f>
        <v>0</v>
      </c>
      <c r="W849" s="6">
        <f>IF(ISERROR(VLOOKUP($T$849,'TAR FIN'!$A$1:$O$100,15,0)),0,VLOOKUP($T$849,'TAR FIN'!$A$1:$O$100,15,0))</f>
        <v>221.85</v>
      </c>
      <c r="X849" s="6">
        <f>IF(ISERROR(VLOOKUP($U$849,'TAR FIN'!$A$1:$O$100,15,0)),0,VLOOKUP($U$849,'TAR FIN'!$A$1:$O$100,15,0))</f>
        <v>208.2</v>
      </c>
      <c r="Y849" s="6"/>
      <c r="Z84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49" s="6">
        <f>('TE BE'!$AA$16+'TE BF'!$AA$16+'TE CVA'!$AA$16)*(1-CUSTOS!$M$36)</f>
        <v>225.71431007120114</v>
      </c>
      <c r="AB849" s="6">
        <f>$K$849*$V$849</f>
        <v>0</v>
      </c>
      <c r="AC849" s="6">
        <f>$M$849*$W$849</f>
        <v>45.257399999999997</v>
      </c>
      <c r="AD849" s="6">
        <f>$O$849*$X$849</f>
        <v>42.472799999999992</v>
      </c>
      <c r="AE849" s="6">
        <f>$K$849*$Y$849</f>
        <v>0</v>
      </c>
      <c r="AF849" s="6">
        <f ca="1">$M$849*$Z$849</f>
        <v>43.827873766551356</v>
      </c>
      <c r="AG849" s="6">
        <f>$O$849*$AA$849</f>
        <v>46.045719254525032</v>
      </c>
    </row>
    <row r="850" spans="1:33" ht="11.25" customHeight="1" x14ac:dyDescent="0.25">
      <c r="A850" s="4" t="s">
        <v>21</v>
      </c>
      <c r="B850" s="4" t="s">
        <v>22</v>
      </c>
      <c r="C850" s="4" t="s">
        <v>23</v>
      </c>
      <c r="D850" s="4" t="s">
        <v>24</v>
      </c>
      <c r="E850" s="4" t="s">
        <v>31</v>
      </c>
      <c r="F850" s="4" t="s">
        <v>25</v>
      </c>
      <c r="G850" s="4" t="s">
        <v>25</v>
      </c>
      <c r="H850" s="4" t="s">
        <v>25</v>
      </c>
      <c r="I850" s="5">
        <v>44348</v>
      </c>
      <c r="J850" s="6">
        <v>0</v>
      </c>
      <c r="K850" s="6">
        <v>0</v>
      </c>
      <c r="L850" s="6">
        <v>966.56200000000001</v>
      </c>
      <c r="M850" s="6">
        <v>966.56200000000001</v>
      </c>
      <c r="N850" s="6">
        <v>966.56200000000001</v>
      </c>
      <c r="O850" s="6">
        <v>966.56200000000001</v>
      </c>
      <c r="P850" s="6">
        <v>18081</v>
      </c>
      <c r="Q850" s="4" t="s">
        <v>26</v>
      </c>
      <c r="R850" s="4">
        <v>0</v>
      </c>
      <c r="S850" s="6">
        <v>0</v>
      </c>
      <c r="T850" s="6">
        <v>36</v>
      </c>
      <c r="U850" s="6">
        <v>76</v>
      </c>
      <c r="V850" s="6">
        <f>IF(ISERROR(VLOOKUP($S$850,'TAR FIN'!$A$1:$O$100,15,0)),0,VLOOKUP($S$850,'TAR FIN'!$A$1:$O$100,15,0))</f>
        <v>0</v>
      </c>
      <c r="W850" s="6">
        <f>IF(ISERROR(VLOOKUP($T$850,'TAR FIN'!$A$1:$O$100,15,0)),0,VLOOKUP($T$850,'TAR FIN'!$A$1:$O$100,15,0))</f>
        <v>221.85</v>
      </c>
      <c r="X850" s="6">
        <f>IF(ISERROR(VLOOKUP($U$850,'TAR FIN'!$A$1:$O$100,15,0)),0,VLOOKUP($U$850,'TAR FIN'!$A$1:$O$100,15,0))</f>
        <v>208.2</v>
      </c>
      <c r="Y850" s="6"/>
      <c r="Z85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0" s="6">
        <f>('TE BE'!$AA$16+'TE BF'!$AA$16+'TE CVA'!$AA$16)*(1-CUSTOS!$M$36)</f>
        <v>225.71431007120114</v>
      </c>
      <c r="AB850" s="6">
        <f>$K$850*$V$850</f>
        <v>0</v>
      </c>
      <c r="AC850" s="6">
        <f>$M$850*$W$850</f>
        <v>214431.77969999998</v>
      </c>
      <c r="AD850" s="6">
        <f>$O$850*$X$850</f>
        <v>201238.2084</v>
      </c>
      <c r="AE850" s="6">
        <f>$K$850*$Y$850</f>
        <v>0</v>
      </c>
      <c r="AF850" s="6">
        <f ca="1">$M$850*$Z$850</f>
        <v>207658.614331105</v>
      </c>
      <c r="AG850" s="6">
        <f>$O$850*$AA$850</f>
        <v>218166.87497104032</v>
      </c>
    </row>
    <row r="851" spans="1:33" ht="11.25" customHeight="1" x14ac:dyDescent="0.25">
      <c r="A851" s="4" t="s">
        <v>27</v>
      </c>
      <c r="B851" s="4" t="s">
        <v>22</v>
      </c>
      <c r="C851" s="4" t="s">
        <v>23</v>
      </c>
      <c r="D851" s="4" t="s">
        <v>24</v>
      </c>
      <c r="E851" s="4" t="s">
        <v>31</v>
      </c>
      <c r="F851" s="4" t="s">
        <v>25</v>
      </c>
      <c r="G851" s="4" t="s">
        <v>25</v>
      </c>
      <c r="H851" s="4" t="s">
        <v>25</v>
      </c>
      <c r="I851" s="5">
        <v>44348</v>
      </c>
      <c r="J851" s="6">
        <v>0</v>
      </c>
      <c r="K851" s="6">
        <v>0</v>
      </c>
      <c r="L851" s="6">
        <v>-0.505</v>
      </c>
      <c r="M851" s="6">
        <v>-0.505</v>
      </c>
      <c r="N851" s="6">
        <v>-0.505</v>
      </c>
      <c r="O851" s="6">
        <v>-0.505</v>
      </c>
      <c r="P851" s="6">
        <v>-2</v>
      </c>
      <c r="Q851" s="4" t="s">
        <v>26</v>
      </c>
      <c r="R851" s="4">
        <v>0</v>
      </c>
      <c r="S851" s="6">
        <v>0</v>
      </c>
      <c r="T851" s="6">
        <v>36</v>
      </c>
      <c r="U851" s="6">
        <v>76</v>
      </c>
      <c r="V851" s="6">
        <f>IF(ISERROR(VLOOKUP($S$851,'TAR FIN'!$A$1:$O$100,15,0)),0,VLOOKUP($S$851,'TAR FIN'!$A$1:$O$100,15,0))</f>
        <v>0</v>
      </c>
      <c r="W851" s="6">
        <f>IF(ISERROR(VLOOKUP($T$851,'TAR FIN'!$A$1:$O$100,15,0)),0,VLOOKUP($T$851,'TAR FIN'!$A$1:$O$100,15,0))</f>
        <v>221.85</v>
      </c>
      <c r="X851" s="6">
        <f>IF(ISERROR(VLOOKUP($U$851,'TAR FIN'!$A$1:$O$100,15,0)),0,VLOOKUP($U$851,'TAR FIN'!$A$1:$O$100,15,0))</f>
        <v>208.2</v>
      </c>
      <c r="Y851" s="6"/>
      <c r="Z85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1" s="6">
        <f>('TE BE'!$AA$16+'TE BF'!$AA$16+'TE CVA'!$AA$16)*(1-CUSTOS!$M$36)</f>
        <v>225.71431007120114</v>
      </c>
      <c r="AB851" s="6">
        <f>$K$851*$V$851</f>
        <v>0</v>
      </c>
      <c r="AC851" s="6">
        <f>$M$851*$W$851</f>
        <v>-112.03425</v>
      </c>
      <c r="AD851" s="6">
        <f>$O$851*$X$851</f>
        <v>-105.14099999999999</v>
      </c>
      <c r="AE851" s="6">
        <f>$K$851*$Y$851</f>
        <v>0</v>
      </c>
      <c r="AF851" s="6">
        <f ca="1">$M$851*$Z$851</f>
        <v>-108.49547182406097</v>
      </c>
      <c r="AG851" s="6">
        <f>$O$851*$AA$851</f>
        <v>-113.98572658595657</v>
      </c>
    </row>
    <row r="852" spans="1:33" ht="11.25" customHeight="1" x14ac:dyDescent="0.25">
      <c r="A852" s="4" t="s">
        <v>28</v>
      </c>
      <c r="B852" s="4" t="s">
        <v>22</v>
      </c>
      <c r="C852" s="4" t="s">
        <v>23</v>
      </c>
      <c r="D852" s="4" t="s">
        <v>24</v>
      </c>
      <c r="E852" s="4" t="s">
        <v>31</v>
      </c>
      <c r="F852" s="4" t="s">
        <v>25</v>
      </c>
      <c r="G852" s="4" t="s">
        <v>25</v>
      </c>
      <c r="H852" s="4" t="s">
        <v>25</v>
      </c>
      <c r="I852" s="5">
        <v>44348</v>
      </c>
      <c r="J852" s="6">
        <v>0</v>
      </c>
      <c r="K852" s="6">
        <v>0</v>
      </c>
      <c r="L852" s="6">
        <v>0.34200000000000003</v>
      </c>
      <c r="M852" s="6">
        <v>0.34200000000000003</v>
      </c>
      <c r="N852" s="6">
        <v>0.34200000000000003</v>
      </c>
      <c r="O852" s="6">
        <v>0.34200000000000003</v>
      </c>
      <c r="P852" s="6">
        <v>8</v>
      </c>
      <c r="Q852" s="4" t="s">
        <v>26</v>
      </c>
      <c r="R852" s="4">
        <v>0</v>
      </c>
      <c r="S852" s="6">
        <v>0</v>
      </c>
      <c r="T852" s="6">
        <v>36</v>
      </c>
      <c r="U852" s="6">
        <v>76</v>
      </c>
      <c r="V852" s="6">
        <f>IF(ISERROR(VLOOKUP($S$852,'TAR FIN'!$A$1:$O$100,15,0)),0,VLOOKUP($S$852,'TAR FIN'!$A$1:$O$100,15,0))</f>
        <v>0</v>
      </c>
      <c r="W852" s="6">
        <f>IF(ISERROR(VLOOKUP($T$852,'TAR FIN'!$A$1:$O$100,15,0)),0,VLOOKUP($T$852,'TAR FIN'!$A$1:$O$100,15,0))</f>
        <v>221.85</v>
      </c>
      <c r="X852" s="6">
        <f>IF(ISERROR(VLOOKUP($U$852,'TAR FIN'!$A$1:$O$100,15,0)),0,VLOOKUP($U$852,'TAR FIN'!$A$1:$O$100,15,0))</f>
        <v>208.2</v>
      </c>
      <c r="Y852" s="6"/>
      <c r="Z85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2" s="6">
        <f>('TE BE'!$AA$16+'TE BF'!$AA$16+'TE CVA'!$AA$16)*(1-CUSTOS!$M$36)</f>
        <v>225.71431007120114</v>
      </c>
      <c r="AB852" s="6">
        <f>$K$852*$V$852</f>
        <v>0</v>
      </c>
      <c r="AC852" s="6">
        <f>$M$852*$W$852</f>
        <v>75.872700000000009</v>
      </c>
      <c r="AD852" s="6">
        <f>$O$852*$X$852</f>
        <v>71.204400000000007</v>
      </c>
      <c r="AE852" s="6">
        <f>$K$852*$Y$852</f>
        <v>0</v>
      </c>
      <c r="AF852" s="6">
        <f ca="1">$M$852*$Z$852</f>
        <v>73.476141314512589</v>
      </c>
      <c r="AG852" s="6">
        <f>$O$852*$AA$852</f>
        <v>77.194294044350798</v>
      </c>
    </row>
    <row r="853" spans="1:33" ht="11.25" customHeight="1" x14ac:dyDescent="0.25">
      <c r="A853" s="4" t="s">
        <v>21</v>
      </c>
      <c r="B853" s="4" t="s">
        <v>22</v>
      </c>
      <c r="C853" s="4" t="s">
        <v>23</v>
      </c>
      <c r="D853" s="4" t="s">
        <v>24</v>
      </c>
      <c r="E853" s="4" t="s">
        <v>31</v>
      </c>
      <c r="F853" s="4" t="s">
        <v>25</v>
      </c>
      <c r="G853" s="4" t="s">
        <v>25</v>
      </c>
      <c r="H853" s="4" t="s">
        <v>25</v>
      </c>
      <c r="I853" s="5">
        <v>44378</v>
      </c>
      <c r="J853" s="6">
        <v>0</v>
      </c>
      <c r="K853" s="6">
        <v>0</v>
      </c>
      <c r="L853" s="6">
        <v>1072.556</v>
      </c>
      <c r="M853" s="6">
        <v>1072.556</v>
      </c>
      <c r="N853" s="6">
        <v>1072.556</v>
      </c>
      <c r="O853" s="6">
        <v>1072.556</v>
      </c>
      <c r="P853" s="6">
        <v>19325</v>
      </c>
      <c r="Q853" s="4" t="s">
        <v>26</v>
      </c>
      <c r="R853" s="4">
        <v>0</v>
      </c>
      <c r="S853" s="6">
        <v>0</v>
      </c>
      <c r="T853" s="6">
        <v>36</v>
      </c>
      <c r="U853" s="6">
        <v>76</v>
      </c>
      <c r="V853" s="6">
        <f>IF(ISERROR(VLOOKUP($S$853,'TAR FIN'!$A$1:$O$100,15,0)),0,VLOOKUP($S$853,'TAR FIN'!$A$1:$O$100,15,0))</f>
        <v>0</v>
      </c>
      <c r="W853" s="6">
        <f>IF(ISERROR(VLOOKUP($T$853,'TAR FIN'!$A$1:$O$100,15,0)),0,VLOOKUP($T$853,'TAR FIN'!$A$1:$O$100,15,0))</f>
        <v>221.85</v>
      </c>
      <c r="X853" s="6">
        <f>IF(ISERROR(VLOOKUP($U$853,'TAR FIN'!$A$1:$O$100,15,0)),0,VLOOKUP($U$853,'TAR FIN'!$A$1:$O$100,15,0))</f>
        <v>208.2</v>
      </c>
      <c r="Y853" s="6"/>
      <c r="Z85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3" s="6">
        <f>('TE BE'!$AA$16+'TE BF'!$AA$16+'TE CVA'!$AA$16)*(1-CUSTOS!$M$36)</f>
        <v>225.71431007120114</v>
      </c>
      <c r="AB853" s="6">
        <f>$K$853*$V$853</f>
        <v>0</v>
      </c>
      <c r="AC853" s="6">
        <f>$M$853*$W$853</f>
        <v>237946.54860000001</v>
      </c>
      <c r="AD853" s="6">
        <f>$O$853*$X$853</f>
        <v>223306.15919999999</v>
      </c>
      <c r="AE853" s="6">
        <f>$K$853*$Y$853</f>
        <v>0</v>
      </c>
      <c r="AF853" s="6">
        <f ca="1">$M$853*$Z$853</f>
        <v>230430.63223312385</v>
      </c>
      <c r="AG853" s="6">
        <f>$O$853*$AA$853</f>
        <v>242091.23755272722</v>
      </c>
    </row>
    <row r="854" spans="1:33" ht="11.25" customHeight="1" x14ac:dyDescent="0.25">
      <c r="A854" s="4" t="s">
        <v>27</v>
      </c>
      <c r="B854" s="4" t="s">
        <v>22</v>
      </c>
      <c r="C854" s="4" t="s">
        <v>23</v>
      </c>
      <c r="D854" s="4" t="s">
        <v>24</v>
      </c>
      <c r="E854" s="4" t="s">
        <v>31</v>
      </c>
      <c r="F854" s="4" t="s">
        <v>25</v>
      </c>
      <c r="G854" s="4" t="s">
        <v>25</v>
      </c>
      <c r="H854" s="4" t="s">
        <v>25</v>
      </c>
      <c r="I854" s="5">
        <v>44378</v>
      </c>
      <c r="J854" s="6">
        <v>0</v>
      </c>
      <c r="K854" s="6">
        <v>0</v>
      </c>
      <c r="L854" s="6">
        <v>-1.5</v>
      </c>
      <c r="M854" s="6">
        <v>-1.5</v>
      </c>
      <c r="N854" s="6">
        <v>-1.5</v>
      </c>
      <c r="O854" s="6">
        <v>-1.5</v>
      </c>
      <c r="P854" s="6">
        <v>-6</v>
      </c>
      <c r="Q854" s="4" t="s">
        <v>26</v>
      </c>
      <c r="R854" s="4">
        <v>0</v>
      </c>
      <c r="S854" s="6">
        <v>0</v>
      </c>
      <c r="T854" s="6">
        <v>36</v>
      </c>
      <c r="U854" s="6">
        <v>76</v>
      </c>
      <c r="V854" s="6">
        <f>IF(ISERROR(VLOOKUP($S$854,'TAR FIN'!$A$1:$O$100,15,0)),0,VLOOKUP($S$854,'TAR FIN'!$A$1:$O$100,15,0))</f>
        <v>0</v>
      </c>
      <c r="W854" s="6">
        <f>IF(ISERROR(VLOOKUP($T$854,'TAR FIN'!$A$1:$O$100,15,0)),0,VLOOKUP($T$854,'TAR FIN'!$A$1:$O$100,15,0))</f>
        <v>221.85</v>
      </c>
      <c r="X854" s="6">
        <f>IF(ISERROR(VLOOKUP($U$854,'TAR FIN'!$A$1:$O$100,15,0)),0,VLOOKUP($U$854,'TAR FIN'!$A$1:$O$100,15,0))</f>
        <v>208.2</v>
      </c>
      <c r="Y854" s="6"/>
      <c r="Z85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4" s="6">
        <f>('TE BE'!$AA$16+'TE BF'!$AA$16+'TE CVA'!$AA$16)*(1-CUSTOS!$M$36)</f>
        <v>225.71431007120114</v>
      </c>
      <c r="AB854" s="6">
        <f>$K$854*$V$854</f>
        <v>0</v>
      </c>
      <c r="AC854" s="6">
        <f>$M$854*$W$854</f>
        <v>-332.77499999999998</v>
      </c>
      <c r="AD854" s="6">
        <f>$O$854*$X$854</f>
        <v>-312.29999999999995</v>
      </c>
      <c r="AE854" s="6">
        <f>$K$854*$Y$854</f>
        <v>0</v>
      </c>
      <c r="AF854" s="6">
        <f ca="1">$M$854*$Z$854</f>
        <v>-322.2637776952306</v>
      </c>
      <c r="AG854" s="6">
        <f>$O$854*$AA$854</f>
        <v>-338.57146510680172</v>
      </c>
    </row>
    <row r="855" spans="1:33" ht="11.25" customHeight="1" x14ac:dyDescent="0.25">
      <c r="A855" s="4" t="s">
        <v>28</v>
      </c>
      <c r="B855" s="4" t="s">
        <v>22</v>
      </c>
      <c r="C855" s="4" t="s">
        <v>23</v>
      </c>
      <c r="D855" s="4" t="s">
        <v>24</v>
      </c>
      <c r="E855" s="4" t="s">
        <v>31</v>
      </c>
      <c r="F855" s="4" t="s">
        <v>25</v>
      </c>
      <c r="G855" s="4" t="s">
        <v>25</v>
      </c>
      <c r="H855" s="4" t="s">
        <v>25</v>
      </c>
      <c r="I855" s="5">
        <v>44378</v>
      </c>
      <c r="J855" s="6">
        <v>0</v>
      </c>
      <c r="K855" s="6">
        <v>0</v>
      </c>
      <c r="L855" s="6">
        <v>0.46500000000000002</v>
      </c>
      <c r="M855" s="6">
        <v>0.46500000000000002</v>
      </c>
      <c r="N855" s="6">
        <v>0.46500000000000002</v>
      </c>
      <c r="O855" s="6">
        <v>0.46500000000000002</v>
      </c>
      <c r="P855" s="6">
        <v>12</v>
      </c>
      <c r="Q855" s="4" t="s">
        <v>26</v>
      </c>
      <c r="R855" s="4">
        <v>0</v>
      </c>
      <c r="S855" s="6">
        <v>0</v>
      </c>
      <c r="T855" s="6">
        <v>36</v>
      </c>
      <c r="U855" s="6">
        <v>76</v>
      </c>
      <c r="V855" s="6">
        <f>IF(ISERROR(VLOOKUP($S$855,'TAR FIN'!$A$1:$O$100,15,0)),0,VLOOKUP($S$855,'TAR FIN'!$A$1:$O$100,15,0))</f>
        <v>0</v>
      </c>
      <c r="W855" s="6">
        <f>IF(ISERROR(VLOOKUP($T$855,'TAR FIN'!$A$1:$O$100,15,0)),0,VLOOKUP($T$855,'TAR FIN'!$A$1:$O$100,15,0))</f>
        <v>221.85</v>
      </c>
      <c r="X855" s="6">
        <f>IF(ISERROR(VLOOKUP($U$855,'TAR FIN'!$A$1:$O$100,15,0)),0,VLOOKUP($U$855,'TAR FIN'!$A$1:$O$100,15,0))</f>
        <v>208.2</v>
      </c>
      <c r="Y855" s="6"/>
      <c r="Z85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5" s="6">
        <f>('TE BE'!$AA$16+'TE BF'!$AA$16+'TE CVA'!$AA$16)*(1-CUSTOS!$M$36)</f>
        <v>225.71431007120114</v>
      </c>
      <c r="AB855" s="6">
        <f>$K$855*$V$855</f>
        <v>0</v>
      </c>
      <c r="AC855" s="6">
        <f>$M$855*$W$855</f>
        <v>103.16025</v>
      </c>
      <c r="AD855" s="6">
        <f>$O$855*$X$855</f>
        <v>96.813000000000002</v>
      </c>
      <c r="AE855" s="6">
        <f>$K$855*$Y$855</f>
        <v>0</v>
      </c>
      <c r="AF855" s="6">
        <f ca="1">$M$855*$Z$855</f>
        <v>99.901771085521489</v>
      </c>
      <c r="AG855" s="6">
        <f>$O$855*$AA$855</f>
        <v>104.95715418310854</v>
      </c>
    </row>
    <row r="856" spans="1:33" ht="11.25" customHeight="1" x14ac:dyDescent="0.25">
      <c r="A856" s="4" t="s">
        <v>21</v>
      </c>
      <c r="B856" s="4" t="s">
        <v>22</v>
      </c>
      <c r="C856" s="4" t="s">
        <v>23</v>
      </c>
      <c r="D856" s="4" t="s">
        <v>24</v>
      </c>
      <c r="E856" s="4" t="s">
        <v>31</v>
      </c>
      <c r="F856" s="4" t="s">
        <v>25</v>
      </c>
      <c r="G856" s="4" t="s">
        <v>25</v>
      </c>
      <c r="H856" s="4" t="s">
        <v>25</v>
      </c>
      <c r="I856" s="5">
        <v>44409</v>
      </c>
      <c r="J856" s="6">
        <v>0</v>
      </c>
      <c r="K856" s="6">
        <v>0</v>
      </c>
      <c r="L856" s="6">
        <v>913.09900000000005</v>
      </c>
      <c r="M856" s="6">
        <v>913.09900000000005</v>
      </c>
      <c r="N856" s="6">
        <v>913.09900000000005</v>
      </c>
      <c r="O856" s="6">
        <v>913.09900000000005</v>
      </c>
      <c r="P856" s="6">
        <v>17686</v>
      </c>
      <c r="Q856" s="4" t="s">
        <v>26</v>
      </c>
      <c r="R856" s="4">
        <v>0</v>
      </c>
      <c r="S856" s="6">
        <v>0</v>
      </c>
      <c r="T856" s="6">
        <v>36</v>
      </c>
      <c r="U856" s="6">
        <v>76</v>
      </c>
      <c r="V856" s="6">
        <f>IF(ISERROR(VLOOKUP($S$856,'TAR FIN'!$A$1:$O$100,15,0)),0,VLOOKUP($S$856,'TAR FIN'!$A$1:$O$100,15,0))</f>
        <v>0</v>
      </c>
      <c r="W856" s="6">
        <f>IF(ISERROR(VLOOKUP($T$856,'TAR FIN'!$A$1:$O$100,15,0)),0,VLOOKUP($T$856,'TAR FIN'!$A$1:$O$100,15,0))</f>
        <v>221.85</v>
      </c>
      <c r="X856" s="6">
        <f>IF(ISERROR(VLOOKUP($U$856,'TAR FIN'!$A$1:$O$100,15,0)),0,VLOOKUP($U$856,'TAR FIN'!$A$1:$O$100,15,0))</f>
        <v>208.2</v>
      </c>
      <c r="Y856" s="6"/>
      <c r="Z856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6" s="6">
        <f>('TE BE'!$AA$16+'TE BF'!$AA$16+'TE CVA'!$AA$16)*(1-CUSTOS!$M$36)</f>
        <v>225.71431007120114</v>
      </c>
      <c r="AB856" s="6">
        <f>$K$856*$V$856</f>
        <v>0</v>
      </c>
      <c r="AC856" s="6">
        <f>$M$856*$W$856</f>
        <v>202571.01315000001</v>
      </c>
      <c r="AD856" s="6">
        <f>$O$856*$X$856</f>
        <v>190107.21179999999</v>
      </c>
      <c r="AE856" s="6">
        <f>$K$856*$Y$856</f>
        <v>0</v>
      </c>
      <c r="AF856" s="6">
        <f ca="1">$M$856*$Z$856</f>
        <v>196172.48876649159</v>
      </c>
      <c r="AG856" s="6">
        <f>$O$856*$AA$856</f>
        <v>206099.51081170369</v>
      </c>
    </row>
    <row r="857" spans="1:33" ht="11.25" customHeight="1" x14ac:dyDescent="0.25">
      <c r="A857" s="4" t="s">
        <v>27</v>
      </c>
      <c r="B857" s="4" t="s">
        <v>22</v>
      </c>
      <c r="C857" s="4" t="s">
        <v>23</v>
      </c>
      <c r="D857" s="4" t="s">
        <v>24</v>
      </c>
      <c r="E857" s="4" t="s">
        <v>31</v>
      </c>
      <c r="F857" s="4" t="s">
        <v>25</v>
      </c>
      <c r="G857" s="4" t="s">
        <v>25</v>
      </c>
      <c r="H857" s="4" t="s">
        <v>25</v>
      </c>
      <c r="I857" s="5">
        <v>44409</v>
      </c>
      <c r="J857" s="6">
        <v>0</v>
      </c>
      <c r="K857" s="6">
        <v>0</v>
      </c>
      <c r="L857" s="6">
        <v>-0.48</v>
      </c>
      <c r="M857" s="6">
        <v>-0.48</v>
      </c>
      <c r="N857" s="6">
        <v>-0.48</v>
      </c>
      <c r="O857" s="6">
        <v>-0.48</v>
      </c>
      <c r="P857" s="6">
        <v>-3</v>
      </c>
      <c r="Q857" s="4" t="s">
        <v>26</v>
      </c>
      <c r="R857" s="4">
        <v>0</v>
      </c>
      <c r="S857" s="6">
        <v>0</v>
      </c>
      <c r="T857" s="6">
        <v>36</v>
      </c>
      <c r="U857" s="6">
        <v>76</v>
      </c>
      <c r="V857" s="6">
        <f>IF(ISERROR(VLOOKUP($S$857,'TAR FIN'!$A$1:$O$100,15,0)),0,VLOOKUP($S$857,'TAR FIN'!$A$1:$O$100,15,0))</f>
        <v>0</v>
      </c>
      <c r="W857" s="6">
        <f>IF(ISERROR(VLOOKUP($T$857,'TAR FIN'!$A$1:$O$100,15,0)),0,VLOOKUP($T$857,'TAR FIN'!$A$1:$O$100,15,0))</f>
        <v>221.85</v>
      </c>
      <c r="X857" s="6">
        <f>IF(ISERROR(VLOOKUP($U$857,'TAR FIN'!$A$1:$O$100,15,0)),0,VLOOKUP($U$857,'TAR FIN'!$A$1:$O$100,15,0))</f>
        <v>208.2</v>
      </c>
      <c r="Y857" s="6"/>
      <c r="Z857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7" s="6">
        <f>('TE BE'!$AA$16+'TE BF'!$AA$16+'TE CVA'!$AA$16)*(1-CUSTOS!$M$36)</f>
        <v>225.71431007120114</v>
      </c>
      <c r="AB857" s="6">
        <f>$K$857*$V$857</f>
        <v>0</v>
      </c>
      <c r="AC857" s="6">
        <f>$M$857*$W$857</f>
        <v>-106.488</v>
      </c>
      <c r="AD857" s="6">
        <f>$O$857*$X$857</f>
        <v>-99.935999999999993</v>
      </c>
      <c r="AE857" s="6">
        <f>$K$857*$Y$857</f>
        <v>0</v>
      </c>
      <c r="AF857" s="6">
        <f ca="1">$M$857*$Z$857</f>
        <v>-103.12440886247379</v>
      </c>
      <c r="AG857" s="6">
        <f>$O$857*$AA$857</f>
        <v>-108.34286883417654</v>
      </c>
    </row>
    <row r="858" spans="1:33" ht="11.25" customHeight="1" x14ac:dyDescent="0.25">
      <c r="A858" s="4" t="s">
        <v>28</v>
      </c>
      <c r="B858" s="4" t="s">
        <v>22</v>
      </c>
      <c r="C858" s="4" t="s">
        <v>23</v>
      </c>
      <c r="D858" s="4" t="s">
        <v>24</v>
      </c>
      <c r="E858" s="4" t="s">
        <v>31</v>
      </c>
      <c r="F858" s="4" t="s">
        <v>25</v>
      </c>
      <c r="G858" s="4" t="s">
        <v>25</v>
      </c>
      <c r="H858" s="4" t="s">
        <v>25</v>
      </c>
      <c r="I858" s="5">
        <v>44409</v>
      </c>
      <c r="J858" s="6">
        <v>0</v>
      </c>
      <c r="K858" s="6">
        <v>0</v>
      </c>
      <c r="L858" s="6">
        <v>0.64700000000000002</v>
      </c>
      <c r="M858" s="6">
        <v>0.64700000000000002</v>
      </c>
      <c r="N858" s="6">
        <v>0.64700000000000002</v>
      </c>
      <c r="O858" s="6">
        <v>0.64700000000000002</v>
      </c>
      <c r="P858" s="6">
        <v>13</v>
      </c>
      <c r="Q858" s="4" t="s">
        <v>26</v>
      </c>
      <c r="R858" s="4">
        <v>0</v>
      </c>
      <c r="S858" s="6">
        <v>0</v>
      </c>
      <c r="T858" s="6">
        <v>36</v>
      </c>
      <c r="U858" s="6">
        <v>76</v>
      </c>
      <c r="V858" s="6">
        <f>IF(ISERROR(VLOOKUP($S$858,'TAR FIN'!$A$1:$O$100,15,0)),0,VLOOKUP($S$858,'TAR FIN'!$A$1:$O$100,15,0))</f>
        <v>0</v>
      </c>
      <c r="W858" s="6">
        <f>IF(ISERROR(VLOOKUP($T$858,'TAR FIN'!$A$1:$O$100,15,0)),0,VLOOKUP($T$858,'TAR FIN'!$A$1:$O$100,15,0))</f>
        <v>221.85</v>
      </c>
      <c r="X858" s="6">
        <f>IF(ISERROR(VLOOKUP($U$858,'TAR FIN'!$A$1:$O$100,15,0)),0,VLOOKUP($U$858,'TAR FIN'!$A$1:$O$100,15,0))</f>
        <v>208.2</v>
      </c>
      <c r="Y858" s="6"/>
      <c r="Z85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8" s="6">
        <f>('TE BE'!$AA$16+'TE BF'!$AA$16+'TE CVA'!$AA$16)*(1-CUSTOS!$M$36)</f>
        <v>225.71431007120114</v>
      </c>
      <c r="AB858" s="6">
        <f>$K$858*$V$858</f>
        <v>0</v>
      </c>
      <c r="AC858" s="6">
        <f>$M$858*$W$858</f>
        <v>143.53694999999999</v>
      </c>
      <c r="AD858" s="6">
        <f>$O$858*$X$858</f>
        <v>134.7054</v>
      </c>
      <c r="AE858" s="6">
        <f>$K$858*$Y$858</f>
        <v>0</v>
      </c>
      <c r="AF858" s="6">
        <f ca="1">$M$858*$Z$858</f>
        <v>139.00310944587613</v>
      </c>
      <c r="AG858" s="6">
        <f>$O$858*$AA$858</f>
        <v>146.03715861606713</v>
      </c>
    </row>
    <row r="859" spans="1:33" ht="11.25" customHeight="1" x14ac:dyDescent="0.25">
      <c r="A859" s="4" t="s">
        <v>21</v>
      </c>
      <c r="B859" s="4" t="s">
        <v>22</v>
      </c>
      <c r="C859" s="4" t="s">
        <v>23</v>
      </c>
      <c r="D859" s="4" t="s">
        <v>24</v>
      </c>
      <c r="E859" s="4" t="s">
        <v>31</v>
      </c>
      <c r="F859" s="4" t="s">
        <v>25</v>
      </c>
      <c r="G859" s="4" t="s">
        <v>25</v>
      </c>
      <c r="H859" s="4" t="s">
        <v>25</v>
      </c>
      <c r="I859" s="5">
        <v>44440</v>
      </c>
      <c r="J859" s="6">
        <v>0</v>
      </c>
      <c r="K859" s="6">
        <v>0</v>
      </c>
      <c r="L859" s="6">
        <v>929.56600000000003</v>
      </c>
      <c r="M859" s="6">
        <v>929.56600000000003</v>
      </c>
      <c r="N859" s="6">
        <v>929.56600000000003</v>
      </c>
      <c r="O859" s="6">
        <v>929.56600000000003</v>
      </c>
      <c r="P859" s="6">
        <v>17764</v>
      </c>
      <c r="Q859" s="4" t="s">
        <v>26</v>
      </c>
      <c r="R859" s="4">
        <v>0</v>
      </c>
      <c r="S859" s="6">
        <v>0</v>
      </c>
      <c r="T859" s="6">
        <v>36</v>
      </c>
      <c r="U859" s="6">
        <v>76</v>
      </c>
      <c r="V859" s="6">
        <f>IF(ISERROR(VLOOKUP($S$859,'TAR FIN'!$A$1:$O$100,15,0)),0,VLOOKUP($S$859,'TAR FIN'!$A$1:$O$100,15,0))</f>
        <v>0</v>
      </c>
      <c r="W859" s="6">
        <f>IF(ISERROR(VLOOKUP($T$859,'TAR FIN'!$A$1:$O$100,15,0)),0,VLOOKUP($T$859,'TAR FIN'!$A$1:$O$100,15,0))</f>
        <v>221.85</v>
      </c>
      <c r="X859" s="6">
        <f>IF(ISERROR(VLOOKUP($U$859,'TAR FIN'!$A$1:$O$100,15,0)),0,VLOOKUP($U$859,'TAR FIN'!$A$1:$O$100,15,0))</f>
        <v>208.2</v>
      </c>
      <c r="Y859" s="6"/>
      <c r="Z85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59" s="6">
        <f>('TE BE'!$AA$16+'TE BF'!$AA$16+'TE CVA'!$AA$16)*(1-CUSTOS!$M$36)</f>
        <v>225.71431007120114</v>
      </c>
      <c r="AB859" s="6">
        <f>$K$859*$V$859</f>
        <v>0</v>
      </c>
      <c r="AC859" s="6">
        <f>$M$859*$W$859</f>
        <v>206224.21710000001</v>
      </c>
      <c r="AD859" s="6">
        <f>$O$859*$X$859</f>
        <v>193535.64119999998</v>
      </c>
      <c r="AE859" s="6">
        <f>$K$859*$Y$859</f>
        <v>0</v>
      </c>
      <c r="AF859" s="6">
        <f ca="1">$M$859*$Z$859</f>
        <v>199710.30051802984</v>
      </c>
      <c r="AG859" s="6">
        <f>$O$859*$AA$859</f>
        <v>209816.34835564616</v>
      </c>
    </row>
    <row r="860" spans="1:33" ht="11.25" customHeight="1" x14ac:dyDescent="0.25">
      <c r="A860" s="4" t="s">
        <v>27</v>
      </c>
      <c r="B860" s="4" t="s">
        <v>22</v>
      </c>
      <c r="C860" s="4" t="s">
        <v>23</v>
      </c>
      <c r="D860" s="4" t="s">
        <v>24</v>
      </c>
      <c r="E860" s="4" t="s">
        <v>31</v>
      </c>
      <c r="F860" s="4" t="s">
        <v>25</v>
      </c>
      <c r="G860" s="4" t="s">
        <v>25</v>
      </c>
      <c r="H860" s="4" t="s">
        <v>25</v>
      </c>
      <c r="I860" s="5">
        <v>44440</v>
      </c>
      <c r="J860" s="6">
        <v>0</v>
      </c>
      <c r="K860" s="6">
        <v>0</v>
      </c>
      <c r="L860" s="6">
        <v>-0.12</v>
      </c>
      <c r="M860" s="6">
        <v>-0.12</v>
      </c>
      <c r="N860" s="6">
        <v>-0.12</v>
      </c>
      <c r="O860" s="6">
        <v>-0.12</v>
      </c>
      <c r="P860" s="6">
        <v>0</v>
      </c>
      <c r="Q860" s="4" t="s">
        <v>26</v>
      </c>
      <c r="R860" s="4">
        <v>0</v>
      </c>
      <c r="S860" s="6">
        <v>0</v>
      </c>
      <c r="T860" s="6">
        <v>36</v>
      </c>
      <c r="U860" s="6">
        <v>76</v>
      </c>
      <c r="V860" s="6">
        <f>IF(ISERROR(VLOOKUP($S$860,'TAR FIN'!$A$1:$O$100,15,0)),0,VLOOKUP($S$860,'TAR FIN'!$A$1:$O$100,15,0))</f>
        <v>0</v>
      </c>
      <c r="W860" s="6">
        <f>IF(ISERROR(VLOOKUP($T$860,'TAR FIN'!$A$1:$O$100,15,0)),0,VLOOKUP($T$860,'TAR FIN'!$A$1:$O$100,15,0))</f>
        <v>221.85</v>
      </c>
      <c r="X860" s="6">
        <f>IF(ISERROR(VLOOKUP($U$860,'TAR FIN'!$A$1:$O$100,15,0)),0,VLOOKUP($U$860,'TAR FIN'!$A$1:$O$100,15,0))</f>
        <v>208.2</v>
      </c>
      <c r="Y860" s="6"/>
      <c r="Z86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0" s="6">
        <f>('TE BE'!$AA$16+'TE BF'!$AA$16+'TE CVA'!$AA$16)*(1-CUSTOS!$M$36)</f>
        <v>225.71431007120114</v>
      </c>
      <c r="AB860" s="6">
        <f>$K$860*$V$860</f>
        <v>0</v>
      </c>
      <c r="AC860" s="6">
        <f>$M$860*$W$860</f>
        <v>-26.622</v>
      </c>
      <c r="AD860" s="6">
        <f>$O$860*$X$860</f>
        <v>-24.983999999999998</v>
      </c>
      <c r="AE860" s="6">
        <f>$K$860*$Y$860</f>
        <v>0</v>
      </c>
      <c r="AF860" s="6">
        <f ca="1">$M$860*$Z$860</f>
        <v>-25.781102215618446</v>
      </c>
      <c r="AG860" s="6">
        <f>$O$860*$AA$860</f>
        <v>-27.085717208544136</v>
      </c>
    </row>
    <row r="861" spans="1:33" ht="11.25" customHeight="1" x14ac:dyDescent="0.25">
      <c r="A861" s="4" t="s">
        <v>28</v>
      </c>
      <c r="B861" s="4" t="s">
        <v>22</v>
      </c>
      <c r="C861" s="4" t="s">
        <v>23</v>
      </c>
      <c r="D861" s="4" t="s">
        <v>24</v>
      </c>
      <c r="E861" s="4" t="s">
        <v>31</v>
      </c>
      <c r="F861" s="4" t="s">
        <v>25</v>
      </c>
      <c r="G861" s="4" t="s">
        <v>25</v>
      </c>
      <c r="H861" s="4" t="s">
        <v>25</v>
      </c>
      <c r="I861" s="5">
        <v>44440</v>
      </c>
      <c r="J861" s="6">
        <v>0</v>
      </c>
      <c r="K861" s="6">
        <v>0</v>
      </c>
      <c r="L861" s="6">
        <v>0.47599999999999998</v>
      </c>
      <c r="M861" s="6">
        <v>0.47599999999999998</v>
      </c>
      <c r="N861" s="6">
        <v>0.47599999999999998</v>
      </c>
      <c r="O861" s="6">
        <v>0.47599999999999998</v>
      </c>
      <c r="P861" s="6">
        <v>8</v>
      </c>
      <c r="Q861" s="4" t="s">
        <v>26</v>
      </c>
      <c r="R861" s="4">
        <v>0</v>
      </c>
      <c r="S861" s="6">
        <v>0</v>
      </c>
      <c r="T861" s="6">
        <v>36</v>
      </c>
      <c r="U861" s="6">
        <v>76</v>
      </c>
      <c r="V861" s="6">
        <f>IF(ISERROR(VLOOKUP($S$861,'TAR FIN'!$A$1:$O$100,15,0)),0,VLOOKUP($S$861,'TAR FIN'!$A$1:$O$100,15,0))</f>
        <v>0</v>
      </c>
      <c r="W861" s="6">
        <f>IF(ISERROR(VLOOKUP($T$861,'TAR FIN'!$A$1:$O$100,15,0)),0,VLOOKUP($T$861,'TAR FIN'!$A$1:$O$100,15,0))</f>
        <v>221.85</v>
      </c>
      <c r="X861" s="6">
        <f>IF(ISERROR(VLOOKUP($U$861,'TAR FIN'!$A$1:$O$100,15,0)),0,VLOOKUP($U$861,'TAR FIN'!$A$1:$O$100,15,0))</f>
        <v>208.2</v>
      </c>
      <c r="Y861" s="6"/>
      <c r="Z86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1" s="6">
        <f>('TE BE'!$AA$16+'TE BF'!$AA$16+'TE CVA'!$AA$16)*(1-CUSTOS!$M$36)</f>
        <v>225.71431007120114</v>
      </c>
      <c r="AB861" s="6">
        <f>$K$861*$V$861</f>
        <v>0</v>
      </c>
      <c r="AC861" s="6">
        <f>$M$861*$W$861</f>
        <v>105.60059999999999</v>
      </c>
      <c r="AD861" s="6">
        <f>$O$861*$X$861</f>
        <v>99.103199999999987</v>
      </c>
      <c r="AE861" s="6">
        <f>$K$861*$Y$861</f>
        <v>0</v>
      </c>
      <c r="AF861" s="6">
        <f ca="1">$M$861*$Z$861</f>
        <v>102.26503878861983</v>
      </c>
      <c r="AG861" s="6">
        <f>$O$861*$AA$861</f>
        <v>107.44001159389174</v>
      </c>
    </row>
    <row r="862" spans="1:33" ht="11.25" customHeight="1" x14ac:dyDescent="0.25">
      <c r="A862" s="4" t="s">
        <v>21</v>
      </c>
      <c r="B862" s="4" t="s">
        <v>22</v>
      </c>
      <c r="C862" s="4" t="s">
        <v>23</v>
      </c>
      <c r="D862" s="4" t="s">
        <v>24</v>
      </c>
      <c r="E862" s="4" t="s">
        <v>31</v>
      </c>
      <c r="F862" s="4" t="s">
        <v>25</v>
      </c>
      <c r="G862" s="4" t="s">
        <v>25</v>
      </c>
      <c r="H862" s="4" t="s">
        <v>25</v>
      </c>
      <c r="I862" s="5">
        <v>44470</v>
      </c>
      <c r="J862" s="6">
        <v>0</v>
      </c>
      <c r="K862" s="6">
        <v>0</v>
      </c>
      <c r="L862" s="6">
        <v>1069.4159999999999</v>
      </c>
      <c r="M862" s="6">
        <v>1069.4159999999999</v>
      </c>
      <c r="N862" s="6">
        <v>1069.4159999999999</v>
      </c>
      <c r="O862" s="6">
        <v>1069.4159999999999</v>
      </c>
      <c r="P862" s="6">
        <v>19709</v>
      </c>
      <c r="Q862" s="4" t="s">
        <v>26</v>
      </c>
      <c r="R862" s="4">
        <v>0</v>
      </c>
      <c r="S862" s="6">
        <v>0</v>
      </c>
      <c r="T862" s="6">
        <v>36</v>
      </c>
      <c r="U862" s="6">
        <v>76</v>
      </c>
      <c r="V862" s="6">
        <f>IF(ISERROR(VLOOKUP($S$862,'TAR FIN'!$A$1:$O$100,15,0)),0,VLOOKUP($S$862,'TAR FIN'!$A$1:$O$100,15,0))</f>
        <v>0</v>
      </c>
      <c r="W862" s="6">
        <f>IF(ISERROR(VLOOKUP($T$862,'TAR FIN'!$A$1:$O$100,15,0)),0,VLOOKUP($T$862,'TAR FIN'!$A$1:$O$100,15,0))</f>
        <v>221.85</v>
      </c>
      <c r="X862" s="6">
        <f>IF(ISERROR(VLOOKUP($U$862,'TAR FIN'!$A$1:$O$100,15,0)),0,VLOOKUP($U$862,'TAR FIN'!$A$1:$O$100,15,0))</f>
        <v>208.2</v>
      </c>
      <c r="Y862" s="6"/>
      <c r="Z86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2" s="6">
        <f>('TE BE'!$AA$16+'TE BF'!$AA$16+'TE CVA'!$AA$16)*(1-CUSTOS!$M$36)</f>
        <v>225.71431007120114</v>
      </c>
      <c r="AB862" s="6">
        <f>$K$862*$V$862</f>
        <v>0</v>
      </c>
      <c r="AC862" s="6">
        <f>$M$862*$W$862</f>
        <v>237249.93959999998</v>
      </c>
      <c r="AD862" s="6">
        <f>$O$862*$X$862</f>
        <v>222652.41119999997</v>
      </c>
      <c r="AE862" s="6">
        <f>$K$862*$Y$862</f>
        <v>0</v>
      </c>
      <c r="AF862" s="6">
        <f ca="1">$M$862*$Z$862</f>
        <v>229756.02672514846</v>
      </c>
      <c r="AG862" s="6">
        <f>$O$862*$AA$862</f>
        <v>241382.49461910361</v>
      </c>
    </row>
    <row r="863" spans="1:33" ht="11.25" customHeight="1" x14ac:dyDescent="0.25">
      <c r="A863" s="4" t="s">
        <v>28</v>
      </c>
      <c r="B863" s="4" t="s">
        <v>22</v>
      </c>
      <c r="C863" s="4" t="s">
        <v>23</v>
      </c>
      <c r="D863" s="4" t="s">
        <v>24</v>
      </c>
      <c r="E863" s="4" t="s">
        <v>31</v>
      </c>
      <c r="F863" s="4" t="s">
        <v>25</v>
      </c>
      <c r="G863" s="4" t="s">
        <v>25</v>
      </c>
      <c r="H863" s="4" t="s">
        <v>25</v>
      </c>
      <c r="I863" s="5">
        <v>44470</v>
      </c>
      <c r="J863" s="6">
        <v>0</v>
      </c>
      <c r="K863" s="6">
        <v>0</v>
      </c>
      <c r="L863" s="6">
        <v>0.67600000000000005</v>
      </c>
      <c r="M863" s="6">
        <v>0.67600000000000005</v>
      </c>
      <c r="N863" s="6">
        <v>0.67600000000000005</v>
      </c>
      <c r="O863" s="6">
        <v>0.67600000000000005</v>
      </c>
      <c r="P863" s="6">
        <v>14</v>
      </c>
      <c r="Q863" s="4" t="s">
        <v>26</v>
      </c>
      <c r="R863" s="4">
        <v>0</v>
      </c>
      <c r="S863" s="6">
        <v>0</v>
      </c>
      <c r="T863" s="6">
        <v>36</v>
      </c>
      <c r="U863" s="6">
        <v>76</v>
      </c>
      <c r="V863" s="6">
        <f>IF(ISERROR(VLOOKUP($S$863,'TAR FIN'!$A$1:$O$100,15,0)),0,VLOOKUP($S$863,'TAR FIN'!$A$1:$O$100,15,0))</f>
        <v>0</v>
      </c>
      <c r="W863" s="6">
        <f>IF(ISERROR(VLOOKUP($T$863,'TAR FIN'!$A$1:$O$100,15,0)),0,VLOOKUP($T$863,'TAR FIN'!$A$1:$O$100,15,0))</f>
        <v>221.85</v>
      </c>
      <c r="X863" s="6">
        <f>IF(ISERROR(VLOOKUP($U$863,'TAR FIN'!$A$1:$O$100,15,0)),0,VLOOKUP($U$863,'TAR FIN'!$A$1:$O$100,15,0))</f>
        <v>208.2</v>
      </c>
      <c r="Y863" s="6"/>
      <c r="Z86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3" s="6">
        <f>('TE BE'!$AA$16+'TE BF'!$AA$16+'TE CVA'!$AA$16)*(1-CUSTOS!$M$36)</f>
        <v>225.71431007120114</v>
      </c>
      <c r="AB863" s="6">
        <f>$K$863*$V$863</f>
        <v>0</v>
      </c>
      <c r="AC863" s="6">
        <f>$M$863*$W$863</f>
        <v>149.97060000000002</v>
      </c>
      <c r="AD863" s="6">
        <f>$O$863*$X$863</f>
        <v>140.7432</v>
      </c>
      <c r="AE863" s="6">
        <f>$K$863*$Y$863</f>
        <v>0</v>
      </c>
      <c r="AF863" s="6">
        <f ca="1">$M$863*$Z$863</f>
        <v>145.23354248131727</v>
      </c>
      <c r="AG863" s="6">
        <f>$O$863*$AA$863</f>
        <v>152.58287360813199</v>
      </c>
    </row>
    <row r="864" spans="1:33" ht="11.25" customHeight="1" x14ac:dyDescent="0.25">
      <c r="A864" s="4" t="s">
        <v>21</v>
      </c>
      <c r="B864" s="4" t="s">
        <v>22</v>
      </c>
      <c r="C864" s="4" t="s">
        <v>23</v>
      </c>
      <c r="D864" s="4" t="s">
        <v>24</v>
      </c>
      <c r="E864" s="4" t="s">
        <v>31</v>
      </c>
      <c r="F864" s="4" t="s">
        <v>25</v>
      </c>
      <c r="G864" s="4" t="s">
        <v>25</v>
      </c>
      <c r="H864" s="4" t="s">
        <v>25</v>
      </c>
      <c r="I864" s="5">
        <v>44501</v>
      </c>
      <c r="J864" s="6">
        <v>0</v>
      </c>
      <c r="K864" s="6">
        <v>0</v>
      </c>
      <c r="L864" s="6">
        <v>1095.4280000000001</v>
      </c>
      <c r="M864" s="6">
        <v>1095.4280000000001</v>
      </c>
      <c r="N864" s="6">
        <v>1095.4280000000001</v>
      </c>
      <c r="O864" s="6">
        <v>1095.4280000000001</v>
      </c>
      <c r="P864" s="6">
        <v>19840</v>
      </c>
      <c r="Q864" s="4" t="s">
        <v>26</v>
      </c>
      <c r="R864" s="4">
        <v>0</v>
      </c>
      <c r="S864" s="6">
        <v>0</v>
      </c>
      <c r="T864" s="6">
        <v>36</v>
      </c>
      <c r="U864" s="6">
        <v>76</v>
      </c>
      <c r="V864" s="6">
        <f>IF(ISERROR(VLOOKUP($S$864,'TAR FIN'!$A$1:$O$100,15,0)),0,VLOOKUP($S$864,'TAR FIN'!$A$1:$O$100,15,0))</f>
        <v>0</v>
      </c>
      <c r="W864" s="6">
        <f>IF(ISERROR(VLOOKUP($T$864,'TAR FIN'!$A$1:$O$100,15,0)),0,VLOOKUP($T$864,'TAR FIN'!$A$1:$O$100,15,0))</f>
        <v>221.85</v>
      </c>
      <c r="X864" s="6">
        <f>IF(ISERROR(VLOOKUP($U$864,'TAR FIN'!$A$1:$O$100,15,0)),0,VLOOKUP($U$864,'TAR FIN'!$A$1:$O$100,15,0))</f>
        <v>208.2</v>
      </c>
      <c r="Y864" s="6"/>
      <c r="Z86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4" s="6">
        <f>('TE BE'!$AA$16+'TE BF'!$AA$16+'TE CVA'!$AA$16)*(1-CUSTOS!$M$36)</f>
        <v>225.71431007120114</v>
      </c>
      <c r="AB864" s="6">
        <f>$K$864*$V$864</f>
        <v>0</v>
      </c>
      <c r="AC864" s="6">
        <f>$M$864*$W$864</f>
        <v>243020.70180000001</v>
      </c>
      <c r="AD864" s="6">
        <f>$O$864*$X$864</f>
        <v>228068.1096</v>
      </c>
      <c r="AE864" s="6">
        <f>$K$864*$Y$864</f>
        <v>0</v>
      </c>
      <c r="AF864" s="6">
        <f ca="1">$M$864*$Z$864</f>
        <v>235344.51031542075</v>
      </c>
      <c r="AG864" s="6">
        <f>$O$864*$AA$864</f>
        <v>247253.77525267575</v>
      </c>
    </row>
    <row r="865" spans="1:33" ht="11.25" customHeight="1" x14ac:dyDescent="0.25">
      <c r="A865" s="4" t="s">
        <v>27</v>
      </c>
      <c r="B865" s="4" t="s">
        <v>22</v>
      </c>
      <c r="C865" s="4" t="s">
        <v>23</v>
      </c>
      <c r="D865" s="4" t="s">
        <v>24</v>
      </c>
      <c r="E865" s="4" t="s">
        <v>31</v>
      </c>
      <c r="F865" s="4" t="s">
        <v>25</v>
      </c>
      <c r="G865" s="4" t="s">
        <v>25</v>
      </c>
      <c r="H865" s="4" t="s">
        <v>25</v>
      </c>
      <c r="I865" s="5">
        <v>44501</v>
      </c>
      <c r="J865" s="6">
        <v>0</v>
      </c>
      <c r="K865" s="6">
        <v>0</v>
      </c>
      <c r="L865" s="6">
        <v>-0.33200000000000002</v>
      </c>
      <c r="M865" s="6">
        <v>-0.33200000000000002</v>
      </c>
      <c r="N865" s="6">
        <v>-0.33200000000000002</v>
      </c>
      <c r="O865" s="6">
        <v>-0.33200000000000002</v>
      </c>
      <c r="P865" s="6">
        <v>-3</v>
      </c>
      <c r="Q865" s="4" t="s">
        <v>26</v>
      </c>
      <c r="R865" s="4">
        <v>0</v>
      </c>
      <c r="S865" s="6">
        <v>0</v>
      </c>
      <c r="T865" s="6">
        <v>36</v>
      </c>
      <c r="U865" s="6">
        <v>76</v>
      </c>
      <c r="V865" s="6">
        <f>IF(ISERROR(VLOOKUP($S$865,'TAR FIN'!$A$1:$O$100,15,0)),0,VLOOKUP($S$865,'TAR FIN'!$A$1:$O$100,15,0))</f>
        <v>0</v>
      </c>
      <c r="W865" s="6">
        <f>IF(ISERROR(VLOOKUP($T$865,'TAR FIN'!$A$1:$O$100,15,0)),0,VLOOKUP($T$865,'TAR FIN'!$A$1:$O$100,15,0))</f>
        <v>221.85</v>
      </c>
      <c r="X865" s="6">
        <f>IF(ISERROR(VLOOKUP($U$865,'TAR FIN'!$A$1:$O$100,15,0)),0,VLOOKUP($U$865,'TAR FIN'!$A$1:$O$100,15,0))</f>
        <v>208.2</v>
      </c>
      <c r="Y865" s="6"/>
      <c r="Z86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5" s="6">
        <f>('TE BE'!$AA$16+'TE BF'!$AA$16+'TE CVA'!$AA$16)*(1-CUSTOS!$M$36)</f>
        <v>225.71431007120114</v>
      </c>
      <c r="AB865" s="6">
        <f>$K$865*$V$865</f>
        <v>0</v>
      </c>
      <c r="AC865" s="6">
        <f>$M$865*$W$865</f>
        <v>-73.654200000000003</v>
      </c>
      <c r="AD865" s="6">
        <f>$O$865*$X$865</f>
        <v>-69.122399999999999</v>
      </c>
      <c r="AE865" s="6">
        <f>$K$865*$Y$865</f>
        <v>0</v>
      </c>
      <c r="AF865" s="6">
        <f ca="1">$M$865*$Z$865</f>
        <v>-71.327716129877714</v>
      </c>
      <c r="AG865" s="6">
        <f>$O$865*$AA$865</f>
        <v>-74.937150943638784</v>
      </c>
    </row>
    <row r="866" spans="1:33" ht="11.25" customHeight="1" x14ac:dyDescent="0.25">
      <c r="A866" s="4" t="s">
        <v>28</v>
      </c>
      <c r="B866" s="4" t="s">
        <v>22</v>
      </c>
      <c r="C866" s="4" t="s">
        <v>23</v>
      </c>
      <c r="D866" s="4" t="s">
        <v>24</v>
      </c>
      <c r="E866" s="4" t="s">
        <v>31</v>
      </c>
      <c r="F866" s="4" t="s">
        <v>25</v>
      </c>
      <c r="G866" s="4" t="s">
        <v>25</v>
      </c>
      <c r="H866" s="4" t="s">
        <v>25</v>
      </c>
      <c r="I866" s="5">
        <v>44501</v>
      </c>
      <c r="J866" s="6">
        <v>0</v>
      </c>
      <c r="K866" s="6">
        <v>0</v>
      </c>
      <c r="L866" s="6">
        <v>1.2170000000000001</v>
      </c>
      <c r="M866" s="6">
        <v>1.2170000000000001</v>
      </c>
      <c r="N866" s="6">
        <v>1.2170000000000001</v>
      </c>
      <c r="O866" s="6">
        <v>1.2170000000000001</v>
      </c>
      <c r="P866" s="6">
        <v>14</v>
      </c>
      <c r="Q866" s="4" t="s">
        <v>26</v>
      </c>
      <c r="R866" s="4">
        <v>0</v>
      </c>
      <c r="S866" s="6">
        <v>0</v>
      </c>
      <c r="T866" s="6">
        <v>36</v>
      </c>
      <c r="U866" s="6">
        <v>76</v>
      </c>
      <c r="V866" s="6">
        <f>IF(ISERROR(VLOOKUP($S$866,'TAR FIN'!$A$1:$O$100,15,0)),0,VLOOKUP($S$866,'TAR FIN'!$A$1:$O$100,15,0))</f>
        <v>0</v>
      </c>
      <c r="W866" s="6">
        <f>IF(ISERROR(VLOOKUP($T$866,'TAR FIN'!$A$1:$O$100,15,0)),0,VLOOKUP($T$866,'TAR FIN'!$A$1:$O$100,15,0))</f>
        <v>221.85</v>
      </c>
      <c r="X866" s="6">
        <f>IF(ISERROR(VLOOKUP($U$866,'TAR FIN'!$A$1:$O$100,15,0)),0,VLOOKUP($U$866,'TAR FIN'!$A$1:$O$100,15,0))</f>
        <v>208.2</v>
      </c>
      <c r="Y866" s="6"/>
      <c r="Z866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6" s="6">
        <f>('TE BE'!$AA$16+'TE BF'!$AA$16+'TE CVA'!$AA$16)*(1-CUSTOS!$M$36)</f>
        <v>225.71431007120114</v>
      </c>
      <c r="AB866" s="6">
        <f>$K$866*$V$866</f>
        <v>0</v>
      </c>
      <c r="AC866" s="6">
        <f>$M$866*$W$866</f>
        <v>269.99144999999999</v>
      </c>
      <c r="AD866" s="6">
        <f>$O$866*$X$866</f>
        <v>253.3794</v>
      </c>
      <c r="AE866" s="6">
        <f>$K$866*$Y$866</f>
        <v>0</v>
      </c>
      <c r="AF866" s="6">
        <f ca="1">$M$866*$Z$866</f>
        <v>261.46334497006376</v>
      </c>
      <c r="AG866" s="6">
        <f>$O$866*$AA$866</f>
        <v>274.69431535665183</v>
      </c>
    </row>
    <row r="867" spans="1:33" ht="11.25" customHeight="1" x14ac:dyDescent="0.25">
      <c r="A867" s="4" t="s">
        <v>21</v>
      </c>
      <c r="B867" s="4" t="s">
        <v>22</v>
      </c>
      <c r="C867" s="4" t="s">
        <v>23</v>
      </c>
      <c r="D867" s="4" t="s">
        <v>24</v>
      </c>
      <c r="E867" s="4" t="s">
        <v>31</v>
      </c>
      <c r="F867" s="4" t="s">
        <v>25</v>
      </c>
      <c r="G867" s="4" t="s">
        <v>25</v>
      </c>
      <c r="H867" s="4" t="s">
        <v>25</v>
      </c>
      <c r="I867" s="5">
        <v>44531</v>
      </c>
      <c r="J867" s="6">
        <v>0</v>
      </c>
      <c r="K867" s="6">
        <v>0</v>
      </c>
      <c r="L867" s="6">
        <v>1199.095</v>
      </c>
      <c r="M867" s="6">
        <v>1199.095</v>
      </c>
      <c r="N867" s="6">
        <v>1199.095</v>
      </c>
      <c r="O867" s="6">
        <v>1199.095</v>
      </c>
      <c r="P867" s="6">
        <v>20824</v>
      </c>
      <c r="Q867" s="4" t="s">
        <v>26</v>
      </c>
      <c r="R867" s="4">
        <v>0</v>
      </c>
      <c r="S867" s="6">
        <v>0</v>
      </c>
      <c r="T867" s="6">
        <v>36</v>
      </c>
      <c r="U867" s="6">
        <v>76</v>
      </c>
      <c r="V867" s="6">
        <f>IF(ISERROR(VLOOKUP($S$867,'TAR FIN'!$A$1:$O$100,15,0)),0,VLOOKUP($S$867,'TAR FIN'!$A$1:$O$100,15,0))</f>
        <v>0</v>
      </c>
      <c r="W867" s="6">
        <f>IF(ISERROR(VLOOKUP($T$867,'TAR FIN'!$A$1:$O$100,15,0)),0,VLOOKUP($T$867,'TAR FIN'!$A$1:$O$100,15,0))</f>
        <v>221.85</v>
      </c>
      <c r="X867" s="6">
        <f>IF(ISERROR(VLOOKUP($U$867,'TAR FIN'!$A$1:$O$100,15,0)),0,VLOOKUP($U$867,'TAR FIN'!$A$1:$O$100,15,0))</f>
        <v>208.2</v>
      </c>
      <c r="Y867" s="6"/>
      <c r="Z867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7" s="6">
        <f>('TE BE'!$AA$16+'TE BF'!$AA$16+'TE CVA'!$AA$16)*(1-CUSTOS!$M$36)</f>
        <v>225.71431007120114</v>
      </c>
      <c r="AB867" s="6">
        <f>$K$867*$V$867</f>
        <v>0</v>
      </c>
      <c r="AC867" s="6">
        <f>$M$867*$W$867</f>
        <v>266019.22574999998</v>
      </c>
      <c r="AD867" s="6">
        <f>$O$867*$X$867</f>
        <v>249651.579</v>
      </c>
      <c r="AE867" s="6">
        <f>$K$867*$Y$867</f>
        <v>0</v>
      </c>
      <c r="AF867" s="6">
        <f ca="1">$M$867*$Z$867</f>
        <v>257616.58967697504</v>
      </c>
      <c r="AG867" s="6">
        <f>$O$867*$AA$867</f>
        <v>270652.90063482692</v>
      </c>
    </row>
    <row r="868" spans="1:33" ht="11.25" customHeight="1" x14ac:dyDescent="0.25">
      <c r="A868" s="4" t="s">
        <v>27</v>
      </c>
      <c r="B868" s="4" t="s">
        <v>22</v>
      </c>
      <c r="C868" s="4" t="s">
        <v>23</v>
      </c>
      <c r="D868" s="4" t="s">
        <v>24</v>
      </c>
      <c r="E868" s="4" t="s">
        <v>31</v>
      </c>
      <c r="F868" s="4" t="s">
        <v>25</v>
      </c>
      <c r="G868" s="4" t="s">
        <v>25</v>
      </c>
      <c r="H868" s="4" t="s">
        <v>25</v>
      </c>
      <c r="I868" s="5">
        <v>44531</v>
      </c>
      <c r="J868" s="6">
        <v>0</v>
      </c>
      <c r="K868" s="6">
        <v>0</v>
      </c>
      <c r="L868" s="6">
        <v>-0.155</v>
      </c>
      <c r="M868" s="6">
        <v>-0.155</v>
      </c>
      <c r="N868" s="6">
        <v>-0.155</v>
      </c>
      <c r="O868" s="6">
        <v>-0.155</v>
      </c>
      <c r="P868" s="6">
        <v>-1</v>
      </c>
      <c r="Q868" s="4" t="s">
        <v>26</v>
      </c>
      <c r="R868" s="4">
        <v>0</v>
      </c>
      <c r="S868" s="6">
        <v>0</v>
      </c>
      <c r="T868" s="6">
        <v>36</v>
      </c>
      <c r="U868" s="6">
        <v>76</v>
      </c>
      <c r="V868" s="6">
        <f>IF(ISERROR(VLOOKUP($S$868,'TAR FIN'!$A$1:$O$100,15,0)),0,VLOOKUP($S$868,'TAR FIN'!$A$1:$O$100,15,0))</f>
        <v>0</v>
      </c>
      <c r="W868" s="6">
        <f>IF(ISERROR(VLOOKUP($T$868,'TAR FIN'!$A$1:$O$100,15,0)),0,VLOOKUP($T$868,'TAR FIN'!$A$1:$O$100,15,0))</f>
        <v>221.85</v>
      </c>
      <c r="X868" s="6">
        <f>IF(ISERROR(VLOOKUP($U$868,'TAR FIN'!$A$1:$O$100,15,0)),0,VLOOKUP($U$868,'TAR FIN'!$A$1:$O$100,15,0))</f>
        <v>208.2</v>
      </c>
      <c r="Y868" s="6"/>
      <c r="Z86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8" s="6">
        <f>('TE BE'!$AA$16+'TE BF'!$AA$16+'TE CVA'!$AA$16)*(1-CUSTOS!$M$36)</f>
        <v>225.71431007120114</v>
      </c>
      <c r="AB868" s="6">
        <f>$K$868*$V$868</f>
        <v>0</v>
      </c>
      <c r="AC868" s="6">
        <f>$M$868*$W$868</f>
        <v>-34.386749999999999</v>
      </c>
      <c r="AD868" s="6">
        <f>$O$868*$X$868</f>
        <v>-32.271000000000001</v>
      </c>
      <c r="AE868" s="6">
        <f>$K$868*$Y$868</f>
        <v>0</v>
      </c>
      <c r="AF868" s="6">
        <f ca="1">$M$868*$Z$868</f>
        <v>-33.300590361840499</v>
      </c>
      <c r="AG868" s="6">
        <f>$O$868*$AA$868</f>
        <v>-34.985718061036174</v>
      </c>
    </row>
    <row r="869" spans="1:33" ht="11.25" customHeight="1" x14ac:dyDescent="0.25">
      <c r="A869" s="4" t="s">
        <v>28</v>
      </c>
      <c r="B869" s="4" t="s">
        <v>22</v>
      </c>
      <c r="C869" s="4" t="s">
        <v>23</v>
      </c>
      <c r="D869" s="4" t="s">
        <v>24</v>
      </c>
      <c r="E869" s="4" t="s">
        <v>31</v>
      </c>
      <c r="F869" s="4" t="s">
        <v>25</v>
      </c>
      <c r="G869" s="4" t="s">
        <v>25</v>
      </c>
      <c r="H869" s="4" t="s">
        <v>25</v>
      </c>
      <c r="I869" s="5">
        <v>44531</v>
      </c>
      <c r="J869" s="6">
        <v>0</v>
      </c>
      <c r="K869" s="6">
        <v>0</v>
      </c>
      <c r="L869" s="6">
        <v>1.5429999999999999</v>
      </c>
      <c r="M869" s="6">
        <v>1.5429999999999999</v>
      </c>
      <c r="N869" s="6">
        <v>1.5429999999999999</v>
      </c>
      <c r="O869" s="6">
        <v>1.5429999999999999</v>
      </c>
      <c r="P869" s="6">
        <v>16</v>
      </c>
      <c r="Q869" s="4" t="s">
        <v>26</v>
      </c>
      <c r="R869" s="4">
        <v>0</v>
      </c>
      <c r="S869" s="6">
        <v>0</v>
      </c>
      <c r="T869" s="6">
        <v>36</v>
      </c>
      <c r="U869" s="6">
        <v>76</v>
      </c>
      <c r="V869" s="6">
        <f>IF(ISERROR(VLOOKUP($S$869,'TAR FIN'!$A$1:$O$100,15,0)),0,VLOOKUP($S$869,'TAR FIN'!$A$1:$O$100,15,0))</f>
        <v>0</v>
      </c>
      <c r="W869" s="6">
        <f>IF(ISERROR(VLOOKUP($T$869,'TAR FIN'!$A$1:$O$100,15,0)),0,VLOOKUP($T$869,'TAR FIN'!$A$1:$O$100,15,0))</f>
        <v>221.85</v>
      </c>
      <c r="X869" s="6">
        <f>IF(ISERROR(VLOOKUP($U$869,'TAR FIN'!$A$1:$O$100,15,0)),0,VLOOKUP($U$869,'TAR FIN'!$A$1:$O$100,15,0))</f>
        <v>208.2</v>
      </c>
      <c r="Y869" s="6"/>
      <c r="Z86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69" s="6">
        <f>('TE BE'!$AA$16+'TE BF'!$AA$16+'TE CVA'!$AA$16)*(1-CUSTOS!$M$36)</f>
        <v>225.71431007120114</v>
      </c>
      <c r="AB869" s="6">
        <f>$K$869*$V$869</f>
        <v>0</v>
      </c>
      <c r="AC869" s="6">
        <f>$M$869*$W$869</f>
        <v>342.31455</v>
      </c>
      <c r="AD869" s="6">
        <f>$O$869*$X$869</f>
        <v>321.25259999999997</v>
      </c>
      <c r="AE869" s="6">
        <f>$K$869*$Y$869</f>
        <v>0</v>
      </c>
      <c r="AF869" s="6">
        <f ca="1">$M$869*$Z$869</f>
        <v>331.50200598916052</v>
      </c>
      <c r="AG869" s="6">
        <f>$O$869*$AA$869</f>
        <v>348.27718043986334</v>
      </c>
    </row>
    <row r="870" spans="1:33" ht="11.25" customHeight="1" x14ac:dyDescent="0.25">
      <c r="A870" s="4" t="s">
        <v>55</v>
      </c>
      <c r="B870" s="4" t="s">
        <v>22</v>
      </c>
      <c r="C870" s="4" t="s">
        <v>23</v>
      </c>
      <c r="D870" s="4" t="s">
        <v>24</v>
      </c>
      <c r="E870" s="4" t="s">
        <v>31</v>
      </c>
      <c r="F870" s="4" t="s">
        <v>25</v>
      </c>
      <c r="G870" s="4" t="s">
        <v>25</v>
      </c>
      <c r="H870" s="4" t="s">
        <v>25</v>
      </c>
      <c r="I870" s="5">
        <v>44562</v>
      </c>
      <c r="J870" s="6">
        <v>0</v>
      </c>
      <c r="K870" s="6">
        <v>0</v>
      </c>
      <c r="L870" s="6">
        <v>1199.095</v>
      </c>
      <c r="M870" s="6">
        <v>1199.095</v>
      </c>
      <c r="N870" s="6">
        <v>1199.095</v>
      </c>
      <c r="O870" s="6">
        <v>1199.095</v>
      </c>
      <c r="P870" s="6">
        <v>20824</v>
      </c>
      <c r="Q870" s="4" t="s">
        <v>26</v>
      </c>
      <c r="R870" s="4">
        <v>0</v>
      </c>
      <c r="S870" s="6">
        <v>0</v>
      </c>
      <c r="T870" s="6">
        <v>36</v>
      </c>
      <c r="U870" s="6">
        <v>76</v>
      </c>
      <c r="V870" s="6">
        <f>IF(ISERROR(VLOOKUP($S$870,'TAR FIN'!$A$1:$O$100,15,0)),0,VLOOKUP($S$870,'TAR FIN'!$A$1:$O$100,15,0))</f>
        <v>0</v>
      </c>
      <c r="W870" s="6">
        <f>IF(ISERROR(VLOOKUP($T$870,'TAR FIN'!$A$1:$O$100,15,0)),0,VLOOKUP($T$870,'TAR FIN'!$A$1:$O$100,15,0))</f>
        <v>221.85</v>
      </c>
      <c r="X870" s="6">
        <f>IF(ISERROR(VLOOKUP($U$870,'TAR FIN'!$A$1:$O$100,15,0)),0,VLOOKUP($U$870,'TAR FIN'!$A$1:$O$100,15,0))</f>
        <v>208.2</v>
      </c>
      <c r="Y870" s="6"/>
      <c r="Z87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70" s="6">
        <f>('TE BE'!$AA$16+'TE BF'!$AA$16+'TE CVA'!$AA$16)*(1-CUSTOS!$M$36)</f>
        <v>225.71431007120114</v>
      </c>
      <c r="AB870" s="6">
        <f>$K$870*$V$870</f>
        <v>0</v>
      </c>
      <c r="AC870" s="6">
        <f>$M$870*$W$870</f>
        <v>266019.22574999998</v>
      </c>
      <c r="AD870" s="6">
        <f>$O$870*$X$870</f>
        <v>249651.579</v>
      </c>
      <c r="AE870" s="6">
        <f>$K$870*$Y$870</f>
        <v>0</v>
      </c>
      <c r="AF870" s="6">
        <f ca="1">$M$870*$Z$870</f>
        <v>257616.58967697504</v>
      </c>
      <c r="AG870" s="6">
        <f>$O$870*$AA$870</f>
        <v>270652.90063482692</v>
      </c>
    </row>
    <row r="871" spans="1:33" ht="11.25" customHeight="1" x14ac:dyDescent="0.25">
      <c r="A871" s="4" t="s">
        <v>55</v>
      </c>
      <c r="B871" s="4" t="s">
        <v>22</v>
      </c>
      <c r="C871" s="4" t="s">
        <v>23</v>
      </c>
      <c r="D871" s="4" t="s">
        <v>24</v>
      </c>
      <c r="E871" s="4" t="s">
        <v>31</v>
      </c>
      <c r="F871" s="4" t="s">
        <v>25</v>
      </c>
      <c r="G871" s="4" t="s">
        <v>25</v>
      </c>
      <c r="H871" s="4" t="s">
        <v>25</v>
      </c>
      <c r="I871" s="5">
        <v>44562</v>
      </c>
      <c r="J871" s="6">
        <v>0</v>
      </c>
      <c r="K871" s="6">
        <v>0</v>
      </c>
      <c r="L871" s="6">
        <v>-0.155</v>
      </c>
      <c r="M871" s="6">
        <v>-0.155</v>
      </c>
      <c r="N871" s="6">
        <v>-0.155</v>
      </c>
      <c r="O871" s="6">
        <v>-0.155</v>
      </c>
      <c r="P871" s="6">
        <v>-1</v>
      </c>
      <c r="Q871" s="4" t="s">
        <v>26</v>
      </c>
      <c r="R871" s="4">
        <v>0</v>
      </c>
      <c r="S871" s="6">
        <v>0</v>
      </c>
      <c r="T871" s="6">
        <v>36</v>
      </c>
      <c r="U871" s="6">
        <v>76</v>
      </c>
      <c r="V871" s="6">
        <f>IF(ISERROR(VLOOKUP($S$871,'TAR FIN'!$A$1:$O$100,15,0)),0,VLOOKUP($S$871,'TAR FIN'!$A$1:$O$100,15,0))</f>
        <v>0</v>
      </c>
      <c r="W871" s="6">
        <f>IF(ISERROR(VLOOKUP($T$871,'TAR FIN'!$A$1:$O$100,15,0)),0,VLOOKUP($T$871,'TAR FIN'!$A$1:$O$100,15,0))</f>
        <v>221.85</v>
      </c>
      <c r="X871" s="6">
        <f>IF(ISERROR(VLOOKUP($U$871,'TAR FIN'!$A$1:$O$100,15,0)),0,VLOOKUP($U$871,'TAR FIN'!$A$1:$O$100,15,0))</f>
        <v>208.2</v>
      </c>
      <c r="Y871" s="6"/>
      <c r="Z87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71" s="6">
        <f>('TE BE'!$AA$16+'TE BF'!$AA$16+'TE CVA'!$AA$16)*(1-CUSTOS!$M$36)</f>
        <v>225.71431007120114</v>
      </c>
      <c r="AB871" s="6">
        <f>$K$871*$V$871</f>
        <v>0</v>
      </c>
      <c r="AC871" s="6">
        <f>$M$871*$W$871</f>
        <v>-34.386749999999999</v>
      </c>
      <c r="AD871" s="6">
        <f>$O$871*$X$871</f>
        <v>-32.271000000000001</v>
      </c>
      <c r="AE871" s="6">
        <f>$K$871*$Y$871</f>
        <v>0</v>
      </c>
      <c r="AF871" s="6">
        <f ca="1">$M$871*$Z$871</f>
        <v>-33.300590361840499</v>
      </c>
      <c r="AG871" s="6">
        <f>$O$871*$AA$871</f>
        <v>-34.985718061036174</v>
      </c>
    </row>
    <row r="872" spans="1:33" ht="11.25" customHeight="1" x14ac:dyDescent="0.25">
      <c r="A872" s="4" t="s">
        <v>55</v>
      </c>
      <c r="B872" s="4" t="s">
        <v>22</v>
      </c>
      <c r="C872" s="4" t="s">
        <v>23</v>
      </c>
      <c r="D872" s="4" t="s">
        <v>24</v>
      </c>
      <c r="E872" s="4" t="s">
        <v>31</v>
      </c>
      <c r="F872" s="4" t="s">
        <v>25</v>
      </c>
      <c r="G872" s="4" t="s">
        <v>25</v>
      </c>
      <c r="H872" s="4" t="s">
        <v>25</v>
      </c>
      <c r="I872" s="5">
        <v>44562</v>
      </c>
      <c r="J872" s="6">
        <v>0</v>
      </c>
      <c r="K872" s="6">
        <v>0</v>
      </c>
      <c r="L872" s="6">
        <v>1.5429999999999999</v>
      </c>
      <c r="M872" s="6">
        <v>1.5429999999999999</v>
      </c>
      <c r="N872" s="6">
        <v>1.5429999999999999</v>
      </c>
      <c r="O872" s="6">
        <v>1.5429999999999999</v>
      </c>
      <c r="P872" s="6">
        <v>16</v>
      </c>
      <c r="Q872" s="4" t="s">
        <v>26</v>
      </c>
      <c r="R872" s="4">
        <v>0</v>
      </c>
      <c r="S872" s="6">
        <v>0</v>
      </c>
      <c r="T872" s="6">
        <v>36</v>
      </c>
      <c r="U872" s="6">
        <v>76</v>
      </c>
      <c r="V872" s="6">
        <f>IF(ISERROR(VLOOKUP($S$872,'TAR FIN'!$A$1:$O$100,15,0)),0,VLOOKUP($S$872,'TAR FIN'!$A$1:$O$100,15,0))</f>
        <v>0</v>
      </c>
      <c r="W872" s="6">
        <f>IF(ISERROR(VLOOKUP($T$872,'TAR FIN'!$A$1:$O$100,15,0)),0,VLOOKUP($T$872,'TAR FIN'!$A$1:$O$100,15,0))</f>
        <v>221.85</v>
      </c>
      <c r="X872" s="6">
        <f>IF(ISERROR(VLOOKUP($U$872,'TAR FIN'!$A$1:$O$100,15,0)),0,VLOOKUP($U$872,'TAR FIN'!$A$1:$O$100,15,0))</f>
        <v>208.2</v>
      </c>
      <c r="Y872" s="6"/>
      <c r="Z87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872" s="6">
        <f>('TE BE'!$AA$16+'TE BF'!$AA$16+'TE CVA'!$AA$16)*(1-CUSTOS!$M$36)</f>
        <v>225.71431007120114</v>
      </c>
      <c r="AB872" s="6">
        <f>$K$872*$V$872</f>
        <v>0</v>
      </c>
      <c r="AC872" s="6">
        <f>$M$872*$W$872</f>
        <v>342.31455</v>
      </c>
      <c r="AD872" s="6">
        <f>$O$872*$X$872</f>
        <v>321.25259999999997</v>
      </c>
      <c r="AE872" s="6">
        <f>$K$872*$Y$872</f>
        <v>0</v>
      </c>
      <c r="AF872" s="6">
        <f ca="1">$M$872*$Z$872</f>
        <v>331.50200598916052</v>
      </c>
      <c r="AG872" s="6">
        <f>$O$872*$AA$872</f>
        <v>348.27718043986334</v>
      </c>
    </row>
    <row r="873" spans="1:33" ht="11.25" customHeight="1" x14ac:dyDescent="0.25">
      <c r="A873" s="4" t="s">
        <v>21</v>
      </c>
      <c r="B873" s="4" t="s">
        <v>22</v>
      </c>
      <c r="C873" s="4" t="s">
        <v>23</v>
      </c>
      <c r="D873" s="4" t="s">
        <v>24</v>
      </c>
      <c r="E873" s="4" t="s">
        <v>32</v>
      </c>
      <c r="F873" s="4" t="s">
        <v>25</v>
      </c>
      <c r="G873" s="4" t="s">
        <v>25</v>
      </c>
      <c r="H873" s="4" t="s">
        <v>25</v>
      </c>
      <c r="I873" s="5">
        <v>44228</v>
      </c>
      <c r="J873" s="6">
        <v>0</v>
      </c>
      <c r="K873" s="6">
        <v>0</v>
      </c>
      <c r="L873" s="6">
        <v>229.078</v>
      </c>
      <c r="M873" s="6">
        <v>229.078</v>
      </c>
      <c r="N873" s="6">
        <v>229.078</v>
      </c>
      <c r="O873" s="6">
        <v>229.078</v>
      </c>
      <c r="P873" s="6">
        <v>2614</v>
      </c>
      <c r="Q873" s="4" t="s">
        <v>26</v>
      </c>
      <c r="R873" s="4">
        <v>0</v>
      </c>
      <c r="S873" s="6">
        <v>0</v>
      </c>
      <c r="T873" s="6">
        <v>37</v>
      </c>
      <c r="U873" s="6">
        <v>77</v>
      </c>
      <c r="V873" s="6">
        <f>IF(ISERROR(VLOOKUP($S$873,'TAR FIN'!$A$1:$O$100,15,0)),0,VLOOKUP($S$873,'TAR FIN'!$A$1:$O$100,15,0))</f>
        <v>0</v>
      </c>
      <c r="W873" s="6">
        <f>IF(ISERROR(VLOOKUP($T$873,'TAR FIN'!$A$1:$O$100,15,0)),0,VLOOKUP($T$873,'TAR FIN'!$A$1:$O$100,15,0))</f>
        <v>246.5</v>
      </c>
      <c r="X873" s="6">
        <f>IF(ISERROR(VLOOKUP($U$873,'TAR FIN'!$A$1:$O$100,15,0)),0,VLOOKUP($U$873,'TAR FIN'!$A$1:$O$100,15,0))</f>
        <v>231.33</v>
      </c>
      <c r="Y873" s="6"/>
      <c r="Z87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3" s="6">
        <f>('TE BE'!$AA$17+'TE BF'!$AA$17+'TE CVA'!$AA$17)*(1-CUSTOS!$M$37)</f>
        <v>250.79367785689016</v>
      </c>
      <c r="AB873" s="6">
        <f>$K$873*$V$873</f>
        <v>0</v>
      </c>
      <c r="AC873" s="6">
        <f>$M$873*$W$873</f>
        <v>56467.726999999999</v>
      </c>
      <c r="AD873" s="6">
        <f>$O$873*$X$873</f>
        <v>52992.613740000001</v>
      </c>
      <c r="AE873" s="6">
        <f>$K$873*$Y$873</f>
        <v>0</v>
      </c>
      <c r="AF873" s="6">
        <f ca="1">$M$873*$Z$873</f>
        <v>54684.104938420765</v>
      </c>
      <c r="AG873" s="6">
        <f>$O$873*$AA$873</f>
        <v>57451.314136100686</v>
      </c>
    </row>
    <row r="874" spans="1:33" ht="11.25" customHeight="1" x14ac:dyDescent="0.25">
      <c r="A874" s="4" t="s">
        <v>28</v>
      </c>
      <c r="B874" s="4" t="s">
        <v>22</v>
      </c>
      <c r="C874" s="4" t="s">
        <v>23</v>
      </c>
      <c r="D874" s="4" t="s">
        <v>24</v>
      </c>
      <c r="E874" s="4" t="s">
        <v>32</v>
      </c>
      <c r="F874" s="4" t="s">
        <v>25</v>
      </c>
      <c r="G874" s="4" t="s">
        <v>25</v>
      </c>
      <c r="H874" s="4" t="s">
        <v>25</v>
      </c>
      <c r="I874" s="5">
        <v>44228</v>
      </c>
      <c r="J874" s="6">
        <v>0</v>
      </c>
      <c r="K874" s="6">
        <v>0</v>
      </c>
      <c r="L874" s="6">
        <v>1.423</v>
      </c>
      <c r="M874" s="6">
        <v>1.423</v>
      </c>
      <c r="N874" s="6">
        <v>1.423</v>
      </c>
      <c r="O874" s="6">
        <v>1.423</v>
      </c>
      <c r="P874" s="6">
        <v>6</v>
      </c>
      <c r="Q874" s="4" t="s">
        <v>26</v>
      </c>
      <c r="R874" s="4">
        <v>0</v>
      </c>
      <c r="S874" s="6">
        <v>0</v>
      </c>
      <c r="T874" s="6">
        <v>37</v>
      </c>
      <c r="U874" s="6">
        <v>77</v>
      </c>
      <c r="V874" s="6">
        <f>IF(ISERROR(VLOOKUP($S$874,'TAR FIN'!$A$1:$O$100,15,0)),0,VLOOKUP($S$874,'TAR FIN'!$A$1:$O$100,15,0))</f>
        <v>0</v>
      </c>
      <c r="W874" s="6">
        <f>IF(ISERROR(VLOOKUP($T$874,'TAR FIN'!$A$1:$O$100,15,0)),0,VLOOKUP($T$874,'TAR FIN'!$A$1:$O$100,15,0))</f>
        <v>246.5</v>
      </c>
      <c r="X874" s="6">
        <f>IF(ISERROR(VLOOKUP($U$874,'TAR FIN'!$A$1:$O$100,15,0)),0,VLOOKUP($U$874,'TAR FIN'!$A$1:$O$100,15,0))</f>
        <v>231.33</v>
      </c>
      <c r="Y874" s="6"/>
      <c r="Z87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4" s="6">
        <f>('TE BE'!$AA$17+'TE BF'!$AA$17+'TE CVA'!$AA$17)*(1-CUSTOS!$M$37)</f>
        <v>250.79367785689016</v>
      </c>
      <c r="AB874" s="6">
        <f>$K$874*$V$874</f>
        <v>0</v>
      </c>
      <c r="AC874" s="6">
        <f>$M$874*$W$874</f>
        <v>350.76949999999999</v>
      </c>
      <c r="AD874" s="6">
        <f>$O$874*$X$874</f>
        <v>329.18259</v>
      </c>
      <c r="AE874" s="6">
        <f>$K$874*$Y$874</f>
        <v>0</v>
      </c>
      <c r="AF874" s="6">
        <f ca="1">$M$874*$Z$874</f>
        <v>339.68989308171342</v>
      </c>
      <c r="AG874" s="6">
        <f>$O$874*$AA$874</f>
        <v>356.87940359035468</v>
      </c>
    </row>
    <row r="875" spans="1:33" ht="11.25" customHeight="1" x14ac:dyDescent="0.25">
      <c r="A875" s="4" t="s">
        <v>21</v>
      </c>
      <c r="B875" s="4" t="s">
        <v>22</v>
      </c>
      <c r="C875" s="4" t="s">
        <v>23</v>
      </c>
      <c r="D875" s="4" t="s">
        <v>24</v>
      </c>
      <c r="E875" s="4" t="s">
        <v>32</v>
      </c>
      <c r="F875" s="4" t="s">
        <v>25</v>
      </c>
      <c r="G875" s="4" t="s">
        <v>25</v>
      </c>
      <c r="H875" s="4" t="s">
        <v>25</v>
      </c>
      <c r="I875" s="5">
        <v>44256</v>
      </c>
      <c r="J875" s="6">
        <v>0</v>
      </c>
      <c r="K875" s="6">
        <v>0</v>
      </c>
      <c r="L875" s="6">
        <v>288.39699999999999</v>
      </c>
      <c r="M875" s="6">
        <v>288.39699999999999</v>
      </c>
      <c r="N875" s="6">
        <v>288.39699999999999</v>
      </c>
      <c r="O875" s="6">
        <v>288.39699999999999</v>
      </c>
      <c r="P875" s="6">
        <v>3227</v>
      </c>
      <c r="Q875" s="4" t="s">
        <v>26</v>
      </c>
      <c r="R875" s="4">
        <v>0</v>
      </c>
      <c r="S875" s="6">
        <v>0</v>
      </c>
      <c r="T875" s="6">
        <v>37</v>
      </c>
      <c r="U875" s="6">
        <v>77</v>
      </c>
      <c r="V875" s="6">
        <f>IF(ISERROR(VLOOKUP($S$875,'TAR FIN'!$A$1:$O$100,15,0)),0,VLOOKUP($S$875,'TAR FIN'!$A$1:$O$100,15,0))</f>
        <v>0</v>
      </c>
      <c r="W875" s="6">
        <f>IF(ISERROR(VLOOKUP($T$875,'TAR FIN'!$A$1:$O$100,15,0)),0,VLOOKUP($T$875,'TAR FIN'!$A$1:$O$100,15,0))</f>
        <v>246.5</v>
      </c>
      <c r="X875" s="6">
        <f>IF(ISERROR(VLOOKUP($U$875,'TAR FIN'!$A$1:$O$100,15,0)),0,VLOOKUP($U$875,'TAR FIN'!$A$1:$O$100,15,0))</f>
        <v>231.33</v>
      </c>
      <c r="Y875" s="6"/>
      <c r="Z87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5" s="6">
        <f>('TE BE'!$AA$17+'TE BF'!$AA$17+'TE CVA'!$AA$17)*(1-CUSTOS!$M$37)</f>
        <v>250.79367785689016</v>
      </c>
      <c r="AB875" s="6">
        <f>$K$875*$V$875</f>
        <v>0</v>
      </c>
      <c r="AC875" s="6">
        <f>$M$875*$W$875</f>
        <v>71089.860499999995</v>
      </c>
      <c r="AD875" s="6">
        <f>$O$875*$X$875</f>
        <v>66714.87801</v>
      </c>
      <c r="AE875" s="6">
        <f>$K$875*$Y$875</f>
        <v>0</v>
      </c>
      <c r="AF875" s="6">
        <f ca="1">$M$875*$Z$875</f>
        <v>68844.375330349198</v>
      </c>
      <c r="AG875" s="6">
        <f>$O$875*$AA$875</f>
        <v>72328.14431289355</v>
      </c>
    </row>
    <row r="876" spans="1:33" ht="11.25" customHeight="1" x14ac:dyDescent="0.25">
      <c r="A876" s="4" t="s">
        <v>27</v>
      </c>
      <c r="B876" s="4" t="s">
        <v>22</v>
      </c>
      <c r="C876" s="4" t="s">
        <v>23</v>
      </c>
      <c r="D876" s="4" t="s">
        <v>24</v>
      </c>
      <c r="E876" s="4" t="s">
        <v>32</v>
      </c>
      <c r="F876" s="4" t="s">
        <v>25</v>
      </c>
      <c r="G876" s="4" t="s">
        <v>25</v>
      </c>
      <c r="H876" s="4" t="s">
        <v>25</v>
      </c>
      <c r="I876" s="5">
        <v>44256</v>
      </c>
      <c r="J876" s="6">
        <v>0</v>
      </c>
      <c r="K876" s="6">
        <v>0</v>
      </c>
      <c r="L876" s="6">
        <v>-0.627</v>
      </c>
      <c r="M876" s="6">
        <v>-0.627</v>
      </c>
      <c r="N876" s="6">
        <v>-0.627</v>
      </c>
      <c r="O876" s="6">
        <v>-0.627</v>
      </c>
      <c r="P876" s="6">
        <v>-3</v>
      </c>
      <c r="Q876" s="4" t="s">
        <v>26</v>
      </c>
      <c r="R876" s="4">
        <v>0</v>
      </c>
      <c r="S876" s="6">
        <v>0</v>
      </c>
      <c r="T876" s="6">
        <v>37</v>
      </c>
      <c r="U876" s="6">
        <v>77</v>
      </c>
      <c r="V876" s="6">
        <f>IF(ISERROR(VLOOKUP($S$876,'TAR FIN'!$A$1:$O$100,15,0)),0,VLOOKUP($S$876,'TAR FIN'!$A$1:$O$100,15,0))</f>
        <v>0</v>
      </c>
      <c r="W876" s="6">
        <f>IF(ISERROR(VLOOKUP($T$876,'TAR FIN'!$A$1:$O$100,15,0)),0,VLOOKUP($T$876,'TAR FIN'!$A$1:$O$100,15,0))</f>
        <v>246.5</v>
      </c>
      <c r="X876" s="6">
        <f>IF(ISERROR(VLOOKUP($U$876,'TAR FIN'!$A$1:$O$100,15,0)),0,VLOOKUP($U$876,'TAR FIN'!$A$1:$O$100,15,0))</f>
        <v>231.33</v>
      </c>
      <c r="Y876" s="6"/>
      <c r="Z87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6" s="6">
        <f>('TE BE'!$AA$17+'TE BF'!$AA$17+'TE CVA'!$AA$17)*(1-CUSTOS!$M$37)</f>
        <v>250.79367785689016</v>
      </c>
      <c r="AB876" s="6">
        <f>$K$876*$V$876</f>
        <v>0</v>
      </c>
      <c r="AC876" s="6">
        <f>$M$876*$W$876</f>
        <v>-154.55549999999999</v>
      </c>
      <c r="AD876" s="6">
        <f>$O$876*$X$876</f>
        <v>-145.04391000000001</v>
      </c>
      <c r="AE876" s="6">
        <f>$K$876*$Y$876</f>
        <v>0</v>
      </c>
      <c r="AF876" s="6">
        <f ca="1">$M$876*$Z$876</f>
        <v>-149.67362119622931</v>
      </c>
      <c r="AG876" s="6">
        <f>$O$876*$AA$876</f>
        <v>-157.24763601627012</v>
      </c>
    </row>
    <row r="877" spans="1:33" ht="11.25" customHeight="1" x14ac:dyDescent="0.25">
      <c r="A877" s="4" t="s">
        <v>28</v>
      </c>
      <c r="B877" s="4" t="s">
        <v>22</v>
      </c>
      <c r="C877" s="4" t="s">
        <v>23</v>
      </c>
      <c r="D877" s="4" t="s">
        <v>24</v>
      </c>
      <c r="E877" s="4" t="s">
        <v>32</v>
      </c>
      <c r="F877" s="4" t="s">
        <v>25</v>
      </c>
      <c r="G877" s="4" t="s">
        <v>25</v>
      </c>
      <c r="H877" s="4" t="s">
        <v>25</v>
      </c>
      <c r="I877" s="5">
        <v>44256</v>
      </c>
      <c r="J877" s="6">
        <v>0</v>
      </c>
      <c r="K877" s="6">
        <v>0</v>
      </c>
      <c r="L877" s="6">
        <v>1.5620000000000001</v>
      </c>
      <c r="M877" s="6">
        <v>1.5620000000000001</v>
      </c>
      <c r="N877" s="6">
        <v>1.5620000000000001</v>
      </c>
      <c r="O877" s="6">
        <v>1.5620000000000001</v>
      </c>
      <c r="P877" s="6">
        <v>6</v>
      </c>
      <c r="Q877" s="4" t="s">
        <v>26</v>
      </c>
      <c r="R877" s="4">
        <v>0</v>
      </c>
      <c r="S877" s="6">
        <v>0</v>
      </c>
      <c r="T877" s="6">
        <v>37</v>
      </c>
      <c r="U877" s="6">
        <v>77</v>
      </c>
      <c r="V877" s="6">
        <f>IF(ISERROR(VLOOKUP($S$877,'TAR FIN'!$A$1:$O$100,15,0)),0,VLOOKUP($S$877,'TAR FIN'!$A$1:$O$100,15,0))</f>
        <v>0</v>
      </c>
      <c r="W877" s="6">
        <f>IF(ISERROR(VLOOKUP($T$877,'TAR FIN'!$A$1:$O$100,15,0)),0,VLOOKUP($T$877,'TAR FIN'!$A$1:$O$100,15,0))</f>
        <v>246.5</v>
      </c>
      <c r="X877" s="6">
        <f>IF(ISERROR(VLOOKUP($U$877,'TAR FIN'!$A$1:$O$100,15,0)),0,VLOOKUP($U$877,'TAR FIN'!$A$1:$O$100,15,0))</f>
        <v>231.33</v>
      </c>
      <c r="Y877" s="6"/>
      <c r="Z87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7" s="6">
        <f>('TE BE'!$AA$17+'TE BF'!$AA$17+'TE CVA'!$AA$17)*(1-CUSTOS!$M$37)</f>
        <v>250.79367785689016</v>
      </c>
      <c r="AB877" s="6">
        <f>$K$877*$V$877</f>
        <v>0</v>
      </c>
      <c r="AC877" s="6">
        <f>$M$877*$W$877</f>
        <v>385.03300000000002</v>
      </c>
      <c r="AD877" s="6">
        <f>$O$877*$X$877</f>
        <v>361.33746000000002</v>
      </c>
      <c r="AE877" s="6">
        <f>$K$877*$Y$877</f>
        <v>0</v>
      </c>
      <c r="AF877" s="6">
        <f ca="1">$M$877*$Z$877</f>
        <v>372.87112648885198</v>
      </c>
      <c r="AG877" s="6">
        <f>$O$877*$AA$877</f>
        <v>391.73972481246244</v>
      </c>
    </row>
    <row r="878" spans="1:33" ht="11.25" customHeight="1" x14ac:dyDescent="0.25">
      <c r="A878" s="4" t="s">
        <v>21</v>
      </c>
      <c r="B878" s="4" t="s">
        <v>22</v>
      </c>
      <c r="C878" s="4" t="s">
        <v>23</v>
      </c>
      <c r="D878" s="4" t="s">
        <v>24</v>
      </c>
      <c r="E878" s="4" t="s">
        <v>32</v>
      </c>
      <c r="F878" s="4" t="s">
        <v>25</v>
      </c>
      <c r="G878" s="4" t="s">
        <v>25</v>
      </c>
      <c r="H878" s="4" t="s">
        <v>25</v>
      </c>
      <c r="I878" s="5">
        <v>44287</v>
      </c>
      <c r="J878" s="6">
        <v>0</v>
      </c>
      <c r="K878" s="6">
        <v>0</v>
      </c>
      <c r="L878" s="6">
        <v>290.33600000000001</v>
      </c>
      <c r="M878" s="6">
        <v>290.33600000000001</v>
      </c>
      <c r="N878" s="6">
        <v>290.33600000000001</v>
      </c>
      <c r="O878" s="6">
        <v>290.33600000000001</v>
      </c>
      <c r="P878" s="6">
        <v>3403</v>
      </c>
      <c r="Q878" s="4" t="s">
        <v>26</v>
      </c>
      <c r="R878" s="4">
        <v>0</v>
      </c>
      <c r="S878" s="6">
        <v>0</v>
      </c>
      <c r="T878" s="6">
        <v>37</v>
      </c>
      <c r="U878" s="6">
        <v>77</v>
      </c>
      <c r="V878" s="6">
        <f>IF(ISERROR(VLOOKUP($S$878,'TAR FIN'!$A$1:$O$100,15,0)),0,VLOOKUP($S$878,'TAR FIN'!$A$1:$O$100,15,0))</f>
        <v>0</v>
      </c>
      <c r="W878" s="6">
        <f>IF(ISERROR(VLOOKUP($T$878,'TAR FIN'!$A$1:$O$100,15,0)),0,VLOOKUP($T$878,'TAR FIN'!$A$1:$O$100,15,0))</f>
        <v>246.5</v>
      </c>
      <c r="X878" s="6">
        <f>IF(ISERROR(VLOOKUP($U$878,'TAR FIN'!$A$1:$O$100,15,0)),0,VLOOKUP($U$878,'TAR FIN'!$A$1:$O$100,15,0))</f>
        <v>231.33</v>
      </c>
      <c r="Y878" s="6"/>
      <c r="Z87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8" s="6">
        <f>('TE BE'!$AA$17+'TE BF'!$AA$17+'TE CVA'!$AA$17)*(1-CUSTOS!$M$37)</f>
        <v>250.79367785689016</v>
      </c>
      <c r="AB878" s="6">
        <f>$K$878*$V$878</f>
        <v>0</v>
      </c>
      <c r="AC878" s="6">
        <f>$M$878*$W$878</f>
        <v>71567.824000000008</v>
      </c>
      <c r="AD878" s="6">
        <f>$O$878*$X$878</f>
        <v>67163.426880000014</v>
      </c>
      <c r="AE878" s="6">
        <f>$K$878*$Y$878</f>
        <v>0</v>
      </c>
      <c r="AF878" s="6">
        <f ca="1">$M$878*$Z$878</f>
        <v>69307.241600683308</v>
      </c>
      <c r="AG878" s="6">
        <f>$O$878*$AA$878</f>
        <v>72814.433254258067</v>
      </c>
    </row>
    <row r="879" spans="1:33" ht="11.25" customHeight="1" x14ac:dyDescent="0.25">
      <c r="A879" s="4" t="s">
        <v>28</v>
      </c>
      <c r="B879" s="4" t="s">
        <v>22</v>
      </c>
      <c r="C879" s="4" t="s">
        <v>23</v>
      </c>
      <c r="D879" s="4" t="s">
        <v>24</v>
      </c>
      <c r="E879" s="4" t="s">
        <v>32</v>
      </c>
      <c r="F879" s="4" t="s">
        <v>25</v>
      </c>
      <c r="G879" s="4" t="s">
        <v>25</v>
      </c>
      <c r="H879" s="4" t="s">
        <v>25</v>
      </c>
      <c r="I879" s="5">
        <v>44287</v>
      </c>
      <c r="J879" s="6">
        <v>0</v>
      </c>
      <c r="K879" s="6">
        <v>0</v>
      </c>
      <c r="L879" s="6">
        <v>1.69</v>
      </c>
      <c r="M879" s="6">
        <v>1.69</v>
      </c>
      <c r="N879" s="6">
        <v>1.69</v>
      </c>
      <c r="O879" s="6">
        <v>1.69</v>
      </c>
      <c r="P879" s="6">
        <v>7</v>
      </c>
      <c r="Q879" s="4" t="s">
        <v>26</v>
      </c>
      <c r="R879" s="4">
        <v>0</v>
      </c>
      <c r="S879" s="6">
        <v>0</v>
      </c>
      <c r="T879" s="6">
        <v>37</v>
      </c>
      <c r="U879" s="6">
        <v>77</v>
      </c>
      <c r="V879" s="6">
        <f>IF(ISERROR(VLOOKUP($S$879,'TAR FIN'!$A$1:$O$100,15,0)),0,VLOOKUP($S$879,'TAR FIN'!$A$1:$O$100,15,0))</f>
        <v>0</v>
      </c>
      <c r="W879" s="6">
        <f>IF(ISERROR(VLOOKUP($T$879,'TAR FIN'!$A$1:$O$100,15,0)),0,VLOOKUP($T$879,'TAR FIN'!$A$1:$O$100,15,0))</f>
        <v>246.5</v>
      </c>
      <c r="X879" s="6">
        <f>IF(ISERROR(VLOOKUP($U$879,'TAR FIN'!$A$1:$O$100,15,0)),0,VLOOKUP($U$879,'TAR FIN'!$A$1:$O$100,15,0))</f>
        <v>231.33</v>
      </c>
      <c r="Y879" s="6"/>
      <c r="Z879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79" s="6">
        <f>('TE BE'!$AA$17+'TE BF'!$AA$17+'TE CVA'!$AA$17)*(1-CUSTOS!$M$37)</f>
        <v>250.79367785689016</v>
      </c>
      <c r="AB879" s="6">
        <f>$K$879*$V$879</f>
        <v>0</v>
      </c>
      <c r="AC879" s="6">
        <f>$M$879*$W$879</f>
        <v>416.58499999999998</v>
      </c>
      <c r="AD879" s="6">
        <f>$O$879*$X$879</f>
        <v>390.9477</v>
      </c>
      <c r="AE879" s="6">
        <f>$K$879*$Y$879</f>
        <v>0</v>
      </c>
      <c r="AF879" s="6">
        <f ca="1">$M$879*$Z$879</f>
        <v>403.42650689254793</v>
      </c>
      <c r="AG879" s="6">
        <f>$O$879*$AA$879</f>
        <v>423.84131557814436</v>
      </c>
    </row>
    <row r="880" spans="1:33" ht="11.25" customHeight="1" x14ac:dyDescent="0.25">
      <c r="A880" s="4" t="s">
        <v>21</v>
      </c>
      <c r="B880" s="4" t="s">
        <v>22</v>
      </c>
      <c r="C880" s="4" t="s">
        <v>23</v>
      </c>
      <c r="D880" s="4" t="s">
        <v>24</v>
      </c>
      <c r="E880" s="4" t="s">
        <v>32</v>
      </c>
      <c r="F880" s="4" t="s">
        <v>25</v>
      </c>
      <c r="G880" s="4" t="s">
        <v>25</v>
      </c>
      <c r="H880" s="4" t="s">
        <v>25</v>
      </c>
      <c r="I880" s="5">
        <v>44317</v>
      </c>
      <c r="J880" s="6">
        <v>0</v>
      </c>
      <c r="K880" s="6">
        <v>0</v>
      </c>
      <c r="L880" s="6">
        <v>239.893</v>
      </c>
      <c r="M880" s="6">
        <v>239.893</v>
      </c>
      <c r="N880" s="6">
        <v>239.893</v>
      </c>
      <c r="O880" s="6">
        <v>239.893</v>
      </c>
      <c r="P880" s="6">
        <v>2683</v>
      </c>
      <c r="Q880" s="4" t="s">
        <v>26</v>
      </c>
      <c r="R880" s="4">
        <v>0</v>
      </c>
      <c r="S880" s="6">
        <v>0</v>
      </c>
      <c r="T880" s="6">
        <v>37</v>
      </c>
      <c r="U880" s="6">
        <v>77</v>
      </c>
      <c r="V880" s="6">
        <f>IF(ISERROR(VLOOKUP($S$880,'TAR FIN'!$A$1:$O$100,15,0)),0,VLOOKUP($S$880,'TAR FIN'!$A$1:$O$100,15,0))</f>
        <v>0</v>
      </c>
      <c r="W880" s="6">
        <f>IF(ISERROR(VLOOKUP($T$880,'TAR FIN'!$A$1:$O$100,15,0)),0,VLOOKUP($T$880,'TAR FIN'!$A$1:$O$100,15,0))</f>
        <v>246.5</v>
      </c>
      <c r="X880" s="6">
        <f>IF(ISERROR(VLOOKUP($U$880,'TAR FIN'!$A$1:$O$100,15,0)),0,VLOOKUP($U$880,'TAR FIN'!$A$1:$O$100,15,0))</f>
        <v>231.33</v>
      </c>
      <c r="Y880" s="6"/>
      <c r="Z880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0" s="6">
        <f>('TE BE'!$AA$17+'TE BF'!$AA$17+'TE CVA'!$AA$17)*(1-CUSTOS!$M$37)</f>
        <v>250.79367785689016</v>
      </c>
      <c r="AB880" s="6">
        <f>$K$880*$V$880</f>
        <v>0</v>
      </c>
      <c r="AC880" s="6">
        <f>$M$880*$W$880</f>
        <v>59133.624499999998</v>
      </c>
      <c r="AD880" s="6">
        <f>$O$880*$X$880</f>
        <v>55494.447690000001</v>
      </c>
      <c r="AE880" s="6">
        <f>$K$880*$Y$880</f>
        <v>0</v>
      </c>
      <c r="AF880" s="6">
        <f ca="1">$M$880*$Z$880</f>
        <v>57265.795868623667</v>
      </c>
      <c r="AG880" s="6">
        <f>$O$880*$AA$880</f>
        <v>60163.64776212295</v>
      </c>
    </row>
    <row r="881" spans="1:33" ht="11.25" customHeight="1" x14ac:dyDescent="0.25">
      <c r="A881" s="4" t="s">
        <v>27</v>
      </c>
      <c r="B881" s="4" t="s">
        <v>22</v>
      </c>
      <c r="C881" s="4" t="s">
        <v>23</v>
      </c>
      <c r="D881" s="4" t="s">
        <v>24</v>
      </c>
      <c r="E881" s="4" t="s">
        <v>32</v>
      </c>
      <c r="F881" s="4" t="s">
        <v>25</v>
      </c>
      <c r="G881" s="4" t="s">
        <v>25</v>
      </c>
      <c r="H881" s="4" t="s">
        <v>25</v>
      </c>
      <c r="I881" s="5">
        <v>44317</v>
      </c>
      <c r="J881" s="6">
        <v>0</v>
      </c>
      <c r="K881" s="6">
        <v>0</v>
      </c>
      <c r="L881" s="6">
        <v>-7.0000000000000001E-3</v>
      </c>
      <c r="M881" s="6">
        <v>-7.0000000000000001E-3</v>
      </c>
      <c r="N881" s="6">
        <v>-7.0000000000000001E-3</v>
      </c>
      <c r="O881" s="6">
        <v>-7.0000000000000001E-3</v>
      </c>
      <c r="P881" s="6">
        <v>-1</v>
      </c>
      <c r="Q881" s="4" t="s">
        <v>26</v>
      </c>
      <c r="R881" s="4">
        <v>0</v>
      </c>
      <c r="S881" s="6">
        <v>0</v>
      </c>
      <c r="T881" s="6">
        <v>37</v>
      </c>
      <c r="U881" s="6">
        <v>77</v>
      </c>
      <c r="V881" s="6">
        <f>IF(ISERROR(VLOOKUP($S$881,'TAR FIN'!$A$1:$O$100,15,0)),0,VLOOKUP($S$881,'TAR FIN'!$A$1:$O$100,15,0))</f>
        <v>0</v>
      </c>
      <c r="W881" s="6">
        <f>IF(ISERROR(VLOOKUP($T$881,'TAR FIN'!$A$1:$O$100,15,0)),0,VLOOKUP($T$881,'TAR FIN'!$A$1:$O$100,15,0))</f>
        <v>246.5</v>
      </c>
      <c r="X881" s="6">
        <f>IF(ISERROR(VLOOKUP($U$881,'TAR FIN'!$A$1:$O$100,15,0)),0,VLOOKUP($U$881,'TAR FIN'!$A$1:$O$100,15,0))</f>
        <v>231.33</v>
      </c>
      <c r="Y881" s="6"/>
      <c r="Z881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1" s="6">
        <f>('TE BE'!$AA$17+'TE BF'!$AA$17+'TE CVA'!$AA$17)*(1-CUSTOS!$M$37)</f>
        <v>250.79367785689016</v>
      </c>
      <c r="AB881" s="6">
        <f>$K$881*$V$881</f>
        <v>0</v>
      </c>
      <c r="AC881" s="6">
        <f>$M$881*$W$881</f>
        <v>-1.7255</v>
      </c>
      <c r="AD881" s="6">
        <f>$O$881*$X$881</f>
        <v>-1.61931</v>
      </c>
      <c r="AE881" s="6">
        <f>$K$881*$Y$881</f>
        <v>0</v>
      </c>
      <c r="AF881" s="6">
        <f ca="1">$M$881*$Z$881</f>
        <v>-1.6709973658271216</v>
      </c>
      <c r="AG881" s="6">
        <f>$O$881*$AA$881</f>
        <v>-1.7555557449982311</v>
      </c>
    </row>
    <row r="882" spans="1:33" ht="11.25" customHeight="1" x14ac:dyDescent="0.25">
      <c r="A882" s="4" t="s">
        <v>28</v>
      </c>
      <c r="B882" s="4" t="s">
        <v>22</v>
      </c>
      <c r="C882" s="4" t="s">
        <v>23</v>
      </c>
      <c r="D882" s="4" t="s">
        <v>24</v>
      </c>
      <c r="E882" s="4" t="s">
        <v>32</v>
      </c>
      <c r="F882" s="4" t="s">
        <v>25</v>
      </c>
      <c r="G882" s="4" t="s">
        <v>25</v>
      </c>
      <c r="H882" s="4" t="s">
        <v>25</v>
      </c>
      <c r="I882" s="5">
        <v>44317</v>
      </c>
      <c r="J882" s="6">
        <v>0</v>
      </c>
      <c r="K882" s="6">
        <v>0</v>
      </c>
      <c r="L882" s="6">
        <v>1.52</v>
      </c>
      <c r="M882" s="6">
        <v>1.52</v>
      </c>
      <c r="N882" s="6">
        <v>1.52</v>
      </c>
      <c r="O882" s="6">
        <v>1.52</v>
      </c>
      <c r="P882" s="6">
        <v>6</v>
      </c>
      <c r="Q882" s="4" t="s">
        <v>26</v>
      </c>
      <c r="R882" s="4">
        <v>0</v>
      </c>
      <c r="S882" s="6">
        <v>0</v>
      </c>
      <c r="T882" s="6">
        <v>37</v>
      </c>
      <c r="U882" s="6">
        <v>77</v>
      </c>
      <c r="V882" s="6">
        <f>IF(ISERROR(VLOOKUP($S$882,'TAR FIN'!$A$1:$O$100,15,0)),0,VLOOKUP($S$882,'TAR FIN'!$A$1:$O$100,15,0))</f>
        <v>0</v>
      </c>
      <c r="W882" s="6">
        <f>IF(ISERROR(VLOOKUP($T$882,'TAR FIN'!$A$1:$O$100,15,0)),0,VLOOKUP($T$882,'TAR FIN'!$A$1:$O$100,15,0))</f>
        <v>246.5</v>
      </c>
      <c r="X882" s="6">
        <f>IF(ISERROR(VLOOKUP($U$882,'TAR FIN'!$A$1:$O$100,15,0)),0,VLOOKUP($U$882,'TAR FIN'!$A$1:$O$100,15,0))</f>
        <v>231.33</v>
      </c>
      <c r="Y882" s="6"/>
      <c r="Z882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2" s="6">
        <f>('TE BE'!$AA$17+'TE BF'!$AA$17+'TE CVA'!$AA$17)*(1-CUSTOS!$M$37)</f>
        <v>250.79367785689016</v>
      </c>
      <c r="AB882" s="6">
        <f>$K$882*$V$882</f>
        <v>0</v>
      </c>
      <c r="AC882" s="6">
        <f>$M$882*$W$882</f>
        <v>374.68</v>
      </c>
      <c r="AD882" s="6">
        <f>$O$882*$X$882</f>
        <v>351.6216</v>
      </c>
      <c r="AE882" s="6">
        <f>$K$882*$Y$882</f>
        <v>0</v>
      </c>
      <c r="AF882" s="6">
        <f ca="1">$M$882*$Z$882</f>
        <v>362.84514229388924</v>
      </c>
      <c r="AG882" s="6">
        <f>$O$882*$AA$882</f>
        <v>381.20639034247301</v>
      </c>
    </row>
    <row r="883" spans="1:33" ht="11.25" customHeight="1" x14ac:dyDescent="0.25">
      <c r="A883" s="4" t="s">
        <v>21</v>
      </c>
      <c r="B883" s="4" t="s">
        <v>22</v>
      </c>
      <c r="C883" s="4" t="s">
        <v>23</v>
      </c>
      <c r="D883" s="4" t="s">
        <v>24</v>
      </c>
      <c r="E883" s="4" t="s">
        <v>32</v>
      </c>
      <c r="F883" s="4" t="s">
        <v>25</v>
      </c>
      <c r="G883" s="4" t="s">
        <v>25</v>
      </c>
      <c r="H883" s="4" t="s">
        <v>25</v>
      </c>
      <c r="I883" s="5">
        <v>44348</v>
      </c>
      <c r="J883" s="6">
        <v>0</v>
      </c>
      <c r="K883" s="6">
        <v>0</v>
      </c>
      <c r="L883" s="6">
        <v>202.10900000000001</v>
      </c>
      <c r="M883" s="6">
        <v>202.10900000000001</v>
      </c>
      <c r="N883" s="6">
        <v>202.10900000000001</v>
      </c>
      <c r="O883" s="6">
        <v>202.10900000000001</v>
      </c>
      <c r="P883" s="6">
        <v>2204</v>
      </c>
      <c r="Q883" s="4" t="s">
        <v>26</v>
      </c>
      <c r="R883" s="4">
        <v>0</v>
      </c>
      <c r="S883" s="6">
        <v>0</v>
      </c>
      <c r="T883" s="6">
        <v>37</v>
      </c>
      <c r="U883" s="6">
        <v>77</v>
      </c>
      <c r="V883" s="6">
        <f>IF(ISERROR(VLOOKUP($S$883,'TAR FIN'!$A$1:$O$100,15,0)),0,VLOOKUP($S$883,'TAR FIN'!$A$1:$O$100,15,0))</f>
        <v>0</v>
      </c>
      <c r="W883" s="6">
        <f>IF(ISERROR(VLOOKUP($T$883,'TAR FIN'!$A$1:$O$100,15,0)),0,VLOOKUP($T$883,'TAR FIN'!$A$1:$O$100,15,0))</f>
        <v>246.5</v>
      </c>
      <c r="X883" s="6">
        <f>IF(ISERROR(VLOOKUP($U$883,'TAR FIN'!$A$1:$O$100,15,0)),0,VLOOKUP($U$883,'TAR FIN'!$A$1:$O$100,15,0))</f>
        <v>231.33</v>
      </c>
      <c r="Y883" s="6"/>
      <c r="Z88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3" s="6">
        <f>('TE BE'!$AA$17+'TE BF'!$AA$17+'TE CVA'!$AA$17)*(1-CUSTOS!$M$37)</f>
        <v>250.79367785689016</v>
      </c>
      <c r="AB883" s="6">
        <f>$K$883*$V$883</f>
        <v>0</v>
      </c>
      <c r="AC883" s="6">
        <f>$M$883*$W$883</f>
        <v>49819.868500000004</v>
      </c>
      <c r="AD883" s="6">
        <f>$O$883*$X$883</f>
        <v>46753.874970000004</v>
      </c>
      <c r="AE883" s="6">
        <f>$K$883*$Y$883</f>
        <v>0</v>
      </c>
      <c r="AF883" s="6">
        <f ca="1">$M$883*$Z$883</f>
        <v>48246.229515707673</v>
      </c>
      <c r="AG883" s="6">
        <f>$O$883*$AA$883</f>
        <v>50687.659437978218</v>
      </c>
    </row>
    <row r="884" spans="1:33" ht="11.25" customHeight="1" x14ac:dyDescent="0.25">
      <c r="A884" s="4" t="s">
        <v>27</v>
      </c>
      <c r="B884" s="4" t="s">
        <v>22</v>
      </c>
      <c r="C884" s="4" t="s">
        <v>23</v>
      </c>
      <c r="D884" s="4" t="s">
        <v>24</v>
      </c>
      <c r="E884" s="4" t="s">
        <v>32</v>
      </c>
      <c r="F884" s="4" t="s">
        <v>25</v>
      </c>
      <c r="G884" s="4" t="s">
        <v>25</v>
      </c>
      <c r="H884" s="4" t="s">
        <v>25</v>
      </c>
      <c r="I884" s="5">
        <v>44348</v>
      </c>
      <c r="J884" s="6">
        <v>0</v>
      </c>
      <c r="K884" s="6">
        <v>0</v>
      </c>
      <c r="L884" s="6">
        <v>-2.0379999999999998</v>
      </c>
      <c r="M884" s="6">
        <v>-2.0379999999999998</v>
      </c>
      <c r="N884" s="6">
        <v>-2.0379999999999998</v>
      </c>
      <c r="O884" s="6">
        <v>-2.0379999999999998</v>
      </c>
      <c r="P884" s="6">
        <v>-4</v>
      </c>
      <c r="Q884" s="4" t="s">
        <v>26</v>
      </c>
      <c r="R884" s="4">
        <v>0</v>
      </c>
      <c r="S884" s="6">
        <v>0</v>
      </c>
      <c r="T884" s="6">
        <v>37</v>
      </c>
      <c r="U884" s="6">
        <v>77</v>
      </c>
      <c r="V884" s="6">
        <f>IF(ISERROR(VLOOKUP($S$884,'TAR FIN'!$A$1:$O$100,15,0)),0,VLOOKUP($S$884,'TAR FIN'!$A$1:$O$100,15,0))</f>
        <v>0</v>
      </c>
      <c r="W884" s="6">
        <f>IF(ISERROR(VLOOKUP($T$884,'TAR FIN'!$A$1:$O$100,15,0)),0,VLOOKUP($T$884,'TAR FIN'!$A$1:$O$100,15,0))</f>
        <v>246.5</v>
      </c>
      <c r="X884" s="6">
        <f>IF(ISERROR(VLOOKUP($U$884,'TAR FIN'!$A$1:$O$100,15,0)),0,VLOOKUP($U$884,'TAR FIN'!$A$1:$O$100,15,0))</f>
        <v>231.33</v>
      </c>
      <c r="Y884" s="6"/>
      <c r="Z88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4" s="6">
        <f>('TE BE'!$AA$17+'TE BF'!$AA$17+'TE CVA'!$AA$17)*(1-CUSTOS!$M$37)</f>
        <v>250.79367785689016</v>
      </c>
      <c r="AB884" s="6">
        <f>$K$884*$V$884</f>
        <v>0</v>
      </c>
      <c r="AC884" s="6">
        <f>$M$884*$W$884</f>
        <v>-502.36699999999996</v>
      </c>
      <c r="AD884" s="6">
        <f>$O$884*$X$884</f>
        <v>-471.45053999999999</v>
      </c>
      <c r="AE884" s="6">
        <f>$K$884*$Y$884</f>
        <v>0</v>
      </c>
      <c r="AF884" s="6">
        <f ca="1">$M$884*$Z$884</f>
        <v>-486.49894736509623</v>
      </c>
      <c r="AG884" s="6">
        <f>$O$884*$AA$884</f>
        <v>-511.11751547234206</v>
      </c>
    </row>
    <row r="885" spans="1:33" ht="11.25" customHeight="1" x14ac:dyDescent="0.25">
      <c r="A885" s="4" t="s">
        <v>28</v>
      </c>
      <c r="B885" s="4" t="s">
        <v>22</v>
      </c>
      <c r="C885" s="4" t="s">
        <v>23</v>
      </c>
      <c r="D885" s="4" t="s">
        <v>24</v>
      </c>
      <c r="E885" s="4" t="s">
        <v>32</v>
      </c>
      <c r="F885" s="4" t="s">
        <v>25</v>
      </c>
      <c r="G885" s="4" t="s">
        <v>25</v>
      </c>
      <c r="H885" s="4" t="s">
        <v>25</v>
      </c>
      <c r="I885" s="5">
        <v>44348</v>
      </c>
      <c r="J885" s="6">
        <v>0</v>
      </c>
      <c r="K885" s="6">
        <v>0</v>
      </c>
      <c r="L885" s="6">
        <v>1.4</v>
      </c>
      <c r="M885" s="6">
        <v>1.4</v>
      </c>
      <c r="N885" s="6">
        <v>1.4</v>
      </c>
      <c r="O885" s="6">
        <v>1.4</v>
      </c>
      <c r="P885" s="6">
        <v>7</v>
      </c>
      <c r="Q885" s="4" t="s">
        <v>26</v>
      </c>
      <c r="R885" s="4">
        <v>0</v>
      </c>
      <c r="S885" s="6">
        <v>0</v>
      </c>
      <c r="T885" s="6">
        <v>37</v>
      </c>
      <c r="U885" s="6">
        <v>77</v>
      </c>
      <c r="V885" s="6">
        <f>IF(ISERROR(VLOOKUP($S$885,'TAR FIN'!$A$1:$O$100,15,0)),0,VLOOKUP($S$885,'TAR FIN'!$A$1:$O$100,15,0))</f>
        <v>0</v>
      </c>
      <c r="W885" s="6">
        <f>IF(ISERROR(VLOOKUP($T$885,'TAR FIN'!$A$1:$O$100,15,0)),0,VLOOKUP($T$885,'TAR FIN'!$A$1:$O$100,15,0))</f>
        <v>246.5</v>
      </c>
      <c r="X885" s="6">
        <f>IF(ISERROR(VLOOKUP($U$885,'TAR FIN'!$A$1:$O$100,15,0)),0,VLOOKUP($U$885,'TAR FIN'!$A$1:$O$100,15,0))</f>
        <v>231.33</v>
      </c>
      <c r="Y885" s="6"/>
      <c r="Z88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5" s="6">
        <f>('TE BE'!$AA$17+'TE BF'!$AA$17+'TE CVA'!$AA$17)*(1-CUSTOS!$M$37)</f>
        <v>250.79367785689016</v>
      </c>
      <c r="AB885" s="6">
        <f>$K$885*$V$885</f>
        <v>0</v>
      </c>
      <c r="AC885" s="6">
        <f>$M$885*$W$885</f>
        <v>345.09999999999997</v>
      </c>
      <c r="AD885" s="6">
        <f>$O$885*$X$885</f>
        <v>323.86200000000002</v>
      </c>
      <c r="AE885" s="6">
        <f>$K$885*$Y$885</f>
        <v>0</v>
      </c>
      <c r="AF885" s="6">
        <f ca="1">$M$885*$Z$885</f>
        <v>334.19947316542431</v>
      </c>
      <c r="AG885" s="6">
        <f>$O$885*$AA$885</f>
        <v>351.11114899964622</v>
      </c>
    </row>
    <row r="886" spans="1:33" ht="11.25" customHeight="1" x14ac:dyDescent="0.25">
      <c r="A886" s="4" t="s">
        <v>21</v>
      </c>
      <c r="B886" s="4" t="s">
        <v>22</v>
      </c>
      <c r="C886" s="4" t="s">
        <v>23</v>
      </c>
      <c r="D886" s="4" t="s">
        <v>24</v>
      </c>
      <c r="E886" s="4" t="s">
        <v>32</v>
      </c>
      <c r="F886" s="4" t="s">
        <v>25</v>
      </c>
      <c r="G886" s="4" t="s">
        <v>25</v>
      </c>
      <c r="H886" s="4" t="s">
        <v>25</v>
      </c>
      <c r="I886" s="5">
        <v>44378</v>
      </c>
      <c r="J886" s="6">
        <v>0</v>
      </c>
      <c r="K886" s="6">
        <v>0</v>
      </c>
      <c r="L886" s="6">
        <v>232.24299999999999</v>
      </c>
      <c r="M886" s="6">
        <v>232.24299999999999</v>
      </c>
      <c r="N886" s="6">
        <v>232.24299999999999</v>
      </c>
      <c r="O886" s="6">
        <v>232.24299999999999</v>
      </c>
      <c r="P886" s="6">
        <v>2584</v>
      </c>
      <c r="Q886" s="4" t="s">
        <v>26</v>
      </c>
      <c r="R886" s="4">
        <v>0</v>
      </c>
      <c r="S886" s="6">
        <v>0</v>
      </c>
      <c r="T886" s="6">
        <v>37</v>
      </c>
      <c r="U886" s="6">
        <v>77</v>
      </c>
      <c r="V886" s="6">
        <f>IF(ISERROR(VLOOKUP($S$886,'TAR FIN'!$A$1:$O$100,15,0)),0,VLOOKUP($S$886,'TAR FIN'!$A$1:$O$100,15,0))</f>
        <v>0</v>
      </c>
      <c r="W886" s="6">
        <f>IF(ISERROR(VLOOKUP($T$886,'TAR FIN'!$A$1:$O$100,15,0)),0,VLOOKUP($T$886,'TAR FIN'!$A$1:$O$100,15,0))</f>
        <v>246.5</v>
      </c>
      <c r="X886" s="6">
        <f>IF(ISERROR(VLOOKUP($U$886,'TAR FIN'!$A$1:$O$100,15,0)),0,VLOOKUP($U$886,'TAR FIN'!$A$1:$O$100,15,0))</f>
        <v>231.33</v>
      </c>
      <c r="Y886" s="6"/>
      <c r="Z88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6" s="6">
        <f>('TE BE'!$AA$17+'TE BF'!$AA$17+'TE CVA'!$AA$17)*(1-CUSTOS!$M$37)</f>
        <v>250.79367785689016</v>
      </c>
      <c r="AB886" s="6">
        <f>$K$886*$V$886</f>
        <v>0</v>
      </c>
      <c r="AC886" s="6">
        <f>$M$886*$W$886</f>
        <v>57247.8995</v>
      </c>
      <c r="AD886" s="6">
        <f>$O$886*$X$886</f>
        <v>53724.77319</v>
      </c>
      <c r="AE886" s="6">
        <f>$K$886*$Y$886</f>
        <v>0</v>
      </c>
      <c r="AF886" s="6">
        <f ca="1">$M$886*$Z$886</f>
        <v>55439.634461684029</v>
      </c>
      <c r="AG886" s="6">
        <f>$O$886*$AA$886</f>
        <v>58245.076126517743</v>
      </c>
    </row>
    <row r="887" spans="1:33" ht="11.25" customHeight="1" x14ac:dyDescent="0.25">
      <c r="A887" s="4" t="s">
        <v>27</v>
      </c>
      <c r="B887" s="4" t="s">
        <v>22</v>
      </c>
      <c r="C887" s="4" t="s">
        <v>23</v>
      </c>
      <c r="D887" s="4" t="s">
        <v>24</v>
      </c>
      <c r="E887" s="4" t="s">
        <v>32</v>
      </c>
      <c r="F887" s="4" t="s">
        <v>25</v>
      </c>
      <c r="G887" s="4" t="s">
        <v>25</v>
      </c>
      <c r="H887" s="4" t="s">
        <v>25</v>
      </c>
      <c r="I887" s="5">
        <v>44378</v>
      </c>
      <c r="J887" s="6">
        <v>0</v>
      </c>
      <c r="K887" s="6">
        <v>0</v>
      </c>
      <c r="L887" s="6">
        <v>-18.689</v>
      </c>
      <c r="M887" s="6">
        <v>-18.689</v>
      </c>
      <c r="N887" s="6">
        <v>-18.689</v>
      </c>
      <c r="O887" s="6">
        <v>-18.689</v>
      </c>
      <c r="P887" s="6">
        <v>-10</v>
      </c>
      <c r="Q887" s="4" t="s">
        <v>26</v>
      </c>
      <c r="R887" s="4">
        <v>0</v>
      </c>
      <c r="S887" s="6">
        <v>0</v>
      </c>
      <c r="T887" s="6">
        <v>37</v>
      </c>
      <c r="U887" s="6">
        <v>77</v>
      </c>
      <c r="V887" s="6">
        <f>IF(ISERROR(VLOOKUP($S$887,'TAR FIN'!$A$1:$O$100,15,0)),0,VLOOKUP($S$887,'TAR FIN'!$A$1:$O$100,15,0))</f>
        <v>0</v>
      </c>
      <c r="W887" s="6">
        <f>IF(ISERROR(VLOOKUP($T$887,'TAR FIN'!$A$1:$O$100,15,0)),0,VLOOKUP($T$887,'TAR FIN'!$A$1:$O$100,15,0))</f>
        <v>246.5</v>
      </c>
      <c r="X887" s="6">
        <f>IF(ISERROR(VLOOKUP($U$887,'TAR FIN'!$A$1:$O$100,15,0)),0,VLOOKUP($U$887,'TAR FIN'!$A$1:$O$100,15,0))</f>
        <v>231.33</v>
      </c>
      <c r="Y887" s="6"/>
      <c r="Z88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7" s="6">
        <f>('TE BE'!$AA$17+'TE BF'!$AA$17+'TE CVA'!$AA$17)*(1-CUSTOS!$M$37)</f>
        <v>250.79367785689016</v>
      </c>
      <c r="AB887" s="6">
        <f>$K$887*$V$887</f>
        <v>0</v>
      </c>
      <c r="AC887" s="6">
        <f>$M$887*$W$887</f>
        <v>-4606.8384999999998</v>
      </c>
      <c r="AD887" s="6">
        <f>$O$887*$X$887</f>
        <v>-4323.3263700000007</v>
      </c>
      <c r="AE887" s="6">
        <f>$K$887*$Y$887</f>
        <v>0</v>
      </c>
      <c r="AF887" s="6">
        <f ca="1">$M$887*$Z$887</f>
        <v>-4461.3242528490109</v>
      </c>
      <c r="AG887" s="6">
        <f>$O$887*$AA$887</f>
        <v>-4687.0830454674206</v>
      </c>
    </row>
    <row r="888" spans="1:33" ht="11.25" customHeight="1" x14ac:dyDescent="0.25">
      <c r="A888" s="4" t="s">
        <v>28</v>
      </c>
      <c r="B888" s="4" t="s">
        <v>22</v>
      </c>
      <c r="C888" s="4" t="s">
        <v>23</v>
      </c>
      <c r="D888" s="4" t="s">
        <v>24</v>
      </c>
      <c r="E888" s="4" t="s">
        <v>32</v>
      </c>
      <c r="F888" s="4" t="s">
        <v>25</v>
      </c>
      <c r="G888" s="4" t="s">
        <v>25</v>
      </c>
      <c r="H888" s="4" t="s">
        <v>25</v>
      </c>
      <c r="I888" s="5">
        <v>44378</v>
      </c>
      <c r="J888" s="6">
        <v>0</v>
      </c>
      <c r="K888" s="6">
        <v>0</v>
      </c>
      <c r="L888" s="6">
        <v>1.3320000000000001</v>
      </c>
      <c r="M888" s="6">
        <v>1.3320000000000001</v>
      </c>
      <c r="N888" s="6">
        <v>1.3320000000000001</v>
      </c>
      <c r="O888" s="6">
        <v>1.3320000000000001</v>
      </c>
      <c r="P888" s="6">
        <v>8</v>
      </c>
      <c r="Q888" s="4" t="s">
        <v>26</v>
      </c>
      <c r="R888" s="4">
        <v>0</v>
      </c>
      <c r="S888" s="6">
        <v>0</v>
      </c>
      <c r="T888" s="6">
        <v>37</v>
      </c>
      <c r="U888" s="6">
        <v>77</v>
      </c>
      <c r="V888" s="6">
        <f>IF(ISERROR(VLOOKUP($S$888,'TAR FIN'!$A$1:$O$100,15,0)),0,VLOOKUP($S$888,'TAR FIN'!$A$1:$O$100,15,0))</f>
        <v>0</v>
      </c>
      <c r="W888" s="6">
        <f>IF(ISERROR(VLOOKUP($T$888,'TAR FIN'!$A$1:$O$100,15,0)),0,VLOOKUP($T$888,'TAR FIN'!$A$1:$O$100,15,0))</f>
        <v>246.5</v>
      </c>
      <c r="X888" s="6">
        <f>IF(ISERROR(VLOOKUP($U$888,'TAR FIN'!$A$1:$O$100,15,0)),0,VLOOKUP($U$888,'TAR FIN'!$A$1:$O$100,15,0))</f>
        <v>231.33</v>
      </c>
      <c r="Y888" s="6"/>
      <c r="Z88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8" s="6">
        <f>('TE BE'!$AA$17+'TE BF'!$AA$17+'TE CVA'!$AA$17)*(1-CUSTOS!$M$37)</f>
        <v>250.79367785689016</v>
      </c>
      <c r="AB888" s="6">
        <f>$K$888*$V$888</f>
        <v>0</v>
      </c>
      <c r="AC888" s="6">
        <f>$M$888*$W$888</f>
        <v>328.33800000000002</v>
      </c>
      <c r="AD888" s="6">
        <f>$O$888*$X$888</f>
        <v>308.13156000000004</v>
      </c>
      <c r="AE888" s="6">
        <f>$K$888*$Y$888</f>
        <v>0</v>
      </c>
      <c r="AF888" s="6">
        <f ca="1">$M$888*$Z$888</f>
        <v>317.96692732596085</v>
      </c>
      <c r="AG888" s="6">
        <f>$O$888*$AA$888</f>
        <v>334.05717890537773</v>
      </c>
    </row>
    <row r="889" spans="1:33" ht="11.25" customHeight="1" x14ac:dyDescent="0.25">
      <c r="A889" s="4" t="s">
        <v>21</v>
      </c>
      <c r="B889" s="4" t="s">
        <v>22</v>
      </c>
      <c r="C889" s="4" t="s">
        <v>23</v>
      </c>
      <c r="D889" s="4" t="s">
        <v>24</v>
      </c>
      <c r="E889" s="4" t="s">
        <v>32</v>
      </c>
      <c r="F889" s="4" t="s">
        <v>25</v>
      </c>
      <c r="G889" s="4" t="s">
        <v>25</v>
      </c>
      <c r="H889" s="4" t="s">
        <v>25</v>
      </c>
      <c r="I889" s="5">
        <v>44409</v>
      </c>
      <c r="J889" s="6">
        <v>0</v>
      </c>
      <c r="K889" s="6">
        <v>0</v>
      </c>
      <c r="L889" s="6">
        <v>186.70699999999999</v>
      </c>
      <c r="M889" s="6">
        <v>186.70699999999999</v>
      </c>
      <c r="N889" s="6">
        <v>186.70699999999999</v>
      </c>
      <c r="O889" s="6">
        <v>186.70699999999999</v>
      </c>
      <c r="P889" s="6">
        <v>2019</v>
      </c>
      <c r="Q889" s="4" t="s">
        <v>26</v>
      </c>
      <c r="R889" s="4">
        <v>0</v>
      </c>
      <c r="S889" s="6">
        <v>0</v>
      </c>
      <c r="T889" s="6">
        <v>37</v>
      </c>
      <c r="U889" s="6">
        <v>77</v>
      </c>
      <c r="V889" s="6">
        <f>IF(ISERROR(VLOOKUP($S$889,'TAR FIN'!$A$1:$O$100,15,0)),0,VLOOKUP($S$889,'TAR FIN'!$A$1:$O$100,15,0))</f>
        <v>0</v>
      </c>
      <c r="W889" s="6">
        <f>IF(ISERROR(VLOOKUP($T$889,'TAR FIN'!$A$1:$O$100,15,0)),0,VLOOKUP($T$889,'TAR FIN'!$A$1:$O$100,15,0))</f>
        <v>246.5</v>
      </c>
      <c r="X889" s="6">
        <f>IF(ISERROR(VLOOKUP($U$889,'TAR FIN'!$A$1:$O$100,15,0)),0,VLOOKUP($U$889,'TAR FIN'!$A$1:$O$100,15,0))</f>
        <v>231.33</v>
      </c>
      <c r="Y889" s="6"/>
      <c r="Z889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89" s="6">
        <f>('TE BE'!$AA$17+'TE BF'!$AA$17+'TE CVA'!$AA$17)*(1-CUSTOS!$M$37)</f>
        <v>250.79367785689016</v>
      </c>
      <c r="AB889" s="6">
        <f>$K$889*$V$889</f>
        <v>0</v>
      </c>
      <c r="AC889" s="6">
        <f>$M$889*$W$889</f>
        <v>46023.275499999996</v>
      </c>
      <c r="AD889" s="6">
        <f>$O$889*$X$889</f>
        <v>43190.930310000003</v>
      </c>
      <c r="AE889" s="6">
        <f>$K$889*$Y$889</f>
        <v>0</v>
      </c>
      <c r="AF889" s="6">
        <f ca="1">$M$889*$Z$889</f>
        <v>44569.557883069196</v>
      </c>
      <c r="AG889" s="6">
        <f>$O$889*$AA$889</f>
        <v>46824.935211626391</v>
      </c>
    </row>
    <row r="890" spans="1:33" ht="11.25" customHeight="1" x14ac:dyDescent="0.25">
      <c r="A890" s="4" t="s">
        <v>27</v>
      </c>
      <c r="B890" s="4" t="s">
        <v>22</v>
      </c>
      <c r="C890" s="4" t="s">
        <v>23</v>
      </c>
      <c r="D890" s="4" t="s">
        <v>24</v>
      </c>
      <c r="E890" s="4" t="s">
        <v>32</v>
      </c>
      <c r="F890" s="4" t="s">
        <v>25</v>
      </c>
      <c r="G890" s="4" t="s">
        <v>25</v>
      </c>
      <c r="H890" s="4" t="s">
        <v>25</v>
      </c>
      <c r="I890" s="5">
        <v>44409</v>
      </c>
      <c r="J890" s="6">
        <v>0</v>
      </c>
      <c r="K890" s="6">
        <v>0</v>
      </c>
      <c r="L890" s="6">
        <v>-0.22600000000000001</v>
      </c>
      <c r="M890" s="6">
        <v>-0.22600000000000001</v>
      </c>
      <c r="N890" s="6">
        <v>-0.22600000000000001</v>
      </c>
      <c r="O890" s="6">
        <v>-0.22600000000000001</v>
      </c>
      <c r="P890" s="6">
        <v>-3</v>
      </c>
      <c r="Q890" s="4" t="s">
        <v>26</v>
      </c>
      <c r="R890" s="4">
        <v>0</v>
      </c>
      <c r="S890" s="6">
        <v>0</v>
      </c>
      <c r="T890" s="6">
        <v>37</v>
      </c>
      <c r="U890" s="6">
        <v>77</v>
      </c>
      <c r="V890" s="6">
        <f>IF(ISERROR(VLOOKUP($S$890,'TAR FIN'!$A$1:$O$100,15,0)),0,VLOOKUP($S$890,'TAR FIN'!$A$1:$O$100,15,0))</f>
        <v>0</v>
      </c>
      <c r="W890" s="6">
        <f>IF(ISERROR(VLOOKUP($T$890,'TAR FIN'!$A$1:$O$100,15,0)),0,VLOOKUP($T$890,'TAR FIN'!$A$1:$O$100,15,0))</f>
        <v>246.5</v>
      </c>
      <c r="X890" s="6">
        <f>IF(ISERROR(VLOOKUP($U$890,'TAR FIN'!$A$1:$O$100,15,0)),0,VLOOKUP($U$890,'TAR FIN'!$A$1:$O$100,15,0))</f>
        <v>231.33</v>
      </c>
      <c r="Y890" s="6"/>
      <c r="Z890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0" s="6">
        <f>('TE BE'!$AA$17+'TE BF'!$AA$17+'TE CVA'!$AA$17)*(1-CUSTOS!$M$37)</f>
        <v>250.79367785689016</v>
      </c>
      <c r="AB890" s="6">
        <f>$K$890*$V$890</f>
        <v>0</v>
      </c>
      <c r="AC890" s="6">
        <f>$M$890*$W$890</f>
        <v>-55.709000000000003</v>
      </c>
      <c r="AD890" s="6">
        <f>$O$890*$X$890</f>
        <v>-52.280580000000008</v>
      </c>
      <c r="AE890" s="6">
        <f>$K$890*$Y$890</f>
        <v>0</v>
      </c>
      <c r="AF890" s="6">
        <f ca="1">$M$890*$Z$890</f>
        <v>-53.949343525275644</v>
      </c>
      <c r="AG890" s="6">
        <f>$O$890*$AA$890</f>
        <v>-56.679371195657176</v>
      </c>
    </row>
    <row r="891" spans="1:33" ht="11.25" customHeight="1" x14ac:dyDescent="0.25">
      <c r="A891" s="4" t="s">
        <v>28</v>
      </c>
      <c r="B891" s="4" t="s">
        <v>22</v>
      </c>
      <c r="C891" s="4" t="s">
        <v>23</v>
      </c>
      <c r="D891" s="4" t="s">
        <v>24</v>
      </c>
      <c r="E891" s="4" t="s">
        <v>32</v>
      </c>
      <c r="F891" s="4" t="s">
        <v>25</v>
      </c>
      <c r="G891" s="4" t="s">
        <v>25</v>
      </c>
      <c r="H891" s="4" t="s">
        <v>25</v>
      </c>
      <c r="I891" s="5">
        <v>44409</v>
      </c>
      <c r="J891" s="6">
        <v>0</v>
      </c>
      <c r="K891" s="6">
        <v>0</v>
      </c>
      <c r="L891" s="6">
        <v>1.0740000000000001</v>
      </c>
      <c r="M891" s="6">
        <v>1.0740000000000001</v>
      </c>
      <c r="N891" s="6">
        <v>1.0740000000000001</v>
      </c>
      <c r="O891" s="6">
        <v>1.0740000000000001</v>
      </c>
      <c r="P891" s="6">
        <v>7</v>
      </c>
      <c r="Q891" s="4" t="s">
        <v>26</v>
      </c>
      <c r="R891" s="4">
        <v>0</v>
      </c>
      <c r="S891" s="6">
        <v>0</v>
      </c>
      <c r="T891" s="6">
        <v>37</v>
      </c>
      <c r="U891" s="6">
        <v>77</v>
      </c>
      <c r="V891" s="6">
        <f>IF(ISERROR(VLOOKUP($S$891,'TAR FIN'!$A$1:$O$100,15,0)),0,VLOOKUP($S$891,'TAR FIN'!$A$1:$O$100,15,0))</f>
        <v>0</v>
      </c>
      <c r="W891" s="6">
        <f>IF(ISERROR(VLOOKUP($T$891,'TAR FIN'!$A$1:$O$100,15,0)),0,VLOOKUP($T$891,'TAR FIN'!$A$1:$O$100,15,0))</f>
        <v>246.5</v>
      </c>
      <c r="X891" s="6">
        <f>IF(ISERROR(VLOOKUP($U$891,'TAR FIN'!$A$1:$O$100,15,0)),0,VLOOKUP($U$891,'TAR FIN'!$A$1:$O$100,15,0))</f>
        <v>231.33</v>
      </c>
      <c r="Y891" s="6"/>
      <c r="Z891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1" s="6">
        <f>('TE BE'!$AA$17+'TE BF'!$AA$17+'TE CVA'!$AA$17)*(1-CUSTOS!$M$37)</f>
        <v>250.79367785689016</v>
      </c>
      <c r="AB891" s="6">
        <f>$K$891*$V$891</f>
        <v>0</v>
      </c>
      <c r="AC891" s="6">
        <f>$M$891*$W$891</f>
        <v>264.74100000000004</v>
      </c>
      <c r="AD891" s="6">
        <f>$O$891*$X$891</f>
        <v>248.44842000000003</v>
      </c>
      <c r="AE891" s="6">
        <f>$K$891*$Y$891</f>
        <v>0</v>
      </c>
      <c r="AF891" s="6">
        <f ca="1">$M$891*$Z$891</f>
        <v>256.37873869976124</v>
      </c>
      <c r="AG891" s="6">
        <f>$O$891*$AA$891</f>
        <v>269.35241001830002</v>
      </c>
    </row>
    <row r="892" spans="1:33" ht="11.25" customHeight="1" x14ac:dyDescent="0.25">
      <c r="A892" s="4" t="s">
        <v>21</v>
      </c>
      <c r="B892" s="4" t="s">
        <v>22</v>
      </c>
      <c r="C892" s="4" t="s">
        <v>23</v>
      </c>
      <c r="D892" s="4" t="s">
        <v>24</v>
      </c>
      <c r="E892" s="4" t="s">
        <v>32</v>
      </c>
      <c r="F892" s="4" t="s">
        <v>25</v>
      </c>
      <c r="G892" s="4" t="s">
        <v>25</v>
      </c>
      <c r="H892" s="4" t="s">
        <v>25</v>
      </c>
      <c r="I892" s="5">
        <v>44440</v>
      </c>
      <c r="J892" s="6">
        <v>0</v>
      </c>
      <c r="K892" s="6">
        <v>0</v>
      </c>
      <c r="L892" s="6">
        <v>198.922</v>
      </c>
      <c r="M892" s="6">
        <v>198.922</v>
      </c>
      <c r="N892" s="6">
        <v>198.922</v>
      </c>
      <c r="O892" s="6">
        <v>198.922</v>
      </c>
      <c r="P892" s="6">
        <v>2109</v>
      </c>
      <c r="Q892" s="4" t="s">
        <v>26</v>
      </c>
      <c r="R892" s="4">
        <v>0</v>
      </c>
      <c r="S892" s="6">
        <v>0</v>
      </c>
      <c r="T892" s="6">
        <v>37</v>
      </c>
      <c r="U892" s="6">
        <v>77</v>
      </c>
      <c r="V892" s="6">
        <f>IF(ISERROR(VLOOKUP($S$892,'TAR FIN'!$A$1:$O$100,15,0)),0,VLOOKUP($S$892,'TAR FIN'!$A$1:$O$100,15,0))</f>
        <v>0</v>
      </c>
      <c r="W892" s="6">
        <f>IF(ISERROR(VLOOKUP($T$892,'TAR FIN'!$A$1:$O$100,15,0)),0,VLOOKUP($T$892,'TAR FIN'!$A$1:$O$100,15,0))</f>
        <v>246.5</v>
      </c>
      <c r="X892" s="6">
        <f>IF(ISERROR(VLOOKUP($U$892,'TAR FIN'!$A$1:$O$100,15,0)),0,VLOOKUP($U$892,'TAR FIN'!$A$1:$O$100,15,0))</f>
        <v>231.33</v>
      </c>
      <c r="Y892" s="6"/>
      <c r="Z892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2" s="6">
        <f>('TE BE'!$AA$17+'TE BF'!$AA$17+'TE CVA'!$AA$17)*(1-CUSTOS!$M$37)</f>
        <v>250.79367785689016</v>
      </c>
      <c r="AB892" s="6">
        <f>$K$892*$V$892</f>
        <v>0</v>
      </c>
      <c r="AC892" s="6">
        <f>$M$892*$W$892</f>
        <v>49034.273000000001</v>
      </c>
      <c r="AD892" s="6">
        <f>$O$892*$X$892</f>
        <v>46016.626260000005</v>
      </c>
      <c r="AE892" s="6">
        <f>$K$892*$Y$892</f>
        <v>0</v>
      </c>
      <c r="AF892" s="6">
        <f ca="1">$M$892*$Z$892</f>
        <v>47485.448286437524</v>
      </c>
      <c r="AG892" s="6">
        <f>$O$892*$AA$892</f>
        <v>49888.379986648302</v>
      </c>
    </row>
    <row r="893" spans="1:33" ht="11.25" customHeight="1" x14ac:dyDescent="0.25">
      <c r="A893" s="4" t="s">
        <v>27</v>
      </c>
      <c r="B893" s="4" t="s">
        <v>22</v>
      </c>
      <c r="C893" s="4" t="s">
        <v>23</v>
      </c>
      <c r="D893" s="4" t="s">
        <v>24</v>
      </c>
      <c r="E893" s="4" t="s">
        <v>32</v>
      </c>
      <c r="F893" s="4" t="s">
        <v>25</v>
      </c>
      <c r="G893" s="4" t="s">
        <v>25</v>
      </c>
      <c r="H893" s="4" t="s">
        <v>25</v>
      </c>
      <c r="I893" s="5">
        <v>44440</v>
      </c>
      <c r="J893" s="6">
        <v>0</v>
      </c>
      <c r="K893" s="6">
        <v>0</v>
      </c>
      <c r="L893" s="6">
        <v>-3.7999999999999999E-2</v>
      </c>
      <c r="M893" s="6">
        <v>-3.7999999999999999E-2</v>
      </c>
      <c r="N893" s="6">
        <v>-3.7999999999999999E-2</v>
      </c>
      <c r="O893" s="6">
        <v>-3.7999999999999999E-2</v>
      </c>
      <c r="P893" s="6">
        <v>-1</v>
      </c>
      <c r="Q893" s="4" t="s">
        <v>26</v>
      </c>
      <c r="R893" s="4">
        <v>0</v>
      </c>
      <c r="S893" s="6">
        <v>0</v>
      </c>
      <c r="T893" s="6">
        <v>37</v>
      </c>
      <c r="U893" s="6">
        <v>77</v>
      </c>
      <c r="V893" s="6">
        <f>IF(ISERROR(VLOOKUP($S$893,'TAR FIN'!$A$1:$O$100,15,0)),0,VLOOKUP($S$893,'TAR FIN'!$A$1:$O$100,15,0))</f>
        <v>0</v>
      </c>
      <c r="W893" s="6">
        <f>IF(ISERROR(VLOOKUP($T$893,'TAR FIN'!$A$1:$O$100,15,0)),0,VLOOKUP($T$893,'TAR FIN'!$A$1:$O$100,15,0))</f>
        <v>246.5</v>
      </c>
      <c r="X893" s="6">
        <f>IF(ISERROR(VLOOKUP($U$893,'TAR FIN'!$A$1:$O$100,15,0)),0,VLOOKUP($U$893,'TAR FIN'!$A$1:$O$100,15,0))</f>
        <v>231.33</v>
      </c>
      <c r="Y893" s="6"/>
      <c r="Z89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3" s="6">
        <f>('TE BE'!$AA$17+'TE BF'!$AA$17+'TE CVA'!$AA$17)*(1-CUSTOS!$M$37)</f>
        <v>250.79367785689016</v>
      </c>
      <c r="AB893" s="6">
        <f>$K$893*$V$893</f>
        <v>0</v>
      </c>
      <c r="AC893" s="6">
        <f>$M$893*$W$893</f>
        <v>-9.3669999999999991</v>
      </c>
      <c r="AD893" s="6">
        <f>$O$893*$X$893</f>
        <v>-8.79054</v>
      </c>
      <c r="AE893" s="6">
        <f>$K$893*$Y$893</f>
        <v>0</v>
      </c>
      <c r="AF893" s="6">
        <f ca="1">$M$893*$Z$893</f>
        <v>-9.0711285573472313</v>
      </c>
      <c r="AG893" s="6">
        <f>$O$893*$AA$893</f>
        <v>-9.5301597585618261</v>
      </c>
    </row>
    <row r="894" spans="1:33" ht="11.25" customHeight="1" x14ac:dyDescent="0.25">
      <c r="A894" s="4" t="s">
        <v>28</v>
      </c>
      <c r="B894" s="4" t="s">
        <v>22</v>
      </c>
      <c r="C894" s="4" t="s">
        <v>23</v>
      </c>
      <c r="D894" s="4" t="s">
        <v>24</v>
      </c>
      <c r="E894" s="4" t="s">
        <v>32</v>
      </c>
      <c r="F894" s="4" t="s">
        <v>25</v>
      </c>
      <c r="G894" s="4" t="s">
        <v>25</v>
      </c>
      <c r="H894" s="4" t="s">
        <v>25</v>
      </c>
      <c r="I894" s="5">
        <v>44440</v>
      </c>
      <c r="J894" s="6">
        <v>0</v>
      </c>
      <c r="K894" s="6">
        <v>0</v>
      </c>
      <c r="L894" s="6">
        <v>2.835</v>
      </c>
      <c r="M894" s="6">
        <v>2.835</v>
      </c>
      <c r="N894" s="6">
        <v>2.835</v>
      </c>
      <c r="O894" s="6">
        <v>2.835</v>
      </c>
      <c r="P894" s="6">
        <v>6</v>
      </c>
      <c r="Q894" s="4" t="s">
        <v>26</v>
      </c>
      <c r="R894" s="4">
        <v>0</v>
      </c>
      <c r="S894" s="6">
        <v>0</v>
      </c>
      <c r="T894" s="6">
        <v>37</v>
      </c>
      <c r="U894" s="6">
        <v>77</v>
      </c>
      <c r="V894" s="6">
        <f>IF(ISERROR(VLOOKUP($S$894,'TAR FIN'!$A$1:$O$100,15,0)),0,VLOOKUP($S$894,'TAR FIN'!$A$1:$O$100,15,0))</f>
        <v>0</v>
      </c>
      <c r="W894" s="6">
        <f>IF(ISERROR(VLOOKUP($T$894,'TAR FIN'!$A$1:$O$100,15,0)),0,VLOOKUP($T$894,'TAR FIN'!$A$1:$O$100,15,0))</f>
        <v>246.5</v>
      </c>
      <c r="X894" s="6">
        <f>IF(ISERROR(VLOOKUP($U$894,'TAR FIN'!$A$1:$O$100,15,0)),0,VLOOKUP($U$894,'TAR FIN'!$A$1:$O$100,15,0))</f>
        <v>231.33</v>
      </c>
      <c r="Y894" s="6"/>
      <c r="Z89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4" s="6">
        <f>('TE BE'!$AA$17+'TE BF'!$AA$17+'TE CVA'!$AA$17)*(1-CUSTOS!$M$37)</f>
        <v>250.79367785689016</v>
      </c>
      <c r="AB894" s="6">
        <f>$K$894*$V$894</f>
        <v>0</v>
      </c>
      <c r="AC894" s="6">
        <f>$M$894*$W$894</f>
        <v>698.82749999999999</v>
      </c>
      <c r="AD894" s="6">
        <f>$O$894*$X$894</f>
        <v>655.82055000000003</v>
      </c>
      <c r="AE894" s="6">
        <f>$K$894*$Y$894</f>
        <v>0</v>
      </c>
      <c r="AF894" s="6">
        <f ca="1">$M$894*$Z$894</f>
        <v>676.75393315998417</v>
      </c>
      <c r="AG894" s="6">
        <f>$O$894*$AA$894</f>
        <v>711.00007672428353</v>
      </c>
    </row>
    <row r="895" spans="1:33" ht="11.25" customHeight="1" x14ac:dyDescent="0.25">
      <c r="A895" s="4" t="s">
        <v>21</v>
      </c>
      <c r="B895" s="4" t="s">
        <v>22</v>
      </c>
      <c r="C895" s="4" t="s">
        <v>23</v>
      </c>
      <c r="D895" s="4" t="s">
        <v>24</v>
      </c>
      <c r="E895" s="4" t="s">
        <v>32</v>
      </c>
      <c r="F895" s="4" t="s">
        <v>25</v>
      </c>
      <c r="G895" s="4" t="s">
        <v>25</v>
      </c>
      <c r="H895" s="4" t="s">
        <v>25</v>
      </c>
      <c r="I895" s="5">
        <v>44470</v>
      </c>
      <c r="J895" s="6">
        <v>0</v>
      </c>
      <c r="K895" s="6">
        <v>0</v>
      </c>
      <c r="L895" s="6">
        <v>232.042</v>
      </c>
      <c r="M895" s="6">
        <v>232.042</v>
      </c>
      <c r="N895" s="6">
        <v>232.042</v>
      </c>
      <c r="O895" s="6">
        <v>232.042</v>
      </c>
      <c r="P895" s="6">
        <v>2521</v>
      </c>
      <c r="Q895" s="4" t="s">
        <v>26</v>
      </c>
      <c r="R895" s="4">
        <v>0</v>
      </c>
      <c r="S895" s="6">
        <v>0</v>
      </c>
      <c r="T895" s="6">
        <v>37</v>
      </c>
      <c r="U895" s="6">
        <v>77</v>
      </c>
      <c r="V895" s="6">
        <f>IF(ISERROR(VLOOKUP($S$895,'TAR FIN'!$A$1:$O$100,15,0)),0,VLOOKUP($S$895,'TAR FIN'!$A$1:$O$100,15,0))</f>
        <v>0</v>
      </c>
      <c r="W895" s="6">
        <f>IF(ISERROR(VLOOKUP($T$895,'TAR FIN'!$A$1:$O$100,15,0)),0,VLOOKUP($T$895,'TAR FIN'!$A$1:$O$100,15,0))</f>
        <v>246.5</v>
      </c>
      <c r="X895" s="6">
        <f>IF(ISERROR(VLOOKUP($U$895,'TAR FIN'!$A$1:$O$100,15,0)),0,VLOOKUP($U$895,'TAR FIN'!$A$1:$O$100,15,0))</f>
        <v>231.33</v>
      </c>
      <c r="Y895" s="6"/>
      <c r="Z89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5" s="6">
        <f>('TE BE'!$AA$17+'TE BF'!$AA$17+'TE CVA'!$AA$17)*(1-CUSTOS!$M$37)</f>
        <v>250.79367785689016</v>
      </c>
      <c r="AB895" s="6">
        <f>$K$895*$V$895</f>
        <v>0</v>
      </c>
      <c r="AC895" s="6">
        <f>$M$895*$W$895</f>
        <v>57198.353000000003</v>
      </c>
      <c r="AD895" s="6">
        <f>$O$895*$X$895</f>
        <v>53678.275860000002</v>
      </c>
      <c r="AE895" s="6">
        <f>$K$895*$Y$895</f>
        <v>0</v>
      </c>
      <c r="AF895" s="6">
        <f ca="1">$M$895*$Z$895</f>
        <v>55391.652965893853</v>
      </c>
      <c r="AG895" s="6">
        <f>$O$895*$AA$895</f>
        <v>58194.666597268508</v>
      </c>
    </row>
    <row r="896" spans="1:33" ht="11.25" customHeight="1" x14ac:dyDescent="0.25">
      <c r="A896" s="4" t="s">
        <v>28</v>
      </c>
      <c r="B896" s="4" t="s">
        <v>22</v>
      </c>
      <c r="C896" s="4" t="s">
        <v>23</v>
      </c>
      <c r="D896" s="4" t="s">
        <v>24</v>
      </c>
      <c r="E896" s="4" t="s">
        <v>32</v>
      </c>
      <c r="F896" s="4" t="s">
        <v>25</v>
      </c>
      <c r="G896" s="4" t="s">
        <v>25</v>
      </c>
      <c r="H896" s="4" t="s">
        <v>25</v>
      </c>
      <c r="I896" s="5">
        <v>44470</v>
      </c>
      <c r="J896" s="6">
        <v>0</v>
      </c>
      <c r="K896" s="6">
        <v>0</v>
      </c>
      <c r="L896" s="6">
        <v>2.1280000000000001</v>
      </c>
      <c r="M896" s="6">
        <v>2.1280000000000001</v>
      </c>
      <c r="N896" s="6">
        <v>2.1280000000000001</v>
      </c>
      <c r="O896" s="6">
        <v>2.1280000000000001</v>
      </c>
      <c r="P896" s="6">
        <v>9</v>
      </c>
      <c r="Q896" s="4" t="s">
        <v>26</v>
      </c>
      <c r="R896" s="4">
        <v>0</v>
      </c>
      <c r="S896" s="6">
        <v>0</v>
      </c>
      <c r="T896" s="6">
        <v>37</v>
      </c>
      <c r="U896" s="6">
        <v>77</v>
      </c>
      <c r="V896" s="6">
        <f>IF(ISERROR(VLOOKUP($S$896,'TAR FIN'!$A$1:$O$100,15,0)),0,VLOOKUP($S$896,'TAR FIN'!$A$1:$O$100,15,0))</f>
        <v>0</v>
      </c>
      <c r="W896" s="6">
        <f>IF(ISERROR(VLOOKUP($T$896,'TAR FIN'!$A$1:$O$100,15,0)),0,VLOOKUP($T$896,'TAR FIN'!$A$1:$O$100,15,0))</f>
        <v>246.5</v>
      </c>
      <c r="X896" s="6">
        <f>IF(ISERROR(VLOOKUP($U$896,'TAR FIN'!$A$1:$O$100,15,0)),0,VLOOKUP($U$896,'TAR FIN'!$A$1:$O$100,15,0))</f>
        <v>231.33</v>
      </c>
      <c r="Y896" s="6"/>
      <c r="Z89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6" s="6">
        <f>('TE BE'!$AA$17+'TE BF'!$AA$17+'TE CVA'!$AA$17)*(1-CUSTOS!$M$37)</f>
        <v>250.79367785689016</v>
      </c>
      <c r="AB896" s="6">
        <f>$K$896*$V$896</f>
        <v>0</v>
      </c>
      <c r="AC896" s="6">
        <f>$M$896*$W$896</f>
        <v>524.55200000000002</v>
      </c>
      <c r="AD896" s="6">
        <f>$O$896*$X$896</f>
        <v>492.27024000000006</v>
      </c>
      <c r="AE896" s="6">
        <f>$K$896*$Y$896</f>
        <v>0</v>
      </c>
      <c r="AF896" s="6">
        <f ca="1">$M$896*$Z$896</f>
        <v>507.98319921144497</v>
      </c>
      <c r="AG896" s="6">
        <f>$O$896*$AA$896</f>
        <v>533.68894647946229</v>
      </c>
    </row>
    <row r="897" spans="1:33" ht="11.25" customHeight="1" x14ac:dyDescent="0.25">
      <c r="A897" s="4" t="s">
        <v>21</v>
      </c>
      <c r="B897" s="4" t="s">
        <v>22</v>
      </c>
      <c r="C897" s="4" t="s">
        <v>23</v>
      </c>
      <c r="D897" s="4" t="s">
        <v>24</v>
      </c>
      <c r="E897" s="4" t="s">
        <v>32</v>
      </c>
      <c r="F897" s="4" t="s">
        <v>25</v>
      </c>
      <c r="G897" s="4" t="s">
        <v>25</v>
      </c>
      <c r="H897" s="4" t="s">
        <v>25</v>
      </c>
      <c r="I897" s="5">
        <v>44501</v>
      </c>
      <c r="J897" s="6">
        <v>0</v>
      </c>
      <c r="K897" s="6">
        <v>0</v>
      </c>
      <c r="L897" s="6">
        <v>246.06800000000001</v>
      </c>
      <c r="M897" s="6">
        <v>246.06800000000001</v>
      </c>
      <c r="N897" s="6">
        <v>246.06800000000001</v>
      </c>
      <c r="O897" s="6">
        <v>246.06800000000001</v>
      </c>
      <c r="P897" s="6">
        <v>2683</v>
      </c>
      <c r="Q897" s="4" t="s">
        <v>26</v>
      </c>
      <c r="R897" s="4">
        <v>0</v>
      </c>
      <c r="S897" s="6">
        <v>0</v>
      </c>
      <c r="T897" s="6">
        <v>37</v>
      </c>
      <c r="U897" s="6">
        <v>77</v>
      </c>
      <c r="V897" s="6">
        <f>IF(ISERROR(VLOOKUP($S$897,'TAR FIN'!$A$1:$O$100,15,0)),0,VLOOKUP($S$897,'TAR FIN'!$A$1:$O$100,15,0))</f>
        <v>0</v>
      </c>
      <c r="W897" s="6">
        <f>IF(ISERROR(VLOOKUP($T$897,'TAR FIN'!$A$1:$O$100,15,0)),0,VLOOKUP($T$897,'TAR FIN'!$A$1:$O$100,15,0))</f>
        <v>246.5</v>
      </c>
      <c r="X897" s="6">
        <f>IF(ISERROR(VLOOKUP($U$897,'TAR FIN'!$A$1:$O$100,15,0)),0,VLOOKUP($U$897,'TAR FIN'!$A$1:$O$100,15,0))</f>
        <v>231.33</v>
      </c>
      <c r="Y897" s="6"/>
      <c r="Z89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7" s="6">
        <f>('TE BE'!$AA$17+'TE BF'!$AA$17+'TE CVA'!$AA$17)*(1-CUSTOS!$M$37)</f>
        <v>250.79367785689016</v>
      </c>
      <c r="AB897" s="6">
        <f>$K$897*$V$897</f>
        <v>0</v>
      </c>
      <c r="AC897" s="6">
        <f>$M$897*$W$897</f>
        <v>60655.762000000002</v>
      </c>
      <c r="AD897" s="6">
        <f>$O$897*$X$897</f>
        <v>56922.910440000007</v>
      </c>
      <c r="AE897" s="6">
        <f>$K$897*$Y$897</f>
        <v>0</v>
      </c>
      <c r="AF897" s="6">
        <f ca="1">$M$897*$Z$897</f>
        <v>58739.854259192594</v>
      </c>
      <c r="AG897" s="6">
        <f>$O$897*$AA$897</f>
        <v>61712.298722889253</v>
      </c>
    </row>
    <row r="898" spans="1:33" ht="11.25" customHeight="1" x14ac:dyDescent="0.25">
      <c r="A898" s="4" t="s">
        <v>27</v>
      </c>
      <c r="B898" s="4" t="s">
        <v>22</v>
      </c>
      <c r="C898" s="4" t="s">
        <v>23</v>
      </c>
      <c r="D898" s="4" t="s">
        <v>24</v>
      </c>
      <c r="E898" s="4" t="s">
        <v>32</v>
      </c>
      <c r="F898" s="4" t="s">
        <v>25</v>
      </c>
      <c r="G898" s="4" t="s">
        <v>25</v>
      </c>
      <c r="H898" s="4" t="s">
        <v>25</v>
      </c>
      <c r="I898" s="5">
        <v>44501</v>
      </c>
      <c r="J898" s="6">
        <v>0</v>
      </c>
      <c r="K898" s="6">
        <v>0</v>
      </c>
      <c r="L898" s="6">
        <v>-1.1659999999999999</v>
      </c>
      <c r="M898" s="6">
        <v>-1.1659999999999999</v>
      </c>
      <c r="N898" s="6">
        <v>-1.1659999999999999</v>
      </c>
      <c r="O898" s="6">
        <v>-1.1659999999999999</v>
      </c>
      <c r="P898" s="6">
        <v>-1</v>
      </c>
      <c r="Q898" s="4" t="s">
        <v>26</v>
      </c>
      <c r="R898" s="4">
        <v>0</v>
      </c>
      <c r="S898" s="6">
        <v>0</v>
      </c>
      <c r="T898" s="6">
        <v>37</v>
      </c>
      <c r="U898" s="6">
        <v>77</v>
      </c>
      <c r="V898" s="6">
        <f>IF(ISERROR(VLOOKUP($S$898,'TAR FIN'!$A$1:$O$100,15,0)),0,VLOOKUP($S$898,'TAR FIN'!$A$1:$O$100,15,0))</f>
        <v>0</v>
      </c>
      <c r="W898" s="6">
        <f>IF(ISERROR(VLOOKUP($T$898,'TAR FIN'!$A$1:$O$100,15,0)),0,VLOOKUP($T$898,'TAR FIN'!$A$1:$O$100,15,0))</f>
        <v>246.5</v>
      </c>
      <c r="X898" s="6">
        <f>IF(ISERROR(VLOOKUP($U$898,'TAR FIN'!$A$1:$O$100,15,0)),0,VLOOKUP($U$898,'TAR FIN'!$A$1:$O$100,15,0))</f>
        <v>231.33</v>
      </c>
      <c r="Y898" s="6"/>
      <c r="Z89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8" s="6">
        <f>('TE BE'!$AA$17+'TE BF'!$AA$17+'TE CVA'!$AA$17)*(1-CUSTOS!$M$37)</f>
        <v>250.79367785689016</v>
      </c>
      <c r="AB898" s="6">
        <f>$K$898*$V$898</f>
        <v>0</v>
      </c>
      <c r="AC898" s="6">
        <f>$M$898*$W$898</f>
        <v>-287.41899999999998</v>
      </c>
      <c r="AD898" s="6">
        <f>$O$898*$X$898</f>
        <v>-269.73077999999998</v>
      </c>
      <c r="AE898" s="6">
        <f>$K$898*$Y$898</f>
        <v>0</v>
      </c>
      <c r="AF898" s="6">
        <f ca="1">$M$898*$Z$898</f>
        <v>-278.34041836491764</v>
      </c>
      <c r="AG898" s="6">
        <f>$O$898*$AA$898</f>
        <v>-292.42542838113388</v>
      </c>
    </row>
    <row r="899" spans="1:33" ht="11.25" customHeight="1" x14ac:dyDescent="0.25">
      <c r="A899" s="4" t="s">
        <v>28</v>
      </c>
      <c r="B899" s="4" t="s">
        <v>22</v>
      </c>
      <c r="C899" s="4" t="s">
        <v>23</v>
      </c>
      <c r="D899" s="4" t="s">
        <v>24</v>
      </c>
      <c r="E899" s="4" t="s">
        <v>32</v>
      </c>
      <c r="F899" s="4" t="s">
        <v>25</v>
      </c>
      <c r="G899" s="4" t="s">
        <v>25</v>
      </c>
      <c r="H899" s="4" t="s">
        <v>25</v>
      </c>
      <c r="I899" s="5">
        <v>44501</v>
      </c>
      <c r="J899" s="6">
        <v>0</v>
      </c>
      <c r="K899" s="6">
        <v>0</v>
      </c>
      <c r="L899" s="6">
        <v>2.665</v>
      </c>
      <c r="M899" s="6">
        <v>2.665</v>
      </c>
      <c r="N899" s="6">
        <v>2.665</v>
      </c>
      <c r="O899" s="6">
        <v>2.665</v>
      </c>
      <c r="P899" s="6">
        <v>12</v>
      </c>
      <c r="Q899" s="4" t="s">
        <v>26</v>
      </c>
      <c r="R899" s="4">
        <v>0</v>
      </c>
      <c r="S899" s="6">
        <v>0</v>
      </c>
      <c r="T899" s="6">
        <v>37</v>
      </c>
      <c r="U899" s="6">
        <v>77</v>
      </c>
      <c r="V899" s="6">
        <f>IF(ISERROR(VLOOKUP($S$899,'TAR FIN'!$A$1:$O$100,15,0)),0,VLOOKUP($S$899,'TAR FIN'!$A$1:$O$100,15,0))</f>
        <v>0</v>
      </c>
      <c r="W899" s="6">
        <f>IF(ISERROR(VLOOKUP($T$899,'TAR FIN'!$A$1:$O$100,15,0)),0,VLOOKUP($T$899,'TAR FIN'!$A$1:$O$100,15,0))</f>
        <v>246.5</v>
      </c>
      <c r="X899" s="6">
        <f>IF(ISERROR(VLOOKUP($U$899,'TAR FIN'!$A$1:$O$100,15,0)),0,VLOOKUP($U$899,'TAR FIN'!$A$1:$O$100,15,0))</f>
        <v>231.33</v>
      </c>
      <c r="Y899" s="6"/>
      <c r="Z899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899" s="6">
        <f>('TE BE'!$AA$17+'TE BF'!$AA$17+'TE CVA'!$AA$17)*(1-CUSTOS!$M$37)</f>
        <v>250.79367785689016</v>
      </c>
      <c r="AB899" s="6">
        <f>$K$899*$V$899</f>
        <v>0</v>
      </c>
      <c r="AC899" s="6">
        <f>$M$899*$W$899</f>
        <v>656.92250000000001</v>
      </c>
      <c r="AD899" s="6">
        <f>$O$899*$X$899</f>
        <v>616.49445000000003</v>
      </c>
      <c r="AE899" s="6">
        <f>$K$899*$Y$899</f>
        <v>0</v>
      </c>
      <c r="AF899" s="6">
        <f ca="1">$M$899*$Z$899</f>
        <v>636.17256856132553</v>
      </c>
      <c r="AG899" s="6">
        <f>$O$899*$AA$899</f>
        <v>668.36515148861224</v>
      </c>
    </row>
    <row r="900" spans="1:33" ht="11.25" customHeight="1" x14ac:dyDescent="0.25">
      <c r="A900" s="4" t="s">
        <v>21</v>
      </c>
      <c r="B900" s="4" t="s">
        <v>22</v>
      </c>
      <c r="C900" s="4" t="s">
        <v>23</v>
      </c>
      <c r="D900" s="4" t="s">
        <v>24</v>
      </c>
      <c r="E900" s="4" t="s">
        <v>32</v>
      </c>
      <c r="F900" s="4" t="s">
        <v>25</v>
      </c>
      <c r="G900" s="4" t="s">
        <v>25</v>
      </c>
      <c r="H900" s="4" t="s">
        <v>25</v>
      </c>
      <c r="I900" s="5">
        <v>44531</v>
      </c>
      <c r="J900" s="6">
        <v>0</v>
      </c>
      <c r="K900" s="6">
        <v>0</v>
      </c>
      <c r="L900" s="6">
        <v>288.95600000000002</v>
      </c>
      <c r="M900" s="6">
        <v>288.95600000000002</v>
      </c>
      <c r="N900" s="6">
        <v>288.95600000000002</v>
      </c>
      <c r="O900" s="6">
        <v>288.95600000000002</v>
      </c>
      <c r="P900" s="6">
        <v>3028</v>
      </c>
      <c r="Q900" s="4" t="s">
        <v>26</v>
      </c>
      <c r="R900" s="4">
        <v>0</v>
      </c>
      <c r="S900" s="6">
        <v>0</v>
      </c>
      <c r="T900" s="6">
        <v>37</v>
      </c>
      <c r="U900" s="6">
        <v>77</v>
      </c>
      <c r="V900" s="6">
        <f>IF(ISERROR(VLOOKUP($S$900,'TAR FIN'!$A$1:$O$100,15,0)),0,VLOOKUP($S$900,'TAR FIN'!$A$1:$O$100,15,0))</f>
        <v>0</v>
      </c>
      <c r="W900" s="6">
        <f>IF(ISERROR(VLOOKUP($T$900,'TAR FIN'!$A$1:$O$100,15,0)),0,VLOOKUP($T$900,'TAR FIN'!$A$1:$O$100,15,0))</f>
        <v>246.5</v>
      </c>
      <c r="X900" s="6">
        <f>IF(ISERROR(VLOOKUP($U$900,'TAR FIN'!$A$1:$O$100,15,0)),0,VLOOKUP($U$900,'TAR FIN'!$A$1:$O$100,15,0))</f>
        <v>231.33</v>
      </c>
      <c r="Y900" s="6"/>
      <c r="Z900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900" s="6">
        <f>('TE BE'!$AA$17+'TE BF'!$AA$17+'TE CVA'!$AA$17)*(1-CUSTOS!$M$37)</f>
        <v>250.79367785689016</v>
      </c>
      <c r="AB900" s="6">
        <f>$K$900*$V$900</f>
        <v>0</v>
      </c>
      <c r="AC900" s="6">
        <f>$M$900*$W$900</f>
        <v>71227.65400000001</v>
      </c>
      <c r="AD900" s="6">
        <f>$O$900*$X$900</f>
        <v>66844.191480000009</v>
      </c>
      <c r="AE900" s="6">
        <f>$K$900*$Y$900</f>
        <v>0</v>
      </c>
      <c r="AF900" s="6">
        <f ca="1">$M$900*$Z$900</f>
        <v>68977.816405705962</v>
      </c>
      <c r="AG900" s="6">
        <f>$O$900*$AA$900</f>
        <v>72468.337978815558</v>
      </c>
    </row>
    <row r="901" spans="1:33" ht="11.25" customHeight="1" x14ac:dyDescent="0.25">
      <c r="A901" s="4" t="s">
        <v>27</v>
      </c>
      <c r="B901" s="4" t="s">
        <v>22</v>
      </c>
      <c r="C901" s="4" t="s">
        <v>23</v>
      </c>
      <c r="D901" s="4" t="s">
        <v>24</v>
      </c>
      <c r="E901" s="4" t="s">
        <v>32</v>
      </c>
      <c r="F901" s="4" t="s">
        <v>25</v>
      </c>
      <c r="G901" s="4" t="s">
        <v>25</v>
      </c>
      <c r="H901" s="4" t="s">
        <v>25</v>
      </c>
      <c r="I901" s="5">
        <v>44531</v>
      </c>
      <c r="J901" s="6">
        <v>0</v>
      </c>
      <c r="K901" s="6">
        <v>0</v>
      </c>
      <c r="L901" s="6">
        <v>-0.86199999999999999</v>
      </c>
      <c r="M901" s="6">
        <v>-0.86199999999999999</v>
      </c>
      <c r="N901" s="6">
        <v>-0.86199999999999999</v>
      </c>
      <c r="O901" s="6">
        <v>-0.86199999999999999</v>
      </c>
      <c r="P901" s="6">
        <v>-1</v>
      </c>
      <c r="Q901" s="4" t="s">
        <v>26</v>
      </c>
      <c r="R901" s="4">
        <v>0</v>
      </c>
      <c r="S901" s="6">
        <v>0</v>
      </c>
      <c r="T901" s="6">
        <v>37</v>
      </c>
      <c r="U901" s="6">
        <v>77</v>
      </c>
      <c r="V901" s="6">
        <f>IF(ISERROR(VLOOKUP($S$901,'TAR FIN'!$A$1:$O$100,15,0)),0,VLOOKUP($S$901,'TAR FIN'!$A$1:$O$100,15,0))</f>
        <v>0</v>
      </c>
      <c r="W901" s="6">
        <f>IF(ISERROR(VLOOKUP($T$901,'TAR FIN'!$A$1:$O$100,15,0)),0,VLOOKUP($T$901,'TAR FIN'!$A$1:$O$100,15,0))</f>
        <v>246.5</v>
      </c>
      <c r="X901" s="6">
        <f>IF(ISERROR(VLOOKUP($U$901,'TAR FIN'!$A$1:$O$100,15,0)),0,VLOOKUP($U$901,'TAR FIN'!$A$1:$O$100,15,0))</f>
        <v>231.33</v>
      </c>
      <c r="Y901" s="6"/>
      <c r="Z901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901" s="6">
        <f>('TE BE'!$AA$17+'TE BF'!$AA$17+'TE CVA'!$AA$17)*(1-CUSTOS!$M$37)</f>
        <v>250.79367785689016</v>
      </c>
      <c r="AB901" s="6">
        <f>$K$901*$V$901</f>
        <v>0</v>
      </c>
      <c r="AC901" s="6">
        <f>$M$901*$W$901</f>
        <v>-212.483</v>
      </c>
      <c r="AD901" s="6">
        <f>$O$901*$X$901</f>
        <v>-199.40646000000001</v>
      </c>
      <c r="AE901" s="6">
        <f>$K$901*$Y$901</f>
        <v>0</v>
      </c>
      <c r="AF901" s="6">
        <f ca="1">$M$901*$Z$901</f>
        <v>-205.77138990613983</v>
      </c>
      <c r="AG901" s="6">
        <f>$O$901*$AA$901</f>
        <v>-216.1841503126393</v>
      </c>
    </row>
    <row r="902" spans="1:33" ht="11.25" customHeight="1" x14ac:dyDescent="0.25">
      <c r="A902" s="4" t="s">
        <v>28</v>
      </c>
      <c r="B902" s="4" t="s">
        <v>22</v>
      </c>
      <c r="C902" s="4" t="s">
        <v>23</v>
      </c>
      <c r="D902" s="4" t="s">
        <v>24</v>
      </c>
      <c r="E902" s="4" t="s">
        <v>32</v>
      </c>
      <c r="F902" s="4" t="s">
        <v>25</v>
      </c>
      <c r="G902" s="4" t="s">
        <v>25</v>
      </c>
      <c r="H902" s="4" t="s">
        <v>25</v>
      </c>
      <c r="I902" s="5">
        <v>44531</v>
      </c>
      <c r="J902" s="6">
        <v>0</v>
      </c>
      <c r="K902" s="6">
        <v>0</v>
      </c>
      <c r="L902" s="6">
        <v>7.1210000000000004</v>
      </c>
      <c r="M902" s="6">
        <v>7.1210000000000004</v>
      </c>
      <c r="N902" s="6">
        <v>7.1210000000000004</v>
      </c>
      <c r="O902" s="6">
        <v>7.1210000000000004</v>
      </c>
      <c r="P902" s="6">
        <v>15</v>
      </c>
      <c r="Q902" s="4" t="s">
        <v>26</v>
      </c>
      <c r="R902" s="4">
        <v>0</v>
      </c>
      <c r="S902" s="6">
        <v>0</v>
      </c>
      <c r="T902" s="6">
        <v>37</v>
      </c>
      <c r="U902" s="6">
        <v>77</v>
      </c>
      <c r="V902" s="6">
        <f>IF(ISERROR(VLOOKUP($S$902,'TAR FIN'!$A$1:$O$100,15,0)),0,VLOOKUP($S$902,'TAR FIN'!$A$1:$O$100,15,0))</f>
        <v>0</v>
      </c>
      <c r="W902" s="6">
        <f>IF(ISERROR(VLOOKUP($T$902,'TAR FIN'!$A$1:$O$100,15,0)),0,VLOOKUP($T$902,'TAR FIN'!$A$1:$O$100,15,0))</f>
        <v>246.5</v>
      </c>
      <c r="X902" s="6">
        <f>IF(ISERROR(VLOOKUP($U$902,'TAR FIN'!$A$1:$O$100,15,0)),0,VLOOKUP($U$902,'TAR FIN'!$A$1:$O$100,15,0))</f>
        <v>231.33</v>
      </c>
      <c r="Y902" s="6"/>
      <c r="Z902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902" s="6">
        <f>('TE BE'!$AA$17+'TE BF'!$AA$17+'TE CVA'!$AA$17)*(1-CUSTOS!$M$37)</f>
        <v>250.79367785689016</v>
      </c>
      <c r="AB902" s="6">
        <f>$K$902*$V$902</f>
        <v>0</v>
      </c>
      <c r="AC902" s="6">
        <f>$M$902*$W$902</f>
        <v>1755.3265000000001</v>
      </c>
      <c r="AD902" s="6">
        <f>$O$902*$X$902</f>
        <v>1647.3009300000001</v>
      </c>
      <c r="AE902" s="6">
        <f>$K$902*$Y$902</f>
        <v>0</v>
      </c>
      <c r="AF902" s="6">
        <f ca="1">$M$902*$Z$902</f>
        <v>1699.8817488649904</v>
      </c>
      <c r="AG902" s="6">
        <f>$O$902*$AA$902</f>
        <v>1785.9017800189149</v>
      </c>
    </row>
    <row r="903" spans="1:33" ht="11.25" customHeight="1" x14ac:dyDescent="0.25">
      <c r="A903" s="4" t="s">
        <v>55</v>
      </c>
      <c r="B903" s="4" t="s">
        <v>22</v>
      </c>
      <c r="C903" s="4" t="s">
        <v>23</v>
      </c>
      <c r="D903" s="4" t="s">
        <v>24</v>
      </c>
      <c r="E903" s="4" t="s">
        <v>32</v>
      </c>
      <c r="F903" s="4" t="s">
        <v>25</v>
      </c>
      <c r="G903" s="4" t="s">
        <v>25</v>
      </c>
      <c r="H903" s="4" t="s">
        <v>25</v>
      </c>
      <c r="I903" s="5">
        <v>44562</v>
      </c>
      <c r="J903" s="6">
        <v>0</v>
      </c>
      <c r="K903" s="6">
        <v>0</v>
      </c>
      <c r="L903" s="6">
        <v>288.95600000000002</v>
      </c>
      <c r="M903" s="6">
        <v>288.95600000000002</v>
      </c>
      <c r="N903" s="6">
        <v>288.95600000000002</v>
      </c>
      <c r="O903" s="6">
        <v>288.95600000000002</v>
      </c>
      <c r="P903" s="6">
        <v>3028</v>
      </c>
      <c r="Q903" s="4" t="s">
        <v>26</v>
      </c>
      <c r="R903" s="4">
        <v>0</v>
      </c>
      <c r="S903" s="6">
        <v>0</v>
      </c>
      <c r="T903" s="6">
        <v>37</v>
      </c>
      <c r="U903" s="6">
        <v>77</v>
      </c>
      <c r="V903" s="6">
        <f>IF(ISERROR(VLOOKUP($S$903,'TAR FIN'!$A$1:$O$100,15,0)),0,VLOOKUP($S$903,'TAR FIN'!$A$1:$O$100,15,0))</f>
        <v>0</v>
      </c>
      <c r="W903" s="6">
        <f>IF(ISERROR(VLOOKUP($T$903,'TAR FIN'!$A$1:$O$100,15,0)),0,VLOOKUP($T$903,'TAR FIN'!$A$1:$O$100,15,0))</f>
        <v>246.5</v>
      </c>
      <c r="X903" s="6">
        <f>IF(ISERROR(VLOOKUP($U$903,'TAR FIN'!$A$1:$O$100,15,0)),0,VLOOKUP($U$903,'TAR FIN'!$A$1:$O$100,15,0))</f>
        <v>231.33</v>
      </c>
      <c r="Y903" s="6"/>
      <c r="Z90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903" s="6">
        <f>('TE BE'!$AA$17+'TE BF'!$AA$17+'TE CVA'!$AA$17)*(1-CUSTOS!$M$37)</f>
        <v>250.79367785689016</v>
      </c>
      <c r="AB903" s="6">
        <f>$K$903*$V$903</f>
        <v>0</v>
      </c>
      <c r="AC903" s="6">
        <f>$M$903*$W$903</f>
        <v>71227.65400000001</v>
      </c>
      <c r="AD903" s="6">
        <f>$O$903*$X$903</f>
        <v>66844.191480000009</v>
      </c>
      <c r="AE903" s="6">
        <f>$K$903*$Y$903</f>
        <v>0</v>
      </c>
      <c r="AF903" s="6">
        <f ca="1">$M$903*$Z$903</f>
        <v>68977.816405705962</v>
      </c>
      <c r="AG903" s="6">
        <f>$O$903*$AA$903</f>
        <v>72468.337978815558</v>
      </c>
    </row>
    <row r="904" spans="1:33" ht="11.25" customHeight="1" x14ac:dyDescent="0.25">
      <c r="A904" s="4" t="s">
        <v>55</v>
      </c>
      <c r="B904" s="4" t="s">
        <v>22</v>
      </c>
      <c r="C904" s="4" t="s">
        <v>23</v>
      </c>
      <c r="D904" s="4" t="s">
        <v>24</v>
      </c>
      <c r="E904" s="4" t="s">
        <v>32</v>
      </c>
      <c r="F904" s="4" t="s">
        <v>25</v>
      </c>
      <c r="G904" s="4" t="s">
        <v>25</v>
      </c>
      <c r="H904" s="4" t="s">
        <v>25</v>
      </c>
      <c r="I904" s="5">
        <v>44562</v>
      </c>
      <c r="J904" s="6">
        <v>0</v>
      </c>
      <c r="K904" s="6">
        <v>0</v>
      </c>
      <c r="L904" s="6">
        <v>-0.86199999999999999</v>
      </c>
      <c r="M904" s="6">
        <v>-0.86199999999999999</v>
      </c>
      <c r="N904" s="6">
        <v>-0.86199999999999999</v>
      </c>
      <c r="O904" s="6">
        <v>-0.86199999999999999</v>
      </c>
      <c r="P904" s="6">
        <v>-1</v>
      </c>
      <c r="Q904" s="4" t="s">
        <v>26</v>
      </c>
      <c r="R904" s="4">
        <v>0</v>
      </c>
      <c r="S904" s="6">
        <v>0</v>
      </c>
      <c r="T904" s="6">
        <v>37</v>
      </c>
      <c r="U904" s="6">
        <v>77</v>
      </c>
      <c r="V904" s="6">
        <f>IF(ISERROR(VLOOKUP($S$904,'TAR FIN'!$A$1:$O$100,15,0)),0,VLOOKUP($S$904,'TAR FIN'!$A$1:$O$100,15,0))</f>
        <v>0</v>
      </c>
      <c r="W904" s="6">
        <f>IF(ISERROR(VLOOKUP($T$904,'TAR FIN'!$A$1:$O$100,15,0)),0,VLOOKUP($T$904,'TAR FIN'!$A$1:$O$100,15,0))</f>
        <v>246.5</v>
      </c>
      <c r="X904" s="6">
        <f>IF(ISERROR(VLOOKUP($U$904,'TAR FIN'!$A$1:$O$100,15,0)),0,VLOOKUP($U$904,'TAR FIN'!$A$1:$O$100,15,0))</f>
        <v>231.33</v>
      </c>
      <c r="Y904" s="6"/>
      <c r="Z90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904" s="6">
        <f>('TE BE'!$AA$17+'TE BF'!$AA$17+'TE CVA'!$AA$17)*(1-CUSTOS!$M$37)</f>
        <v>250.79367785689016</v>
      </c>
      <c r="AB904" s="6">
        <f>$K$904*$V$904</f>
        <v>0</v>
      </c>
      <c r="AC904" s="6">
        <f>$M$904*$W$904</f>
        <v>-212.483</v>
      </c>
      <c r="AD904" s="6">
        <f>$O$904*$X$904</f>
        <v>-199.40646000000001</v>
      </c>
      <c r="AE904" s="6">
        <f>$K$904*$Y$904</f>
        <v>0</v>
      </c>
      <c r="AF904" s="6">
        <f ca="1">$M$904*$Z$904</f>
        <v>-205.77138990613983</v>
      </c>
      <c r="AG904" s="6">
        <f>$O$904*$AA$904</f>
        <v>-216.1841503126393</v>
      </c>
    </row>
    <row r="905" spans="1:33" ht="11.25" customHeight="1" x14ac:dyDescent="0.25">
      <c r="A905" s="4" t="s">
        <v>55</v>
      </c>
      <c r="B905" s="4" t="s">
        <v>22</v>
      </c>
      <c r="C905" s="4" t="s">
        <v>23</v>
      </c>
      <c r="D905" s="4" t="s">
        <v>24</v>
      </c>
      <c r="E905" s="4" t="s">
        <v>32</v>
      </c>
      <c r="F905" s="4" t="s">
        <v>25</v>
      </c>
      <c r="G905" s="4" t="s">
        <v>25</v>
      </c>
      <c r="H905" s="4" t="s">
        <v>25</v>
      </c>
      <c r="I905" s="5">
        <v>44562</v>
      </c>
      <c r="J905" s="6">
        <v>0</v>
      </c>
      <c r="K905" s="6">
        <v>0</v>
      </c>
      <c r="L905" s="6">
        <v>7.1210000000000004</v>
      </c>
      <c r="M905" s="6">
        <v>7.1210000000000004</v>
      </c>
      <c r="N905" s="6">
        <v>7.1210000000000004</v>
      </c>
      <c r="O905" s="6">
        <v>7.1210000000000004</v>
      </c>
      <c r="P905" s="6">
        <v>15</v>
      </c>
      <c r="Q905" s="4" t="s">
        <v>26</v>
      </c>
      <c r="R905" s="4">
        <v>0</v>
      </c>
      <c r="S905" s="6">
        <v>0</v>
      </c>
      <c r="T905" s="6">
        <v>37</v>
      </c>
      <c r="U905" s="6">
        <v>77</v>
      </c>
      <c r="V905" s="6">
        <f>IF(ISERROR(VLOOKUP($S$905,'TAR FIN'!$A$1:$O$100,15,0)),0,VLOOKUP($S$905,'TAR FIN'!$A$1:$O$100,15,0))</f>
        <v>0</v>
      </c>
      <c r="W905" s="6">
        <f>IF(ISERROR(VLOOKUP($T$905,'TAR FIN'!$A$1:$O$100,15,0)),0,VLOOKUP($T$905,'TAR FIN'!$A$1:$O$100,15,0))</f>
        <v>246.5</v>
      </c>
      <c r="X905" s="6">
        <f>IF(ISERROR(VLOOKUP($U$905,'TAR FIN'!$A$1:$O$100,15,0)),0,VLOOKUP($U$905,'TAR FIN'!$A$1:$O$100,15,0))</f>
        <v>231.33</v>
      </c>
      <c r="Y905" s="6"/>
      <c r="Z90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905" s="6">
        <f>('TE BE'!$AA$17+'TE BF'!$AA$17+'TE CVA'!$AA$17)*(1-CUSTOS!$M$37)</f>
        <v>250.79367785689016</v>
      </c>
      <c r="AB905" s="6">
        <f>$K$905*$V$905</f>
        <v>0</v>
      </c>
      <c r="AC905" s="6">
        <f>$M$905*$W$905</f>
        <v>1755.3265000000001</v>
      </c>
      <c r="AD905" s="6">
        <f>$O$905*$X$905</f>
        <v>1647.3009300000001</v>
      </c>
      <c r="AE905" s="6">
        <f>$K$905*$Y$905</f>
        <v>0</v>
      </c>
      <c r="AF905" s="6">
        <f ca="1">$M$905*$Z$905</f>
        <v>1699.8817488649904</v>
      </c>
      <c r="AG905" s="6">
        <f>$O$905*$AA$905</f>
        <v>1785.9017800189149</v>
      </c>
    </row>
    <row r="906" spans="1:33" ht="11.25" customHeight="1" x14ac:dyDescent="0.25">
      <c r="A906" s="4" t="s">
        <v>21</v>
      </c>
      <c r="B906" s="4" t="s">
        <v>43</v>
      </c>
      <c r="C906" s="4" t="s">
        <v>33</v>
      </c>
      <c r="D906" s="4" t="s">
        <v>44</v>
      </c>
      <c r="E906" s="4" t="s">
        <v>25</v>
      </c>
      <c r="F906" s="4" t="s">
        <v>25</v>
      </c>
      <c r="G906" s="4" t="s">
        <v>25</v>
      </c>
      <c r="H906" s="4" t="s">
        <v>35</v>
      </c>
      <c r="I906" s="5">
        <v>44228</v>
      </c>
      <c r="J906" s="6">
        <v>0</v>
      </c>
      <c r="K906" s="6">
        <v>0</v>
      </c>
      <c r="L906" s="6">
        <v>0.28799999999999998</v>
      </c>
      <c r="M906" s="6">
        <v>0.28799999999999998</v>
      </c>
      <c r="N906" s="6">
        <v>0.28799999999999998</v>
      </c>
      <c r="O906" s="6">
        <v>0.28799999999999998</v>
      </c>
      <c r="P906" s="6">
        <v>0</v>
      </c>
      <c r="Q906" s="4" t="s">
        <v>26</v>
      </c>
      <c r="R906" s="4">
        <v>0</v>
      </c>
      <c r="S906" s="6">
        <v>0</v>
      </c>
      <c r="T906" s="6">
        <v>45</v>
      </c>
      <c r="U906" s="6">
        <v>98</v>
      </c>
      <c r="V906" s="6">
        <f>IF(ISERROR(VLOOKUP($S$906,'TAR FIN'!$A$1:$O$100,15,0)),0,VLOOKUP($S$906,'TAR FIN'!$A$1:$O$100,15,0))</f>
        <v>0</v>
      </c>
      <c r="W906" s="6">
        <f>IF(ISERROR(VLOOKUP($T$906,'TAR FIN'!$A$1:$O$100,15,0)),0,VLOOKUP($T$906,'TAR FIN'!$A$1:$O$100,15,0))</f>
        <v>180.14</v>
      </c>
      <c r="X906" s="6">
        <f>IF(ISERROR(VLOOKUP($U$906,'TAR FIN'!$A$1:$O$100,15,0)),0,VLOOKUP($U$906,'TAR FIN'!$A$1:$O$100,15,0))</f>
        <v>192.75</v>
      </c>
      <c r="Y906" s="6"/>
      <c r="Z906" s="6">
        <f ca="1">('TUSD BE'!$AM$42+'TUSD BF'!$AM$42+'TUSD CVA'!$AM$42)*(1-CUSTOS!$M$38)</f>
        <v>194.93735379735051</v>
      </c>
      <c r="AA906" s="6">
        <f>('TE BE'!$AA$25+'TE BF'!$AA$25+'TE CVA'!$AA$25)*(1-CUSTOS!$M$38)</f>
        <v>224.23773216940677</v>
      </c>
      <c r="AB906" s="6">
        <f>$K$906*$V$906</f>
        <v>0</v>
      </c>
      <c r="AC906" s="6">
        <f>$M$906*$W$906</f>
        <v>51.88031999999999</v>
      </c>
      <c r="AD906" s="6">
        <f>$O$906*$X$906</f>
        <v>55.511999999999993</v>
      </c>
      <c r="AE906" s="6">
        <f>$K$906*$Y$906</f>
        <v>0</v>
      </c>
      <c r="AF906" s="6">
        <f ca="1">$M$906*$Z$906</f>
        <v>56.141957893636942</v>
      </c>
      <c r="AG906" s="6">
        <f>$O$906*$AA$906</f>
        <v>64.580466864789145</v>
      </c>
    </row>
    <row r="907" spans="1:33" ht="11.25" customHeight="1" x14ac:dyDescent="0.25">
      <c r="A907" s="4" t="s">
        <v>21</v>
      </c>
      <c r="B907" s="4" t="s">
        <v>43</v>
      </c>
      <c r="C907" s="4" t="s">
        <v>33</v>
      </c>
      <c r="D907" s="4" t="s">
        <v>44</v>
      </c>
      <c r="E907" s="4" t="s">
        <v>25</v>
      </c>
      <c r="F907" s="4" t="s">
        <v>25</v>
      </c>
      <c r="G907" s="4" t="s">
        <v>25</v>
      </c>
      <c r="H907" s="4" t="s">
        <v>35</v>
      </c>
      <c r="I907" s="5">
        <v>44256</v>
      </c>
      <c r="J907" s="6">
        <v>0</v>
      </c>
      <c r="K907" s="6">
        <v>0</v>
      </c>
      <c r="L907" s="6">
        <v>0.34799999999999998</v>
      </c>
      <c r="M907" s="6">
        <v>0.34799999999999998</v>
      </c>
      <c r="N907" s="6">
        <v>0.34799999999999998</v>
      </c>
      <c r="O907" s="6">
        <v>0.34799999999999998</v>
      </c>
      <c r="P907" s="6">
        <v>0</v>
      </c>
      <c r="Q907" s="4" t="s">
        <v>26</v>
      </c>
      <c r="R907" s="4">
        <v>0</v>
      </c>
      <c r="S907" s="6">
        <v>0</v>
      </c>
      <c r="T907" s="6">
        <v>45</v>
      </c>
      <c r="U907" s="6">
        <v>98</v>
      </c>
      <c r="V907" s="6">
        <f>IF(ISERROR(VLOOKUP($S$907,'TAR FIN'!$A$1:$O$100,15,0)),0,VLOOKUP($S$907,'TAR FIN'!$A$1:$O$100,15,0))</f>
        <v>0</v>
      </c>
      <c r="W907" s="6">
        <f>IF(ISERROR(VLOOKUP($T$907,'TAR FIN'!$A$1:$O$100,15,0)),0,VLOOKUP($T$907,'TAR FIN'!$A$1:$O$100,15,0))</f>
        <v>180.14</v>
      </c>
      <c r="X907" s="6">
        <f>IF(ISERROR(VLOOKUP($U$907,'TAR FIN'!$A$1:$O$100,15,0)),0,VLOOKUP($U$907,'TAR FIN'!$A$1:$O$100,15,0))</f>
        <v>192.75</v>
      </c>
      <c r="Y907" s="6"/>
      <c r="Z907" s="6">
        <f ca="1">('TUSD BE'!$AM$42+'TUSD BF'!$AM$42+'TUSD CVA'!$AM$42)*(1-CUSTOS!$M$38)</f>
        <v>194.93735379735051</v>
      </c>
      <c r="AA907" s="6">
        <f>('TE BE'!$AA$25+'TE BF'!$AA$25+'TE CVA'!$AA$25)*(1-CUSTOS!$M$38)</f>
        <v>224.23773216940677</v>
      </c>
      <c r="AB907" s="6">
        <f>$K$907*$V$907</f>
        <v>0</v>
      </c>
      <c r="AC907" s="6">
        <f>$M$907*$W$907</f>
        <v>62.688719999999989</v>
      </c>
      <c r="AD907" s="6">
        <f>$O$907*$X$907</f>
        <v>67.076999999999998</v>
      </c>
      <c r="AE907" s="6">
        <f>$K$907*$Y$907</f>
        <v>0</v>
      </c>
      <c r="AF907" s="6">
        <f ca="1">$M$907*$Z$907</f>
        <v>67.83819912147797</v>
      </c>
      <c r="AG907" s="6">
        <f>$O$907*$AA$907</f>
        <v>78.034730794953546</v>
      </c>
    </row>
    <row r="908" spans="1:33" ht="11.25" customHeight="1" x14ac:dyDescent="0.25">
      <c r="A908" s="4" t="s">
        <v>21</v>
      </c>
      <c r="B908" s="4" t="s">
        <v>43</v>
      </c>
      <c r="C908" s="4" t="s">
        <v>33</v>
      </c>
      <c r="D908" s="4" t="s">
        <v>44</v>
      </c>
      <c r="E908" s="4" t="s">
        <v>25</v>
      </c>
      <c r="F908" s="4" t="s">
        <v>25</v>
      </c>
      <c r="G908" s="4" t="s">
        <v>25</v>
      </c>
      <c r="H908" s="4" t="s">
        <v>35</v>
      </c>
      <c r="I908" s="5">
        <v>44287</v>
      </c>
      <c r="J908" s="6">
        <v>0</v>
      </c>
      <c r="K908" s="6">
        <v>0</v>
      </c>
      <c r="L908" s="6">
        <v>0.434</v>
      </c>
      <c r="M908" s="6">
        <v>0.434</v>
      </c>
      <c r="N908" s="6">
        <v>0.434</v>
      </c>
      <c r="O908" s="6">
        <v>0.434</v>
      </c>
      <c r="P908" s="6">
        <v>0</v>
      </c>
      <c r="Q908" s="4" t="s">
        <v>26</v>
      </c>
      <c r="R908" s="4">
        <v>0</v>
      </c>
      <c r="S908" s="6">
        <v>0</v>
      </c>
      <c r="T908" s="6">
        <v>45</v>
      </c>
      <c r="U908" s="6">
        <v>98</v>
      </c>
      <c r="V908" s="6">
        <f>IF(ISERROR(VLOOKUP($S$908,'TAR FIN'!$A$1:$O$100,15,0)),0,VLOOKUP($S$908,'TAR FIN'!$A$1:$O$100,15,0))</f>
        <v>0</v>
      </c>
      <c r="W908" s="6">
        <f>IF(ISERROR(VLOOKUP($T$908,'TAR FIN'!$A$1:$O$100,15,0)),0,VLOOKUP($T$908,'TAR FIN'!$A$1:$O$100,15,0))</f>
        <v>180.14</v>
      </c>
      <c r="X908" s="6">
        <f>IF(ISERROR(VLOOKUP($U$908,'TAR FIN'!$A$1:$O$100,15,0)),0,VLOOKUP($U$908,'TAR FIN'!$A$1:$O$100,15,0))</f>
        <v>192.75</v>
      </c>
      <c r="Y908" s="6"/>
      <c r="Z908" s="6">
        <f ca="1">('TUSD BE'!$AM$42+'TUSD BF'!$AM$42+'TUSD CVA'!$AM$42)*(1-CUSTOS!$M$38)</f>
        <v>194.93735379735051</v>
      </c>
      <c r="AA908" s="6">
        <f>('TE BE'!$AA$25+'TE BF'!$AA$25+'TE CVA'!$AA$25)*(1-CUSTOS!$M$38)</f>
        <v>224.23773216940677</v>
      </c>
      <c r="AB908" s="6">
        <f>$K$908*$V$908</f>
        <v>0</v>
      </c>
      <c r="AC908" s="6">
        <f>$M$908*$W$908</f>
        <v>78.180759999999992</v>
      </c>
      <c r="AD908" s="6">
        <f>$O$908*$X$908</f>
        <v>83.653499999999994</v>
      </c>
      <c r="AE908" s="6">
        <f>$K$908*$Y$908</f>
        <v>0</v>
      </c>
      <c r="AF908" s="6">
        <f ca="1">$M$908*$Z$908</f>
        <v>84.602811548050127</v>
      </c>
      <c r="AG908" s="6">
        <f>$O$908*$AA$908</f>
        <v>97.31917576152253</v>
      </c>
    </row>
    <row r="909" spans="1:33" ht="11.25" customHeight="1" x14ac:dyDescent="0.25">
      <c r="A909" s="4" t="s">
        <v>21</v>
      </c>
      <c r="B909" s="4" t="s">
        <v>43</v>
      </c>
      <c r="C909" s="4" t="s">
        <v>33</v>
      </c>
      <c r="D909" s="4" t="s">
        <v>44</v>
      </c>
      <c r="E909" s="4" t="s">
        <v>25</v>
      </c>
      <c r="F909" s="4" t="s">
        <v>25</v>
      </c>
      <c r="G909" s="4" t="s">
        <v>25</v>
      </c>
      <c r="H909" s="4" t="s">
        <v>35</v>
      </c>
      <c r="I909" s="5">
        <v>44317</v>
      </c>
      <c r="J909" s="6">
        <v>0</v>
      </c>
      <c r="K909" s="6">
        <v>0</v>
      </c>
      <c r="L909" s="6">
        <v>0.27800000000000002</v>
      </c>
      <c r="M909" s="6">
        <v>0.27800000000000002</v>
      </c>
      <c r="N909" s="6">
        <v>0.27800000000000002</v>
      </c>
      <c r="O909" s="6">
        <v>0.27800000000000002</v>
      </c>
      <c r="P909" s="6">
        <v>0</v>
      </c>
      <c r="Q909" s="4" t="s">
        <v>26</v>
      </c>
      <c r="R909" s="4">
        <v>0</v>
      </c>
      <c r="S909" s="6">
        <v>0</v>
      </c>
      <c r="T909" s="6">
        <v>45</v>
      </c>
      <c r="U909" s="6">
        <v>98</v>
      </c>
      <c r="V909" s="6">
        <f>IF(ISERROR(VLOOKUP($S$909,'TAR FIN'!$A$1:$O$100,15,0)),0,VLOOKUP($S$909,'TAR FIN'!$A$1:$O$100,15,0))</f>
        <v>0</v>
      </c>
      <c r="W909" s="6">
        <f>IF(ISERROR(VLOOKUP($T$909,'TAR FIN'!$A$1:$O$100,15,0)),0,VLOOKUP($T$909,'TAR FIN'!$A$1:$O$100,15,0))</f>
        <v>180.14</v>
      </c>
      <c r="X909" s="6">
        <f>IF(ISERROR(VLOOKUP($U$909,'TAR FIN'!$A$1:$O$100,15,0)),0,VLOOKUP($U$909,'TAR FIN'!$A$1:$O$100,15,0))</f>
        <v>192.75</v>
      </c>
      <c r="Y909" s="6"/>
      <c r="Z909" s="6">
        <f ca="1">('TUSD BE'!$AM$42+'TUSD BF'!$AM$42+'TUSD CVA'!$AM$42)*(1-CUSTOS!$M$38)</f>
        <v>194.93735379735051</v>
      </c>
      <c r="AA909" s="6">
        <f>('TE BE'!$AA$25+'TE BF'!$AA$25+'TE CVA'!$AA$25)*(1-CUSTOS!$M$38)</f>
        <v>224.23773216940677</v>
      </c>
      <c r="AB909" s="6">
        <f>$K$909*$V$909</f>
        <v>0</v>
      </c>
      <c r="AC909" s="6">
        <f>$M$909*$W$909</f>
        <v>50.078920000000004</v>
      </c>
      <c r="AD909" s="6">
        <f>$O$909*$X$909</f>
        <v>53.584500000000006</v>
      </c>
      <c r="AE909" s="6">
        <f>$K$909*$Y$909</f>
        <v>0</v>
      </c>
      <c r="AF909" s="6">
        <f ca="1">$M$909*$Z$909</f>
        <v>54.192584355663449</v>
      </c>
      <c r="AG909" s="6">
        <f>$O$909*$AA$909</f>
        <v>62.338089543095087</v>
      </c>
    </row>
    <row r="910" spans="1:33" ht="11.25" customHeight="1" x14ac:dyDescent="0.25">
      <c r="A910" s="4" t="s">
        <v>21</v>
      </c>
      <c r="B910" s="4" t="s">
        <v>43</v>
      </c>
      <c r="C910" s="4" t="s">
        <v>33</v>
      </c>
      <c r="D910" s="4" t="s">
        <v>44</v>
      </c>
      <c r="E910" s="4" t="s">
        <v>25</v>
      </c>
      <c r="F910" s="4" t="s">
        <v>25</v>
      </c>
      <c r="G910" s="4" t="s">
        <v>25</v>
      </c>
      <c r="H910" s="4" t="s">
        <v>35</v>
      </c>
      <c r="I910" s="5">
        <v>44348</v>
      </c>
      <c r="J910" s="6">
        <v>0</v>
      </c>
      <c r="K910" s="6">
        <v>0</v>
      </c>
      <c r="L910" s="6">
        <v>0.17799999999999999</v>
      </c>
      <c r="M910" s="6">
        <v>0.17799999999999999</v>
      </c>
      <c r="N910" s="6">
        <v>0.17799999999999999</v>
      </c>
      <c r="O910" s="6">
        <v>0.17799999999999999</v>
      </c>
      <c r="P910" s="6">
        <v>0</v>
      </c>
      <c r="Q910" s="4" t="s">
        <v>26</v>
      </c>
      <c r="R910" s="4">
        <v>0</v>
      </c>
      <c r="S910" s="6">
        <v>0</v>
      </c>
      <c r="T910" s="6">
        <v>45</v>
      </c>
      <c r="U910" s="6">
        <v>98</v>
      </c>
      <c r="V910" s="6">
        <f>IF(ISERROR(VLOOKUP($S$910,'TAR FIN'!$A$1:$O$100,15,0)),0,VLOOKUP($S$910,'TAR FIN'!$A$1:$O$100,15,0))</f>
        <v>0</v>
      </c>
      <c r="W910" s="6">
        <f>IF(ISERROR(VLOOKUP($T$910,'TAR FIN'!$A$1:$O$100,15,0)),0,VLOOKUP($T$910,'TAR FIN'!$A$1:$O$100,15,0))</f>
        <v>180.14</v>
      </c>
      <c r="X910" s="6">
        <f>IF(ISERROR(VLOOKUP($U$910,'TAR FIN'!$A$1:$O$100,15,0)),0,VLOOKUP($U$910,'TAR FIN'!$A$1:$O$100,15,0))</f>
        <v>192.75</v>
      </c>
      <c r="Y910" s="6"/>
      <c r="Z910" s="6">
        <f ca="1">('TUSD BE'!$AM$42+'TUSD BF'!$AM$42+'TUSD CVA'!$AM$42)*(1-CUSTOS!$M$38)</f>
        <v>194.93735379735051</v>
      </c>
      <c r="AA910" s="6">
        <f>('TE BE'!$AA$25+'TE BF'!$AA$25+'TE CVA'!$AA$25)*(1-CUSTOS!$M$38)</f>
        <v>224.23773216940677</v>
      </c>
      <c r="AB910" s="6">
        <f>$K$910*$V$910</f>
        <v>0</v>
      </c>
      <c r="AC910" s="6">
        <f>$M$910*$W$910</f>
        <v>32.064919999999994</v>
      </c>
      <c r="AD910" s="6">
        <f>$O$910*$X$910</f>
        <v>34.3095</v>
      </c>
      <c r="AE910" s="6">
        <f>$K$910*$Y$910</f>
        <v>0</v>
      </c>
      <c r="AF910" s="6">
        <f ca="1">$M$910*$Z$910</f>
        <v>34.698848975928392</v>
      </c>
      <c r="AG910" s="6">
        <f>$O$910*$AA$910</f>
        <v>39.914316326154406</v>
      </c>
    </row>
    <row r="911" spans="1:33" ht="11.25" customHeight="1" x14ac:dyDescent="0.25">
      <c r="A911" s="4" t="s">
        <v>21</v>
      </c>
      <c r="B911" s="4" t="s">
        <v>43</v>
      </c>
      <c r="C911" s="4" t="s">
        <v>33</v>
      </c>
      <c r="D911" s="4" t="s">
        <v>44</v>
      </c>
      <c r="E911" s="4" t="s">
        <v>25</v>
      </c>
      <c r="F911" s="4" t="s">
        <v>25</v>
      </c>
      <c r="G911" s="4" t="s">
        <v>25</v>
      </c>
      <c r="H911" s="4" t="s">
        <v>35</v>
      </c>
      <c r="I911" s="5">
        <v>44378</v>
      </c>
      <c r="J911" s="6">
        <v>0</v>
      </c>
      <c r="K911" s="6">
        <v>0</v>
      </c>
      <c r="L911" s="6">
        <v>0.24199999999999999</v>
      </c>
      <c r="M911" s="6">
        <v>0.24199999999999999</v>
      </c>
      <c r="N911" s="6">
        <v>0.24199999999999999</v>
      </c>
      <c r="O911" s="6">
        <v>0.24199999999999999</v>
      </c>
      <c r="P911" s="6">
        <v>0</v>
      </c>
      <c r="Q911" s="4" t="s">
        <v>26</v>
      </c>
      <c r="R911" s="4">
        <v>0</v>
      </c>
      <c r="S911" s="6">
        <v>0</v>
      </c>
      <c r="T911" s="6">
        <v>45</v>
      </c>
      <c r="U911" s="6">
        <v>98</v>
      </c>
      <c r="V911" s="6">
        <f>IF(ISERROR(VLOOKUP($S$911,'TAR FIN'!$A$1:$O$100,15,0)),0,VLOOKUP($S$911,'TAR FIN'!$A$1:$O$100,15,0))</f>
        <v>0</v>
      </c>
      <c r="W911" s="6">
        <f>IF(ISERROR(VLOOKUP($T$911,'TAR FIN'!$A$1:$O$100,15,0)),0,VLOOKUP($T$911,'TAR FIN'!$A$1:$O$100,15,0))</f>
        <v>180.14</v>
      </c>
      <c r="X911" s="6">
        <f>IF(ISERROR(VLOOKUP($U$911,'TAR FIN'!$A$1:$O$100,15,0)),0,VLOOKUP($U$911,'TAR FIN'!$A$1:$O$100,15,0))</f>
        <v>192.75</v>
      </c>
      <c r="Y911" s="6"/>
      <c r="Z911" s="6">
        <f ca="1">('TUSD BE'!$AM$42+'TUSD BF'!$AM$42+'TUSD CVA'!$AM$42)*(1-CUSTOS!$M$38)</f>
        <v>194.93735379735051</v>
      </c>
      <c r="AA911" s="6">
        <f>('TE BE'!$AA$25+'TE BF'!$AA$25+'TE CVA'!$AA$25)*(1-CUSTOS!$M$38)</f>
        <v>224.23773216940677</v>
      </c>
      <c r="AB911" s="6">
        <f>$K$911*$V$911</f>
        <v>0</v>
      </c>
      <c r="AC911" s="6">
        <f>$M$911*$W$911</f>
        <v>43.593879999999999</v>
      </c>
      <c r="AD911" s="6">
        <f>$O$911*$X$911</f>
        <v>46.645499999999998</v>
      </c>
      <c r="AE911" s="6">
        <f>$K$911*$Y$911</f>
        <v>0</v>
      </c>
      <c r="AF911" s="6">
        <f ca="1">$M$911*$Z$911</f>
        <v>47.174839618958821</v>
      </c>
      <c r="AG911" s="6">
        <f>$O$911*$AA$911</f>
        <v>54.265531184996433</v>
      </c>
    </row>
    <row r="912" spans="1:33" ht="11.25" customHeight="1" x14ac:dyDescent="0.25">
      <c r="A912" s="4" t="s">
        <v>21</v>
      </c>
      <c r="B912" s="4" t="s">
        <v>43</v>
      </c>
      <c r="C912" s="4" t="s">
        <v>33</v>
      </c>
      <c r="D912" s="4" t="s">
        <v>44</v>
      </c>
      <c r="E912" s="4" t="s">
        <v>25</v>
      </c>
      <c r="F912" s="4" t="s">
        <v>25</v>
      </c>
      <c r="G912" s="4" t="s">
        <v>25</v>
      </c>
      <c r="H912" s="4" t="s">
        <v>35</v>
      </c>
      <c r="I912" s="5">
        <v>44409</v>
      </c>
      <c r="J912" s="6">
        <v>0</v>
      </c>
      <c r="K912" s="6">
        <v>0</v>
      </c>
      <c r="L912" s="6">
        <v>0.16900000000000001</v>
      </c>
      <c r="M912" s="6">
        <v>0.16900000000000001</v>
      </c>
      <c r="N912" s="6">
        <v>0.16900000000000001</v>
      </c>
      <c r="O912" s="6">
        <v>0.16900000000000001</v>
      </c>
      <c r="P912" s="6">
        <v>0</v>
      </c>
      <c r="Q912" s="4" t="s">
        <v>26</v>
      </c>
      <c r="R912" s="4">
        <v>0</v>
      </c>
      <c r="S912" s="6">
        <v>0</v>
      </c>
      <c r="T912" s="6">
        <v>45</v>
      </c>
      <c r="U912" s="6">
        <v>98</v>
      </c>
      <c r="V912" s="6">
        <f>IF(ISERROR(VLOOKUP($S$912,'TAR FIN'!$A$1:$O$100,15,0)),0,VLOOKUP($S$912,'TAR FIN'!$A$1:$O$100,15,0))</f>
        <v>0</v>
      </c>
      <c r="W912" s="6">
        <f>IF(ISERROR(VLOOKUP($T$912,'TAR FIN'!$A$1:$O$100,15,0)),0,VLOOKUP($T$912,'TAR FIN'!$A$1:$O$100,15,0))</f>
        <v>180.14</v>
      </c>
      <c r="X912" s="6">
        <f>IF(ISERROR(VLOOKUP($U$912,'TAR FIN'!$A$1:$O$100,15,0)),0,VLOOKUP($U$912,'TAR FIN'!$A$1:$O$100,15,0))</f>
        <v>192.75</v>
      </c>
      <c r="Y912" s="6"/>
      <c r="Z912" s="6">
        <f ca="1">('TUSD BE'!$AM$42+'TUSD BF'!$AM$42+'TUSD CVA'!$AM$42)*(1-CUSTOS!$M$38)</f>
        <v>194.93735379735051</v>
      </c>
      <c r="AA912" s="6">
        <f>('TE BE'!$AA$25+'TE BF'!$AA$25+'TE CVA'!$AA$25)*(1-CUSTOS!$M$38)</f>
        <v>224.23773216940677</v>
      </c>
      <c r="AB912" s="6">
        <f>$K$912*$V$912</f>
        <v>0</v>
      </c>
      <c r="AC912" s="6">
        <f>$M$912*$W$912</f>
        <v>30.443660000000001</v>
      </c>
      <c r="AD912" s="6">
        <f>$O$912*$X$912</f>
        <v>32.574750000000002</v>
      </c>
      <c r="AE912" s="6">
        <f>$K$912*$Y$912</f>
        <v>0</v>
      </c>
      <c r="AF912" s="6">
        <f ca="1">$M$912*$Z$912</f>
        <v>32.944412791752235</v>
      </c>
      <c r="AG912" s="6">
        <f>$O$912*$AA$912</f>
        <v>37.896176736629748</v>
      </c>
    </row>
    <row r="913" spans="1:33" ht="11.25" customHeight="1" x14ac:dyDescent="0.25">
      <c r="A913" s="4" t="s">
        <v>21</v>
      </c>
      <c r="B913" s="4" t="s">
        <v>43</v>
      </c>
      <c r="C913" s="4" t="s">
        <v>33</v>
      </c>
      <c r="D913" s="4" t="s">
        <v>44</v>
      </c>
      <c r="E913" s="4" t="s">
        <v>25</v>
      </c>
      <c r="F913" s="4" t="s">
        <v>25</v>
      </c>
      <c r="G913" s="4" t="s">
        <v>25</v>
      </c>
      <c r="H913" s="4" t="s">
        <v>35</v>
      </c>
      <c r="I913" s="5">
        <v>44440</v>
      </c>
      <c r="J913" s="6">
        <v>0</v>
      </c>
      <c r="K913" s="6">
        <v>0</v>
      </c>
      <c r="L913" s="6">
        <v>0.191</v>
      </c>
      <c r="M913" s="6">
        <v>0.191</v>
      </c>
      <c r="N913" s="6">
        <v>0.191</v>
      </c>
      <c r="O913" s="6">
        <v>0.191</v>
      </c>
      <c r="P913" s="6">
        <v>0</v>
      </c>
      <c r="Q913" s="4" t="s">
        <v>26</v>
      </c>
      <c r="R913" s="4">
        <v>0</v>
      </c>
      <c r="S913" s="6">
        <v>0</v>
      </c>
      <c r="T913" s="6">
        <v>45</v>
      </c>
      <c r="U913" s="6">
        <v>98</v>
      </c>
      <c r="V913" s="6">
        <f>IF(ISERROR(VLOOKUP($S$913,'TAR FIN'!$A$1:$O$100,15,0)),0,VLOOKUP($S$913,'TAR FIN'!$A$1:$O$100,15,0))</f>
        <v>0</v>
      </c>
      <c r="W913" s="6">
        <f>IF(ISERROR(VLOOKUP($T$913,'TAR FIN'!$A$1:$O$100,15,0)),0,VLOOKUP($T$913,'TAR FIN'!$A$1:$O$100,15,0))</f>
        <v>180.14</v>
      </c>
      <c r="X913" s="6">
        <f>IF(ISERROR(VLOOKUP($U$913,'TAR FIN'!$A$1:$O$100,15,0)),0,VLOOKUP($U$913,'TAR FIN'!$A$1:$O$100,15,0))</f>
        <v>192.75</v>
      </c>
      <c r="Y913" s="6"/>
      <c r="Z913" s="6">
        <f ca="1">('TUSD BE'!$AM$42+'TUSD BF'!$AM$42+'TUSD CVA'!$AM$42)*(1-CUSTOS!$M$38)</f>
        <v>194.93735379735051</v>
      </c>
      <c r="AA913" s="6">
        <f>('TE BE'!$AA$25+'TE BF'!$AA$25+'TE CVA'!$AA$25)*(1-CUSTOS!$M$38)</f>
        <v>224.23773216940677</v>
      </c>
      <c r="AB913" s="6">
        <f>$K$913*$V$913</f>
        <v>0</v>
      </c>
      <c r="AC913" s="6">
        <f>$M$913*$W$913</f>
        <v>34.406739999999999</v>
      </c>
      <c r="AD913" s="6">
        <f>$O$913*$X$913</f>
        <v>36.815249999999999</v>
      </c>
      <c r="AE913" s="6">
        <f>$K$913*$Y$913</f>
        <v>0</v>
      </c>
      <c r="AF913" s="6">
        <f ca="1">$M$913*$Z$913</f>
        <v>37.233034575293949</v>
      </c>
      <c r="AG913" s="6">
        <f>$O$913*$AA$913</f>
        <v>42.829406844356697</v>
      </c>
    </row>
    <row r="914" spans="1:33" ht="11.25" customHeight="1" x14ac:dyDescent="0.25">
      <c r="A914" s="4" t="s">
        <v>21</v>
      </c>
      <c r="B914" s="4" t="s">
        <v>43</v>
      </c>
      <c r="C914" s="4" t="s">
        <v>33</v>
      </c>
      <c r="D914" s="4" t="s">
        <v>44</v>
      </c>
      <c r="E914" s="4" t="s">
        <v>25</v>
      </c>
      <c r="F914" s="4" t="s">
        <v>25</v>
      </c>
      <c r="G914" s="4" t="s">
        <v>25</v>
      </c>
      <c r="H914" s="4" t="s">
        <v>35</v>
      </c>
      <c r="I914" s="5">
        <v>44470</v>
      </c>
      <c r="J914" s="6">
        <v>0</v>
      </c>
      <c r="K914" s="6">
        <v>0</v>
      </c>
      <c r="L914" s="6">
        <v>0.254</v>
      </c>
      <c r="M914" s="6">
        <v>0.254</v>
      </c>
      <c r="N914" s="6">
        <v>0.254</v>
      </c>
      <c r="O914" s="6">
        <v>0.254</v>
      </c>
      <c r="P914" s="6">
        <v>0</v>
      </c>
      <c r="Q914" s="4" t="s">
        <v>26</v>
      </c>
      <c r="R914" s="4">
        <v>0</v>
      </c>
      <c r="S914" s="6">
        <v>0</v>
      </c>
      <c r="T914" s="6">
        <v>45</v>
      </c>
      <c r="U914" s="6">
        <v>98</v>
      </c>
      <c r="V914" s="6">
        <f>IF(ISERROR(VLOOKUP($S$914,'TAR FIN'!$A$1:$O$100,15,0)),0,VLOOKUP($S$914,'TAR FIN'!$A$1:$O$100,15,0))</f>
        <v>0</v>
      </c>
      <c r="W914" s="6">
        <f>IF(ISERROR(VLOOKUP($T$914,'TAR FIN'!$A$1:$O$100,15,0)),0,VLOOKUP($T$914,'TAR FIN'!$A$1:$O$100,15,0))</f>
        <v>180.14</v>
      </c>
      <c r="X914" s="6">
        <f>IF(ISERROR(VLOOKUP($U$914,'TAR FIN'!$A$1:$O$100,15,0)),0,VLOOKUP($U$914,'TAR FIN'!$A$1:$O$100,15,0))</f>
        <v>192.75</v>
      </c>
      <c r="Y914" s="6"/>
      <c r="Z914" s="6">
        <f ca="1">('TUSD BE'!$AM$42+'TUSD BF'!$AM$42+'TUSD CVA'!$AM$42)*(1-CUSTOS!$M$38)</f>
        <v>194.93735379735051</v>
      </c>
      <c r="AA914" s="6">
        <f>('TE BE'!$AA$25+'TE BF'!$AA$25+'TE CVA'!$AA$25)*(1-CUSTOS!$M$38)</f>
        <v>224.23773216940677</v>
      </c>
      <c r="AB914" s="6">
        <f>$K$914*$V$914</f>
        <v>0</v>
      </c>
      <c r="AC914" s="6">
        <f>$M$914*$W$914</f>
        <v>45.755559999999996</v>
      </c>
      <c r="AD914" s="6">
        <f>$O$914*$X$914</f>
        <v>48.958500000000001</v>
      </c>
      <c r="AE914" s="6">
        <f>$K$914*$Y$914</f>
        <v>0</v>
      </c>
      <c r="AF914" s="6">
        <f ca="1">$M$914*$Z$914</f>
        <v>49.514087864527028</v>
      </c>
      <c r="AG914" s="6">
        <f>$O$914*$AA$914</f>
        <v>56.956383971029318</v>
      </c>
    </row>
    <row r="915" spans="1:33" ht="11.25" customHeight="1" x14ac:dyDescent="0.25">
      <c r="A915" s="4" t="s">
        <v>21</v>
      </c>
      <c r="B915" s="4" t="s">
        <v>43</v>
      </c>
      <c r="C915" s="4" t="s">
        <v>33</v>
      </c>
      <c r="D915" s="4" t="s">
        <v>44</v>
      </c>
      <c r="E915" s="4" t="s">
        <v>25</v>
      </c>
      <c r="F915" s="4" t="s">
        <v>25</v>
      </c>
      <c r="G915" s="4" t="s">
        <v>25</v>
      </c>
      <c r="H915" s="4" t="s">
        <v>35</v>
      </c>
      <c r="I915" s="5">
        <v>44501</v>
      </c>
      <c r="J915" s="6">
        <v>0</v>
      </c>
      <c r="K915" s="6">
        <v>0</v>
      </c>
      <c r="L915" s="6">
        <v>0.32200000000000001</v>
      </c>
      <c r="M915" s="6">
        <v>0.32200000000000001</v>
      </c>
      <c r="N915" s="6">
        <v>0.32200000000000001</v>
      </c>
      <c r="O915" s="6">
        <v>0.32200000000000001</v>
      </c>
      <c r="P915" s="6">
        <v>0</v>
      </c>
      <c r="Q915" s="4" t="s">
        <v>26</v>
      </c>
      <c r="R915" s="4">
        <v>0</v>
      </c>
      <c r="S915" s="6">
        <v>0</v>
      </c>
      <c r="T915" s="6">
        <v>45</v>
      </c>
      <c r="U915" s="6">
        <v>98</v>
      </c>
      <c r="V915" s="6">
        <f>IF(ISERROR(VLOOKUP($S$915,'TAR FIN'!$A$1:$O$100,15,0)),0,VLOOKUP($S$915,'TAR FIN'!$A$1:$O$100,15,0))</f>
        <v>0</v>
      </c>
      <c r="W915" s="6">
        <f>IF(ISERROR(VLOOKUP($T$915,'TAR FIN'!$A$1:$O$100,15,0)),0,VLOOKUP($T$915,'TAR FIN'!$A$1:$O$100,15,0))</f>
        <v>180.14</v>
      </c>
      <c r="X915" s="6">
        <f>IF(ISERROR(VLOOKUP($U$915,'TAR FIN'!$A$1:$O$100,15,0)),0,VLOOKUP($U$915,'TAR FIN'!$A$1:$O$100,15,0))</f>
        <v>192.75</v>
      </c>
      <c r="Y915" s="6"/>
      <c r="Z915" s="6">
        <f ca="1">('TUSD BE'!$AM$42+'TUSD BF'!$AM$42+'TUSD CVA'!$AM$42)*(1-CUSTOS!$M$38)</f>
        <v>194.93735379735051</v>
      </c>
      <c r="AA915" s="6">
        <f>('TE BE'!$AA$25+'TE BF'!$AA$25+'TE CVA'!$AA$25)*(1-CUSTOS!$M$38)</f>
        <v>224.23773216940677</v>
      </c>
      <c r="AB915" s="6">
        <f>$K$915*$V$915</f>
        <v>0</v>
      </c>
      <c r="AC915" s="6">
        <f>$M$915*$W$915</f>
        <v>58.00508</v>
      </c>
      <c r="AD915" s="6">
        <f>$O$915*$X$915</f>
        <v>62.0655</v>
      </c>
      <c r="AE915" s="6">
        <f>$K$915*$Y$915</f>
        <v>0</v>
      </c>
      <c r="AF915" s="6">
        <f ca="1">$M$915*$Z$915</f>
        <v>62.769827922746863</v>
      </c>
      <c r="AG915" s="6">
        <f>$O$915*$AA$915</f>
        <v>72.204549758548978</v>
      </c>
    </row>
    <row r="916" spans="1:33" ht="11.25" customHeight="1" x14ac:dyDescent="0.25">
      <c r="A916" s="4" t="s">
        <v>21</v>
      </c>
      <c r="B916" s="4" t="s">
        <v>43</v>
      </c>
      <c r="C916" s="4" t="s">
        <v>33</v>
      </c>
      <c r="D916" s="4" t="s">
        <v>44</v>
      </c>
      <c r="E916" s="4" t="s">
        <v>25</v>
      </c>
      <c r="F916" s="4" t="s">
        <v>25</v>
      </c>
      <c r="G916" s="4" t="s">
        <v>25</v>
      </c>
      <c r="H916" s="4" t="s">
        <v>35</v>
      </c>
      <c r="I916" s="5">
        <v>44531</v>
      </c>
      <c r="J916" s="6">
        <v>0</v>
      </c>
      <c r="K916" s="6">
        <v>0</v>
      </c>
      <c r="L916" s="6">
        <v>0.33300000000000002</v>
      </c>
      <c r="M916" s="6">
        <v>0.33300000000000002</v>
      </c>
      <c r="N916" s="6">
        <v>0.33300000000000002</v>
      </c>
      <c r="O916" s="6">
        <v>0.33300000000000002</v>
      </c>
      <c r="P916" s="6">
        <v>0</v>
      </c>
      <c r="Q916" s="4" t="s">
        <v>26</v>
      </c>
      <c r="R916" s="4">
        <v>0</v>
      </c>
      <c r="S916" s="6">
        <v>0</v>
      </c>
      <c r="T916" s="6">
        <v>45</v>
      </c>
      <c r="U916" s="6">
        <v>98</v>
      </c>
      <c r="V916" s="6">
        <f>IF(ISERROR(VLOOKUP($S$916,'TAR FIN'!$A$1:$O$100,15,0)),0,VLOOKUP($S$916,'TAR FIN'!$A$1:$O$100,15,0))</f>
        <v>0</v>
      </c>
      <c r="W916" s="6">
        <f>IF(ISERROR(VLOOKUP($T$916,'TAR FIN'!$A$1:$O$100,15,0)),0,VLOOKUP($T$916,'TAR FIN'!$A$1:$O$100,15,0))</f>
        <v>180.14</v>
      </c>
      <c r="X916" s="6">
        <f>IF(ISERROR(VLOOKUP($U$916,'TAR FIN'!$A$1:$O$100,15,0)),0,VLOOKUP($U$916,'TAR FIN'!$A$1:$O$100,15,0))</f>
        <v>192.75</v>
      </c>
      <c r="Y916" s="6"/>
      <c r="Z916" s="6">
        <f ca="1">('TUSD BE'!$AM$42+'TUSD BF'!$AM$42+'TUSD CVA'!$AM$42)*(1-CUSTOS!$M$38)</f>
        <v>194.93735379735051</v>
      </c>
      <c r="AA916" s="6">
        <f>('TE BE'!$AA$25+'TE BF'!$AA$25+'TE CVA'!$AA$25)*(1-CUSTOS!$M$38)</f>
        <v>224.23773216940677</v>
      </c>
      <c r="AB916" s="6">
        <f>$K$916*$V$916</f>
        <v>0</v>
      </c>
      <c r="AC916" s="6">
        <f>$M$916*$W$916</f>
        <v>59.986620000000002</v>
      </c>
      <c r="AD916" s="6">
        <f>$O$916*$X$916</f>
        <v>64.185749999999999</v>
      </c>
      <c r="AE916" s="6">
        <f>$K$916*$Y$916</f>
        <v>0</v>
      </c>
      <c r="AF916" s="6">
        <f ca="1">$M$916*$Z$916</f>
        <v>64.914138814517727</v>
      </c>
      <c r="AG916" s="6">
        <f>$O$916*$AA$916</f>
        <v>74.671164812412457</v>
      </c>
    </row>
    <row r="917" spans="1:33" ht="11.25" customHeight="1" x14ac:dyDescent="0.25">
      <c r="A917" s="4" t="s">
        <v>55</v>
      </c>
      <c r="B917" s="4" t="s">
        <v>43</v>
      </c>
      <c r="C917" s="4" t="s">
        <v>33</v>
      </c>
      <c r="D917" s="4" t="s">
        <v>44</v>
      </c>
      <c r="E917" s="4" t="s">
        <v>25</v>
      </c>
      <c r="F917" s="4" t="s">
        <v>25</v>
      </c>
      <c r="G917" s="4" t="s">
        <v>25</v>
      </c>
      <c r="H917" s="4" t="s">
        <v>35</v>
      </c>
      <c r="I917" s="5">
        <v>44562</v>
      </c>
      <c r="J917" s="6">
        <v>0</v>
      </c>
      <c r="K917" s="6">
        <v>0</v>
      </c>
      <c r="L917" s="6">
        <v>0.33300000000000002</v>
      </c>
      <c r="M917" s="6">
        <v>0.33300000000000002</v>
      </c>
      <c r="N917" s="6">
        <v>0.33300000000000002</v>
      </c>
      <c r="O917" s="6">
        <v>0.33300000000000002</v>
      </c>
      <c r="P917" s="6">
        <v>0</v>
      </c>
      <c r="Q917" s="4" t="s">
        <v>26</v>
      </c>
      <c r="R917" s="4">
        <v>0</v>
      </c>
      <c r="S917" s="6">
        <v>0</v>
      </c>
      <c r="T917" s="6">
        <v>45</v>
      </c>
      <c r="U917" s="6">
        <v>98</v>
      </c>
      <c r="V917" s="6">
        <f>IF(ISERROR(VLOOKUP($S$917,'TAR FIN'!$A$1:$O$100,15,0)),0,VLOOKUP($S$917,'TAR FIN'!$A$1:$O$100,15,0))</f>
        <v>0</v>
      </c>
      <c r="W917" s="6">
        <f>IF(ISERROR(VLOOKUP($T$917,'TAR FIN'!$A$1:$O$100,15,0)),0,VLOOKUP($T$917,'TAR FIN'!$A$1:$O$100,15,0))</f>
        <v>180.14</v>
      </c>
      <c r="X917" s="6">
        <f>IF(ISERROR(VLOOKUP($U$917,'TAR FIN'!$A$1:$O$100,15,0)),0,VLOOKUP($U$917,'TAR FIN'!$A$1:$O$100,15,0))</f>
        <v>192.75</v>
      </c>
      <c r="Y917" s="6"/>
      <c r="Z917" s="6">
        <f ca="1">('TUSD BE'!$AM$42+'TUSD BF'!$AM$42+'TUSD CVA'!$AM$42)*(1-CUSTOS!$M$38)</f>
        <v>194.93735379735051</v>
      </c>
      <c r="AA917" s="6">
        <f>('TE BE'!$AA$25+'TE BF'!$AA$25+'TE CVA'!$AA$25)*(1-CUSTOS!$M$38)</f>
        <v>224.23773216940677</v>
      </c>
      <c r="AB917" s="6">
        <f>$K$917*$V$917</f>
        <v>0</v>
      </c>
      <c r="AC917" s="6">
        <f>$M$917*$W$917</f>
        <v>59.986620000000002</v>
      </c>
      <c r="AD917" s="6">
        <f>$O$917*$X$917</f>
        <v>64.185749999999999</v>
      </c>
      <c r="AE917" s="6">
        <f>$K$917*$Y$917</f>
        <v>0</v>
      </c>
      <c r="AF917" s="6">
        <f ca="1">$M$917*$Z$917</f>
        <v>64.914138814517727</v>
      </c>
      <c r="AG917" s="6">
        <f>$O$917*$AA$917</f>
        <v>74.671164812412457</v>
      </c>
    </row>
    <row r="918" spans="1:33" ht="11.25" customHeight="1" x14ac:dyDescent="0.25">
      <c r="A918" s="4" t="s">
        <v>21</v>
      </c>
      <c r="B918" s="4" t="s">
        <v>43</v>
      </c>
      <c r="C918" s="4" t="s">
        <v>33</v>
      </c>
      <c r="D918" s="4" t="s">
        <v>44</v>
      </c>
      <c r="E918" s="4" t="s">
        <v>25</v>
      </c>
      <c r="F918" s="4" t="s">
        <v>25</v>
      </c>
      <c r="G918" s="4" t="s">
        <v>25</v>
      </c>
      <c r="H918" s="4" t="s">
        <v>36</v>
      </c>
      <c r="I918" s="5">
        <v>44228</v>
      </c>
      <c r="J918" s="6">
        <v>0</v>
      </c>
      <c r="K918" s="6">
        <v>0</v>
      </c>
      <c r="L918" s="6">
        <v>1.6E-2</v>
      </c>
      <c r="M918" s="6">
        <v>1.6E-2</v>
      </c>
      <c r="N918" s="6">
        <v>1.6E-2</v>
      </c>
      <c r="O918" s="6">
        <v>1.6E-2</v>
      </c>
      <c r="P918" s="6">
        <v>0</v>
      </c>
      <c r="Q918" s="4" t="s">
        <v>26</v>
      </c>
      <c r="R918" s="4">
        <v>0</v>
      </c>
      <c r="S918" s="6">
        <v>0</v>
      </c>
      <c r="T918" s="6">
        <v>44</v>
      </c>
      <c r="U918" s="6">
        <v>97</v>
      </c>
      <c r="V918" s="6">
        <f>IF(ISERROR(VLOOKUP($S$918,'TAR FIN'!$A$1:$O$100,15,0)),0,VLOOKUP($S$918,'TAR FIN'!$A$1:$O$100,15,0))</f>
        <v>0</v>
      </c>
      <c r="W918" s="6">
        <f>IF(ISERROR(VLOOKUP($T$918,'TAR FIN'!$A$1:$O$100,15,0)),0,VLOOKUP($T$918,'TAR FIN'!$A$1:$O$100,15,0))</f>
        <v>433.74</v>
      </c>
      <c r="X918" s="6">
        <f>IF(ISERROR(VLOOKUP($U$918,'TAR FIN'!$A$1:$O$100,15,0)),0,VLOOKUP($U$918,'TAR FIN'!$A$1:$O$100,15,0))</f>
        <v>192.75</v>
      </c>
      <c r="Y918" s="6"/>
      <c r="Z918" s="6">
        <f ca="1">('TUSD BE'!$AM$41+'TUSD BF'!$AM$41+'TUSD CVA'!$AM$41)*(1-CUSTOS!$M$38)</f>
        <v>456.51643176410988</v>
      </c>
      <c r="AA918" s="6">
        <f>('TE BE'!$AA$24+'TE BF'!$AA$24+'TE CVA'!$AA$24)*(1-CUSTOS!$M$38)</f>
        <v>224.23773216940677</v>
      </c>
      <c r="AB918" s="6">
        <f>$K$918*$V$918</f>
        <v>0</v>
      </c>
      <c r="AC918" s="6">
        <f>$M$918*$W$918</f>
        <v>6.9398400000000002</v>
      </c>
      <c r="AD918" s="6">
        <f>$O$918*$X$918</f>
        <v>3.0840000000000001</v>
      </c>
      <c r="AE918" s="6">
        <f>$K$918*$Y$918</f>
        <v>0</v>
      </c>
      <c r="AF918" s="6">
        <f ca="1">$M$918*$Z$918</f>
        <v>7.3042629082257582</v>
      </c>
      <c r="AG918" s="6">
        <f>$O$918*$AA$918</f>
        <v>3.5878037147105082</v>
      </c>
    </row>
    <row r="919" spans="1:33" ht="11.25" customHeight="1" x14ac:dyDescent="0.25">
      <c r="A919" s="4" t="s">
        <v>21</v>
      </c>
      <c r="B919" s="4" t="s">
        <v>43</v>
      </c>
      <c r="C919" s="4" t="s">
        <v>33</v>
      </c>
      <c r="D919" s="4" t="s">
        <v>44</v>
      </c>
      <c r="E919" s="4" t="s">
        <v>25</v>
      </c>
      <c r="F919" s="4" t="s">
        <v>25</v>
      </c>
      <c r="G919" s="4" t="s">
        <v>25</v>
      </c>
      <c r="H919" s="4" t="s">
        <v>36</v>
      </c>
      <c r="I919" s="5">
        <v>44256</v>
      </c>
      <c r="J919" s="6">
        <v>0</v>
      </c>
      <c r="K919" s="6">
        <v>0</v>
      </c>
      <c r="L919" s="6">
        <v>0.02</v>
      </c>
      <c r="M919" s="6">
        <v>0.02</v>
      </c>
      <c r="N919" s="6">
        <v>0.02</v>
      </c>
      <c r="O919" s="6">
        <v>0.02</v>
      </c>
      <c r="P919" s="6">
        <v>0</v>
      </c>
      <c r="Q919" s="4" t="s">
        <v>26</v>
      </c>
      <c r="R919" s="4">
        <v>0</v>
      </c>
      <c r="S919" s="6">
        <v>0</v>
      </c>
      <c r="T919" s="6">
        <v>44</v>
      </c>
      <c r="U919" s="6">
        <v>97</v>
      </c>
      <c r="V919" s="6">
        <f>IF(ISERROR(VLOOKUP($S$919,'TAR FIN'!$A$1:$O$100,15,0)),0,VLOOKUP($S$919,'TAR FIN'!$A$1:$O$100,15,0))</f>
        <v>0</v>
      </c>
      <c r="W919" s="6">
        <f>IF(ISERROR(VLOOKUP($T$919,'TAR FIN'!$A$1:$O$100,15,0)),0,VLOOKUP($T$919,'TAR FIN'!$A$1:$O$100,15,0))</f>
        <v>433.74</v>
      </c>
      <c r="X919" s="6">
        <f>IF(ISERROR(VLOOKUP($U$919,'TAR FIN'!$A$1:$O$100,15,0)),0,VLOOKUP($U$919,'TAR FIN'!$A$1:$O$100,15,0))</f>
        <v>192.75</v>
      </c>
      <c r="Y919" s="6"/>
      <c r="Z919" s="6">
        <f ca="1">('TUSD BE'!$AM$41+'TUSD BF'!$AM$41+'TUSD CVA'!$AM$41)*(1-CUSTOS!$M$38)</f>
        <v>456.51643176410988</v>
      </c>
      <c r="AA919" s="6">
        <f>('TE BE'!$AA$24+'TE BF'!$AA$24+'TE CVA'!$AA$24)*(1-CUSTOS!$M$38)</f>
        <v>224.23773216940677</v>
      </c>
      <c r="AB919" s="6">
        <f>$K$919*$V$919</f>
        <v>0</v>
      </c>
      <c r="AC919" s="6">
        <f>$M$919*$W$919</f>
        <v>8.6748000000000012</v>
      </c>
      <c r="AD919" s="6">
        <f>$O$919*$X$919</f>
        <v>3.855</v>
      </c>
      <c r="AE919" s="6">
        <f>$K$919*$Y$919</f>
        <v>0</v>
      </c>
      <c r="AF919" s="6">
        <f ca="1">$M$919*$Z$919</f>
        <v>9.1303286352821971</v>
      </c>
      <c r="AG919" s="6">
        <f>$O$919*$AA$919</f>
        <v>4.4847546433881353</v>
      </c>
    </row>
    <row r="920" spans="1:33" ht="11.25" customHeight="1" x14ac:dyDescent="0.25">
      <c r="A920" s="4" t="s">
        <v>21</v>
      </c>
      <c r="B920" s="4" t="s">
        <v>43</v>
      </c>
      <c r="C920" s="4" t="s">
        <v>33</v>
      </c>
      <c r="D920" s="4" t="s">
        <v>44</v>
      </c>
      <c r="E920" s="4" t="s">
        <v>25</v>
      </c>
      <c r="F920" s="4" t="s">
        <v>25</v>
      </c>
      <c r="G920" s="4" t="s">
        <v>25</v>
      </c>
      <c r="H920" s="4" t="s">
        <v>36</v>
      </c>
      <c r="I920" s="5">
        <v>44287</v>
      </c>
      <c r="J920" s="6">
        <v>0</v>
      </c>
      <c r="K920" s="6">
        <v>0</v>
      </c>
      <c r="L920" s="6">
        <v>0.01</v>
      </c>
      <c r="M920" s="6">
        <v>0.01</v>
      </c>
      <c r="N920" s="6">
        <v>0.01</v>
      </c>
      <c r="O920" s="6">
        <v>0.01</v>
      </c>
      <c r="P920" s="6">
        <v>0</v>
      </c>
      <c r="Q920" s="4" t="s">
        <v>26</v>
      </c>
      <c r="R920" s="4">
        <v>0</v>
      </c>
      <c r="S920" s="6">
        <v>0</v>
      </c>
      <c r="T920" s="6">
        <v>44</v>
      </c>
      <c r="U920" s="6">
        <v>97</v>
      </c>
      <c r="V920" s="6">
        <f>IF(ISERROR(VLOOKUP($S$920,'TAR FIN'!$A$1:$O$100,15,0)),0,VLOOKUP($S$920,'TAR FIN'!$A$1:$O$100,15,0))</f>
        <v>0</v>
      </c>
      <c r="W920" s="6">
        <f>IF(ISERROR(VLOOKUP($T$920,'TAR FIN'!$A$1:$O$100,15,0)),0,VLOOKUP($T$920,'TAR FIN'!$A$1:$O$100,15,0))</f>
        <v>433.74</v>
      </c>
      <c r="X920" s="6">
        <f>IF(ISERROR(VLOOKUP($U$920,'TAR FIN'!$A$1:$O$100,15,0)),0,VLOOKUP($U$920,'TAR FIN'!$A$1:$O$100,15,0))</f>
        <v>192.75</v>
      </c>
      <c r="Y920" s="6"/>
      <c r="Z920" s="6">
        <f ca="1">('TUSD BE'!$AM$41+'TUSD BF'!$AM$41+'TUSD CVA'!$AM$41)*(1-CUSTOS!$M$38)</f>
        <v>456.51643176410988</v>
      </c>
      <c r="AA920" s="6">
        <f>('TE BE'!$AA$24+'TE BF'!$AA$24+'TE CVA'!$AA$24)*(1-CUSTOS!$M$38)</f>
        <v>224.23773216940677</v>
      </c>
      <c r="AB920" s="6">
        <f>$K$920*$V$920</f>
        <v>0</v>
      </c>
      <c r="AC920" s="6">
        <f>$M$920*$W$920</f>
        <v>4.3374000000000006</v>
      </c>
      <c r="AD920" s="6">
        <f>$O$920*$X$920</f>
        <v>1.9275</v>
      </c>
      <c r="AE920" s="6">
        <f>$K$920*$Y$920</f>
        <v>0</v>
      </c>
      <c r="AF920" s="6">
        <f ca="1">$M$920*$Z$920</f>
        <v>4.5651643176410985</v>
      </c>
      <c r="AG920" s="6">
        <f>$O$920*$AA$920</f>
        <v>2.2423773216940677</v>
      </c>
    </row>
    <row r="921" spans="1:33" ht="11.25" customHeight="1" x14ac:dyDescent="0.25">
      <c r="A921" s="4" t="s">
        <v>21</v>
      </c>
      <c r="B921" s="4" t="s">
        <v>43</v>
      </c>
      <c r="C921" s="4" t="s">
        <v>33</v>
      </c>
      <c r="D921" s="4" t="s">
        <v>44</v>
      </c>
      <c r="E921" s="4" t="s">
        <v>25</v>
      </c>
      <c r="F921" s="4" t="s">
        <v>25</v>
      </c>
      <c r="G921" s="4" t="s">
        <v>25</v>
      </c>
      <c r="H921" s="4" t="s">
        <v>36</v>
      </c>
      <c r="I921" s="5">
        <v>44317</v>
      </c>
      <c r="J921" s="6">
        <v>0</v>
      </c>
      <c r="K921" s="6">
        <v>0</v>
      </c>
      <c r="L921" s="6">
        <v>1.2999999999999999E-2</v>
      </c>
      <c r="M921" s="6">
        <v>1.2999999999999999E-2</v>
      </c>
      <c r="N921" s="6">
        <v>1.2999999999999999E-2</v>
      </c>
      <c r="O921" s="6">
        <v>1.2999999999999999E-2</v>
      </c>
      <c r="P921" s="6">
        <v>0</v>
      </c>
      <c r="Q921" s="4" t="s">
        <v>26</v>
      </c>
      <c r="R921" s="4">
        <v>0</v>
      </c>
      <c r="S921" s="6">
        <v>0</v>
      </c>
      <c r="T921" s="6">
        <v>44</v>
      </c>
      <c r="U921" s="6">
        <v>97</v>
      </c>
      <c r="V921" s="6">
        <f>IF(ISERROR(VLOOKUP($S$921,'TAR FIN'!$A$1:$O$100,15,0)),0,VLOOKUP($S$921,'TAR FIN'!$A$1:$O$100,15,0))</f>
        <v>0</v>
      </c>
      <c r="W921" s="6">
        <f>IF(ISERROR(VLOOKUP($T$921,'TAR FIN'!$A$1:$O$100,15,0)),0,VLOOKUP($T$921,'TAR FIN'!$A$1:$O$100,15,0))</f>
        <v>433.74</v>
      </c>
      <c r="X921" s="6">
        <f>IF(ISERROR(VLOOKUP($U$921,'TAR FIN'!$A$1:$O$100,15,0)),0,VLOOKUP($U$921,'TAR FIN'!$A$1:$O$100,15,0))</f>
        <v>192.75</v>
      </c>
      <c r="Y921" s="6"/>
      <c r="Z921" s="6">
        <f ca="1">('TUSD BE'!$AM$41+'TUSD BF'!$AM$41+'TUSD CVA'!$AM$41)*(1-CUSTOS!$M$38)</f>
        <v>456.51643176410988</v>
      </c>
      <c r="AA921" s="6">
        <f>('TE BE'!$AA$24+'TE BF'!$AA$24+'TE CVA'!$AA$24)*(1-CUSTOS!$M$38)</f>
        <v>224.23773216940677</v>
      </c>
      <c r="AB921" s="6">
        <f>$K$921*$V$921</f>
        <v>0</v>
      </c>
      <c r="AC921" s="6">
        <f>$M$921*$W$921</f>
        <v>5.6386199999999995</v>
      </c>
      <c r="AD921" s="6">
        <f>$O$921*$X$921</f>
        <v>2.5057499999999999</v>
      </c>
      <c r="AE921" s="6">
        <f>$K$921*$Y$921</f>
        <v>0</v>
      </c>
      <c r="AF921" s="6">
        <f ca="1">$M$921*$Z$921</f>
        <v>5.9347136129334279</v>
      </c>
      <c r="AG921" s="6">
        <f>$O$921*$AA$921</f>
        <v>2.9150905182022879</v>
      </c>
    </row>
    <row r="922" spans="1:33" ht="11.25" customHeight="1" x14ac:dyDescent="0.25">
      <c r="A922" s="4" t="s">
        <v>21</v>
      </c>
      <c r="B922" s="4" t="s">
        <v>43</v>
      </c>
      <c r="C922" s="4" t="s">
        <v>33</v>
      </c>
      <c r="D922" s="4" t="s">
        <v>44</v>
      </c>
      <c r="E922" s="4" t="s">
        <v>25</v>
      </c>
      <c r="F922" s="4" t="s">
        <v>25</v>
      </c>
      <c r="G922" s="4" t="s">
        <v>25</v>
      </c>
      <c r="H922" s="4" t="s">
        <v>36</v>
      </c>
      <c r="I922" s="5">
        <v>44348</v>
      </c>
      <c r="J922" s="6">
        <v>0</v>
      </c>
      <c r="K922" s="6">
        <v>0</v>
      </c>
      <c r="L922" s="6">
        <v>1.0999999999999999E-2</v>
      </c>
      <c r="M922" s="6">
        <v>1.0999999999999999E-2</v>
      </c>
      <c r="N922" s="6">
        <v>1.0999999999999999E-2</v>
      </c>
      <c r="O922" s="6">
        <v>1.0999999999999999E-2</v>
      </c>
      <c r="P922" s="6">
        <v>0</v>
      </c>
      <c r="Q922" s="4" t="s">
        <v>26</v>
      </c>
      <c r="R922" s="4">
        <v>0</v>
      </c>
      <c r="S922" s="6">
        <v>0</v>
      </c>
      <c r="T922" s="6">
        <v>44</v>
      </c>
      <c r="U922" s="6">
        <v>97</v>
      </c>
      <c r="V922" s="6">
        <f>IF(ISERROR(VLOOKUP($S$922,'TAR FIN'!$A$1:$O$100,15,0)),0,VLOOKUP($S$922,'TAR FIN'!$A$1:$O$100,15,0))</f>
        <v>0</v>
      </c>
      <c r="W922" s="6">
        <f>IF(ISERROR(VLOOKUP($T$922,'TAR FIN'!$A$1:$O$100,15,0)),0,VLOOKUP($T$922,'TAR FIN'!$A$1:$O$100,15,0))</f>
        <v>433.74</v>
      </c>
      <c r="X922" s="6">
        <f>IF(ISERROR(VLOOKUP($U$922,'TAR FIN'!$A$1:$O$100,15,0)),0,VLOOKUP($U$922,'TAR FIN'!$A$1:$O$100,15,0))</f>
        <v>192.75</v>
      </c>
      <c r="Y922" s="6"/>
      <c r="Z922" s="6">
        <f ca="1">('TUSD BE'!$AM$41+'TUSD BF'!$AM$41+'TUSD CVA'!$AM$41)*(1-CUSTOS!$M$38)</f>
        <v>456.51643176410988</v>
      </c>
      <c r="AA922" s="6">
        <f>('TE BE'!$AA$24+'TE BF'!$AA$24+'TE CVA'!$AA$24)*(1-CUSTOS!$M$38)</f>
        <v>224.23773216940677</v>
      </c>
      <c r="AB922" s="6">
        <f>$K$922*$V$922</f>
        <v>0</v>
      </c>
      <c r="AC922" s="6">
        <f>$M$922*$W$922</f>
        <v>4.7711399999999999</v>
      </c>
      <c r="AD922" s="6">
        <f>$O$922*$X$922</f>
        <v>2.12025</v>
      </c>
      <c r="AE922" s="6">
        <f>$K$922*$Y$922</f>
        <v>0</v>
      </c>
      <c r="AF922" s="6">
        <f ca="1">$M$922*$Z$922</f>
        <v>5.021680749405208</v>
      </c>
      <c r="AG922" s="6">
        <f>$O$922*$AA$922</f>
        <v>2.4666150538634741</v>
      </c>
    </row>
    <row r="923" spans="1:33" ht="11.25" customHeight="1" x14ac:dyDescent="0.25">
      <c r="A923" s="4" t="s">
        <v>21</v>
      </c>
      <c r="B923" s="4" t="s">
        <v>43</v>
      </c>
      <c r="C923" s="4" t="s">
        <v>33</v>
      </c>
      <c r="D923" s="4" t="s">
        <v>44</v>
      </c>
      <c r="E923" s="4" t="s">
        <v>25</v>
      </c>
      <c r="F923" s="4" t="s">
        <v>25</v>
      </c>
      <c r="G923" s="4" t="s">
        <v>25</v>
      </c>
      <c r="H923" s="4" t="s">
        <v>36</v>
      </c>
      <c r="I923" s="5">
        <v>44378</v>
      </c>
      <c r="J923" s="6">
        <v>0</v>
      </c>
      <c r="K923" s="6">
        <v>0</v>
      </c>
      <c r="L923" s="6">
        <v>0.01</v>
      </c>
      <c r="M923" s="6">
        <v>0.01</v>
      </c>
      <c r="N923" s="6">
        <v>0.01</v>
      </c>
      <c r="O923" s="6">
        <v>0.01</v>
      </c>
      <c r="P923" s="6">
        <v>0</v>
      </c>
      <c r="Q923" s="4" t="s">
        <v>26</v>
      </c>
      <c r="R923" s="4">
        <v>0</v>
      </c>
      <c r="S923" s="6">
        <v>0</v>
      </c>
      <c r="T923" s="6">
        <v>44</v>
      </c>
      <c r="U923" s="6">
        <v>97</v>
      </c>
      <c r="V923" s="6">
        <f>IF(ISERROR(VLOOKUP($S$923,'TAR FIN'!$A$1:$O$100,15,0)),0,VLOOKUP($S$923,'TAR FIN'!$A$1:$O$100,15,0))</f>
        <v>0</v>
      </c>
      <c r="W923" s="6">
        <f>IF(ISERROR(VLOOKUP($T$923,'TAR FIN'!$A$1:$O$100,15,0)),0,VLOOKUP($T$923,'TAR FIN'!$A$1:$O$100,15,0))</f>
        <v>433.74</v>
      </c>
      <c r="X923" s="6">
        <f>IF(ISERROR(VLOOKUP($U$923,'TAR FIN'!$A$1:$O$100,15,0)),0,VLOOKUP($U$923,'TAR FIN'!$A$1:$O$100,15,0))</f>
        <v>192.75</v>
      </c>
      <c r="Y923" s="6"/>
      <c r="Z923" s="6">
        <f ca="1">('TUSD BE'!$AM$41+'TUSD BF'!$AM$41+'TUSD CVA'!$AM$41)*(1-CUSTOS!$M$38)</f>
        <v>456.51643176410988</v>
      </c>
      <c r="AA923" s="6">
        <f>('TE BE'!$AA$24+'TE BF'!$AA$24+'TE CVA'!$AA$24)*(1-CUSTOS!$M$38)</f>
        <v>224.23773216940677</v>
      </c>
      <c r="AB923" s="6">
        <f>$K$923*$V$923</f>
        <v>0</v>
      </c>
      <c r="AC923" s="6">
        <f>$M$923*$W$923</f>
        <v>4.3374000000000006</v>
      </c>
      <c r="AD923" s="6">
        <f>$O$923*$X$923</f>
        <v>1.9275</v>
      </c>
      <c r="AE923" s="6">
        <f>$K$923*$Y$923</f>
        <v>0</v>
      </c>
      <c r="AF923" s="6">
        <f ca="1">$M$923*$Z$923</f>
        <v>4.5651643176410985</v>
      </c>
      <c r="AG923" s="6">
        <f>$O$923*$AA$923</f>
        <v>2.2423773216940677</v>
      </c>
    </row>
    <row r="924" spans="1:33" ht="11.25" customHeight="1" x14ac:dyDescent="0.25">
      <c r="A924" s="4" t="s">
        <v>21</v>
      </c>
      <c r="B924" s="4" t="s">
        <v>43</v>
      </c>
      <c r="C924" s="4" t="s">
        <v>33</v>
      </c>
      <c r="D924" s="4" t="s">
        <v>44</v>
      </c>
      <c r="E924" s="4" t="s">
        <v>25</v>
      </c>
      <c r="F924" s="4" t="s">
        <v>25</v>
      </c>
      <c r="G924" s="4" t="s">
        <v>25</v>
      </c>
      <c r="H924" s="4" t="s">
        <v>36</v>
      </c>
      <c r="I924" s="5">
        <v>44409</v>
      </c>
      <c r="J924" s="6">
        <v>0</v>
      </c>
      <c r="K924" s="6">
        <v>0</v>
      </c>
      <c r="L924" s="6">
        <v>8.0000000000000002E-3</v>
      </c>
      <c r="M924" s="6">
        <v>8.0000000000000002E-3</v>
      </c>
      <c r="N924" s="6">
        <v>8.0000000000000002E-3</v>
      </c>
      <c r="O924" s="6">
        <v>8.0000000000000002E-3</v>
      </c>
      <c r="P924" s="6">
        <v>0</v>
      </c>
      <c r="Q924" s="4" t="s">
        <v>26</v>
      </c>
      <c r="R924" s="4">
        <v>0</v>
      </c>
      <c r="S924" s="6">
        <v>0</v>
      </c>
      <c r="T924" s="6">
        <v>44</v>
      </c>
      <c r="U924" s="6">
        <v>97</v>
      </c>
      <c r="V924" s="6">
        <f>IF(ISERROR(VLOOKUP($S$924,'TAR FIN'!$A$1:$O$100,15,0)),0,VLOOKUP($S$924,'TAR FIN'!$A$1:$O$100,15,0))</f>
        <v>0</v>
      </c>
      <c r="W924" s="6">
        <f>IF(ISERROR(VLOOKUP($T$924,'TAR FIN'!$A$1:$O$100,15,0)),0,VLOOKUP($T$924,'TAR FIN'!$A$1:$O$100,15,0))</f>
        <v>433.74</v>
      </c>
      <c r="X924" s="6">
        <f>IF(ISERROR(VLOOKUP($U$924,'TAR FIN'!$A$1:$O$100,15,0)),0,VLOOKUP($U$924,'TAR FIN'!$A$1:$O$100,15,0))</f>
        <v>192.75</v>
      </c>
      <c r="Y924" s="6"/>
      <c r="Z924" s="6">
        <f ca="1">('TUSD BE'!$AM$41+'TUSD BF'!$AM$41+'TUSD CVA'!$AM$41)*(1-CUSTOS!$M$38)</f>
        <v>456.51643176410988</v>
      </c>
      <c r="AA924" s="6">
        <f>('TE BE'!$AA$24+'TE BF'!$AA$24+'TE CVA'!$AA$24)*(1-CUSTOS!$M$38)</f>
        <v>224.23773216940677</v>
      </c>
      <c r="AB924" s="6">
        <f>$K$924*$V$924</f>
        <v>0</v>
      </c>
      <c r="AC924" s="6">
        <f>$M$924*$W$924</f>
        <v>3.4699200000000001</v>
      </c>
      <c r="AD924" s="6">
        <f>$O$924*$X$924</f>
        <v>1.542</v>
      </c>
      <c r="AE924" s="6">
        <f>$K$924*$Y$924</f>
        <v>0</v>
      </c>
      <c r="AF924" s="6">
        <f ca="1">$M$924*$Z$924</f>
        <v>3.6521314541128791</v>
      </c>
      <c r="AG924" s="6">
        <f>$O$924*$AA$924</f>
        <v>1.7939018573552541</v>
      </c>
    </row>
    <row r="925" spans="1:33" ht="11.25" customHeight="1" x14ac:dyDescent="0.25">
      <c r="A925" s="4" t="s">
        <v>21</v>
      </c>
      <c r="B925" s="4" t="s">
        <v>43</v>
      </c>
      <c r="C925" s="4" t="s">
        <v>33</v>
      </c>
      <c r="D925" s="4" t="s">
        <v>44</v>
      </c>
      <c r="E925" s="4" t="s">
        <v>25</v>
      </c>
      <c r="F925" s="4" t="s">
        <v>25</v>
      </c>
      <c r="G925" s="4" t="s">
        <v>25</v>
      </c>
      <c r="H925" s="4" t="s">
        <v>36</v>
      </c>
      <c r="I925" s="5">
        <v>44440</v>
      </c>
      <c r="J925" s="6">
        <v>0</v>
      </c>
      <c r="K925" s="6">
        <v>0</v>
      </c>
      <c r="L925" s="6">
        <v>1.0999999999999999E-2</v>
      </c>
      <c r="M925" s="6">
        <v>1.0999999999999999E-2</v>
      </c>
      <c r="N925" s="6">
        <v>1.0999999999999999E-2</v>
      </c>
      <c r="O925" s="6">
        <v>1.0999999999999999E-2</v>
      </c>
      <c r="P925" s="6">
        <v>0</v>
      </c>
      <c r="Q925" s="4" t="s">
        <v>26</v>
      </c>
      <c r="R925" s="4">
        <v>0</v>
      </c>
      <c r="S925" s="6">
        <v>0</v>
      </c>
      <c r="T925" s="6">
        <v>44</v>
      </c>
      <c r="U925" s="6">
        <v>97</v>
      </c>
      <c r="V925" s="6">
        <f>IF(ISERROR(VLOOKUP($S$925,'TAR FIN'!$A$1:$O$100,15,0)),0,VLOOKUP($S$925,'TAR FIN'!$A$1:$O$100,15,0))</f>
        <v>0</v>
      </c>
      <c r="W925" s="6">
        <f>IF(ISERROR(VLOOKUP($T$925,'TAR FIN'!$A$1:$O$100,15,0)),0,VLOOKUP($T$925,'TAR FIN'!$A$1:$O$100,15,0))</f>
        <v>433.74</v>
      </c>
      <c r="X925" s="6">
        <f>IF(ISERROR(VLOOKUP($U$925,'TAR FIN'!$A$1:$O$100,15,0)),0,VLOOKUP($U$925,'TAR FIN'!$A$1:$O$100,15,0))</f>
        <v>192.75</v>
      </c>
      <c r="Y925" s="6"/>
      <c r="Z925" s="6">
        <f ca="1">('TUSD BE'!$AM$41+'TUSD BF'!$AM$41+'TUSD CVA'!$AM$41)*(1-CUSTOS!$M$38)</f>
        <v>456.51643176410988</v>
      </c>
      <c r="AA925" s="6">
        <f>('TE BE'!$AA$24+'TE BF'!$AA$24+'TE CVA'!$AA$24)*(1-CUSTOS!$M$38)</f>
        <v>224.23773216940677</v>
      </c>
      <c r="AB925" s="6">
        <f>$K$925*$V$925</f>
        <v>0</v>
      </c>
      <c r="AC925" s="6">
        <f>$M$925*$W$925</f>
        <v>4.7711399999999999</v>
      </c>
      <c r="AD925" s="6">
        <f>$O$925*$X$925</f>
        <v>2.12025</v>
      </c>
      <c r="AE925" s="6">
        <f>$K$925*$Y$925</f>
        <v>0</v>
      </c>
      <c r="AF925" s="6">
        <f ca="1">$M$925*$Z$925</f>
        <v>5.021680749405208</v>
      </c>
      <c r="AG925" s="6">
        <f>$O$925*$AA$925</f>
        <v>2.4666150538634741</v>
      </c>
    </row>
    <row r="926" spans="1:33" ht="11.25" customHeight="1" x14ac:dyDescent="0.25">
      <c r="A926" s="4" t="s">
        <v>21</v>
      </c>
      <c r="B926" s="4" t="s">
        <v>43</v>
      </c>
      <c r="C926" s="4" t="s">
        <v>33</v>
      </c>
      <c r="D926" s="4" t="s">
        <v>44</v>
      </c>
      <c r="E926" s="4" t="s">
        <v>25</v>
      </c>
      <c r="F926" s="4" t="s">
        <v>25</v>
      </c>
      <c r="G926" s="4" t="s">
        <v>25</v>
      </c>
      <c r="H926" s="4" t="s">
        <v>36</v>
      </c>
      <c r="I926" s="5">
        <v>44470</v>
      </c>
      <c r="J926" s="6">
        <v>0</v>
      </c>
      <c r="K926" s="6">
        <v>0</v>
      </c>
      <c r="L926" s="6">
        <v>1.2E-2</v>
      </c>
      <c r="M926" s="6">
        <v>1.2E-2</v>
      </c>
      <c r="N926" s="6">
        <v>1.2E-2</v>
      </c>
      <c r="O926" s="6">
        <v>1.2E-2</v>
      </c>
      <c r="P926" s="6">
        <v>0</v>
      </c>
      <c r="Q926" s="4" t="s">
        <v>26</v>
      </c>
      <c r="R926" s="4">
        <v>0</v>
      </c>
      <c r="S926" s="6">
        <v>0</v>
      </c>
      <c r="T926" s="6">
        <v>44</v>
      </c>
      <c r="U926" s="6">
        <v>97</v>
      </c>
      <c r="V926" s="6">
        <f>IF(ISERROR(VLOOKUP($S$926,'TAR FIN'!$A$1:$O$100,15,0)),0,VLOOKUP($S$926,'TAR FIN'!$A$1:$O$100,15,0))</f>
        <v>0</v>
      </c>
      <c r="W926" s="6">
        <f>IF(ISERROR(VLOOKUP($T$926,'TAR FIN'!$A$1:$O$100,15,0)),0,VLOOKUP($T$926,'TAR FIN'!$A$1:$O$100,15,0))</f>
        <v>433.74</v>
      </c>
      <c r="X926" s="6">
        <f>IF(ISERROR(VLOOKUP($U$926,'TAR FIN'!$A$1:$O$100,15,0)),0,VLOOKUP($U$926,'TAR FIN'!$A$1:$O$100,15,0))</f>
        <v>192.75</v>
      </c>
      <c r="Y926" s="6"/>
      <c r="Z926" s="6">
        <f ca="1">('TUSD BE'!$AM$41+'TUSD BF'!$AM$41+'TUSD CVA'!$AM$41)*(1-CUSTOS!$M$38)</f>
        <v>456.51643176410988</v>
      </c>
      <c r="AA926" s="6">
        <f>('TE BE'!$AA$24+'TE BF'!$AA$24+'TE CVA'!$AA$24)*(1-CUSTOS!$M$38)</f>
        <v>224.23773216940677</v>
      </c>
      <c r="AB926" s="6">
        <f>$K$926*$V$926</f>
        <v>0</v>
      </c>
      <c r="AC926" s="6">
        <f>$M$926*$W$926</f>
        <v>5.2048800000000002</v>
      </c>
      <c r="AD926" s="6">
        <f>$O$926*$X$926</f>
        <v>2.3130000000000002</v>
      </c>
      <c r="AE926" s="6">
        <f>$K$926*$Y$926</f>
        <v>0</v>
      </c>
      <c r="AF926" s="6">
        <f ca="1">$M$926*$Z$926</f>
        <v>5.4781971811693184</v>
      </c>
      <c r="AG926" s="6">
        <f>$O$926*$AA$926</f>
        <v>2.6908527860328815</v>
      </c>
    </row>
    <row r="927" spans="1:33" ht="11.25" customHeight="1" x14ac:dyDescent="0.25">
      <c r="A927" s="4" t="s">
        <v>21</v>
      </c>
      <c r="B927" s="4" t="s">
        <v>43</v>
      </c>
      <c r="C927" s="4" t="s">
        <v>33</v>
      </c>
      <c r="D927" s="4" t="s">
        <v>44</v>
      </c>
      <c r="E927" s="4" t="s">
        <v>25</v>
      </c>
      <c r="F927" s="4" t="s">
        <v>25</v>
      </c>
      <c r="G927" s="4" t="s">
        <v>25</v>
      </c>
      <c r="H927" s="4" t="s">
        <v>36</v>
      </c>
      <c r="I927" s="5">
        <v>44501</v>
      </c>
      <c r="J927" s="6">
        <v>0</v>
      </c>
      <c r="K927" s="6">
        <v>0</v>
      </c>
      <c r="L927" s="6">
        <v>0.01</v>
      </c>
      <c r="M927" s="6">
        <v>0.01</v>
      </c>
      <c r="N927" s="6">
        <v>0.01</v>
      </c>
      <c r="O927" s="6">
        <v>0.01</v>
      </c>
      <c r="P927" s="6">
        <v>0</v>
      </c>
      <c r="Q927" s="4" t="s">
        <v>26</v>
      </c>
      <c r="R927" s="4">
        <v>0</v>
      </c>
      <c r="S927" s="6">
        <v>0</v>
      </c>
      <c r="T927" s="6">
        <v>44</v>
      </c>
      <c r="U927" s="6">
        <v>97</v>
      </c>
      <c r="V927" s="6">
        <f>IF(ISERROR(VLOOKUP($S$927,'TAR FIN'!$A$1:$O$100,15,0)),0,VLOOKUP($S$927,'TAR FIN'!$A$1:$O$100,15,0))</f>
        <v>0</v>
      </c>
      <c r="W927" s="6">
        <f>IF(ISERROR(VLOOKUP($T$927,'TAR FIN'!$A$1:$O$100,15,0)),0,VLOOKUP($T$927,'TAR FIN'!$A$1:$O$100,15,0))</f>
        <v>433.74</v>
      </c>
      <c r="X927" s="6">
        <f>IF(ISERROR(VLOOKUP($U$927,'TAR FIN'!$A$1:$O$100,15,0)),0,VLOOKUP($U$927,'TAR FIN'!$A$1:$O$100,15,0))</f>
        <v>192.75</v>
      </c>
      <c r="Y927" s="6"/>
      <c r="Z927" s="6">
        <f ca="1">('TUSD BE'!$AM$41+'TUSD BF'!$AM$41+'TUSD CVA'!$AM$41)*(1-CUSTOS!$M$38)</f>
        <v>456.51643176410988</v>
      </c>
      <c r="AA927" s="6">
        <f>('TE BE'!$AA$24+'TE BF'!$AA$24+'TE CVA'!$AA$24)*(1-CUSTOS!$M$38)</f>
        <v>224.23773216940677</v>
      </c>
      <c r="AB927" s="6">
        <f>$K$927*$V$927</f>
        <v>0</v>
      </c>
      <c r="AC927" s="6">
        <f>$M$927*$W$927</f>
        <v>4.3374000000000006</v>
      </c>
      <c r="AD927" s="6">
        <f>$O$927*$X$927</f>
        <v>1.9275</v>
      </c>
      <c r="AE927" s="6">
        <f>$K$927*$Y$927</f>
        <v>0</v>
      </c>
      <c r="AF927" s="6">
        <f ca="1">$M$927*$Z$927</f>
        <v>4.5651643176410985</v>
      </c>
      <c r="AG927" s="6">
        <f>$O$927*$AA$927</f>
        <v>2.2423773216940677</v>
      </c>
    </row>
    <row r="928" spans="1:33" ht="11.25" customHeight="1" x14ac:dyDescent="0.25">
      <c r="A928" s="4" t="s">
        <v>21</v>
      </c>
      <c r="B928" s="4" t="s">
        <v>43</v>
      </c>
      <c r="C928" s="4" t="s">
        <v>33</v>
      </c>
      <c r="D928" s="4" t="s">
        <v>44</v>
      </c>
      <c r="E928" s="4" t="s">
        <v>25</v>
      </c>
      <c r="F928" s="4" t="s">
        <v>25</v>
      </c>
      <c r="G928" s="4" t="s">
        <v>25</v>
      </c>
      <c r="H928" s="4" t="s">
        <v>36</v>
      </c>
      <c r="I928" s="5">
        <v>44531</v>
      </c>
      <c r="J928" s="6">
        <v>0</v>
      </c>
      <c r="K928" s="6">
        <v>0</v>
      </c>
      <c r="L928" s="6">
        <v>1.2E-2</v>
      </c>
      <c r="M928" s="6">
        <v>1.2E-2</v>
      </c>
      <c r="N928" s="6">
        <v>1.2E-2</v>
      </c>
      <c r="O928" s="6">
        <v>1.2E-2</v>
      </c>
      <c r="P928" s="6">
        <v>0</v>
      </c>
      <c r="Q928" s="4" t="s">
        <v>26</v>
      </c>
      <c r="R928" s="4">
        <v>0</v>
      </c>
      <c r="S928" s="6">
        <v>0</v>
      </c>
      <c r="T928" s="6">
        <v>44</v>
      </c>
      <c r="U928" s="6">
        <v>97</v>
      </c>
      <c r="V928" s="6">
        <f>IF(ISERROR(VLOOKUP($S$928,'TAR FIN'!$A$1:$O$100,15,0)),0,VLOOKUP($S$928,'TAR FIN'!$A$1:$O$100,15,0))</f>
        <v>0</v>
      </c>
      <c r="W928" s="6">
        <f>IF(ISERROR(VLOOKUP($T$928,'TAR FIN'!$A$1:$O$100,15,0)),0,VLOOKUP($T$928,'TAR FIN'!$A$1:$O$100,15,0))</f>
        <v>433.74</v>
      </c>
      <c r="X928" s="6">
        <f>IF(ISERROR(VLOOKUP($U$928,'TAR FIN'!$A$1:$O$100,15,0)),0,VLOOKUP($U$928,'TAR FIN'!$A$1:$O$100,15,0))</f>
        <v>192.75</v>
      </c>
      <c r="Y928" s="6"/>
      <c r="Z928" s="6">
        <f ca="1">('TUSD BE'!$AM$41+'TUSD BF'!$AM$41+'TUSD CVA'!$AM$41)*(1-CUSTOS!$M$38)</f>
        <v>456.51643176410988</v>
      </c>
      <c r="AA928" s="6">
        <f>('TE BE'!$AA$24+'TE BF'!$AA$24+'TE CVA'!$AA$24)*(1-CUSTOS!$M$38)</f>
        <v>224.23773216940677</v>
      </c>
      <c r="AB928" s="6">
        <f>$K$928*$V$928</f>
        <v>0</v>
      </c>
      <c r="AC928" s="6">
        <f>$M$928*$W$928</f>
        <v>5.2048800000000002</v>
      </c>
      <c r="AD928" s="6">
        <f>$O$928*$X$928</f>
        <v>2.3130000000000002</v>
      </c>
      <c r="AE928" s="6">
        <f>$K$928*$Y$928</f>
        <v>0</v>
      </c>
      <c r="AF928" s="6">
        <f ca="1">$M$928*$Z$928</f>
        <v>5.4781971811693184</v>
      </c>
      <c r="AG928" s="6">
        <f>$O$928*$AA$928</f>
        <v>2.6908527860328815</v>
      </c>
    </row>
    <row r="929" spans="1:33" ht="11.25" customHeight="1" x14ac:dyDescent="0.25">
      <c r="A929" s="4" t="s">
        <v>55</v>
      </c>
      <c r="B929" s="4" t="s">
        <v>43</v>
      </c>
      <c r="C929" s="4" t="s">
        <v>33</v>
      </c>
      <c r="D929" s="4" t="s">
        <v>44</v>
      </c>
      <c r="E929" s="4" t="s">
        <v>25</v>
      </c>
      <c r="F929" s="4" t="s">
        <v>25</v>
      </c>
      <c r="G929" s="4" t="s">
        <v>25</v>
      </c>
      <c r="H929" s="4" t="s">
        <v>36</v>
      </c>
      <c r="I929" s="5">
        <v>44562</v>
      </c>
      <c r="J929" s="6">
        <v>0</v>
      </c>
      <c r="K929" s="6">
        <v>0</v>
      </c>
      <c r="L929" s="6">
        <v>1.2E-2</v>
      </c>
      <c r="M929" s="6">
        <v>1.2E-2</v>
      </c>
      <c r="N929" s="6">
        <v>1.2E-2</v>
      </c>
      <c r="O929" s="6">
        <v>1.2E-2</v>
      </c>
      <c r="P929" s="6">
        <v>0</v>
      </c>
      <c r="Q929" s="4" t="s">
        <v>26</v>
      </c>
      <c r="R929" s="4">
        <v>0</v>
      </c>
      <c r="S929" s="6">
        <v>0</v>
      </c>
      <c r="T929" s="6">
        <v>44</v>
      </c>
      <c r="U929" s="6">
        <v>97</v>
      </c>
      <c r="V929" s="6">
        <f>IF(ISERROR(VLOOKUP($S$929,'TAR FIN'!$A$1:$O$100,15,0)),0,VLOOKUP($S$929,'TAR FIN'!$A$1:$O$100,15,0))</f>
        <v>0</v>
      </c>
      <c r="W929" s="6">
        <f>IF(ISERROR(VLOOKUP($T$929,'TAR FIN'!$A$1:$O$100,15,0)),0,VLOOKUP($T$929,'TAR FIN'!$A$1:$O$100,15,0))</f>
        <v>433.74</v>
      </c>
      <c r="X929" s="6">
        <f>IF(ISERROR(VLOOKUP($U$929,'TAR FIN'!$A$1:$O$100,15,0)),0,VLOOKUP($U$929,'TAR FIN'!$A$1:$O$100,15,0))</f>
        <v>192.75</v>
      </c>
      <c r="Y929" s="6"/>
      <c r="Z929" s="6">
        <f ca="1">('TUSD BE'!$AM$41+'TUSD BF'!$AM$41+'TUSD CVA'!$AM$41)*(1-CUSTOS!$M$38)</f>
        <v>456.51643176410988</v>
      </c>
      <c r="AA929" s="6">
        <f>('TE BE'!$AA$24+'TE BF'!$AA$24+'TE CVA'!$AA$24)*(1-CUSTOS!$M$38)</f>
        <v>224.23773216940677</v>
      </c>
      <c r="AB929" s="6">
        <f>$K$929*$V$929</f>
        <v>0</v>
      </c>
      <c r="AC929" s="6">
        <f>$M$929*$W$929</f>
        <v>5.2048800000000002</v>
      </c>
      <c r="AD929" s="6">
        <f>$O$929*$X$929</f>
        <v>2.3130000000000002</v>
      </c>
      <c r="AE929" s="6">
        <f>$K$929*$Y$929</f>
        <v>0</v>
      </c>
      <c r="AF929" s="6">
        <f ca="1">$M$929*$Z$929</f>
        <v>5.4781971811693184</v>
      </c>
      <c r="AG929" s="6">
        <f>$O$929*$AA$929</f>
        <v>2.6908527860328815</v>
      </c>
    </row>
    <row r="930" spans="1:33" ht="11.25" customHeight="1" x14ac:dyDescent="0.25">
      <c r="A930" s="4" t="s">
        <v>21</v>
      </c>
      <c r="B930" s="4" t="s">
        <v>43</v>
      </c>
      <c r="C930" s="4" t="s">
        <v>33</v>
      </c>
      <c r="D930" s="4" t="s">
        <v>44</v>
      </c>
      <c r="E930" s="4" t="s">
        <v>25</v>
      </c>
      <c r="F930" s="4" t="s">
        <v>25</v>
      </c>
      <c r="G930" s="4" t="s">
        <v>25</v>
      </c>
      <c r="H930" s="4" t="s">
        <v>34</v>
      </c>
      <c r="I930" s="5">
        <v>44228</v>
      </c>
      <c r="J930" s="6">
        <v>0</v>
      </c>
      <c r="K930" s="6">
        <v>0</v>
      </c>
      <c r="L930" s="6">
        <v>1.0999999999999999E-2</v>
      </c>
      <c r="M930" s="6">
        <v>1.0999999999999999E-2</v>
      </c>
      <c r="N930" s="6">
        <v>1.0999999999999999E-2</v>
      </c>
      <c r="O930" s="6">
        <v>1.0999999999999999E-2</v>
      </c>
      <c r="P930" s="6">
        <v>0</v>
      </c>
      <c r="Q930" s="4" t="s">
        <v>26</v>
      </c>
      <c r="R930" s="4">
        <v>0</v>
      </c>
      <c r="S930" s="6">
        <v>0</v>
      </c>
      <c r="T930" s="6">
        <v>43</v>
      </c>
      <c r="U930" s="6">
        <v>96</v>
      </c>
      <c r="V930" s="6">
        <f>IF(ISERROR(VLOOKUP($S$930,'TAR FIN'!$A$1:$O$100,15,0)),0,VLOOKUP($S$930,'TAR FIN'!$A$1:$O$100,15,0))</f>
        <v>0</v>
      </c>
      <c r="W930" s="6">
        <f>IF(ISERROR(VLOOKUP($T$930,'TAR FIN'!$A$1:$O$100,15,0)),0,VLOOKUP($T$930,'TAR FIN'!$A$1:$O$100,15,0))</f>
        <v>687.34</v>
      </c>
      <c r="X930" s="6">
        <f>IF(ISERROR(VLOOKUP($U$930,'TAR FIN'!$A$1:$O$100,15,0)),0,VLOOKUP($U$930,'TAR FIN'!$A$1:$O$100,15,0))</f>
        <v>322.61</v>
      </c>
      <c r="Y930" s="6"/>
      <c r="Z930" s="6">
        <f ca="1">('TUSD BE'!$AM$40+'TUSD BF'!$AM$40+'TUSD CVA'!$AM$40)*(1-CUSTOS!$M$38)</f>
        <v>718.09568282865928</v>
      </c>
      <c r="AA930" s="6">
        <f>('TE BE'!$AA$23+'TE BF'!$AA$23+'TE CVA'!$AA$23)*(1-CUSTOS!$M$38)</f>
        <v>362.3376323622461</v>
      </c>
      <c r="AB930" s="6">
        <f>$K$930*$V$930</f>
        <v>0</v>
      </c>
      <c r="AC930" s="6">
        <f>$M$930*$W$930</f>
        <v>7.56074</v>
      </c>
      <c r="AD930" s="6">
        <f>$O$930*$X$930</f>
        <v>3.5487099999999998</v>
      </c>
      <c r="AE930" s="6">
        <f>$K$930*$Y$930</f>
        <v>0</v>
      </c>
      <c r="AF930" s="6">
        <f ca="1">$M$930*$Z$930</f>
        <v>7.8990525111152516</v>
      </c>
      <c r="AG930" s="6">
        <f>$O$930*$AA$930</f>
        <v>3.985713955984707</v>
      </c>
    </row>
    <row r="931" spans="1:33" ht="11.25" customHeight="1" x14ac:dyDescent="0.25">
      <c r="A931" s="4" t="s">
        <v>21</v>
      </c>
      <c r="B931" s="4" t="s">
        <v>43</v>
      </c>
      <c r="C931" s="4" t="s">
        <v>33</v>
      </c>
      <c r="D931" s="4" t="s">
        <v>44</v>
      </c>
      <c r="E931" s="4" t="s">
        <v>25</v>
      </c>
      <c r="F931" s="4" t="s">
        <v>25</v>
      </c>
      <c r="G931" s="4" t="s">
        <v>25</v>
      </c>
      <c r="H931" s="4" t="s">
        <v>34</v>
      </c>
      <c r="I931" s="5">
        <v>44256</v>
      </c>
      <c r="J931" s="6">
        <v>0</v>
      </c>
      <c r="K931" s="6">
        <v>0</v>
      </c>
      <c r="L931" s="6">
        <v>1.4E-2</v>
      </c>
      <c r="M931" s="6">
        <v>1.4E-2</v>
      </c>
      <c r="N931" s="6">
        <v>1.4E-2</v>
      </c>
      <c r="O931" s="6">
        <v>1.4E-2</v>
      </c>
      <c r="P931" s="6">
        <v>0</v>
      </c>
      <c r="Q931" s="4" t="s">
        <v>26</v>
      </c>
      <c r="R931" s="4">
        <v>0</v>
      </c>
      <c r="S931" s="6">
        <v>0</v>
      </c>
      <c r="T931" s="6">
        <v>43</v>
      </c>
      <c r="U931" s="6">
        <v>96</v>
      </c>
      <c r="V931" s="6">
        <f>IF(ISERROR(VLOOKUP($S$931,'TAR FIN'!$A$1:$O$100,15,0)),0,VLOOKUP($S$931,'TAR FIN'!$A$1:$O$100,15,0))</f>
        <v>0</v>
      </c>
      <c r="W931" s="6">
        <f>IF(ISERROR(VLOOKUP($T$931,'TAR FIN'!$A$1:$O$100,15,0)),0,VLOOKUP($T$931,'TAR FIN'!$A$1:$O$100,15,0))</f>
        <v>687.34</v>
      </c>
      <c r="X931" s="6">
        <f>IF(ISERROR(VLOOKUP($U$931,'TAR FIN'!$A$1:$O$100,15,0)),0,VLOOKUP($U$931,'TAR FIN'!$A$1:$O$100,15,0))</f>
        <v>322.61</v>
      </c>
      <c r="Y931" s="6"/>
      <c r="Z931" s="6">
        <f ca="1">('TUSD BE'!$AM$40+'TUSD BF'!$AM$40+'TUSD CVA'!$AM$40)*(1-CUSTOS!$M$38)</f>
        <v>718.09568282865928</v>
      </c>
      <c r="AA931" s="6">
        <f>('TE BE'!$AA$23+'TE BF'!$AA$23+'TE CVA'!$AA$23)*(1-CUSTOS!$M$38)</f>
        <v>362.3376323622461</v>
      </c>
      <c r="AB931" s="6">
        <f>$K$931*$V$931</f>
        <v>0</v>
      </c>
      <c r="AC931" s="6">
        <f>$M$931*$W$931</f>
        <v>9.6227600000000013</v>
      </c>
      <c r="AD931" s="6">
        <f>$O$931*$X$931</f>
        <v>4.51654</v>
      </c>
      <c r="AE931" s="6">
        <f>$K$931*$Y$931</f>
        <v>0</v>
      </c>
      <c r="AF931" s="6">
        <f ca="1">$M$931*$Z$931</f>
        <v>10.05333955960123</v>
      </c>
      <c r="AG931" s="6">
        <f>$O$931*$AA$931</f>
        <v>5.0727268530714458</v>
      </c>
    </row>
    <row r="932" spans="1:33" ht="11.25" customHeight="1" x14ac:dyDescent="0.25">
      <c r="A932" s="4" t="s">
        <v>21</v>
      </c>
      <c r="B932" s="4" t="s">
        <v>43</v>
      </c>
      <c r="C932" s="4" t="s">
        <v>33</v>
      </c>
      <c r="D932" s="4" t="s">
        <v>44</v>
      </c>
      <c r="E932" s="4" t="s">
        <v>25</v>
      </c>
      <c r="F932" s="4" t="s">
        <v>25</v>
      </c>
      <c r="G932" s="4" t="s">
        <v>25</v>
      </c>
      <c r="H932" s="4" t="s">
        <v>34</v>
      </c>
      <c r="I932" s="5">
        <v>44287</v>
      </c>
      <c r="J932" s="6">
        <v>0</v>
      </c>
      <c r="K932" s="6">
        <v>0</v>
      </c>
      <c r="L932" s="6">
        <v>1.2999999999999999E-2</v>
      </c>
      <c r="M932" s="6">
        <v>1.2999999999999999E-2</v>
      </c>
      <c r="N932" s="6">
        <v>1.2999999999999999E-2</v>
      </c>
      <c r="O932" s="6">
        <v>1.2999999999999999E-2</v>
      </c>
      <c r="P932" s="6">
        <v>0</v>
      </c>
      <c r="Q932" s="4" t="s">
        <v>26</v>
      </c>
      <c r="R932" s="4">
        <v>0</v>
      </c>
      <c r="S932" s="6">
        <v>0</v>
      </c>
      <c r="T932" s="6">
        <v>43</v>
      </c>
      <c r="U932" s="6">
        <v>96</v>
      </c>
      <c r="V932" s="6">
        <f>IF(ISERROR(VLOOKUP($S$932,'TAR FIN'!$A$1:$O$100,15,0)),0,VLOOKUP($S$932,'TAR FIN'!$A$1:$O$100,15,0))</f>
        <v>0</v>
      </c>
      <c r="W932" s="6">
        <f>IF(ISERROR(VLOOKUP($T$932,'TAR FIN'!$A$1:$O$100,15,0)),0,VLOOKUP($T$932,'TAR FIN'!$A$1:$O$100,15,0))</f>
        <v>687.34</v>
      </c>
      <c r="X932" s="6">
        <f>IF(ISERROR(VLOOKUP($U$932,'TAR FIN'!$A$1:$O$100,15,0)),0,VLOOKUP($U$932,'TAR FIN'!$A$1:$O$100,15,0))</f>
        <v>322.61</v>
      </c>
      <c r="Y932" s="6"/>
      <c r="Z932" s="6">
        <f ca="1">('TUSD BE'!$AM$40+'TUSD BF'!$AM$40+'TUSD CVA'!$AM$40)*(1-CUSTOS!$M$38)</f>
        <v>718.09568282865928</v>
      </c>
      <c r="AA932" s="6">
        <f>('TE BE'!$AA$23+'TE BF'!$AA$23+'TE CVA'!$AA$23)*(1-CUSTOS!$M$38)</f>
        <v>362.3376323622461</v>
      </c>
      <c r="AB932" s="6">
        <f>$K$932*$V$932</f>
        <v>0</v>
      </c>
      <c r="AC932" s="6">
        <f>$M$932*$W$932</f>
        <v>8.9354200000000006</v>
      </c>
      <c r="AD932" s="6">
        <f>$O$932*$X$932</f>
        <v>4.1939299999999999</v>
      </c>
      <c r="AE932" s="6">
        <f>$K$932*$Y$932</f>
        <v>0</v>
      </c>
      <c r="AF932" s="6">
        <f ca="1">$M$932*$Z$932</f>
        <v>9.3352438767725694</v>
      </c>
      <c r="AG932" s="6">
        <f>$O$932*$AA$932</f>
        <v>4.7103892207091986</v>
      </c>
    </row>
    <row r="933" spans="1:33" ht="11.25" customHeight="1" x14ac:dyDescent="0.25">
      <c r="A933" s="4" t="s">
        <v>21</v>
      </c>
      <c r="B933" s="4" t="s">
        <v>43</v>
      </c>
      <c r="C933" s="4" t="s">
        <v>33</v>
      </c>
      <c r="D933" s="4" t="s">
        <v>44</v>
      </c>
      <c r="E933" s="4" t="s">
        <v>25</v>
      </c>
      <c r="F933" s="4" t="s">
        <v>25</v>
      </c>
      <c r="G933" s="4" t="s">
        <v>25</v>
      </c>
      <c r="H933" s="4" t="s">
        <v>34</v>
      </c>
      <c r="I933" s="5">
        <v>44317</v>
      </c>
      <c r="J933" s="6">
        <v>0</v>
      </c>
      <c r="K933" s="6">
        <v>0</v>
      </c>
      <c r="L933" s="6">
        <v>1.4999999999999999E-2</v>
      </c>
      <c r="M933" s="6">
        <v>1.4999999999999999E-2</v>
      </c>
      <c r="N933" s="6">
        <v>1.4999999999999999E-2</v>
      </c>
      <c r="O933" s="6">
        <v>1.4999999999999999E-2</v>
      </c>
      <c r="P933" s="6">
        <v>0</v>
      </c>
      <c r="Q933" s="4" t="s">
        <v>26</v>
      </c>
      <c r="R933" s="4">
        <v>0</v>
      </c>
      <c r="S933" s="6">
        <v>0</v>
      </c>
      <c r="T933" s="6">
        <v>43</v>
      </c>
      <c r="U933" s="6">
        <v>96</v>
      </c>
      <c r="V933" s="6">
        <f>IF(ISERROR(VLOOKUP($S$933,'TAR FIN'!$A$1:$O$100,15,0)),0,VLOOKUP($S$933,'TAR FIN'!$A$1:$O$100,15,0))</f>
        <v>0</v>
      </c>
      <c r="W933" s="6">
        <f>IF(ISERROR(VLOOKUP($T$933,'TAR FIN'!$A$1:$O$100,15,0)),0,VLOOKUP($T$933,'TAR FIN'!$A$1:$O$100,15,0))</f>
        <v>687.34</v>
      </c>
      <c r="X933" s="6">
        <f>IF(ISERROR(VLOOKUP($U$933,'TAR FIN'!$A$1:$O$100,15,0)),0,VLOOKUP($U$933,'TAR FIN'!$A$1:$O$100,15,0))</f>
        <v>322.61</v>
      </c>
      <c r="Y933" s="6"/>
      <c r="Z933" s="6">
        <f ca="1">('TUSD BE'!$AM$40+'TUSD BF'!$AM$40+'TUSD CVA'!$AM$40)*(1-CUSTOS!$M$38)</f>
        <v>718.09568282865928</v>
      </c>
      <c r="AA933" s="6">
        <f>('TE BE'!$AA$23+'TE BF'!$AA$23+'TE CVA'!$AA$23)*(1-CUSTOS!$M$38)</f>
        <v>362.3376323622461</v>
      </c>
      <c r="AB933" s="6">
        <f>$K$933*$V$933</f>
        <v>0</v>
      </c>
      <c r="AC933" s="6">
        <f>$M$933*$W$933</f>
        <v>10.3101</v>
      </c>
      <c r="AD933" s="6">
        <f>$O$933*$X$933</f>
        <v>4.8391500000000001</v>
      </c>
      <c r="AE933" s="6">
        <f>$K$933*$Y$933</f>
        <v>0</v>
      </c>
      <c r="AF933" s="6">
        <f ca="1">$M$933*$Z$933</f>
        <v>10.771435242429888</v>
      </c>
      <c r="AG933" s="6">
        <f>$O$933*$AA$933</f>
        <v>5.4350644854336911</v>
      </c>
    </row>
    <row r="934" spans="1:33" ht="11.25" customHeight="1" x14ac:dyDescent="0.25">
      <c r="A934" s="4" t="s">
        <v>21</v>
      </c>
      <c r="B934" s="4" t="s">
        <v>43</v>
      </c>
      <c r="C934" s="4" t="s">
        <v>33</v>
      </c>
      <c r="D934" s="4" t="s">
        <v>44</v>
      </c>
      <c r="E934" s="4" t="s">
        <v>25</v>
      </c>
      <c r="F934" s="4" t="s">
        <v>25</v>
      </c>
      <c r="G934" s="4" t="s">
        <v>25</v>
      </c>
      <c r="H934" s="4" t="s">
        <v>34</v>
      </c>
      <c r="I934" s="5">
        <v>44348</v>
      </c>
      <c r="J934" s="6">
        <v>0</v>
      </c>
      <c r="K934" s="6">
        <v>0</v>
      </c>
      <c r="L934" s="6">
        <v>1.2999999999999999E-2</v>
      </c>
      <c r="M934" s="6">
        <v>1.2999999999999999E-2</v>
      </c>
      <c r="N934" s="6">
        <v>1.2999999999999999E-2</v>
      </c>
      <c r="O934" s="6">
        <v>1.2999999999999999E-2</v>
      </c>
      <c r="P934" s="6">
        <v>0</v>
      </c>
      <c r="Q934" s="4" t="s">
        <v>26</v>
      </c>
      <c r="R934" s="4">
        <v>0</v>
      </c>
      <c r="S934" s="6">
        <v>0</v>
      </c>
      <c r="T934" s="6">
        <v>43</v>
      </c>
      <c r="U934" s="6">
        <v>96</v>
      </c>
      <c r="V934" s="6">
        <f>IF(ISERROR(VLOOKUP($S$934,'TAR FIN'!$A$1:$O$100,15,0)),0,VLOOKUP($S$934,'TAR FIN'!$A$1:$O$100,15,0))</f>
        <v>0</v>
      </c>
      <c r="W934" s="6">
        <f>IF(ISERROR(VLOOKUP($T$934,'TAR FIN'!$A$1:$O$100,15,0)),0,VLOOKUP($T$934,'TAR FIN'!$A$1:$O$100,15,0))</f>
        <v>687.34</v>
      </c>
      <c r="X934" s="6">
        <f>IF(ISERROR(VLOOKUP($U$934,'TAR FIN'!$A$1:$O$100,15,0)),0,VLOOKUP($U$934,'TAR FIN'!$A$1:$O$100,15,0))</f>
        <v>322.61</v>
      </c>
      <c r="Y934" s="6"/>
      <c r="Z934" s="6">
        <f ca="1">('TUSD BE'!$AM$40+'TUSD BF'!$AM$40+'TUSD CVA'!$AM$40)*(1-CUSTOS!$M$38)</f>
        <v>718.09568282865928</v>
      </c>
      <c r="AA934" s="6">
        <f>('TE BE'!$AA$23+'TE BF'!$AA$23+'TE CVA'!$AA$23)*(1-CUSTOS!$M$38)</f>
        <v>362.3376323622461</v>
      </c>
      <c r="AB934" s="6">
        <f>$K$934*$V$934</f>
        <v>0</v>
      </c>
      <c r="AC934" s="6">
        <f>$M$934*$W$934</f>
        <v>8.9354200000000006</v>
      </c>
      <c r="AD934" s="6">
        <f>$O$934*$X$934</f>
        <v>4.1939299999999999</v>
      </c>
      <c r="AE934" s="6">
        <f>$K$934*$Y$934</f>
        <v>0</v>
      </c>
      <c r="AF934" s="6">
        <f ca="1">$M$934*$Z$934</f>
        <v>9.3352438767725694</v>
      </c>
      <c r="AG934" s="6">
        <f>$O$934*$AA$934</f>
        <v>4.7103892207091986</v>
      </c>
    </row>
    <row r="935" spans="1:33" ht="11.25" customHeight="1" x14ac:dyDescent="0.25">
      <c r="A935" s="4" t="s">
        <v>21</v>
      </c>
      <c r="B935" s="4" t="s">
        <v>43</v>
      </c>
      <c r="C935" s="4" t="s">
        <v>33</v>
      </c>
      <c r="D935" s="4" t="s">
        <v>44</v>
      </c>
      <c r="E935" s="4" t="s">
        <v>25</v>
      </c>
      <c r="F935" s="4" t="s">
        <v>25</v>
      </c>
      <c r="G935" s="4" t="s">
        <v>25</v>
      </c>
      <c r="H935" s="4" t="s">
        <v>34</v>
      </c>
      <c r="I935" s="5">
        <v>44378</v>
      </c>
      <c r="J935" s="6">
        <v>0</v>
      </c>
      <c r="K935" s="6">
        <v>0</v>
      </c>
      <c r="L935" s="6">
        <v>1.2999999999999999E-2</v>
      </c>
      <c r="M935" s="6">
        <v>1.2999999999999999E-2</v>
      </c>
      <c r="N935" s="6">
        <v>1.2999999999999999E-2</v>
      </c>
      <c r="O935" s="6">
        <v>1.2999999999999999E-2</v>
      </c>
      <c r="P935" s="6">
        <v>0</v>
      </c>
      <c r="Q935" s="4" t="s">
        <v>26</v>
      </c>
      <c r="R935" s="4">
        <v>0</v>
      </c>
      <c r="S935" s="6">
        <v>0</v>
      </c>
      <c r="T935" s="6">
        <v>43</v>
      </c>
      <c r="U935" s="6">
        <v>96</v>
      </c>
      <c r="V935" s="6">
        <f>IF(ISERROR(VLOOKUP($S$935,'TAR FIN'!$A$1:$O$100,15,0)),0,VLOOKUP($S$935,'TAR FIN'!$A$1:$O$100,15,0))</f>
        <v>0</v>
      </c>
      <c r="W935" s="6">
        <f>IF(ISERROR(VLOOKUP($T$935,'TAR FIN'!$A$1:$O$100,15,0)),0,VLOOKUP($T$935,'TAR FIN'!$A$1:$O$100,15,0))</f>
        <v>687.34</v>
      </c>
      <c r="X935" s="6">
        <f>IF(ISERROR(VLOOKUP($U$935,'TAR FIN'!$A$1:$O$100,15,0)),0,VLOOKUP($U$935,'TAR FIN'!$A$1:$O$100,15,0))</f>
        <v>322.61</v>
      </c>
      <c r="Y935" s="6"/>
      <c r="Z935" s="6">
        <f ca="1">('TUSD BE'!$AM$40+'TUSD BF'!$AM$40+'TUSD CVA'!$AM$40)*(1-CUSTOS!$M$38)</f>
        <v>718.09568282865928</v>
      </c>
      <c r="AA935" s="6">
        <f>('TE BE'!$AA$23+'TE BF'!$AA$23+'TE CVA'!$AA$23)*(1-CUSTOS!$M$38)</f>
        <v>362.3376323622461</v>
      </c>
      <c r="AB935" s="6">
        <f>$K$935*$V$935</f>
        <v>0</v>
      </c>
      <c r="AC935" s="6">
        <f>$M$935*$W$935</f>
        <v>8.9354200000000006</v>
      </c>
      <c r="AD935" s="6">
        <f>$O$935*$X$935</f>
        <v>4.1939299999999999</v>
      </c>
      <c r="AE935" s="6">
        <f>$K$935*$Y$935</f>
        <v>0</v>
      </c>
      <c r="AF935" s="6">
        <f ca="1">$M$935*$Z$935</f>
        <v>9.3352438767725694</v>
      </c>
      <c r="AG935" s="6">
        <f>$O$935*$AA$935</f>
        <v>4.7103892207091986</v>
      </c>
    </row>
    <row r="936" spans="1:33" ht="11.25" customHeight="1" x14ac:dyDescent="0.25">
      <c r="A936" s="4" t="s">
        <v>21</v>
      </c>
      <c r="B936" s="4" t="s">
        <v>43</v>
      </c>
      <c r="C936" s="4" t="s">
        <v>33</v>
      </c>
      <c r="D936" s="4" t="s">
        <v>44</v>
      </c>
      <c r="E936" s="4" t="s">
        <v>25</v>
      </c>
      <c r="F936" s="4" t="s">
        <v>25</v>
      </c>
      <c r="G936" s="4" t="s">
        <v>25</v>
      </c>
      <c r="H936" s="4" t="s">
        <v>34</v>
      </c>
      <c r="I936" s="5">
        <v>44409</v>
      </c>
      <c r="J936" s="6">
        <v>0</v>
      </c>
      <c r="K936" s="6">
        <v>0</v>
      </c>
      <c r="L936" s="6">
        <v>1.2E-2</v>
      </c>
      <c r="M936" s="6">
        <v>1.2E-2</v>
      </c>
      <c r="N936" s="6">
        <v>1.2E-2</v>
      </c>
      <c r="O936" s="6">
        <v>1.2E-2</v>
      </c>
      <c r="P936" s="6">
        <v>0</v>
      </c>
      <c r="Q936" s="4" t="s">
        <v>26</v>
      </c>
      <c r="R936" s="4">
        <v>0</v>
      </c>
      <c r="S936" s="6">
        <v>0</v>
      </c>
      <c r="T936" s="6">
        <v>43</v>
      </c>
      <c r="U936" s="6">
        <v>96</v>
      </c>
      <c r="V936" s="6">
        <f>IF(ISERROR(VLOOKUP($S$936,'TAR FIN'!$A$1:$O$100,15,0)),0,VLOOKUP($S$936,'TAR FIN'!$A$1:$O$100,15,0))</f>
        <v>0</v>
      </c>
      <c r="W936" s="6">
        <f>IF(ISERROR(VLOOKUP($T$936,'TAR FIN'!$A$1:$O$100,15,0)),0,VLOOKUP($T$936,'TAR FIN'!$A$1:$O$100,15,0))</f>
        <v>687.34</v>
      </c>
      <c r="X936" s="6">
        <f>IF(ISERROR(VLOOKUP($U$936,'TAR FIN'!$A$1:$O$100,15,0)),0,VLOOKUP($U$936,'TAR FIN'!$A$1:$O$100,15,0))</f>
        <v>322.61</v>
      </c>
      <c r="Y936" s="6"/>
      <c r="Z936" s="6">
        <f ca="1">('TUSD BE'!$AM$40+'TUSD BF'!$AM$40+'TUSD CVA'!$AM$40)*(1-CUSTOS!$M$38)</f>
        <v>718.09568282865928</v>
      </c>
      <c r="AA936" s="6">
        <f>('TE BE'!$AA$23+'TE BF'!$AA$23+'TE CVA'!$AA$23)*(1-CUSTOS!$M$38)</f>
        <v>362.3376323622461</v>
      </c>
      <c r="AB936" s="6">
        <f>$K$936*$V$936</f>
        <v>0</v>
      </c>
      <c r="AC936" s="6">
        <f>$M$936*$W$936</f>
        <v>8.2480799999999999</v>
      </c>
      <c r="AD936" s="6">
        <f>$O$936*$X$936</f>
        <v>3.8713200000000003</v>
      </c>
      <c r="AE936" s="6">
        <f>$K$936*$Y$936</f>
        <v>0</v>
      </c>
      <c r="AF936" s="6">
        <f ca="1">$M$936*$Z$936</f>
        <v>8.6171481939439118</v>
      </c>
      <c r="AG936" s="6">
        <f>$O$936*$AA$936</f>
        <v>4.3480515883469533</v>
      </c>
    </row>
    <row r="937" spans="1:33" ht="11.25" customHeight="1" x14ac:dyDescent="0.25">
      <c r="A937" s="4" t="s">
        <v>21</v>
      </c>
      <c r="B937" s="4" t="s">
        <v>43</v>
      </c>
      <c r="C937" s="4" t="s">
        <v>33</v>
      </c>
      <c r="D937" s="4" t="s">
        <v>44</v>
      </c>
      <c r="E937" s="4" t="s">
        <v>25</v>
      </c>
      <c r="F937" s="4" t="s">
        <v>25</v>
      </c>
      <c r="G937" s="4" t="s">
        <v>25</v>
      </c>
      <c r="H937" s="4" t="s">
        <v>34</v>
      </c>
      <c r="I937" s="5">
        <v>44440</v>
      </c>
      <c r="J937" s="6">
        <v>0</v>
      </c>
      <c r="K937" s="6">
        <v>0</v>
      </c>
      <c r="L937" s="6">
        <v>1.2999999999999999E-2</v>
      </c>
      <c r="M937" s="6">
        <v>1.2999999999999999E-2</v>
      </c>
      <c r="N937" s="6">
        <v>1.2999999999999999E-2</v>
      </c>
      <c r="O937" s="6">
        <v>1.2999999999999999E-2</v>
      </c>
      <c r="P937" s="6">
        <v>0</v>
      </c>
      <c r="Q937" s="4" t="s">
        <v>26</v>
      </c>
      <c r="R937" s="4">
        <v>0</v>
      </c>
      <c r="S937" s="6">
        <v>0</v>
      </c>
      <c r="T937" s="6">
        <v>43</v>
      </c>
      <c r="U937" s="6">
        <v>96</v>
      </c>
      <c r="V937" s="6">
        <f>IF(ISERROR(VLOOKUP($S$937,'TAR FIN'!$A$1:$O$100,15,0)),0,VLOOKUP($S$937,'TAR FIN'!$A$1:$O$100,15,0))</f>
        <v>0</v>
      </c>
      <c r="W937" s="6">
        <f>IF(ISERROR(VLOOKUP($T$937,'TAR FIN'!$A$1:$O$100,15,0)),0,VLOOKUP($T$937,'TAR FIN'!$A$1:$O$100,15,0))</f>
        <v>687.34</v>
      </c>
      <c r="X937" s="6">
        <f>IF(ISERROR(VLOOKUP($U$937,'TAR FIN'!$A$1:$O$100,15,0)),0,VLOOKUP($U$937,'TAR FIN'!$A$1:$O$100,15,0))</f>
        <v>322.61</v>
      </c>
      <c r="Y937" s="6"/>
      <c r="Z937" s="6">
        <f ca="1">('TUSD BE'!$AM$40+'TUSD BF'!$AM$40+'TUSD CVA'!$AM$40)*(1-CUSTOS!$M$38)</f>
        <v>718.09568282865928</v>
      </c>
      <c r="AA937" s="6">
        <f>('TE BE'!$AA$23+'TE BF'!$AA$23+'TE CVA'!$AA$23)*(1-CUSTOS!$M$38)</f>
        <v>362.3376323622461</v>
      </c>
      <c r="AB937" s="6">
        <f>$K$937*$V$937</f>
        <v>0</v>
      </c>
      <c r="AC937" s="6">
        <f>$M$937*$W$937</f>
        <v>8.9354200000000006</v>
      </c>
      <c r="AD937" s="6">
        <f>$O$937*$X$937</f>
        <v>4.1939299999999999</v>
      </c>
      <c r="AE937" s="6">
        <f>$K$937*$Y$937</f>
        <v>0</v>
      </c>
      <c r="AF937" s="6">
        <f ca="1">$M$937*$Z$937</f>
        <v>9.3352438767725694</v>
      </c>
      <c r="AG937" s="6">
        <f>$O$937*$AA$937</f>
        <v>4.7103892207091986</v>
      </c>
    </row>
    <row r="938" spans="1:33" ht="11.25" customHeight="1" x14ac:dyDescent="0.25">
      <c r="A938" s="4" t="s">
        <v>21</v>
      </c>
      <c r="B938" s="4" t="s">
        <v>43</v>
      </c>
      <c r="C938" s="4" t="s">
        <v>33</v>
      </c>
      <c r="D938" s="4" t="s">
        <v>44</v>
      </c>
      <c r="E938" s="4" t="s">
        <v>25</v>
      </c>
      <c r="F938" s="4" t="s">
        <v>25</v>
      </c>
      <c r="G938" s="4" t="s">
        <v>25</v>
      </c>
      <c r="H938" s="4" t="s">
        <v>34</v>
      </c>
      <c r="I938" s="5">
        <v>44470</v>
      </c>
      <c r="J938" s="6">
        <v>0</v>
      </c>
      <c r="K938" s="6">
        <v>0</v>
      </c>
      <c r="L938" s="6">
        <v>1.4999999999999999E-2</v>
      </c>
      <c r="M938" s="6">
        <v>1.4999999999999999E-2</v>
      </c>
      <c r="N938" s="6">
        <v>1.4999999999999999E-2</v>
      </c>
      <c r="O938" s="6">
        <v>1.4999999999999999E-2</v>
      </c>
      <c r="P938" s="6">
        <v>0</v>
      </c>
      <c r="Q938" s="4" t="s">
        <v>26</v>
      </c>
      <c r="R938" s="4">
        <v>0</v>
      </c>
      <c r="S938" s="6">
        <v>0</v>
      </c>
      <c r="T938" s="6">
        <v>43</v>
      </c>
      <c r="U938" s="6">
        <v>96</v>
      </c>
      <c r="V938" s="6">
        <f>IF(ISERROR(VLOOKUP($S$938,'TAR FIN'!$A$1:$O$100,15,0)),0,VLOOKUP($S$938,'TAR FIN'!$A$1:$O$100,15,0))</f>
        <v>0</v>
      </c>
      <c r="W938" s="6">
        <f>IF(ISERROR(VLOOKUP($T$938,'TAR FIN'!$A$1:$O$100,15,0)),0,VLOOKUP($T$938,'TAR FIN'!$A$1:$O$100,15,0))</f>
        <v>687.34</v>
      </c>
      <c r="X938" s="6">
        <f>IF(ISERROR(VLOOKUP($U$938,'TAR FIN'!$A$1:$O$100,15,0)),0,VLOOKUP($U$938,'TAR FIN'!$A$1:$O$100,15,0))</f>
        <v>322.61</v>
      </c>
      <c r="Y938" s="6"/>
      <c r="Z938" s="6">
        <f ca="1">('TUSD BE'!$AM$40+'TUSD BF'!$AM$40+'TUSD CVA'!$AM$40)*(1-CUSTOS!$M$38)</f>
        <v>718.09568282865928</v>
      </c>
      <c r="AA938" s="6">
        <f>('TE BE'!$AA$23+'TE BF'!$AA$23+'TE CVA'!$AA$23)*(1-CUSTOS!$M$38)</f>
        <v>362.3376323622461</v>
      </c>
      <c r="AB938" s="6">
        <f>$K$938*$V$938</f>
        <v>0</v>
      </c>
      <c r="AC938" s="6">
        <f>$M$938*$W$938</f>
        <v>10.3101</v>
      </c>
      <c r="AD938" s="6">
        <f>$O$938*$X$938</f>
        <v>4.8391500000000001</v>
      </c>
      <c r="AE938" s="6">
        <f>$K$938*$Y$938</f>
        <v>0</v>
      </c>
      <c r="AF938" s="6">
        <f ca="1">$M$938*$Z$938</f>
        <v>10.771435242429888</v>
      </c>
      <c r="AG938" s="6">
        <f>$O$938*$AA$938</f>
        <v>5.4350644854336911</v>
      </c>
    </row>
    <row r="939" spans="1:33" ht="11.25" customHeight="1" x14ac:dyDescent="0.25">
      <c r="A939" s="4" t="s">
        <v>21</v>
      </c>
      <c r="B939" s="4" t="s">
        <v>43</v>
      </c>
      <c r="C939" s="4" t="s">
        <v>33</v>
      </c>
      <c r="D939" s="4" t="s">
        <v>44</v>
      </c>
      <c r="E939" s="4" t="s">
        <v>25</v>
      </c>
      <c r="F939" s="4" t="s">
        <v>25</v>
      </c>
      <c r="G939" s="4" t="s">
        <v>25</v>
      </c>
      <c r="H939" s="4" t="s">
        <v>34</v>
      </c>
      <c r="I939" s="5">
        <v>44501</v>
      </c>
      <c r="J939" s="6">
        <v>0</v>
      </c>
      <c r="K939" s="6">
        <v>0</v>
      </c>
      <c r="L939" s="6">
        <v>1.4999999999999999E-2</v>
      </c>
      <c r="M939" s="6">
        <v>1.4999999999999999E-2</v>
      </c>
      <c r="N939" s="6">
        <v>1.4999999999999999E-2</v>
      </c>
      <c r="O939" s="6">
        <v>1.4999999999999999E-2</v>
      </c>
      <c r="P939" s="6">
        <v>0</v>
      </c>
      <c r="Q939" s="4" t="s">
        <v>26</v>
      </c>
      <c r="R939" s="4">
        <v>0</v>
      </c>
      <c r="S939" s="6">
        <v>0</v>
      </c>
      <c r="T939" s="6">
        <v>43</v>
      </c>
      <c r="U939" s="6">
        <v>96</v>
      </c>
      <c r="V939" s="6">
        <f>IF(ISERROR(VLOOKUP($S$939,'TAR FIN'!$A$1:$O$100,15,0)),0,VLOOKUP($S$939,'TAR FIN'!$A$1:$O$100,15,0))</f>
        <v>0</v>
      </c>
      <c r="W939" s="6">
        <f>IF(ISERROR(VLOOKUP($T$939,'TAR FIN'!$A$1:$O$100,15,0)),0,VLOOKUP($T$939,'TAR FIN'!$A$1:$O$100,15,0))</f>
        <v>687.34</v>
      </c>
      <c r="X939" s="6">
        <f>IF(ISERROR(VLOOKUP($U$939,'TAR FIN'!$A$1:$O$100,15,0)),0,VLOOKUP($U$939,'TAR FIN'!$A$1:$O$100,15,0))</f>
        <v>322.61</v>
      </c>
      <c r="Y939" s="6"/>
      <c r="Z939" s="6">
        <f ca="1">('TUSD BE'!$AM$40+'TUSD BF'!$AM$40+'TUSD CVA'!$AM$40)*(1-CUSTOS!$M$38)</f>
        <v>718.09568282865928</v>
      </c>
      <c r="AA939" s="6">
        <f>('TE BE'!$AA$23+'TE BF'!$AA$23+'TE CVA'!$AA$23)*(1-CUSTOS!$M$38)</f>
        <v>362.3376323622461</v>
      </c>
      <c r="AB939" s="6">
        <f>$K$939*$V$939</f>
        <v>0</v>
      </c>
      <c r="AC939" s="6">
        <f>$M$939*$W$939</f>
        <v>10.3101</v>
      </c>
      <c r="AD939" s="6">
        <f>$O$939*$X$939</f>
        <v>4.8391500000000001</v>
      </c>
      <c r="AE939" s="6">
        <f>$K$939*$Y$939</f>
        <v>0</v>
      </c>
      <c r="AF939" s="6">
        <f ca="1">$M$939*$Z$939</f>
        <v>10.771435242429888</v>
      </c>
      <c r="AG939" s="6">
        <f>$O$939*$AA$939</f>
        <v>5.4350644854336911</v>
      </c>
    </row>
    <row r="940" spans="1:33" ht="11.25" customHeight="1" x14ac:dyDescent="0.25">
      <c r="A940" s="4" t="s">
        <v>21</v>
      </c>
      <c r="B940" s="4" t="s">
        <v>43</v>
      </c>
      <c r="C940" s="4" t="s">
        <v>33</v>
      </c>
      <c r="D940" s="4" t="s">
        <v>44</v>
      </c>
      <c r="E940" s="4" t="s">
        <v>25</v>
      </c>
      <c r="F940" s="4" t="s">
        <v>25</v>
      </c>
      <c r="G940" s="4" t="s">
        <v>25</v>
      </c>
      <c r="H940" s="4" t="s">
        <v>34</v>
      </c>
      <c r="I940" s="5">
        <v>44531</v>
      </c>
      <c r="J940" s="6">
        <v>0</v>
      </c>
      <c r="K940" s="6">
        <v>0</v>
      </c>
      <c r="L940" s="6">
        <v>1.6E-2</v>
      </c>
      <c r="M940" s="6">
        <v>1.6E-2</v>
      </c>
      <c r="N940" s="6">
        <v>1.6E-2</v>
      </c>
      <c r="O940" s="6">
        <v>1.6E-2</v>
      </c>
      <c r="P940" s="6">
        <v>0</v>
      </c>
      <c r="Q940" s="4" t="s">
        <v>26</v>
      </c>
      <c r="R940" s="4">
        <v>0</v>
      </c>
      <c r="S940" s="6">
        <v>0</v>
      </c>
      <c r="T940" s="6">
        <v>43</v>
      </c>
      <c r="U940" s="6">
        <v>96</v>
      </c>
      <c r="V940" s="6">
        <f>IF(ISERROR(VLOOKUP($S$940,'TAR FIN'!$A$1:$O$100,15,0)),0,VLOOKUP($S$940,'TAR FIN'!$A$1:$O$100,15,0))</f>
        <v>0</v>
      </c>
      <c r="W940" s="6">
        <f>IF(ISERROR(VLOOKUP($T$940,'TAR FIN'!$A$1:$O$100,15,0)),0,VLOOKUP($T$940,'TAR FIN'!$A$1:$O$100,15,0))</f>
        <v>687.34</v>
      </c>
      <c r="X940" s="6">
        <f>IF(ISERROR(VLOOKUP($U$940,'TAR FIN'!$A$1:$O$100,15,0)),0,VLOOKUP($U$940,'TAR FIN'!$A$1:$O$100,15,0))</f>
        <v>322.61</v>
      </c>
      <c r="Y940" s="6"/>
      <c r="Z940" s="6">
        <f ca="1">('TUSD BE'!$AM$40+'TUSD BF'!$AM$40+'TUSD CVA'!$AM$40)*(1-CUSTOS!$M$38)</f>
        <v>718.09568282865928</v>
      </c>
      <c r="AA940" s="6">
        <f>('TE BE'!$AA$23+'TE BF'!$AA$23+'TE CVA'!$AA$23)*(1-CUSTOS!$M$38)</f>
        <v>362.3376323622461</v>
      </c>
      <c r="AB940" s="6">
        <f>$K$940*$V$940</f>
        <v>0</v>
      </c>
      <c r="AC940" s="6">
        <f>$M$940*$W$940</f>
        <v>10.997440000000001</v>
      </c>
      <c r="AD940" s="6">
        <f>$O$940*$X$940</f>
        <v>5.1617600000000001</v>
      </c>
      <c r="AE940" s="6">
        <f>$K$940*$Y$940</f>
        <v>0</v>
      </c>
      <c r="AF940" s="6">
        <f ca="1">$M$940*$Z$940</f>
        <v>11.489530925258549</v>
      </c>
      <c r="AG940" s="6">
        <f>$O$940*$AA$940</f>
        <v>5.7974021177959374</v>
      </c>
    </row>
    <row r="941" spans="1:33" ht="11.25" customHeight="1" x14ac:dyDescent="0.25">
      <c r="A941" s="4" t="s">
        <v>55</v>
      </c>
      <c r="B941" s="4" t="s">
        <v>43</v>
      </c>
      <c r="C941" s="4" t="s">
        <v>33</v>
      </c>
      <c r="D941" s="4" t="s">
        <v>44</v>
      </c>
      <c r="E941" s="4" t="s">
        <v>25</v>
      </c>
      <c r="F941" s="4" t="s">
        <v>25</v>
      </c>
      <c r="G941" s="4" t="s">
        <v>25</v>
      </c>
      <c r="H941" s="4" t="s">
        <v>34</v>
      </c>
      <c r="I941" s="5">
        <v>44562</v>
      </c>
      <c r="J941" s="6">
        <v>0</v>
      </c>
      <c r="K941" s="6">
        <v>0</v>
      </c>
      <c r="L941" s="6">
        <v>1.6E-2</v>
      </c>
      <c r="M941" s="6">
        <v>1.6E-2</v>
      </c>
      <c r="N941" s="6">
        <v>1.6E-2</v>
      </c>
      <c r="O941" s="6">
        <v>1.6E-2</v>
      </c>
      <c r="P941" s="6">
        <v>0</v>
      </c>
      <c r="Q941" s="4" t="s">
        <v>26</v>
      </c>
      <c r="R941" s="4">
        <v>0</v>
      </c>
      <c r="S941" s="6">
        <v>0</v>
      </c>
      <c r="T941" s="6">
        <v>43</v>
      </c>
      <c r="U941" s="6">
        <v>96</v>
      </c>
      <c r="V941" s="6">
        <f>IF(ISERROR(VLOOKUP($S$941,'TAR FIN'!$A$1:$O$100,15,0)),0,VLOOKUP($S$941,'TAR FIN'!$A$1:$O$100,15,0))</f>
        <v>0</v>
      </c>
      <c r="W941" s="6">
        <f>IF(ISERROR(VLOOKUP($T$941,'TAR FIN'!$A$1:$O$100,15,0)),0,VLOOKUP($T$941,'TAR FIN'!$A$1:$O$100,15,0))</f>
        <v>687.34</v>
      </c>
      <c r="X941" s="6">
        <f>IF(ISERROR(VLOOKUP($U$941,'TAR FIN'!$A$1:$O$100,15,0)),0,VLOOKUP($U$941,'TAR FIN'!$A$1:$O$100,15,0))</f>
        <v>322.61</v>
      </c>
      <c r="Y941" s="6"/>
      <c r="Z941" s="6">
        <f ca="1">('TUSD BE'!$AM$40+'TUSD BF'!$AM$40+'TUSD CVA'!$AM$40)*(1-CUSTOS!$M$38)</f>
        <v>718.09568282865928</v>
      </c>
      <c r="AA941" s="6">
        <f>('TE BE'!$AA$23+'TE BF'!$AA$23+'TE CVA'!$AA$23)*(1-CUSTOS!$M$38)</f>
        <v>362.3376323622461</v>
      </c>
      <c r="AB941" s="6">
        <f>$K$941*$V$941</f>
        <v>0</v>
      </c>
      <c r="AC941" s="6">
        <f>$M$941*$W$941</f>
        <v>10.997440000000001</v>
      </c>
      <c r="AD941" s="6">
        <f>$O$941*$X$941</f>
        <v>5.1617600000000001</v>
      </c>
      <c r="AE941" s="6">
        <f>$K$941*$Y$941</f>
        <v>0</v>
      </c>
      <c r="AF941" s="6">
        <f ca="1">$M$941*$Z$941</f>
        <v>11.489530925258549</v>
      </c>
      <c r="AG941" s="6">
        <f>$O$941*$AA$941</f>
        <v>5.7974021177959374</v>
      </c>
    </row>
    <row r="942" spans="1:33" ht="11.25" customHeight="1" x14ac:dyDescent="0.25">
      <c r="A942" s="4" t="s">
        <v>21</v>
      </c>
      <c r="B942" s="4" t="s">
        <v>43</v>
      </c>
      <c r="C942" s="4" t="s">
        <v>23</v>
      </c>
      <c r="D942" s="4" t="s">
        <v>44</v>
      </c>
      <c r="E942" s="4" t="s">
        <v>52</v>
      </c>
      <c r="F942" s="4" t="s">
        <v>53</v>
      </c>
      <c r="G942" s="4" t="s">
        <v>25</v>
      </c>
      <c r="H942" s="4" t="s">
        <v>25</v>
      </c>
      <c r="I942" s="5">
        <v>44228</v>
      </c>
      <c r="J942" s="6">
        <v>0</v>
      </c>
      <c r="K942" s="6">
        <v>0</v>
      </c>
      <c r="L942" s="6">
        <v>146.16200000000001</v>
      </c>
      <c r="M942" s="6">
        <v>146.16200000000001</v>
      </c>
      <c r="N942" s="6">
        <v>146.16200000000001</v>
      </c>
      <c r="O942" s="6">
        <v>146.16200000000001</v>
      </c>
      <c r="P942" s="6">
        <v>0</v>
      </c>
      <c r="Q942" s="4" t="s">
        <v>26</v>
      </c>
      <c r="R942" s="4">
        <v>0</v>
      </c>
      <c r="S942" s="6">
        <v>0</v>
      </c>
      <c r="T942" s="6">
        <v>46</v>
      </c>
      <c r="U942" s="6">
        <v>99</v>
      </c>
      <c r="V942" s="6">
        <f>IF(ISERROR(VLOOKUP($S$942,'TAR FIN'!$A$1:$O$100,15,0)),0,VLOOKUP($S$942,'TAR FIN'!$A$1:$O$100,15,0))</f>
        <v>0</v>
      </c>
      <c r="W942" s="6">
        <f>IF(ISERROR(VLOOKUP($T$942,'TAR FIN'!$A$1:$O$100,15,0)),0,VLOOKUP($T$942,'TAR FIN'!$A$1:$O$100,15,0))</f>
        <v>251.46</v>
      </c>
      <c r="X942" s="6">
        <f>IF(ISERROR(VLOOKUP($U$942,'TAR FIN'!$A$1:$O$100,15,0)),0,VLOOKUP($U$942,'TAR FIN'!$A$1:$O$100,15,0))</f>
        <v>203.57</v>
      </c>
      <c r="Y942" s="6"/>
      <c r="Z942" s="6">
        <f ca="1">('TUSD BE'!$AM$43+'TUSD BF'!$AM$43+'TUSD CVA'!$AM$43)*(1-CUSTOS!$M$38)</f>
        <v>268.50633429802321</v>
      </c>
      <c r="AA942" s="6">
        <f>('TE BE'!$AA$26+'TE BF'!$AA$26+'TE CVA'!$AA$26)*(1-CUSTOS!$M$38)</f>
        <v>235.74605718547673</v>
      </c>
      <c r="AB942" s="6">
        <f>$K$942*$V$942</f>
        <v>0</v>
      </c>
      <c r="AC942" s="6">
        <f>$M$942*$W$942</f>
        <v>36753.896520000002</v>
      </c>
      <c r="AD942" s="6">
        <f>$O$942*$X$942</f>
        <v>29754.198339999999</v>
      </c>
      <c r="AE942" s="6">
        <f>$K$942*$Y$942</f>
        <v>0</v>
      </c>
      <c r="AF942" s="6">
        <f ca="1">$M$942*$Z$942</f>
        <v>39245.422833667668</v>
      </c>
      <c r="AG942" s="6">
        <f>$O$942*$AA$942</f>
        <v>34457.115210343654</v>
      </c>
    </row>
    <row r="943" spans="1:33" ht="11.25" customHeight="1" x14ac:dyDescent="0.25">
      <c r="A943" s="4" t="s">
        <v>27</v>
      </c>
      <c r="B943" s="4" t="s">
        <v>43</v>
      </c>
      <c r="C943" s="4" t="s">
        <v>23</v>
      </c>
      <c r="D943" s="4" t="s">
        <v>44</v>
      </c>
      <c r="E943" s="4" t="s">
        <v>52</v>
      </c>
      <c r="F943" s="4" t="s">
        <v>53</v>
      </c>
      <c r="G943" s="4" t="s">
        <v>25</v>
      </c>
      <c r="H943" s="4" t="s">
        <v>25</v>
      </c>
      <c r="I943" s="5">
        <v>44228</v>
      </c>
      <c r="J943" s="6">
        <v>0</v>
      </c>
      <c r="K943" s="6">
        <v>0</v>
      </c>
      <c r="L943" s="6">
        <v>-18.343</v>
      </c>
      <c r="M943" s="6">
        <v>-18.343</v>
      </c>
      <c r="N943" s="6">
        <v>-18.343</v>
      </c>
      <c r="O943" s="6">
        <v>-18.343</v>
      </c>
      <c r="P943" s="6">
        <v>0</v>
      </c>
      <c r="Q943" s="4" t="s">
        <v>26</v>
      </c>
      <c r="R943" s="4">
        <v>0</v>
      </c>
      <c r="S943" s="6">
        <v>0</v>
      </c>
      <c r="T943" s="6">
        <v>46</v>
      </c>
      <c r="U943" s="6">
        <v>99</v>
      </c>
      <c r="V943" s="6">
        <f>IF(ISERROR(VLOOKUP($S$943,'TAR FIN'!$A$1:$O$100,15,0)),0,VLOOKUP($S$943,'TAR FIN'!$A$1:$O$100,15,0))</f>
        <v>0</v>
      </c>
      <c r="W943" s="6">
        <f>IF(ISERROR(VLOOKUP($T$943,'TAR FIN'!$A$1:$O$100,15,0)),0,VLOOKUP($T$943,'TAR FIN'!$A$1:$O$100,15,0))</f>
        <v>251.46</v>
      </c>
      <c r="X943" s="6">
        <f>IF(ISERROR(VLOOKUP($U$943,'TAR FIN'!$A$1:$O$100,15,0)),0,VLOOKUP($U$943,'TAR FIN'!$A$1:$O$100,15,0))</f>
        <v>203.57</v>
      </c>
      <c r="Y943" s="6"/>
      <c r="Z943" s="6">
        <f ca="1">('TUSD BE'!$AM$43+'TUSD BF'!$AM$43+'TUSD CVA'!$AM$43)*(1-CUSTOS!$M$38)</f>
        <v>268.50633429802321</v>
      </c>
      <c r="AA943" s="6">
        <f>('TE BE'!$AA$26+'TE BF'!$AA$26+'TE CVA'!$AA$26)*(1-CUSTOS!$M$38)</f>
        <v>235.74605718547673</v>
      </c>
      <c r="AB943" s="6">
        <f>$K$943*$V$943</f>
        <v>0</v>
      </c>
      <c r="AC943" s="6">
        <f>$M$943*$W$943</f>
        <v>-4612.53078</v>
      </c>
      <c r="AD943" s="6">
        <f>$O$943*$X$943</f>
        <v>-3734.0845099999997</v>
      </c>
      <c r="AE943" s="6">
        <f>$K$943*$Y$943</f>
        <v>0</v>
      </c>
      <c r="AF943" s="6">
        <f ca="1">$M$943*$Z$943</f>
        <v>-4925.2116900286401</v>
      </c>
      <c r="AG943" s="6">
        <f>$O$943*$AA$943</f>
        <v>-4324.2899269531999</v>
      </c>
    </row>
    <row r="944" spans="1:33" ht="11.25" customHeight="1" x14ac:dyDescent="0.25">
      <c r="A944" s="4" t="s">
        <v>28</v>
      </c>
      <c r="B944" s="4" t="s">
        <v>43</v>
      </c>
      <c r="C944" s="4" t="s">
        <v>23</v>
      </c>
      <c r="D944" s="4" t="s">
        <v>44</v>
      </c>
      <c r="E944" s="4" t="s">
        <v>52</v>
      </c>
      <c r="F944" s="4" t="s">
        <v>53</v>
      </c>
      <c r="G944" s="4" t="s">
        <v>25</v>
      </c>
      <c r="H944" s="4" t="s">
        <v>25</v>
      </c>
      <c r="I944" s="5">
        <v>44228</v>
      </c>
      <c r="J944" s="6">
        <v>0</v>
      </c>
      <c r="K944" s="6">
        <v>0</v>
      </c>
      <c r="L944" s="6">
        <v>0.48299999999999998</v>
      </c>
      <c r="M944" s="6">
        <v>0.48299999999999998</v>
      </c>
      <c r="N944" s="6">
        <v>0.48299999999999998</v>
      </c>
      <c r="O944" s="6">
        <v>0.48299999999999998</v>
      </c>
      <c r="P944" s="6">
        <v>0</v>
      </c>
      <c r="Q944" s="4" t="s">
        <v>26</v>
      </c>
      <c r="R944" s="4">
        <v>0</v>
      </c>
      <c r="S944" s="6">
        <v>0</v>
      </c>
      <c r="T944" s="6">
        <v>46</v>
      </c>
      <c r="U944" s="6">
        <v>99</v>
      </c>
      <c r="V944" s="6">
        <f>IF(ISERROR(VLOOKUP($S$944,'TAR FIN'!$A$1:$O$100,15,0)),0,VLOOKUP($S$944,'TAR FIN'!$A$1:$O$100,15,0))</f>
        <v>0</v>
      </c>
      <c r="W944" s="6">
        <f>IF(ISERROR(VLOOKUP($T$944,'TAR FIN'!$A$1:$O$100,15,0)),0,VLOOKUP($T$944,'TAR FIN'!$A$1:$O$100,15,0))</f>
        <v>251.46</v>
      </c>
      <c r="X944" s="6">
        <f>IF(ISERROR(VLOOKUP($U$944,'TAR FIN'!$A$1:$O$100,15,0)),0,VLOOKUP($U$944,'TAR FIN'!$A$1:$O$100,15,0))</f>
        <v>203.57</v>
      </c>
      <c r="Y944" s="6"/>
      <c r="Z944" s="6">
        <f ca="1">('TUSD BE'!$AM$43+'TUSD BF'!$AM$43+'TUSD CVA'!$AM$43)*(1-CUSTOS!$M$38)</f>
        <v>268.50633429802321</v>
      </c>
      <c r="AA944" s="6">
        <f>('TE BE'!$AA$26+'TE BF'!$AA$26+'TE CVA'!$AA$26)*(1-CUSTOS!$M$38)</f>
        <v>235.74605718547673</v>
      </c>
      <c r="AB944" s="6">
        <f>$K$944*$V$944</f>
        <v>0</v>
      </c>
      <c r="AC944" s="6">
        <f>$M$944*$W$944</f>
        <v>121.45518</v>
      </c>
      <c r="AD944" s="6">
        <f>$O$944*$X$944</f>
        <v>98.324309999999997</v>
      </c>
      <c r="AE944" s="6">
        <f>$K$944*$Y$944</f>
        <v>0</v>
      </c>
      <c r="AF944" s="6">
        <f ca="1">$M$944*$Z$944</f>
        <v>129.68855946594522</v>
      </c>
      <c r="AG944" s="6">
        <f>$O$944*$AA$944</f>
        <v>113.86534562058526</v>
      </c>
    </row>
    <row r="945" spans="1:33" ht="11.25" customHeight="1" x14ac:dyDescent="0.25">
      <c r="A945" s="4" t="s">
        <v>21</v>
      </c>
      <c r="B945" s="4" t="s">
        <v>43</v>
      </c>
      <c r="C945" s="4" t="s">
        <v>23</v>
      </c>
      <c r="D945" s="4" t="s">
        <v>44</v>
      </c>
      <c r="E945" s="4" t="s">
        <v>52</v>
      </c>
      <c r="F945" s="4" t="s">
        <v>53</v>
      </c>
      <c r="G945" s="4" t="s">
        <v>25</v>
      </c>
      <c r="H945" s="4" t="s">
        <v>25</v>
      </c>
      <c r="I945" s="5">
        <v>44256</v>
      </c>
      <c r="J945" s="6">
        <v>0</v>
      </c>
      <c r="K945" s="6">
        <v>0</v>
      </c>
      <c r="L945" s="6">
        <v>132.06899999999999</v>
      </c>
      <c r="M945" s="6">
        <v>132.06899999999999</v>
      </c>
      <c r="N945" s="6">
        <v>132.06899999999999</v>
      </c>
      <c r="O945" s="6">
        <v>132.06899999999999</v>
      </c>
      <c r="P945" s="6">
        <v>0</v>
      </c>
      <c r="Q945" s="4" t="s">
        <v>26</v>
      </c>
      <c r="R945" s="4">
        <v>0</v>
      </c>
      <c r="S945" s="6">
        <v>0</v>
      </c>
      <c r="T945" s="6">
        <v>46</v>
      </c>
      <c r="U945" s="6">
        <v>99</v>
      </c>
      <c r="V945" s="6">
        <f>IF(ISERROR(VLOOKUP($S$945,'TAR FIN'!$A$1:$O$100,15,0)),0,VLOOKUP($S$945,'TAR FIN'!$A$1:$O$100,15,0))</f>
        <v>0</v>
      </c>
      <c r="W945" s="6">
        <f>IF(ISERROR(VLOOKUP($T$945,'TAR FIN'!$A$1:$O$100,15,0)),0,VLOOKUP($T$945,'TAR FIN'!$A$1:$O$100,15,0))</f>
        <v>251.46</v>
      </c>
      <c r="X945" s="6">
        <f>IF(ISERROR(VLOOKUP($U$945,'TAR FIN'!$A$1:$O$100,15,0)),0,VLOOKUP($U$945,'TAR FIN'!$A$1:$O$100,15,0))</f>
        <v>203.57</v>
      </c>
      <c r="Y945" s="6"/>
      <c r="Z945" s="6">
        <f ca="1">('TUSD BE'!$AM$43+'TUSD BF'!$AM$43+'TUSD CVA'!$AM$43)*(1-CUSTOS!$M$38)</f>
        <v>268.50633429802321</v>
      </c>
      <c r="AA945" s="6">
        <f>('TE BE'!$AA$26+'TE BF'!$AA$26+'TE CVA'!$AA$26)*(1-CUSTOS!$M$38)</f>
        <v>235.74605718547673</v>
      </c>
      <c r="AB945" s="6">
        <f>$K$945*$V$945</f>
        <v>0</v>
      </c>
      <c r="AC945" s="6">
        <f>$M$945*$W$945</f>
        <v>33210.070739999996</v>
      </c>
      <c r="AD945" s="6">
        <f>$O$945*$X$945</f>
        <v>26885.286329999995</v>
      </c>
      <c r="AE945" s="6">
        <f>$K$945*$Y$945</f>
        <v>0</v>
      </c>
      <c r="AF945" s="6">
        <f ca="1">$M$945*$Z$945</f>
        <v>35461.363064405625</v>
      </c>
      <c r="AG945" s="6">
        <f>$O$945*$AA$945</f>
        <v>31134.746026428722</v>
      </c>
    </row>
    <row r="946" spans="1:33" ht="11.25" customHeight="1" x14ac:dyDescent="0.25">
      <c r="A946" s="4" t="s">
        <v>28</v>
      </c>
      <c r="B946" s="4" t="s">
        <v>43</v>
      </c>
      <c r="C946" s="4" t="s">
        <v>23</v>
      </c>
      <c r="D946" s="4" t="s">
        <v>44</v>
      </c>
      <c r="E946" s="4" t="s">
        <v>52</v>
      </c>
      <c r="F946" s="4" t="s">
        <v>53</v>
      </c>
      <c r="G946" s="4" t="s">
        <v>25</v>
      </c>
      <c r="H946" s="4" t="s">
        <v>25</v>
      </c>
      <c r="I946" s="5">
        <v>44256</v>
      </c>
      <c r="J946" s="6">
        <v>0</v>
      </c>
      <c r="K946" s="6">
        <v>0</v>
      </c>
      <c r="L946" s="6">
        <v>0.47399999999999998</v>
      </c>
      <c r="M946" s="6">
        <v>0.47399999999999998</v>
      </c>
      <c r="N946" s="6">
        <v>0.47399999999999998</v>
      </c>
      <c r="O946" s="6">
        <v>0.47399999999999998</v>
      </c>
      <c r="P946" s="6">
        <v>0</v>
      </c>
      <c r="Q946" s="4" t="s">
        <v>26</v>
      </c>
      <c r="R946" s="4">
        <v>0</v>
      </c>
      <c r="S946" s="6">
        <v>0</v>
      </c>
      <c r="T946" s="6">
        <v>46</v>
      </c>
      <c r="U946" s="6">
        <v>99</v>
      </c>
      <c r="V946" s="6">
        <f>IF(ISERROR(VLOOKUP($S$946,'TAR FIN'!$A$1:$O$100,15,0)),0,VLOOKUP($S$946,'TAR FIN'!$A$1:$O$100,15,0))</f>
        <v>0</v>
      </c>
      <c r="W946" s="6">
        <f>IF(ISERROR(VLOOKUP($T$946,'TAR FIN'!$A$1:$O$100,15,0)),0,VLOOKUP($T$946,'TAR FIN'!$A$1:$O$100,15,0))</f>
        <v>251.46</v>
      </c>
      <c r="X946" s="6">
        <f>IF(ISERROR(VLOOKUP($U$946,'TAR FIN'!$A$1:$O$100,15,0)),0,VLOOKUP($U$946,'TAR FIN'!$A$1:$O$100,15,0))</f>
        <v>203.57</v>
      </c>
      <c r="Y946" s="6"/>
      <c r="Z946" s="6">
        <f ca="1">('TUSD BE'!$AM$43+'TUSD BF'!$AM$43+'TUSD CVA'!$AM$43)*(1-CUSTOS!$M$38)</f>
        <v>268.50633429802321</v>
      </c>
      <c r="AA946" s="6">
        <f>('TE BE'!$AA$26+'TE BF'!$AA$26+'TE CVA'!$AA$26)*(1-CUSTOS!$M$38)</f>
        <v>235.74605718547673</v>
      </c>
      <c r="AB946" s="6">
        <f>$K$946*$V$946</f>
        <v>0</v>
      </c>
      <c r="AC946" s="6">
        <f>$M$946*$W$946</f>
        <v>119.19203999999999</v>
      </c>
      <c r="AD946" s="6">
        <f>$O$946*$X$946</f>
        <v>96.492179999999991</v>
      </c>
      <c r="AE946" s="6">
        <f>$K$946*$Y$946</f>
        <v>0</v>
      </c>
      <c r="AF946" s="6">
        <f ca="1">$M$946*$Z$946</f>
        <v>127.272002457263</v>
      </c>
      <c r="AG946" s="6">
        <f>$O$946*$AA$946</f>
        <v>111.74363110591597</v>
      </c>
    </row>
    <row r="947" spans="1:33" ht="11.25" customHeight="1" x14ac:dyDescent="0.25">
      <c r="A947" s="4" t="s">
        <v>28</v>
      </c>
      <c r="B947" s="4" t="s">
        <v>43</v>
      </c>
      <c r="C947" s="4" t="s">
        <v>23</v>
      </c>
      <c r="D947" s="4" t="s">
        <v>44</v>
      </c>
      <c r="E947" s="4" t="s">
        <v>52</v>
      </c>
      <c r="F947" s="4" t="s">
        <v>53</v>
      </c>
      <c r="G947" s="4" t="s">
        <v>25</v>
      </c>
      <c r="H947" s="4" t="s">
        <v>25</v>
      </c>
      <c r="I947" s="5">
        <v>44256</v>
      </c>
      <c r="J947" s="6">
        <v>0</v>
      </c>
      <c r="K947" s="6">
        <v>0</v>
      </c>
      <c r="L947" s="6">
        <v>0.66500000000000004</v>
      </c>
      <c r="M947" s="6">
        <v>0.66500000000000004</v>
      </c>
      <c r="N947" s="6">
        <v>0.66500000000000004</v>
      </c>
      <c r="O947" s="6">
        <v>0.66500000000000004</v>
      </c>
      <c r="P947" s="6">
        <v>0</v>
      </c>
      <c r="Q947" s="4" t="s">
        <v>26</v>
      </c>
      <c r="R947" s="4">
        <v>0</v>
      </c>
      <c r="S947" s="6">
        <v>0</v>
      </c>
      <c r="T947" s="6">
        <v>46</v>
      </c>
      <c r="U947" s="6">
        <v>99</v>
      </c>
      <c r="V947" s="6">
        <f>IF(ISERROR(VLOOKUP($S$947,'TAR FIN'!$A$1:$O$100,15,0)),0,VLOOKUP($S$947,'TAR FIN'!$A$1:$O$100,15,0))</f>
        <v>0</v>
      </c>
      <c r="W947" s="6">
        <f>IF(ISERROR(VLOOKUP($T$947,'TAR FIN'!$A$1:$O$100,15,0)),0,VLOOKUP($T$947,'TAR FIN'!$A$1:$O$100,15,0))</f>
        <v>251.46</v>
      </c>
      <c r="X947" s="6">
        <f>IF(ISERROR(VLOOKUP($U$947,'TAR FIN'!$A$1:$O$100,15,0)),0,VLOOKUP($U$947,'TAR FIN'!$A$1:$O$100,15,0))</f>
        <v>203.57</v>
      </c>
      <c r="Y947" s="6"/>
      <c r="Z947" s="6">
        <f ca="1">('TUSD BE'!$AM$43+'TUSD BF'!$AM$43+'TUSD CVA'!$AM$43)*(1-CUSTOS!$M$38)</f>
        <v>268.50633429802321</v>
      </c>
      <c r="AA947" s="6">
        <f>('TE BE'!$AA$26+'TE BF'!$AA$26+'TE CVA'!$AA$26)*(1-CUSTOS!$M$38)</f>
        <v>235.74605718547673</v>
      </c>
      <c r="AB947" s="6">
        <f>$K$947*$V$947</f>
        <v>0</v>
      </c>
      <c r="AC947" s="6">
        <f>$M$947*$W$947</f>
        <v>167.2209</v>
      </c>
      <c r="AD947" s="6">
        <f>$O$947*$X$947</f>
        <v>135.37405000000001</v>
      </c>
      <c r="AE947" s="6">
        <f>$K$947*$Y$947</f>
        <v>0</v>
      </c>
      <c r="AF947" s="6">
        <f ca="1">$M$947*$Z$947</f>
        <v>178.55671230818544</v>
      </c>
      <c r="AG947" s="6">
        <f>$O$947*$AA$947</f>
        <v>156.77112802834202</v>
      </c>
    </row>
    <row r="948" spans="1:33" ht="11.25" customHeight="1" x14ac:dyDescent="0.25">
      <c r="A948" s="4" t="s">
        <v>21</v>
      </c>
      <c r="B948" s="4" t="s">
        <v>43</v>
      </c>
      <c r="C948" s="4" t="s">
        <v>23</v>
      </c>
      <c r="D948" s="4" t="s">
        <v>44</v>
      </c>
      <c r="E948" s="4" t="s">
        <v>52</v>
      </c>
      <c r="F948" s="4" t="s">
        <v>53</v>
      </c>
      <c r="G948" s="4" t="s">
        <v>25</v>
      </c>
      <c r="H948" s="4" t="s">
        <v>25</v>
      </c>
      <c r="I948" s="5">
        <v>44287</v>
      </c>
      <c r="J948" s="6">
        <v>0</v>
      </c>
      <c r="K948" s="6">
        <v>0</v>
      </c>
      <c r="L948" s="6">
        <v>110.985</v>
      </c>
      <c r="M948" s="6">
        <v>110.985</v>
      </c>
      <c r="N948" s="6">
        <v>110.985</v>
      </c>
      <c r="O948" s="6">
        <v>110.985</v>
      </c>
      <c r="P948" s="6">
        <v>0</v>
      </c>
      <c r="Q948" s="4" t="s">
        <v>26</v>
      </c>
      <c r="R948" s="4">
        <v>0</v>
      </c>
      <c r="S948" s="6">
        <v>0</v>
      </c>
      <c r="T948" s="6">
        <v>46</v>
      </c>
      <c r="U948" s="6">
        <v>99</v>
      </c>
      <c r="V948" s="6">
        <f>IF(ISERROR(VLOOKUP($S$948,'TAR FIN'!$A$1:$O$100,15,0)),0,VLOOKUP($S$948,'TAR FIN'!$A$1:$O$100,15,0))</f>
        <v>0</v>
      </c>
      <c r="W948" s="6">
        <f>IF(ISERROR(VLOOKUP($T$948,'TAR FIN'!$A$1:$O$100,15,0)),0,VLOOKUP($T$948,'TAR FIN'!$A$1:$O$100,15,0))</f>
        <v>251.46</v>
      </c>
      <c r="X948" s="6">
        <f>IF(ISERROR(VLOOKUP($U$948,'TAR FIN'!$A$1:$O$100,15,0)),0,VLOOKUP($U$948,'TAR FIN'!$A$1:$O$100,15,0))</f>
        <v>203.57</v>
      </c>
      <c r="Y948" s="6"/>
      <c r="Z948" s="6">
        <f ca="1">('TUSD BE'!$AM$43+'TUSD BF'!$AM$43+'TUSD CVA'!$AM$43)*(1-CUSTOS!$M$38)</f>
        <v>268.50633429802321</v>
      </c>
      <c r="AA948" s="6">
        <f>('TE BE'!$AA$26+'TE BF'!$AA$26+'TE CVA'!$AA$26)*(1-CUSTOS!$M$38)</f>
        <v>235.74605718547673</v>
      </c>
      <c r="AB948" s="6">
        <f>$K$948*$V$948</f>
        <v>0</v>
      </c>
      <c r="AC948" s="6">
        <f>$M$948*$W$948</f>
        <v>27908.288100000002</v>
      </c>
      <c r="AD948" s="6">
        <f>$O$948*$X$948</f>
        <v>22593.21645</v>
      </c>
      <c r="AE948" s="6">
        <f>$K$948*$Y$948</f>
        <v>0</v>
      </c>
      <c r="AF948" s="6">
        <f ca="1">$M$948*$Z$948</f>
        <v>29800.175512066104</v>
      </c>
      <c r="AG948" s="6">
        <f>$O$948*$AA$948</f>
        <v>26164.276156730135</v>
      </c>
    </row>
    <row r="949" spans="1:33" ht="11.25" customHeight="1" x14ac:dyDescent="0.25">
      <c r="A949" s="4" t="s">
        <v>27</v>
      </c>
      <c r="B949" s="4" t="s">
        <v>43</v>
      </c>
      <c r="C949" s="4" t="s">
        <v>23</v>
      </c>
      <c r="D949" s="4" t="s">
        <v>44</v>
      </c>
      <c r="E949" s="4" t="s">
        <v>52</v>
      </c>
      <c r="F949" s="4" t="s">
        <v>53</v>
      </c>
      <c r="G949" s="4" t="s">
        <v>25</v>
      </c>
      <c r="H949" s="4" t="s">
        <v>25</v>
      </c>
      <c r="I949" s="5">
        <v>44287</v>
      </c>
      <c r="J949" s="6">
        <v>0</v>
      </c>
      <c r="K949" s="6">
        <v>0</v>
      </c>
      <c r="L949" s="6">
        <v>-3.1419999999999999</v>
      </c>
      <c r="M949" s="6">
        <v>-3.1419999999999999</v>
      </c>
      <c r="N949" s="6">
        <v>-3.1419999999999999</v>
      </c>
      <c r="O949" s="6">
        <v>-3.1419999999999999</v>
      </c>
      <c r="P949" s="6">
        <v>0</v>
      </c>
      <c r="Q949" s="4" t="s">
        <v>26</v>
      </c>
      <c r="R949" s="4">
        <v>0</v>
      </c>
      <c r="S949" s="6">
        <v>0</v>
      </c>
      <c r="T949" s="6">
        <v>46</v>
      </c>
      <c r="U949" s="6">
        <v>99</v>
      </c>
      <c r="V949" s="6">
        <f>IF(ISERROR(VLOOKUP($S$949,'TAR FIN'!$A$1:$O$100,15,0)),0,VLOOKUP($S$949,'TAR FIN'!$A$1:$O$100,15,0))</f>
        <v>0</v>
      </c>
      <c r="W949" s="6">
        <f>IF(ISERROR(VLOOKUP($T$949,'TAR FIN'!$A$1:$O$100,15,0)),0,VLOOKUP($T$949,'TAR FIN'!$A$1:$O$100,15,0))</f>
        <v>251.46</v>
      </c>
      <c r="X949" s="6">
        <f>IF(ISERROR(VLOOKUP($U$949,'TAR FIN'!$A$1:$O$100,15,0)),0,VLOOKUP($U$949,'TAR FIN'!$A$1:$O$100,15,0))</f>
        <v>203.57</v>
      </c>
      <c r="Y949" s="6"/>
      <c r="Z949" s="6">
        <f ca="1">('TUSD BE'!$AM$43+'TUSD BF'!$AM$43+'TUSD CVA'!$AM$43)*(1-CUSTOS!$M$38)</f>
        <v>268.50633429802321</v>
      </c>
      <c r="AA949" s="6">
        <f>('TE BE'!$AA$26+'TE BF'!$AA$26+'TE CVA'!$AA$26)*(1-CUSTOS!$M$38)</f>
        <v>235.74605718547673</v>
      </c>
      <c r="AB949" s="6">
        <f>$K$949*$V$949</f>
        <v>0</v>
      </c>
      <c r="AC949" s="6">
        <f>$M$949*$W$949</f>
        <v>-790.08731999999998</v>
      </c>
      <c r="AD949" s="6">
        <f>$O$949*$X$949</f>
        <v>-639.61694</v>
      </c>
      <c r="AE949" s="6">
        <f>$K$949*$Y$949</f>
        <v>0</v>
      </c>
      <c r="AF949" s="6">
        <f ca="1">$M$949*$Z$949</f>
        <v>-843.64690236438889</v>
      </c>
      <c r="AG949" s="6">
        <f>$O$949*$AA$949</f>
        <v>-740.71411167676786</v>
      </c>
    </row>
    <row r="950" spans="1:33" ht="11.25" customHeight="1" x14ac:dyDescent="0.25">
      <c r="A950" s="4" t="s">
        <v>28</v>
      </c>
      <c r="B950" s="4" t="s">
        <v>43</v>
      </c>
      <c r="C950" s="4" t="s">
        <v>23</v>
      </c>
      <c r="D950" s="4" t="s">
        <v>44</v>
      </c>
      <c r="E950" s="4" t="s">
        <v>52</v>
      </c>
      <c r="F950" s="4" t="s">
        <v>53</v>
      </c>
      <c r="G950" s="4" t="s">
        <v>25</v>
      </c>
      <c r="H950" s="4" t="s">
        <v>25</v>
      </c>
      <c r="I950" s="5">
        <v>44287</v>
      </c>
      <c r="J950" s="6">
        <v>0</v>
      </c>
      <c r="K950" s="6">
        <v>0</v>
      </c>
      <c r="L950" s="6">
        <v>0.16</v>
      </c>
      <c r="M950" s="6">
        <v>0.16</v>
      </c>
      <c r="N950" s="6">
        <v>0.16</v>
      </c>
      <c r="O950" s="6">
        <v>0.16</v>
      </c>
      <c r="P950" s="6">
        <v>0</v>
      </c>
      <c r="Q950" s="4" t="s">
        <v>26</v>
      </c>
      <c r="R950" s="4">
        <v>0</v>
      </c>
      <c r="S950" s="6">
        <v>0</v>
      </c>
      <c r="T950" s="6">
        <v>46</v>
      </c>
      <c r="U950" s="6">
        <v>99</v>
      </c>
      <c r="V950" s="6">
        <f>IF(ISERROR(VLOOKUP($S$950,'TAR FIN'!$A$1:$O$100,15,0)),0,VLOOKUP($S$950,'TAR FIN'!$A$1:$O$100,15,0))</f>
        <v>0</v>
      </c>
      <c r="W950" s="6">
        <f>IF(ISERROR(VLOOKUP($T$950,'TAR FIN'!$A$1:$O$100,15,0)),0,VLOOKUP($T$950,'TAR FIN'!$A$1:$O$100,15,0))</f>
        <v>251.46</v>
      </c>
      <c r="X950" s="6">
        <f>IF(ISERROR(VLOOKUP($U$950,'TAR FIN'!$A$1:$O$100,15,0)),0,VLOOKUP($U$950,'TAR FIN'!$A$1:$O$100,15,0))</f>
        <v>203.57</v>
      </c>
      <c r="Y950" s="6"/>
      <c r="Z950" s="6">
        <f ca="1">('TUSD BE'!$AM$43+'TUSD BF'!$AM$43+'TUSD CVA'!$AM$43)*(1-CUSTOS!$M$38)</f>
        <v>268.50633429802321</v>
      </c>
      <c r="AA950" s="6">
        <f>('TE BE'!$AA$26+'TE BF'!$AA$26+'TE CVA'!$AA$26)*(1-CUSTOS!$M$38)</f>
        <v>235.74605718547673</v>
      </c>
      <c r="AB950" s="6">
        <f>$K$950*$V$950</f>
        <v>0</v>
      </c>
      <c r="AC950" s="6">
        <f>$M$950*$W$950</f>
        <v>40.233600000000003</v>
      </c>
      <c r="AD950" s="6">
        <f>$O$950*$X$950</f>
        <v>32.571199999999997</v>
      </c>
      <c r="AE950" s="6">
        <f>$K$950*$Y$950</f>
        <v>0</v>
      </c>
      <c r="AF950" s="6">
        <f ca="1">$M$950*$Z$950</f>
        <v>42.961013487683715</v>
      </c>
      <c r="AG950" s="6">
        <f>$O$950*$AA$950</f>
        <v>37.719369149676275</v>
      </c>
    </row>
    <row r="951" spans="1:33" ht="11.25" customHeight="1" x14ac:dyDescent="0.25">
      <c r="A951" s="4" t="s">
        <v>28</v>
      </c>
      <c r="B951" s="4" t="s">
        <v>43</v>
      </c>
      <c r="C951" s="4" t="s">
        <v>23</v>
      </c>
      <c r="D951" s="4" t="s">
        <v>44</v>
      </c>
      <c r="E951" s="4" t="s">
        <v>52</v>
      </c>
      <c r="F951" s="4" t="s">
        <v>53</v>
      </c>
      <c r="G951" s="4" t="s">
        <v>25</v>
      </c>
      <c r="H951" s="4" t="s">
        <v>25</v>
      </c>
      <c r="I951" s="5">
        <v>44287</v>
      </c>
      <c r="J951" s="6">
        <v>0</v>
      </c>
      <c r="K951" s="6">
        <v>0</v>
      </c>
      <c r="L951" s="6">
        <v>3.5270000000000001</v>
      </c>
      <c r="M951" s="6">
        <v>3.5270000000000001</v>
      </c>
      <c r="N951" s="6">
        <v>3.5270000000000001</v>
      </c>
      <c r="O951" s="6">
        <v>3.5270000000000001</v>
      </c>
      <c r="P951" s="6">
        <v>0</v>
      </c>
      <c r="Q951" s="4" t="s">
        <v>26</v>
      </c>
      <c r="R951" s="4">
        <v>0</v>
      </c>
      <c r="S951" s="6">
        <v>0</v>
      </c>
      <c r="T951" s="6">
        <v>46</v>
      </c>
      <c r="U951" s="6">
        <v>99</v>
      </c>
      <c r="V951" s="6">
        <f>IF(ISERROR(VLOOKUP($S$951,'TAR FIN'!$A$1:$O$100,15,0)),0,VLOOKUP($S$951,'TAR FIN'!$A$1:$O$100,15,0))</f>
        <v>0</v>
      </c>
      <c r="W951" s="6">
        <f>IF(ISERROR(VLOOKUP($T$951,'TAR FIN'!$A$1:$O$100,15,0)),0,VLOOKUP($T$951,'TAR FIN'!$A$1:$O$100,15,0))</f>
        <v>251.46</v>
      </c>
      <c r="X951" s="6">
        <f>IF(ISERROR(VLOOKUP($U$951,'TAR FIN'!$A$1:$O$100,15,0)),0,VLOOKUP($U$951,'TAR FIN'!$A$1:$O$100,15,0))</f>
        <v>203.57</v>
      </c>
      <c r="Y951" s="6"/>
      <c r="Z951" s="6">
        <f ca="1">('TUSD BE'!$AM$43+'TUSD BF'!$AM$43+'TUSD CVA'!$AM$43)*(1-CUSTOS!$M$38)</f>
        <v>268.50633429802321</v>
      </c>
      <c r="AA951" s="6">
        <f>('TE BE'!$AA$26+'TE BF'!$AA$26+'TE CVA'!$AA$26)*(1-CUSTOS!$M$38)</f>
        <v>235.74605718547673</v>
      </c>
      <c r="AB951" s="6">
        <f>$K$951*$V$951</f>
        <v>0</v>
      </c>
      <c r="AC951" s="6">
        <f>$M$951*$W$951</f>
        <v>886.89942000000008</v>
      </c>
      <c r="AD951" s="6">
        <f>$O$951*$X$951</f>
        <v>717.99139000000002</v>
      </c>
      <c r="AE951" s="6">
        <f>$K$951*$Y$951</f>
        <v>0</v>
      </c>
      <c r="AF951" s="6">
        <f ca="1">$M$951*$Z$951</f>
        <v>947.02184106912785</v>
      </c>
      <c r="AG951" s="6">
        <f>$O$951*$AA$951</f>
        <v>831.47634369317643</v>
      </c>
    </row>
    <row r="952" spans="1:33" ht="11.25" customHeight="1" x14ac:dyDescent="0.25">
      <c r="A952" s="4" t="s">
        <v>21</v>
      </c>
      <c r="B952" s="4" t="s">
        <v>43</v>
      </c>
      <c r="C952" s="4" t="s">
        <v>23</v>
      </c>
      <c r="D952" s="4" t="s">
        <v>44</v>
      </c>
      <c r="E952" s="4" t="s">
        <v>52</v>
      </c>
      <c r="F952" s="4" t="s">
        <v>53</v>
      </c>
      <c r="G952" s="4" t="s">
        <v>25</v>
      </c>
      <c r="H952" s="4" t="s">
        <v>25</v>
      </c>
      <c r="I952" s="5">
        <v>44317</v>
      </c>
      <c r="J952" s="6">
        <v>0</v>
      </c>
      <c r="K952" s="6">
        <v>0</v>
      </c>
      <c r="L952" s="6">
        <v>85.21</v>
      </c>
      <c r="M952" s="6">
        <v>85.21</v>
      </c>
      <c r="N952" s="6">
        <v>85.21</v>
      </c>
      <c r="O952" s="6">
        <v>85.21</v>
      </c>
      <c r="P952" s="6">
        <v>0</v>
      </c>
      <c r="Q952" s="4" t="s">
        <v>26</v>
      </c>
      <c r="R952" s="4">
        <v>0</v>
      </c>
      <c r="S952" s="6">
        <v>0</v>
      </c>
      <c r="T952" s="6">
        <v>46</v>
      </c>
      <c r="U952" s="6">
        <v>99</v>
      </c>
      <c r="V952" s="6">
        <f>IF(ISERROR(VLOOKUP($S$952,'TAR FIN'!$A$1:$O$100,15,0)),0,VLOOKUP($S$952,'TAR FIN'!$A$1:$O$100,15,0))</f>
        <v>0</v>
      </c>
      <c r="W952" s="6">
        <f>IF(ISERROR(VLOOKUP($T$952,'TAR FIN'!$A$1:$O$100,15,0)),0,VLOOKUP($T$952,'TAR FIN'!$A$1:$O$100,15,0))</f>
        <v>251.46</v>
      </c>
      <c r="X952" s="6">
        <f>IF(ISERROR(VLOOKUP($U$952,'TAR FIN'!$A$1:$O$100,15,0)),0,VLOOKUP($U$952,'TAR FIN'!$A$1:$O$100,15,0))</f>
        <v>203.57</v>
      </c>
      <c r="Y952" s="6"/>
      <c r="Z952" s="6">
        <f ca="1">('TUSD BE'!$AM$43+'TUSD BF'!$AM$43+'TUSD CVA'!$AM$43)*(1-CUSTOS!$M$38)</f>
        <v>268.50633429802321</v>
      </c>
      <c r="AA952" s="6">
        <f>('TE BE'!$AA$26+'TE BF'!$AA$26+'TE CVA'!$AA$26)*(1-CUSTOS!$M$38)</f>
        <v>235.74605718547673</v>
      </c>
      <c r="AB952" s="6">
        <f>$K$952*$V$952</f>
        <v>0</v>
      </c>
      <c r="AC952" s="6">
        <f>$M$952*$W$952</f>
        <v>21426.906599999998</v>
      </c>
      <c r="AD952" s="6">
        <f>$O$952*$X$952</f>
        <v>17346.199699999997</v>
      </c>
      <c r="AE952" s="6">
        <f>$K$952*$Y$952</f>
        <v>0</v>
      </c>
      <c r="AF952" s="6">
        <f ca="1">$M$952*$Z$952</f>
        <v>22879.424745534554</v>
      </c>
      <c r="AG952" s="6">
        <f>$O$952*$AA$952</f>
        <v>20087.921532774471</v>
      </c>
    </row>
    <row r="953" spans="1:33" ht="11.25" customHeight="1" x14ac:dyDescent="0.25">
      <c r="A953" s="4" t="s">
        <v>27</v>
      </c>
      <c r="B953" s="4" t="s">
        <v>43</v>
      </c>
      <c r="C953" s="4" t="s">
        <v>23</v>
      </c>
      <c r="D953" s="4" t="s">
        <v>44</v>
      </c>
      <c r="E953" s="4" t="s">
        <v>52</v>
      </c>
      <c r="F953" s="4" t="s">
        <v>53</v>
      </c>
      <c r="G953" s="4" t="s">
        <v>25</v>
      </c>
      <c r="H953" s="4" t="s">
        <v>25</v>
      </c>
      <c r="I953" s="5">
        <v>44317</v>
      </c>
      <c r="J953" s="6">
        <v>0</v>
      </c>
      <c r="K953" s="6">
        <v>0</v>
      </c>
      <c r="L953" s="6">
        <v>-3.0110000000000001</v>
      </c>
      <c r="M953" s="6">
        <v>-3.0110000000000001</v>
      </c>
      <c r="N953" s="6">
        <v>-3.0110000000000001</v>
      </c>
      <c r="O953" s="6">
        <v>-3.0110000000000001</v>
      </c>
      <c r="P953" s="6">
        <v>0</v>
      </c>
      <c r="Q953" s="4" t="s">
        <v>26</v>
      </c>
      <c r="R953" s="4">
        <v>0</v>
      </c>
      <c r="S953" s="6">
        <v>0</v>
      </c>
      <c r="T953" s="6">
        <v>46</v>
      </c>
      <c r="U953" s="6">
        <v>99</v>
      </c>
      <c r="V953" s="6">
        <f>IF(ISERROR(VLOOKUP($S$953,'TAR FIN'!$A$1:$O$100,15,0)),0,VLOOKUP($S$953,'TAR FIN'!$A$1:$O$100,15,0))</f>
        <v>0</v>
      </c>
      <c r="W953" s="6">
        <f>IF(ISERROR(VLOOKUP($T$953,'TAR FIN'!$A$1:$O$100,15,0)),0,VLOOKUP($T$953,'TAR FIN'!$A$1:$O$100,15,0))</f>
        <v>251.46</v>
      </c>
      <c r="X953" s="6">
        <f>IF(ISERROR(VLOOKUP($U$953,'TAR FIN'!$A$1:$O$100,15,0)),0,VLOOKUP($U$953,'TAR FIN'!$A$1:$O$100,15,0))</f>
        <v>203.57</v>
      </c>
      <c r="Y953" s="6"/>
      <c r="Z953" s="6">
        <f ca="1">('TUSD BE'!$AM$43+'TUSD BF'!$AM$43+'TUSD CVA'!$AM$43)*(1-CUSTOS!$M$38)</f>
        <v>268.50633429802321</v>
      </c>
      <c r="AA953" s="6">
        <f>('TE BE'!$AA$26+'TE BF'!$AA$26+'TE CVA'!$AA$26)*(1-CUSTOS!$M$38)</f>
        <v>235.74605718547673</v>
      </c>
      <c r="AB953" s="6">
        <f>$K$953*$V$953</f>
        <v>0</v>
      </c>
      <c r="AC953" s="6">
        <f>$M$953*$W$953</f>
        <v>-757.14606000000003</v>
      </c>
      <c r="AD953" s="6">
        <f>$O$953*$X$953</f>
        <v>-612.94926999999996</v>
      </c>
      <c r="AE953" s="6">
        <f>$K$953*$Y$953</f>
        <v>0</v>
      </c>
      <c r="AF953" s="6">
        <f ca="1">$M$953*$Z$953</f>
        <v>-808.47257257134788</v>
      </c>
      <c r="AG953" s="6">
        <f>$O$953*$AA$953</f>
        <v>-709.8313781854705</v>
      </c>
    </row>
    <row r="954" spans="1:33" ht="11.25" customHeight="1" x14ac:dyDescent="0.25">
      <c r="A954" s="4" t="s">
        <v>28</v>
      </c>
      <c r="B954" s="4" t="s">
        <v>43</v>
      </c>
      <c r="C954" s="4" t="s">
        <v>23</v>
      </c>
      <c r="D954" s="4" t="s">
        <v>44</v>
      </c>
      <c r="E954" s="4" t="s">
        <v>52</v>
      </c>
      <c r="F954" s="4" t="s">
        <v>53</v>
      </c>
      <c r="G954" s="4" t="s">
        <v>25</v>
      </c>
      <c r="H954" s="4" t="s">
        <v>25</v>
      </c>
      <c r="I954" s="5">
        <v>44317</v>
      </c>
      <c r="J954" s="6">
        <v>0</v>
      </c>
      <c r="K954" s="6">
        <v>0</v>
      </c>
      <c r="L954" s="6">
        <v>0.20200000000000001</v>
      </c>
      <c r="M954" s="6">
        <v>0.20200000000000001</v>
      </c>
      <c r="N954" s="6">
        <v>0.20200000000000001</v>
      </c>
      <c r="O954" s="6">
        <v>0.20200000000000001</v>
      </c>
      <c r="P954" s="6">
        <v>0</v>
      </c>
      <c r="Q954" s="4" t="s">
        <v>26</v>
      </c>
      <c r="R954" s="4">
        <v>0</v>
      </c>
      <c r="S954" s="6">
        <v>0</v>
      </c>
      <c r="T954" s="6">
        <v>46</v>
      </c>
      <c r="U954" s="6">
        <v>99</v>
      </c>
      <c r="V954" s="6">
        <f>IF(ISERROR(VLOOKUP($S$954,'TAR FIN'!$A$1:$O$100,15,0)),0,VLOOKUP($S$954,'TAR FIN'!$A$1:$O$100,15,0))</f>
        <v>0</v>
      </c>
      <c r="W954" s="6">
        <f>IF(ISERROR(VLOOKUP($T$954,'TAR FIN'!$A$1:$O$100,15,0)),0,VLOOKUP($T$954,'TAR FIN'!$A$1:$O$100,15,0))</f>
        <v>251.46</v>
      </c>
      <c r="X954" s="6">
        <f>IF(ISERROR(VLOOKUP($U$954,'TAR FIN'!$A$1:$O$100,15,0)),0,VLOOKUP($U$954,'TAR FIN'!$A$1:$O$100,15,0))</f>
        <v>203.57</v>
      </c>
      <c r="Y954" s="6"/>
      <c r="Z954" s="6">
        <f ca="1">('TUSD BE'!$AM$43+'TUSD BF'!$AM$43+'TUSD CVA'!$AM$43)*(1-CUSTOS!$M$38)</f>
        <v>268.50633429802321</v>
      </c>
      <c r="AA954" s="6">
        <f>('TE BE'!$AA$26+'TE BF'!$AA$26+'TE CVA'!$AA$26)*(1-CUSTOS!$M$38)</f>
        <v>235.74605718547673</v>
      </c>
      <c r="AB954" s="6">
        <f>$K$954*$V$954</f>
        <v>0</v>
      </c>
      <c r="AC954" s="6">
        <f>$M$954*$W$954</f>
        <v>50.794920000000005</v>
      </c>
      <c r="AD954" s="6">
        <f>$O$954*$X$954</f>
        <v>41.121140000000004</v>
      </c>
      <c r="AE954" s="6">
        <f>$K$954*$Y$954</f>
        <v>0</v>
      </c>
      <c r="AF954" s="6">
        <f ca="1">$M$954*$Z$954</f>
        <v>54.238279528200692</v>
      </c>
      <c r="AG954" s="6">
        <f>$O$954*$AA$954</f>
        <v>47.620703551466299</v>
      </c>
    </row>
    <row r="955" spans="1:33" ht="11.25" customHeight="1" x14ac:dyDescent="0.25">
      <c r="A955" s="4" t="s">
        <v>21</v>
      </c>
      <c r="B955" s="4" t="s">
        <v>43</v>
      </c>
      <c r="C955" s="4" t="s">
        <v>23</v>
      </c>
      <c r="D955" s="4" t="s">
        <v>44</v>
      </c>
      <c r="E955" s="4" t="s">
        <v>52</v>
      </c>
      <c r="F955" s="4" t="s">
        <v>53</v>
      </c>
      <c r="G955" s="4" t="s">
        <v>25</v>
      </c>
      <c r="H955" s="4" t="s">
        <v>25</v>
      </c>
      <c r="I955" s="5">
        <v>44348</v>
      </c>
      <c r="J955" s="6">
        <v>0</v>
      </c>
      <c r="K955" s="6">
        <v>0</v>
      </c>
      <c r="L955" s="6">
        <v>102.312</v>
      </c>
      <c r="M955" s="6">
        <v>102.312</v>
      </c>
      <c r="N955" s="6">
        <v>102.312</v>
      </c>
      <c r="O955" s="6">
        <v>102.312</v>
      </c>
      <c r="P955" s="6">
        <v>0</v>
      </c>
      <c r="Q955" s="4" t="s">
        <v>26</v>
      </c>
      <c r="R955" s="4">
        <v>0</v>
      </c>
      <c r="S955" s="6">
        <v>0</v>
      </c>
      <c r="T955" s="6">
        <v>46</v>
      </c>
      <c r="U955" s="6">
        <v>99</v>
      </c>
      <c r="V955" s="6">
        <f>IF(ISERROR(VLOOKUP($S$955,'TAR FIN'!$A$1:$O$100,15,0)),0,VLOOKUP($S$955,'TAR FIN'!$A$1:$O$100,15,0))</f>
        <v>0</v>
      </c>
      <c r="W955" s="6">
        <f>IF(ISERROR(VLOOKUP($T$955,'TAR FIN'!$A$1:$O$100,15,0)),0,VLOOKUP($T$955,'TAR FIN'!$A$1:$O$100,15,0))</f>
        <v>251.46</v>
      </c>
      <c r="X955" s="6">
        <f>IF(ISERROR(VLOOKUP($U$955,'TAR FIN'!$A$1:$O$100,15,0)),0,VLOOKUP($U$955,'TAR FIN'!$A$1:$O$100,15,0))</f>
        <v>203.57</v>
      </c>
      <c r="Y955" s="6"/>
      <c r="Z955" s="6">
        <f ca="1">('TUSD BE'!$AM$43+'TUSD BF'!$AM$43+'TUSD CVA'!$AM$43)*(1-CUSTOS!$M$38)</f>
        <v>268.50633429802321</v>
      </c>
      <c r="AA955" s="6">
        <f>('TE BE'!$AA$26+'TE BF'!$AA$26+'TE CVA'!$AA$26)*(1-CUSTOS!$M$38)</f>
        <v>235.74605718547673</v>
      </c>
      <c r="AB955" s="6">
        <f>$K$955*$V$955</f>
        <v>0</v>
      </c>
      <c r="AC955" s="6">
        <f>$M$955*$W$955</f>
        <v>25727.375520000001</v>
      </c>
      <c r="AD955" s="6">
        <f>$O$955*$X$955</f>
        <v>20827.653839999999</v>
      </c>
      <c r="AE955" s="6">
        <f>$K$955*$Y$955</f>
        <v>0</v>
      </c>
      <c r="AF955" s="6">
        <f ca="1">$M$955*$Z$955</f>
        <v>27471.420074699348</v>
      </c>
      <c r="AG955" s="6">
        <f>$O$955*$AA$955</f>
        <v>24119.650602760496</v>
      </c>
    </row>
    <row r="956" spans="1:33" ht="11.25" customHeight="1" x14ac:dyDescent="0.25">
      <c r="A956" s="4" t="s">
        <v>27</v>
      </c>
      <c r="B956" s="4" t="s">
        <v>43</v>
      </c>
      <c r="C956" s="4" t="s">
        <v>23</v>
      </c>
      <c r="D956" s="4" t="s">
        <v>44</v>
      </c>
      <c r="E956" s="4" t="s">
        <v>52</v>
      </c>
      <c r="F956" s="4" t="s">
        <v>53</v>
      </c>
      <c r="G956" s="4" t="s">
        <v>25</v>
      </c>
      <c r="H956" s="4" t="s">
        <v>25</v>
      </c>
      <c r="I956" s="5">
        <v>44348</v>
      </c>
      <c r="J956" s="6">
        <v>0</v>
      </c>
      <c r="K956" s="6">
        <v>0</v>
      </c>
      <c r="L956" s="6">
        <v>0.73299999999999998</v>
      </c>
      <c r="M956" s="6">
        <v>0.73299999999999998</v>
      </c>
      <c r="N956" s="6">
        <v>0.73299999999999998</v>
      </c>
      <c r="O956" s="6">
        <v>0.73299999999999998</v>
      </c>
      <c r="P956" s="6">
        <v>0</v>
      </c>
      <c r="Q956" s="4" t="s">
        <v>26</v>
      </c>
      <c r="R956" s="4">
        <v>0</v>
      </c>
      <c r="S956" s="6">
        <v>0</v>
      </c>
      <c r="T956" s="6">
        <v>46</v>
      </c>
      <c r="U956" s="6">
        <v>99</v>
      </c>
      <c r="V956" s="6">
        <f>IF(ISERROR(VLOOKUP($S$956,'TAR FIN'!$A$1:$O$100,15,0)),0,VLOOKUP($S$956,'TAR FIN'!$A$1:$O$100,15,0))</f>
        <v>0</v>
      </c>
      <c r="W956" s="6">
        <f>IF(ISERROR(VLOOKUP($T$956,'TAR FIN'!$A$1:$O$100,15,0)),0,VLOOKUP($T$956,'TAR FIN'!$A$1:$O$100,15,0))</f>
        <v>251.46</v>
      </c>
      <c r="X956" s="6">
        <f>IF(ISERROR(VLOOKUP($U$956,'TAR FIN'!$A$1:$O$100,15,0)),0,VLOOKUP($U$956,'TAR FIN'!$A$1:$O$100,15,0))</f>
        <v>203.57</v>
      </c>
      <c r="Y956" s="6"/>
      <c r="Z956" s="6">
        <f ca="1">('TUSD BE'!$AM$43+'TUSD BF'!$AM$43+'TUSD CVA'!$AM$43)*(1-CUSTOS!$M$38)</f>
        <v>268.50633429802321</v>
      </c>
      <c r="AA956" s="6">
        <f>('TE BE'!$AA$26+'TE BF'!$AA$26+'TE CVA'!$AA$26)*(1-CUSTOS!$M$38)</f>
        <v>235.74605718547673</v>
      </c>
      <c r="AB956" s="6">
        <f>$K$956*$V$956</f>
        <v>0</v>
      </c>
      <c r="AC956" s="6">
        <f>$M$956*$W$956</f>
        <v>184.32017999999999</v>
      </c>
      <c r="AD956" s="6">
        <f>$O$956*$X$956</f>
        <v>149.21680999999998</v>
      </c>
      <c r="AE956" s="6">
        <f>$K$956*$Y$956</f>
        <v>0</v>
      </c>
      <c r="AF956" s="6">
        <f ca="1">$M$956*$Z$956</f>
        <v>196.81514304045101</v>
      </c>
      <c r="AG956" s="6">
        <f>$O$956*$AA$956</f>
        <v>172.80185991695444</v>
      </c>
    </row>
    <row r="957" spans="1:33" ht="11.25" customHeight="1" x14ac:dyDescent="0.25">
      <c r="A957" s="4" t="s">
        <v>28</v>
      </c>
      <c r="B957" s="4" t="s">
        <v>43</v>
      </c>
      <c r="C957" s="4" t="s">
        <v>23</v>
      </c>
      <c r="D957" s="4" t="s">
        <v>44</v>
      </c>
      <c r="E957" s="4" t="s">
        <v>52</v>
      </c>
      <c r="F957" s="4" t="s">
        <v>53</v>
      </c>
      <c r="G957" s="4" t="s">
        <v>25</v>
      </c>
      <c r="H957" s="4" t="s">
        <v>25</v>
      </c>
      <c r="I957" s="5">
        <v>44348</v>
      </c>
      <c r="J957" s="6">
        <v>0</v>
      </c>
      <c r="K957" s="6">
        <v>0</v>
      </c>
      <c r="L957" s="6">
        <v>0.16200000000000001</v>
      </c>
      <c r="M957" s="6">
        <v>0.16200000000000001</v>
      </c>
      <c r="N957" s="6">
        <v>0.16200000000000001</v>
      </c>
      <c r="O957" s="6">
        <v>0.16200000000000001</v>
      </c>
      <c r="P957" s="6">
        <v>0</v>
      </c>
      <c r="Q957" s="4" t="s">
        <v>26</v>
      </c>
      <c r="R957" s="4">
        <v>0</v>
      </c>
      <c r="S957" s="6">
        <v>0</v>
      </c>
      <c r="T957" s="6">
        <v>46</v>
      </c>
      <c r="U957" s="6">
        <v>99</v>
      </c>
      <c r="V957" s="6">
        <f>IF(ISERROR(VLOOKUP($S$957,'TAR FIN'!$A$1:$O$100,15,0)),0,VLOOKUP($S$957,'TAR FIN'!$A$1:$O$100,15,0))</f>
        <v>0</v>
      </c>
      <c r="W957" s="6">
        <f>IF(ISERROR(VLOOKUP($T$957,'TAR FIN'!$A$1:$O$100,15,0)),0,VLOOKUP($T$957,'TAR FIN'!$A$1:$O$100,15,0))</f>
        <v>251.46</v>
      </c>
      <c r="X957" s="6">
        <f>IF(ISERROR(VLOOKUP($U$957,'TAR FIN'!$A$1:$O$100,15,0)),0,VLOOKUP($U$957,'TAR FIN'!$A$1:$O$100,15,0))</f>
        <v>203.57</v>
      </c>
      <c r="Y957" s="6"/>
      <c r="Z957" s="6">
        <f ca="1">('TUSD BE'!$AM$43+'TUSD BF'!$AM$43+'TUSD CVA'!$AM$43)*(1-CUSTOS!$M$38)</f>
        <v>268.50633429802321</v>
      </c>
      <c r="AA957" s="6">
        <f>('TE BE'!$AA$26+'TE BF'!$AA$26+'TE CVA'!$AA$26)*(1-CUSTOS!$M$38)</f>
        <v>235.74605718547673</v>
      </c>
      <c r="AB957" s="6">
        <f>$K$957*$V$957</f>
        <v>0</v>
      </c>
      <c r="AC957" s="6">
        <f>$M$957*$W$957</f>
        <v>40.736520000000006</v>
      </c>
      <c r="AD957" s="6">
        <f>$O$957*$X$957</f>
        <v>32.978340000000003</v>
      </c>
      <c r="AE957" s="6">
        <f>$K$957*$Y$957</f>
        <v>0</v>
      </c>
      <c r="AF957" s="6">
        <f ca="1">$M$957*$Z$957</f>
        <v>43.498026156279764</v>
      </c>
      <c r="AG957" s="6">
        <f>$O$957*$AA$957</f>
        <v>38.190861264047228</v>
      </c>
    </row>
    <row r="958" spans="1:33" ht="11.25" customHeight="1" x14ac:dyDescent="0.25">
      <c r="A958" s="4" t="s">
        <v>21</v>
      </c>
      <c r="B958" s="4" t="s">
        <v>43</v>
      </c>
      <c r="C958" s="4" t="s">
        <v>23</v>
      </c>
      <c r="D958" s="4" t="s">
        <v>44</v>
      </c>
      <c r="E958" s="4" t="s">
        <v>52</v>
      </c>
      <c r="F958" s="4" t="s">
        <v>53</v>
      </c>
      <c r="G958" s="4" t="s">
        <v>25</v>
      </c>
      <c r="H958" s="4" t="s">
        <v>25</v>
      </c>
      <c r="I958" s="5">
        <v>44378</v>
      </c>
      <c r="J958" s="6">
        <v>0</v>
      </c>
      <c r="K958" s="6">
        <v>0</v>
      </c>
      <c r="L958" s="6">
        <v>104.854</v>
      </c>
      <c r="M958" s="6">
        <v>104.854</v>
      </c>
      <c r="N958" s="6">
        <v>104.854</v>
      </c>
      <c r="O958" s="6">
        <v>104.854</v>
      </c>
      <c r="P958" s="6">
        <v>0</v>
      </c>
      <c r="Q958" s="4" t="s">
        <v>26</v>
      </c>
      <c r="R958" s="4">
        <v>0</v>
      </c>
      <c r="S958" s="6">
        <v>0</v>
      </c>
      <c r="T958" s="6">
        <v>46</v>
      </c>
      <c r="U958" s="6">
        <v>99</v>
      </c>
      <c r="V958" s="6">
        <f>IF(ISERROR(VLOOKUP($S$958,'TAR FIN'!$A$1:$O$100,15,0)),0,VLOOKUP($S$958,'TAR FIN'!$A$1:$O$100,15,0))</f>
        <v>0</v>
      </c>
      <c r="W958" s="6">
        <f>IF(ISERROR(VLOOKUP($T$958,'TAR FIN'!$A$1:$O$100,15,0)),0,VLOOKUP($T$958,'TAR FIN'!$A$1:$O$100,15,0))</f>
        <v>251.46</v>
      </c>
      <c r="X958" s="6">
        <f>IF(ISERROR(VLOOKUP($U$958,'TAR FIN'!$A$1:$O$100,15,0)),0,VLOOKUP($U$958,'TAR FIN'!$A$1:$O$100,15,0))</f>
        <v>203.57</v>
      </c>
      <c r="Y958" s="6"/>
      <c r="Z958" s="6">
        <f ca="1">('TUSD BE'!$AM$43+'TUSD BF'!$AM$43+'TUSD CVA'!$AM$43)*(1-CUSTOS!$M$38)</f>
        <v>268.50633429802321</v>
      </c>
      <c r="AA958" s="6">
        <f>('TE BE'!$AA$26+'TE BF'!$AA$26+'TE CVA'!$AA$26)*(1-CUSTOS!$M$38)</f>
        <v>235.74605718547673</v>
      </c>
      <c r="AB958" s="6">
        <f>$K$958*$V$958</f>
        <v>0</v>
      </c>
      <c r="AC958" s="6">
        <f>$M$958*$W$958</f>
        <v>26366.58684</v>
      </c>
      <c r="AD958" s="6">
        <f>$O$958*$X$958</f>
        <v>21345.128779999999</v>
      </c>
      <c r="AE958" s="6">
        <f>$K$958*$Y$958</f>
        <v>0</v>
      </c>
      <c r="AF958" s="6">
        <f ca="1">$M$958*$Z$958</f>
        <v>28153.963176484925</v>
      </c>
      <c r="AG958" s="6">
        <f>$O$958*$AA$958</f>
        <v>24718.917080125975</v>
      </c>
    </row>
    <row r="959" spans="1:33" ht="11.25" customHeight="1" x14ac:dyDescent="0.25">
      <c r="A959" s="4" t="s">
        <v>28</v>
      </c>
      <c r="B959" s="4" t="s">
        <v>43</v>
      </c>
      <c r="C959" s="4" t="s">
        <v>23</v>
      </c>
      <c r="D959" s="4" t="s">
        <v>44</v>
      </c>
      <c r="E959" s="4" t="s">
        <v>52</v>
      </c>
      <c r="F959" s="4" t="s">
        <v>53</v>
      </c>
      <c r="G959" s="4" t="s">
        <v>25</v>
      </c>
      <c r="H959" s="4" t="s">
        <v>25</v>
      </c>
      <c r="I959" s="5">
        <v>44378</v>
      </c>
      <c r="J959" s="6">
        <v>0</v>
      </c>
      <c r="K959" s="6">
        <v>0</v>
      </c>
      <c r="L959" s="6">
        <v>0.57799999999999996</v>
      </c>
      <c r="M959" s="6">
        <v>0.57799999999999996</v>
      </c>
      <c r="N959" s="6">
        <v>0.57799999999999996</v>
      </c>
      <c r="O959" s="6">
        <v>0.57799999999999996</v>
      </c>
      <c r="P959" s="6">
        <v>0</v>
      </c>
      <c r="Q959" s="4" t="s">
        <v>26</v>
      </c>
      <c r="R959" s="4">
        <v>0</v>
      </c>
      <c r="S959" s="6">
        <v>0</v>
      </c>
      <c r="T959" s="6">
        <v>46</v>
      </c>
      <c r="U959" s="6">
        <v>99</v>
      </c>
      <c r="V959" s="6">
        <f>IF(ISERROR(VLOOKUP($S$959,'TAR FIN'!$A$1:$O$100,15,0)),0,VLOOKUP($S$959,'TAR FIN'!$A$1:$O$100,15,0))</f>
        <v>0</v>
      </c>
      <c r="W959" s="6">
        <f>IF(ISERROR(VLOOKUP($T$959,'TAR FIN'!$A$1:$O$100,15,0)),0,VLOOKUP($T$959,'TAR FIN'!$A$1:$O$100,15,0))</f>
        <v>251.46</v>
      </c>
      <c r="X959" s="6">
        <f>IF(ISERROR(VLOOKUP($U$959,'TAR FIN'!$A$1:$O$100,15,0)),0,VLOOKUP($U$959,'TAR FIN'!$A$1:$O$100,15,0))</f>
        <v>203.57</v>
      </c>
      <c r="Y959" s="6"/>
      <c r="Z959" s="6">
        <f ca="1">('TUSD BE'!$AM$43+'TUSD BF'!$AM$43+'TUSD CVA'!$AM$43)*(1-CUSTOS!$M$38)</f>
        <v>268.50633429802321</v>
      </c>
      <c r="AA959" s="6">
        <f>('TE BE'!$AA$26+'TE BF'!$AA$26+'TE CVA'!$AA$26)*(1-CUSTOS!$M$38)</f>
        <v>235.74605718547673</v>
      </c>
      <c r="AB959" s="6">
        <f>$K$959*$V$959</f>
        <v>0</v>
      </c>
      <c r="AC959" s="6">
        <f>$M$959*$W$959</f>
        <v>145.34387999999998</v>
      </c>
      <c r="AD959" s="6">
        <f>$O$959*$X$959</f>
        <v>117.66345999999999</v>
      </c>
      <c r="AE959" s="6">
        <f>$K$959*$Y$959</f>
        <v>0</v>
      </c>
      <c r="AF959" s="6">
        <f ca="1">$M$959*$Z$959</f>
        <v>155.19666122425741</v>
      </c>
      <c r="AG959" s="6">
        <f>$O$959*$AA$959</f>
        <v>136.26122105320553</v>
      </c>
    </row>
    <row r="960" spans="1:33" ht="11.25" customHeight="1" x14ac:dyDescent="0.25">
      <c r="A960" s="4" t="s">
        <v>21</v>
      </c>
      <c r="B960" s="4" t="s">
        <v>43</v>
      </c>
      <c r="C960" s="4" t="s">
        <v>23</v>
      </c>
      <c r="D960" s="4" t="s">
        <v>44</v>
      </c>
      <c r="E960" s="4" t="s">
        <v>52</v>
      </c>
      <c r="F960" s="4" t="s">
        <v>53</v>
      </c>
      <c r="G960" s="4" t="s">
        <v>25</v>
      </c>
      <c r="H960" s="4" t="s">
        <v>25</v>
      </c>
      <c r="I960" s="5">
        <v>44409</v>
      </c>
      <c r="J960" s="6">
        <v>0</v>
      </c>
      <c r="K960" s="6">
        <v>0</v>
      </c>
      <c r="L960" s="6">
        <v>100.452</v>
      </c>
      <c r="M960" s="6">
        <v>100.452</v>
      </c>
      <c r="N960" s="6">
        <v>100.452</v>
      </c>
      <c r="O960" s="6">
        <v>100.452</v>
      </c>
      <c r="P960" s="6">
        <v>0</v>
      </c>
      <c r="Q960" s="4" t="s">
        <v>26</v>
      </c>
      <c r="R960" s="4">
        <v>0</v>
      </c>
      <c r="S960" s="6">
        <v>0</v>
      </c>
      <c r="T960" s="6">
        <v>46</v>
      </c>
      <c r="U960" s="6">
        <v>99</v>
      </c>
      <c r="V960" s="6">
        <f>IF(ISERROR(VLOOKUP($S$960,'TAR FIN'!$A$1:$O$100,15,0)),0,VLOOKUP($S$960,'TAR FIN'!$A$1:$O$100,15,0))</f>
        <v>0</v>
      </c>
      <c r="W960" s="6">
        <f>IF(ISERROR(VLOOKUP($T$960,'TAR FIN'!$A$1:$O$100,15,0)),0,VLOOKUP($T$960,'TAR FIN'!$A$1:$O$100,15,0))</f>
        <v>251.46</v>
      </c>
      <c r="X960" s="6">
        <f>IF(ISERROR(VLOOKUP($U$960,'TAR FIN'!$A$1:$O$100,15,0)),0,VLOOKUP($U$960,'TAR FIN'!$A$1:$O$100,15,0))</f>
        <v>203.57</v>
      </c>
      <c r="Y960" s="6"/>
      <c r="Z960" s="6">
        <f ca="1">('TUSD BE'!$AM$43+'TUSD BF'!$AM$43+'TUSD CVA'!$AM$43)*(1-CUSTOS!$M$38)</f>
        <v>268.50633429802321</v>
      </c>
      <c r="AA960" s="6">
        <f>('TE BE'!$AA$26+'TE BF'!$AA$26+'TE CVA'!$AA$26)*(1-CUSTOS!$M$38)</f>
        <v>235.74605718547673</v>
      </c>
      <c r="AB960" s="6">
        <f>$K$960*$V$960</f>
        <v>0</v>
      </c>
      <c r="AC960" s="6">
        <f>$M$960*$W$960</f>
        <v>25259.659920000002</v>
      </c>
      <c r="AD960" s="6">
        <f>$O$960*$X$960</f>
        <v>20449.013639999997</v>
      </c>
      <c r="AE960" s="6">
        <f>$K$960*$Y$960</f>
        <v>0</v>
      </c>
      <c r="AF960" s="6">
        <f ca="1">$M$960*$Z$960</f>
        <v>26971.998292905027</v>
      </c>
      <c r="AG960" s="6">
        <f>$O$960*$AA$960</f>
        <v>23681.162936395507</v>
      </c>
    </row>
    <row r="961" spans="1:33" ht="11.25" customHeight="1" x14ac:dyDescent="0.25">
      <c r="A961" s="4" t="s">
        <v>28</v>
      </c>
      <c r="B961" s="4" t="s">
        <v>43</v>
      </c>
      <c r="C961" s="4" t="s">
        <v>23</v>
      </c>
      <c r="D961" s="4" t="s">
        <v>44</v>
      </c>
      <c r="E961" s="4" t="s">
        <v>52</v>
      </c>
      <c r="F961" s="4" t="s">
        <v>53</v>
      </c>
      <c r="G961" s="4" t="s">
        <v>25</v>
      </c>
      <c r="H961" s="4" t="s">
        <v>25</v>
      </c>
      <c r="I961" s="5">
        <v>44409</v>
      </c>
      <c r="J961" s="6">
        <v>0</v>
      </c>
      <c r="K961" s="6">
        <v>0</v>
      </c>
      <c r="L961" s="6">
        <v>0.219</v>
      </c>
      <c r="M961" s="6">
        <v>0.219</v>
      </c>
      <c r="N961" s="6">
        <v>0.219</v>
      </c>
      <c r="O961" s="6">
        <v>0.219</v>
      </c>
      <c r="P961" s="6">
        <v>0</v>
      </c>
      <c r="Q961" s="4" t="s">
        <v>26</v>
      </c>
      <c r="R961" s="4">
        <v>0</v>
      </c>
      <c r="S961" s="6">
        <v>0</v>
      </c>
      <c r="T961" s="6">
        <v>46</v>
      </c>
      <c r="U961" s="6">
        <v>99</v>
      </c>
      <c r="V961" s="6">
        <f>IF(ISERROR(VLOOKUP($S$961,'TAR FIN'!$A$1:$O$100,15,0)),0,VLOOKUP($S$961,'TAR FIN'!$A$1:$O$100,15,0))</f>
        <v>0</v>
      </c>
      <c r="W961" s="6">
        <f>IF(ISERROR(VLOOKUP($T$961,'TAR FIN'!$A$1:$O$100,15,0)),0,VLOOKUP($T$961,'TAR FIN'!$A$1:$O$100,15,0))</f>
        <v>251.46</v>
      </c>
      <c r="X961" s="6">
        <f>IF(ISERROR(VLOOKUP($U$961,'TAR FIN'!$A$1:$O$100,15,0)),0,VLOOKUP($U$961,'TAR FIN'!$A$1:$O$100,15,0))</f>
        <v>203.57</v>
      </c>
      <c r="Y961" s="6"/>
      <c r="Z961" s="6">
        <f ca="1">('TUSD BE'!$AM$43+'TUSD BF'!$AM$43+'TUSD CVA'!$AM$43)*(1-CUSTOS!$M$38)</f>
        <v>268.50633429802321</v>
      </c>
      <c r="AA961" s="6">
        <f>('TE BE'!$AA$26+'TE BF'!$AA$26+'TE CVA'!$AA$26)*(1-CUSTOS!$M$38)</f>
        <v>235.74605718547673</v>
      </c>
      <c r="AB961" s="6">
        <f>$K$961*$V$961</f>
        <v>0</v>
      </c>
      <c r="AC961" s="6">
        <f>$M$961*$W$961</f>
        <v>55.069740000000003</v>
      </c>
      <c r="AD961" s="6">
        <f>$O$961*$X$961</f>
        <v>44.581829999999997</v>
      </c>
      <c r="AE961" s="6">
        <f>$K$961*$Y$961</f>
        <v>0</v>
      </c>
      <c r="AF961" s="6">
        <f ca="1">$M$961*$Z$961</f>
        <v>58.802887211267084</v>
      </c>
      <c r="AG961" s="6">
        <f>$O$961*$AA$961</f>
        <v>51.628386523619405</v>
      </c>
    </row>
    <row r="962" spans="1:33" ht="11.25" customHeight="1" x14ac:dyDescent="0.25">
      <c r="A962" s="4" t="s">
        <v>21</v>
      </c>
      <c r="B962" s="4" t="s">
        <v>43</v>
      </c>
      <c r="C962" s="4" t="s">
        <v>23</v>
      </c>
      <c r="D962" s="4" t="s">
        <v>44</v>
      </c>
      <c r="E962" s="4" t="s">
        <v>52</v>
      </c>
      <c r="F962" s="4" t="s">
        <v>53</v>
      </c>
      <c r="G962" s="4" t="s">
        <v>25</v>
      </c>
      <c r="H962" s="4" t="s">
        <v>25</v>
      </c>
      <c r="I962" s="5">
        <v>44440</v>
      </c>
      <c r="J962" s="6">
        <v>0</v>
      </c>
      <c r="K962" s="6">
        <v>0</v>
      </c>
      <c r="L962" s="6">
        <v>166.77600000000001</v>
      </c>
      <c r="M962" s="6">
        <v>166.77600000000001</v>
      </c>
      <c r="N962" s="6">
        <v>166.77600000000001</v>
      </c>
      <c r="O962" s="6">
        <v>166.77600000000001</v>
      </c>
      <c r="P962" s="6">
        <v>0</v>
      </c>
      <c r="Q962" s="4" t="s">
        <v>26</v>
      </c>
      <c r="R962" s="4">
        <v>0</v>
      </c>
      <c r="S962" s="6">
        <v>0</v>
      </c>
      <c r="T962" s="6">
        <v>46</v>
      </c>
      <c r="U962" s="6">
        <v>99</v>
      </c>
      <c r="V962" s="6">
        <f>IF(ISERROR(VLOOKUP($S$962,'TAR FIN'!$A$1:$O$100,15,0)),0,VLOOKUP($S$962,'TAR FIN'!$A$1:$O$100,15,0))</f>
        <v>0</v>
      </c>
      <c r="W962" s="6">
        <f>IF(ISERROR(VLOOKUP($T$962,'TAR FIN'!$A$1:$O$100,15,0)),0,VLOOKUP($T$962,'TAR FIN'!$A$1:$O$100,15,0))</f>
        <v>251.46</v>
      </c>
      <c r="X962" s="6">
        <f>IF(ISERROR(VLOOKUP($U$962,'TAR FIN'!$A$1:$O$100,15,0)),0,VLOOKUP($U$962,'TAR FIN'!$A$1:$O$100,15,0))</f>
        <v>203.57</v>
      </c>
      <c r="Y962" s="6"/>
      <c r="Z962" s="6">
        <f ca="1">('TUSD BE'!$AM$43+'TUSD BF'!$AM$43+'TUSD CVA'!$AM$43)*(1-CUSTOS!$M$38)</f>
        <v>268.50633429802321</v>
      </c>
      <c r="AA962" s="6">
        <f>('TE BE'!$AA$26+'TE BF'!$AA$26+'TE CVA'!$AA$26)*(1-CUSTOS!$M$38)</f>
        <v>235.74605718547673</v>
      </c>
      <c r="AB962" s="6">
        <f>$K$962*$V$962</f>
        <v>0</v>
      </c>
      <c r="AC962" s="6">
        <f>$M$962*$W$962</f>
        <v>41937.492960000003</v>
      </c>
      <c r="AD962" s="6">
        <f>$O$962*$X$962</f>
        <v>33950.590320000003</v>
      </c>
      <c r="AE962" s="6">
        <f>$K$962*$Y$962</f>
        <v>0</v>
      </c>
      <c r="AF962" s="6">
        <f ca="1">$M$962*$Z$962</f>
        <v>44780.412408887118</v>
      </c>
      <c r="AG962" s="6">
        <f>$O$962*$AA$962</f>
        <v>39316.78443316507</v>
      </c>
    </row>
    <row r="963" spans="1:33" ht="11.25" customHeight="1" x14ac:dyDescent="0.25">
      <c r="A963" s="4" t="s">
        <v>28</v>
      </c>
      <c r="B963" s="4" t="s">
        <v>43</v>
      </c>
      <c r="C963" s="4" t="s">
        <v>23</v>
      </c>
      <c r="D963" s="4" t="s">
        <v>44</v>
      </c>
      <c r="E963" s="4" t="s">
        <v>52</v>
      </c>
      <c r="F963" s="4" t="s">
        <v>53</v>
      </c>
      <c r="G963" s="4" t="s">
        <v>25</v>
      </c>
      <c r="H963" s="4" t="s">
        <v>25</v>
      </c>
      <c r="I963" s="5">
        <v>44440</v>
      </c>
      <c r="J963" s="6">
        <v>0</v>
      </c>
      <c r="K963" s="6">
        <v>0</v>
      </c>
      <c r="L963" s="6">
        <v>0.84199999999999997</v>
      </c>
      <c r="M963" s="6">
        <v>0.84199999999999997</v>
      </c>
      <c r="N963" s="6">
        <v>0.84199999999999997</v>
      </c>
      <c r="O963" s="6">
        <v>0.84199999999999997</v>
      </c>
      <c r="P963" s="6">
        <v>0</v>
      </c>
      <c r="Q963" s="4" t="s">
        <v>26</v>
      </c>
      <c r="R963" s="4">
        <v>0</v>
      </c>
      <c r="S963" s="6">
        <v>0</v>
      </c>
      <c r="T963" s="6">
        <v>46</v>
      </c>
      <c r="U963" s="6">
        <v>99</v>
      </c>
      <c r="V963" s="6">
        <f>IF(ISERROR(VLOOKUP($S$963,'TAR FIN'!$A$1:$O$100,15,0)),0,VLOOKUP($S$963,'TAR FIN'!$A$1:$O$100,15,0))</f>
        <v>0</v>
      </c>
      <c r="W963" s="6">
        <f>IF(ISERROR(VLOOKUP($T$963,'TAR FIN'!$A$1:$O$100,15,0)),0,VLOOKUP($T$963,'TAR FIN'!$A$1:$O$100,15,0))</f>
        <v>251.46</v>
      </c>
      <c r="X963" s="6">
        <f>IF(ISERROR(VLOOKUP($U$963,'TAR FIN'!$A$1:$O$100,15,0)),0,VLOOKUP($U$963,'TAR FIN'!$A$1:$O$100,15,0))</f>
        <v>203.57</v>
      </c>
      <c r="Y963" s="6"/>
      <c r="Z963" s="6">
        <f ca="1">('TUSD BE'!$AM$43+'TUSD BF'!$AM$43+'TUSD CVA'!$AM$43)*(1-CUSTOS!$M$38)</f>
        <v>268.50633429802321</v>
      </c>
      <c r="AA963" s="6">
        <f>('TE BE'!$AA$26+'TE BF'!$AA$26+'TE CVA'!$AA$26)*(1-CUSTOS!$M$38)</f>
        <v>235.74605718547673</v>
      </c>
      <c r="AB963" s="6">
        <f>$K$963*$V$963</f>
        <v>0</v>
      </c>
      <c r="AC963" s="6">
        <f>$M$963*$W$963</f>
        <v>211.72932</v>
      </c>
      <c r="AD963" s="6">
        <f>$O$963*$X$963</f>
        <v>171.40593999999999</v>
      </c>
      <c r="AE963" s="6">
        <f>$K$963*$Y$963</f>
        <v>0</v>
      </c>
      <c r="AF963" s="6">
        <f ca="1">$M$963*$Z$963</f>
        <v>226.08233347893554</v>
      </c>
      <c r="AG963" s="6">
        <f>$O$963*$AA$963</f>
        <v>198.49818015017141</v>
      </c>
    </row>
    <row r="964" spans="1:33" ht="11.25" customHeight="1" x14ac:dyDescent="0.25">
      <c r="A964" s="4" t="s">
        <v>21</v>
      </c>
      <c r="B964" s="4" t="s">
        <v>43</v>
      </c>
      <c r="C964" s="4" t="s">
        <v>23</v>
      </c>
      <c r="D964" s="4" t="s">
        <v>44</v>
      </c>
      <c r="E964" s="4" t="s">
        <v>52</v>
      </c>
      <c r="F964" s="4" t="s">
        <v>53</v>
      </c>
      <c r="G964" s="4" t="s">
        <v>25</v>
      </c>
      <c r="H964" s="4" t="s">
        <v>25</v>
      </c>
      <c r="I964" s="5">
        <v>44470</v>
      </c>
      <c r="J964" s="6">
        <v>0</v>
      </c>
      <c r="K964" s="6">
        <v>0</v>
      </c>
      <c r="L964" s="6">
        <v>152.21600000000001</v>
      </c>
      <c r="M964" s="6">
        <v>152.21600000000001</v>
      </c>
      <c r="N964" s="6">
        <v>152.21600000000001</v>
      </c>
      <c r="O964" s="6">
        <v>152.21600000000001</v>
      </c>
      <c r="P964" s="6">
        <v>0</v>
      </c>
      <c r="Q964" s="4" t="s">
        <v>26</v>
      </c>
      <c r="R964" s="4">
        <v>0</v>
      </c>
      <c r="S964" s="6">
        <v>0</v>
      </c>
      <c r="T964" s="6">
        <v>46</v>
      </c>
      <c r="U964" s="6">
        <v>99</v>
      </c>
      <c r="V964" s="6">
        <f>IF(ISERROR(VLOOKUP($S$964,'TAR FIN'!$A$1:$O$100,15,0)),0,VLOOKUP($S$964,'TAR FIN'!$A$1:$O$100,15,0))</f>
        <v>0</v>
      </c>
      <c r="W964" s="6">
        <f>IF(ISERROR(VLOOKUP($T$964,'TAR FIN'!$A$1:$O$100,15,0)),0,VLOOKUP($T$964,'TAR FIN'!$A$1:$O$100,15,0))</f>
        <v>251.46</v>
      </c>
      <c r="X964" s="6">
        <f>IF(ISERROR(VLOOKUP($U$964,'TAR FIN'!$A$1:$O$100,15,0)),0,VLOOKUP($U$964,'TAR FIN'!$A$1:$O$100,15,0))</f>
        <v>203.57</v>
      </c>
      <c r="Y964" s="6"/>
      <c r="Z964" s="6">
        <f ca="1">('TUSD BE'!$AM$43+'TUSD BF'!$AM$43+'TUSD CVA'!$AM$43)*(1-CUSTOS!$M$38)</f>
        <v>268.50633429802321</v>
      </c>
      <c r="AA964" s="6">
        <f>('TE BE'!$AA$26+'TE BF'!$AA$26+'TE CVA'!$AA$26)*(1-CUSTOS!$M$38)</f>
        <v>235.74605718547673</v>
      </c>
      <c r="AB964" s="6">
        <f>$K$964*$V$964</f>
        <v>0</v>
      </c>
      <c r="AC964" s="6">
        <f>$M$964*$W$964</f>
        <v>38276.235360000006</v>
      </c>
      <c r="AD964" s="6">
        <f>$O$964*$X$964</f>
        <v>30986.611120000001</v>
      </c>
      <c r="AE964" s="6">
        <f>$K$964*$Y$964</f>
        <v>0</v>
      </c>
      <c r="AF964" s="6">
        <f ca="1">$M$964*$Z$964</f>
        <v>40870.9601815079</v>
      </c>
      <c r="AG964" s="6">
        <f>$O$964*$AA$964</f>
        <v>35884.32184054453</v>
      </c>
    </row>
    <row r="965" spans="1:33" ht="11.25" customHeight="1" x14ac:dyDescent="0.25">
      <c r="A965" s="4" t="s">
        <v>27</v>
      </c>
      <c r="B965" s="4" t="s">
        <v>43</v>
      </c>
      <c r="C965" s="4" t="s">
        <v>23</v>
      </c>
      <c r="D965" s="4" t="s">
        <v>44</v>
      </c>
      <c r="E965" s="4" t="s">
        <v>52</v>
      </c>
      <c r="F965" s="4" t="s">
        <v>53</v>
      </c>
      <c r="G965" s="4" t="s">
        <v>25</v>
      </c>
      <c r="H965" s="4" t="s">
        <v>25</v>
      </c>
      <c r="I965" s="5">
        <v>44470</v>
      </c>
      <c r="J965" s="6">
        <v>0</v>
      </c>
      <c r="K965" s="6">
        <v>0</v>
      </c>
      <c r="L965" s="6">
        <v>-1.073</v>
      </c>
      <c r="M965" s="6">
        <v>-1.073</v>
      </c>
      <c r="N965" s="6">
        <v>-1.073</v>
      </c>
      <c r="O965" s="6">
        <v>-1.073</v>
      </c>
      <c r="P965" s="6">
        <v>0</v>
      </c>
      <c r="Q965" s="4" t="s">
        <v>26</v>
      </c>
      <c r="R965" s="4">
        <v>0</v>
      </c>
      <c r="S965" s="6">
        <v>0</v>
      </c>
      <c r="T965" s="6">
        <v>46</v>
      </c>
      <c r="U965" s="6">
        <v>99</v>
      </c>
      <c r="V965" s="6">
        <f>IF(ISERROR(VLOOKUP($S$965,'TAR FIN'!$A$1:$O$100,15,0)),0,VLOOKUP($S$965,'TAR FIN'!$A$1:$O$100,15,0))</f>
        <v>0</v>
      </c>
      <c r="W965" s="6">
        <f>IF(ISERROR(VLOOKUP($T$965,'TAR FIN'!$A$1:$O$100,15,0)),0,VLOOKUP($T$965,'TAR FIN'!$A$1:$O$100,15,0))</f>
        <v>251.46</v>
      </c>
      <c r="X965" s="6">
        <f>IF(ISERROR(VLOOKUP($U$965,'TAR FIN'!$A$1:$O$100,15,0)),0,VLOOKUP($U$965,'TAR FIN'!$A$1:$O$100,15,0))</f>
        <v>203.57</v>
      </c>
      <c r="Y965" s="6"/>
      <c r="Z965" s="6">
        <f ca="1">('TUSD BE'!$AM$43+'TUSD BF'!$AM$43+'TUSD CVA'!$AM$43)*(1-CUSTOS!$M$38)</f>
        <v>268.50633429802321</v>
      </c>
      <c r="AA965" s="6">
        <f>('TE BE'!$AA$26+'TE BF'!$AA$26+'TE CVA'!$AA$26)*(1-CUSTOS!$M$38)</f>
        <v>235.74605718547673</v>
      </c>
      <c r="AB965" s="6">
        <f>$K$965*$V$965</f>
        <v>0</v>
      </c>
      <c r="AC965" s="6">
        <f>$M$965*$W$965</f>
        <v>-269.81657999999999</v>
      </c>
      <c r="AD965" s="6">
        <f>$O$965*$X$965</f>
        <v>-218.43060999999997</v>
      </c>
      <c r="AE965" s="6">
        <f>$K$965*$Y$965</f>
        <v>0</v>
      </c>
      <c r="AF965" s="6">
        <f ca="1">$M$965*$Z$965</f>
        <v>-288.10729670177886</v>
      </c>
      <c r="AG965" s="6">
        <f>$O$965*$AA$965</f>
        <v>-252.95551936001652</v>
      </c>
    </row>
    <row r="966" spans="1:33" ht="11.25" customHeight="1" x14ac:dyDescent="0.25">
      <c r="A966" s="4" t="s">
        <v>28</v>
      </c>
      <c r="B966" s="4" t="s">
        <v>43</v>
      </c>
      <c r="C966" s="4" t="s">
        <v>23</v>
      </c>
      <c r="D966" s="4" t="s">
        <v>44</v>
      </c>
      <c r="E966" s="4" t="s">
        <v>52</v>
      </c>
      <c r="F966" s="4" t="s">
        <v>53</v>
      </c>
      <c r="G966" s="4" t="s">
        <v>25</v>
      </c>
      <c r="H966" s="4" t="s">
        <v>25</v>
      </c>
      <c r="I966" s="5">
        <v>44470</v>
      </c>
      <c r="J966" s="6">
        <v>0</v>
      </c>
      <c r="K966" s="6">
        <v>0</v>
      </c>
      <c r="L966" s="6">
        <v>1.256</v>
      </c>
      <c r="M966" s="6">
        <v>1.256</v>
      </c>
      <c r="N966" s="6">
        <v>1.256</v>
      </c>
      <c r="O966" s="6">
        <v>1.256</v>
      </c>
      <c r="P966" s="6">
        <v>0</v>
      </c>
      <c r="Q966" s="4" t="s">
        <v>26</v>
      </c>
      <c r="R966" s="4">
        <v>0</v>
      </c>
      <c r="S966" s="6">
        <v>0</v>
      </c>
      <c r="T966" s="6">
        <v>46</v>
      </c>
      <c r="U966" s="6">
        <v>99</v>
      </c>
      <c r="V966" s="6">
        <f>IF(ISERROR(VLOOKUP($S$966,'TAR FIN'!$A$1:$O$100,15,0)),0,VLOOKUP($S$966,'TAR FIN'!$A$1:$O$100,15,0))</f>
        <v>0</v>
      </c>
      <c r="W966" s="6">
        <f>IF(ISERROR(VLOOKUP($T$966,'TAR FIN'!$A$1:$O$100,15,0)),0,VLOOKUP($T$966,'TAR FIN'!$A$1:$O$100,15,0))</f>
        <v>251.46</v>
      </c>
      <c r="X966" s="6">
        <f>IF(ISERROR(VLOOKUP($U$966,'TAR FIN'!$A$1:$O$100,15,0)),0,VLOOKUP($U$966,'TAR FIN'!$A$1:$O$100,15,0))</f>
        <v>203.57</v>
      </c>
      <c r="Y966" s="6"/>
      <c r="Z966" s="6">
        <f ca="1">('TUSD BE'!$AM$43+'TUSD BF'!$AM$43+'TUSD CVA'!$AM$43)*(1-CUSTOS!$M$38)</f>
        <v>268.50633429802321</v>
      </c>
      <c r="AA966" s="6">
        <f>('TE BE'!$AA$26+'TE BF'!$AA$26+'TE CVA'!$AA$26)*(1-CUSTOS!$M$38)</f>
        <v>235.74605718547673</v>
      </c>
      <c r="AB966" s="6">
        <f>$K$966*$V$966</f>
        <v>0</v>
      </c>
      <c r="AC966" s="6">
        <f>$M$966*$W$966</f>
        <v>315.83375999999998</v>
      </c>
      <c r="AD966" s="6">
        <f>$O$966*$X$966</f>
        <v>255.68392</v>
      </c>
      <c r="AE966" s="6">
        <f>$K$966*$Y$966</f>
        <v>0</v>
      </c>
      <c r="AF966" s="6">
        <f ca="1">$M$966*$Z$966</f>
        <v>337.24395587831714</v>
      </c>
      <c r="AG966" s="6">
        <f>$O$966*$AA$966</f>
        <v>296.09704782495879</v>
      </c>
    </row>
    <row r="967" spans="1:33" ht="11.25" customHeight="1" x14ac:dyDescent="0.25">
      <c r="A967" s="4" t="s">
        <v>21</v>
      </c>
      <c r="B967" s="4" t="s">
        <v>43</v>
      </c>
      <c r="C967" s="4" t="s">
        <v>23</v>
      </c>
      <c r="D967" s="4" t="s">
        <v>44</v>
      </c>
      <c r="E967" s="4" t="s">
        <v>52</v>
      </c>
      <c r="F967" s="4" t="s">
        <v>53</v>
      </c>
      <c r="G967" s="4" t="s">
        <v>25</v>
      </c>
      <c r="H967" s="4" t="s">
        <v>25</v>
      </c>
      <c r="I967" s="5">
        <v>44501</v>
      </c>
      <c r="J967" s="6">
        <v>0</v>
      </c>
      <c r="K967" s="6">
        <v>0</v>
      </c>
      <c r="L967" s="6">
        <v>135.41900000000001</v>
      </c>
      <c r="M967" s="6">
        <v>135.41900000000001</v>
      </c>
      <c r="N967" s="6">
        <v>135.41900000000001</v>
      </c>
      <c r="O967" s="6">
        <v>135.41900000000001</v>
      </c>
      <c r="P967" s="6">
        <v>0</v>
      </c>
      <c r="Q967" s="4" t="s">
        <v>26</v>
      </c>
      <c r="R967" s="4">
        <v>0</v>
      </c>
      <c r="S967" s="6">
        <v>0</v>
      </c>
      <c r="T967" s="6">
        <v>46</v>
      </c>
      <c r="U967" s="6">
        <v>99</v>
      </c>
      <c r="V967" s="6">
        <f>IF(ISERROR(VLOOKUP($S$967,'TAR FIN'!$A$1:$O$100,15,0)),0,VLOOKUP($S$967,'TAR FIN'!$A$1:$O$100,15,0))</f>
        <v>0</v>
      </c>
      <c r="W967" s="6">
        <f>IF(ISERROR(VLOOKUP($T$967,'TAR FIN'!$A$1:$O$100,15,0)),0,VLOOKUP($T$967,'TAR FIN'!$A$1:$O$100,15,0))</f>
        <v>251.46</v>
      </c>
      <c r="X967" s="6">
        <f>IF(ISERROR(VLOOKUP($U$967,'TAR FIN'!$A$1:$O$100,15,0)),0,VLOOKUP($U$967,'TAR FIN'!$A$1:$O$100,15,0))</f>
        <v>203.57</v>
      </c>
      <c r="Y967" s="6"/>
      <c r="Z967" s="6">
        <f ca="1">('TUSD BE'!$AM$43+'TUSD BF'!$AM$43+'TUSD CVA'!$AM$43)*(1-CUSTOS!$M$38)</f>
        <v>268.50633429802321</v>
      </c>
      <c r="AA967" s="6">
        <f>('TE BE'!$AA$26+'TE BF'!$AA$26+'TE CVA'!$AA$26)*(1-CUSTOS!$M$38)</f>
        <v>235.74605718547673</v>
      </c>
      <c r="AB967" s="6">
        <f>$K$967*$V$967</f>
        <v>0</v>
      </c>
      <c r="AC967" s="6">
        <f>$M$967*$W$967</f>
        <v>34052.461740000006</v>
      </c>
      <c r="AD967" s="6">
        <f>$O$967*$X$967</f>
        <v>27567.24583</v>
      </c>
      <c r="AE967" s="6">
        <f>$K$967*$Y$967</f>
        <v>0</v>
      </c>
      <c r="AF967" s="6">
        <f ca="1">$M$967*$Z$967</f>
        <v>36360.85928430401</v>
      </c>
      <c r="AG967" s="6">
        <f>$O$967*$AA$967</f>
        <v>31924.495318000078</v>
      </c>
    </row>
    <row r="968" spans="1:33" ht="11.25" customHeight="1" x14ac:dyDescent="0.25">
      <c r="A968" s="4" t="s">
        <v>27</v>
      </c>
      <c r="B968" s="4" t="s">
        <v>43</v>
      </c>
      <c r="C968" s="4" t="s">
        <v>23</v>
      </c>
      <c r="D968" s="4" t="s">
        <v>44</v>
      </c>
      <c r="E968" s="4" t="s">
        <v>52</v>
      </c>
      <c r="F968" s="4" t="s">
        <v>53</v>
      </c>
      <c r="G968" s="4" t="s">
        <v>25</v>
      </c>
      <c r="H968" s="4" t="s">
        <v>25</v>
      </c>
      <c r="I968" s="5">
        <v>44501</v>
      </c>
      <c r="J968" s="6">
        <v>0</v>
      </c>
      <c r="K968" s="6">
        <v>0</v>
      </c>
      <c r="L968" s="6">
        <v>-2.5099999999999998</v>
      </c>
      <c r="M968" s="6">
        <v>-2.5099999999999998</v>
      </c>
      <c r="N968" s="6">
        <v>-2.5099999999999998</v>
      </c>
      <c r="O968" s="6">
        <v>-2.5099999999999998</v>
      </c>
      <c r="P968" s="6">
        <v>0</v>
      </c>
      <c r="Q968" s="4" t="s">
        <v>26</v>
      </c>
      <c r="R968" s="4">
        <v>0</v>
      </c>
      <c r="S968" s="6">
        <v>0</v>
      </c>
      <c r="T968" s="6">
        <v>46</v>
      </c>
      <c r="U968" s="6">
        <v>99</v>
      </c>
      <c r="V968" s="6">
        <f>IF(ISERROR(VLOOKUP($S$968,'TAR FIN'!$A$1:$O$100,15,0)),0,VLOOKUP($S$968,'TAR FIN'!$A$1:$O$100,15,0))</f>
        <v>0</v>
      </c>
      <c r="W968" s="6">
        <f>IF(ISERROR(VLOOKUP($T$968,'TAR FIN'!$A$1:$O$100,15,0)),0,VLOOKUP($T$968,'TAR FIN'!$A$1:$O$100,15,0))</f>
        <v>251.46</v>
      </c>
      <c r="X968" s="6">
        <f>IF(ISERROR(VLOOKUP($U$968,'TAR FIN'!$A$1:$O$100,15,0)),0,VLOOKUP($U$968,'TAR FIN'!$A$1:$O$100,15,0))</f>
        <v>203.57</v>
      </c>
      <c r="Y968" s="6"/>
      <c r="Z968" s="6">
        <f ca="1">('TUSD BE'!$AM$43+'TUSD BF'!$AM$43+'TUSD CVA'!$AM$43)*(1-CUSTOS!$M$38)</f>
        <v>268.50633429802321</v>
      </c>
      <c r="AA968" s="6">
        <f>('TE BE'!$AA$26+'TE BF'!$AA$26+'TE CVA'!$AA$26)*(1-CUSTOS!$M$38)</f>
        <v>235.74605718547673</v>
      </c>
      <c r="AB968" s="6">
        <f>$K$968*$V$968</f>
        <v>0</v>
      </c>
      <c r="AC968" s="6">
        <f>$M$968*$W$968</f>
        <v>-631.16459999999995</v>
      </c>
      <c r="AD968" s="6">
        <f>$O$968*$X$968</f>
        <v>-510.96069999999992</v>
      </c>
      <c r="AE968" s="6">
        <f>$K$968*$Y$968</f>
        <v>0</v>
      </c>
      <c r="AF968" s="6">
        <f ca="1">$M$968*$Z$968</f>
        <v>-673.95089908803823</v>
      </c>
      <c r="AG968" s="6">
        <f>$O$968*$AA$968</f>
        <v>-591.72260353554657</v>
      </c>
    </row>
    <row r="969" spans="1:33" ht="11.25" customHeight="1" x14ac:dyDescent="0.25">
      <c r="A969" s="4" t="s">
        <v>28</v>
      </c>
      <c r="B969" s="4" t="s">
        <v>43</v>
      </c>
      <c r="C969" s="4" t="s">
        <v>23</v>
      </c>
      <c r="D969" s="4" t="s">
        <v>44</v>
      </c>
      <c r="E969" s="4" t="s">
        <v>52</v>
      </c>
      <c r="F969" s="4" t="s">
        <v>53</v>
      </c>
      <c r="G969" s="4" t="s">
        <v>25</v>
      </c>
      <c r="H969" s="4" t="s">
        <v>25</v>
      </c>
      <c r="I969" s="5">
        <v>44501</v>
      </c>
      <c r="J969" s="6">
        <v>0</v>
      </c>
      <c r="K969" s="6">
        <v>0</v>
      </c>
      <c r="L969" s="6">
        <v>0.80700000000000005</v>
      </c>
      <c r="M969" s="6">
        <v>0.80700000000000005</v>
      </c>
      <c r="N969" s="6">
        <v>0.80700000000000005</v>
      </c>
      <c r="O969" s="6">
        <v>0.80700000000000005</v>
      </c>
      <c r="P969" s="6">
        <v>0</v>
      </c>
      <c r="Q969" s="4" t="s">
        <v>26</v>
      </c>
      <c r="R969" s="4">
        <v>0</v>
      </c>
      <c r="S969" s="6">
        <v>0</v>
      </c>
      <c r="T969" s="6">
        <v>46</v>
      </c>
      <c r="U969" s="6">
        <v>99</v>
      </c>
      <c r="V969" s="6">
        <f>IF(ISERROR(VLOOKUP($S$969,'TAR FIN'!$A$1:$O$100,15,0)),0,VLOOKUP($S$969,'TAR FIN'!$A$1:$O$100,15,0))</f>
        <v>0</v>
      </c>
      <c r="W969" s="6">
        <f>IF(ISERROR(VLOOKUP($T$969,'TAR FIN'!$A$1:$O$100,15,0)),0,VLOOKUP($T$969,'TAR FIN'!$A$1:$O$100,15,0))</f>
        <v>251.46</v>
      </c>
      <c r="X969" s="6">
        <f>IF(ISERROR(VLOOKUP($U$969,'TAR FIN'!$A$1:$O$100,15,0)),0,VLOOKUP($U$969,'TAR FIN'!$A$1:$O$100,15,0))</f>
        <v>203.57</v>
      </c>
      <c r="Y969" s="6"/>
      <c r="Z969" s="6">
        <f ca="1">('TUSD BE'!$AM$43+'TUSD BF'!$AM$43+'TUSD CVA'!$AM$43)*(1-CUSTOS!$M$38)</f>
        <v>268.50633429802321</v>
      </c>
      <c r="AA969" s="6">
        <f>('TE BE'!$AA$26+'TE BF'!$AA$26+'TE CVA'!$AA$26)*(1-CUSTOS!$M$38)</f>
        <v>235.74605718547673</v>
      </c>
      <c r="AB969" s="6">
        <f>$K$969*$V$969</f>
        <v>0</v>
      </c>
      <c r="AC969" s="6">
        <f>$M$969*$W$969</f>
        <v>202.92822000000001</v>
      </c>
      <c r="AD969" s="6">
        <f>$O$969*$X$969</f>
        <v>164.28099</v>
      </c>
      <c r="AE969" s="6">
        <f>$K$969*$Y$969</f>
        <v>0</v>
      </c>
      <c r="AF969" s="6">
        <f ca="1">$M$969*$Z$969</f>
        <v>216.68461177850475</v>
      </c>
      <c r="AG969" s="6">
        <f>$O$969*$AA$969</f>
        <v>190.24706814867974</v>
      </c>
    </row>
    <row r="970" spans="1:33" ht="11.25" customHeight="1" x14ac:dyDescent="0.25">
      <c r="A970" s="4" t="s">
        <v>21</v>
      </c>
      <c r="B970" s="4" t="s">
        <v>43</v>
      </c>
      <c r="C970" s="4" t="s">
        <v>23</v>
      </c>
      <c r="D970" s="4" t="s">
        <v>44</v>
      </c>
      <c r="E970" s="4" t="s">
        <v>52</v>
      </c>
      <c r="F970" s="4" t="s">
        <v>53</v>
      </c>
      <c r="G970" s="4" t="s">
        <v>25</v>
      </c>
      <c r="H970" s="4" t="s">
        <v>25</v>
      </c>
      <c r="I970" s="5">
        <v>44531</v>
      </c>
      <c r="J970" s="6">
        <v>0</v>
      </c>
      <c r="K970" s="6">
        <v>0</v>
      </c>
      <c r="L970" s="6">
        <v>164.58699999999999</v>
      </c>
      <c r="M970" s="6">
        <v>164.58699999999999</v>
      </c>
      <c r="N970" s="6">
        <v>164.58699999999999</v>
      </c>
      <c r="O970" s="6">
        <v>164.58699999999999</v>
      </c>
      <c r="P970" s="6">
        <v>0</v>
      </c>
      <c r="Q970" s="4" t="s">
        <v>26</v>
      </c>
      <c r="R970" s="4">
        <v>0</v>
      </c>
      <c r="S970" s="6">
        <v>0</v>
      </c>
      <c r="T970" s="6">
        <v>46</v>
      </c>
      <c r="U970" s="6">
        <v>99</v>
      </c>
      <c r="V970" s="6">
        <f>IF(ISERROR(VLOOKUP($S$970,'TAR FIN'!$A$1:$O$100,15,0)),0,VLOOKUP($S$970,'TAR FIN'!$A$1:$O$100,15,0))</f>
        <v>0</v>
      </c>
      <c r="W970" s="6">
        <f>IF(ISERROR(VLOOKUP($T$970,'TAR FIN'!$A$1:$O$100,15,0)),0,VLOOKUP($T$970,'TAR FIN'!$A$1:$O$100,15,0))</f>
        <v>251.46</v>
      </c>
      <c r="X970" s="6">
        <f>IF(ISERROR(VLOOKUP($U$970,'TAR FIN'!$A$1:$O$100,15,0)),0,VLOOKUP($U$970,'TAR FIN'!$A$1:$O$100,15,0))</f>
        <v>203.57</v>
      </c>
      <c r="Y970" s="6"/>
      <c r="Z970" s="6">
        <f ca="1">('TUSD BE'!$AM$43+'TUSD BF'!$AM$43+'TUSD CVA'!$AM$43)*(1-CUSTOS!$M$38)</f>
        <v>268.50633429802321</v>
      </c>
      <c r="AA970" s="6">
        <f>('TE BE'!$AA$26+'TE BF'!$AA$26+'TE CVA'!$AA$26)*(1-CUSTOS!$M$38)</f>
        <v>235.74605718547673</v>
      </c>
      <c r="AB970" s="6">
        <f>$K$970*$V$970</f>
        <v>0</v>
      </c>
      <c r="AC970" s="6">
        <f>$M$970*$W$970</f>
        <v>41387.047019999998</v>
      </c>
      <c r="AD970" s="6">
        <f>$O$970*$X$970</f>
        <v>33504.975589999995</v>
      </c>
      <c r="AE970" s="6">
        <f>$K$970*$Y$970</f>
        <v>0</v>
      </c>
      <c r="AF970" s="6">
        <f ca="1">$M$970*$Z$970</f>
        <v>44192.652043108741</v>
      </c>
      <c r="AG970" s="6">
        <f>$O$970*$AA$970</f>
        <v>38800.736313986054</v>
      </c>
    </row>
    <row r="971" spans="1:33" ht="11.25" customHeight="1" x14ac:dyDescent="0.25">
      <c r="A971" s="4" t="s">
        <v>28</v>
      </c>
      <c r="B971" s="4" t="s">
        <v>43</v>
      </c>
      <c r="C971" s="4" t="s">
        <v>23</v>
      </c>
      <c r="D971" s="4" t="s">
        <v>44</v>
      </c>
      <c r="E971" s="4" t="s">
        <v>52</v>
      </c>
      <c r="F971" s="4" t="s">
        <v>53</v>
      </c>
      <c r="G971" s="4" t="s">
        <v>25</v>
      </c>
      <c r="H971" s="4" t="s">
        <v>25</v>
      </c>
      <c r="I971" s="5">
        <v>44531</v>
      </c>
      <c r="J971" s="6">
        <v>0</v>
      </c>
      <c r="K971" s="6">
        <v>0</v>
      </c>
      <c r="L971" s="6">
        <v>1.4810000000000001</v>
      </c>
      <c r="M971" s="6">
        <v>1.4810000000000001</v>
      </c>
      <c r="N971" s="6">
        <v>1.4810000000000001</v>
      </c>
      <c r="O971" s="6">
        <v>1.4810000000000001</v>
      </c>
      <c r="P971" s="6">
        <v>0</v>
      </c>
      <c r="Q971" s="4" t="s">
        <v>26</v>
      </c>
      <c r="R971" s="4">
        <v>0</v>
      </c>
      <c r="S971" s="6">
        <v>0</v>
      </c>
      <c r="T971" s="6">
        <v>46</v>
      </c>
      <c r="U971" s="6">
        <v>99</v>
      </c>
      <c r="V971" s="6">
        <f>IF(ISERROR(VLOOKUP($S$971,'TAR FIN'!$A$1:$O$100,15,0)),0,VLOOKUP($S$971,'TAR FIN'!$A$1:$O$100,15,0))</f>
        <v>0</v>
      </c>
      <c r="W971" s="6">
        <f>IF(ISERROR(VLOOKUP($T$971,'TAR FIN'!$A$1:$O$100,15,0)),0,VLOOKUP($T$971,'TAR FIN'!$A$1:$O$100,15,0))</f>
        <v>251.46</v>
      </c>
      <c r="X971" s="6">
        <f>IF(ISERROR(VLOOKUP($U$971,'TAR FIN'!$A$1:$O$100,15,0)),0,VLOOKUP($U$971,'TAR FIN'!$A$1:$O$100,15,0))</f>
        <v>203.57</v>
      </c>
      <c r="Y971" s="6"/>
      <c r="Z971" s="6">
        <f ca="1">('TUSD BE'!$AM$43+'TUSD BF'!$AM$43+'TUSD CVA'!$AM$43)*(1-CUSTOS!$M$38)</f>
        <v>268.50633429802321</v>
      </c>
      <c r="AA971" s="6">
        <f>('TE BE'!$AA$26+'TE BF'!$AA$26+'TE CVA'!$AA$26)*(1-CUSTOS!$M$38)</f>
        <v>235.74605718547673</v>
      </c>
      <c r="AB971" s="6">
        <f>$K$971*$V$971</f>
        <v>0</v>
      </c>
      <c r="AC971" s="6">
        <f>$M$971*$W$971</f>
        <v>372.41226000000006</v>
      </c>
      <c r="AD971" s="6">
        <f>$O$971*$X$971</f>
        <v>301.48716999999999</v>
      </c>
      <c r="AE971" s="6">
        <f>$K$971*$Y$971</f>
        <v>0</v>
      </c>
      <c r="AF971" s="6">
        <f ca="1">$M$971*$Z$971</f>
        <v>397.65788109537237</v>
      </c>
      <c r="AG971" s="6">
        <f>$O$971*$AA$971</f>
        <v>349.13991069169106</v>
      </c>
    </row>
    <row r="972" spans="1:33" ht="11.25" customHeight="1" x14ac:dyDescent="0.25">
      <c r="A972" s="4" t="s">
        <v>55</v>
      </c>
      <c r="B972" s="4" t="s">
        <v>43</v>
      </c>
      <c r="C972" s="4" t="s">
        <v>23</v>
      </c>
      <c r="D972" s="4" t="s">
        <v>44</v>
      </c>
      <c r="E972" s="4" t="s">
        <v>52</v>
      </c>
      <c r="F972" s="4" t="s">
        <v>53</v>
      </c>
      <c r="G972" s="4" t="s">
        <v>25</v>
      </c>
      <c r="H972" s="4" t="s">
        <v>25</v>
      </c>
      <c r="I972" s="5">
        <v>44562</v>
      </c>
      <c r="J972" s="6">
        <v>0</v>
      </c>
      <c r="K972" s="6">
        <v>0</v>
      </c>
      <c r="L972" s="6">
        <v>164.58699999999999</v>
      </c>
      <c r="M972" s="6">
        <v>164.58699999999999</v>
      </c>
      <c r="N972" s="6">
        <v>164.58699999999999</v>
      </c>
      <c r="O972" s="6">
        <v>164.58699999999999</v>
      </c>
      <c r="P972" s="6">
        <v>0</v>
      </c>
      <c r="Q972" s="4" t="s">
        <v>26</v>
      </c>
      <c r="R972" s="4">
        <v>0</v>
      </c>
      <c r="S972" s="6">
        <v>0</v>
      </c>
      <c r="T972" s="6">
        <v>46</v>
      </c>
      <c r="U972" s="6">
        <v>99</v>
      </c>
      <c r="V972" s="6">
        <f>IF(ISERROR(VLOOKUP($S$972,'TAR FIN'!$A$1:$O$100,15,0)),0,VLOOKUP($S$972,'TAR FIN'!$A$1:$O$100,15,0))</f>
        <v>0</v>
      </c>
      <c r="W972" s="6">
        <f>IF(ISERROR(VLOOKUP($T$972,'TAR FIN'!$A$1:$O$100,15,0)),0,VLOOKUP($T$972,'TAR FIN'!$A$1:$O$100,15,0))</f>
        <v>251.46</v>
      </c>
      <c r="X972" s="6">
        <f>IF(ISERROR(VLOOKUP($U$972,'TAR FIN'!$A$1:$O$100,15,0)),0,VLOOKUP($U$972,'TAR FIN'!$A$1:$O$100,15,0))</f>
        <v>203.57</v>
      </c>
      <c r="Y972" s="6"/>
      <c r="Z972" s="6">
        <f ca="1">('TUSD BE'!$AM$43+'TUSD BF'!$AM$43+'TUSD CVA'!$AM$43)*(1-CUSTOS!$M$38)</f>
        <v>268.50633429802321</v>
      </c>
      <c r="AA972" s="6">
        <f>('TE BE'!$AA$26+'TE BF'!$AA$26+'TE CVA'!$AA$26)*(1-CUSTOS!$M$38)</f>
        <v>235.74605718547673</v>
      </c>
      <c r="AB972" s="6">
        <f>$K$972*$V$972</f>
        <v>0</v>
      </c>
      <c r="AC972" s="6">
        <f>$M$972*$W$972</f>
        <v>41387.047019999998</v>
      </c>
      <c r="AD972" s="6">
        <f>$O$972*$X$972</f>
        <v>33504.975589999995</v>
      </c>
      <c r="AE972" s="6">
        <f>$K$972*$Y$972</f>
        <v>0</v>
      </c>
      <c r="AF972" s="6">
        <f ca="1">$M$972*$Z$972</f>
        <v>44192.652043108741</v>
      </c>
      <c r="AG972" s="6">
        <f>$O$972*$AA$972</f>
        <v>38800.736313986054</v>
      </c>
    </row>
    <row r="973" spans="1:33" ht="11.25" customHeight="1" x14ac:dyDescent="0.25">
      <c r="A973" s="4" t="s">
        <v>55</v>
      </c>
      <c r="B973" s="4" t="s">
        <v>43</v>
      </c>
      <c r="C973" s="4" t="s">
        <v>23</v>
      </c>
      <c r="D973" s="4" t="s">
        <v>44</v>
      </c>
      <c r="E973" s="4" t="s">
        <v>52</v>
      </c>
      <c r="F973" s="4" t="s">
        <v>53</v>
      </c>
      <c r="G973" s="4" t="s">
        <v>25</v>
      </c>
      <c r="H973" s="4" t="s">
        <v>25</v>
      </c>
      <c r="I973" s="5">
        <v>44562</v>
      </c>
      <c r="J973" s="6">
        <v>0</v>
      </c>
      <c r="K973" s="6">
        <v>0</v>
      </c>
      <c r="L973" s="6">
        <v>1.4810000000000001</v>
      </c>
      <c r="M973" s="6">
        <v>1.4810000000000001</v>
      </c>
      <c r="N973" s="6">
        <v>1.4810000000000001</v>
      </c>
      <c r="O973" s="6">
        <v>1.4810000000000001</v>
      </c>
      <c r="P973" s="6">
        <v>0</v>
      </c>
      <c r="Q973" s="4" t="s">
        <v>26</v>
      </c>
      <c r="R973" s="4">
        <v>0</v>
      </c>
      <c r="S973" s="6">
        <v>0</v>
      </c>
      <c r="T973" s="6">
        <v>46</v>
      </c>
      <c r="U973" s="6">
        <v>99</v>
      </c>
      <c r="V973" s="6">
        <f>IF(ISERROR(VLOOKUP($S$973,'TAR FIN'!$A$1:$O$100,15,0)),0,VLOOKUP($S$973,'TAR FIN'!$A$1:$O$100,15,0))</f>
        <v>0</v>
      </c>
      <c r="W973" s="6">
        <f>IF(ISERROR(VLOOKUP($T$973,'TAR FIN'!$A$1:$O$100,15,0)),0,VLOOKUP($T$973,'TAR FIN'!$A$1:$O$100,15,0))</f>
        <v>251.46</v>
      </c>
      <c r="X973" s="6">
        <f>IF(ISERROR(VLOOKUP($U$973,'TAR FIN'!$A$1:$O$100,15,0)),0,VLOOKUP($U$973,'TAR FIN'!$A$1:$O$100,15,0))</f>
        <v>203.57</v>
      </c>
      <c r="Y973" s="6"/>
      <c r="Z973" s="6">
        <f ca="1">('TUSD BE'!$AM$43+'TUSD BF'!$AM$43+'TUSD CVA'!$AM$43)*(1-CUSTOS!$M$38)</f>
        <v>268.50633429802321</v>
      </c>
      <c r="AA973" s="6">
        <f>('TE BE'!$AA$26+'TE BF'!$AA$26+'TE CVA'!$AA$26)*(1-CUSTOS!$M$38)</f>
        <v>235.74605718547673</v>
      </c>
      <c r="AB973" s="6">
        <f>$K$973*$V$973</f>
        <v>0</v>
      </c>
      <c r="AC973" s="6">
        <f>$M$973*$W$973</f>
        <v>372.41226000000006</v>
      </c>
      <c r="AD973" s="6">
        <f>$O$973*$X$973</f>
        <v>301.48716999999999</v>
      </c>
      <c r="AE973" s="6">
        <f>$K$973*$Y$973</f>
        <v>0</v>
      </c>
      <c r="AF973" s="6">
        <f ca="1">$M$973*$Z$973</f>
        <v>397.65788109537237</v>
      </c>
      <c r="AG973" s="6">
        <f>$O$973*$AA$973</f>
        <v>349.13991069169106</v>
      </c>
    </row>
    <row r="974" spans="1:33" ht="11.25" customHeight="1" x14ac:dyDescent="0.25">
      <c r="A974" s="4" t="s">
        <v>21</v>
      </c>
      <c r="B974" s="4" t="s">
        <v>43</v>
      </c>
      <c r="C974" s="4" t="s">
        <v>23</v>
      </c>
      <c r="D974" s="4" t="s">
        <v>44</v>
      </c>
      <c r="E974" s="4" t="s">
        <v>52</v>
      </c>
      <c r="F974" s="4" t="s">
        <v>54</v>
      </c>
      <c r="G974" s="4" t="s">
        <v>25</v>
      </c>
      <c r="H974" s="4" t="s">
        <v>25</v>
      </c>
      <c r="I974" s="5">
        <v>44228</v>
      </c>
      <c r="J974" s="6">
        <v>0</v>
      </c>
      <c r="K974" s="6">
        <v>0</v>
      </c>
      <c r="L974" s="6">
        <v>185.21</v>
      </c>
      <c r="M974" s="6">
        <v>50.006700000000002</v>
      </c>
      <c r="N974" s="6">
        <v>185.21</v>
      </c>
      <c r="O974" s="6">
        <v>50.006700000000002</v>
      </c>
      <c r="P974" s="6">
        <v>0</v>
      </c>
      <c r="Q974" s="4" t="s">
        <v>26</v>
      </c>
      <c r="R974" s="4">
        <v>0</v>
      </c>
      <c r="S974" s="6">
        <v>0</v>
      </c>
      <c r="T974" s="6">
        <v>46</v>
      </c>
      <c r="U974" s="6">
        <v>99</v>
      </c>
      <c r="V974" s="6">
        <f>IF(ISERROR(VLOOKUP($S$974,'TAR FIN'!$A$1:$O$100,15,0)),0,VLOOKUP($S$974,'TAR FIN'!$A$1:$O$100,15,0))</f>
        <v>0</v>
      </c>
      <c r="W974" s="6">
        <f>IF(ISERROR(VLOOKUP($T$974,'TAR FIN'!$A$1:$O$100,15,0)),0,VLOOKUP($T$974,'TAR FIN'!$A$1:$O$100,15,0))</f>
        <v>251.46</v>
      </c>
      <c r="X974" s="6">
        <f>IF(ISERROR(VLOOKUP($U$974,'TAR FIN'!$A$1:$O$100,15,0)),0,VLOOKUP($U$974,'TAR FIN'!$A$1:$O$100,15,0))</f>
        <v>203.57</v>
      </c>
      <c r="Y974" s="6"/>
      <c r="Z974" s="6">
        <f ca="1">('TUSD BE'!$AM$43+'TUSD BF'!$AM$43+'TUSD CVA'!$AM$43)*(1-CUSTOS!$M$38)</f>
        <v>268.50633429802321</v>
      </c>
      <c r="AA974" s="6">
        <f>('TE BE'!$AA$26+'TE BF'!$AA$26+'TE CVA'!$AA$26)*(1-CUSTOS!$M$38)</f>
        <v>235.74605718547673</v>
      </c>
      <c r="AB974" s="6">
        <f>$K$974*$V$974</f>
        <v>0</v>
      </c>
      <c r="AC974" s="6">
        <f>$M$974*$W$974</f>
        <v>12574.684782</v>
      </c>
      <c r="AD974" s="6">
        <f>$O$974*$X$974</f>
        <v>10179.863918999999</v>
      </c>
      <c r="AE974" s="6">
        <f>$K$974*$Y$974</f>
        <v>0</v>
      </c>
      <c r="AF974" s="6">
        <f ca="1">$M$974*$Z$974</f>
        <v>13427.115707340958</v>
      </c>
      <c r="AG974" s="6">
        <f>$O$974*$AA$974</f>
        <v>11788.882357856979</v>
      </c>
    </row>
    <row r="975" spans="1:33" ht="11.25" customHeight="1" x14ac:dyDescent="0.25">
      <c r="A975" s="4" t="s">
        <v>27</v>
      </c>
      <c r="B975" s="4" t="s">
        <v>43</v>
      </c>
      <c r="C975" s="4" t="s">
        <v>23</v>
      </c>
      <c r="D975" s="4" t="s">
        <v>44</v>
      </c>
      <c r="E975" s="4" t="s">
        <v>52</v>
      </c>
      <c r="F975" s="4" t="s">
        <v>54</v>
      </c>
      <c r="G975" s="4" t="s">
        <v>25</v>
      </c>
      <c r="H975" s="4" t="s">
        <v>25</v>
      </c>
      <c r="I975" s="5">
        <v>44228</v>
      </c>
      <c r="J975" s="6">
        <v>0</v>
      </c>
      <c r="K975" s="6">
        <v>0</v>
      </c>
      <c r="L975" s="6">
        <v>-7.484</v>
      </c>
      <c r="M975" s="6">
        <v>-2.02068</v>
      </c>
      <c r="N975" s="6">
        <v>-7.484</v>
      </c>
      <c r="O975" s="6">
        <v>-2.02068</v>
      </c>
      <c r="P975" s="6">
        <v>0</v>
      </c>
      <c r="Q975" s="4" t="s">
        <v>26</v>
      </c>
      <c r="R975" s="4">
        <v>0</v>
      </c>
      <c r="S975" s="6">
        <v>0</v>
      </c>
      <c r="T975" s="6">
        <v>46</v>
      </c>
      <c r="U975" s="6">
        <v>99</v>
      </c>
      <c r="V975" s="6">
        <f>IF(ISERROR(VLOOKUP($S$975,'TAR FIN'!$A$1:$O$100,15,0)),0,VLOOKUP($S$975,'TAR FIN'!$A$1:$O$100,15,0))</f>
        <v>0</v>
      </c>
      <c r="W975" s="6">
        <f>IF(ISERROR(VLOOKUP($T$975,'TAR FIN'!$A$1:$O$100,15,0)),0,VLOOKUP($T$975,'TAR FIN'!$A$1:$O$100,15,0))</f>
        <v>251.46</v>
      </c>
      <c r="X975" s="6">
        <f>IF(ISERROR(VLOOKUP($U$975,'TAR FIN'!$A$1:$O$100,15,0)),0,VLOOKUP($U$975,'TAR FIN'!$A$1:$O$100,15,0))</f>
        <v>203.57</v>
      </c>
      <c r="Y975" s="6"/>
      <c r="Z975" s="6">
        <f ca="1">('TUSD BE'!$AM$43+'TUSD BF'!$AM$43+'TUSD CVA'!$AM$43)*(1-CUSTOS!$M$38)</f>
        <v>268.50633429802321</v>
      </c>
      <c r="AA975" s="6">
        <f>('TE BE'!$AA$26+'TE BF'!$AA$26+'TE CVA'!$AA$26)*(1-CUSTOS!$M$38)</f>
        <v>235.74605718547673</v>
      </c>
      <c r="AB975" s="6">
        <f>$K$975*$V$975</f>
        <v>0</v>
      </c>
      <c r="AC975" s="6">
        <f>$M$975*$W$975</f>
        <v>-508.12019280000004</v>
      </c>
      <c r="AD975" s="6">
        <f>$O$975*$X$975</f>
        <v>-411.34982759999997</v>
      </c>
      <c r="AE975" s="6">
        <f>$K$975*$Y$975</f>
        <v>0</v>
      </c>
      <c r="AF975" s="6">
        <f ca="1">$M$975*$Z$975</f>
        <v>-542.5653795893295</v>
      </c>
      <c r="AG975" s="6">
        <f>$O$975*$AA$975</f>
        <v>-476.36734283354912</v>
      </c>
    </row>
    <row r="976" spans="1:33" ht="11.25" customHeight="1" x14ac:dyDescent="0.25">
      <c r="A976" s="4" t="s">
        <v>28</v>
      </c>
      <c r="B976" s="4" t="s">
        <v>43</v>
      </c>
      <c r="C976" s="4" t="s">
        <v>23</v>
      </c>
      <c r="D976" s="4" t="s">
        <v>44</v>
      </c>
      <c r="E976" s="4" t="s">
        <v>52</v>
      </c>
      <c r="F976" s="4" t="s">
        <v>54</v>
      </c>
      <c r="G976" s="4" t="s">
        <v>25</v>
      </c>
      <c r="H976" s="4" t="s">
        <v>25</v>
      </c>
      <c r="I976" s="5">
        <v>44228</v>
      </c>
      <c r="J976" s="6">
        <v>0</v>
      </c>
      <c r="K976" s="6">
        <v>0</v>
      </c>
      <c r="L976" s="6">
        <v>0.84299999999999997</v>
      </c>
      <c r="M976" s="6">
        <v>0.22761000000000001</v>
      </c>
      <c r="N976" s="6">
        <v>0.84299999999999997</v>
      </c>
      <c r="O976" s="6">
        <v>0.22761000000000001</v>
      </c>
      <c r="P976" s="6">
        <v>0</v>
      </c>
      <c r="Q976" s="4" t="s">
        <v>26</v>
      </c>
      <c r="R976" s="4">
        <v>0</v>
      </c>
      <c r="S976" s="6">
        <v>0</v>
      </c>
      <c r="T976" s="6">
        <v>46</v>
      </c>
      <c r="U976" s="6">
        <v>99</v>
      </c>
      <c r="V976" s="6">
        <f>IF(ISERROR(VLOOKUP($S$976,'TAR FIN'!$A$1:$O$100,15,0)),0,VLOOKUP($S$976,'TAR FIN'!$A$1:$O$100,15,0))</f>
        <v>0</v>
      </c>
      <c r="W976" s="6">
        <f>IF(ISERROR(VLOOKUP($T$976,'TAR FIN'!$A$1:$O$100,15,0)),0,VLOOKUP($T$976,'TAR FIN'!$A$1:$O$100,15,0))</f>
        <v>251.46</v>
      </c>
      <c r="X976" s="6">
        <f>IF(ISERROR(VLOOKUP($U$976,'TAR FIN'!$A$1:$O$100,15,0)),0,VLOOKUP($U$976,'TAR FIN'!$A$1:$O$100,15,0))</f>
        <v>203.57</v>
      </c>
      <c r="Y976" s="6"/>
      <c r="Z976" s="6">
        <f ca="1">('TUSD BE'!$AM$43+'TUSD BF'!$AM$43+'TUSD CVA'!$AM$43)*(1-CUSTOS!$M$38)</f>
        <v>268.50633429802321</v>
      </c>
      <c r="AA976" s="6">
        <f>('TE BE'!$AA$26+'TE BF'!$AA$26+'TE CVA'!$AA$26)*(1-CUSTOS!$M$38)</f>
        <v>235.74605718547673</v>
      </c>
      <c r="AB976" s="6">
        <f>$K$976*$V$976</f>
        <v>0</v>
      </c>
      <c r="AC976" s="6">
        <f>$M$976*$W$976</f>
        <v>57.234810600000003</v>
      </c>
      <c r="AD976" s="6">
        <f>$O$976*$X$976</f>
        <v>46.334567700000001</v>
      </c>
      <c r="AE976" s="6">
        <f>$K$976*$Y$976</f>
        <v>0</v>
      </c>
      <c r="AF976" s="6">
        <f ca="1">$M$976*$Z$976</f>
        <v>61.114726749573066</v>
      </c>
      <c r="AG976" s="6">
        <f>$O$976*$AA$976</f>
        <v>53.658160075986359</v>
      </c>
    </row>
    <row r="977" spans="1:33" ht="11.25" customHeight="1" x14ac:dyDescent="0.25">
      <c r="A977" s="4" t="s">
        <v>21</v>
      </c>
      <c r="B977" s="4" t="s">
        <v>43</v>
      </c>
      <c r="C977" s="4" t="s">
        <v>23</v>
      </c>
      <c r="D977" s="4" t="s">
        <v>44</v>
      </c>
      <c r="E977" s="4" t="s">
        <v>52</v>
      </c>
      <c r="F977" s="4" t="s">
        <v>54</v>
      </c>
      <c r="G977" s="4" t="s">
        <v>25</v>
      </c>
      <c r="H977" s="4" t="s">
        <v>25</v>
      </c>
      <c r="I977" s="5">
        <v>44256</v>
      </c>
      <c r="J977" s="6">
        <v>0</v>
      </c>
      <c r="K977" s="6">
        <v>0</v>
      </c>
      <c r="L977" s="6">
        <v>153.54300000000001</v>
      </c>
      <c r="M977" s="6">
        <v>41.456609999999998</v>
      </c>
      <c r="N977" s="6">
        <v>153.54300000000001</v>
      </c>
      <c r="O977" s="6">
        <v>41.456609999999998</v>
      </c>
      <c r="P977" s="6">
        <v>0</v>
      </c>
      <c r="Q977" s="4" t="s">
        <v>26</v>
      </c>
      <c r="R977" s="4">
        <v>0</v>
      </c>
      <c r="S977" s="6">
        <v>0</v>
      </c>
      <c r="T977" s="6">
        <v>46</v>
      </c>
      <c r="U977" s="6">
        <v>99</v>
      </c>
      <c r="V977" s="6">
        <f>IF(ISERROR(VLOOKUP($S$977,'TAR FIN'!$A$1:$O$100,15,0)),0,VLOOKUP($S$977,'TAR FIN'!$A$1:$O$100,15,0))</f>
        <v>0</v>
      </c>
      <c r="W977" s="6">
        <f>IF(ISERROR(VLOOKUP($T$977,'TAR FIN'!$A$1:$O$100,15,0)),0,VLOOKUP($T$977,'TAR FIN'!$A$1:$O$100,15,0))</f>
        <v>251.46</v>
      </c>
      <c r="X977" s="6">
        <f>IF(ISERROR(VLOOKUP($U$977,'TAR FIN'!$A$1:$O$100,15,0)),0,VLOOKUP($U$977,'TAR FIN'!$A$1:$O$100,15,0))</f>
        <v>203.57</v>
      </c>
      <c r="Y977" s="6"/>
      <c r="Z977" s="6">
        <f ca="1">('TUSD BE'!$AM$43+'TUSD BF'!$AM$43+'TUSD CVA'!$AM$43)*(1-CUSTOS!$M$38)</f>
        <v>268.50633429802321</v>
      </c>
      <c r="AA977" s="6">
        <f>('TE BE'!$AA$26+'TE BF'!$AA$26+'TE CVA'!$AA$26)*(1-CUSTOS!$M$38)</f>
        <v>235.74605718547673</v>
      </c>
      <c r="AB977" s="6">
        <f>$K$977*$V$977</f>
        <v>0</v>
      </c>
      <c r="AC977" s="6">
        <f>$M$977*$W$977</f>
        <v>10424.679150599999</v>
      </c>
      <c r="AD977" s="6">
        <f>$O$977*$X$977</f>
        <v>8439.3220977000001</v>
      </c>
      <c r="AE977" s="6">
        <f>$K$977*$Y$977</f>
        <v>0</v>
      </c>
      <c r="AF977" s="6">
        <f ca="1">$M$977*$Z$977</f>
        <v>11131.362383522772</v>
      </c>
      <c r="AG977" s="6">
        <f>$O$977*$AA$977</f>
        <v>9773.2323517760051</v>
      </c>
    </row>
    <row r="978" spans="1:33" ht="11.25" customHeight="1" x14ac:dyDescent="0.25">
      <c r="A978" s="4" t="s">
        <v>28</v>
      </c>
      <c r="B978" s="4" t="s">
        <v>43</v>
      </c>
      <c r="C978" s="4" t="s">
        <v>23</v>
      </c>
      <c r="D978" s="4" t="s">
        <v>44</v>
      </c>
      <c r="E978" s="4" t="s">
        <v>52</v>
      </c>
      <c r="F978" s="4" t="s">
        <v>54</v>
      </c>
      <c r="G978" s="4" t="s">
        <v>25</v>
      </c>
      <c r="H978" s="4" t="s">
        <v>25</v>
      </c>
      <c r="I978" s="5">
        <v>44256</v>
      </c>
      <c r="J978" s="6">
        <v>0</v>
      </c>
      <c r="K978" s="6">
        <v>0</v>
      </c>
      <c r="L978" s="6">
        <v>0.498</v>
      </c>
      <c r="M978" s="6">
        <v>0.13446</v>
      </c>
      <c r="N978" s="6">
        <v>0.498</v>
      </c>
      <c r="O978" s="6">
        <v>0.13446</v>
      </c>
      <c r="P978" s="6">
        <v>0</v>
      </c>
      <c r="Q978" s="4" t="s">
        <v>26</v>
      </c>
      <c r="R978" s="4">
        <v>0</v>
      </c>
      <c r="S978" s="6">
        <v>0</v>
      </c>
      <c r="T978" s="6">
        <v>46</v>
      </c>
      <c r="U978" s="6">
        <v>99</v>
      </c>
      <c r="V978" s="6">
        <f>IF(ISERROR(VLOOKUP($S$978,'TAR FIN'!$A$1:$O$100,15,0)),0,VLOOKUP($S$978,'TAR FIN'!$A$1:$O$100,15,0))</f>
        <v>0</v>
      </c>
      <c r="W978" s="6">
        <f>IF(ISERROR(VLOOKUP($T$978,'TAR FIN'!$A$1:$O$100,15,0)),0,VLOOKUP($T$978,'TAR FIN'!$A$1:$O$100,15,0))</f>
        <v>251.46</v>
      </c>
      <c r="X978" s="6">
        <f>IF(ISERROR(VLOOKUP($U$978,'TAR FIN'!$A$1:$O$100,15,0)),0,VLOOKUP($U$978,'TAR FIN'!$A$1:$O$100,15,0))</f>
        <v>203.57</v>
      </c>
      <c r="Y978" s="6"/>
      <c r="Z978" s="6">
        <f ca="1">('TUSD BE'!$AM$43+'TUSD BF'!$AM$43+'TUSD CVA'!$AM$43)*(1-CUSTOS!$M$38)</f>
        <v>268.50633429802321</v>
      </c>
      <c r="AA978" s="6">
        <f>('TE BE'!$AA$26+'TE BF'!$AA$26+'TE CVA'!$AA$26)*(1-CUSTOS!$M$38)</f>
        <v>235.74605718547673</v>
      </c>
      <c r="AB978" s="6">
        <f>$K$978*$V$978</f>
        <v>0</v>
      </c>
      <c r="AC978" s="6">
        <f>$M$978*$W$978</f>
        <v>33.811311600000003</v>
      </c>
      <c r="AD978" s="6">
        <f>$O$978*$X$978</f>
        <v>27.3720222</v>
      </c>
      <c r="AE978" s="6">
        <f>$K$978*$Y$978</f>
        <v>0</v>
      </c>
      <c r="AF978" s="6">
        <f ca="1">$M$978*$Z$978</f>
        <v>36.103361709712196</v>
      </c>
      <c r="AG978" s="6">
        <f>$O$978*$AA$978</f>
        <v>31.698414849159199</v>
      </c>
    </row>
    <row r="979" spans="1:33" ht="11.25" customHeight="1" x14ac:dyDescent="0.25">
      <c r="A979" s="4" t="s">
        <v>21</v>
      </c>
      <c r="B979" s="4" t="s">
        <v>43</v>
      </c>
      <c r="C979" s="4" t="s">
        <v>23</v>
      </c>
      <c r="D979" s="4" t="s">
        <v>44</v>
      </c>
      <c r="E979" s="4" t="s">
        <v>52</v>
      </c>
      <c r="F979" s="4" t="s">
        <v>54</v>
      </c>
      <c r="G979" s="4" t="s">
        <v>25</v>
      </c>
      <c r="H979" s="4" t="s">
        <v>25</v>
      </c>
      <c r="I979" s="5">
        <v>44287</v>
      </c>
      <c r="J979" s="6">
        <v>0</v>
      </c>
      <c r="K979" s="6">
        <v>0</v>
      </c>
      <c r="L979" s="6">
        <v>114.893</v>
      </c>
      <c r="M979" s="6">
        <v>31.02111</v>
      </c>
      <c r="N979" s="6">
        <v>114.893</v>
      </c>
      <c r="O979" s="6">
        <v>31.02111</v>
      </c>
      <c r="P979" s="6">
        <v>0</v>
      </c>
      <c r="Q979" s="4" t="s">
        <v>26</v>
      </c>
      <c r="R979" s="4">
        <v>0</v>
      </c>
      <c r="S979" s="6">
        <v>0</v>
      </c>
      <c r="T979" s="6">
        <v>46</v>
      </c>
      <c r="U979" s="6">
        <v>99</v>
      </c>
      <c r="V979" s="6">
        <f>IF(ISERROR(VLOOKUP($S$979,'TAR FIN'!$A$1:$O$100,15,0)),0,VLOOKUP($S$979,'TAR FIN'!$A$1:$O$100,15,0))</f>
        <v>0</v>
      </c>
      <c r="W979" s="6">
        <f>IF(ISERROR(VLOOKUP($T$979,'TAR FIN'!$A$1:$O$100,15,0)),0,VLOOKUP($T$979,'TAR FIN'!$A$1:$O$100,15,0))</f>
        <v>251.46</v>
      </c>
      <c r="X979" s="6">
        <f>IF(ISERROR(VLOOKUP($U$979,'TAR FIN'!$A$1:$O$100,15,0)),0,VLOOKUP($U$979,'TAR FIN'!$A$1:$O$100,15,0))</f>
        <v>203.57</v>
      </c>
      <c r="Y979" s="6"/>
      <c r="Z979" s="6">
        <f ca="1">('TUSD BE'!$AM$43+'TUSD BF'!$AM$43+'TUSD CVA'!$AM$43)*(1-CUSTOS!$M$38)</f>
        <v>268.50633429802321</v>
      </c>
      <c r="AA979" s="6">
        <f>('TE BE'!$AA$26+'TE BF'!$AA$26+'TE CVA'!$AA$26)*(1-CUSTOS!$M$38)</f>
        <v>235.74605718547673</v>
      </c>
      <c r="AB979" s="6">
        <f>$K$979*$V$979</f>
        <v>0</v>
      </c>
      <c r="AC979" s="6">
        <f>$M$979*$W$979</f>
        <v>7800.5683206000003</v>
      </c>
      <c r="AD979" s="6">
        <f>$O$979*$X$979</f>
        <v>6314.9673627000002</v>
      </c>
      <c r="AE979" s="6">
        <f>$K$979*$Y$979</f>
        <v>0</v>
      </c>
      <c r="AF979" s="6">
        <f ca="1">$M$979*$Z$979</f>
        <v>8329.3645319557509</v>
      </c>
      <c r="AG979" s="6">
        <f>$O$979*$AA$979</f>
        <v>7313.1043720169637</v>
      </c>
    </row>
    <row r="980" spans="1:33" ht="11.25" customHeight="1" x14ac:dyDescent="0.25">
      <c r="A980" s="4" t="s">
        <v>27</v>
      </c>
      <c r="B980" s="4" t="s">
        <v>43</v>
      </c>
      <c r="C980" s="4" t="s">
        <v>23</v>
      </c>
      <c r="D980" s="4" t="s">
        <v>44</v>
      </c>
      <c r="E980" s="4" t="s">
        <v>52</v>
      </c>
      <c r="F980" s="4" t="s">
        <v>54</v>
      </c>
      <c r="G980" s="4" t="s">
        <v>25</v>
      </c>
      <c r="H980" s="4" t="s">
        <v>25</v>
      </c>
      <c r="I980" s="5">
        <v>44287</v>
      </c>
      <c r="J980" s="6">
        <v>0</v>
      </c>
      <c r="K980" s="6">
        <v>0</v>
      </c>
      <c r="L980" s="6">
        <v>-3.7519999999999998</v>
      </c>
      <c r="M980" s="6">
        <v>-1.0130399999999999</v>
      </c>
      <c r="N980" s="6">
        <v>-3.7519999999999998</v>
      </c>
      <c r="O980" s="6">
        <v>-1.0130399999999999</v>
      </c>
      <c r="P980" s="6">
        <v>0</v>
      </c>
      <c r="Q980" s="4" t="s">
        <v>26</v>
      </c>
      <c r="R980" s="4">
        <v>0</v>
      </c>
      <c r="S980" s="6">
        <v>0</v>
      </c>
      <c r="T980" s="6">
        <v>46</v>
      </c>
      <c r="U980" s="6">
        <v>99</v>
      </c>
      <c r="V980" s="6">
        <f>IF(ISERROR(VLOOKUP($S$980,'TAR FIN'!$A$1:$O$100,15,0)),0,VLOOKUP($S$980,'TAR FIN'!$A$1:$O$100,15,0))</f>
        <v>0</v>
      </c>
      <c r="W980" s="6">
        <f>IF(ISERROR(VLOOKUP($T$980,'TAR FIN'!$A$1:$O$100,15,0)),0,VLOOKUP($T$980,'TAR FIN'!$A$1:$O$100,15,0))</f>
        <v>251.46</v>
      </c>
      <c r="X980" s="6">
        <f>IF(ISERROR(VLOOKUP($U$980,'TAR FIN'!$A$1:$O$100,15,0)),0,VLOOKUP($U$980,'TAR FIN'!$A$1:$O$100,15,0))</f>
        <v>203.57</v>
      </c>
      <c r="Y980" s="6"/>
      <c r="Z980" s="6">
        <f ca="1">('TUSD BE'!$AM$43+'TUSD BF'!$AM$43+'TUSD CVA'!$AM$43)*(1-CUSTOS!$M$38)</f>
        <v>268.50633429802321</v>
      </c>
      <c r="AA980" s="6">
        <f>('TE BE'!$AA$26+'TE BF'!$AA$26+'TE CVA'!$AA$26)*(1-CUSTOS!$M$38)</f>
        <v>235.74605718547673</v>
      </c>
      <c r="AB980" s="6">
        <f>$K$980*$V$980</f>
        <v>0</v>
      </c>
      <c r="AC980" s="6">
        <f>$M$980*$W$980</f>
        <v>-254.7390384</v>
      </c>
      <c r="AD980" s="6">
        <f>$O$980*$X$980</f>
        <v>-206.22455279999997</v>
      </c>
      <c r="AE980" s="6">
        <f>$K$980*$Y$980</f>
        <v>0</v>
      </c>
      <c r="AF980" s="6">
        <f ca="1">$M$980*$Z$980</f>
        <v>-272.00765689726938</v>
      </c>
      <c r="AG980" s="6">
        <f>$O$980*$AA$980</f>
        <v>-238.82018577117535</v>
      </c>
    </row>
    <row r="981" spans="1:33" ht="11.25" customHeight="1" x14ac:dyDescent="0.25">
      <c r="A981" s="4" t="s">
        <v>28</v>
      </c>
      <c r="B981" s="4" t="s">
        <v>43</v>
      </c>
      <c r="C981" s="4" t="s">
        <v>23</v>
      </c>
      <c r="D981" s="4" t="s">
        <v>44</v>
      </c>
      <c r="E981" s="4" t="s">
        <v>52</v>
      </c>
      <c r="F981" s="4" t="s">
        <v>54</v>
      </c>
      <c r="G981" s="4" t="s">
        <v>25</v>
      </c>
      <c r="H981" s="4" t="s">
        <v>25</v>
      </c>
      <c r="I981" s="5">
        <v>44287</v>
      </c>
      <c r="J981" s="6">
        <v>0</v>
      </c>
      <c r="K981" s="6">
        <v>0</v>
      </c>
      <c r="L981" s="6">
        <v>0.48399999999999999</v>
      </c>
      <c r="M981" s="6">
        <v>0.13067999999999999</v>
      </c>
      <c r="N981" s="6">
        <v>0.48399999999999999</v>
      </c>
      <c r="O981" s="6">
        <v>0.13067999999999999</v>
      </c>
      <c r="P981" s="6">
        <v>0</v>
      </c>
      <c r="Q981" s="4" t="s">
        <v>26</v>
      </c>
      <c r="R981" s="4">
        <v>0</v>
      </c>
      <c r="S981" s="6">
        <v>0</v>
      </c>
      <c r="T981" s="6">
        <v>46</v>
      </c>
      <c r="U981" s="6">
        <v>99</v>
      </c>
      <c r="V981" s="6">
        <f>IF(ISERROR(VLOOKUP($S$981,'TAR FIN'!$A$1:$O$100,15,0)),0,VLOOKUP($S$981,'TAR FIN'!$A$1:$O$100,15,0))</f>
        <v>0</v>
      </c>
      <c r="W981" s="6">
        <f>IF(ISERROR(VLOOKUP($T$981,'TAR FIN'!$A$1:$O$100,15,0)),0,VLOOKUP($T$981,'TAR FIN'!$A$1:$O$100,15,0))</f>
        <v>251.46</v>
      </c>
      <c r="X981" s="6">
        <f>IF(ISERROR(VLOOKUP($U$981,'TAR FIN'!$A$1:$O$100,15,0)),0,VLOOKUP($U$981,'TAR FIN'!$A$1:$O$100,15,0))</f>
        <v>203.57</v>
      </c>
      <c r="Y981" s="6"/>
      <c r="Z981" s="6">
        <f ca="1">('TUSD BE'!$AM$43+'TUSD BF'!$AM$43+'TUSD CVA'!$AM$43)*(1-CUSTOS!$M$38)</f>
        <v>268.50633429802321</v>
      </c>
      <c r="AA981" s="6">
        <f>('TE BE'!$AA$26+'TE BF'!$AA$26+'TE CVA'!$AA$26)*(1-CUSTOS!$M$38)</f>
        <v>235.74605718547673</v>
      </c>
      <c r="AB981" s="6">
        <f>$K$981*$V$981</f>
        <v>0</v>
      </c>
      <c r="AC981" s="6">
        <f>$M$981*$W$981</f>
        <v>32.860792799999999</v>
      </c>
      <c r="AD981" s="6">
        <f>$O$981*$X$981</f>
        <v>26.602527599999998</v>
      </c>
      <c r="AE981" s="6">
        <f>$K$981*$Y$981</f>
        <v>0</v>
      </c>
      <c r="AF981" s="6">
        <f ca="1">$M$981*$Z$981</f>
        <v>35.088407766065671</v>
      </c>
      <c r="AG981" s="6">
        <f>$O$981*$AA$981</f>
        <v>30.807294752998096</v>
      </c>
    </row>
    <row r="982" spans="1:33" ht="11.25" customHeight="1" x14ac:dyDescent="0.25">
      <c r="A982" s="4" t="s">
        <v>21</v>
      </c>
      <c r="B982" s="4" t="s">
        <v>43</v>
      </c>
      <c r="C982" s="4" t="s">
        <v>23</v>
      </c>
      <c r="D982" s="4" t="s">
        <v>44</v>
      </c>
      <c r="E982" s="4" t="s">
        <v>52</v>
      </c>
      <c r="F982" s="4" t="s">
        <v>54</v>
      </c>
      <c r="G982" s="4" t="s">
        <v>25</v>
      </c>
      <c r="H982" s="4" t="s">
        <v>25</v>
      </c>
      <c r="I982" s="5">
        <v>44317</v>
      </c>
      <c r="J982" s="6">
        <v>0</v>
      </c>
      <c r="K982" s="6">
        <v>0</v>
      </c>
      <c r="L982" s="6">
        <v>86.744</v>
      </c>
      <c r="M982" s="6">
        <v>23.42088</v>
      </c>
      <c r="N982" s="6">
        <v>86.744</v>
      </c>
      <c r="O982" s="6">
        <v>23.42088</v>
      </c>
      <c r="P982" s="6">
        <v>0</v>
      </c>
      <c r="Q982" s="4" t="s">
        <v>26</v>
      </c>
      <c r="R982" s="4">
        <v>0</v>
      </c>
      <c r="S982" s="6">
        <v>0</v>
      </c>
      <c r="T982" s="6">
        <v>46</v>
      </c>
      <c r="U982" s="6">
        <v>99</v>
      </c>
      <c r="V982" s="6">
        <f>IF(ISERROR(VLOOKUP($S$982,'TAR FIN'!$A$1:$O$100,15,0)),0,VLOOKUP($S$982,'TAR FIN'!$A$1:$O$100,15,0))</f>
        <v>0</v>
      </c>
      <c r="W982" s="6">
        <f>IF(ISERROR(VLOOKUP($T$982,'TAR FIN'!$A$1:$O$100,15,0)),0,VLOOKUP($T$982,'TAR FIN'!$A$1:$O$100,15,0))</f>
        <v>251.46</v>
      </c>
      <c r="X982" s="6">
        <f>IF(ISERROR(VLOOKUP($U$982,'TAR FIN'!$A$1:$O$100,15,0)),0,VLOOKUP($U$982,'TAR FIN'!$A$1:$O$100,15,0))</f>
        <v>203.57</v>
      </c>
      <c r="Y982" s="6"/>
      <c r="Z982" s="6">
        <f ca="1">('TUSD BE'!$AM$43+'TUSD BF'!$AM$43+'TUSD CVA'!$AM$43)*(1-CUSTOS!$M$38)</f>
        <v>268.50633429802321</v>
      </c>
      <c r="AA982" s="6">
        <f>('TE BE'!$AA$26+'TE BF'!$AA$26+'TE CVA'!$AA$26)*(1-CUSTOS!$M$38)</f>
        <v>235.74605718547673</v>
      </c>
      <c r="AB982" s="6">
        <f>$K$982*$V$982</f>
        <v>0</v>
      </c>
      <c r="AC982" s="6">
        <f>$M$982*$W$982</f>
        <v>5889.4144848000005</v>
      </c>
      <c r="AD982" s="6">
        <f>$O$982*$X$982</f>
        <v>4767.7885415999999</v>
      </c>
      <c r="AE982" s="6">
        <f>$K$982*$Y$982</f>
        <v>0</v>
      </c>
      <c r="AF982" s="6">
        <f ca="1">$M$982*$Z$982</f>
        <v>6288.6546348338861</v>
      </c>
      <c r="AG982" s="6">
        <f>$O$982*$AA$982</f>
        <v>5521.3801158141887</v>
      </c>
    </row>
    <row r="983" spans="1:33" ht="11.25" customHeight="1" x14ac:dyDescent="0.25">
      <c r="A983" s="4" t="s">
        <v>27</v>
      </c>
      <c r="B983" s="4" t="s">
        <v>43</v>
      </c>
      <c r="C983" s="4" t="s">
        <v>23</v>
      </c>
      <c r="D983" s="4" t="s">
        <v>44</v>
      </c>
      <c r="E983" s="4" t="s">
        <v>52</v>
      </c>
      <c r="F983" s="4" t="s">
        <v>54</v>
      </c>
      <c r="G983" s="4" t="s">
        <v>25</v>
      </c>
      <c r="H983" s="4" t="s">
        <v>25</v>
      </c>
      <c r="I983" s="5">
        <v>44317</v>
      </c>
      <c r="J983" s="6">
        <v>0</v>
      </c>
      <c r="K983" s="6">
        <v>0</v>
      </c>
      <c r="L983" s="6">
        <v>-4.9210000000000003</v>
      </c>
      <c r="M983" s="6">
        <v>-1.32867</v>
      </c>
      <c r="N983" s="6">
        <v>-4.9210000000000003</v>
      </c>
      <c r="O983" s="6">
        <v>-1.32867</v>
      </c>
      <c r="P983" s="6">
        <v>0</v>
      </c>
      <c r="Q983" s="4" t="s">
        <v>26</v>
      </c>
      <c r="R983" s="4">
        <v>0</v>
      </c>
      <c r="S983" s="6">
        <v>0</v>
      </c>
      <c r="T983" s="6">
        <v>46</v>
      </c>
      <c r="U983" s="6">
        <v>99</v>
      </c>
      <c r="V983" s="6">
        <f>IF(ISERROR(VLOOKUP($S$983,'TAR FIN'!$A$1:$O$100,15,0)),0,VLOOKUP($S$983,'TAR FIN'!$A$1:$O$100,15,0))</f>
        <v>0</v>
      </c>
      <c r="W983" s="6">
        <f>IF(ISERROR(VLOOKUP($T$983,'TAR FIN'!$A$1:$O$100,15,0)),0,VLOOKUP($T$983,'TAR FIN'!$A$1:$O$100,15,0))</f>
        <v>251.46</v>
      </c>
      <c r="X983" s="6">
        <f>IF(ISERROR(VLOOKUP($U$983,'TAR FIN'!$A$1:$O$100,15,0)),0,VLOOKUP($U$983,'TAR FIN'!$A$1:$O$100,15,0))</f>
        <v>203.57</v>
      </c>
      <c r="Y983" s="6"/>
      <c r="Z983" s="6">
        <f ca="1">('TUSD BE'!$AM$43+'TUSD BF'!$AM$43+'TUSD CVA'!$AM$43)*(1-CUSTOS!$M$38)</f>
        <v>268.50633429802321</v>
      </c>
      <c r="AA983" s="6">
        <f>('TE BE'!$AA$26+'TE BF'!$AA$26+'TE CVA'!$AA$26)*(1-CUSTOS!$M$38)</f>
        <v>235.74605718547673</v>
      </c>
      <c r="AB983" s="6">
        <f>$K$983*$V$983</f>
        <v>0</v>
      </c>
      <c r="AC983" s="6">
        <f>$M$983*$W$983</f>
        <v>-334.10735820000002</v>
      </c>
      <c r="AD983" s="6">
        <f>$O$983*$X$983</f>
        <v>-270.47735189999997</v>
      </c>
      <c r="AE983" s="6">
        <f>$K$983*$Y$983</f>
        <v>0</v>
      </c>
      <c r="AF983" s="6">
        <f ca="1">$M$983*$Z$983</f>
        <v>-356.75631119175449</v>
      </c>
      <c r="AG983" s="6">
        <f>$O$983*$AA$983</f>
        <v>-313.22871380062736</v>
      </c>
    </row>
    <row r="984" spans="1:33" ht="11.25" customHeight="1" x14ac:dyDescent="0.25">
      <c r="A984" s="4" t="s">
        <v>28</v>
      </c>
      <c r="B984" s="4" t="s">
        <v>43</v>
      </c>
      <c r="C984" s="4" t="s">
        <v>23</v>
      </c>
      <c r="D984" s="4" t="s">
        <v>44</v>
      </c>
      <c r="E984" s="4" t="s">
        <v>52</v>
      </c>
      <c r="F984" s="4" t="s">
        <v>54</v>
      </c>
      <c r="G984" s="4" t="s">
        <v>25</v>
      </c>
      <c r="H984" s="4" t="s">
        <v>25</v>
      </c>
      <c r="I984" s="5">
        <v>44317</v>
      </c>
      <c r="J984" s="6">
        <v>0</v>
      </c>
      <c r="K984" s="6">
        <v>0</v>
      </c>
      <c r="L984" s="6">
        <v>0.59799999999999998</v>
      </c>
      <c r="M984" s="6">
        <v>0.16145999999999999</v>
      </c>
      <c r="N984" s="6">
        <v>0.59799999999999998</v>
      </c>
      <c r="O984" s="6">
        <v>0.16145999999999999</v>
      </c>
      <c r="P984" s="6">
        <v>0</v>
      </c>
      <c r="Q984" s="4" t="s">
        <v>26</v>
      </c>
      <c r="R984" s="4">
        <v>0</v>
      </c>
      <c r="S984" s="6">
        <v>0</v>
      </c>
      <c r="T984" s="6">
        <v>46</v>
      </c>
      <c r="U984" s="6">
        <v>99</v>
      </c>
      <c r="V984" s="6">
        <f>IF(ISERROR(VLOOKUP($S$984,'TAR FIN'!$A$1:$O$100,15,0)),0,VLOOKUP($S$984,'TAR FIN'!$A$1:$O$100,15,0))</f>
        <v>0</v>
      </c>
      <c r="W984" s="6">
        <f>IF(ISERROR(VLOOKUP($T$984,'TAR FIN'!$A$1:$O$100,15,0)),0,VLOOKUP($T$984,'TAR FIN'!$A$1:$O$100,15,0))</f>
        <v>251.46</v>
      </c>
      <c r="X984" s="6">
        <f>IF(ISERROR(VLOOKUP($U$984,'TAR FIN'!$A$1:$O$100,15,0)),0,VLOOKUP($U$984,'TAR FIN'!$A$1:$O$100,15,0))</f>
        <v>203.57</v>
      </c>
      <c r="Y984" s="6"/>
      <c r="Z984" s="6">
        <f ca="1">('TUSD BE'!$AM$43+'TUSD BF'!$AM$43+'TUSD CVA'!$AM$43)*(1-CUSTOS!$M$38)</f>
        <v>268.50633429802321</v>
      </c>
      <c r="AA984" s="6">
        <f>('TE BE'!$AA$26+'TE BF'!$AA$26+'TE CVA'!$AA$26)*(1-CUSTOS!$M$38)</f>
        <v>235.74605718547673</v>
      </c>
      <c r="AB984" s="6">
        <f>$K$984*$V$984</f>
        <v>0</v>
      </c>
      <c r="AC984" s="6">
        <f>$M$984*$W$984</f>
        <v>40.600731599999996</v>
      </c>
      <c r="AD984" s="6">
        <f>$O$984*$X$984</f>
        <v>32.868412199999995</v>
      </c>
      <c r="AE984" s="6">
        <f>$K$984*$Y$984</f>
        <v>0</v>
      </c>
      <c r="AF984" s="6">
        <f ca="1">$M$984*$Z$984</f>
        <v>43.353032735758823</v>
      </c>
      <c r="AG984" s="6">
        <f>$O$984*$AA$984</f>
        <v>38.063558393167071</v>
      </c>
    </row>
    <row r="985" spans="1:33" ht="11.25" customHeight="1" x14ac:dyDescent="0.25">
      <c r="A985" s="4" t="s">
        <v>21</v>
      </c>
      <c r="B985" s="4" t="s">
        <v>43</v>
      </c>
      <c r="C985" s="4" t="s">
        <v>23</v>
      </c>
      <c r="D985" s="4" t="s">
        <v>44</v>
      </c>
      <c r="E985" s="4" t="s">
        <v>52</v>
      </c>
      <c r="F985" s="4" t="s">
        <v>54</v>
      </c>
      <c r="G985" s="4" t="s">
        <v>25</v>
      </c>
      <c r="H985" s="4" t="s">
        <v>25</v>
      </c>
      <c r="I985" s="5">
        <v>44348</v>
      </c>
      <c r="J985" s="6">
        <v>0</v>
      </c>
      <c r="K985" s="6">
        <v>0</v>
      </c>
      <c r="L985" s="6">
        <v>118.303</v>
      </c>
      <c r="M985" s="6">
        <v>31.94181</v>
      </c>
      <c r="N985" s="6">
        <v>118.303</v>
      </c>
      <c r="O985" s="6">
        <v>31.94181</v>
      </c>
      <c r="P985" s="6">
        <v>0</v>
      </c>
      <c r="Q985" s="4" t="s">
        <v>26</v>
      </c>
      <c r="R985" s="4">
        <v>0</v>
      </c>
      <c r="S985" s="6">
        <v>0</v>
      </c>
      <c r="T985" s="6">
        <v>46</v>
      </c>
      <c r="U985" s="6">
        <v>99</v>
      </c>
      <c r="V985" s="6">
        <f>IF(ISERROR(VLOOKUP($S$985,'TAR FIN'!$A$1:$O$100,15,0)),0,VLOOKUP($S$985,'TAR FIN'!$A$1:$O$100,15,0))</f>
        <v>0</v>
      </c>
      <c r="W985" s="6">
        <f>IF(ISERROR(VLOOKUP($T$985,'TAR FIN'!$A$1:$O$100,15,0)),0,VLOOKUP($T$985,'TAR FIN'!$A$1:$O$100,15,0))</f>
        <v>251.46</v>
      </c>
      <c r="X985" s="6">
        <f>IF(ISERROR(VLOOKUP($U$985,'TAR FIN'!$A$1:$O$100,15,0)),0,VLOOKUP($U$985,'TAR FIN'!$A$1:$O$100,15,0))</f>
        <v>203.57</v>
      </c>
      <c r="Y985" s="6"/>
      <c r="Z985" s="6">
        <f ca="1">('TUSD BE'!$AM$43+'TUSD BF'!$AM$43+'TUSD CVA'!$AM$43)*(1-CUSTOS!$M$38)</f>
        <v>268.50633429802321</v>
      </c>
      <c r="AA985" s="6">
        <f>('TE BE'!$AA$26+'TE BF'!$AA$26+'TE CVA'!$AA$26)*(1-CUSTOS!$M$38)</f>
        <v>235.74605718547673</v>
      </c>
      <c r="AB985" s="6">
        <f>$K$985*$V$985</f>
        <v>0</v>
      </c>
      <c r="AC985" s="6">
        <f>$M$985*$W$985</f>
        <v>8032.0875426000002</v>
      </c>
      <c r="AD985" s="6">
        <f>$O$985*$X$985</f>
        <v>6502.3942617000002</v>
      </c>
      <c r="AE985" s="6">
        <f>$K$985*$Y$985</f>
        <v>0</v>
      </c>
      <c r="AF985" s="6">
        <f ca="1">$M$985*$Z$985</f>
        <v>8576.5783139439409</v>
      </c>
      <c r="AG985" s="6">
        <f>$O$985*$AA$985</f>
        <v>7530.1557668676323</v>
      </c>
    </row>
    <row r="986" spans="1:33" ht="11.25" customHeight="1" x14ac:dyDescent="0.25">
      <c r="A986" s="4" t="s">
        <v>28</v>
      </c>
      <c r="B986" s="4" t="s">
        <v>43</v>
      </c>
      <c r="C986" s="4" t="s">
        <v>23</v>
      </c>
      <c r="D986" s="4" t="s">
        <v>44</v>
      </c>
      <c r="E986" s="4" t="s">
        <v>52</v>
      </c>
      <c r="F986" s="4" t="s">
        <v>54</v>
      </c>
      <c r="G986" s="4" t="s">
        <v>25</v>
      </c>
      <c r="H986" s="4" t="s">
        <v>25</v>
      </c>
      <c r="I986" s="5">
        <v>44348</v>
      </c>
      <c r="J986" s="6">
        <v>0</v>
      </c>
      <c r="K986" s="6">
        <v>0</v>
      </c>
      <c r="L986" s="6">
        <v>0.68200000000000005</v>
      </c>
      <c r="M986" s="6">
        <v>0.18414</v>
      </c>
      <c r="N986" s="6">
        <v>0.68200000000000005</v>
      </c>
      <c r="O986" s="6">
        <v>0.18414</v>
      </c>
      <c r="P986" s="6">
        <v>0</v>
      </c>
      <c r="Q986" s="4" t="s">
        <v>26</v>
      </c>
      <c r="R986" s="4">
        <v>0</v>
      </c>
      <c r="S986" s="6">
        <v>0</v>
      </c>
      <c r="T986" s="6">
        <v>46</v>
      </c>
      <c r="U986" s="6">
        <v>99</v>
      </c>
      <c r="V986" s="6">
        <f>IF(ISERROR(VLOOKUP($S$986,'TAR FIN'!$A$1:$O$100,15,0)),0,VLOOKUP($S$986,'TAR FIN'!$A$1:$O$100,15,0))</f>
        <v>0</v>
      </c>
      <c r="W986" s="6">
        <f>IF(ISERROR(VLOOKUP($T$986,'TAR FIN'!$A$1:$O$100,15,0)),0,VLOOKUP($T$986,'TAR FIN'!$A$1:$O$100,15,0))</f>
        <v>251.46</v>
      </c>
      <c r="X986" s="6">
        <f>IF(ISERROR(VLOOKUP($U$986,'TAR FIN'!$A$1:$O$100,15,0)),0,VLOOKUP($U$986,'TAR FIN'!$A$1:$O$100,15,0))</f>
        <v>203.57</v>
      </c>
      <c r="Y986" s="6"/>
      <c r="Z986" s="6">
        <f ca="1">('TUSD BE'!$AM$43+'TUSD BF'!$AM$43+'TUSD CVA'!$AM$43)*(1-CUSTOS!$M$38)</f>
        <v>268.50633429802321</v>
      </c>
      <c r="AA986" s="6">
        <f>('TE BE'!$AA$26+'TE BF'!$AA$26+'TE CVA'!$AA$26)*(1-CUSTOS!$M$38)</f>
        <v>235.74605718547673</v>
      </c>
      <c r="AB986" s="6">
        <f>$K$986*$V$986</f>
        <v>0</v>
      </c>
      <c r="AC986" s="6">
        <f>$M$986*$W$986</f>
        <v>46.303844400000003</v>
      </c>
      <c r="AD986" s="6">
        <f>$O$986*$X$986</f>
        <v>37.485379799999997</v>
      </c>
      <c r="AE986" s="6">
        <f>$K$986*$Y$986</f>
        <v>0</v>
      </c>
      <c r="AF986" s="6">
        <f ca="1">$M$986*$Z$986</f>
        <v>49.442756397637993</v>
      </c>
      <c r="AG986" s="6">
        <f>$O$986*$AA$986</f>
        <v>43.410278970133682</v>
      </c>
    </row>
    <row r="987" spans="1:33" ht="11.25" customHeight="1" x14ac:dyDescent="0.25">
      <c r="A987" s="4" t="s">
        <v>21</v>
      </c>
      <c r="B987" s="4" t="s">
        <v>43</v>
      </c>
      <c r="C987" s="4" t="s">
        <v>23</v>
      </c>
      <c r="D987" s="4" t="s">
        <v>44</v>
      </c>
      <c r="E987" s="4" t="s">
        <v>52</v>
      </c>
      <c r="F987" s="4" t="s">
        <v>54</v>
      </c>
      <c r="G987" s="4" t="s">
        <v>25</v>
      </c>
      <c r="H987" s="4" t="s">
        <v>25</v>
      </c>
      <c r="I987" s="5">
        <v>44378</v>
      </c>
      <c r="J987" s="6">
        <v>0</v>
      </c>
      <c r="K987" s="6">
        <v>0</v>
      </c>
      <c r="L987" s="6">
        <v>144.03</v>
      </c>
      <c r="M987" s="6">
        <v>38.888100000000001</v>
      </c>
      <c r="N987" s="6">
        <v>144.03</v>
      </c>
      <c r="O987" s="6">
        <v>38.888100000000001</v>
      </c>
      <c r="P987" s="6">
        <v>0</v>
      </c>
      <c r="Q987" s="4" t="s">
        <v>26</v>
      </c>
      <c r="R987" s="4">
        <v>0</v>
      </c>
      <c r="S987" s="6">
        <v>0</v>
      </c>
      <c r="T987" s="6">
        <v>46</v>
      </c>
      <c r="U987" s="6">
        <v>99</v>
      </c>
      <c r="V987" s="6">
        <f>IF(ISERROR(VLOOKUP($S$987,'TAR FIN'!$A$1:$O$100,15,0)),0,VLOOKUP($S$987,'TAR FIN'!$A$1:$O$100,15,0))</f>
        <v>0</v>
      </c>
      <c r="W987" s="6">
        <f>IF(ISERROR(VLOOKUP($T$987,'TAR FIN'!$A$1:$O$100,15,0)),0,VLOOKUP($T$987,'TAR FIN'!$A$1:$O$100,15,0))</f>
        <v>251.46</v>
      </c>
      <c r="X987" s="6">
        <f>IF(ISERROR(VLOOKUP($U$987,'TAR FIN'!$A$1:$O$100,15,0)),0,VLOOKUP($U$987,'TAR FIN'!$A$1:$O$100,15,0))</f>
        <v>203.57</v>
      </c>
      <c r="Y987" s="6"/>
      <c r="Z987" s="6">
        <f ca="1">('TUSD BE'!$AM$43+'TUSD BF'!$AM$43+'TUSD CVA'!$AM$43)*(1-CUSTOS!$M$38)</f>
        <v>268.50633429802321</v>
      </c>
      <c r="AA987" s="6">
        <f>('TE BE'!$AA$26+'TE BF'!$AA$26+'TE CVA'!$AA$26)*(1-CUSTOS!$M$38)</f>
        <v>235.74605718547673</v>
      </c>
      <c r="AB987" s="6">
        <f>$K$987*$V$987</f>
        <v>0</v>
      </c>
      <c r="AC987" s="6">
        <f>$M$987*$W$987</f>
        <v>9778.8016260000004</v>
      </c>
      <c r="AD987" s="6">
        <f>$O$987*$X$987</f>
        <v>7916.4505170000002</v>
      </c>
      <c r="AE987" s="6">
        <f>$K$987*$Y$987</f>
        <v>0</v>
      </c>
      <c r="AF987" s="6">
        <f ca="1">$M$987*$Z$987</f>
        <v>10441.701178814956</v>
      </c>
      <c r="AG987" s="6">
        <f>$O$987*$AA$987</f>
        <v>9167.7162464345383</v>
      </c>
    </row>
    <row r="988" spans="1:33" ht="11.25" customHeight="1" x14ac:dyDescent="0.25">
      <c r="A988" s="4" t="s">
        <v>28</v>
      </c>
      <c r="B988" s="4" t="s">
        <v>43</v>
      </c>
      <c r="C988" s="4" t="s">
        <v>23</v>
      </c>
      <c r="D988" s="4" t="s">
        <v>44</v>
      </c>
      <c r="E988" s="4" t="s">
        <v>52</v>
      </c>
      <c r="F988" s="4" t="s">
        <v>54</v>
      </c>
      <c r="G988" s="4" t="s">
        <v>25</v>
      </c>
      <c r="H988" s="4" t="s">
        <v>25</v>
      </c>
      <c r="I988" s="5">
        <v>44378</v>
      </c>
      <c r="J988" s="6">
        <v>0</v>
      </c>
      <c r="K988" s="6">
        <v>0</v>
      </c>
      <c r="L988" s="6">
        <v>0.91400000000000003</v>
      </c>
      <c r="M988" s="6">
        <v>0.24678</v>
      </c>
      <c r="N988" s="6">
        <v>0.91400000000000003</v>
      </c>
      <c r="O988" s="6">
        <v>0.24678</v>
      </c>
      <c r="P988" s="6">
        <v>0</v>
      </c>
      <c r="Q988" s="4" t="s">
        <v>26</v>
      </c>
      <c r="R988" s="4">
        <v>0</v>
      </c>
      <c r="S988" s="6">
        <v>0</v>
      </c>
      <c r="T988" s="6">
        <v>46</v>
      </c>
      <c r="U988" s="6">
        <v>99</v>
      </c>
      <c r="V988" s="6">
        <f>IF(ISERROR(VLOOKUP($S$988,'TAR FIN'!$A$1:$O$100,15,0)),0,VLOOKUP($S$988,'TAR FIN'!$A$1:$O$100,15,0))</f>
        <v>0</v>
      </c>
      <c r="W988" s="6">
        <f>IF(ISERROR(VLOOKUP($T$988,'TAR FIN'!$A$1:$O$100,15,0)),0,VLOOKUP($T$988,'TAR FIN'!$A$1:$O$100,15,0))</f>
        <v>251.46</v>
      </c>
      <c r="X988" s="6">
        <f>IF(ISERROR(VLOOKUP($U$988,'TAR FIN'!$A$1:$O$100,15,0)),0,VLOOKUP($U$988,'TAR FIN'!$A$1:$O$100,15,0))</f>
        <v>203.57</v>
      </c>
      <c r="Y988" s="6"/>
      <c r="Z988" s="6">
        <f ca="1">('TUSD BE'!$AM$43+'TUSD BF'!$AM$43+'TUSD CVA'!$AM$43)*(1-CUSTOS!$M$38)</f>
        <v>268.50633429802321</v>
      </c>
      <c r="AA988" s="6">
        <f>('TE BE'!$AA$26+'TE BF'!$AA$26+'TE CVA'!$AA$26)*(1-CUSTOS!$M$38)</f>
        <v>235.74605718547673</v>
      </c>
      <c r="AB988" s="6">
        <f>$K$988*$V$988</f>
        <v>0</v>
      </c>
      <c r="AC988" s="6">
        <f>$M$988*$W$988</f>
        <v>62.055298800000003</v>
      </c>
      <c r="AD988" s="6">
        <f>$O$988*$X$988</f>
        <v>50.237004599999999</v>
      </c>
      <c r="AE988" s="6">
        <f>$K$988*$Y$988</f>
        <v>0</v>
      </c>
      <c r="AF988" s="6">
        <f ca="1">$M$988*$Z$988</f>
        <v>66.261993178066163</v>
      </c>
      <c r="AG988" s="6">
        <f>$O$988*$AA$988</f>
        <v>58.177411992231946</v>
      </c>
    </row>
    <row r="989" spans="1:33" ht="11.25" customHeight="1" x14ac:dyDescent="0.25">
      <c r="A989" s="4" t="s">
        <v>21</v>
      </c>
      <c r="B989" s="4" t="s">
        <v>43</v>
      </c>
      <c r="C989" s="4" t="s">
        <v>23</v>
      </c>
      <c r="D989" s="4" t="s">
        <v>44</v>
      </c>
      <c r="E989" s="4" t="s">
        <v>52</v>
      </c>
      <c r="F989" s="4" t="s">
        <v>54</v>
      </c>
      <c r="G989" s="4" t="s">
        <v>25</v>
      </c>
      <c r="H989" s="4" t="s">
        <v>25</v>
      </c>
      <c r="I989" s="5">
        <v>44409</v>
      </c>
      <c r="J989" s="6">
        <v>0</v>
      </c>
      <c r="K989" s="6">
        <v>0</v>
      </c>
      <c r="L989" s="6">
        <v>131.072</v>
      </c>
      <c r="M989" s="6">
        <v>35.38944</v>
      </c>
      <c r="N989" s="6">
        <v>131.072</v>
      </c>
      <c r="O989" s="6">
        <v>35.38944</v>
      </c>
      <c r="P989" s="6">
        <v>0</v>
      </c>
      <c r="Q989" s="4" t="s">
        <v>26</v>
      </c>
      <c r="R989" s="4">
        <v>0</v>
      </c>
      <c r="S989" s="6">
        <v>0</v>
      </c>
      <c r="T989" s="6">
        <v>46</v>
      </c>
      <c r="U989" s="6">
        <v>99</v>
      </c>
      <c r="V989" s="6">
        <f>IF(ISERROR(VLOOKUP($S$989,'TAR FIN'!$A$1:$O$100,15,0)),0,VLOOKUP($S$989,'TAR FIN'!$A$1:$O$100,15,0))</f>
        <v>0</v>
      </c>
      <c r="W989" s="6">
        <f>IF(ISERROR(VLOOKUP($T$989,'TAR FIN'!$A$1:$O$100,15,0)),0,VLOOKUP($T$989,'TAR FIN'!$A$1:$O$100,15,0))</f>
        <v>251.46</v>
      </c>
      <c r="X989" s="6">
        <f>IF(ISERROR(VLOOKUP($U$989,'TAR FIN'!$A$1:$O$100,15,0)),0,VLOOKUP($U$989,'TAR FIN'!$A$1:$O$100,15,0))</f>
        <v>203.57</v>
      </c>
      <c r="Y989" s="6"/>
      <c r="Z989" s="6">
        <f ca="1">('TUSD BE'!$AM$43+'TUSD BF'!$AM$43+'TUSD CVA'!$AM$43)*(1-CUSTOS!$M$38)</f>
        <v>268.50633429802321</v>
      </c>
      <c r="AA989" s="6">
        <f>('TE BE'!$AA$26+'TE BF'!$AA$26+'TE CVA'!$AA$26)*(1-CUSTOS!$M$38)</f>
        <v>235.74605718547673</v>
      </c>
      <c r="AB989" s="6">
        <f>$K$989*$V$989</f>
        <v>0</v>
      </c>
      <c r="AC989" s="6">
        <f>$M$989*$W$989</f>
        <v>8899.0285824000002</v>
      </c>
      <c r="AD989" s="6">
        <f>$O$989*$X$989</f>
        <v>7204.2283007999995</v>
      </c>
      <c r="AE989" s="6">
        <f>$K$989*$Y$989</f>
        <v>0</v>
      </c>
      <c r="AF989" s="6">
        <f ca="1">$M$989*$Z$989</f>
        <v>9502.2888072598344</v>
      </c>
      <c r="AG989" s="6">
        <f>$O$989*$AA$989</f>
        <v>8342.9209460019974</v>
      </c>
    </row>
    <row r="990" spans="1:33" ht="11.25" customHeight="1" x14ac:dyDescent="0.25">
      <c r="A990" s="4" t="s">
        <v>28</v>
      </c>
      <c r="B990" s="4" t="s">
        <v>43</v>
      </c>
      <c r="C990" s="4" t="s">
        <v>23</v>
      </c>
      <c r="D990" s="4" t="s">
        <v>44</v>
      </c>
      <c r="E990" s="4" t="s">
        <v>52</v>
      </c>
      <c r="F990" s="4" t="s">
        <v>54</v>
      </c>
      <c r="G990" s="4" t="s">
        <v>25</v>
      </c>
      <c r="H990" s="4" t="s">
        <v>25</v>
      </c>
      <c r="I990" s="5">
        <v>44409</v>
      </c>
      <c r="J990" s="6">
        <v>0</v>
      </c>
      <c r="K990" s="6">
        <v>0</v>
      </c>
      <c r="L990" s="6">
        <v>0.72799999999999998</v>
      </c>
      <c r="M990" s="6">
        <v>0.19656000000000001</v>
      </c>
      <c r="N990" s="6">
        <v>0.72799999999999998</v>
      </c>
      <c r="O990" s="6">
        <v>0.19656000000000001</v>
      </c>
      <c r="P990" s="6">
        <v>0</v>
      </c>
      <c r="Q990" s="4" t="s">
        <v>26</v>
      </c>
      <c r="R990" s="4">
        <v>0</v>
      </c>
      <c r="S990" s="6">
        <v>0</v>
      </c>
      <c r="T990" s="6">
        <v>46</v>
      </c>
      <c r="U990" s="6">
        <v>99</v>
      </c>
      <c r="V990" s="6">
        <f>IF(ISERROR(VLOOKUP($S$990,'TAR FIN'!$A$1:$O$100,15,0)),0,VLOOKUP($S$990,'TAR FIN'!$A$1:$O$100,15,0))</f>
        <v>0</v>
      </c>
      <c r="W990" s="6">
        <f>IF(ISERROR(VLOOKUP($T$990,'TAR FIN'!$A$1:$O$100,15,0)),0,VLOOKUP($T$990,'TAR FIN'!$A$1:$O$100,15,0))</f>
        <v>251.46</v>
      </c>
      <c r="X990" s="6">
        <f>IF(ISERROR(VLOOKUP($U$990,'TAR FIN'!$A$1:$O$100,15,0)),0,VLOOKUP($U$990,'TAR FIN'!$A$1:$O$100,15,0))</f>
        <v>203.57</v>
      </c>
      <c r="Y990" s="6"/>
      <c r="Z990" s="6">
        <f ca="1">('TUSD BE'!$AM$43+'TUSD BF'!$AM$43+'TUSD CVA'!$AM$43)*(1-CUSTOS!$M$38)</f>
        <v>268.50633429802321</v>
      </c>
      <c r="AA990" s="6">
        <f>('TE BE'!$AA$26+'TE BF'!$AA$26+'TE CVA'!$AA$26)*(1-CUSTOS!$M$38)</f>
        <v>235.74605718547673</v>
      </c>
      <c r="AB990" s="6">
        <f>$K$990*$V$990</f>
        <v>0</v>
      </c>
      <c r="AC990" s="6">
        <f>$M$990*$W$990</f>
        <v>49.426977600000008</v>
      </c>
      <c r="AD990" s="6">
        <f>$O$990*$X$990</f>
        <v>40.013719200000004</v>
      </c>
      <c r="AE990" s="6">
        <f>$K$990*$Y$990</f>
        <v>0</v>
      </c>
      <c r="AF990" s="6">
        <f ca="1">$M$990*$Z$990</f>
        <v>52.777605069619447</v>
      </c>
      <c r="AG990" s="6">
        <f>$O$990*$AA$990</f>
        <v>46.338245000377306</v>
      </c>
    </row>
    <row r="991" spans="1:33" ht="11.25" customHeight="1" x14ac:dyDescent="0.25">
      <c r="A991" s="4" t="s">
        <v>21</v>
      </c>
      <c r="B991" s="4" t="s">
        <v>43</v>
      </c>
      <c r="C991" s="4" t="s">
        <v>23</v>
      </c>
      <c r="D991" s="4" t="s">
        <v>44</v>
      </c>
      <c r="E991" s="4" t="s">
        <v>52</v>
      </c>
      <c r="F991" s="4" t="s">
        <v>54</v>
      </c>
      <c r="G991" s="4" t="s">
        <v>25</v>
      </c>
      <c r="H991" s="4" t="s">
        <v>25</v>
      </c>
      <c r="I991" s="5">
        <v>44440</v>
      </c>
      <c r="J991" s="6">
        <v>0</v>
      </c>
      <c r="K991" s="6">
        <v>0</v>
      </c>
      <c r="L991" s="6">
        <v>193.536</v>
      </c>
      <c r="M991" s="6">
        <v>52.254719999999999</v>
      </c>
      <c r="N991" s="6">
        <v>193.536</v>
      </c>
      <c r="O991" s="6">
        <v>52.254719999999999</v>
      </c>
      <c r="P991" s="6">
        <v>0</v>
      </c>
      <c r="Q991" s="4" t="s">
        <v>26</v>
      </c>
      <c r="R991" s="4">
        <v>0</v>
      </c>
      <c r="S991" s="6">
        <v>0</v>
      </c>
      <c r="T991" s="6">
        <v>46</v>
      </c>
      <c r="U991" s="6">
        <v>99</v>
      </c>
      <c r="V991" s="6">
        <f>IF(ISERROR(VLOOKUP($S$991,'TAR FIN'!$A$1:$O$100,15,0)),0,VLOOKUP($S$991,'TAR FIN'!$A$1:$O$100,15,0))</f>
        <v>0</v>
      </c>
      <c r="W991" s="6">
        <f>IF(ISERROR(VLOOKUP($T$991,'TAR FIN'!$A$1:$O$100,15,0)),0,VLOOKUP($T$991,'TAR FIN'!$A$1:$O$100,15,0))</f>
        <v>251.46</v>
      </c>
      <c r="X991" s="6">
        <f>IF(ISERROR(VLOOKUP($U$991,'TAR FIN'!$A$1:$O$100,15,0)),0,VLOOKUP($U$991,'TAR FIN'!$A$1:$O$100,15,0))</f>
        <v>203.57</v>
      </c>
      <c r="Y991" s="6"/>
      <c r="Z991" s="6">
        <f ca="1">('TUSD BE'!$AM$43+'TUSD BF'!$AM$43+'TUSD CVA'!$AM$43)*(1-CUSTOS!$M$38)</f>
        <v>268.50633429802321</v>
      </c>
      <c r="AA991" s="6">
        <f>('TE BE'!$AA$26+'TE BF'!$AA$26+'TE CVA'!$AA$26)*(1-CUSTOS!$M$38)</f>
        <v>235.74605718547673</v>
      </c>
      <c r="AB991" s="6">
        <f>$K$991*$V$991</f>
        <v>0</v>
      </c>
      <c r="AC991" s="6">
        <f>$M$991*$W$991</f>
        <v>13139.971891200001</v>
      </c>
      <c r="AD991" s="6">
        <f>$O$991*$X$991</f>
        <v>10637.4933504</v>
      </c>
      <c r="AE991" s="6">
        <f>$K$991*$Y$991</f>
        <v>0</v>
      </c>
      <c r="AF991" s="6">
        <f ca="1">$M$991*$Z$991</f>
        <v>14030.723316969599</v>
      </c>
      <c r="AG991" s="6">
        <f>$O$991*$AA$991</f>
        <v>12318.844209331075</v>
      </c>
    </row>
    <row r="992" spans="1:33" ht="11.25" customHeight="1" x14ac:dyDescent="0.25">
      <c r="A992" s="4" t="s">
        <v>28</v>
      </c>
      <c r="B992" s="4" t="s">
        <v>43</v>
      </c>
      <c r="C992" s="4" t="s">
        <v>23</v>
      </c>
      <c r="D992" s="4" t="s">
        <v>44</v>
      </c>
      <c r="E992" s="4" t="s">
        <v>52</v>
      </c>
      <c r="F992" s="4" t="s">
        <v>54</v>
      </c>
      <c r="G992" s="4" t="s">
        <v>25</v>
      </c>
      <c r="H992" s="4" t="s">
        <v>25</v>
      </c>
      <c r="I992" s="5">
        <v>44440</v>
      </c>
      <c r="J992" s="6">
        <v>0</v>
      </c>
      <c r="K992" s="6">
        <v>0</v>
      </c>
      <c r="L992" s="6">
        <v>1.4350000000000001</v>
      </c>
      <c r="M992" s="6">
        <v>0.38745000000000002</v>
      </c>
      <c r="N992" s="6">
        <v>1.4350000000000001</v>
      </c>
      <c r="O992" s="6">
        <v>0.38745000000000002</v>
      </c>
      <c r="P992" s="6">
        <v>0</v>
      </c>
      <c r="Q992" s="4" t="s">
        <v>26</v>
      </c>
      <c r="R992" s="4">
        <v>0</v>
      </c>
      <c r="S992" s="6">
        <v>0</v>
      </c>
      <c r="T992" s="6">
        <v>46</v>
      </c>
      <c r="U992" s="6">
        <v>99</v>
      </c>
      <c r="V992" s="6">
        <f>IF(ISERROR(VLOOKUP($S$992,'TAR FIN'!$A$1:$O$100,15,0)),0,VLOOKUP($S$992,'TAR FIN'!$A$1:$O$100,15,0))</f>
        <v>0</v>
      </c>
      <c r="W992" s="6">
        <f>IF(ISERROR(VLOOKUP($T$992,'TAR FIN'!$A$1:$O$100,15,0)),0,VLOOKUP($T$992,'TAR FIN'!$A$1:$O$100,15,0))</f>
        <v>251.46</v>
      </c>
      <c r="X992" s="6">
        <f>IF(ISERROR(VLOOKUP($U$992,'TAR FIN'!$A$1:$O$100,15,0)),0,VLOOKUP($U$992,'TAR FIN'!$A$1:$O$100,15,0))</f>
        <v>203.57</v>
      </c>
      <c r="Y992" s="6"/>
      <c r="Z992" s="6">
        <f ca="1">('TUSD BE'!$AM$43+'TUSD BF'!$AM$43+'TUSD CVA'!$AM$43)*(1-CUSTOS!$M$38)</f>
        <v>268.50633429802321</v>
      </c>
      <c r="AA992" s="6">
        <f>('TE BE'!$AA$26+'TE BF'!$AA$26+'TE CVA'!$AA$26)*(1-CUSTOS!$M$38)</f>
        <v>235.74605718547673</v>
      </c>
      <c r="AB992" s="6">
        <f>$K$992*$V$992</f>
        <v>0</v>
      </c>
      <c r="AC992" s="6">
        <f>$M$992*$W$992</f>
        <v>97.428177000000005</v>
      </c>
      <c r="AD992" s="6">
        <f>$O$992*$X$992</f>
        <v>78.873196500000006</v>
      </c>
      <c r="AE992" s="6">
        <f>$K$992*$Y$992</f>
        <v>0</v>
      </c>
      <c r="AF992" s="6">
        <f ca="1">$M$992*$Z$992</f>
        <v>104.0327792237691</v>
      </c>
      <c r="AG992" s="6">
        <f>$O$992*$AA$992</f>
        <v>91.339809856512957</v>
      </c>
    </row>
    <row r="993" spans="1:33" ht="11.25" customHeight="1" x14ac:dyDescent="0.25">
      <c r="A993" s="4" t="s">
        <v>21</v>
      </c>
      <c r="B993" s="4" t="s">
        <v>43</v>
      </c>
      <c r="C993" s="4" t="s">
        <v>23</v>
      </c>
      <c r="D993" s="4" t="s">
        <v>44</v>
      </c>
      <c r="E993" s="4" t="s">
        <v>52</v>
      </c>
      <c r="F993" s="4" t="s">
        <v>54</v>
      </c>
      <c r="G993" s="4" t="s">
        <v>25</v>
      </c>
      <c r="H993" s="4" t="s">
        <v>25</v>
      </c>
      <c r="I993" s="5">
        <v>44470</v>
      </c>
      <c r="J993" s="6">
        <v>0</v>
      </c>
      <c r="K993" s="6">
        <v>0</v>
      </c>
      <c r="L993" s="6">
        <v>194.28899999999999</v>
      </c>
      <c r="M993" s="6">
        <v>52.458030000000001</v>
      </c>
      <c r="N993" s="6">
        <v>194.28899999999999</v>
      </c>
      <c r="O993" s="6">
        <v>52.458030000000001</v>
      </c>
      <c r="P993" s="6">
        <v>0</v>
      </c>
      <c r="Q993" s="4" t="s">
        <v>26</v>
      </c>
      <c r="R993" s="4">
        <v>0</v>
      </c>
      <c r="S993" s="6">
        <v>0</v>
      </c>
      <c r="T993" s="6">
        <v>46</v>
      </c>
      <c r="U993" s="6">
        <v>99</v>
      </c>
      <c r="V993" s="6">
        <f>IF(ISERROR(VLOOKUP($S$993,'TAR FIN'!$A$1:$O$100,15,0)),0,VLOOKUP($S$993,'TAR FIN'!$A$1:$O$100,15,0))</f>
        <v>0</v>
      </c>
      <c r="W993" s="6">
        <f>IF(ISERROR(VLOOKUP($T$993,'TAR FIN'!$A$1:$O$100,15,0)),0,VLOOKUP($T$993,'TAR FIN'!$A$1:$O$100,15,0))</f>
        <v>251.46</v>
      </c>
      <c r="X993" s="6">
        <f>IF(ISERROR(VLOOKUP($U$993,'TAR FIN'!$A$1:$O$100,15,0)),0,VLOOKUP($U$993,'TAR FIN'!$A$1:$O$100,15,0))</f>
        <v>203.57</v>
      </c>
      <c r="Y993" s="6"/>
      <c r="Z993" s="6">
        <f ca="1">('TUSD BE'!$AM$43+'TUSD BF'!$AM$43+'TUSD CVA'!$AM$43)*(1-CUSTOS!$M$38)</f>
        <v>268.50633429802321</v>
      </c>
      <c r="AA993" s="6">
        <f>('TE BE'!$AA$26+'TE BF'!$AA$26+'TE CVA'!$AA$26)*(1-CUSTOS!$M$38)</f>
        <v>235.74605718547673</v>
      </c>
      <c r="AB993" s="6">
        <f>$K$993*$V$993</f>
        <v>0</v>
      </c>
      <c r="AC993" s="6">
        <f>$M$993*$W$993</f>
        <v>13191.096223800001</v>
      </c>
      <c r="AD993" s="6">
        <f>$O$993*$X$993</f>
        <v>10678.8811671</v>
      </c>
      <c r="AE993" s="6">
        <f>$K$993*$Y$993</f>
        <v>0</v>
      </c>
      <c r="AF993" s="6">
        <f ca="1">$M$993*$Z$993</f>
        <v>14085.31333979573</v>
      </c>
      <c r="AG993" s="6">
        <f>$O$993*$AA$993</f>
        <v>12366.773740217453</v>
      </c>
    </row>
    <row r="994" spans="1:33" ht="11.25" customHeight="1" x14ac:dyDescent="0.25">
      <c r="A994" s="4" t="s">
        <v>27</v>
      </c>
      <c r="B994" s="4" t="s">
        <v>43</v>
      </c>
      <c r="C994" s="4" t="s">
        <v>23</v>
      </c>
      <c r="D994" s="4" t="s">
        <v>44</v>
      </c>
      <c r="E994" s="4" t="s">
        <v>52</v>
      </c>
      <c r="F994" s="4" t="s">
        <v>54</v>
      </c>
      <c r="G994" s="4" t="s">
        <v>25</v>
      </c>
      <c r="H994" s="4" t="s">
        <v>25</v>
      </c>
      <c r="I994" s="5">
        <v>44470</v>
      </c>
      <c r="J994" s="6">
        <v>0</v>
      </c>
      <c r="K994" s="6">
        <v>0</v>
      </c>
      <c r="L994" s="6">
        <v>-1.8080000000000001</v>
      </c>
      <c r="M994" s="6">
        <v>-0.48815999999999998</v>
      </c>
      <c r="N994" s="6">
        <v>-1.8080000000000001</v>
      </c>
      <c r="O994" s="6">
        <v>-0.48815999999999998</v>
      </c>
      <c r="P994" s="6">
        <v>0</v>
      </c>
      <c r="Q994" s="4" t="s">
        <v>26</v>
      </c>
      <c r="R994" s="4">
        <v>0</v>
      </c>
      <c r="S994" s="6">
        <v>0</v>
      </c>
      <c r="T994" s="6">
        <v>46</v>
      </c>
      <c r="U994" s="6">
        <v>99</v>
      </c>
      <c r="V994" s="6">
        <f>IF(ISERROR(VLOOKUP($S$994,'TAR FIN'!$A$1:$O$100,15,0)),0,VLOOKUP($S$994,'TAR FIN'!$A$1:$O$100,15,0))</f>
        <v>0</v>
      </c>
      <c r="W994" s="6">
        <f>IF(ISERROR(VLOOKUP($T$994,'TAR FIN'!$A$1:$O$100,15,0)),0,VLOOKUP($T$994,'TAR FIN'!$A$1:$O$100,15,0))</f>
        <v>251.46</v>
      </c>
      <c r="X994" s="6">
        <f>IF(ISERROR(VLOOKUP($U$994,'TAR FIN'!$A$1:$O$100,15,0)),0,VLOOKUP($U$994,'TAR FIN'!$A$1:$O$100,15,0))</f>
        <v>203.57</v>
      </c>
      <c r="Y994" s="6"/>
      <c r="Z994" s="6">
        <f ca="1">('TUSD BE'!$AM$43+'TUSD BF'!$AM$43+'TUSD CVA'!$AM$43)*(1-CUSTOS!$M$38)</f>
        <v>268.50633429802321</v>
      </c>
      <c r="AA994" s="6">
        <f>('TE BE'!$AA$26+'TE BF'!$AA$26+'TE CVA'!$AA$26)*(1-CUSTOS!$M$38)</f>
        <v>235.74605718547673</v>
      </c>
      <c r="AB994" s="6">
        <f>$K$994*$V$994</f>
        <v>0</v>
      </c>
      <c r="AC994" s="6">
        <f>$M$994*$W$994</f>
        <v>-122.75271359999999</v>
      </c>
      <c r="AD994" s="6">
        <f>$O$994*$X$994</f>
        <v>-99.374731199999999</v>
      </c>
      <c r="AE994" s="6">
        <f>$K$994*$Y$994</f>
        <v>0</v>
      </c>
      <c r="AF994" s="6">
        <f ca="1">$M$994*$Z$994</f>
        <v>-131.07405215092299</v>
      </c>
      <c r="AG994" s="6">
        <f>$O$994*$AA$994</f>
        <v>-115.08179527566232</v>
      </c>
    </row>
    <row r="995" spans="1:33" ht="11.25" customHeight="1" x14ac:dyDescent="0.25">
      <c r="A995" s="4" t="s">
        <v>28</v>
      </c>
      <c r="B995" s="4" t="s">
        <v>43</v>
      </c>
      <c r="C995" s="4" t="s">
        <v>23</v>
      </c>
      <c r="D995" s="4" t="s">
        <v>44</v>
      </c>
      <c r="E995" s="4" t="s">
        <v>52</v>
      </c>
      <c r="F995" s="4" t="s">
        <v>54</v>
      </c>
      <c r="G995" s="4" t="s">
        <v>25</v>
      </c>
      <c r="H995" s="4" t="s">
        <v>25</v>
      </c>
      <c r="I995" s="5">
        <v>44470</v>
      </c>
      <c r="J995" s="6">
        <v>0</v>
      </c>
      <c r="K995" s="6">
        <v>0</v>
      </c>
      <c r="L995" s="6">
        <v>1.6679999999999999</v>
      </c>
      <c r="M995" s="6">
        <v>0.45035999999999998</v>
      </c>
      <c r="N995" s="6">
        <v>1.6679999999999999</v>
      </c>
      <c r="O995" s="6">
        <v>0.45035999999999998</v>
      </c>
      <c r="P995" s="6">
        <v>0</v>
      </c>
      <c r="Q995" s="4" t="s">
        <v>26</v>
      </c>
      <c r="R995" s="4">
        <v>0</v>
      </c>
      <c r="S995" s="6">
        <v>0</v>
      </c>
      <c r="T995" s="6">
        <v>46</v>
      </c>
      <c r="U995" s="6">
        <v>99</v>
      </c>
      <c r="V995" s="6">
        <f>IF(ISERROR(VLOOKUP($S$995,'TAR FIN'!$A$1:$O$100,15,0)),0,VLOOKUP($S$995,'TAR FIN'!$A$1:$O$100,15,0))</f>
        <v>0</v>
      </c>
      <c r="W995" s="6">
        <f>IF(ISERROR(VLOOKUP($T$995,'TAR FIN'!$A$1:$O$100,15,0)),0,VLOOKUP($T$995,'TAR FIN'!$A$1:$O$100,15,0))</f>
        <v>251.46</v>
      </c>
      <c r="X995" s="6">
        <f>IF(ISERROR(VLOOKUP($U$995,'TAR FIN'!$A$1:$O$100,15,0)),0,VLOOKUP($U$995,'TAR FIN'!$A$1:$O$100,15,0))</f>
        <v>203.57</v>
      </c>
      <c r="Y995" s="6"/>
      <c r="Z995" s="6">
        <f ca="1">('TUSD BE'!$AM$43+'TUSD BF'!$AM$43+'TUSD CVA'!$AM$43)*(1-CUSTOS!$M$38)</f>
        <v>268.50633429802321</v>
      </c>
      <c r="AA995" s="6">
        <f>('TE BE'!$AA$26+'TE BF'!$AA$26+'TE CVA'!$AA$26)*(1-CUSTOS!$M$38)</f>
        <v>235.74605718547673</v>
      </c>
      <c r="AB995" s="6">
        <f>$K$995*$V$995</f>
        <v>0</v>
      </c>
      <c r="AC995" s="6">
        <f>$M$995*$W$995</f>
        <v>113.2475256</v>
      </c>
      <c r="AD995" s="6">
        <f>$O$995*$X$995</f>
        <v>91.679785199999998</v>
      </c>
      <c r="AE995" s="6">
        <f>$K$995*$Y$995</f>
        <v>0</v>
      </c>
      <c r="AF995" s="6">
        <f ca="1">$M$995*$Z$995</f>
        <v>120.92451271445772</v>
      </c>
      <c r="AG995" s="6">
        <f>$O$995*$AA$995</f>
        <v>106.1705943140513</v>
      </c>
    </row>
    <row r="996" spans="1:33" ht="11.25" customHeight="1" x14ac:dyDescent="0.25">
      <c r="A996" s="4" t="s">
        <v>21</v>
      </c>
      <c r="B996" s="4" t="s">
        <v>43</v>
      </c>
      <c r="C996" s="4" t="s">
        <v>23</v>
      </c>
      <c r="D996" s="4" t="s">
        <v>44</v>
      </c>
      <c r="E996" s="4" t="s">
        <v>52</v>
      </c>
      <c r="F996" s="4" t="s">
        <v>54</v>
      </c>
      <c r="G996" s="4" t="s">
        <v>25</v>
      </c>
      <c r="H996" s="4" t="s">
        <v>25</v>
      </c>
      <c r="I996" s="5">
        <v>44501</v>
      </c>
      <c r="J996" s="6">
        <v>0</v>
      </c>
      <c r="K996" s="6">
        <v>0</v>
      </c>
      <c r="L996" s="6">
        <v>171.94200000000001</v>
      </c>
      <c r="M996" s="6">
        <v>46.424340000000001</v>
      </c>
      <c r="N996" s="6">
        <v>171.94200000000001</v>
      </c>
      <c r="O996" s="6">
        <v>46.424340000000001</v>
      </c>
      <c r="P996" s="6">
        <v>0</v>
      </c>
      <c r="Q996" s="4" t="s">
        <v>26</v>
      </c>
      <c r="R996" s="4">
        <v>0</v>
      </c>
      <c r="S996" s="6">
        <v>0</v>
      </c>
      <c r="T996" s="6">
        <v>46</v>
      </c>
      <c r="U996" s="6">
        <v>99</v>
      </c>
      <c r="V996" s="6">
        <f>IF(ISERROR(VLOOKUP($S$996,'TAR FIN'!$A$1:$O$100,15,0)),0,VLOOKUP($S$996,'TAR FIN'!$A$1:$O$100,15,0))</f>
        <v>0</v>
      </c>
      <c r="W996" s="6">
        <f>IF(ISERROR(VLOOKUP($T$996,'TAR FIN'!$A$1:$O$100,15,0)),0,VLOOKUP($T$996,'TAR FIN'!$A$1:$O$100,15,0))</f>
        <v>251.46</v>
      </c>
      <c r="X996" s="6">
        <f>IF(ISERROR(VLOOKUP($U$996,'TAR FIN'!$A$1:$O$100,15,0)),0,VLOOKUP($U$996,'TAR FIN'!$A$1:$O$100,15,0))</f>
        <v>203.57</v>
      </c>
      <c r="Y996" s="6"/>
      <c r="Z996" s="6">
        <f ca="1">('TUSD BE'!$AM$43+'TUSD BF'!$AM$43+'TUSD CVA'!$AM$43)*(1-CUSTOS!$M$38)</f>
        <v>268.50633429802321</v>
      </c>
      <c r="AA996" s="6">
        <f>('TE BE'!$AA$26+'TE BF'!$AA$26+'TE CVA'!$AA$26)*(1-CUSTOS!$M$38)</f>
        <v>235.74605718547673</v>
      </c>
      <c r="AB996" s="6">
        <f>$K$996*$V$996</f>
        <v>0</v>
      </c>
      <c r="AC996" s="6">
        <f>$M$996*$W$996</f>
        <v>11673.8645364</v>
      </c>
      <c r="AD996" s="6">
        <f>$O$996*$X$996</f>
        <v>9450.6028937999999</v>
      </c>
      <c r="AE996" s="6">
        <f>$K$996*$Y$996</f>
        <v>0</v>
      </c>
      <c r="AF996" s="6">
        <f ca="1">$M$996*$Z$996</f>
        <v>12465.22935560509</v>
      </c>
      <c r="AG996" s="6">
        <f>$O$996*$AA$996</f>
        <v>10944.355112438016</v>
      </c>
    </row>
    <row r="997" spans="1:33" ht="11.25" customHeight="1" x14ac:dyDescent="0.25">
      <c r="A997" s="4" t="s">
        <v>27</v>
      </c>
      <c r="B997" s="4" t="s">
        <v>43</v>
      </c>
      <c r="C997" s="4" t="s">
        <v>23</v>
      </c>
      <c r="D997" s="4" t="s">
        <v>44</v>
      </c>
      <c r="E997" s="4" t="s">
        <v>52</v>
      </c>
      <c r="F997" s="4" t="s">
        <v>54</v>
      </c>
      <c r="G997" s="4" t="s">
        <v>25</v>
      </c>
      <c r="H997" s="4" t="s">
        <v>25</v>
      </c>
      <c r="I997" s="5">
        <v>44501</v>
      </c>
      <c r="J997" s="6">
        <v>0</v>
      </c>
      <c r="K997" s="6">
        <v>0</v>
      </c>
      <c r="L997" s="6">
        <v>1.3939999999999999</v>
      </c>
      <c r="M997" s="6">
        <v>0.37637999999999999</v>
      </c>
      <c r="N997" s="6">
        <v>1.3939999999999999</v>
      </c>
      <c r="O997" s="6">
        <v>0.37637999999999999</v>
      </c>
      <c r="P997" s="6">
        <v>0</v>
      </c>
      <c r="Q997" s="4" t="s">
        <v>26</v>
      </c>
      <c r="R997" s="4">
        <v>0</v>
      </c>
      <c r="S997" s="6">
        <v>0</v>
      </c>
      <c r="T997" s="6">
        <v>46</v>
      </c>
      <c r="U997" s="6">
        <v>99</v>
      </c>
      <c r="V997" s="6">
        <f>IF(ISERROR(VLOOKUP($S$997,'TAR FIN'!$A$1:$O$100,15,0)),0,VLOOKUP($S$997,'TAR FIN'!$A$1:$O$100,15,0))</f>
        <v>0</v>
      </c>
      <c r="W997" s="6">
        <f>IF(ISERROR(VLOOKUP($T$997,'TAR FIN'!$A$1:$O$100,15,0)),0,VLOOKUP($T$997,'TAR FIN'!$A$1:$O$100,15,0))</f>
        <v>251.46</v>
      </c>
      <c r="X997" s="6">
        <f>IF(ISERROR(VLOOKUP($U$997,'TAR FIN'!$A$1:$O$100,15,0)),0,VLOOKUP($U$997,'TAR FIN'!$A$1:$O$100,15,0))</f>
        <v>203.57</v>
      </c>
      <c r="Y997" s="6"/>
      <c r="Z997" s="6">
        <f ca="1">('TUSD BE'!$AM$43+'TUSD BF'!$AM$43+'TUSD CVA'!$AM$43)*(1-CUSTOS!$M$38)</f>
        <v>268.50633429802321</v>
      </c>
      <c r="AA997" s="6">
        <f>('TE BE'!$AA$26+'TE BF'!$AA$26+'TE CVA'!$AA$26)*(1-CUSTOS!$M$38)</f>
        <v>235.74605718547673</v>
      </c>
      <c r="AB997" s="6">
        <f>$K$997*$V$997</f>
        <v>0</v>
      </c>
      <c r="AC997" s="6">
        <f>$M$997*$W$997</f>
        <v>94.644514799999996</v>
      </c>
      <c r="AD997" s="6">
        <f>$O$997*$X$997</f>
        <v>76.619676599999991</v>
      </c>
      <c r="AE997" s="6">
        <f>$K$997*$Y$997</f>
        <v>0</v>
      </c>
      <c r="AF997" s="6">
        <f ca="1">$M$997*$Z$997</f>
        <v>101.06041410308997</v>
      </c>
      <c r="AG997" s="6">
        <f>$O$997*$AA$997</f>
        <v>88.730101003469727</v>
      </c>
    </row>
    <row r="998" spans="1:33" ht="11.25" customHeight="1" x14ac:dyDescent="0.25">
      <c r="A998" s="4" t="s">
        <v>28</v>
      </c>
      <c r="B998" s="4" t="s">
        <v>43</v>
      </c>
      <c r="C998" s="4" t="s">
        <v>23</v>
      </c>
      <c r="D998" s="4" t="s">
        <v>44</v>
      </c>
      <c r="E998" s="4" t="s">
        <v>52</v>
      </c>
      <c r="F998" s="4" t="s">
        <v>54</v>
      </c>
      <c r="G998" s="4" t="s">
        <v>25</v>
      </c>
      <c r="H998" s="4" t="s">
        <v>25</v>
      </c>
      <c r="I998" s="5">
        <v>44501</v>
      </c>
      <c r="J998" s="6">
        <v>0</v>
      </c>
      <c r="K998" s="6">
        <v>0</v>
      </c>
      <c r="L998" s="6">
        <v>1.8109999999999999</v>
      </c>
      <c r="M998" s="6">
        <v>0.48897000000000002</v>
      </c>
      <c r="N998" s="6">
        <v>1.8109999999999999</v>
      </c>
      <c r="O998" s="6">
        <v>0.48897000000000002</v>
      </c>
      <c r="P998" s="6">
        <v>0</v>
      </c>
      <c r="Q998" s="4" t="s">
        <v>26</v>
      </c>
      <c r="R998" s="4">
        <v>0</v>
      </c>
      <c r="S998" s="6">
        <v>0</v>
      </c>
      <c r="T998" s="6">
        <v>46</v>
      </c>
      <c r="U998" s="6">
        <v>99</v>
      </c>
      <c r="V998" s="6">
        <f>IF(ISERROR(VLOOKUP($S$998,'TAR FIN'!$A$1:$O$100,15,0)),0,VLOOKUP($S$998,'TAR FIN'!$A$1:$O$100,15,0))</f>
        <v>0</v>
      </c>
      <c r="W998" s="6">
        <f>IF(ISERROR(VLOOKUP($T$998,'TAR FIN'!$A$1:$O$100,15,0)),0,VLOOKUP($T$998,'TAR FIN'!$A$1:$O$100,15,0))</f>
        <v>251.46</v>
      </c>
      <c r="X998" s="6">
        <f>IF(ISERROR(VLOOKUP($U$998,'TAR FIN'!$A$1:$O$100,15,0)),0,VLOOKUP($U$998,'TAR FIN'!$A$1:$O$100,15,0))</f>
        <v>203.57</v>
      </c>
      <c r="Y998" s="6"/>
      <c r="Z998" s="6">
        <f ca="1">('TUSD BE'!$AM$43+'TUSD BF'!$AM$43+'TUSD CVA'!$AM$43)*(1-CUSTOS!$M$38)</f>
        <v>268.50633429802321</v>
      </c>
      <c r="AA998" s="6">
        <f>('TE BE'!$AA$26+'TE BF'!$AA$26+'TE CVA'!$AA$26)*(1-CUSTOS!$M$38)</f>
        <v>235.74605718547673</v>
      </c>
      <c r="AB998" s="6">
        <f>$K$998*$V$998</f>
        <v>0</v>
      </c>
      <c r="AC998" s="6">
        <f>$M$998*$W$998</f>
        <v>122.95639620000001</v>
      </c>
      <c r="AD998" s="6">
        <f>$O$998*$X$998</f>
        <v>99.539622899999998</v>
      </c>
      <c r="AE998" s="6">
        <f>$K$998*$Y$998</f>
        <v>0</v>
      </c>
      <c r="AF998" s="6">
        <f ca="1">$M$998*$Z$998</f>
        <v>131.29154228170441</v>
      </c>
      <c r="AG998" s="6">
        <f>$O$998*$AA$998</f>
        <v>115.27274958198257</v>
      </c>
    </row>
    <row r="999" spans="1:33" ht="11.25" customHeight="1" x14ac:dyDescent="0.25">
      <c r="A999" s="4" t="s">
        <v>21</v>
      </c>
      <c r="B999" s="4" t="s">
        <v>43</v>
      </c>
      <c r="C999" s="4" t="s">
        <v>23</v>
      </c>
      <c r="D999" s="4" t="s">
        <v>44</v>
      </c>
      <c r="E999" s="4" t="s">
        <v>52</v>
      </c>
      <c r="F999" s="4" t="s">
        <v>54</v>
      </c>
      <c r="G999" s="4" t="s">
        <v>25</v>
      </c>
      <c r="H999" s="4" t="s">
        <v>25</v>
      </c>
      <c r="I999" s="5">
        <v>44531</v>
      </c>
      <c r="J999" s="6">
        <v>0</v>
      </c>
      <c r="K999" s="6">
        <v>0</v>
      </c>
      <c r="L999" s="6">
        <v>175.35499999999999</v>
      </c>
      <c r="M999" s="6">
        <v>47.345849999999999</v>
      </c>
      <c r="N999" s="6">
        <v>175.35499999999999</v>
      </c>
      <c r="O999" s="6">
        <v>47.345849999999999</v>
      </c>
      <c r="P999" s="6">
        <v>0</v>
      </c>
      <c r="Q999" s="4" t="s">
        <v>26</v>
      </c>
      <c r="R999" s="4">
        <v>0</v>
      </c>
      <c r="S999" s="6">
        <v>0</v>
      </c>
      <c r="T999" s="6">
        <v>46</v>
      </c>
      <c r="U999" s="6">
        <v>99</v>
      </c>
      <c r="V999" s="6">
        <f>IF(ISERROR(VLOOKUP($S$999,'TAR FIN'!$A$1:$O$100,15,0)),0,VLOOKUP($S$999,'TAR FIN'!$A$1:$O$100,15,0))</f>
        <v>0</v>
      </c>
      <c r="W999" s="6">
        <f>IF(ISERROR(VLOOKUP($T$999,'TAR FIN'!$A$1:$O$100,15,0)),0,VLOOKUP($T$999,'TAR FIN'!$A$1:$O$100,15,0))</f>
        <v>251.46</v>
      </c>
      <c r="X999" s="6">
        <f>IF(ISERROR(VLOOKUP($U$999,'TAR FIN'!$A$1:$O$100,15,0)),0,VLOOKUP($U$999,'TAR FIN'!$A$1:$O$100,15,0))</f>
        <v>203.57</v>
      </c>
      <c r="Y999" s="6"/>
      <c r="Z999" s="6">
        <f ca="1">('TUSD BE'!$AM$43+'TUSD BF'!$AM$43+'TUSD CVA'!$AM$43)*(1-CUSTOS!$M$38)</f>
        <v>268.50633429802321</v>
      </c>
      <c r="AA999" s="6">
        <f>('TE BE'!$AA$26+'TE BF'!$AA$26+'TE CVA'!$AA$26)*(1-CUSTOS!$M$38)</f>
        <v>235.74605718547673</v>
      </c>
      <c r="AB999" s="6">
        <f>$K$999*$V$999</f>
        <v>0</v>
      </c>
      <c r="AC999" s="6">
        <f>$M$999*$W$999</f>
        <v>11905.587441</v>
      </c>
      <c r="AD999" s="6">
        <f>$O$999*$X$999</f>
        <v>9638.1946845000002</v>
      </c>
      <c r="AE999" s="6">
        <f>$K$999*$Y$999</f>
        <v>0</v>
      </c>
      <c r="AF999" s="6">
        <f ca="1">$M$999*$Z$999</f>
        <v>12712.660627724061</v>
      </c>
      <c r="AG999" s="6">
        <f>$O$999*$AA$999</f>
        <v>11161.597461595004</v>
      </c>
    </row>
    <row r="1000" spans="1:33" ht="11.25" customHeight="1" x14ac:dyDescent="0.25">
      <c r="A1000" s="4" t="s">
        <v>28</v>
      </c>
      <c r="B1000" s="4" t="s">
        <v>43</v>
      </c>
      <c r="C1000" s="4" t="s">
        <v>23</v>
      </c>
      <c r="D1000" s="4" t="s">
        <v>44</v>
      </c>
      <c r="E1000" s="4" t="s">
        <v>52</v>
      </c>
      <c r="F1000" s="4" t="s">
        <v>54</v>
      </c>
      <c r="G1000" s="4" t="s">
        <v>25</v>
      </c>
      <c r="H1000" s="4" t="s">
        <v>25</v>
      </c>
      <c r="I1000" s="5">
        <v>44531</v>
      </c>
      <c r="J1000" s="6">
        <v>0</v>
      </c>
      <c r="K1000" s="6">
        <v>0</v>
      </c>
      <c r="L1000" s="6">
        <v>1.776</v>
      </c>
      <c r="M1000" s="6">
        <v>0.47952</v>
      </c>
      <c r="N1000" s="6">
        <v>1.776</v>
      </c>
      <c r="O1000" s="6">
        <v>0.47952</v>
      </c>
      <c r="P1000" s="6">
        <v>0</v>
      </c>
      <c r="Q1000" s="4" t="s">
        <v>26</v>
      </c>
      <c r="R1000" s="4">
        <v>0</v>
      </c>
      <c r="S1000" s="6">
        <v>0</v>
      </c>
      <c r="T1000" s="6">
        <v>46</v>
      </c>
      <c r="U1000" s="6">
        <v>99</v>
      </c>
      <c r="V1000" s="6">
        <f>IF(ISERROR(VLOOKUP($S$1000,'TAR FIN'!$A$1:$O$100,15,0)),0,VLOOKUP($S$1000,'TAR FIN'!$A$1:$O$100,15,0))</f>
        <v>0</v>
      </c>
      <c r="W1000" s="6">
        <f>IF(ISERROR(VLOOKUP($T$1000,'TAR FIN'!$A$1:$O$100,15,0)),0,VLOOKUP($T$1000,'TAR FIN'!$A$1:$O$100,15,0))</f>
        <v>251.46</v>
      </c>
      <c r="X1000" s="6">
        <f>IF(ISERROR(VLOOKUP($U$1000,'TAR FIN'!$A$1:$O$100,15,0)),0,VLOOKUP($U$1000,'TAR FIN'!$A$1:$O$100,15,0))</f>
        <v>203.57</v>
      </c>
      <c r="Y1000" s="6"/>
      <c r="Z1000" s="6">
        <f ca="1">('TUSD BE'!$AM$43+'TUSD BF'!$AM$43+'TUSD CVA'!$AM$43)*(1-CUSTOS!$M$38)</f>
        <v>268.50633429802321</v>
      </c>
      <c r="AA1000" s="6">
        <f>('TE BE'!$AA$26+'TE BF'!$AA$26+'TE CVA'!$AA$26)*(1-CUSTOS!$M$38)</f>
        <v>235.74605718547673</v>
      </c>
      <c r="AB1000" s="6">
        <f>$K$1000*$V$1000</f>
        <v>0</v>
      </c>
      <c r="AC1000" s="6">
        <f>$M$1000*$W$1000</f>
        <v>120.58009920000001</v>
      </c>
      <c r="AD1000" s="6">
        <f>$O$1000*$X$1000</f>
        <v>97.615886399999994</v>
      </c>
      <c r="AE1000" s="6">
        <f>$K$1000*$Y$1000</f>
        <v>0</v>
      </c>
      <c r="AF1000" s="6">
        <f ca="1">$M$1000*$Z$1000</f>
        <v>128.75415742258809</v>
      </c>
      <c r="AG1000" s="6">
        <f>$O$1000*$AA$1000</f>
        <v>113.04494934157981</v>
      </c>
    </row>
    <row r="1001" spans="1:33" ht="11.25" customHeight="1" x14ac:dyDescent="0.25">
      <c r="A1001" s="4" t="s">
        <v>55</v>
      </c>
      <c r="B1001" s="4" t="s">
        <v>43</v>
      </c>
      <c r="C1001" s="4" t="s">
        <v>23</v>
      </c>
      <c r="D1001" s="4" t="s">
        <v>44</v>
      </c>
      <c r="E1001" s="4" t="s">
        <v>52</v>
      </c>
      <c r="F1001" s="4" t="s">
        <v>54</v>
      </c>
      <c r="G1001" s="4" t="s">
        <v>25</v>
      </c>
      <c r="H1001" s="4" t="s">
        <v>25</v>
      </c>
      <c r="I1001" s="5">
        <v>44562</v>
      </c>
      <c r="J1001" s="6">
        <v>0</v>
      </c>
      <c r="K1001" s="6">
        <v>0</v>
      </c>
      <c r="L1001" s="6">
        <v>175.35499999999999</v>
      </c>
      <c r="M1001" s="6">
        <v>47.345849999999999</v>
      </c>
      <c r="N1001" s="6">
        <v>175.35499999999999</v>
      </c>
      <c r="O1001" s="6">
        <v>47.345849999999999</v>
      </c>
      <c r="P1001" s="6">
        <v>0</v>
      </c>
      <c r="Q1001" s="4" t="s">
        <v>26</v>
      </c>
      <c r="R1001" s="4">
        <v>0</v>
      </c>
      <c r="S1001" s="6">
        <v>0</v>
      </c>
      <c r="T1001" s="6">
        <v>46</v>
      </c>
      <c r="U1001" s="6">
        <v>99</v>
      </c>
      <c r="V1001" s="6">
        <f>IF(ISERROR(VLOOKUP($S$1001,'TAR FIN'!$A$1:$O$100,15,0)),0,VLOOKUP($S$1001,'TAR FIN'!$A$1:$O$100,15,0))</f>
        <v>0</v>
      </c>
      <c r="W1001" s="6">
        <f>IF(ISERROR(VLOOKUP($T$1001,'TAR FIN'!$A$1:$O$100,15,0)),0,VLOOKUP($T$1001,'TAR FIN'!$A$1:$O$100,15,0))</f>
        <v>251.46</v>
      </c>
      <c r="X1001" s="6">
        <f>IF(ISERROR(VLOOKUP($U$1001,'TAR FIN'!$A$1:$O$100,15,0)),0,VLOOKUP($U$1001,'TAR FIN'!$A$1:$O$100,15,0))</f>
        <v>203.57</v>
      </c>
      <c r="Y1001" s="6"/>
      <c r="Z1001" s="6">
        <f ca="1">('TUSD BE'!$AM$43+'TUSD BF'!$AM$43+'TUSD CVA'!$AM$43)*(1-CUSTOS!$M$38)</f>
        <v>268.50633429802321</v>
      </c>
      <c r="AA1001" s="6">
        <f>('TE BE'!$AA$26+'TE BF'!$AA$26+'TE CVA'!$AA$26)*(1-CUSTOS!$M$38)</f>
        <v>235.74605718547673</v>
      </c>
      <c r="AB1001" s="6">
        <f>$K$1001*$V$1001</f>
        <v>0</v>
      </c>
      <c r="AC1001" s="6">
        <f>$M$1001*$W$1001</f>
        <v>11905.587441</v>
      </c>
      <c r="AD1001" s="6">
        <f>$O$1001*$X$1001</f>
        <v>9638.1946845000002</v>
      </c>
      <c r="AE1001" s="6">
        <f>$K$1001*$Y$1001</f>
        <v>0</v>
      </c>
      <c r="AF1001" s="6">
        <f ca="1">$M$1001*$Z$1001</f>
        <v>12712.660627724061</v>
      </c>
      <c r="AG1001" s="6">
        <f>$O$1001*$AA$1001</f>
        <v>11161.597461595004</v>
      </c>
    </row>
    <row r="1002" spans="1:33" ht="11.25" customHeight="1" x14ac:dyDescent="0.25">
      <c r="A1002" s="4" t="s">
        <v>55</v>
      </c>
      <c r="B1002" s="4" t="s">
        <v>43</v>
      </c>
      <c r="C1002" s="4" t="s">
        <v>23</v>
      </c>
      <c r="D1002" s="4" t="s">
        <v>44</v>
      </c>
      <c r="E1002" s="4" t="s">
        <v>52</v>
      </c>
      <c r="F1002" s="4" t="s">
        <v>54</v>
      </c>
      <c r="G1002" s="4" t="s">
        <v>25</v>
      </c>
      <c r="H1002" s="4" t="s">
        <v>25</v>
      </c>
      <c r="I1002" s="5">
        <v>44562</v>
      </c>
      <c r="J1002" s="6">
        <v>0</v>
      </c>
      <c r="K1002" s="6">
        <v>0</v>
      </c>
      <c r="L1002" s="6">
        <v>1.776</v>
      </c>
      <c r="M1002" s="6">
        <v>0.47952</v>
      </c>
      <c r="N1002" s="6">
        <v>1.776</v>
      </c>
      <c r="O1002" s="6">
        <v>0.47952</v>
      </c>
      <c r="P1002" s="6">
        <v>0</v>
      </c>
      <c r="Q1002" s="4" t="s">
        <v>26</v>
      </c>
      <c r="R1002" s="4">
        <v>0</v>
      </c>
      <c r="S1002" s="6">
        <v>0</v>
      </c>
      <c r="T1002" s="6">
        <v>46</v>
      </c>
      <c r="U1002" s="6">
        <v>99</v>
      </c>
      <c r="V1002" s="6">
        <f>IF(ISERROR(VLOOKUP($S$1002,'TAR FIN'!$A$1:$O$100,15,0)),0,VLOOKUP($S$1002,'TAR FIN'!$A$1:$O$100,15,0))</f>
        <v>0</v>
      </c>
      <c r="W1002" s="6">
        <f>IF(ISERROR(VLOOKUP($T$1002,'TAR FIN'!$A$1:$O$100,15,0)),0,VLOOKUP($T$1002,'TAR FIN'!$A$1:$O$100,15,0))</f>
        <v>251.46</v>
      </c>
      <c r="X1002" s="6">
        <f>IF(ISERROR(VLOOKUP($U$1002,'TAR FIN'!$A$1:$O$100,15,0)),0,VLOOKUP($U$1002,'TAR FIN'!$A$1:$O$100,15,0))</f>
        <v>203.57</v>
      </c>
      <c r="Y1002" s="6"/>
      <c r="Z1002" s="6">
        <f ca="1">('TUSD BE'!$AM$43+'TUSD BF'!$AM$43+'TUSD CVA'!$AM$43)*(1-CUSTOS!$M$38)</f>
        <v>268.50633429802321</v>
      </c>
      <c r="AA1002" s="6">
        <f>('TE BE'!$AA$26+'TE BF'!$AA$26+'TE CVA'!$AA$26)*(1-CUSTOS!$M$38)</f>
        <v>235.74605718547673</v>
      </c>
      <c r="AB1002" s="6">
        <f>$K$1002*$V$1002</f>
        <v>0</v>
      </c>
      <c r="AC1002" s="6">
        <f>$M$1002*$W$1002</f>
        <v>120.58009920000001</v>
      </c>
      <c r="AD1002" s="6">
        <f>$O$1002*$X$1002</f>
        <v>97.615886399999994</v>
      </c>
      <c r="AE1002" s="6">
        <f>$K$1002*$Y$1002</f>
        <v>0</v>
      </c>
      <c r="AF1002" s="6">
        <f ca="1">$M$1002*$Z$1002</f>
        <v>128.75415742258809</v>
      </c>
      <c r="AG1002" s="6">
        <f>$O$1002*$AA$1002</f>
        <v>113.04494934157981</v>
      </c>
    </row>
    <row r="1003" spans="1:33" ht="11.25" customHeight="1" x14ac:dyDescent="0.25">
      <c r="A1003" s="4" t="s">
        <v>21</v>
      </c>
      <c r="B1003" s="4" t="s">
        <v>43</v>
      </c>
      <c r="C1003" s="4" t="s">
        <v>23</v>
      </c>
      <c r="D1003" s="4" t="s">
        <v>44</v>
      </c>
      <c r="E1003" s="4" t="s">
        <v>25</v>
      </c>
      <c r="F1003" s="4" t="s">
        <v>25</v>
      </c>
      <c r="G1003" s="4" t="s">
        <v>25</v>
      </c>
      <c r="H1003" s="4" t="s">
        <v>25</v>
      </c>
      <c r="I1003" s="5">
        <v>44228</v>
      </c>
      <c r="J1003" s="6">
        <v>0</v>
      </c>
      <c r="K1003" s="6">
        <v>0</v>
      </c>
      <c r="L1003" s="6">
        <v>1720.0550000000001</v>
      </c>
      <c r="M1003" s="6">
        <v>1720.0550000000001</v>
      </c>
      <c r="N1003" s="6">
        <v>1720.0550000000001</v>
      </c>
      <c r="O1003" s="6">
        <v>1720.0550000000001</v>
      </c>
      <c r="P1003" s="6">
        <v>14642</v>
      </c>
      <c r="Q1003" s="4" t="s">
        <v>26</v>
      </c>
      <c r="R1003" s="4">
        <v>0</v>
      </c>
      <c r="S1003" s="6">
        <v>0</v>
      </c>
      <c r="T1003" s="6">
        <v>46</v>
      </c>
      <c r="U1003" s="6">
        <v>99</v>
      </c>
      <c r="V1003" s="6">
        <f>IF(ISERROR(VLOOKUP($S$1003,'TAR FIN'!$A$1:$O$100,15,0)),0,VLOOKUP($S$1003,'TAR FIN'!$A$1:$O$100,15,0))</f>
        <v>0</v>
      </c>
      <c r="W1003" s="6">
        <f>IF(ISERROR(VLOOKUP($T$1003,'TAR FIN'!$A$1:$O$100,15,0)),0,VLOOKUP($T$1003,'TAR FIN'!$A$1:$O$100,15,0))</f>
        <v>251.46</v>
      </c>
      <c r="X1003" s="6">
        <f>IF(ISERROR(VLOOKUP($U$1003,'TAR FIN'!$A$1:$O$100,15,0)),0,VLOOKUP($U$1003,'TAR FIN'!$A$1:$O$100,15,0))</f>
        <v>203.57</v>
      </c>
      <c r="Y1003" s="6"/>
      <c r="Z1003" s="6">
        <f ca="1">('TUSD BE'!$AM$43+'TUSD BF'!$AM$43+'TUSD CVA'!$AM$43)*(1-CUSTOS!$M$38)</f>
        <v>268.50633429802321</v>
      </c>
      <c r="AA1003" s="6">
        <f>('TE BE'!$AA$26+'TE BF'!$AA$26+'TE CVA'!$AA$26)*(1-CUSTOS!$M$38)</f>
        <v>235.74605718547673</v>
      </c>
      <c r="AB1003" s="6">
        <f>$K$1003*$V$1003</f>
        <v>0</v>
      </c>
      <c r="AC1003" s="6">
        <f>$M$1003*$W$1003</f>
        <v>432525.03030000004</v>
      </c>
      <c r="AD1003" s="6">
        <f>$O$1003*$X$1003</f>
        <v>350151.59635000001</v>
      </c>
      <c r="AE1003" s="6">
        <f>$K$1003*$Y$1003</f>
        <v>0</v>
      </c>
      <c r="AF1003" s="6">
        <f ca="1">$M$1003*$Z$1003</f>
        <v>461845.66284098633</v>
      </c>
      <c r="AG1003" s="6">
        <f>$O$1003*$AA$1003</f>
        <v>405496.18439216522</v>
      </c>
    </row>
    <row r="1004" spans="1:33" ht="11.25" customHeight="1" x14ac:dyDescent="0.25">
      <c r="A1004" s="4" t="s">
        <v>28</v>
      </c>
      <c r="B1004" s="4" t="s">
        <v>43</v>
      </c>
      <c r="C1004" s="4" t="s">
        <v>23</v>
      </c>
      <c r="D1004" s="4" t="s">
        <v>44</v>
      </c>
      <c r="E1004" s="4" t="s">
        <v>25</v>
      </c>
      <c r="F1004" s="4" t="s">
        <v>25</v>
      </c>
      <c r="G1004" s="4" t="s">
        <v>25</v>
      </c>
      <c r="H1004" s="4" t="s">
        <v>25</v>
      </c>
      <c r="I1004" s="5">
        <v>44228</v>
      </c>
      <c r="J1004" s="6">
        <v>0</v>
      </c>
      <c r="K1004" s="6">
        <v>0</v>
      </c>
      <c r="L1004" s="6">
        <v>4.5970000000000004</v>
      </c>
      <c r="M1004" s="6">
        <v>4.5970000000000004</v>
      </c>
      <c r="N1004" s="6">
        <v>4.5970000000000004</v>
      </c>
      <c r="O1004" s="6">
        <v>4.5970000000000004</v>
      </c>
      <c r="P1004" s="6">
        <v>22</v>
      </c>
      <c r="Q1004" s="4" t="s">
        <v>26</v>
      </c>
      <c r="R1004" s="4">
        <v>0</v>
      </c>
      <c r="S1004" s="6">
        <v>0</v>
      </c>
      <c r="T1004" s="6">
        <v>46</v>
      </c>
      <c r="U1004" s="6">
        <v>99</v>
      </c>
      <c r="V1004" s="6">
        <f>IF(ISERROR(VLOOKUP($S$1004,'TAR FIN'!$A$1:$O$100,15,0)),0,VLOOKUP($S$1004,'TAR FIN'!$A$1:$O$100,15,0))</f>
        <v>0</v>
      </c>
      <c r="W1004" s="6">
        <f>IF(ISERROR(VLOOKUP($T$1004,'TAR FIN'!$A$1:$O$100,15,0)),0,VLOOKUP($T$1004,'TAR FIN'!$A$1:$O$100,15,0))</f>
        <v>251.46</v>
      </c>
      <c r="X1004" s="6">
        <f>IF(ISERROR(VLOOKUP($U$1004,'TAR FIN'!$A$1:$O$100,15,0)),0,VLOOKUP($U$1004,'TAR FIN'!$A$1:$O$100,15,0))</f>
        <v>203.57</v>
      </c>
      <c r="Y1004" s="6"/>
      <c r="Z1004" s="6">
        <f ca="1">('TUSD BE'!$AM$43+'TUSD BF'!$AM$43+'TUSD CVA'!$AM$43)*(1-CUSTOS!$M$38)</f>
        <v>268.50633429802321</v>
      </c>
      <c r="AA1004" s="6">
        <f>('TE BE'!$AA$26+'TE BF'!$AA$26+'TE CVA'!$AA$26)*(1-CUSTOS!$M$38)</f>
        <v>235.74605718547673</v>
      </c>
      <c r="AB1004" s="6">
        <f>$K$1004*$V$1004</f>
        <v>0</v>
      </c>
      <c r="AC1004" s="6">
        <f>$M$1004*$W$1004</f>
        <v>1155.96162</v>
      </c>
      <c r="AD1004" s="6">
        <f>$O$1004*$X$1004</f>
        <v>935.8112900000001</v>
      </c>
      <c r="AE1004" s="6">
        <f>$K$1004*$Y$1004</f>
        <v>0</v>
      </c>
      <c r="AF1004" s="6">
        <f ca="1">$M$1004*$Z$1004</f>
        <v>1234.3236187680127</v>
      </c>
      <c r="AG1004" s="6">
        <f>$O$1004*$AA$1004</f>
        <v>1083.7246248816366</v>
      </c>
    </row>
    <row r="1005" spans="1:33" ht="11.25" customHeight="1" x14ac:dyDescent="0.25">
      <c r="A1005" s="4" t="s">
        <v>21</v>
      </c>
      <c r="B1005" s="4" t="s">
        <v>43</v>
      </c>
      <c r="C1005" s="4" t="s">
        <v>23</v>
      </c>
      <c r="D1005" s="4" t="s">
        <v>44</v>
      </c>
      <c r="E1005" s="4" t="s">
        <v>25</v>
      </c>
      <c r="F1005" s="4" t="s">
        <v>25</v>
      </c>
      <c r="G1005" s="4" t="s">
        <v>25</v>
      </c>
      <c r="H1005" s="4" t="s">
        <v>25</v>
      </c>
      <c r="I1005" s="5">
        <v>44256</v>
      </c>
      <c r="J1005" s="6">
        <v>0</v>
      </c>
      <c r="K1005" s="6">
        <v>0</v>
      </c>
      <c r="L1005" s="6">
        <v>1849.31</v>
      </c>
      <c r="M1005" s="6">
        <v>1849.31</v>
      </c>
      <c r="N1005" s="6">
        <v>1849.31</v>
      </c>
      <c r="O1005" s="6">
        <v>1849.31</v>
      </c>
      <c r="P1005" s="6">
        <v>14667</v>
      </c>
      <c r="Q1005" s="4" t="s">
        <v>26</v>
      </c>
      <c r="R1005" s="4">
        <v>0</v>
      </c>
      <c r="S1005" s="6">
        <v>0</v>
      </c>
      <c r="T1005" s="6">
        <v>46</v>
      </c>
      <c r="U1005" s="6">
        <v>99</v>
      </c>
      <c r="V1005" s="6">
        <f>IF(ISERROR(VLOOKUP($S$1005,'TAR FIN'!$A$1:$O$100,15,0)),0,VLOOKUP($S$1005,'TAR FIN'!$A$1:$O$100,15,0))</f>
        <v>0</v>
      </c>
      <c r="W1005" s="6">
        <f>IF(ISERROR(VLOOKUP($T$1005,'TAR FIN'!$A$1:$O$100,15,0)),0,VLOOKUP($T$1005,'TAR FIN'!$A$1:$O$100,15,0))</f>
        <v>251.46</v>
      </c>
      <c r="X1005" s="6">
        <f>IF(ISERROR(VLOOKUP($U$1005,'TAR FIN'!$A$1:$O$100,15,0)),0,VLOOKUP($U$1005,'TAR FIN'!$A$1:$O$100,15,0))</f>
        <v>203.57</v>
      </c>
      <c r="Y1005" s="6"/>
      <c r="Z1005" s="6">
        <f ca="1">('TUSD BE'!$AM$43+'TUSD BF'!$AM$43+'TUSD CVA'!$AM$43)*(1-CUSTOS!$M$38)</f>
        <v>268.50633429802321</v>
      </c>
      <c r="AA1005" s="6">
        <f>('TE BE'!$AA$26+'TE BF'!$AA$26+'TE CVA'!$AA$26)*(1-CUSTOS!$M$38)</f>
        <v>235.74605718547673</v>
      </c>
      <c r="AB1005" s="6">
        <f>$K$1005*$V$1005</f>
        <v>0</v>
      </c>
      <c r="AC1005" s="6">
        <f>$M$1005*$W$1005</f>
        <v>465027.4926</v>
      </c>
      <c r="AD1005" s="6">
        <f>$O$1005*$X$1005</f>
        <v>376464.0367</v>
      </c>
      <c r="AE1005" s="6">
        <f>$K$1005*$Y$1005</f>
        <v>0</v>
      </c>
      <c r="AF1005" s="6">
        <f ca="1">$M$1005*$Z$1005</f>
        <v>496551.4490806773</v>
      </c>
      <c r="AG1005" s="6">
        <f>$O$1005*$AA$1005</f>
        <v>435967.54101367394</v>
      </c>
    </row>
    <row r="1006" spans="1:33" ht="11.25" customHeight="1" x14ac:dyDescent="0.25">
      <c r="A1006" s="4" t="s">
        <v>28</v>
      </c>
      <c r="B1006" s="4" t="s">
        <v>43</v>
      </c>
      <c r="C1006" s="4" t="s">
        <v>23</v>
      </c>
      <c r="D1006" s="4" t="s">
        <v>44</v>
      </c>
      <c r="E1006" s="4" t="s">
        <v>25</v>
      </c>
      <c r="F1006" s="4" t="s">
        <v>25</v>
      </c>
      <c r="G1006" s="4" t="s">
        <v>25</v>
      </c>
      <c r="H1006" s="4" t="s">
        <v>25</v>
      </c>
      <c r="I1006" s="5">
        <v>44256</v>
      </c>
      <c r="J1006" s="6">
        <v>0</v>
      </c>
      <c r="K1006" s="6">
        <v>0</v>
      </c>
      <c r="L1006" s="6">
        <v>2.952</v>
      </c>
      <c r="M1006" s="6">
        <v>2.952</v>
      </c>
      <c r="N1006" s="6">
        <v>2.952</v>
      </c>
      <c r="O1006" s="6">
        <v>2.952</v>
      </c>
      <c r="P1006" s="6">
        <v>21</v>
      </c>
      <c r="Q1006" s="4" t="s">
        <v>26</v>
      </c>
      <c r="R1006" s="4">
        <v>0</v>
      </c>
      <c r="S1006" s="6">
        <v>0</v>
      </c>
      <c r="T1006" s="6">
        <v>46</v>
      </c>
      <c r="U1006" s="6">
        <v>99</v>
      </c>
      <c r="V1006" s="6">
        <f>IF(ISERROR(VLOOKUP($S$1006,'TAR FIN'!$A$1:$O$100,15,0)),0,VLOOKUP($S$1006,'TAR FIN'!$A$1:$O$100,15,0))</f>
        <v>0</v>
      </c>
      <c r="W1006" s="6">
        <f>IF(ISERROR(VLOOKUP($T$1006,'TAR FIN'!$A$1:$O$100,15,0)),0,VLOOKUP($T$1006,'TAR FIN'!$A$1:$O$100,15,0))</f>
        <v>251.46</v>
      </c>
      <c r="X1006" s="6">
        <f>IF(ISERROR(VLOOKUP($U$1006,'TAR FIN'!$A$1:$O$100,15,0)),0,VLOOKUP($U$1006,'TAR FIN'!$A$1:$O$100,15,0))</f>
        <v>203.57</v>
      </c>
      <c r="Y1006" s="6"/>
      <c r="Z1006" s="6">
        <f ca="1">('TUSD BE'!$AM$43+'TUSD BF'!$AM$43+'TUSD CVA'!$AM$43)*(1-CUSTOS!$M$38)</f>
        <v>268.50633429802321</v>
      </c>
      <c r="AA1006" s="6">
        <f>('TE BE'!$AA$26+'TE BF'!$AA$26+'TE CVA'!$AA$26)*(1-CUSTOS!$M$38)</f>
        <v>235.74605718547673</v>
      </c>
      <c r="AB1006" s="6">
        <f>$K$1006*$V$1006</f>
        <v>0</v>
      </c>
      <c r="AC1006" s="6">
        <f>$M$1006*$W$1006</f>
        <v>742.30992000000003</v>
      </c>
      <c r="AD1006" s="6">
        <f>$O$1006*$X$1006</f>
        <v>600.93863999999996</v>
      </c>
      <c r="AE1006" s="6">
        <f>$K$1006*$Y$1006</f>
        <v>0</v>
      </c>
      <c r="AF1006" s="6">
        <f ca="1">$M$1006*$Z$1006</f>
        <v>792.63069884776451</v>
      </c>
      <c r="AG1006" s="6">
        <f>$O$1006*$AA$1006</f>
        <v>695.92236081152726</v>
      </c>
    </row>
    <row r="1007" spans="1:33" ht="11.25" customHeight="1" x14ac:dyDescent="0.25">
      <c r="A1007" s="4" t="s">
        <v>28</v>
      </c>
      <c r="B1007" s="4" t="s">
        <v>43</v>
      </c>
      <c r="C1007" s="4" t="s">
        <v>23</v>
      </c>
      <c r="D1007" s="4" t="s">
        <v>44</v>
      </c>
      <c r="E1007" s="4" t="s">
        <v>25</v>
      </c>
      <c r="F1007" s="4" t="s">
        <v>25</v>
      </c>
      <c r="G1007" s="4" t="s">
        <v>25</v>
      </c>
      <c r="H1007" s="4" t="s">
        <v>25</v>
      </c>
      <c r="I1007" s="5">
        <v>44256</v>
      </c>
      <c r="J1007" s="6">
        <v>0</v>
      </c>
      <c r="K1007" s="6">
        <v>0</v>
      </c>
      <c r="L1007" s="6">
        <v>-0.66500000000000004</v>
      </c>
      <c r="M1007" s="6">
        <v>-0.66500000000000004</v>
      </c>
      <c r="N1007" s="6">
        <v>-0.66500000000000004</v>
      </c>
      <c r="O1007" s="6">
        <v>-0.66500000000000004</v>
      </c>
      <c r="P1007" s="6">
        <v>-1</v>
      </c>
      <c r="Q1007" s="4" t="s">
        <v>26</v>
      </c>
      <c r="R1007" s="4">
        <v>0</v>
      </c>
      <c r="S1007" s="6">
        <v>0</v>
      </c>
      <c r="T1007" s="6">
        <v>46</v>
      </c>
      <c r="U1007" s="6">
        <v>99</v>
      </c>
      <c r="V1007" s="6">
        <f>IF(ISERROR(VLOOKUP($S$1007,'TAR FIN'!$A$1:$O$100,15,0)),0,VLOOKUP($S$1007,'TAR FIN'!$A$1:$O$100,15,0))</f>
        <v>0</v>
      </c>
      <c r="W1007" s="6">
        <f>IF(ISERROR(VLOOKUP($T$1007,'TAR FIN'!$A$1:$O$100,15,0)),0,VLOOKUP($T$1007,'TAR FIN'!$A$1:$O$100,15,0))</f>
        <v>251.46</v>
      </c>
      <c r="X1007" s="6">
        <f>IF(ISERROR(VLOOKUP($U$1007,'TAR FIN'!$A$1:$O$100,15,0)),0,VLOOKUP($U$1007,'TAR FIN'!$A$1:$O$100,15,0))</f>
        <v>203.57</v>
      </c>
      <c r="Y1007" s="6"/>
      <c r="Z1007" s="6">
        <f ca="1">('TUSD BE'!$AM$43+'TUSD BF'!$AM$43+'TUSD CVA'!$AM$43)*(1-CUSTOS!$M$38)</f>
        <v>268.50633429802321</v>
      </c>
      <c r="AA1007" s="6">
        <f>('TE BE'!$AA$26+'TE BF'!$AA$26+'TE CVA'!$AA$26)*(1-CUSTOS!$M$38)</f>
        <v>235.74605718547673</v>
      </c>
      <c r="AB1007" s="6">
        <f>$K$1007*$V$1007</f>
        <v>0</v>
      </c>
      <c r="AC1007" s="6">
        <f>$M$1007*$W$1007</f>
        <v>-167.2209</v>
      </c>
      <c r="AD1007" s="6">
        <f>$O$1007*$X$1007</f>
        <v>-135.37405000000001</v>
      </c>
      <c r="AE1007" s="6">
        <f>$K$1007*$Y$1007</f>
        <v>0</v>
      </c>
      <c r="AF1007" s="6">
        <f ca="1">$M$1007*$Z$1007</f>
        <v>-178.55671230818544</v>
      </c>
      <c r="AG1007" s="6">
        <f>$O$1007*$AA$1007</f>
        <v>-156.77112802834202</v>
      </c>
    </row>
    <row r="1008" spans="1:33" ht="11.25" customHeight="1" x14ac:dyDescent="0.25">
      <c r="A1008" s="4" t="s">
        <v>21</v>
      </c>
      <c r="B1008" s="4" t="s">
        <v>43</v>
      </c>
      <c r="C1008" s="4" t="s">
        <v>23</v>
      </c>
      <c r="D1008" s="4" t="s">
        <v>44</v>
      </c>
      <c r="E1008" s="4" t="s">
        <v>25</v>
      </c>
      <c r="F1008" s="4" t="s">
        <v>25</v>
      </c>
      <c r="G1008" s="4" t="s">
        <v>25</v>
      </c>
      <c r="H1008" s="4" t="s">
        <v>25</v>
      </c>
      <c r="I1008" s="5">
        <v>44287</v>
      </c>
      <c r="J1008" s="6">
        <v>0</v>
      </c>
      <c r="K1008" s="6">
        <v>0</v>
      </c>
      <c r="L1008" s="6">
        <v>1809.0909999999999</v>
      </c>
      <c r="M1008" s="6">
        <v>1809.0909999999999</v>
      </c>
      <c r="N1008" s="6">
        <v>1809.0909999999999</v>
      </c>
      <c r="O1008" s="6">
        <v>1809.0909999999999</v>
      </c>
      <c r="P1008" s="6">
        <v>14691</v>
      </c>
      <c r="Q1008" s="4" t="s">
        <v>26</v>
      </c>
      <c r="R1008" s="4">
        <v>0</v>
      </c>
      <c r="S1008" s="6">
        <v>0</v>
      </c>
      <c r="T1008" s="6">
        <v>46</v>
      </c>
      <c r="U1008" s="6">
        <v>99</v>
      </c>
      <c r="V1008" s="6">
        <f>IF(ISERROR(VLOOKUP($S$1008,'TAR FIN'!$A$1:$O$100,15,0)),0,VLOOKUP($S$1008,'TAR FIN'!$A$1:$O$100,15,0))</f>
        <v>0</v>
      </c>
      <c r="W1008" s="6">
        <f>IF(ISERROR(VLOOKUP($T$1008,'TAR FIN'!$A$1:$O$100,15,0)),0,VLOOKUP($T$1008,'TAR FIN'!$A$1:$O$100,15,0))</f>
        <v>251.46</v>
      </c>
      <c r="X1008" s="6">
        <f>IF(ISERROR(VLOOKUP($U$1008,'TAR FIN'!$A$1:$O$100,15,0)),0,VLOOKUP($U$1008,'TAR FIN'!$A$1:$O$100,15,0))</f>
        <v>203.57</v>
      </c>
      <c r="Y1008" s="6"/>
      <c r="Z1008" s="6">
        <f ca="1">('TUSD BE'!$AM$43+'TUSD BF'!$AM$43+'TUSD CVA'!$AM$43)*(1-CUSTOS!$M$38)</f>
        <v>268.50633429802321</v>
      </c>
      <c r="AA1008" s="6">
        <f>('TE BE'!$AA$26+'TE BF'!$AA$26+'TE CVA'!$AA$26)*(1-CUSTOS!$M$38)</f>
        <v>235.74605718547673</v>
      </c>
      <c r="AB1008" s="6">
        <f>$K$1008*$V$1008</f>
        <v>0</v>
      </c>
      <c r="AC1008" s="6">
        <f>$M$1008*$W$1008</f>
        <v>454914.02285999997</v>
      </c>
      <c r="AD1008" s="6">
        <f>$O$1008*$X$1008</f>
        <v>368276.65486999997</v>
      </c>
      <c r="AE1008" s="6">
        <f>$K$1008*$Y$1008</f>
        <v>0</v>
      </c>
      <c r="AF1008" s="6">
        <f ca="1">$M$1008*$Z$1008</f>
        <v>485752.39282154507</v>
      </c>
      <c r="AG1008" s="6">
        <f>$O$1008*$AA$1008</f>
        <v>426486.07033973123</v>
      </c>
    </row>
    <row r="1009" spans="1:33" ht="11.25" customHeight="1" x14ac:dyDescent="0.25">
      <c r="A1009" s="4" t="s">
        <v>27</v>
      </c>
      <c r="B1009" s="4" t="s">
        <v>43</v>
      </c>
      <c r="C1009" s="4" t="s">
        <v>23</v>
      </c>
      <c r="D1009" s="4" t="s">
        <v>44</v>
      </c>
      <c r="E1009" s="4" t="s">
        <v>25</v>
      </c>
      <c r="F1009" s="4" t="s">
        <v>25</v>
      </c>
      <c r="G1009" s="4" t="s">
        <v>25</v>
      </c>
      <c r="H1009" s="4" t="s">
        <v>25</v>
      </c>
      <c r="I1009" s="5">
        <v>44287</v>
      </c>
      <c r="J1009" s="6">
        <v>0</v>
      </c>
      <c r="K1009" s="6">
        <v>0</v>
      </c>
      <c r="L1009" s="6">
        <v>-4.32</v>
      </c>
      <c r="M1009" s="6">
        <v>-4.32</v>
      </c>
      <c r="N1009" s="6">
        <v>-4.32</v>
      </c>
      <c r="O1009" s="6">
        <v>-4.32</v>
      </c>
      <c r="P1009" s="6">
        <v>0</v>
      </c>
      <c r="Q1009" s="4" t="s">
        <v>26</v>
      </c>
      <c r="R1009" s="4">
        <v>0</v>
      </c>
      <c r="S1009" s="6">
        <v>0</v>
      </c>
      <c r="T1009" s="6">
        <v>46</v>
      </c>
      <c r="U1009" s="6">
        <v>99</v>
      </c>
      <c r="V1009" s="6">
        <f>IF(ISERROR(VLOOKUP($S$1009,'TAR FIN'!$A$1:$O$100,15,0)),0,VLOOKUP($S$1009,'TAR FIN'!$A$1:$O$100,15,0))</f>
        <v>0</v>
      </c>
      <c r="W1009" s="6">
        <f>IF(ISERROR(VLOOKUP($T$1009,'TAR FIN'!$A$1:$O$100,15,0)),0,VLOOKUP($T$1009,'TAR FIN'!$A$1:$O$100,15,0))</f>
        <v>251.46</v>
      </c>
      <c r="X1009" s="6">
        <f>IF(ISERROR(VLOOKUP($U$1009,'TAR FIN'!$A$1:$O$100,15,0)),0,VLOOKUP($U$1009,'TAR FIN'!$A$1:$O$100,15,0))</f>
        <v>203.57</v>
      </c>
      <c r="Y1009" s="6"/>
      <c r="Z1009" s="6">
        <f ca="1">('TUSD BE'!$AM$43+'TUSD BF'!$AM$43+'TUSD CVA'!$AM$43)*(1-CUSTOS!$M$38)</f>
        <v>268.50633429802321</v>
      </c>
      <c r="AA1009" s="6">
        <f>('TE BE'!$AA$26+'TE BF'!$AA$26+'TE CVA'!$AA$26)*(1-CUSTOS!$M$38)</f>
        <v>235.74605718547673</v>
      </c>
      <c r="AB1009" s="6">
        <f>$K$1009*$V$1009</f>
        <v>0</v>
      </c>
      <c r="AC1009" s="6">
        <f>$M$1009*$W$1009</f>
        <v>-1086.3072000000002</v>
      </c>
      <c r="AD1009" s="6">
        <f>$O$1009*$X$1009</f>
        <v>-879.42240000000004</v>
      </c>
      <c r="AE1009" s="6">
        <f>$K$1009*$Y$1009</f>
        <v>0</v>
      </c>
      <c r="AF1009" s="6">
        <f ca="1">$M$1009*$Z$1009</f>
        <v>-1159.9473641674604</v>
      </c>
      <c r="AG1009" s="6">
        <f>$O$1009*$AA$1009</f>
        <v>-1018.4229670412595</v>
      </c>
    </row>
    <row r="1010" spans="1:33" ht="11.25" customHeight="1" x14ac:dyDescent="0.25">
      <c r="A1010" s="4" t="s">
        <v>28</v>
      </c>
      <c r="B1010" s="4" t="s">
        <v>43</v>
      </c>
      <c r="C1010" s="4" t="s">
        <v>23</v>
      </c>
      <c r="D1010" s="4" t="s">
        <v>44</v>
      </c>
      <c r="E1010" s="4" t="s">
        <v>25</v>
      </c>
      <c r="F1010" s="4" t="s">
        <v>25</v>
      </c>
      <c r="G1010" s="4" t="s">
        <v>25</v>
      </c>
      <c r="H1010" s="4" t="s">
        <v>25</v>
      </c>
      <c r="I1010" s="5">
        <v>44287</v>
      </c>
      <c r="J1010" s="6">
        <v>0</v>
      </c>
      <c r="K1010" s="6">
        <v>0</v>
      </c>
      <c r="L1010" s="6">
        <v>5.0380000000000003</v>
      </c>
      <c r="M1010" s="6">
        <v>5.0380000000000003</v>
      </c>
      <c r="N1010" s="6">
        <v>5.0380000000000003</v>
      </c>
      <c r="O1010" s="6">
        <v>5.0380000000000003</v>
      </c>
      <c r="P1010" s="6">
        <v>25</v>
      </c>
      <c r="Q1010" s="4" t="s">
        <v>26</v>
      </c>
      <c r="R1010" s="4">
        <v>0</v>
      </c>
      <c r="S1010" s="6">
        <v>0</v>
      </c>
      <c r="T1010" s="6">
        <v>46</v>
      </c>
      <c r="U1010" s="6">
        <v>99</v>
      </c>
      <c r="V1010" s="6">
        <f>IF(ISERROR(VLOOKUP($S$1010,'TAR FIN'!$A$1:$O$100,15,0)),0,VLOOKUP($S$1010,'TAR FIN'!$A$1:$O$100,15,0))</f>
        <v>0</v>
      </c>
      <c r="W1010" s="6">
        <f>IF(ISERROR(VLOOKUP($T$1010,'TAR FIN'!$A$1:$O$100,15,0)),0,VLOOKUP($T$1010,'TAR FIN'!$A$1:$O$100,15,0))</f>
        <v>251.46</v>
      </c>
      <c r="X1010" s="6">
        <f>IF(ISERROR(VLOOKUP($U$1010,'TAR FIN'!$A$1:$O$100,15,0)),0,VLOOKUP($U$1010,'TAR FIN'!$A$1:$O$100,15,0))</f>
        <v>203.57</v>
      </c>
      <c r="Y1010" s="6"/>
      <c r="Z1010" s="6">
        <f ca="1">('TUSD BE'!$AM$43+'TUSD BF'!$AM$43+'TUSD CVA'!$AM$43)*(1-CUSTOS!$M$38)</f>
        <v>268.50633429802321</v>
      </c>
      <c r="AA1010" s="6">
        <f>('TE BE'!$AA$26+'TE BF'!$AA$26+'TE CVA'!$AA$26)*(1-CUSTOS!$M$38)</f>
        <v>235.74605718547673</v>
      </c>
      <c r="AB1010" s="6">
        <f>$K$1010*$V$1010</f>
        <v>0</v>
      </c>
      <c r="AC1010" s="6">
        <f>$M$1010*$W$1010</f>
        <v>1266.8554800000002</v>
      </c>
      <c r="AD1010" s="6">
        <f>$O$1010*$X$1010</f>
        <v>1025.58566</v>
      </c>
      <c r="AE1010" s="6">
        <f>$K$1010*$Y$1010</f>
        <v>0</v>
      </c>
      <c r="AF1010" s="6">
        <f ca="1">$M$1010*$Z$1010</f>
        <v>1352.734912193441</v>
      </c>
      <c r="AG1010" s="6">
        <f>$O$1010*$AA$1010</f>
        <v>1187.6886361004317</v>
      </c>
    </row>
    <row r="1011" spans="1:33" ht="11.25" customHeight="1" x14ac:dyDescent="0.25">
      <c r="A1011" s="4" t="s">
        <v>28</v>
      </c>
      <c r="B1011" s="4" t="s">
        <v>43</v>
      </c>
      <c r="C1011" s="4" t="s">
        <v>23</v>
      </c>
      <c r="D1011" s="4" t="s">
        <v>44</v>
      </c>
      <c r="E1011" s="4" t="s">
        <v>25</v>
      </c>
      <c r="F1011" s="4" t="s">
        <v>25</v>
      </c>
      <c r="G1011" s="4" t="s">
        <v>25</v>
      </c>
      <c r="H1011" s="4" t="s">
        <v>25</v>
      </c>
      <c r="I1011" s="5">
        <v>44287</v>
      </c>
      <c r="J1011" s="6">
        <v>0</v>
      </c>
      <c r="K1011" s="6">
        <v>0</v>
      </c>
      <c r="L1011" s="6">
        <v>-3.5270000000000001</v>
      </c>
      <c r="M1011" s="6">
        <v>-3.5270000000000001</v>
      </c>
      <c r="N1011" s="6">
        <v>-3.5270000000000001</v>
      </c>
      <c r="O1011" s="6">
        <v>-3.5270000000000001</v>
      </c>
      <c r="P1011" s="6">
        <v>-5</v>
      </c>
      <c r="Q1011" s="4" t="s">
        <v>26</v>
      </c>
      <c r="R1011" s="4">
        <v>0</v>
      </c>
      <c r="S1011" s="6">
        <v>0</v>
      </c>
      <c r="T1011" s="6">
        <v>46</v>
      </c>
      <c r="U1011" s="6">
        <v>99</v>
      </c>
      <c r="V1011" s="6">
        <f>IF(ISERROR(VLOOKUP($S$1011,'TAR FIN'!$A$1:$O$100,15,0)),0,VLOOKUP($S$1011,'TAR FIN'!$A$1:$O$100,15,0))</f>
        <v>0</v>
      </c>
      <c r="W1011" s="6">
        <f>IF(ISERROR(VLOOKUP($T$1011,'TAR FIN'!$A$1:$O$100,15,0)),0,VLOOKUP($T$1011,'TAR FIN'!$A$1:$O$100,15,0))</f>
        <v>251.46</v>
      </c>
      <c r="X1011" s="6">
        <f>IF(ISERROR(VLOOKUP($U$1011,'TAR FIN'!$A$1:$O$100,15,0)),0,VLOOKUP($U$1011,'TAR FIN'!$A$1:$O$100,15,0))</f>
        <v>203.57</v>
      </c>
      <c r="Y1011" s="6"/>
      <c r="Z1011" s="6">
        <f ca="1">('TUSD BE'!$AM$43+'TUSD BF'!$AM$43+'TUSD CVA'!$AM$43)*(1-CUSTOS!$M$38)</f>
        <v>268.50633429802321</v>
      </c>
      <c r="AA1011" s="6">
        <f>('TE BE'!$AA$26+'TE BF'!$AA$26+'TE CVA'!$AA$26)*(1-CUSTOS!$M$38)</f>
        <v>235.74605718547673</v>
      </c>
      <c r="AB1011" s="6">
        <f>$K$1011*$V$1011</f>
        <v>0</v>
      </c>
      <c r="AC1011" s="6">
        <f>$M$1011*$W$1011</f>
        <v>-886.89942000000008</v>
      </c>
      <c r="AD1011" s="6">
        <f>$O$1011*$X$1011</f>
        <v>-717.99139000000002</v>
      </c>
      <c r="AE1011" s="6">
        <f>$K$1011*$Y$1011</f>
        <v>0</v>
      </c>
      <c r="AF1011" s="6">
        <f ca="1">$M$1011*$Z$1011</f>
        <v>-947.02184106912785</v>
      </c>
      <c r="AG1011" s="6">
        <f>$O$1011*$AA$1011</f>
        <v>-831.47634369317643</v>
      </c>
    </row>
    <row r="1012" spans="1:33" ht="11.25" customHeight="1" x14ac:dyDescent="0.25">
      <c r="A1012" s="4" t="s">
        <v>21</v>
      </c>
      <c r="B1012" s="4" t="s">
        <v>43</v>
      </c>
      <c r="C1012" s="4" t="s">
        <v>23</v>
      </c>
      <c r="D1012" s="4" t="s">
        <v>44</v>
      </c>
      <c r="E1012" s="4" t="s">
        <v>25</v>
      </c>
      <c r="F1012" s="4" t="s">
        <v>25</v>
      </c>
      <c r="G1012" s="4" t="s">
        <v>25</v>
      </c>
      <c r="H1012" s="4" t="s">
        <v>25</v>
      </c>
      <c r="I1012" s="5">
        <v>44317</v>
      </c>
      <c r="J1012" s="6">
        <v>0</v>
      </c>
      <c r="K1012" s="6">
        <v>0</v>
      </c>
      <c r="L1012" s="6">
        <v>1653.0630000000001</v>
      </c>
      <c r="M1012" s="6">
        <v>1653.0630000000001</v>
      </c>
      <c r="N1012" s="6">
        <v>1653.0630000000001</v>
      </c>
      <c r="O1012" s="6">
        <v>1653.0630000000001</v>
      </c>
      <c r="P1012" s="6">
        <v>14658</v>
      </c>
      <c r="Q1012" s="4" t="s">
        <v>26</v>
      </c>
      <c r="R1012" s="4">
        <v>0</v>
      </c>
      <c r="S1012" s="6">
        <v>0</v>
      </c>
      <c r="T1012" s="6">
        <v>46</v>
      </c>
      <c r="U1012" s="6">
        <v>99</v>
      </c>
      <c r="V1012" s="6">
        <f>IF(ISERROR(VLOOKUP($S$1012,'TAR FIN'!$A$1:$O$100,15,0)),0,VLOOKUP($S$1012,'TAR FIN'!$A$1:$O$100,15,0))</f>
        <v>0</v>
      </c>
      <c r="W1012" s="6">
        <f>IF(ISERROR(VLOOKUP($T$1012,'TAR FIN'!$A$1:$O$100,15,0)),0,VLOOKUP($T$1012,'TAR FIN'!$A$1:$O$100,15,0))</f>
        <v>251.46</v>
      </c>
      <c r="X1012" s="6">
        <f>IF(ISERROR(VLOOKUP($U$1012,'TAR FIN'!$A$1:$O$100,15,0)),0,VLOOKUP($U$1012,'TAR FIN'!$A$1:$O$100,15,0))</f>
        <v>203.57</v>
      </c>
      <c r="Y1012" s="6"/>
      <c r="Z1012" s="6">
        <f ca="1">('TUSD BE'!$AM$43+'TUSD BF'!$AM$43+'TUSD CVA'!$AM$43)*(1-CUSTOS!$M$38)</f>
        <v>268.50633429802321</v>
      </c>
      <c r="AA1012" s="6">
        <f>('TE BE'!$AA$26+'TE BF'!$AA$26+'TE CVA'!$AA$26)*(1-CUSTOS!$M$38)</f>
        <v>235.74605718547673</v>
      </c>
      <c r="AB1012" s="6">
        <f>$K$1012*$V$1012</f>
        <v>0</v>
      </c>
      <c r="AC1012" s="6">
        <f>$M$1012*$W$1012</f>
        <v>415679.22198000003</v>
      </c>
      <c r="AD1012" s="6">
        <f>$O$1012*$X$1012</f>
        <v>336514.03490999999</v>
      </c>
      <c r="AE1012" s="6">
        <f>$K$1012*$Y$1012</f>
        <v>0</v>
      </c>
      <c r="AF1012" s="6">
        <f ca="1">$M$1012*$Z$1012</f>
        <v>443857.88649369316</v>
      </c>
      <c r="AG1012" s="6">
        <f>$O$1012*$AA$1012</f>
        <v>389703.08452919574</v>
      </c>
    </row>
    <row r="1013" spans="1:33" ht="11.25" customHeight="1" x14ac:dyDescent="0.25">
      <c r="A1013" s="4" t="s">
        <v>28</v>
      </c>
      <c r="B1013" s="4" t="s">
        <v>43</v>
      </c>
      <c r="C1013" s="4" t="s">
        <v>23</v>
      </c>
      <c r="D1013" s="4" t="s">
        <v>44</v>
      </c>
      <c r="E1013" s="4" t="s">
        <v>25</v>
      </c>
      <c r="F1013" s="4" t="s">
        <v>25</v>
      </c>
      <c r="G1013" s="4" t="s">
        <v>25</v>
      </c>
      <c r="H1013" s="4" t="s">
        <v>25</v>
      </c>
      <c r="I1013" s="5">
        <v>44317</v>
      </c>
      <c r="J1013" s="6">
        <v>0</v>
      </c>
      <c r="K1013" s="6">
        <v>0</v>
      </c>
      <c r="L1013" s="6">
        <v>13.893000000000001</v>
      </c>
      <c r="M1013" s="6">
        <v>13.893000000000001</v>
      </c>
      <c r="N1013" s="6">
        <v>13.893000000000001</v>
      </c>
      <c r="O1013" s="6">
        <v>13.893000000000001</v>
      </c>
      <c r="P1013" s="6">
        <v>26</v>
      </c>
      <c r="Q1013" s="4" t="s">
        <v>26</v>
      </c>
      <c r="R1013" s="4">
        <v>0</v>
      </c>
      <c r="S1013" s="6">
        <v>0</v>
      </c>
      <c r="T1013" s="6">
        <v>46</v>
      </c>
      <c r="U1013" s="6">
        <v>99</v>
      </c>
      <c r="V1013" s="6">
        <f>IF(ISERROR(VLOOKUP($S$1013,'TAR FIN'!$A$1:$O$100,15,0)),0,VLOOKUP($S$1013,'TAR FIN'!$A$1:$O$100,15,0))</f>
        <v>0</v>
      </c>
      <c r="W1013" s="6">
        <f>IF(ISERROR(VLOOKUP($T$1013,'TAR FIN'!$A$1:$O$100,15,0)),0,VLOOKUP($T$1013,'TAR FIN'!$A$1:$O$100,15,0))</f>
        <v>251.46</v>
      </c>
      <c r="X1013" s="6">
        <f>IF(ISERROR(VLOOKUP($U$1013,'TAR FIN'!$A$1:$O$100,15,0)),0,VLOOKUP($U$1013,'TAR FIN'!$A$1:$O$100,15,0))</f>
        <v>203.57</v>
      </c>
      <c r="Y1013" s="6"/>
      <c r="Z1013" s="6">
        <f ca="1">('TUSD BE'!$AM$43+'TUSD BF'!$AM$43+'TUSD CVA'!$AM$43)*(1-CUSTOS!$M$38)</f>
        <v>268.50633429802321</v>
      </c>
      <c r="AA1013" s="6">
        <f>('TE BE'!$AA$26+'TE BF'!$AA$26+'TE CVA'!$AA$26)*(1-CUSTOS!$M$38)</f>
        <v>235.74605718547673</v>
      </c>
      <c r="AB1013" s="6">
        <f>$K$1013*$V$1013</f>
        <v>0</v>
      </c>
      <c r="AC1013" s="6">
        <f>$M$1013*$W$1013</f>
        <v>3493.5337800000002</v>
      </c>
      <c r="AD1013" s="6">
        <f>$O$1013*$X$1013</f>
        <v>2828.1980100000001</v>
      </c>
      <c r="AE1013" s="6">
        <f>$K$1013*$Y$1013</f>
        <v>0</v>
      </c>
      <c r="AF1013" s="6">
        <f ca="1">$M$1013*$Z$1013</f>
        <v>3730.3585024024364</v>
      </c>
      <c r="AG1013" s="6">
        <f>$O$1013*$AA$1013</f>
        <v>3275.2199724778284</v>
      </c>
    </row>
    <row r="1014" spans="1:33" ht="11.25" customHeight="1" x14ac:dyDescent="0.25">
      <c r="A1014" s="4" t="s">
        <v>21</v>
      </c>
      <c r="B1014" s="4" t="s">
        <v>43</v>
      </c>
      <c r="C1014" s="4" t="s">
        <v>23</v>
      </c>
      <c r="D1014" s="4" t="s">
        <v>44</v>
      </c>
      <c r="E1014" s="4" t="s">
        <v>25</v>
      </c>
      <c r="F1014" s="4" t="s">
        <v>25</v>
      </c>
      <c r="G1014" s="4" t="s">
        <v>25</v>
      </c>
      <c r="H1014" s="4" t="s">
        <v>25</v>
      </c>
      <c r="I1014" s="5">
        <v>44348</v>
      </c>
      <c r="J1014" s="6">
        <v>0</v>
      </c>
      <c r="K1014" s="6">
        <v>0</v>
      </c>
      <c r="L1014" s="6">
        <v>1578.412</v>
      </c>
      <c r="M1014" s="6">
        <v>1578.412</v>
      </c>
      <c r="N1014" s="6">
        <v>1578.412</v>
      </c>
      <c r="O1014" s="6">
        <v>1578.412</v>
      </c>
      <c r="P1014" s="6">
        <v>14652</v>
      </c>
      <c r="Q1014" s="4" t="s">
        <v>26</v>
      </c>
      <c r="R1014" s="4">
        <v>0</v>
      </c>
      <c r="S1014" s="6">
        <v>0</v>
      </c>
      <c r="T1014" s="6">
        <v>46</v>
      </c>
      <c r="U1014" s="6">
        <v>99</v>
      </c>
      <c r="V1014" s="6">
        <f>IF(ISERROR(VLOOKUP($S$1014,'TAR FIN'!$A$1:$O$100,15,0)),0,VLOOKUP($S$1014,'TAR FIN'!$A$1:$O$100,15,0))</f>
        <v>0</v>
      </c>
      <c r="W1014" s="6">
        <f>IF(ISERROR(VLOOKUP($T$1014,'TAR FIN'!$A$1:$O$100,15,0)),0,VLOOKUP($T$1014,'TAR FIN'!$A$1:$O$100,15,0))</f>
        <v>251.46</v>
      </c>
      <c r="X1014" s="6">
        <f>IF(ISERROR(VLOOKUP($U$1014,'TAR FIN'!$A$1:$O$100,15,0)),0,VLOOKUP($U$1014,'TAR FIN'!$A$1:$O$100,15,0))</f>
        <v>203.57</v>
      </c>
      <c r="Y1014" s="6"/>
      <c r="Z1014" s="6">
        <f ca="1">('TUSD BE'!$AM$43+'TUSD BF'!$AM$43+'TUSD CVA'!$AM$43)*(1-CUSTOS!$M$38)</f>
        <v>268.50633429802321</v>
      </c>
      <c r="AA1014" s="6">
        <f>('TE BE'!$AA$26+'TE BF'!$AA$26+'TE CVA'!$AA$26)*(1-CUSTOS!$M$38)</f>
        <v>235.74605718547673</v>
      </c>
      <c r="AB1014" s="6">
        <f>$K$1014*$V$1014</f>
        <v>0</v>
      </c>
      <c r="AC1014" s="6">
        <f>$M$1014*$W$1014</f>
        <v>396907.48152000003</v>
      </c>
      <c r="AD1014" s="6">
        <f>$O$1014*$X$1014</f>
        <v>321317.33084000001</v>
      </c>
      <c r="AE1014" s="6">
        <f>$K$1014*$Y$1014</f>
        <v>0</v>
      </c>
      <c r="AF1014" s="6">
        <f ca="1">$M$1014*$Z$1014</f>
        <v>423813.62013201142</v>
      </c>
      <c r="AG1014" s="6">
        <f>$O$1014*$AA$1014</f>
        <v>372104.40561424271</v>
      </c>
    </row>
    <row r="1015" spans="1:33" ht="11.25" customHeight="1" x14ac:dyDescent="0.25">
      <c r="A1015" s="4" t="s">
        <v>27</v>
      </c>
      <c r="B1015" s="4" t="s">
        <v>43</v>
      </c>
      <c r="C1015" s="4" t="s">
        <v>23</v>
      </c>
      <c r="D1015" s="4" t="s">
        <v>44</v>
      </c>
      <c r="E1015" s="4" t="s">
        <v>25</v>
      </c>
      <c r="F1015" s="4" t="s">
        <v>25</v>
      </c>
      <c r="G1015" s="4" t="s">
        <v>25</v>
      </c>
      <c r="H1015" s="4" t="s">
        <v>25</v>
      </c>
      <c r="I1015" s="5">
        <v>44348</v>
      </c>
      <c r="J1015" s="6">
        <v>0</v>
      </c>
      <c r="K1015" s="6">
        <v>0</v>
      </c>
      <c r="L1015" s="6">
        <v>-0.03</v>
      </c>
      <c r="M1015" s="6">
        <v>-0.03</v>
      </c>
      <c r="N1015" s="6">
        <v>-0.03</v>
      </c>
      <c r="O1015" s="6">
        <v>-0.03</v>
      </c>
      <c r="P1015" s="6">
        <v>-1</v>
      </c>
      <c r="Q1015" s="4" t="s">
        <v>26</v>
      </c>
      <c r="R1015" s="4">
        <v>0</v>
      </c>
      <c r="S1015" s="6">
        <v>0</v>
      </c>
      <c r="T1015" s="6">
        <v>46</v>
      </c>
      <c r="U1015" s="6">
        <v>99</v>
      </c>
      <c r="V1015" s="6">
        <f>IF(ISERROR(VLOOKUP($S$1015,'TAR FIN'!$A$1:$O$100,15,0)),0,VLOOKUP($S$1015,'TAR FIN'!$A$1:$O$100,15,0))</f>
        <v>0</v>
      </c>
      <c r="W1015" s="6">
        <f>IF(ISERROR(VLOOKUP($T$1015,'TAR FIN'!$A$1:$O$100,15,0)),0,VLOOKUP($T$1015,'TAR FIN'!$A$1:$O$100,15,0))</f>
        <v>251.46</v>
      </c>
      <c r="X1015" s="6">
        <f>IF(ISERROR(VLOOKUP($U$1015,'TAR FIN'!$A$1:$O$100,15,0)),0,VLOOKUP($U$1015,'TAR FIN'!$A$1:$O$100,15,0))</f>
        <v>203.57</v>
      </c>
      <c r="Y1015" s="6"/>
      <c r="Z1015" s="6">
        <f ca="1">('TUSD BE'!$AM$43+'TUSD BF'!$AM$43+'TUSD CVA'!$AM$43)*(1-CUSTOS!$M$38)</f>
        <v>268.50633429802321</v>
      </c>
      <c r="AA1015" s="6">
        <f>('TE BE'!$AA$26+'TE BF'!$AA$26+'TE CVA'!$AA$26)*(1-CUSTOS!$M$38)</f>
        <v>235.74605718547673</v>
      </c>
      <c r="AB1015" s="6">
        <f>$K$1015*$V$1015</f>
        <v>0</v>
      </c>
      <c r="AC1015" s="6">
        <f>$M$1015*$W$1015</f>
        <v>-7.5438000000000001</v>
      </c>
      <c r="AD1015" s="6">
        <f>$O$1015*$X$1015</f>
        <v>-6.1071</v>
      </c>
      <c r="AE1015" s="6">
        <f>$K$1015*$Y$1015</f>
        <v>0</v>
      </c>
      <c r="AF1015" s="6">
        <f ca="1">$M$1015*$Z$1015</f>
        <v>-8.0551900289406966</v>
      </c>
      <c r="AG1015" s="6">
        <f>$O$1015*$AA$1015</f>
        <v>-7.0723817155643021</v>
      </c>
    </row>
    <row r="1016" spans="1:33" ht="11.25" customHeight="1" x14ac:dyDescent="0.25">
      <c r="A1016" s="4" t="s">
        <v>28</v>
      </c>
      <c r="B1016" s="4" t="s">
        <v>43</v>
      </c>
      <c r="C1016" s="4" t="s">
        <v>23</v>
      </c>
      <c r="D1016" s="4" t="s">
        <v>44</v>
      </c>
      <c r="E1016" s="4" t="s">
        <v>25</v>
      </c>
      <c r="F1016" s="4" t="s">
        <v>25</v>
      </c>
      <c r="G1016" s="4" t="s">
        <v>25</v>
      </c>
      <c r="H1016" s="4" t="s">
        <v>25</v>
      </c>
      <c r="I1016" s="5">
        <v>44348</v>
      </c>
      <c r="J1016" s="6">
        <v>0</v>
      </c>
      <c r="K1016" s="6">
        <v>0</v>
      </c>
      <c r="L1016" s="6">
        <v>3.58</v>
      </c>
      <c r="M1016" s="6">
        <v>3.58</v>
      </c>
      <c r="N1016" s="6">
        <v>3.58</v>
      </c>
      <c r="O1016" s="6">
        <v>3.58</v>
      </c>
      <c r="P1016" s="6">
        <v>26</v>
      </c>
      <c r="Q1016" s="4" t="s">
        <v>26</v>
      </c>
      <c r="R1016" s="4">
        <v>0</v>
      </c>
      <c r="S1016" s="6">
        <v>0</v>
      </c>
      <c r="T1016" s="6">
        <v>46</v>
      </c>
      <c r="U1016" s="6">
        <v>99</v>
      </c>
      <c r="V1016" s="6">
        <f>IF(ISERROR(VLOOKUP($S$1016,'TAR FIN'!$A$1:$O$100,15,0)),0,VLOOKUP($S$1016,'TAR FIN'!$A$1:$O$100,15,0))</f>
        <v>0</v>
      </c>
      <c r="W1016" s="6">
        <f>IF(ISERROR(VLOOKUP($T$1016,'TAR FIN'!$A$1:$O$100,15,0)),0,VLOOKUP($T$1016,'TAR FIN'!$A$1:$O$100,15,0))</f>
        <v>251.46</v>
      </c>
      <c r="X1016" s="6">
        <f>IF(ISERROR(VLOOKUP($U$1016,'TAR FIN'!$A$1:$O$100,15,0)),0,VLOOKUP($U$1016,'TAR FIN'!$A$1:$O$100,15,0))</f>
        <v>203.57</v>
      </c>
      <c r="Y1016" s="6"/>
      <c r="Z1016" s="6">
        <f ca="1">('TUSD BE'!$AM$43+'TUSD BF'!$AM$43+'TUSD CVA'!$AM$43)*(1-CUSTOS!$M$38)</f>
        <v>268.50633429802321</v>
      </c>
      <c r="AA1016" s="6">
        <f>('TE BE'!$AA$26+'TE BF'!$AA$26+'TE CVA'!$AA$26)*(1-CUSTOS!$M$38)</f>
        <v>235.74605718547673</v>
      </c>
      <c r="AB1016" s="6">
        <f>$K$1016*$V$1016</f>
        <v>0</v>
      </c>
      <c r="AC1016" s="6">
        <f>$M$1016*$W$1016</f>
        <v>900.22680000000003</v>
      </c>
      <c r="AD1016" s="6">
        <f>$O$1016*$X$1016</f>
        <v>728.78059999999994</v>
      </c>
      <c r="AE1016" s="6">
        <f>$K$1016*$Y$1016</f>
        <v>0</v>
      </c>
      <c r="AF1016" s="6">
        <f ca="1">$M$1016*$Z$1016</f>
        <v>961.25267678692308</v>
      </c>
      <c r="AG1016" s="6">
        <f>$O$1016*$AA$1016</f>
        <v>843.97088472400674</v>
      </c>
    </row>
    <row r="1017" spans="1:33" ht="11.25" customHeight="1" x14ac:dyDescent="0.25">
      <c r="A1017" s="4" t="s">
        <v>21</v>
      </c>
      <c r="B1017" s="4" t="s">
        <v>43</v>
      </c>
      <c r="C1017" s="4" t="s">
        <v>23</v>
      </c>
      <c r="D1017" s="4" t="s">
        <v>44</v>
      </c>
      <c r="E1017" s="4" t="s">
        <v>25</v>
      </c>
      <c r="F1017" s="4" t="s">
        <v>25</v>
      </c>
      <c r="G1017" s="4" t="s">
        <v>25</v>
      </c>
      <c r="H1017" s="4" t="s">
        <v>25</v>
      </c>
      <c r="I1017" s="5">
        <v>44378</v>
      </c>
      <c r="J1017" s="6">
        <v>0</v>
      </c>
      <c r="K1017" s="6">
        <v>0</v>
      </c>
      <c r="L1017" s="6">
        <v>1682.258</v>
      </c>
      <c r="M1017" s="6">
        <v>1682.258</v>
      </c>
      <c r="N1017" s="6">
        <v>1682.258</v>
      </c>
      <c r="O1017" s="6">
        <v>1682.258</v>
      </c>
      <c r="P1017" s="6">
        <v>14577</v>
      </c>
      <c r="Q1017" s="4" t="s">
        <v>26</v>
      </c>
      <c r="R1017" s="4">
        <v>0</v>
      </c>
      <c r="S1017" s="6">
        <v>0</v>
      </c>
      <c r="T1017" s="6">
        <v>46</v>
      </c>
      <c r="U1017" s="6">
        <v>99</v>
      </c>
      <c r="V1017" s="6">
        <f>IF(ISERROR(VLOOKUP($S$1017,'TAR FIN'!$A$1:$O$100,15,0)),0,VLOOKUP($S$1017,'TAR FIN'!$A$1:$O$100,15,0))</f>
        <v>0</v>
      </c>
      <c r="W1017" s="6">
        <f>IF(ISERROR(VLOOKUP($T$1017,'TAR FIN'!$A$1:$O$100,15,0)),0,VLOOKUP($T$1017,'TAR FIN'!$A$1:$O$100,15,0))</f>
        <v>251.46</v>
      </c>
      <c r="X1017" s="6">
        <f>IF(ISERROR(VLOOKUP($U$1017,'TAR FIN'!$A$1:$O$100,15,0)),0,VLOOKUP($U$1017,'TAR FIN'!$A$1:$O$100,15,0))</f>
        <v>203.57</v>
      </c>
      <c r="Y1017" s="6"/>
      <c r="Z1017" s="6">
        <f ca="1">('TUSD BE'!$AM$43+'TUSD BF'!$AM$43+'TUSD CVA'!$AM$43)*(1-CUSTOS!$M$38)</f>
        <v>268.50633429802321</v>
      </c>
      <c r="AA1017" s="6">
        <f>('TE BE'!$AA$26+'TE BF'!$AA$26+'TE CVA'!$AA$26)*(1-CUSTOS!$M$38)</f>
        <v>235.74605718547673</v>
      </c>
      <c r="AB1017" s="6">
        <f>$K$1017*$V$1017</f>
        <v>0</v>
      </c>
      <c r="AC1017" s="6">
        <f>$M$1017*$W$1017</f>
        <v>423020.59668000002</v>
      </c>
      <c r="AD1017" s="6">
        <f>$O$1017*$X$1017</f>
        <v>342457.26105999999</v>
      </c>
      <c r="AE1017" s="6">
        <f>$K$1017*$Y$1017</f>
        <v>0</v>
      </c>
      <c r="AF1017" s="6">
        <f ca="1">$M$1017*$Z$1017</f>
        <v>451696.92892352393</v>
      </c>
      <c r="AG1017" s="6">
        <f>$O$1017*$AA$1017</f>
        <v>396585.6906687257</v>
      </c>
    </row>
    <row r="1018" spans="1:33" ht="11.25" customHeight="1" x14ac:dyDescent="0.25">
      <c r="A1018" s="4" t="s">
        <v>28</v>
      </c>
      <c r="B1018" s="4" t="s">
        <v>43</v>
      </c>
      <c r="C1018" s="4" t="s">
        <v>23</v>
      </c>
      <c r="D1018" s="4" t="s">
        <v>44</v>
      </c>
      <c r="E1018" s="4" t="s">
        <v>25</v>
      </c>
      <c r="F1018" s="4" t="s">
        <v>25</v>
      </c>
      <c r="G1018" s="4" t="s">
        <v>25</v>
      </c>
      <c r="H1018" s="4" t="s">
        <v>25</v>
      </c>
      <c r="I1018" s="5">
        <v>44378</v>
      </c>
      <c r="J1018" s="6">
        <v>0</v>
      </c>
      <c r="K1018" s="6">
        <v>0</v>
      </c>
      <c r="L1018" s="6">
        <v>3.7970000000000002</v>
      </c>
      <c r="M1018" s="6">
        <v>3.7970000000000002</v>
      </c>
      <c r="N1018" s="6">
        <v>3.7970000000000002</v>
      </c>
      <c r="O1018" s="6">
        <v>3.7970000000000002</v>
      </c>
      <c r="P1018" s="6">
        <v>26</v>
      </c>
      <c r="Q1018" s="4" t="s">
        <v>26</v>
      </c>
      <c r="R1018" s="4">
        <v>0</v>
      </c>
      <c r="S1018" s="6">
        <v>0</v>
      </c>
      <c r="T1018" s="6">
        <v>46</v>
      </c>
      <c r="U1018" s="6">
        <v>99</v>
      </c>
      <c r="V1018" s="6">
        <f>IF(ISERROR(VLOOKUP($S$1018,'TAR FIN'!$A$1:$O$100,15,0)),0,VLOOKUP($S$1018,'TAR FIN'!$A$1:$O$100,15,0))</f>
        <v>0</v>
      </c>
      <c r="W1018" s="6">
        <f>IF(ISERROR(VLOOKUP($T$1018,'TAR FIN'!$A$1:$O$100,15,0)),0,VLOOKUP($T$1018,'TAR FIN'!$A$1:$O$100,15,0))</f>
        <v>251.46</v>
      </c>
      <c r="X1018" s="6">
        <f>IF(ISERROR(VLOOKUP($U$1018,'TAR FIN'!$A$1:$O$100,15,0)),0,VLOOKUP($U$1018,'TAR FIN'!$A$1:$O$100,15,0))</f>
        <v>203.57</v>
      </c>
      <c r="Y1018" s="6"/>
      <c r="Z1018" s="6">
        <f ca="1">('TUSD BE'!$AM$43+'TUSD BF'!$AM$43+'TUSD CVA'!$AM$43)*(1-CUSTOS!$M$38)</f>
        <v>268.50633429802321</v>
      </c>
      <c r="AA1018" s="6">
        <f>('TE BE'!$AA$26+'TE BF'!$AA$26+'TE CVA'!$AA$26)*(1-CUSTOS!$M$38)</f>
        <v>235.74605718547673</v>
      </c>
      <c r="AB1018" s="6">
        <f>$K$1018*$V$1018</f>
        <v>0</v>
      </c>
      <c r="AC1018" s="6">
        <f>$M$1018*$W$1018</f>
        <v>954.79362000000003</v>
      </c>
      <c r="AD1018" s="6">
        <f>$O$1018*$X$1018</f>
        <v>772.95528999999999</v>
      </c>
      <c r="AE1018" s="6">
        <f>$K$1018*$Y$1018</f>
        <v>0</v>
      </c>
      <c r="AF1018" s="6">
        <f ca="1">$M$1018*$Z$1018</f>
        <v>1019.5185513295942</v>
      </c>
      <c r="AG1018" s="6">
        <f>$O$1018*$AA$1018</f>
        <v>895.12777913325522</v>
      </c>
    </row>
    <row r="1019" spans="1:33" ht="11.25" customHeight="1" x14ac:dyDescent="0.25">
      <c r="A1019" s="4" t="s">
        <v>21</v>
      </c>
      <c r="B1019" s="4" t="s">
        <v>43</v>
      </c>
      <c r="C1019" s="4" t="s">
        <v>23</v>
      </c>
      <c r="D1019" s="4" t="s">
        <v>44</v>
      </c>
      <c r="E1019" s="4" t="s">
        <v>25</v>
      </c>
      <c r="F1019" s="4" t="s">
        <v>25</v>
      </c>
      <c r="G1019" s="4" t="s">
        <v>25</v>
      </c>
      <c r="H1019" s="4" t="s">
        <v>25</v>
      </c>
      <c r="I1019" s="5">
        <v>44409</v>
      </c>
      <c r="J1019" s="6">
        <v>0</v>
      </c>
      <c r="K1019" s="6">
        <v>0</v>
      </c>
      <c r="L1019" s="6">
        <v>1572.28</v>
      </c>
      <c r="M1019" s="6">
        <v>1572.28</v>
      </c>
      <c r="N1019" s="6">
        <v>1572.28</v>
      </c>
      <c r="O1019" s="6">
        <v>1572.28</v>
      </c>
      <c r="P1019" s="6">
        <v>14506</v>
      </c>
      <c r="Q1019" s="4" t="s">
        <v>26</v>
      </c>
      <c r="R1019" s="4">
        <v>0</v>
      </c>
      <c r="S1019" s="6">
        <v>0</v>
      </c>
      <c r="T1019" s="6">
        <v>46</v>
      </c>
      <c r="U1019" s="6">
        <v>99</v>
      </c>
      <c r="V1019" s="6">
        <f>IF(ISERROR(VLOOKUP($S$1019,'TAR FIN'!$A$1:$O$100,15,0)),0,VLOOKUP($S$1019,'TAR FIN'!$A$1:$O$100,15,0))</f>
        <v>0</v>
      </c>
      <c r="W1019" s="6">
        <f>IF(ISERROR(VLOOKUP($T$1019,'TAR FIN'!$A$1:$O$100,15,0)),0,VLOOKUP($T$1019,'TAR FIN'!$A$1:$O$100,15,0))</f>
        <v>251.46</v>
      </c>
      <c r="X1019" s="6">
        <f>IF(ISERROR(VLOOKUP($U$1019,'TAR FIN'!$A$1:$O$100,15,0)),0,VLOOKUP($U$1019,'TAR FIN'!$A$1:$O$100,15,0))</f>
        <v>203.57</v>
      </c>
      <c r="Y1019" s="6"/>
      <c r="Z1019" s="6">
        <f ca="1">('TUSD BE'!$AM$43+'TUSD BF'!$AM$43+'TUSD CVA'!$AM$43)*(1-CUSTOS!$M$38)</f>
        <v>268.50633429802321</v>
      </c>
      <c r="AA1019" s="6">
        <f>('TE BE'!$AA$26+'TE BF'!$AA$26+'TE CVA'!$AA$26)*(1-CUSTOS!$M$38)</f>
        <v>235.74605718547673</v>
      </c>
      <c r="AB1019" s="6">
        <f>$K$1019*$V$1019</f>
        <v>0</v>
      </c>
      <c r="AC1019" s="6">
        <f>$M$1019*$W$1019</f>
        <v>395365.52880000003</v>
      </c>
      <c r="AD1019" s="6">
        <f>$O$1019*$X$1019</f>
        <v>320069.03959999996</v>
      </c>
      <c r="AE1019" s="6">
        <f>$K$1019*$Y$1019</f>
        <v>0</v>
      </c>
      <c r="AF1019" s="6">
        <f ca="1">$M$1019*$Z$1019</f>
        <v>422167.13929009589</v>
      </c>
      <c r="AG1019" s="6">
        <f>$O$1019*$AA$1019</f>
        <v>370658.81079158135</v>
      </c>
    </row>
    <row r="1020" spans="1:33" ht="11.25" customHeight="1" x14ac:dyDescent="0.25">
      <c r="A1020" s="4" t="s">
        <v>27</v>
      </c>
      <c r="B1020" s="4" t="s">
        <v>43</v>
      </c>
      <c r="C1020" s="4" t="s">
        <v>23</v>
      </c>
      <c r="D1020" s="4" t="s">
        <v>44</v>
      </c>
      <c r="E1020" s="4" t="s">
        <v>25</v>
      </c>
      <c r="F1020" s="4" t="s">
        <v>25</v>
      </c>
      <c r="G1020" s="4" t="s">
        <v>25</v>
      </c>
      <c r="H1020" s="4" t="s">
        <v>25</v>
      </c>
      <c r="I1020" s="5">
        <v>44409</v>
      </c>
      <c r="J1020" s="6">
        <v>0</v>
      </c>
      <c r="K1020" s="6">
        <v>0</v>
      </c>
      <c r="L1020" s="6">
        <v>-2.238</v>
      </c>
      <c r="M1020" s="6">
        <v>-2.238</v>
      </c>
      <c r="N1020" s="6">
        <v>-2.238</v>
      </c>
      <c r="O1020" s="6">
        <v>-2.238</v>
      </c>
      <c r="P1020" s="6">
        <v>-1</v>
      </c>
      <c r="Q1020" s="4" t="s">
        <v>26</v>
      </c>
      <c r="R1020" s="4">
        <v>0</v>
      </c>
      <c r="S1020" s="6">
        <v>0</v>
      </c>
      <c r="T1020" s="6">
        <v>46</v>
      </c>
      <c r="U1020" s="6">
        <v>99</v>
      </c>
      <c r="V1020" s="6">
        <f>IF(ISERROR(VLOOKUP($S$1020,'TAR FIN'!$A$1:$O$100,15,0)),0,VLOOKUP($S$1020,'TAR FIN'!$A$1:$O$100,15,0))</f>
        <v>0</v>
      </c>
      <c r="W1020" s="6">
        <f>IF(ISERROR(VLOOKUP($T$1020,'TAR FIN'!$A$1:$O$100,15,0)),0,VLOOKUP($T$1020,'TAR FIN'!$A$1:$O$100,15,0))</f>
        <v>251.46</v>
      </c>
      <c r="X1020" s="6">
        <f>IF(ISERROR(VLOOKUP($U$1020,'TAR FIN'!$A$1:$O$100,15,0)),0,VLOOKUP($U$1020,'TAR FIN'!$A$1:$O$100,15,0))</f>
        <v>203.57</v>
      </c>
      <c r="Y1020" s="6"/>
      <c r="Z1020" s="6">
        <f ca="1">('TUSD BE'!$AM$43+'TUSD BF'!$AM$43+'TUSD CVA'!$AM$43)*(1-CUSTOS!$M$38)</f>
        <v>268.50633429802321</v>
      </c>
      <c r="AA1020" s="6">
        <f>('TE BE'!$AA$26+'TE BF'!$AA$26+'TE CVA'!$AA$26)*(1-CUSTOS!$M$38)</f>
        <v>235.74605718547673</v>
      </c>
      <c r="AB1020" s="6">
        <f>$K$1020*$V$1020</f>
        <v>0</v>
      </c>
      <c r="AC1020" s="6">
        <f>$M$1020*$W$1020</f>
        <v>-562.76747999999998</v>
      </c>
      <c r="AD1020" s="6">
        <f>$O$1020*$X$1020</f>
        <v>-455.58965999999998</v>
      </c>
      <c r="AE1020" s="6">
        <f>$K$1020*$Y$1020</f>
        <v>0</v>
      </c>
      <c r="AF1020" s="6">
        <f ca="1">$M$1020*$Z$1020</f>
        <v>-600.91717615897596</v>
      </c>
      <c r="AG1020" s="6">
        <f>$O$1020*$AA$1020</f>
        <v>-527.59967598109688</v>
      </c>
    </row>
    <row r="1021" spans="1:33" ht="11.25" customHeight="1" x14ac:dyDescent="0.25">
      <c r="A1021" s="4" t="s">
        <v>28</v>
      </c>
      <c r="B1021" s="4" t="s">
        <v>43</v>
      </c>
      <c r="C1021" s="4" t="s">
        <v>23</v>
      </c>
      <c r="D1021" s="4" t="s">
        <v>44</v>
      </c>
      <c r="E1021" s="4" t="s">
        <v>25</v>
      </c>
      <c r="F1021" s="4" t="s">
        <v>25</v>
      </c>
      <c r="G1021" s="4" t="s">
        <v>25</v>
      </c>
      <c r="H1021" s="4" t="s">
        <v>25</v>
      </c>
      <c r="I1021" s="5">
        <v>44409</v>
      </c>
      <c r="J1021" s="6">
        <v>0</v>
      </c>
      <c r="K1021" s="6">
        <v>0</v>
      </c>
      <c r="L1021" s="6">
        <v>3.8889999999999998</v>
      </c>
      <c r="M1021" s="6">
        <v>3.8889999999999998</v>
      </c>
      <c r="N1021" s="6">
        <v>3.8889999999999998</v>
      </c>
      <c r="O1021" s="6">
        <v>3.8889999999999998</v>
      </c>
      <c r="P1021" s="6">
        <v>27</v>
      </c>
      <c r="Q1021" s="4" t="s">
        <v>26</v>
      </c>
      <c r="R1021" s="4">
        <v>0</v>
      </c>
      <c r="S1021" s="6">
        <v>0</v>
      </c>
      <c r="T1021" s="6">
        <v>46</v>
      </c>
      <c r="U1021" s="6">
        <v>99</v>
      </c>
      <c r="V1021" s="6">
        <f>IF(ISERROR(VLOOKUP($S$1021,'TAR FIN'!$A$1:$O$100,15,0)),0,VLOOKUP($S$1021,'TAR FIN'!$A$1:$O$100,15,0))</f>
        <v>0</v>
      </c>
      <c r="W1021" s="6">
        <f>IF(ISERROR(VLOOKUP($T$1021,'TAR FIN'!$A$1:$O$100,15,0)),0,VLOOKUP($T$1021,'TAR FIN'!$A$1:$O$100,15,0))</f>
        <v>251.46</v>
      </c>
      <c r="X1021" s="6">
        <f>IF(ISERROR(VLOOKUP($U$1021,'TAR FIN'!$A$1:$O$100,15,0)),0,VLOOKUP($U$1021,'TAR FIN'!$A$1:$O$100,15,0))</f>
        <v>203.57</v>
      </c>
      <c r="Y1021" s="6"/>
      <c r="Z1021" s="6">
        <f ca="1">('TUSD BE'!$AM$43+'TUSD BF'!$AM$43+'TUSD CVA'!$AM$43)*(1-CUSTOS!$M$38)</f>
        <v>268.50633429802321</v>
      </c>
      <c r="AA1021" s="6">
        <f>('TE BE'!$AA$26+'TE BF'!$AA$26+'TE CVA'!$AA$26)*(1-CUSTOS!$M$38)</f>
        <v>235.74605718547673</v>
      </c>
      <c r="AB1021" s="6">
        <f>$K$1021*$V$1021</f>
        <v>0</v>
      </c>
      <c r="AC1021" s="6">
        <f>$M$1021*$W$1021</f>
        <v>977.92794000000004</v>
      </c>
      <c r="AD1021" s="6">
        <f>$O$1021*$X$1021</f>
        <v>791.68372999999997</v>
      </c>
      <c r="AE1021" s="6">
        <f>$K$1021*$Y$1021</f>
        <v>0</v>
      </c>
      <c r="AF1021" s="6">
        <f ca="1">$M$1021*$Z$1021</f>
        <v>1044.2211340850122</v>
      </c>
      <c r="AG1021" s="6">
        <f>$O$1021*$AA$1021</f>
        <v>916.81641639431894</v>
      </c>
    </row>
    <row r="1022" spans="1:33" ht="11.25" customHeight="1" x14ac:dyDescent="0.25">
      <c r="A1022" s="4" t="s">
        <v>21</v>
      </c>
      <c r="B1022" s="4" t="s">
        <v>43</v>
      </c>
      <c r="C1022" s="4" t="s">
        <v>23</v>
      </c>
      <c r="D1022" s="4" t="s">
        <v>44</v>
      </c>
      <c r="E1022" s="4" t="s">
        <v>25</v>
      </c>
      <c r="F1022" s="4" t="s">
        <v>25</v>
      </c>
      <c r="G1022" s="4" t="s">
        <v>25</v>
      </c>
      <c r="H1022" s="4" t="s">
        <v>25</v>
      </c>
      <c r="I1022" s="5">
        <v>44440</v>
      </c>
      <c r="J1022" s="6">
        <v>0</v>
      </c>
      <c r="K1022" s="6">
        <v>0</v>
      </c>
      <c r="L1022" s="6">
        <v>1613.2570000000001</v>
      </c>
      <c r="M1022" s="6">
        <v>1613.2570000000001</v>
      </c>
      <c r="N1022" s="6">
        <v>1613.2570000000001</v>
      </c>
      <c r="O1022" s="6">
        <v>1613.2570000000001</v>
      </c>
      <c r="P1022" s="6">
        <v>14408</v>
      </c>
      <c r="Q1022" s="4" t="s">
        <v>26</v>
      </c>
      <c r="R1022" s="4">
        <v>0</v>
      </c>
      <c r="S1022" s="6">
        <v>0</v>
      </c>
      <c r="T1022" s="6">
        <v>46</v>
      </c>
      <c r="U1022" s="6">
        <v>99</v>
      </c>
      <c r="V1022" s="6">
        <f>IF(ISERROR(VLOOKUP($S$1022,'TAR FIN'!$A$1:$O$100,15,0)),0,VLOOKUP($S$1022,'TAR FIN'!$A$1:$O$100,15,0))</f>
        <v>0</v>
      </c>
      <c r="W1022" s="6">
        <f>IF(ISERROR(VLOOKUP($T$1022,'TAR FIN'!$A$1:$O$100,15,0)),0,VLOOKUP($T$1022,'TAR FIN'!$A$1:$O$100,15,0))</f>
        <v>251.46</v>
      </c>
      <c r="X1022" s="6">
        <f>IF(ISERROR(VLOOKUP($U$1022,'TAR FIN'!$A$1:$O$100,15,0)),0,VLOOKUP($U$1022,'TAR FIN'!$A$1:$O$100,15,0))</f>
        <v>203.57</v>
      </c>
      <c r="Y1022" s="6"/>
      <c r="Z1022" s="6">
        <f ca="1">('TUSD BE'!$AM$43+'TUSD BF'!$AM$43+'TUSD CVA'!$AM$43)*(1-CUSTOS!$M$38)</f>
        <v>268.50633429802321</v>
      </c>
      <c r="AA1022" s="6">
        <f>('TE BE'!$AA$26+'TE BF'!$AA$26+'TE CVA'!$AA$26)*(1-CUSTOS!$M$38)</f>
        <v>235.74605718547673</v>
      </c>
      <c r="AB1022" s="6">
        <f>$K$1022*$V$1022</f>
        <v>0</v>
      </c>
      <c r="AC1022" s="6">
        <f>$M$1022*$W$1022</f>
        <v>405669.60522000003</v>
      </c>
      <c r="AD1022" s="6">
        <f>$O$1022*$X$1022</f>
        <v>328410.72749000002</v>
      </c>
      <c r="AE1022" s="6">
        <f>$K$1022*$Y$1022</f>
        <v>0</v>
      </c>
      <c r="AF1022" s="6">
        <f ca="1">$M$1022*$Z$1022</f>
        <v>433169.72335062607</v>
      </c>
      <c r="AG1022" s="6">
        <f>$O$1022*$AA$1022</f>
        <v>380318.97697687068</v>
      </c>
    </row>
    <row r="1023" spans="1:33" ht="11.25" customHeight="1" x14ac:dyDescent="0.25">
      <c r="A1023" s="4" t="s">
        <v>27</v>
      </c>
      <c r="B1023" s="4" t="s">
        <v>43</v>
      </c>
      <c r="C1023" s="4" t="s">
        <v>23</v>
      </c>
      <c r="D1023" s="4" t="s">
        <v>44</v>
      </c>
      <c r="E1023" s="4" t="s">
        <v>25</v>
      </c>
      <c r="F1023" s="4" t="s">
        <v>25</v>
      </c>
      <c r="G1023" s="4" t="s">
        <v>25</v>
      </c>
      <c r="H1023" s="4" t="s">
        <v>25</v>
      </c>
      <c r="I1023" s="5">
        <v>44440</v>
      </c>
      <c r="J1023" s="6">
        <v>0</v>
      </c>
      <c r="K1023" s="6">
        <v>0</v>
      </c>
      <c r="L1023" s="6">
        <v>-5.9459999999999997</v>
      </c>
      <c r="M1023" s="6">
        <v>-5.9459999999999997</v>
      </c>
      <c r="N1023" s="6">
        <v>-5.9459999999999997</v>
      </c>
      <c r="O1023" s="6">
        <v>-5.9459999999999997</v>
      </c>
      <c r="P1023" s="6">
        <v>-2</v>
      </c>
      <c r="Q1023" s="4" t="s">
        <v>26</v>
      </c>
      <c r="R1023" s="4">
        <v>0</v>
      </c>
      <c r="S1023" s="6">
        <v>0</v>
      </c>
      <c r="T1023" s="6">
        <v>46</v>
      </c>
      <c r="U1023" s="6">
        <v>99</v>
      </c>
      <c r="V1023" s="6">
        <f>IF(ISERROR(VLOOKUP($S$1023,'TAR FIN'!$A$1:$O$100,15,0)),0,VLOOKUP($S$1023,'TAR FIN'!$A$1:$O$100,15,0))</f>
        <v>0</v>
      </c>
      <c r="W1023" s="6">
        <f>IF(ISERROR(VLOOKUP($T$1023,'TAR FIN'!$A$1:$O$100,15,0)),0,VLOOKUP($T$1023,'TAR FIN'!$A$1:$O$100,15,0))</f>
        <v>251.46</v>
      </c>
      <c r="X1023" s="6">
        <f>IF(ISERROR(VLOOKUP($U$1023,'TAR FIN'!$A$1:$O$100,15,0)),0,VLOOKUP($U$1023,'TAR FIN'!$A$1:$O$100,15,0))</f>
        <v>203.57</v>
      </c>
      <c r="Y1023" s="6"/>
      <c r="Z1023" s="6">
        <f ca="1">('TUSD BE'!$AM$43+'TUSD BF'!$AM$43+'TUSD CVA'!$AM$43)*(1-CUSTOS!$M$38)</f>
        <v>268.50633429802321</v>
      </c>
      <c r="AA1023" s="6">
        <f>('TE BE'!$AA$26+'TE BF'!$AA$26+'TE CVA'!$AA$26)*(1-CUSTOS!$M$38)</f>
        <v>235.74605718547673</v>
      </c>
      <c r="AB1023" s="6">
        <f>$K$1023*$V$1023</f>
        <v>0</v>
      </c>
      <c r="AC1023" s="6">
        <f>$M$1023*$W$1023</f>
        <v>-1495.1811600000001</v>
      </c>
      <c r="AD1023" s="6">
        <f>$O$1023*$X$1023</f>
        <v>-1210.4272199999998</v>
      </c>
      <c r="AE1023" s="6">
        <f>$K$1023*$Y$1023</f>
        <v>0</v>
      </c>
      <c r="AF1023" s="6">
        <f ca="1">$M$1023*$Z$1023</f>
        <v>-1596.5386637360459</v>
      </c>
      <c r="AG1023" s="6">
        <f>$O$1023*$AA$1023</f>
        <v>-1401.7460560248446</v>
      </c>
    </row>
    <row r="1024" spans="1:33" ht="11.25" customHeight="1" x14ac:dyDescent="0.25">
      <c r="A1024" s="4" t="s">
        <v>28</v>
      </c>
      <c r="B1024" s="4" t="s">
        <v>43</v>
      </c>
      <c r="C1024" s="4" t="s">
        <v>23</v>
      </c>
      <c r="D1024" s="4" t="s">
        <v>44</v>
      </c>
      <c r="E1024" s="4" t="s">
        <v>25</v>
      </c>
      <c r="F1024" s="4" t="s">
        <v>25</v>
      </c>
      <c r="G1024" s="4" t="s">
        <v>25</v>
      </c>
      <c r="H1024" s="4" t="s">
        <v>25</v>
      </c>
      <c r="I1024" s="5">
        <v>44440</v>
      </c>
      <c r="J1024" s="6">
        <v>0</v>
      </c>
      <c r="K1024" s="6">
        <v>0</v>
      </c>
      <c r="L1024" s="6">
        <v>4.9550000000000001</v>
      </c>
      <c r="M1024" s="6">
        <v>4.9550000000000001</v>
      </c>
      <c r="N1024" s="6">
        <v>4.9550000000000001</v>
      </c>
      <c r="O1024" s="6">
        <v>4.9550000000000001</v>
      </c>
      <c r="P1024" s="6">
        <v>31</v>
      </c>
      <c r="Q1024" s="4" t="s">
        <v>26</v>
      </c>
      <c r="R1024" s="4">
        <v>0</v>
      </c>
      <c r="S1024" s="6">
        <v>0</v>
      </c>
      <c r="T1024" s="6">
        <v>46</v>
      </c>
      <c r="U1024" s="6">
        <v>99</v>
      </c>
      <c r="V1024" s="6">
        <f>IF(ISERROR(VLOOKUP($S$1024,'TAR FIN'!$A$1:$O$100,15,0)),0,VLOOKUP($S$1024,'TAR FIN'!$A$1:$O$100,15,0))</f>
        <v>0</v>
      </c>
      <c r="W1024" s="6">
        <f>IF(ISERROR(VLOOKUP($T$1024,'TAR FIN'!$A$1:$O$100,15,0)),0,VLOOKUP($T$1024,'TAR FIN'!$A$1:$O$100,15,0))</f>
        <v>251.46</v>
      </c>
      <c r="X1024" s="6">
        <f>IF(ISERROR(VLOOKUP($U$1024,'TAR FIN'!$A$1:$O$100,15,0)),0,VLOOKUP($U$1024,'TAR FIN'!$A$1:$O$100,15,0))</f>
        <v>203.57</v>
      </c>
      <c r="Y1024" s="6"/>
      <c r="Z1024" s="6">
        <f ca="1">('TUSD BE'!$AM$43+'TUSD BF'!$AM$43+'TUSD CVA'!$AM$43)*(1-CUSTOS!$M$38)</f>
        <v>268.50633429802321</v>
      </c>
      <c r="AA1024" s="6">
        <f>('TE BE'!$AA$26+'TE BF'!$AA$26+'TE CVA'!$AA$26)*(1-CUSTOS!$M$38)</f>
        <v>235.74605718547673</v>
      </c>
      <c r="AB1024" s="6">
        <f>$K$1024*$V$1024</f>
        <v>0</v>
      </c>
      <c r="AC1024" s="6">
        <f>$M$1024*$W$1024</f>
        <v>1245.9843000000001</v>
      </c>
      <c r="AD1024" s="6">
        <f>$O$1024*$X$1024</f>
        <v>1008.68935</v>
      </c>
      <c r="AE1024" s="6">
        <f>$K$1024*$Y$1024</f>
        <v>0</v>
      </c>
      <c r="AF1024" s="6">
        <f ca="1">$M$1024*$Z$1024</f>
        <v>1330.448886446705</v>
      </c>
      <c r="AG1024" s="6">
        <f>$O$1024*$AA$1024</f>
        <v>1168.1217133540372</v>
      </c>
    </row>
    <row r="1025" spans="1:33" ht="11.25" customHeight="1" x14ac:dyDescent="0.25">
      <c r="A1025" s="4" t="s">
        <v>21</v>
      </c>
      <c r="B1025" s="4" t="s">
        <v>43</v>
      </c>
      <c r="C1025" s="4" t="s">
        <v>23</v>
      </c>
      <c r="D1025" s="4" t="s">
        <v>44</v>
      </c>
      <c r="E1025" s="4" t="s">
        <v>25</v>
      </c>
      <c r="F1025" s="4" t="s">
        <v>25</v>
      </c>
      <c r="G1025" s="4" t="s">
        <v>25</v>
      </c>
      <c r="H1025" s="4" t="s">
        <v>25</v>
      </c>
      <c r="I1025" s="5">
        <v>44470</v>
      </c>
      <c r="J1025" s="6">
        <v>0</v>
      </c>
      <c r="K1025" s="6">
        <v>0</v>
      </c>
      <c r="L1025" s="6">
        <v>1678.3979999999999</v>
      </c>
      <c r="M1025" s="6">
        <v>1678.3979999999999</v>
      </c>
      <c r="N1025" s="6">
        <v>1678.3979999999999</v>
      </c>
      <c r="O1025" s="6">
        <v>1678.3979999999999</v>
      </c>
      <c r="P1025" s="6">
        <v>14315</v>
      </c>
      <c r="Q1025" s="4" t="s">
        <v>26</v>
      </c>
      <c r="R1025" s="4">
        <v>0</v>
      </c>
      <c r="S1025" s="6">
        <v>0</v>
      </c>
      <c r="T1025" s="6">
        <v>46</v>
      </c>
      <c r="U1025" s="6">
        <v>99</v>
      </c>
      <c r="V1025" s="6">
        <f>IF(ISERROR(VLOOKUP($S$1025,'TAR FIN'!$A$1:$O$100,15,0)),0,VLOOKUP($S$1025,'TAR FIN'!$A$1:$O$100,15,0))</f>
        <v>0</v>
      </c>
      <c r="W1025" s="6">
        <f>IF(ISERROR(VLOOKUP($T$1025,'TAR FIN'!$A$1:$O$100,15,0)),0,VLOOKUP($T$1025,'TAR FIN'!$A$1:$O$100,15,0))</f>
        <v>251.46</v>
      </c>
      <c r="X1025" s="6">
        <f>IF(ISERROR(VLOOKUP($U$1025,'TAR FIN'!$A$1:$O$100,15,0)),0,VLOOKUP($U$1025,'TAR FIN'!$A$1:$O$100,15,0))</f>
        <v>203.57</v>
      </c>
      <c r="Y1025" s="6"/>
      <c r="Z1025" s="6">
        <f ca="1">('TUSD BE'!$AM$43+'TUSD BF'!$AM$43+'TUSD CVA'!$AM$43)*(1-CUSTOS!$M$38)</f>
        <v>268.50633429802321</v>
      </c>
      <c r="AA1025" s="6">
        <f>('TE BE'!$AA$26+'TE BF'!$AA$26+'TE CVA'!$AA$26)*(1-CUSTOS!$M$38)</f>
        <v>235.74605718547673</v>
      </c>
      <c r="AB1025" s="6">
        <f>$K$1025*$V$1025</f>
        <v>0</v>
      </c>
      <c r="AC1025" s="6">
        <f>$M$1025*$W$1025</f>
        <v>422049.96107999998</v>
      </c>
      <c r="AD1025" s="6">
        <f>$O$1025*$X$1025</f>
        <v>341671.48085999995</v>
      </c>
      <c r="AE1025" s="6">
        <f>$K$1025*$Y$1025</f>
        <v>0</v>
      </c>
      <c r="AF1025" s="6">
        <f ca="1">$M$1025*$Z$1025</f>
        <v>450660.49447313353</v>
      </c>
      <c r="AG1025" s="6">
        <f>$O$1025*$AA$1025</f>
        <v>395675.71088798973</v>
      </c>
    </row>
    <row r="1026" spans="1:33" ht="11.25" customHeight="1" x14ac:dyDescent="0.25">
      <c r="A1026" s="4" t="s">
        <v>27</v>
      </c>
      <c r="B1026" s="4" t="s">
        <v>43</v>
      </c>
      <c r="C1026" s="4" t="s">
        <v>23</v>
      </c>
      <c r="D1026" s="4" t="s">
        <v>44</v>
      </c>
      <c r="E1026" s="4" t="s">
        <v>25</v>
      </c>
      <c r="F1026" s="4" t="s">
        <v>25</v>
      </c>
      <c r="G1026" s="4" t="s">
        <v>25</v>
      </c>
      <c r="H1026" s="4" t="s">
        <v>25</v>
      </c>
      <c r="I1026" s="5">
        <v>44470</v>
      </c>
      <c r="J1026" s="6">
        <v>0</v>
      </c>
      <c r="K1026" s="6">
        <v>0</v>
      </c>
      <c r="L1026" s="6">
        <v>-6.0999999999999999E-2</v>
      </c>
      <c r="M1026" s="6">
        <v>-6.0999999999999999E-2</v>
      </c>
      <c r="N1026" s="6">
        <v>-6.0999999999999999E-2</v>
      </c>
      <c r="O1026" s="6">
        <v>-6.0999999999999999E-2</v>
      </c>
      <c r="P1026" s="6">
        <v>0</v>
      </c>
      <c r="Q1026" s="4" t="s">
        <v>26</v>
      </c>
      <c r="R1026" s="4">
        <v>0</v>
      </c>
      <c r="S1026" s="6">
        <v>0</v>
      </c>
      <c r="T1026" s="6">
        <v>46</v>
      </c>
      <c r="U1026" s="6">
        <v>99</v>
      </c>
      <c r="V1026" s="6">
        <f>IF(ISERROR(VLOOKUP($S$1026,'TAR FIN'!$A$1:$O$100,15,0)),0,VLOOKUP($S$1026,'TAR FIN'!$A$1:$O$100,15,0))</f>
        <v>0</v>
      </c>
      <c r="W1026" s="6">
        <f>IF(ISERROR(VLOOKUP($T$1026,'TAR FIN'!$A$1:$O$100,15,0)),0,VLOOKUP($T$1026,'TAR FIN'!$A$1:$O$100,15,0))</f>
        <v>251.46</v>
      </c>
      <c r="X1026" s="6">
        <f>IF(ISERROR(VLOOKUP($U$1026,'TAR FIN'!$A$1:$O$100,15,0)),0,VLOOKUP($U$1026,'TAR FIN'!$A$1:$O$100,15,0))</f>
        <v>203.57</v>
      </c>
      <c r="Y1026" s="6"/>
      <c r="Z1026" s="6">
        <f ca="1">('TUSD BE'!$AM$43+'TUSD BF'!$AM$43+'TUSD CVA'!$AM$43)*(1-CUSTOS!$M$38)</f>
        <v>268.50633429802321</v>
      </c>
      <c r="AA1026" s="6">
        <f>('TE BE'!$AA$26+'TE BF'!$AA$26+'TE CVA'!$AA$26)*(1-CUSTOS!$M$38)</f>
        <v>235.74605718547673</v>
      </c>
      <c r="AB1026" s="6">
        <f>$K$1026*$V$1026</f>
        <v>0</v>
      </c>
      <c r="AC1026" s="6">
        <f>$M$1026*$W$1026</f>
        <v>-15.33906</v>
      </c>
      <c r="AD1026" s="6">
        <f>$O$1026*$X$1026</f>
        <v>-12.417769999999999</v>
      </c>
      <c r="AE1026" s="6">
        <f>$K$1026*$Y$1026</f>
        <v>0</v>
      </c>
      <c r="AF1026" s="6">
        <f ca="1">$M$1026*$Z$1026</f>
        <v>-16.378886392179414</v>
      </c>
      <c r="AG1026" s="6">
        <f>$O$1026*$AA$1026</f>
        <v>-14.380509488314081</v>
      </c>
    </row>
    <row r="1027" spans="1:33" ht="11.25" customHeight="1" x14ac:dyDescent="0.25">
      <c r="A1027" s="4" t="s">
        <v>28</v>
      </c>
      <c r="B1027" s="4" t="s">
        <v>43</v>
      </c>
      <c r="C1027" s="4" t="s">
        <v>23</v>
      </c>
      <c r="D1027" s="4" t="s">
        <v>44</v>
      </c>
      <c r="E1027" s="4" t="s">
        <v>25</v>
      </c>
      <c r="F1027" s="4" t="s">
        <v>25</v>
      </c>
      <c r="G1027" s="4" t="s">
        <v>25</v>
      </c>
      <c r="H1027" s="4" t="s">
        <v>25</v>
      </c>
      <c r="I1027" s="5">
        <v>44470</v>
      </c>
      <c r="J1027" s="6">
        <v>0</v>
      </c>
      <c r="K1027" s="6">
        <v>0</v>
      </c>
      <c r="L1027" s="6">
        <v>4.7480000000000002</v>
      </c>
      <c r="M1027" s="6">
        <v>4.7480000000000002</v>
      </c>
      <c r="N1027" s="6">
        <v>4.7480000000000002</v>
      </c>
      <c r="O1027" s="6">
        <v>4.7480000000000002</v>
      </c>
      <c r="P1027" s="6">
        <v>33</v>
      </c>
      <c r="Q1027" s="4" t="s">
        <v>26</v>
      </c>
      <c r="R1027" s="4">
        <v>0</v>
      </c>
      <c r="S1027" s="6">
        <v>0</v>
      </c>
      <c r="T1027" s="6">
        <v>46</v>
      </c>
      <c r="U1027" s="6">
        <v>99</v>
      </c>
      <c r="V1027" s="6">
        <f>IF(ISERROR(VLOOKUP($S$1027,'TAR FIN'!$A$1:$O$100,15,0)),0,VLOOKUP($S$1027,'TAR FIN'!$A$1:$O$100,15,0))</f>
        <v>0</v>
      </c>
      <c r="W1027" s="6">
        <f>IF(ISERROR(VLOOKUP($T$1027,'TAR FIN'!$A$1:$O$100,15,0)),0,VLOOKUP($T$1027,'TAR FIN'!$A$1:$O$100,15,0))</f>
        <v>251.46</v>
      </c>
      <c r="X1027" s="6">
        <f>IF(ISERROR(VLOOKUP($U$1027,'TAR FIN'!$A$1:$O$100,15,0)),0,VLOOKUP($U$1027,'TAR FIN'!$A$1:$O$100,15,0))</f>
        <v>203.57</v>
      </c>
      <c r="Y1027" s="6"/>
      <c r="Z1027" s="6">
        <f ca="1">('TUSD BE'!$AM$43+'TUSD BF'!$AM$43+'TUSD CVA'!$AM$43)*(1-CUSTOS!$M$38)</f>
        <v>268.50633429802321</v>
      </c>
      <c r="AA1027" s="6">
        <f>('TE BE'!$AA$26+'TE BF'!$AA$26+'TE CVA'!$AA$26)*(1-CUSTOS!$M$38)</f>
        <v>235.74605718547673</v>
      </c>
      <c r="AB1027" s="6">
        <f>$K$1027*$V$1027</f>
        <v>0</v>
      </c>
      <c r="AC1027" s="6">
        <f>$M$1027*$W$1027</f>
        <v>1193.93208</v>
      </c>
      <c r="AD1027" s="6">
        <f>$O$1027*$X$1027</f>
        <v>966.55036000000007</v>
      </c>
      <c r="AE1027" s="6">
        <f>$K$1027*$Y$1027</f>
        <v>0</v>
      </c>
      <c r="AF1027" s="6">
        <f ca="1">$M$1027*$Z$1027</f>
        <v>1274.8680752470143</v>
      </c>
      <c r="AG1027" s="6">
        <f>$O$1027*$AA$1027</f>
        <v>1119.3222795166437</v>
      </c>
    </row>
    <row r="1028" spans="1:33" ht="11.25" customHeight="1" x14ac:dyDescent="0.25">
      <c r="A1028" s="4" t="s">
        <v>21</v>
      </c>
      <c r="B1028" s="4" t="s">
        <v>43</v>
      </c>
      <c r="C1028" s="4" t="s">
        <v>23</v>
      </c>
      <c r="D1028" s="4" t="s">
        <v>44</v>
      </c>
      <c r="E1028" s="4" t="s">
        <v>25</v>
      </c>
      <c r="F1028" s="4" t="s">
        <v>25</v>
      </c>
      <c r="G1028" s="4" t="s">
        <v>25</v>
      </c>
      <c r="H1028" s="4" t="s">
        <v>25</v>
      </c>
      <c r="I1028" s="5">
        <v>44501</v>
      </c>
      <c r="J1028" s="6">
        <v>0</v>
      </c>
      <c r="K1028" s="6">
        <v>0</v>
      </c>
      <c r="L1028" s="6">
        <v>1680.3589999999999</v>
      </c>
      <c r="M1028" s="6">
        <v>1680.3589999999999</v>
      </c>
      <c r="N1028" s="6">
        <v>1680.3589999999999</v>
      </c>
      <c r="O1028" s="6">
        <v>1680.3589999999999</v>
      </c>
      <c r="P1028" s="6">
        <v>14274</v>
      </c>
      <c r="Q1028" s="4" t="s">
        <v>26</v>
      </c>
      <c r="R1028" s="4">
        <v>0</v>
      </c>
      <c r="S1028" s="6">
        <v>0</v>
      </c>
      <c r="T1028" s="6">
        <v>46</v>
      </c>
      <c r="U1028" s="6">
        <v>99</v>
      </c>
      <c r="V1028" s="6">
        <f>IF(ISERROR(VLOOKUP($S$1028,'TAR FIN'!$A$1:$O$100,15,0)),0,VLOOKUP($S$1028,'TAR FIN'!$A$1:$O$100,15,0))</f>
        <v>0</v>
      </c>
      <c r="W1028" s="6">
        <f>IF(ISERROR(VLOOKUP($T$1028,'TAR FIN'!$A$1:$O$100,15,0)),0,VLOOKUP($T$1028,'TAR FIN'!$A$1:$O$100,15,0))</f>
        <v>251.46</v>
      </c>
      <c r="X1028" s="6">
        <f>IF(ISERROR(VLOOKUP($U$1028,'TAR FIN'!$A$1:$O$100,15,0)),0,VLOOKUP($U$1028,'TAR FIN'!$A$1:$O$100,15,0))</f>
        <v>203.57</v>
      </c>
      <c r="Y1028" s="6"/>
      <c r="Z1028" s="6">
        <f ca="1">('TUSD BE'!$AM$43+'TUSD BF'!$AM$43+'TUSD CVA'!$AM$43)*(1-CUSTOS!$M$38)</f>
        <v>268.50633429802321</v>
      </c>
      <c r="AA1028" s="6">
        <f>('TE BE'!$AA$26+'TE BF'!$AA$26+'TE CVA'!$AA$26)*(1-CUSTOS!$M$38)</f>
        <v>235.74605718547673</v>
      </c>
      <c r="AB1028" s="6">
        <f>$K$1028*$V$1028</f>
        <v>0</v>
      </c>
      <c r="AC1028" s="6">
        <f>$M$1028*$W$1028</f>
        <v>422543.07413999998</v>
      </c>
      <c r="AD1028" s="6">
        <f>$O$1028*$X$1028</f>
        <v>342070.68162999995</v>
      </c>
      <c r="AE1028" s="6">
        <f>$K$1028*$Y$1028</f>
        <v>0</v>
      </c>
      <c r="AF1028" s="6">
        <f ca="1">$M$1028*$Z$1028</f>
        <v>451187.03539469198</v>
      </c>
      <c r="AG1028" s="6">
        <f>$O$1028*$AA$1028</f>
        <v>396138.00890613045</v>
      </c>
    </row>
    <row r="1029" spans="1:33" ht="11.25" customHeight="1" x14ac:dyDescent="0.25">
      <c r="A1029" s="4" t="s">
        <v>28</v>
      </c>
      <c r="B1029" s="4" t="s">
        <v>43</v>
      </c>
      <c r="C1029" s="4" t="s">
        <v>23</v>
      </c>
      <c r="D1029" s="4" t="s">
        <v>44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44501</v>
      </c>
      <c r="J1029" s="6">
        <v>0</v>
      </c>
      <c r="K1029" s="6">
        <v>0</v>
      </c>
      <c r="L1029" s="6">
        <v>4.859</v>
      </c>
      <c r="M1029" s="6">
        <v>4.859</v>
      </c>
      <c r="N1029" s="6">
        <v>4.859</v>
      </c>
      <c r="O1029" s="6">
        <v>4.859</v>
      </c>
      <c r="P1029" s="6">
        <v>38</v>
      </c>
      <c r="Q1029" s="4" t="s">
        <v>26</v>
      </c>
      <c r="R1029" s="4">
        <v>0</v>
      </c>
      <c r="S1029" s="6">
        <v>0</v>
      </c>
      <c r="T1029" s="6">
        <v>46</v>
      </c>
      <c r="U1029" s="6">
        <v>99</v>
      </c>
      <c r="V1029" s="6">
        <f>IF(ISERROR(VLOOKUP($S$1029,'TAR FIN'!$A$1:$O$100,15,0)),0,VLOOKUP($S$1029,'TAR FIN'!$A$1:$O$100,15,0))</f>
        <v>0</v>
      </c>
      <c r="W1029" s="6">
        <f>IF(ISERROR(VLOOKUP($T$1029,'TAR FIN'!$A$1:$O$100,15,0)),0,VLOOKUP($T$1029,'TAR FIN'!$A$1:$O$100,15,0))</f>
        <v>251.46</v>
      </c>
      <c r="X1029" s="6">
        <f>IF(ISERROR(VLOOKUP($U$1029,'TAR FIN'!$A$1:$O$100,15,0)),0,VLOOKUP($U$1029,'TAR FIN'!$A$1:$O$100,15,0))</f>
        <v>203.57</v>
      </c>
      <c r="Y1029" s="6"/>
      <c r="Z1029" s="6">
        <f ca="1">('TUSD BE'!$AM$43+'TUSD BF'!$AM$43+'TUSD CVA'!$AM$43)*(1-CUSTOS!$M$38)</f>
        <v>268.50633429802321</v>
      </c>
      <c r="AA1029" s="6">
        <f>('TE BE'!$AA$26+'TE BF'!$AA$26+'TE CVA'!$AA$26)*(1-CUSTOS!$M$38)</f>
        <v>235.74605718547673</v>
      </c>
      <c r="AB1029" s="6">
        <f>$K$1029*$V$1029</f>
        <v>0</v>
      </c>
      <c r="AC1029" s="6">
        <f>$M$1029*$W$1029</f>
        <v>1221.8441399999999</v>
      </c>
      <c r="AD1029" s="6">
        <f>$O$1029*$X$1029</f>
        <v>989.14662999999996</v>
      </c>
      <c r="AE1029" s="6">
        <f>$K$1029*$Y$1029</f>
        <v>0</v>
      </c>
      <c r="AF1029" s="6">
        <f ca="1">$M$1029*$Z$1029</f>
        <v>1304.6722783540947</v>
      </c>
      <c r="AG1029" s="6">
        <f>$O$1029*$AA$1029</f>
        <v>1145.4900918642313</v>
      </c>
    </row>
    <row r="1030" spans="1:33" ht="11.25" customHeight="1" x14ac:dyDescent="0.25">
      <c r="A1030" s="4" t="s">
        <v>21</v>
      </c>
      <c r="B1030" s="4" t="s">
        <v>43</v>
      </c>
      <c r="C1030" s="4" t="s">
        <v>23</v>
      </c>
      <c r="D1030" s="4" t="s">
        <v>44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44531</v>
      </c>
      <c r="J1030" s="6">
        <v>0</v>
      </c>
      <c r="K1030" s="6">
        <v>0</v>
      </c>
      <c r="L1030" s="6">
        <v>1733.576</v>
      </c>
      <c r="M1030" s="6">
        <v>1733.576</v>
      </c>
      <c r="N1030" s="6">
        <v>1733.576</v>
      </c>
      <c r="O1030" s="6">
        <v>1733.576</v>
      </c>
      <c r="P1030" s="6">
        <v>14293</v>
      </c>
      <c r="Q1030" s="4" t="s">
        <v>26</v>
      </c>
      <c r="R1030" s="4">
        <v>0</v>
      </c>
      <c r="S1030" s="6">
        <v>0</v>
      </c>
      <c r="T1030" s="6">
        <v>46</v>
      </c>
      <c r="U1030" s="6">
        <v>99</v>
      </c>
      <c r="V1030" s="6">
        <f>IF(ISERROR(VLOOKUP($S$1030,'TAR FIN'!$A$1:$O$100,15,0)),0,VLOOKUP($S$1030,'TAR FIN'!$A$1:$O$100,15,0))</f>
        <v>0</v>
      </c>
      <c r="W1030" s="6">
        <f>IF(ISERROR(VLOOKUP($T$1030,'TAR FIN'!$A$1:$O$100,15,0)),0,VLOOKUP($T$1030,'TAR FIN'!$A$1:$O$100,15,0))</f>
        <v>251.46</v>
      </c>
      <c r="X1030" s="6">
        <f>IF(ISERROR(VLOOKUP($U$1030,'TAR FIN'!$A$1:$O$100,15,0)),0,VLOOKUP($U$1030,'TAR FIN'!$A$1:$O$100,15,0))</f>
        <v>203.57</v>
      </c>
      <c r="Y1030" s="6"/>
      <c r="Z1030" s="6">
        <f ca="1">('TUSD BE'!$AM$43+'TUSD BF'!$AM$43+'TUSD CVA'!$AM$43)*(1-CUSTOS!$M$38)</f>
        <v>268.50633429802321</v>
      </c>
      <c r="AA1030" s="6">
        <f>('TE BE'!$AA$26+'TE BF'!$AA$26+'TE CVA'!$AA$26)*(1-CUSTOS!$M$38)</f>
        <v>235.74605718547673</v>
      </c>
      <c r="AB1030" s="6">
        <f>$K$1030*$V$1030</f>
        <v>0</v>
      </c>
      <c r="AC1030" s="6">
        <f>$M$1030*$W$1030</f>
        <v>435925.02095999999</v>
      </c>
      <c r="AD1030" s="6">
        <f>$O$1030*$X$1030</f>
        <v>352904.06631999998</v>
      </c>
      <c r="AE1030" s="6">
        <f>$K$1030*$Y$1030</f>
        <v>0</v>
      </c>
      <c r="AF1030" s="6">
        <f ca="1">$M$1030*$Z$1030</f>
        <v>465476.13698702987</v>
      </c>
      <c r="AG1030" s="6">
        <f>$O$1030*$AA$1030</f>
        <v>408683.70683137001</v>
      </c>
    </row>
    <row r="1031" spans="1:33" ht="11.25" customHeight="1" x14ac:dyDescent="0.25">
      <c r="A1031" s="4" t="s">
        <v>27</v>
      </c>
      <c r="B1031" s="4" t="s">
        <v>43</v>
      </c>
      <c r="C1031" s="4" t="s">
        <v>23</v>
      </c>
      <c r="D1031" s="4" t="s">
        <v>44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44531</v>
      </c>
      <c r="J1031" s="6">
        <v>0</v>
      </c>
      <c r="K1031" s="6">
        <v>0</v>
      </c>
      <c r="L1031" s="6">
        <v>-0.97099999999999997</v>
      </c>
      <c r="M1031" s="6">
        <v>-0.97099999999999997</v>
      </c>
      <c r="N1031" s="6">
        <v>-0.97099999999999997</v>
      </c>
      <c r="O1031" s="6">
        <v>-0.97099999999999997</v>
      </c>
      <c r="P1031" s="6">
        <v>0</v>
      </c>
      <c r="Q1031" s="4" t="s">
        <v>26</v>
      </c>
      <c r="R1031" s="4">
        <v>0</v>
      </c>
      <c r="S1031" s="6">
        <v>0</v>
      </c>
      <c r="T1031" s="6">
        <v>46</v>
      </c>
      <c r="U1031" s="6">
        <v>99</v>
      </c>
      <c r="V1031" s="6">
        <f>IF(ISERROR(VLOOKUP($S$1031,'TAR FIN'!$A$1:$O$100,15,0)),0,VLOOKUP($S$1031,'TAR FIN'!$A$1:$O$100,15,0))</f>
        <v>0</v>
      </c>
      <c r="W1031" s="6">
        <f>IF(ISERROR(VLOOKUP($T$1031,'TAR FIN'!$A$1:$O$100,15,0)),0,VLOOKUP($T$1031,'TAR FIN'!$A$1:$O$100,15,0))</f>
        <v>251.46</v>
      </c>
      <c r="X1031" s="6">
        <f>IF(ISERROR(VLOOKUP($U$1031,'TAR FIN'!$A$1:$O$100,15,0)),0,VLOOKUP($U$1031,'TAR FIN'!$A$1:$O$100,15,0))</f>
        <v>203.57</v>
      </c>
      <c r="Y1031" s="6"/>
      <c r="Z1031" s="6">
        <f ca="1">('TUSD BE'!$AM$43+'TUSD BF'!$AM$43+'TUSD CVA'!$AM$43)*(1-CUSTOS!$M$38)</f>
        <v>268.50633429802321</v>
      </c>
      <c r="AA1031" s="6">
        <f>('TE BE'!$AA$26+'TE BF'!$AA$26+'TE CVA'!$AA$26)*(1-CUSTOS!$M$38)</f>
        <v>235.74605718547673</v>
      </c>
      <c r="AB1031" s="6">
        <f>$K$1031*$V$1031</f>
        <v>0</v>
      </c>
      <c r="AC1031" s="6">
        <f>$M$1031*$W$1031</f>
        <v>-244.16766000000001</v>
      </c>
      <c r="AD1031" s="6">
        <f>$O$1031*$X$1031</f>
        <v>-197.66646999999998</v>
      </c>
      <c r="AE1031" s="6">
        <f>$K$1031*$Y$1031</f>
        <v>0</v>
      </c>
      <c r="AF1031" s="6">
        <f ca="1">$M$1031*$Z$1031</f>
        <v>-260.7196506033805</v>
      </c>
      <c r="AG1031" s="6">
        <f>$O$1031*$AA$1031</f>
        <v>-228.90942152709789</v>
      </c>
    </row>
    <row r="1032" spans="1:33" ht="11.25" customHeight="1" x14ac:dyDescent="0.25">
      <c r="A1032" s="4" t="s">
        <v>28</v>
      </c>
      <c r="B1032" s="4" t="s">
        <v>43</v>
      </c>
      <c r="C1032" s="4" t="s">
        <v>23</v>
      </c>
      <c r="D1032" s="4" t="s">
        <v>44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44531</v>
      </c>
      <c r="J1032" s="6">
        <v>0</v>
      </c>
      <c r="K1032" s="6">
        <v>0</v>
      </c>
      <c r="L1032" s="6">
        <v>6.4180000000000001</v>
      </c>
      <c r="M1032" s="6">
        <v>6.4180000000000001</v>
      </c>
      <c r="N1032" s="6">
        <v>6.4180000000000001</v>
      </c>
      <c r="O1032" s="6">
        <v>6.4180000000000001</v>
      </c>
      <c r="P1032" s="6">
        <v>41</v>
      </c>
      <c r="Q1032" s="4" t="s">
        <v>26</v>
      </c>
      <c r="R1032" s="4">
        <v>0</v>
      </c>
      <c r="S1032" s="6">
        <v>0</v>
      </c>
      <c r="T1032" s="6">
        <v>46</v>
      </c>
      <c r="U1032" s="6">
        <v>99</v>
      </c>
      <c r="V1032" s="6">
        <f>IF(ISERROR(VLOOKUP($S$1032,'TAR FIN'!$A$1:$O$100,15,0)),0,VLOOKUP($S$1032,'TAR FIN'!$A$1:$O$100,15,0))</f>
        <v>0</v>
      </c>
      <c r="W1032" s="6">
        <f>IF(ISERROR(VLOOKUP($T$1032,'TAR FIN'!$A$1:$O$100,15,0)),0,VLOOKUP($T$1032,'TAR FIN'!$A$1:$O$100,15,0))</f>
        <v>251.46</v>
      </c>
      <c r="X1032" s="6">
        <f>IF(ISERROR(VLOOKUP($U$1032,'TAR FIN'!$A$1:$O$100,15,0)),0,VLOOKUP($U$1032,'TAR FIN'!$A$1:$O$100,15,0))</f>
        <v>203.57</v>
      </c>
      <c r="Y1032" s="6"/>
      <c r="Z1032" s="6">
        <f ca="1">('TUSD BE'!$AM$43+'TUSD BF'!$AM$43+'TUSD CVA'!$AM$43)*(1-CUSTOS!$M$38)</f>
        <v>268.50633429802321</v>
      </c>
      <c r="AA1032" s="6">
        <f>('TE BE'!$AA$26+'TE BF'!$AA$26+'TE CVA'!$AA$26)*(1-CUSTOS!$M$38)</f>
        <v>235.74605718547673</v>
      </c>
      <c r="AB1032" s="6">
        <f>$K$1032*$V$1032</f>
        <v>0</v>
      </c>
      <c r="AC1032" s="6">
        <f>$M$1032*$W$1032</f>
        <v>1613.8702800000001</v>
      </c>
      <c r="AD1032" s="6">
        <f>$O$1032*$X$1032</f>
        <v>1306.51226</v>
      </c>
      <c r="AE1032" s="6">
        <f>$K$1032*$Y$1032</f>
        <v>0</v>
      </c>
      <c r="AF1032" s="6">
        <f ca="1">$M$1032*$Z$1032</f>
        <v>1723.2736535247129</v>
      </c>
      <c r="AG1032" s="6">
        <f>$O$1032*$AA$1032</f>
        <v>1513.0181950163897</v>
      </c>
    </row>
    <row r="1033" spans="1:33" ht="11.25" customHeight="1" x14ac:dyDescent="0.25">
      <c r="A1033" s="4" t="s">
        <v>55</v>
      </c>
      <c r="B1033" s="4" t="s">
        <v>43</v>
      </c>
      <c r="C1033" s="4" t="s">
        <v>23</v>
      </c>
      <c r="D1033" s="4" t="s">
        <v>44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44562</v>
      </c>
      <c r="J1033" s="6">
        <v>0</v>
      </c>
      <c r="K1033" s="6">
        <v>0</v>
      </c>
      <c r="L1033" s="6">
        <v>1733.576</v>
      </c>
      <c r="M1033" s="6">
        <v>1733.576</v>
      </c>
      <c r="N1033" s="6">
        <v>1733.576</v>
      </c>
      <c r="O1033" s="6">
        <v>1733.576</v>
      </c>
      <c r="P1033" s="6">
        <v>14293</v>
      </c>
      <c r="Q1033" s="4" t="s">
        <v>26</v>
      </c>
      <c r="R1033" s="4">
        <v>0</v>
      </c>
      <c r="S1033" s="6">
        <v>0</v>
      </c>
      <c r="T1033" s="6">
        <v>46</v>
      </c>
      <c r="U1033" s="6">
        <v>99</v>
      </c>
      <c r="V1033" s="6">
        <f>IF(ISERROR(VLOOKUP($S$1033,'TAR FIN'!$A$1:$O$100,15,0)),0,VLOOKUP($S$1033,'TAR FIN'!$A$1:$O$100,15,0))</f>
        <v>0</v>
      </c>
      <c r="W1033" s="6">
        <f>IF(ISERROR(VLOOKUP($T$1033,'TAR FIN'!$A$1:$O$100,15,0)),0,VLOOKUP($T$1033,'TAR FIN'!$A$1:$O$100,15,0))</f>
        <v>251.46</v>
      </c>
      <c r="X1033" s="6">
        <f>IF(ISERROR(VLOOKUP($U$1033,'TAR FIN'!$A$1:$O$100,15,0)),0,VLOOKUP($U$1033,'TAR FIN'!$A$1:$O$100,15,0))</f>
        <v>203.57</v>
      </c>
      <c r="Y1033" s="6"/>
      <c r="Z1033" s="6">
        <f ca="1">('TUSD BE'!$AM$43+'TUSD BF'!$AM$43+'TUSD CVA'!$AM$43)*(1-CUSTOS!$M$38)</f>
        <v>268.50633429802321</v>
      </c>
      <c r="AA1033" s="6">
        <f>('TE BE'!$AA$26+'TE BF'!$AA$26+'TE CVA'!$AA$26)*(1-CUSTOS!$M$38)</f>
        <v>235.74605718547673</v>
      </c>
      <c r="AB1033" s="6">
        <f>$K$1033*$V$1033</f>
        <v>0</v>
      </c>
      <c r="AC1033" s="6">
        <f>$M$1033*$W$1033</f>
        <v>435925.02095999999</v>
      </c>
      <c r="AD1033" s="6">
        <f>$O$1033*$X$1033</f>
        <v>352904.06631999998</v>
      </c>
      <c r="AE1033" s="6">
        <f>$K$1033*$Y$1033</f>
        <v>0</v>
      </c>
      <c r="AF1033" s="6">
        <f ca="1">$M$1033*$Z$1033</f>
        <v>465476.13698702987</v>
      </c>
      <c r="AG1033" s="6">
        <f>$O$1033*$AA$1033</f>
        <v>408683.70683137001</v>
      </c>
    </row>
    <row r="1034" spans="1:33" ht="11.25" customHeight="1" x14ac:dyDescent="0.25">
      <c r="A1034" s="4" t="s">
        <v>55</v>
      </c>
      <c r="B1034" s="4" t="s">
        <v>43</v>
      </c>
      <c r="C1034" s="4" t="s">
        <v>23</v>
      </c>
      <c r="D1034" s="4" t="s">
        <v>44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44562</v>
      </c>
      <c r="J1034" s="6">
        <v>0</v>
      </c>
      <c r="K1034" s="6">
        <v>0</v>
      </c>
      <c r="L1034" s="6">
        <v>-0.97099999999999997</v>
      </c>
      <c r="M1034" s="6">
        <v>-0.97099999999999997</v>
      </c>
      <c r="N1034" s="6">
        <v>-0.97099999999999997</v>
      </c>
      <c r="O1034" s="6">
        <v>-0.97099999999999997</v>
      </c>
      <c r="P1034" s="6">
        <v>0</v>
      </c>
      <c r="Q1034" s="4" t="s">
        <v>26</v>
      </c>
      <c r="R1034" s="4">
        <v>0</v>
      </c>
      <c r="S1034" s="6">
        <v>0</v>
      </c>
      <c r="T1034" s="6">
        <v>46</v>
      </c>
      <c r="U1034" s="6">
        <v>99</v>
      </c>
      <c r="V1034" s="6">
        <f>IF(ISERROR(VLOOKUP($S$1034,'TAR FIN'!$A$1:$O$100,15,0)),0,VLOOKUP($S$1034,'TAR FIN'!$A$1:$O$100,15,0))</f>
        <v>0</v>
      </c>
      <c r="W1034" s="6">
        <f>IF(ISERROR(VLOOKUP($T$1034,'TAR FIN'!$A$1:$O$100,15,0)),0,VLOOKUP($T$1034,'TAR FIN'!$A$1:$O$100,15,0))</f>
        <v>251.46</v>
      </c>
      <c r="X1034" s="6">
        <f>IF(ISERROR(VLOOKUP($U$1034,'TAR FIN'!$A$1:$O$100,15,0)),0,VLOOKUP($U$1034,'TAR FIN'!$A$1:$O$100,15,0))</f>
        <v>203.57</v>
      </c>
      <c r="Y1034" s="6"/>
      <c r="Z1034" s="6">
        <f ca="1">('TUSD BE'!$AM$43+'TUSD BF'!$AM$43+'TUSD CVA'!$AM$43)*(1-CUSTOS!$M$38)</f>
        <v>268.50633429802321</v>
      </c>
      <c r="AA1034" s="6">
        <f>('TE BE'!$AA$26+'TE BF'!$AA$26+'TE CVA'!$AA$26)*(1-CUSTOS!$M$38)</f>
        <v>235.74605718547673</v>
      </c>
      <c r="AB1034" s="6">
        <f>$K$1034*$V$1034</f>
        <v>0</v>
      </c>
      <c r="AC1034" s="6">
        <f>$M$1034*$W$1034</f>
        <v>-244.16766000000001</v>
      </c>
      <c r="AD1034" s="6">
        <f>$O$1034*$X$1034</f>
        <v>-197.66646999999998</v>
      </c>
      <c r="AE1034" s="6">
        <f>$K$1034*$Y$1034</f>
        <v>0</v>
      </c>
      <c r="AF1034" s="6">
        <f ca="1">$M$1034*$Z$1034</f>
        <v>-260.7196506033805</v>
      </c>
      <c r="AG1034" s="6">
        <f>$O$1034*$AA$1034</f>
        <v>-228.90942152709789</v>
      </c>
    </row>
    <row r="1035" spans="1:33" ht="11.25" customHeight="1" x14ac:dyDescent="0.25">
      <c r="A1035" s="4" t="s">
        <v>55</v>
      </c>
      <c r="B1035" s="4" t="s">
        <v>43</v>
      </c>
      <c r="C1035" s="4" t="s">
        <v>23</v>
      </c>
      <c r="D1035" s="4" t="s">
        <v>44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44562</v>
      </c>
      <c r="J1035" s="6">
        <v>0</v>
      </c>
      <c r="K1035" s="6">
        <v>0</v>
      </c>
      <c r="L1035" s="6">
        <v>6.4180000000000001</v>
      </c>
      <c r="M1035" s="6">
        <v>6.4180000000000001</v>
      </c>
      <c r="N1035" s="6">
        <v>6.4180000000000001</v>
      </c>
      <c r="O1035" s="6">
        <v>6.4180000000000001</v>
      </c>
      <c r="P1035" s="6">
        <v>41</v>
      </c>
      <c r="Q1035" s="4" t="s">
        <v>26</v>
      </c>
      <c r="R1035" s="4">
        <v>0</v>
      </c>
      <c r="S1035" s="6">
        <v>0</v>
      </c>
      <c r="T1035" s="6">
        <v>46</v>
      </c>
      <c r="U1035" s="6">
        <v>99</v>
      </c>
      <c r="V1035" s="6">
        <f>IF(ISERROR(VLOOKUP($S$1035,'TAR FIN'!$A$1:$O$100,15,0)),0,VLOOKUP($S$1035,'TAR FIN'!$A$1:$O$100,15,0))</f>
        <v>0</v>
      </c>
      <c r="W1035" s="6">
        <f>IF(ISERROR(VLOOKUP($T$1035,'TAR FIN'!$A$1:$O$100,15,0)),0,VLOOKUP($T$1035,'TAR FIN'!$A$1:$O$100,15,0))</f>
        <v>251.46</v>
      </c>
      <c r="X1035" s="6">
        <f>IF(ISERROR(VLOOKUP($U$1035,'TAR FIN'!$A$1:$O$100,15,0)),0,VLOOKUP($U$1035,'TAR FIN'!$A$1:$O$100,15,0))</f>
        <v>203.57</v>
      </c>
      <c r="Y1035" s="6"/>
      <c r="Z1035" s="6">
        <f ca="1">('TUSD BE'!$AM$43+'TUSD BF'!$AM$43+'TUSD CVA'!$AM$43)*(1-CUSTOS!$M$38)</f>
        <v>268.50633429802321</v>
      </c>
      <c r="AA1035" s="6">
        <f>('TE BE'!$AA$26+'TE BF'!$AA$26+'TE CVA'!$AA$26)*(1-CUSTOS!$M$38)</f>
        <v>235.74605718547673</v>
      </c>
      <c r="AB1035" s="6">
        <f>$K$1035*$V$1035</f>
        <v>0</v>
      </c>
      <c r="AC1035" s="6">
        <f>$M$1035*$W$1035</f>
        <v>1613.8702800000001</v>
      </c>
      <c r="AD1035" s="6">
        <f>$O$1035*$X$1035</f>
        <v>1306.51226</v>
      </c>
      <c r="AE1035" s="6">
        <f>$K$1035*$Y$1035</f>
        <v>0</v>
      </c>
      <c r="AF1035" s="6">
        <f ca="1">$M$1035*$Z$1035</f>
        <v>1723.2736535247129</v>
      </c>
      <c r="AG1035" s="6">
        <f>$O$1035*$AA$1035</f>
        <v>1513.0181950163897</v>
      </c>
    </row>
    <row r="1036" spans="1:33" ht="11.25" customHeight="1" x14ac:dyDescent="0.25">
      <c r="A1036" s="4" t="s">
        <v>21</v>
      </c>
      <c r="B1036" s="4" t="s">
        <v>37</v>
      </c>
      <c r="C1036" s="4" t="s">
        <v>33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35</v>
      </c>
      <c r="I1036" s="5">
        <v>44228</v>
      </c>
      <c r="J1036" s="6">
        <v>0</v>
      </c>
      <c r="K1036" s="6">
        <v>0</v>
      </c>
      <c r="L1036" s="6">
        <v>9.2070000000000007</v>
      </c>
      <c r="M1036" s="6">
        <v>9.2070000000000007</v>
      </c>
      <c r="N1036" s="6">
        <v>9.2070000000000007</v>
      </c>
      <c r="O1036" s="6">
        <v>9.2070000000000007</v>
      </c>
      <c r="P1036" s="6">
        <v>0</v>
      </c>
      <c r="Q1036" s="4" t="s">
        <v>26</v>
      </c>
      <c r="R1036" s="4">
        <v>0</v>
      </c>
      <c r="S1036" s="6">
        <v>0</v>
      </c>
      <c r="T1036" s="6">
        <v>60</v>
      </c>
      <c r="U1036" s="6">
        <v>6</v>
      </c>
      <c r="V1036" s="6">
        <f>IF(ISERROR(VLOOKUP($S$1036,'TAR FIN'!$A$1:$O$100,15,0)),0,VLOOKUP($S$1036,'TAR FIN'!$A$1:$O$100,15,0))</f>
        <v>0</v>
      </c>
      <c r="W1036" s="6">
        <f>IF(ISERROR(VLOOKUP($T$1036,'TAR FIN'!$A$1:$O$100,15,0)),0,VLOOKUP($T$1036,'TAR FIN'!$A$1:$O$100,15,0))</f>
        <v>206.95</v>
      </c>
      <c r="X1036" s="6">
        <f>IF(ISERROR(VLOOKUP($U$1036,'TAR FIN'!$A$1:$O$100,15,0)),0,VLOOKUP($U$1036,'TAR FIN'!$A$1:$O$100,15,0))</f>
        <v>219.03</v>
      </c>
      <c r="Y1036" s="6"/>
      <c r="Z1036" s="6">
        <f ca="1">('TUSD BE'!$AM$57+'TUSD BF'!$AM$57+'TUSD CVA'!$AM$57)*1</f>
        <v>209.55411356717249</v>
      </c>
      <c r="AA1036" s="6">
        <f>('TE BE'!$AA$40+'TE BF'!$AA$40+'TE CVA'!$AA$40)*1</f>
        <v>238.55077890362423</v>
      </c>
      <c r="AB1036" s="6">
        <f>$K$1036*$V$1036</f>
        <v>0</v>
      </c>
      <c r="AC1036" s="6">
        <f>$M$1036*$W$1036</f>
        <v>1905.3886500000001</v>
      </c>
      <c r="AD1036" s="6">
        <f>$O$1036*$X$1036</f>
        <v>2016.6092100000001</v>
      </c>
      <c r="AE1036" s="6">
        <f>$K$1036*$Y$1036</f>
        <v>0</v>
      </c>
      <c r="AF1036" s="6">
        <f ca="1">$M$1036*$Z$1036</f>
        <v>1929.3647236129573</v>
      </c>
      <c r="AG1036" s="6">
        <f>$O$1036*$AA$1036</f>
        <v>2196.3370213656685</v>
      </c>
    </row>
    <row r="1037" spans="1:33" ht="11.25" customHeight="1" x14ac:dyDescent="0.25">
      <c r="A1037" s="4" t="s">
        <v>21</v>
      </c>
      <c r="B1037" s="4" t="s">
        <v>37</v>
      </c>
      <c r="C1037" s="4" t="s">
        <v>33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35</v>
      </c>
      <c r="I1037" s="5">
        <v>44256</v>
      </c>
      <c r="J1037" s="6">
        <v>0</v>
      </c>
      <c r="K1037" s="6">
        <v>0</v>
      </c>
      <c r="L1037" s="6">
        <v>10.5</v>
      </c>
      <c r="M1037" s="6">
        <v>10.5</v>
      </c>
      <c r="N1037" s="6">
        <v>10.5</v>
      </c>
      <c r="O1037" s="6">
        <v>10.5</v>
      </c>
      <c r="P1037" s="6">
        <v>0</v>
      </c>
      <c r="Q1037" s="4" t="s">
        <v>26</v>
      </c>
      <c r="R1037" s="4">
        <v>0</v>
      </c>
      <c r="S1037" s="6">
        <v>0</v>
      </c>
      <c r="T1037" s="6">
        <v>60</v>
      </c>
      <c r="U1037" s="6">
        <v>6</v>
      </c>
      <c r="V1037" s="6">
        <f>IF(ISERROR(VLOOKUP($S$1037,'TAR FIN'!$A$1:$O$100,15,0)),0,VLOOKUP($S$1037,'TAR FIN'!$A$1:$O$100,15,0))</f>
        <v>0</v>
      </c>
      <c r="W1037" s="6">
        <f>IF(ISERROR(VLOOKUP($T$1037,'TAR FIN'!$A$1:$O$100,15,0)),0,VLOOKUP($T$1037,'TAR FIN'!$A$1:$O$100,15,0))</f>
        <v>206.95</v>
      </c>
      <c r="X1037" s="6">
        <f>IF(ISERROR(VLOOKUP($U$1037,'TAR FIN'!$A$1:$O$100,15,0)),0,VLOOKUP($U$1037,'TAR FIN'!$A$1:$O$100,15,0))</f>
        <v>219.03</v>
      </c>
      <c r="Y1037" s="6"/>
      <c r="Z1037" s="6">
        <f ca="1">('TUSD BE'!$AM$57+'TUSD BF'!$AM$57+'TUSD CVA'!$AM$57)*1</f>
        <v>209.55411356717249</v>
      </c>
      <c r="AA1037" s="6">
        <f>('TE BE'!$AA$40+'TE BF'!$AA$40+'TE CVA'!$AA$40)*1</f>
        <v>238.55077890362423</v>
      </c>
      <c r="AB1037" s="6">
        <f>$K$1037*$V$1037</f>
        <v>0</v>
      </c>
      <c r="AC1037" s="6">
        <f>$M$1037*$W$1037</f>
        <v>2172.9749999999999</v>
      </c>
      <c r="AD1037" s="6">
        <f>$O$1037*$X$1037</f>
        <v>2299.8150000000001</v>
      </c>
      <c r="AE1037" s="6">
        <f>$K$1037*$Y$1037</f>
        <v>0</v>
      </c>
      <c r="AF1037" s="6">
        <f ca="1">$M$1037*$Z$1037</f>
        <v>2200.318192455311</v>
      </c>
      <c r="AG1037" s="6">
        <f>$O$1037*$AA$1037</f>
        <v>2504.7831784880545</v>
      </c>
    </row>
    <row r="1038" spans="1:33" ht="11.25" customHeight="1" x14ac:dyDescent="0.25">
      <c r="A1038" s="4" t="s">
        <v>21</v>
      </c>
      <c r="B1038" s="4" t="s">
        <v>37</v>
      </c>
      <c r="C1038" s="4" t="s">
        <v>33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35</v>
      </c>
      <c r="I1038" s="5">
        <v>44287</v>
      </c>
      <c r="J1038" s="6">
        <v>0</v>
      </c>
      <c r="K1038" s="6">
        <v>0</v>
      </c>
      <c r="L1038" s="6">
        <v>9.5090000000000003</v>
      </c>
      <c r="M1038" s="6">
        <v>9.5090000000000003</v>
      </c>
      <c r="N1038" s="6">
        <v>9.5090000000000003</v>
      </c>
      <c r="O1038" s="6">
        <v>9.5090000000000003</v>
      </c>
      <c r="P1038" s="6">
        <v>0</v>
      </c>
      <c r="Q1038" s="4" t="s">
        <v>26</v>
      </c>
      <c r="R1038" s="4">
        <v>0</v>
      </c>
      <c r="S1038" s="6">
        <v>0</v>
      </c>
      <c r="T1038" s="6">
        <v>60</v>
      </c>
      <c r="U1038" s="6">
        <v>6</v>
      </c>
      <c r="V1038" s="6">
        <f>IF(ISERROR(VLOOKUP($S$1038,'TAR FIN'!$A$1:$O$100,15,0)),0,VLOOKUP($S$1038,'TAR FIN'!$A$1:$O$100,15,0))</f>
        <v>0</v>
      </c>
      <c r="W1038" s="6">
        <f>IF(ISERROR(VLOOKUP($T$1038,'TAR FIN'!$A$1:$O$100,15,0)),0,VLOOKUP($T$1038,'TAR FIN'!$A$1:$O$100,15,0))</f>
        <v>206.95</v>
      </c>
      <c r="X1038" s="6">
        <f>IF(ISERROR(VLOOKUP($U$1038,'TAR FIN'!$A$1:$O$100,15,0)),0,VLOOKUP($U$1038,'TAR FIN'!$A$1:$O$100,15,0))</f>
        <v>219.03</v>
      </c>
      <c r="Y1038" s="6"/>
      <c r="Z1038" s="6">
        <f ca="1">('TUSD BE'!$AM$57+'TUSD BF'!$AM$57+'TUSD CVA'!$AM$57)*1</f>
        <v>209.55411356717249</v>
      </c>
      <c r="AA1038" s="6">
        <f>('TE BE'!$AA$40+'TE BF'!$AA$40+'TE CVA'!$AA$40)*1</f>
        <v>238.55077890362423</v>
      </c>
      <c r="AB1038" s="6">
        <f>$K$1038*$V$1038</f>
        <v>0</v>
      </c>
      <c r="AC1038" s="6">
        <f>$M$1038*$W$1038</f>
        <v>1967.8875499999999</v>
      </c>
      <c r="AD1038" s="6">
        <f>$O$1038*$X$1038</f>
        <v>2082.7562699999999</v>
      </c>
      <c r="AE1038" s="6">
        <f>$K$1038*$Y$1038</f>
        <v>0</v>
      </c>
      <c r="AF1038" s="6">
        <f ca="1">$M$1038*$Z$1038</f>
        <v>1992.6500659102433</v>
      </c>
      <c r="AG1038" s="6">
        <f>$O$1038*$AA$1038</f>
        <v>2268.379356594563</v>
      </c>
    </row>
    <row r="1039" spans="1:33" ht="11.25" customHeight="1" x14ac:dyDescent="0.25">
      <c r="A1039" s="4" t="s">
        <v>21</v>
      </c>
      <c r="B1039" s="4" t="s">
        <v>37</v>
      </c>
      <c r="C1039" s="4" t="s">
        <v>33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35</v>
      </c>
      <c r="I1039" s="5">
        <v>44317</v>
      </c>
      <c r="J1039" s="6">
        <v>0</v>
      </c>
      <c r="K1039" s="6">
        <v>0</v>
      </c>
      <c r="L1039" s="6">
        <v>9.2929999999999993</v>
      </c>
      <c r="M1039" s="6">
        <v>9.2929999999999993</v>
      </c>
      <c r="N1039" s="6">
        <v>9.2929999999999993</v>
      </c>
      <c r="O1039" s="6">
        <v>9.2929999999999993</v>
      </c>
      <c r="P1039" s="6">
        <v>0</v>
      </c>
      <c r="Q1039" s="4" t="s">
        <v>26</v>
      </c>
      <c r="R1039" s="4">
        <v>0</v>
      </c>
      <c r="S1039" s="6">
        <v>0</v>
      </c>
      <c r="T1039" s="6">
        <v>60</v>
      </c>
      <c r="U1039" s="6">
        <v>6</v>
      </c>
      <c r="V1039" s="6">
        <f>IF(ISERROR(VLOOKUP($S$1039,'TAR FIN'!$A$1:$O$100,15,0)),0,VLOOKUP($S$1039,'TAR FIN'!$A$1:$O$100,15,0))</f>
        <v>0</v>
      </c>
      <c r="W1039" s="6">
        <f>IF(ISERROR(VLOOKUP($T$1039,'TAR FIN'!$A$1:$O$100,15,0)),0,VLOOKUP($T$1039,'TAR FIN'!$A$1:$O$100,15,0))</f>
        <v>206.95</v>
      </c>
      <c r="X1039" s="6">
        <f>IF(ISERROR(VLOOKUP($U$1039,'TAR FIN'!$A$1:$O$100,15,0)),0,VLOOKUP($U$1039,'TAR FIN'!$A$1:$O$100,15,0))</f>
        <v>219.03</v>
      </c>
      <c r="Y1039" s="6"/>
      <c r="Z1039" s="6">
        <f ca="1">('TUSD BE'!$AM$57+'TUSD BF'!$AM$57+'TUSD CVA'!$AM$57)*1</f>
        <v>209.55411356717249</v>
      </c>
      <c r="AA1039" s="6">
        <f>('TE BE'!$AA$40+'TE BF'!$AA$40+'TE CVA'!$AA$40)*1</f>
        <v>238.55077890362423</v>
      </c>
      <c r="AB1039" s="6">
        <f>$K$1039*$V$1039</f>
        <v>0</v>
      </c>
      <c r="AC1039" s="6">
        <f>$M$1039*$W$1039</f>
        <v>1923.1863499999997</v>
      </c>
      <c r="AD1039" s="6">
        <f>$O$1039*$X$1039</f>
        <v>2035.4457899999998</v>
      </c>
      <c r="AE1039" s="6">
        <f>$K$1039*$Y$1039</f>
        <v>0</v>
      </c>
      <c r="AF1039" s="6">
        <f ca="1">$M$1039*$Z$1039</f>
        <v>1947.3863773797339</v>
      </c>
      <c r="AG1039" s="6">
        <f>$O$1039*$AA$1039</f>
        <v>2216.8523883513799</v>
      </c>
    </row>
    <row r="1040" spans="1:33" ht="11.25" customHeight="1" x14ac:dyDescent="0.25">
      <c r="A1040" s="4" t="s">
        <v>21</v>
      </c>
      <c r="B1040" s="4" t="s">
        <v>37</v>
      </c>
      <c r="C1040" s="4" t="s">
        <v>33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35</v>
      </c>
      <c r="I1040" s="5">
        <v>44348</v>
      </c>
      <c r="J1040" s="6">
        <v>0</v>
      </c>
      <c r="K1040" s="6">
        <v>0</v>
      </c>
      <c r="L1040" s="6">
        <v>8.7089999999999996</v>
      </c>
      <c r="M1040" s="6">
        <v>8.7089999999999996</v>
      </c>
      <c r="N1040" s="6">
        <v>8.7089999999999996</v>
      </c>
      <c r="O1040" s="6">
        <v>8.7089999999999996</v>
      </c>
      <c r="P1040" s="6">
        <v>0</v>
      </c>
      <c r="Q1040" s="4" t="s">
        <v>26</v>
      </c>
      <c r="R1040" s="4">
        <v>0</v>
      </c>
      <c r="S1040" s="6">
        <v>0</v>
      </c>
      <c r="T1040" s="6">
        <v>60</v>
      </c>
      <c r="U1040" s="6">
        <v>6</v>
      </c>
      <c r="V1040" s="6">
        <f>IF(ISERROR(VLOOKUP($S$1040,'TAR FIN'!$A$1:$O$100,15,0)),0,VLOOKUP($S$1040,'TAR FIN'!$A$1:$O$100,15,0))</f>
        <v>0</v>
      </c>
      <c r="W1040" s="6">
        <f>IF(ISERROR(VLOOKUP($T$1040,'TAR FIN'!$A$1:$O$100,15,0)),0,VLOOKUP($T$1040,'TAR FIN'!$A$1:$O$100,15,0))</f>
        <v>206.95</v>
      </c>
      <c r="X1040" s="6">
        <f>IF(ISERROR(VLOOKUP($U$1040,'TAR FIN'!$A$1:$O$100,15,0)),0,VLOOKUP($U$1040,'TAR FIN'!$A$1:$O$100,15,0))</f>
        <v>219.03</v>
      </c>
      <c r="Y1040" s="6"/>
      <c r="Z1040" s="6">
        <f ca="1">('TUSD BE'!$AM$57+'TUSD BF'!$AM$57+'TUSD CVA'!$AM$57)*1</f>
        <v>209.55411356717249</v>
      </c>
      <c r="AA1040" s="6">
        <f>('TE BE'!$AA$40+'TE BF'!$AA$40+'TE CVA'!$AA$40)*1</f>
        <v>238.55077890362423</v>
      </c>
      <c r="AB1040" s="6">
        <f>$K$1040*$V$1040</f>
        <v>0</v>
      </c>
      <c r="AC1040" s="6">
        <f>$M$1040*$W$1040</f>
        <v>1802.3275499999997</v>
      </c>
      <c r="AD1040" s="6">
        <f>$O$1040*$X$1040</f>
        <v>1907.5322699999999</v>
      </c>
      <c r="AE1040" s="6">
        <f>$K$1040*$Y$1040</f>
        <v>0</v>
      </c>
      <c r="AF1040" s="6">
        <f ca="1">$M$1040*$Z$1040</f>
        <v>1825.0067750565051</v>
      </c>
      <c r="AG1040" s="6">
        <f>$O$1040*$AA$1040</f>
        <v>2077.5387334716634</v>
      </c>
    </row>
    <row r="1041" spans="1:33" ht="11.25" customHeight="1" x14ac:dyDescent="0.25">
      <c r="A1041" s="4" t="s">
        <v>21</v>
      </c>
      <c r="B1041" s="4" t="s">
        <v>37</v>
      </c>
      <c r="C1041" s="4" t="s">
        <v>33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35</v>
      </c>
      <c r="I1041" s="5">
        <v>44378</v>
      </c>
      <c r="J1041" s="6">
        <v>0</v>
      </c>
      <c r="K1041" s="6">
        <v>0</v>
      </c>
      <c r="L1041" s="6">
        <v>9.4540000000000006</v>
      </c>
      <c r="M1041" s="6">
        <v>9.4540000000000006</v>
      </c>
      <c r="N1041" s="6">
        <v>9.4540000000000006</v>
      </c>
      <c r="O1041" s="6">
        <v>9.4540000000000006</v>
      </c>
      <c r="P1041" s="6">
        <v>0</v>
      </c>
      <c r="Q1041" s="4" t="s">
        <v>26</v>
      </c>
      <c r="R1041" s="4">
        <v>0</v>
      </c>
      <c r="S1041" s="6">
        <v>0</v>
      </c>
      <c r="T1041" s="6">
        <v>60</v>
      </c>
      <c r="U1041" s="6">
        <v>6</v>
      </c>
      <c r="V1041" s="6">
        <f>IF(ISERROR(VLOOKUP($S$1041,'TAR FIN'!$A$1:$O$100,15,0)),0,VLOOKUP($S$1041,'TAR FIN'!$A$1:$O$100,15,0))</f>
        <v>0</v>
      </c>
      <c r="W1041" s="6">
        <f>IF(ISERROR(VLOOKUP($T$1041,'TAR FIN'!$A$1:$O$100,15,0)),0,VLOOKUP($T$1041,'TAR FIN'!$A$1:$O$100,15,0))</f>
        <v>206.95</v>
      </c>
      <c r="X1041" s="6">
        <f>IF(ISERROR(VLOOKUP($U$1041,'TAR FIN'!$A$1:$O$100,15,0)),0,VLOOKUP($U$1041,'TAR FIN'!$A$1:$O$100,15,0))</f>
        <v>219.03</v>
      </c>
      <c r="Y1041" s="6"/>
      <c r="Z1041" s="6">
        <f ca="1">('TUSD BE'!$AM$57+'TUSD BF'!$AM$57+'TUSD CVA'!$AM$57)*1</f>
        <v>209.55411356717249</v>
      </c>
      <c r="AA1041" s="6">
        <f>('TE BE'!$AA$40+'TE BF'!$AA$40+'TE CVA'!$AA$40)*1</f>
        <v>238.55077890362423</v>
      </c>
      <c r="AB1041" s="6">
        <f>$K$1041*$V$1041</f>
        <v>0</v>
      </c>
      <c r="AC1041" s="6">
        <f>$M$1041*$W$1041</f>
        <v>1956.5053</v>
      </c>
      <c r="AD1041" s="6">
        <f>$O$1041*$X$1041</f>
        <v>2070.7096200000001</v>
      </c>
      <c r="AE1041" s="6">
        <f>$K$1041*$Y$1041</f>
        <v>0</v>
      </c>
      <c r="AF1041" s="6">
        <f ca="1">$M$1041*$Z$1041</f>
        <v>1981.1245896640489</v>
      </c>
      <c r="AG1041" s="6">
        <f>$O$1041*$AA$1041</f>
        <v>2255.2590637548637</v>
      </c>
    </row>
    <row r="1042" spans="1:33" ht="11.25" customHeight="1" x14ac:dyDescent="0.25">
      <c r="A1042" s="4" t="s">
        <v>21</v>
      </c>
      <c r="B1042" s="4" t="s">
        <v>37</v>
      </c>
      <c r="C1042" s="4" t="s">
        <v>33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35</v>
      </c>
      <c r="I1042" s="5">
        <v>44409</v>
      </c>
      <c r="J1042" s="6">
        <v>0</v>
      </c>
      <c r="K1042" s="6">
        <v>0</v>
      </c>
      <c r="L1042" s="6">
        <v>9.2829999999999995</v>
      </c>
      <c r="M1042" s="6">
        <v>9.2829999999999995</v>
      </c>
      <c r="N1042" s="6">
        <v>9.2829999999999995</v>
      </c>
      <c r="O1042" s="6">
        <v>9.2829999999999995</v>
      </c>
      <c r="P1042" s="6">
        <v>0</v>
      </c>
      <c r="Q1042" s="4" t="s">
        <v>26</v>
      </c>
      <c r="R1042" s="4">
        <v>0</v>
      </c>
      <c r="S1042" s="6">
        <v>0</v>
      </c>
      <c r="T1042" s="6">
        <v>60</v>
      </c>
      <c r="U1042" s="6">
        <v>6</v>
      </c>
      <c r="V1042" s="6">
        <f>IF(ISERROR(VLOOKUP($S$1042,'TAR FIN'!$A$1:$O$100,15,0)),0,VLOOKUP($S$1042,'TAR FIN'!$A$1:$O$100,15,0))</f>
        <v>0</v>
      </c>
      <c r="W1042" s="6">
        <f>IF(ISERROR(VLOOKUP($T$1042,'TAR FIN'!$A$1:$O$100,15,0)),0,VLOOKUP($T$1042,'TAR FIN'!$A$1:$O$100,15,0))</f>
        <v>206.95</v>
      </c>
      <c r="X1042" s="6">
        <f>IF(ISERROR(VLOOKUP($U$1042,'TAR FIN'!$A$1:$O$100,15,0)),0,VLOOKUP($U$1042,'TAR FIN'!$A$1:$O$100,15,0))</f>
        <v>219.03</v>
      </c>
      <c r="Y1042" s="6"/>
      <c r="Z1042" s="6">
        <f ca="1">('TUSD BE'!$AM$57+'TUSD BF'!$AM$57+'TUSD CVA'!$AM$57)*1</f>
        <v>209.55411356717249</v>
      </c>
      <c r="AA1042" s="6">
        <f>('TE BE'!$AA$40+'TE BF'!$AA$40+'TE CVA'!$AA$40)*1</f>
        <v>238.55077890362423</v>
      </c>
      <c r="AB1042" s="6">
        <f>$K$1042*$V$1042</f>
        <v>0</v>
      </c>
      <c r="AC1042" s="6">
        <f>$M$1042*$W$1042</f>
        <v>1921.1168499999999</v>
      </c>
      <c r="AD1042" s="6">
        <f>$O$1042*$X$1042</f>
        <v>2033.25549</v>
      </c>
      <c r="AE1042" s="6">
        <f>$K$1042*$Y$1042</f>
        <v>0</v>
      </c>
      <c r="AF1042" s="6">
        <f ca="1">$M$1042*$Z$1042</f>
        <v>1945.2908362440621</v>
      </c>
      <c r="AG1042" s="6">
        <f>$O$1042*$AA$1042</f>
        <v>2214.4668805623437</v>
      </c>
    </row>
    <row r="1043" spans="1:33" ht="11.25" customHeight="1" x14ac:dyDescent="0.25">
      <c r="A1043" s="4" t="s">
        <v>21</v>
      </c>
      <c r="B1043" s="4" t="s">
        <v>37</v>
      </c>
      <c r="C1043" s="4" t="s">
        <v>33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35</v>
      </c>
      <c r="I1043" s="5">
        <v>44440</v>
      </c>
      <c r="J1043" s="6">
        <v>0</v>
      </c>
      <c r="K1043" s="6">
        <v>0</v>
      </c>
      <c r="L1043" s="6">
        <v>10.529</v>
      </c>
      <c r="M1043" s="6">
        <v>10.529</v>
      </c>
      <c r="N1043" s="6">
        <v>10.529</v>
      </c>
      <c r="O1043" s="6">
        <v>10.529</v>
      </c>
      <c r="P1043" s="6">
        <v>0</v>
      </c>
      <c r="Q1043" s="4" t="s">
        <v>26</v>
      </c>
      <c r="R1043" s="4">
        <v>0</v>
      </c>
      <c r="S1043" s="6">
        <v>0</v>
      </c>
      <c r="T1043" s="6">
        <v>60</v>
      </c>
      <c r="U1043" s="6">
        <v>6</v>
      </c>
      <c r="V1043" s="6">
        <f>IF(ISERROR(VLOOKUP($S$1043,'TAR FIN'!$A$1:$O$100,15,0)),0,VLOOKUP($S$1043,'TAR FIN'!$A$1:$O$100,15,0))</f>
        <v>0</v>
      </c>
      <c r="W1043" s="6">
        <f>IF(ISERROR(VLOOKUP($T$1043,'TAR FIN'!$A$1:$O$100,15,0)),0,VLOOKUP($T$1043,'TAR FIN'!$A$1:$O$100,15,0))</f>
        <v>206.95</v>
      </c>
      <c r="X1043" s="6">
        <f>IF(ISERROR(VLOOKUP($U$1043,'TAR FIN'!$A$1:$O$100,15,0)),0,VLOOKUP($U$1043,'TAR FIN'!$A$1:$O$100,15,0))</f>
        <v>219.03</v>
      </c>
      <c r="Y1043" s="6"/>
      <c r="Z1043" s="6">
        <f ca="1">('TUSD BE'!$AM$57+'TUSD BF'!$AM$57+'TUSD CVA'!$AM$57)*1</f>
        <v>209.55411356717249</v>
      </c>
      <c r="AA1043" s="6">
        <f>('TE BE'!$AA$40+'TE BF'!$AA$40+'TE CVA'!$AA$40)*1</f>
        <v>238.55077890362423</v>
      </c>
      <c r="AB1043" s="6">
        <f>$K$1043*$V$1043</f>
        <v>0</v>
      </c>
      <c r="AC1043" s="6">
        <f>$M$1043*$W$1043</f>
        <v>2178.9765499999999</v>
      </c>
      <c r="AD1043" s="6">
        <f>$O$1043*$X$1043</f>
        <v>2306.16687</v>
      </c>
      <c r="AE1043" s="6">
        <f>$K$1043*$Y$1043</f>
        <v>0</v>
      </c>
      <c r="AF1043" s="6">
        <f ca="1">$M$1043*$Z$1043</f>
        <v>2206.3952617487594</v>
      </c>
      <c r="AG1043" s="6">
        <f>$O$1043*$AA$1043</f>
        <v>2511.7011510762595</v>
      </c>
    </row>
    <row r="1044" spans="1:33" ht="11.25" customHeight="1" x14ac:dyDescent="0.25">
      <c r="A1044" s="4" t="s">
        <v>21</v>
      </c>
      <c r="B1044" s="4" t="s">
        <v>37</v>
      </c>
      <c r="C1044" s="4" t="s">
        <v>33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35</v>
      </c>
      <c r="I1044" s="5">
        <v>44470</v>
      </c>
      <c r="J1044" s="6">
        <v>0</v>
      </c>
      <c r="K1044" s="6">
        <v>0</v>
      </c>
      <c r="L1044" s="6">
        <v>12.81</v>
      </c>
      <c r="M1044" s="6">
        <v>12.81</v>
      </c>
      <c r="N1044" s="6">
        <v>12.81</v>
      </c>
      <c r="O1044" s="6">
        <v>12.81</v>
      </c>
      <c r="P1044" s="6">
        <v>0</v>
      </c>
      <c r="Q1044" s="4" t="s">
        <v>26</v>
      </c>
      <c r="R1044" s="4">
        <v>0</v>
      </c>
      <c r="S1044" s="6">
        <v>0</v>
      </c>
      <c r="T1044" s="6">
        <v>60</v>
      </c>
      <c r="U1044" s="6">
        <v>6</v>
      </c>
      <c r="V1044" s="6">
        <f>IF(ISERROR(VLOOKUP($S$1044,'TAR FIN'!$A$1:$O$100,15,0)),0,VLOOKUP($S$1044,'TAR FIN'!$A$1:$O$100,15,0))</f>
        <v>0</v>
      </c>
      <c r="W1044" s="6">
        <f>IF(ISERROR(VLOOKUP($T$1044,'TAR FIN'!$A$1:$O$100,15,0)),0,VLOOKUP($T$1044,'TAR FIN'!$A$1:$O$100,15,0))</f>
        <v>206.95</v>
      </c>
      <c r="X1044" s="6">
        <f>IF(ISERROR(VLOOKUP($U$1044,'TAR FIN'!$A$1:$O$100,15,0)),0,VLOOKUP($U$1044,'TAR FIN'!$A$1:$O$100,15,0))</f>
        <v>219.03</v>
      </c>
      <c r="Y1044" s="6"/>
      <c r="Z1044" s="6">
        <f ca="1">('TUSD BE'!$AM$57+'TUSD BF'!$AM$57+'TUSD CVA'!$AM$57)*1</f>
        <v>209.55411356717249</v>
      </c>
      <c r="AA1044" s="6">
        <f>('TE BE'!$AA$40+'TE BF'!$AA$40+'TE CVA'!$AA$40)*1</f>
        <v>238.55077890362423</v>
      </c>
      <c r="AB1044" s="6">
        <f>$K$1044*$V$1044</f>
        <v>0</v>
      </c>
      <c r="AC1044" s="6">
        <f>$M$1044*$W$1044</f>
        <v>2651.0295000000001</v>
      </c>
      <c r="AD1044" s="6">
        <f>$O$1044*$X$1044</f>
        <v>2805.7743</v>
      </c>
      <c r="AE1044" s="6">
        <f>$K$1044*$Y$1044</f>
        <v>0</v>
      </c>
      <c r="AF1044" s="6">
        <f ca="1">$M$1044*$Z$1044</f>
        <v>2684.3881947954796</v>
      </c>
      <c r="AG1044" s="6">
        <f>$O$1044*$AA$1044</f>
        <v>3055.8354777554264</v>
      </c>
    </row>
    <row r="1045" spans="1:33" ht="11.25" customHeight="1" x14ac:dyDescent="0.25">
      <c r="A1045" s="4" t="s">
        <v>27</v>
      </c>
      <c r="B1045" s="4" t="s">
        <v>37</v>
      </c>
      <c r="C1045" s="4" t="s">
        <v>33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35</v>
      </c>
      <c r="I1045" s="5">
        <v>44470</v>
      </c>
      <c r="J1045" s="6">
        <v>0</v>
      </c>
      <c r="K1045" s="6">
        <v>0</v>
      </c>
      <c r="L1045" s="6">
        <v>0.182</v>
      </c>
      <c r="M1045" s="6">
        <v>0.182</v>
      </c>
      <c r="N1045" s="6">
        <v>0.182</v>
      </c>
      <c r="O1045" s="6">
        <v>0.182</v>
      </c>
      <c r="P1045" s="6">
        <v>0</v>
      </c>
      <c r="Q1045" s="4" t="s">
        <v>26</v>
      </c>
      <c r="R1045" s="4">
        <v>0</v>
      </c>
      <c r="S1045" s="6">
        <v>0</v>
      </c>
      <c r="T1045" s="6">
        <v>60</v>
      </c>
      <c r="U1045" s="6">
        <v>6</v>
      </c>
      <c r="V1045" s="6">
        <f>IF(ISERROR(VLOOKUP($S$1045,'TAR FIN'!$A$1:$O$100,15,0)),0,VLOOKUP($S$1045,'TAR FIN'!$A$1:$O$100,15,0))</f>
        <v>0</v>
      </c>
      <c r="W1045" s="6">
        <f>IF(ISERROR(VLOOKUP($T$1045,'TAR FIN'!$A$1:$O$100,15,0)),0,VLOOKUP($T$1045,'TAR FIN'!$A$1:$O$100,15,0))</f>
        <v>206.95</v>
      </c>
      <c r="X1045" s="6">
        <f>IF(ISERROR(VLOOKUP($U$1045,'TAR FIN'!$A$1:$O$100,15,0)),0,VLOOKUP($U$1045,'TAR FIN'!$A$1:$O$100,15,0))</f>
        <v>219.03</v>
      </c>
      <c r="Y1045" s="6"/>
      <c r="Z1045" s="6">
        <f ca="1">('TUSD BE'!$AM$57+'TUSD BF'!$AM$57+'TUSD CVA'!$AM$57)*1</f>
        <v>209.55411356717249</v>
      </c>
      <c r="AA1045" s="6">
        <f>('TE BE'!$AA$40+'TE BF'!$AA$40+'TE CVA'!$AA$40)*1</f>
        <v>238.55077890362423</v>
      </c>
      <c r="AB1045" s="6">
        <f>$K$1045*$V$1045</f>
        <v>0</v>
      </c>
      <c r="AC1045" s="6">
        <f>$M$1045*$W$1045</f>
        <v>37.664899999999996</v>
      </c>
      <c r="AD1045" s="6">
        <f>$O$1045*$X$1045</f>
        <v>39.863459999999996</v>
      </c>
      <c r="AE1045" s="6">
        <f>$K$1045*$Y$1045</f>
        <v>0</v>
      </c>
      <c r="AF1045" s="6">
        <f ca="1">$M$1045*$Z$1045</f>
        <v>38.138848669225389</v>
      </c>
      <c r="AG1045" s="6">
        <f>$O$1045*$AA$1045</f>
        <v>43.416241760459613</v>
      </c>
    </row>
    <row r="1046" spans="1:33" ht="11.25" customHeight="1" x14ac:dyDescent="0.25">
      <c r="A1046" s="4" t="s">
        <v>21</v>
      </c>
      <c r="B1046" s="4" t="s">
        <v>37</v>
      </c>
      <c r="C1046" s="4" t="s">
        <v>33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35</v>
      </c>
      <c r="I1046" s="5">
        <v>44501</v>
      </c>
      <c r="J1046" s="6">
        <v>0</v>
      </c>
      <c r="K1046" s="6">
        <v>0</v>
      </c>
      <c r="L1046" s="6">
        <v>14.208</v>
      </c>
      <c r="M1046" s="6">
        <v>14.208</v>
      </c>
      <c r="N1046" s="6">
        <v>14.208</v>
      </c>
      <c r="O1046" s="6">
        <v>14.208</v>
      </c>
      <c r="P1046" s="6">
        <v>0</v>
      </c>
      <c r="Q1046" s="4" t="s">
        <v>26</v>
      </c>
      <c r="R1046" s="4">
        <v>0</v>
      </c>
      <c r="S1046" s="6">
        <v>0</v>
      </c>
      <c r="T1046" s="6">
        <v>60</v>
      </c>
      <c r="U1046" s="6">
        <v>6</v>
      </c>
      <c r="V1046" s="6">
        <f>IF(ISERROR(VLOOKUP($S$1046,'TAR FIN'!$A$1:$O$100,15,0)),0,VLOOKUP($S$1046,'TAR FIN'!$A$1:$O$100,15,0))</f>
        <v>0</v>
      </c>
      <c r="W1046" s="6">
        <f>IF(ISERROR(VLOOKUP($T$1046,'TAR FIN'!$A$1:$O$100,15,0)),0,VLOOKUP($T$1046,'TAR FIN'!$A$1:$O$100,15,0))</f>
        <v>206.95</v>
      </c>
      <c r="X1046" s="6">
        <f>IF(ISERROR(VLOOKUP($U$1046,'TAR FIN'!$A$1:$O$100,15,0)),0,VLOOKUP($U$1046,'TAR FIN'!$A$1:$O$100,15,0))</f>
        <v>219.03</v>
      </c>
      <c r="Y1046" s="6"/>
      <c r="Z1046" s="6">
        <f ca="1">('TUSD BE'!$AM$57+'TUSD BF'!$AM$57+'TUSD CVA'!$AM$57)*1</f>
        <v>209.55411356717249</v>
      </c>
      <c r="AA1046" s="6">
        <f>('TE BE'!$AA$40+'TE BF'!$AA$40+'TE CVA'!$AA$40)*1</f>
        <v>238.55077890362423</v>
      </c>
      <c r="AB1046" s="6">
        <f>$K$1046*$V$1046</f>
        <v>0</v>
      </c>
      <c r="AC1046" s="6">
        <f>$M$1046*$W$1046</f>
        <v>2940.3455999999996</v>
      </c>
      <c r="AD1046" s="6">
        <f>$O$1046*$X$1046</f>
        <v>3111.9782399999999</v>
      </c>
      <c r="AE1046" s="6">
        <f>$K$1046*$Y$1046</f>
        <v>0</v>
      </c>
      <c r="AF1046" s="6">
        <f ca="1">$M$1046*$Z$1046</f>
        <v>2977.344845562387</v>
      </c>
      <c r="AG1046" s="6">
        <f>$O$1046*$AA$1046</f>
        <v>3389.329466662693</v>
      </c>
    </row>
    <row r="1047" spans="1:33" ht="11.25" customHeight="1" x14ac:dyDescent="0.25">
      <c r="A1047" s="4" t="s">
        <v>21</v>
      </c>
      <c r="B1047" s="4" t="s">
        <v>37</v>
      </c>
      <c r="C1047" s="4" t="s">
        <v>33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35</v>
      </c>
      <c r="I1047" s="5">
        <v>44531</v>
      </c>
      <c r="J1047" s="6">
        <v>0</v>
      </c>
      <c r="K1047" s="6">
        <v>0</v>
      </c>
      <c r="L1047" s="6">
        <v>14.315</v>
      </c>
      <c r="M1047" s="6">
        <v>14.315</v>
      </c>
      <c r="N1047" s="6">
        <v>14.315</v>
      </c>
      <c r="O1047" s="6">
        <v>14.315</v>
      </c>
      <c r="P1047" s="6">
        <v>0</v>
      </c>
      <c r="Q1047" s="4" t="s">
        <v>26</v>
      </c>
      <c r="R1047" s="4">
        <v>0</v>
      </c>
      <c r="S1047" s="6">
        <v>0</v>
      </c>
      <c r="T1047" s="6">
        <v>60</v>
      </c>
      <c r="U1047" s="6">
        <v>6</v>
      </c>
      <c r="V1047" s="6">
        <f>IF(ISERROR(VLOOKUP($S$1047,'TAR FIN'!$A$1:$O$100,15,0)),0,VLOOKUP($S$1047,'TAR FIN'!$A$1:$O$100,15,0))</f>
        <v>0</v>
      </c>
      <c r="W1047" s="6">
        <f>IF(ISERROR(VLOOKUP($T$1047,'TAR FIN'!$A$1:$O$100,15,0)),0,VLOOKUP($T$1047,'TAR FIN'!$A$1:$O$100,15,0))</f>
        <v>206.95</v>
      </c>
      <c r="X1047" s="6">
        <f>IF(ISERROR(VLOOKUP($U$1047,'TAR FIN'!$A$1:$O$100,15,0)),0,VLOOKUP($U$1047,'TAR FIN'!$A$1:$O$100,15,0))</f>
        <v>219.03</v>
      </c>
      <c r="Y1047" s="6"/>
      <c r="Z1047" s="6">
        <f ca="1">('TUSD BE'!$AM$57+'TUSD BF'!$AM$57+'TUSD CVA'!$AM$57)*1</f>
        <v>209.55411356717249</v>
      </c>
      <c r="AA1047" s="6">
        <f>('TE BE'!$AA$40+'TE BF'!$AA$40+'TE CVA'!$AA$40)*1</f>
        <v>238.55077890362423</v>
      </c>
      <c r="AB1047" s="6">
        <f>$K$1047*$V$1047</f>
        <v>0</v>
      </c>
      <c r="AC1047" s="6">
        <f>$M$1047*$W$1047</f>
        <v>2962.4892499999996</v>
      </c>
      <c r="AD1047" s="6">
        <f>$O$1047*$X$1047</f>
        <v>3135.4144499999998</v>
      </c>
      <c r="AE1047" s="6">
        <f>$K$1047*$Y$1047</f>
        <v>0</v>
      </c>
      <c r="AF1047" s="6">
        <f ca="1">$M$1047*$Z$1047</f>
        <v>2999.7671357140744</v>
      </c>
      <c r="AG1047" s="6">
        <f>$O$1047*$AA$1047</f>
        <v>3414.8544000053807</v>
      </c>
    </row>
    <row r="1048" spans="1:33" ht="11.25" customHeight="1" x14ac:dyDescent="0.25">
      <c r="A1048" s="4" t="s">
        <v>28</v>
      </c>
      <c r="B1048" s="4" t="s">
        <v>37</v>
      </c>
      <c r="C1048" s="4" t="s">
        <v>33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35</v>
      </c>
      <c r="I1048" s="5">
        <v>44531</v>
      </c>
      <c r="J1048" s="6">
        <v>0</v>
      </c>
      <c r="K1048" s="6">
        <v>0</v>
      </c>
      <c r="L1048" s="6">
        <v>0.71099999999999997</v>
      </c>
      <c r="M1048" s="6">
        <v>0.71099999999999997</v>
      </c>
      <c r="N1048" s="6">
        <v>0.71099999999999997</v>
      </c>
      <c r="O1048" s="6">
        <v>0.71099999999999997</v>
      </c>
      <c r="P1048" s="6">
        <v>0</v>
      </c>
      <c r="Q1048" s="4" t="s">
        <v>26</v>
      </c>
      <c r="R1048" s="4">
        <v>0</v>
      </c>
      <c r="S1048" s="6">
        <v>0</v>
      </c>
      <c r="T1048" s="6">
        <v>60</v>
      </c>
      <c r="U1048" s="6">
        <v>6</v>
      </c>
      <c r="V1048" s="6">
        <f>IF(ISERROR(VLOOKUP($S$1048,'TAR FIN'!$A$1:$O$100,15,0)),0,VLOOKUP($S$1048,'TAR FIN'!$A$1:$O$100,15,0))</f>
        <v>0</v>
      </c>
      <c r="W1048" s="6">
        <f>IF(ISERROR(VLOOKUP($T$1048,'TAR FIN'!$A$1:$O$100,15,0)),0,VLOOKUP($T$1048,'TAR FIN'!$A$1:$O$100,15,0))</f>
        <v>206.95</v>
      </c>
      <c r="X1048" s="6">
        <f>IF(ISERROR(VLOOKUP($U$1048,'TAR FIN'!$A$1:$O$100,15,0)),0,VLOOKUP($U$1048,'TAR FIN'!$A$1:$O$100,15,0))</f>
        <v>219.03</v>
      </c>
      <c r="Y1048" s="6"/>
      <c r="Z1048" s="6">
        <f ca="1">('TUSD BE'!$AM$57+'TUSD BF'!$AM$57+'TUSD CVA'!$AM$57)*1</f>
        <v>209.55411356717249</v>
      </c>
      <c r="AA1048" s="6">
        <f>('TE BE'!$AA$40+'TE BF'!$AA$40+'TE CVA'!$AA$40)*1</f>
        <v>238.55077890362423</v>
      </c>
      <c r="AB1048" s="6">
        <f>$K$1048*$V$1048</f>
        <v>0</v>
      </c>
      <c r="AC1048" s="6">
        <f>$M$1048*$W$1048</f>
        <v>147.14144999999999</v>
      </c>
      <c r="AD1048" s="6">
        <f>$O$1048*$X$1048</f>
        <v>155.73032999999998</v>
      </c>
      <c r="AE1048" s="6">
        <f>$K$1048*$Y$1048</f>
        <v>0</v>
      </c>
      <c r="AF1048" s="6">
        <f ca="1">$M$1048*$Z$1048</f>
        <v>148.99297474625965</v>
      </c>
      <c r="AG1048" s="6">
        <f>$O$1048*$AA$1048</f>
        <v>169.60960380047683</v>
      </c>
    </row>
    <row r="1049" spans="1:33" ht="11.25" customHeight="1" x14ac:dyDescent="0.25">
      <c r="A1049" s="4" t="s">
        <v>55</v>
      </c>
      <c r="B1049" s="4" t="s">
        <v>37</v>
      </c>
      <c r="C1049" s="4" t="s">
        <v>33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35</v>
      </c>
      <c r="I1049" s="5">
        <v>44562</v>
      </c>
      <c r="J1049" s="6">
        <v>0</v>
      </c>
      <c r="K1049" s="6">
        <v>0</v>
      </c>
      <c r="L1049" s="6">
        <v>14.315</v>
      </c>
      <c r="M1049" s="6">
        <v>14.315</v>
      </c>
      <c r="N1049" s="6">
        <v>14.315</v>
      </c>
      <c r="O1049" s="6">
        <v>14.315</v>
      </c>
      <c r="P1049" s="6">
        <v>0</v>
      </c>
      <c r="Q1049" s="4" t="s">
        <v>26</v>
      </c>
      <c r="R1049" s="4">
        <v>0</v>
      </c>
      <c r="S1049" s="6">
        <v>0</v>
      </c>
      <c r="T1049" s="6">
        <v>60</v>
      </c>
      <c r="U1049" s="6">
        <v>6</v>
      </c>
      <c r="V1049" s="6">
        <f>IF(ISERROR(VLOOKUP($S$1049,'TAR FIN'!$A$1:$O$100,15,0)),0,VLOOKUP($S$1049,'TAR FIN'!$A$1:$O$100,15,0))</f>
        <v>0</v>
      </c>
      <c r="W1049" s="6">
        <f>IF(ISERROR(VLOOKUP($T$1049,'TAR FIN'!$A$1:$O$100,15,0)),0,VLOOKUP($T$1049,'TAR FIN'!$A$1:$O$100,15,0))</f>
        <v>206.95</v>
      </c>
      <c r="X1049" s="6">
        <f>IF(ISERROR(VLOOKUP($U$1049,'TAR FIN'!$A$1:$O$100,15,0)),0,VLOOKUP($U$1049,'TAR FIN'!$A$1:$O$100,15,0))</f>
        <v>219.03</v>
      </c>
      <c r="Y1049" s="6"/>
      <c r="Z1049" s="6">
        <f ca="1">('TUSD BE'!$AM$57+'TUSD BF'!$AM$57+'TUSD CVA'!$AM$57)*1</f>
        <v>209.55411356717249</v>
      </c>
      <c r="AA1049" s="6">
        <f>('TE BE'!$AA$40+'TE BF'!$AA$40+'TE CVA'!$AA$40)*1</f>
        <v>238.55077890362423</v>
      </c>
      <c r="AB1049" s="6">
        <f>$K$1049*$V$1049</f>
        <v>0</v>
      </c>
      <c r="AC1049" s="6">
        <f>$M$1049*$W$1049</f>
        <v>2962.4892499999996</v>
      </c>
      <c r="AD1049" s="6">
        <f>$O$1049*$X$1049</f>
        <v>3135.4144499999998</v>
      </c>
      <c r="AE1049" s="6">
        <f>$K$1049*$Y$1049</f>
        <v>0</v>
      </c>
      <c r="AF1049" s="6">
        <f ca="1">$M$1049*$Z$1049</f>
        <v>2999.7671357140744</v>
      </c>
      <c r="AG1049" s="6">
        <f>$O$1049*$AA$1049</f>
        <v>3414.8544000053807</v>
      </c>
    </row>
    <row r="1050" spans="1:33" ht="11.25" customHeight="1" x14ac:dyDescent="0.25">
      <c r="A1050" s="4" t="s">
        <v>55</v>
      </c>
      <c r="B1050" s="4" t="s">
        <v>37</v>
      </c>
      <c r="C1050" s="4" t="s">
        <v>33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35</v>
      </c>
      <c r="I1050" s="5">
        <v>44562</v>
      </c>
      <c r="J1050" s="6">
        <v>0</v>
      </c>
      <c r="K1050" s="6">
        <v>0</v>
      </c>
      <c r="L1050" s="6">
        <v>0.71099999999999997</v>
      </c>
      <c r="M1050" s="6">
        <v>0.71099999999999997</v>
      </c>
      <c r="N1050" s="6">
        <v>0.71099999999999997</v>
      </c>
      <c r="O1050" s="6">
        <v>0.71099999999999997</v>
      </c>
      <c r="P1050" s="6">
        <v>0</v>
      </c>
      <c r="Q1050" s="4" t="s">
        <v>26</v>
      </c>
      <c r="R1050" s="4">
        <v>0</v>
      </c>
      <c r="S1050" s="6">
        <v>0</v>
      </c>
      <c r="T1050" s="6">
        <v>60</v>
      </c>
      <c r="U1050" s="6">
        <v>6</v>
      </c>
      <c r="V1050" s="6">
        <f>IF(ISERROR(VLOOKUP($S$1050,'TAR FIN'!$A$1:$O$100,15,0)),0,VLOOKUP($S$1050,'TAR FIN'!$A$1:$O$100,15,0))</f>
        <v>0</v>
      </c>
      <c r="W1050" s="6">
        <f>IF(ISERROR(VLOOKUP($T$1050,'TAR FIN'!$A$1:$O$100,15,0)),0,VLOOKUP($T$1050,'TAR FIN'!$A$1:$O$100,15,0))</f>
        <v>206.95</v>
      </c>
      <c r="X1050" s="6">
        <f>IF(ISERROR(VLOOKUP($U$1050,'TAR FIN'!$A$1:$O$100,15,0)),0,VLOOKUP($U$1050,'TAR FIN'!$A$1:$O$100,15,0))</f>
        <v>219.03</v>
      </c>
      <c r="Y1050" s="6"/>
      <c r="Z1050" s="6">
        <f ca="1">('TUSD BE'!$AM$57+'TUSD BF'!$AM$57+'TUSD CVA'!$AM$57)*1</f>
        <v>209.55411356717249</v>
      </c>
      <c r="AA1050" s="6">
        <f>('TE BE'!$AA$40+'TE BF'!$AA$40+'TE CVA'!$AA$40)*1</f>
        <v>238.55077890362423</v>
      </c>
      <c r="AB1050" s="6">
        <f>$K$1050*$V$1050</f>
        <v>0</v>
      </c>
      <c r="AC1050" s="6">
        <f>$M$1050*$W$1050</f>
        <v>147.14144999999999</v>
      </c>
      <c r="AD1050" s="6">
        <f>$O$1050*$X$1050</f>
        <v>155.73032999999998</v>
      </c>
      <c r="AE1050" s="6">
        <f>$K$1050*$Y$1050</f>
        <v>0</v>
      </c>
      <c r="AF1050" s="6">
        <f ca="1">$M$1050*$Z$1050</f>
        <v>148.99297474625965</v>
      </c>
      <c r="AG1050" s="6">
        <f>$O$1050*$AA$1050</f>
        <v>169.60960380047683</v>
      </c>
    </row>
    <row r="1051" spans="1:33" ht="11.25" customHeight="1" x14ac:dyDescent="0.25">
      <c r="A1051" s="4" t="s">
        <v>21</v>
      </c>
      <c r="B1051" s="4" t="s">
        <v>37</v>
      </c>
      <c r="C1051" s="4" t="s">
        <v>33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36</v>
      </c>
      <c r="I1051" s="5">
        <v>44228</v>
      </c>
      <c r="J1051" s="6">
        <v>0</v>
      </c>
      <c r="K1051" s="6">
        <v>0</v>
      </c>
      <c r="L1051" s="6">
        <v>0.60499999999999998</v>
      </c>
      <c r="M1051" s="6">
        <v>0.60499999999999998</v>
      </c>
      <c r="N1051" s="6">
        <v>0.60499999999999998</v>
      </c>
      <c r="O1051" s="6">
        <v>0.60499999999999998</v>
      </c>
      <c r="P1051" s="6">
        <v>0</v>
      </c>
      <c r="Q1051" s="4" t="s">
        <v>26</v>
      </c>
      <c r="R1051" s="4">
        <v>0</v>
      </c>
      <c r="S1051" s="6">
        <v>0</v>
      </c>
      <c r="T1051" s="6">
        <v>59</v>
      </c>
      <c r="U1051" s="6">
        <v>5</v>
      </c>
      <c r="V1051" s="6">
        <f>IF(ISERROR(VLOOKUP($S$1051,'TAR FIN'!$A$1:$O$100,15,0)),0,VLOOKUP($S$1051,'TAR FIN'!$A$1:$O$100,15,0))</f>
        <v>0</v>
      </c>
      <c r="W1051" s="6">
        <f>IF(ISERROR(VLOOKUP($T$1051,'TAR FIN'!$A$1:$O$100,15,0)),0,VLOOKUP($T$1051,'TAR FIN'!$A$1:$O$100,15,0))</f>
        <v>499.64</v>
      </c>
      <c r="X1051" s="6">
        <f>IF(ISERROR(VLOOKUP($U$1051,'TAR FIN'!$A$1:$O$100,15,0)),0,VLOOKUP($U$1051,'TAR FIN'!$A$1:$O$100,15,0))</f>
        <v>219.03</v>
      </c>
      <c r="Y1051" s="6"/>
      <c r="Z1051" s="6">
        <f ca="1">('TUSD BE'!$AM$56+'TUSD BF'!$AM$56+'TUSD CVA'!$AM$56)*1</f>
        <v>492.17792965518021</v>
      </c>
      <c r="AA1051" s="6">
        <f>('TE BE'!$AA$39+'TE BF'!$AA$39+'TE CVA'!$AA$39)*1</f>
        <v>238.55077890362423</v>
      </c>
      <c r="AB1051" s="6">
        <f>$K$1051*$V$1051</f>
        <v>0</v>
      </c>
      <c r="AC1051" s="6">
        <f>$M$1051*$W$1051</f>
        <v>302.28219999999999</v>
      </c>
      <c r="AD1051" s="6">
        <f>$O$1051*$X$1051</f>
        <v>132.51315</v>
      </c>
      <c r="AE1051" s="6">
        <f>$K$1051*$Y$1051</f>
        <v>0</v>
      </c>
      <c r="AF1051" s="6">
        <f ca="1">$M$1051*$Z$1051</f>
        <v>297.76764744138404</v>
      </c>
      <c r="AG1051" s="6">
        <f>$O$1051*$AA$1051</f>
        <v>144.32322123669266</v>
      </c>
    </row>
    <row r="1052" spans="1:33" ht="11.25" customHeight="1" x14ac:dyDescent="0.25">
      <c r="A1052" s="4" t="s">
        <v>21</v>
      </c>
      <c r="B1052" s="4" t="s">
        <v>37</v>
      </c>
      <c r="C1052" s="4" t="s">
        <v>33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36</v>
      </c>
      <c r="I1052" s="5">
        <v>44256</v>
      </c>
      <c r="J1052" s="6">
        <v>0</v>
      </c>
      <c r="K1052" s="6">
        <v>0</v>
      </c>
      <c r="L1052" s="6">
        <v>0.69</v>
      </c>
      <c r="M1052" s="6">
        <v>0.69</v>
      </c>
      <c r="N1052" s="6">
        <v>0.69</v>
      </c>
      <c r="O1052" s="6">
        <v>0.69</v>
      </c>
      <c r="P1052" s="6">
        <v>0</v>
      </c>
      <c r="Q1052" s="4" t="s">
        <v>26</v>
      </c>
      <c r="R1052" s="4">
        <v>0</v>
      </c>
      <c r="S1052" s="6">
        <v>0</v>
      </c>
      <c r="T1052" s="6">
        <v>59</v>
      </c>
      <c r="U1052" s="6">
        <v>5</v>
      </c>
      <c r="V1052" s="6">
        <f>IF(ISERROR(VLOOKUP($S$1052,'TAR FIN'!$A$1:$O$100,15,0)),0,VLOOKUP($S$1052,'TAR FIN'!$A$1:$O$100,15,0))</f>
        <v>0</v>
      </c>
      <c r="W1052" s="6">
        <f>IF(ISERROR(VLOOKUP($T$1052,'TAR FIN'!$A$1:$O$100,15,0)),0,VLOOKUP($T$1052,'TAR FIN'!$A$1:$O$100,15,0))</f>
        <v>499.64</v>
      </c>
      <c r="X1052" s="6">
        <f>IF(ISERROR(VLOOKUP($U$1052,'TAR FIN'!$A$1:$O$100,15,0)),0,VLOOKUP($U$1052,'TAR FIN'!$A$1:$O$100,15,0))</f>
        <v>219.03</v>
      </c>
      <c r="Y1052" s="6"/>
      <c r="Z1052" s="6">
        <f ca="1">('TUSD BE'!$AM$56+'TUSD BF'!$AM$56+'TUSD CVA'!$AM$56)*1</f>
        <v>492.17792965518021</v>
      </c>
      <c r="AA1052" s="6">
        <f>('TE BE'!$AA$39+'TE BF'!$AA$39+'TE CVA'!$AA$39)*1</f>
        <v>238.55077890362423</v>
      </c>
      <c r="AB1052" s="6">
        <f>$K$1052*$V$1052</f>
        <v>0</v>
      </c>
      <c r="AC1052" s="6">
        <f>$M$1052*$W$1052</f>
        <v>344.75159999999994</v>
      </c>
      <c r="AD1052" s="6">
        <f>$O$1052*$X$1052</f>
        <v>151.13069999999999</v>
      </c>
      <c r="AE1052" s="6">
        <f>$K$1052*$Y$1052</f>
        <v>0</v>
      </c>
      <c r="AF1052" s="6">
        <f ca="1">$M$1052*$Z$1052</f>
        <v>339.60277146207432</v>
      </c>
      <c r="AG1052" s="6">
        <f>$O$1052*$AA$1052</f>
        <v>164.6000374435007</v>
      </c>
    </row>
    <row r="1053" spans="1:33" ht="11.25" customHeight="1" x14ac:dyDescent="0.25">
      <c r="A1053" s="4" t="s">
        <v>21</v>
      </c>
      <c r="B1053" s="4" t="s">
        <v>37</v>
      </c>
      <c r="C1053" s="4" t="s">
        <v>33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36</v>
      </c>
      <c r="I1053" s="5">
        <v>44287</v>
      </c>
      <c r="J1053" s="6">
        <v>0</v>
      </c>
      <c r="K1053" s="6">
        <v>0</v>
      </c>
      <c r="L1053" s="6">
        <v>0.53100000000000003</v>
      </c>
      <c r="M1053" s="6">
        <v>0.53100000000000003</v>
      </c>
      <c r="N1053" s="6">
        <v>0.53100000000000003</v>
      </c>
      <c r="O1053" s="6">
        <v>0.53100000000000003</v>
      </c>
      <c r="P1053" s="6">
        <v>0</v>
      </c>
      <c r="Q1053" s="4" t="s">
        <v>26</v>
      </c>
      <c r="R1053" s="4">
        <v>0</v>
      </c>
      <c r="S1053" s="6">
        <v>0</v>
      </c>
      <c r="T1053" s="6">
        <v>59</v>
      </c>
      <c r="U1053" s="6">
        <v>5</v>
      </c>
      <c r="V1053" s="6">
        <f>IF(ISERROR(VLOOKUP($S$1053,'TAR FIN'!$A$1:$O$100,15,0)),0,VLOOKUP($S$1053,'TAR FIN'!$A$1:$O$100,15,0))</f>
        <v>0</v>
      </c>
      <c r="W1053" s="6">
        <f>IF(ISERROR(VLOOKUP($T$1053,'TAR FIN'!$A$1:$O$100,15,0)),0,VLOOKUP($T$1053,'TAR FIN'!$A$1:$O$100,15,0))</f>
        <v>499.64</v>
      </c>
      <c r="X1053" s="6">
        <f>IF(ISERROR(VLOOKUP($U$1053,'TAR FIN'!$A$1:$O$100,15,0)),0,VLOOKUP($U$1053,'TAR FIN'!$A$1:$O$100,15,0))</f>
        <v>219.03</v>
      </c>
      <c r="Y1053" s="6"/>
      <c r="Z1053" s="6">
        <f ca="1">('TUSD BE'!$AM$56+'TUSD BF'!$AM$56+'TUSD CVA'!$AM$56)*1</f>
        <v>492.17792965518021</v>
      </c>
      <c r="AA1053" s="6">
        <f>('TE BE'!$AA$39+'TE BF'!$AA$39+'TE CVA'!$AA$39)*1</f>
        <v>238.55077890362423</v>
      </c>
      <c r="AB1053" s="6">
        <f>$K$1053*$V$1053</f>
        <v>0</v>
      </c>
      <c r="AC1053" s="6">
        <f>$M$1053*$W$1053</f>
        <v>265.30884000000003</v>
      </c>
      <c r="AD1053" s="6">
        <f>$O$1053*$X$1053</f>
        <v>116.30493000000001</v>
      </c>
      <c r="AE1053" s="6">
        <f>$K$1053*$Y$1053</f>
        <v>0</v>
      </c>
      <c r="AF1053" s="6">
        <f ca="1">$M$1053*$Z$1053</f>
        <v>261.34648064690072</v>
      </c>
      <c r="AG1053" s="6">
        <f>$O$1053*$AA$1053</f>
        <v>126.67046359782448</v>
      </c>
    </row>
    <row r="1054" spans="1:33" ht="11.25" customHeight="1" x14ac:dyDescent="0.25">
      <c r="A1054" s="4" t="s">
        <v>21</v>
      </c>
      <c r="B1054" s="4" t="s">
        <v>37</v>
      </c>
      <c r="C1054" s="4" t="s">
        <v>33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36</v>
      </c>
      <c r="I1054" s="5">
        <v>44317</v>
      </c>
      <c r="J1054" s="6">
        <v>0</v>
      </c>
      <c r="K1054" s="6">
        <v>0</v>
      </c>
      <c r="L1054" s="6">
        <v>0.56999999999999995</v>
      </c>
      <c r="M1054" s="6">
        <v>0.56999999999999995</v>
      </c>
      <c r="N1054" s="6">
        <v>0.56999999999999995</v>
      </c>
      <c r="O1054" s="6">
        <v>0.56999999999999995</v>
      </c>
      <c r="P1054" s="6">
        <v>0</v>
      </c>
      <c r="Q1054" s="4" t="s">
        <v>26</v>
      </c>
      <c r="R1054" s="4">
        <v>0</v>
      </c>
      <c r="S1054" s="6">
        <v>0</v>
      </c>
      <c r="T1054" s="6">
        <v>59</v>
      </c>
      <c r="U1054" s="6">
        <v>5</v>
      </c>
      <c r="V1054" s="6">
        <f>IF(ISERROR(VLOOKUP($S$1054,'TAR FIN'!$A$1:$O$100,15,0)),0,VLOOKUP($S$1054,'TAR FIN'!$A$1:$O$100,15,0))</f>
        <v>0</v>
      </c>
      <c r="W1054" s="6">
        <f>IF(ISERROR(VLOOKUP($T$1054,'TAR FIN'!$A$1:$O$100,15,0)),0,VLOOKUP($T$1054,'TAR FIN'!$A$1:$O$100,15,0))</f>
        <v>499.64</v>
      </c>
      <c r="X1054" s="6">
        <f>IF(ISERROR(VLOOKUP($U$1054,'TAR FIN'!$A$1:$O$100,15,0)),0,VLOOKUP($U$1054,'TAR FIN'!$A$1:$O$100,15,0))</f>
        <v>219.03</v>
      </c>
      <c r="Y1054" s="6"/>
      <c r="Z1054" s="6">
        <f ca="1">('TUSD BE'!$AM$56+'TUSD BF'!$AM$56+'TUSD CVA'!$AM$56)*1</f>
        <v>492.17792965518021</v>
      </c>
      <c r="AA1054" s="6">
        <f>('TE BE'!$AA$39+'TE BF'!$AA$39+'TE CVA'!$AA$39)*1</f>
        <v>238.55077890362423</v>
      </c>
      <c r="AB1054" s="6">
        <f>$K$1054*$V$1054</f>
        <v>0</v>
      </c>
      <c r="AC1054" s="6">
        <f>$M$1054*$W$1054</f>
        <v>284.79479999999995</v>
      </c>
      <c r="AD1054" s="6">
        <f>$O$1054*$X$1054</f>
        <v>124.84709999999998</v>
      </c>
      <c r="AE1054" s="6">
        <f>$K$1054*$Y$1054</f>
        <v>0</v>
      </c>
      <c r="AF1054" s="6">
        <f ca="1">$M$1054*$Z$1054</f>
        <v>280.54141990345272</v>
      </c>
      <c r="AG1054" s="6">
        <f>$O$1054*$AA$1054</f>
        <v>135.97394397506579</v>
      </c>
    </row>
    <row r="1055" spans="1:33" ht="11.25" customHeight="1" x14ac:dyDescent="0.25">
      <c r="A1055" s="4" t="s">
        <v>21</v>
      </c>
      <c r="B1055" s="4" t="s">
        <v>37</v>
      </c>
      <c r="C1055" s="4" t="s">
        <v>33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36</v>
      </c>
      <c r="I1055" s="5">
        <v>44348</v>
      </c>
      <c r="J1055" s="6">
        <v>0</v>
      </c>
      <c r="K1055" s="6">
        <v>0</v>
      </c>
      <c r="L1055" s="6">
        <v>0.52600000000000002</v>
      </c>
      <c r="M1055" s="6">
        <v>0.52600000000000002</v>
      </c>
      <c r="N1055" s="6">
        <v>0.52600000000000002</v>
      </c>
      <c r="O1055" s="6">
        <v>0.52600000000000002</v>
      </c>
      <c r="P1055" s="6">
        <v>0</v>
      </c>
      <c r="Q1055" s="4" t="s">
        <v>26</v>
      </c>
      <c r="R1055" s="4">
        <v>0</v>
      </c>
      <c r="S1055" s="6">
        <v>0</v>
      </c>
      <c r="T1055" s="6">
        <v>59</v>
      </c>
      <c r="U1055" s="6">
        <v>5</v>
      </c>
      <c r="V1055" s="6">
        <f>IF(ISERROR(VLOOKUP($S$1055,'TAR FIN'!$A$1:$O$100,15,0)),0,VLOOKUP($S$1055,'TAR FIN'!$A$1:$O$100,15,0))</f>
        <v>0</v>
      </c>
      <c r="W1055" s="6">
        <f>IF(ISERROR(VLOOKUP($T$1055,'TAR FIN'!$A$1:$O$100,15,0)),0,VLOOKUP($T$1055,'TAR FIN'!$A$1:$O$100,15,0))</f>
        <v>499.64</v>
      </c>
      <c r="X1055" s="6">
        <f>IF(ISERROR(VLOOKUP($U$1055,'TAR FIN'!$A$1:$O$100,15,0)),0,VLOOKUP($U$1055,'TAR FIN'!$A$1:$O$100,15,0))</f>
        <v>219.03</v>
      </c>
      <c r="Y1055" s="6"/>
      <c r="Z1055" s="6">
        <f ca="1">('TUSD BE'!$AM$56+'TUSD BF'!$AM$56+'TUSD CVA'!$AM$56)*1</f>
        <v>492.17792965518021</v>
      </c>
      <c r="AA1055" s="6">
        <f>('TE BE'!$AA$39+'TE BF'!$AA$39+'TE CVA'!$AA$39)*1</f>
        <v>238.55077890362423</v>
      </c>
      <c r="AB1055" s="6">
        <f>$K$1055*$V$1055</f>
        <v>0</v>
      </c>
      <c r="AC1055" s="6">
        <f>$M$1055*$W$1055</f>
        <v>262.81063999999998</v>
      </c>
      <c r="AD1055" s="6">
        <f>$O$1055*$X$1055</f>
        <v>115.20978000000001</v>
      </c>
      <c r="AE1055" s="6">
        <f>$K$1055*$Y$1055</f>
        <v>0</v>
      </c>
      <c r="AF1055" s="6">
        <f ca="1">$M$1055*$Z$1055</f>
        <v>258.88559099862482</v>
      </c>
      <c r="AG1055" s="6">
        <f>$O$1055*$AA$1055</f>
        <v>125.47770970330636</v>
      </c>
    </row>
    <row r="1056" spans="1:33" ht="11.25" customHeight="1" x14ac:dyDescent="0.25">
      <c r="A1056" s="4" t="s">
        <v>21</v>
      </c>
      <c r="B1056" s="4" t="s">
        <v>37</v>
      </c>
      <c r="C1056" s="4" t="s">
        <v>33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36</v>
      </c>
      <c r="I1056" s="5">
        <v>44378</v>
      </c>
      <c r="J1056" s="6">
        <v>0</v>
      </c>
      <c r="K1056" s="6">
        <v>0</v>
      </c>
      <c r="L1056" s="6">
        <v>0.60599999999999998</v>
      </c>
      <c r="M1056" s="6">
        <v>0.60599999999999998</v>
      </c>
      <c r="N1056" s="6">
        <v>0.60599999999999998</v>
      </c>
      <c r="O1056" s="6">
        <v>0.60599999999999998</v>
      </c>
      <c r="P1056" s="6">
        <v>0</v>
      </c>
      <c r="Q1056" s="4" t="s">
        <v>26</v>
      </c>
      <c r="R1056" s="4">
        <v>0</v>
      </c>
      <c r="S1056" s="6">
        <v>0</v>
      </c>
      <c r="T1056" s="6">
        <v>59</v>
      </c>
      <c r="U1056" s="6">
        <v>5</v>
      </c>
      <c r="V1056" s="6">
        <f>IF(ISERROR(VLOOKUP($S$1056,'TAR FIN'!$A$1:$O$100,15,0)),0,VLOOKUP($S$1056,'TAR FIN'!$A$1:$O$100,15,0))</f>
        <v>0</v>
      </c>
      <c r="W1056" s="6">
        <f>IF(ISERROR(VLOOKUP($T$1056,'TAR FIN'!$A$1:$O$100,15,0)),0,VLOOKUP($T$1056,'TAR FIN'!$A$1:$O$100,15,0))</f>
        <v>499.64</v>
      </c>
      <c r="X1056" s="6">
        <f>IF(ISERROR(VLOOKUP($U$1056,'TAR FIN'!$A$1:$O$100,15,0)),0,VLOOKUP($U$1056,'TAR FIN'!$A$1:$O$100,15,0))</f>
        <v>219.03</v>
      </c>
      <c r="Y1056" s="6"/>
      <c r="Z1056" s="6">
        <f ca="1">('TUSD BE'!$AM$56+'TUSD BF'!$AM$56+'TUSD CVA'!$AM$56)*1</f>
        <v>492.17792965518021</v>
      </c>
      <c r="AA1056" s="6">
        <f>('TE BE'!$AA$39+'TE BF'!$AA$39+'TE CVA'!$AA$39)*1</f>
        <v>238.55077890362423</v>
      </c>
      <c r="AB1056" s="6">
        <f>$K$1056*$V$1056</f>
        <v>0</v>
      </c>
      <c r="AC1056" s="6">
        <f>$M$1056*$W$1056</f>
        <v>302.78183999999999</v>
      </c>
      <c r="AD1056" s="6">
        <f>$O$1056*$X$1056</f>
        <v>132.73218</v>
      </c>
      <c r="AE1056" s="6">
        <f>$K$1056*$Y$1056</f>
        <v>0</v>
      </c>
      <c r="AF1056" s="6">
        <f ca="1">$M$1056*$Z$1056</f>
        <v>298.2598253710392</v>
      </c>
      <c r="AG1056" s="6">
        <f>$O$1056*$AA$1056</f>
        <v>144.56177201559629</v>
      </c>
    </row>
    <row r="1057" spans="1:33" ht="11.25" customHeight="1" x14ac:dyDescent="0.25">
      <c r="A1057" s="4" t="s">
        <v>21</v>
      </c>
      <c r="B1057" s="4" t="s">
        <v>37</v>
      </c>
      <c r="C1057" s="4" t="s">
        <v>33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36</v>
      </c>
      <c r="I1057" s="5">
        <v>44409</v>
      </c>
      <c r="J1057" s="6">
        <v>0</v>
      </c>
      <c r="K1057" s="6">
        <v>0</v>
      </c>
      <c r="L1057" s="6">
        <v>0.59599999999999997</v>
      </c>
      <c r="M1057" s="6">
        <v>0.59599999999999997</v>
      </c>
      <c r="N1057" s="6">
        <v>0.59599999999999997</v>
      </c>
      <c r="O1057" s="6">
        <v>0.59599999999999997</v>
      </c>
      <c r="P1057" s="6">
        <v>0</v>
      </c>
      <c r="Q1057" s="4" t="s">
        <v>26</v>
      </c>
      <c r="R1057" s="4">
        <v>0</v>
      </c>
      <c r="S1057" s="6">
        <v>0</v>
      </c>
      <c r="T1057" s="6">
        <v>59</v>
      </c>
      <c r="U1057" s="6">
        <v>5</v>
      </c>
      <c r="V1057" s="6">
        <f>IF(ISERROR(VLOOKUP($S$1057,'TAR FIN'!$A$1:$O$100,15,0)),0,VLOOKUP($S$1057,'TAR FIN'!$A$1:$O$100,15,0))</f>
        <v>0</v>
      </c>
      <c r="W1057" s="6">
        <f>IF(ISERROR(VLOOKUP($T$1057,'TAR FIN'!$A$1:$O$100,15,0)),0,VLOOKUP($T$1057,'TAR FIN'!$A$1:$O$100,15,0))</f>
        <v>499.64</v>
      </c>
      <c r="X1057" s="6">
        <f>IF(ISERROR(VLOOKUP($U$1057,'TAR FIN'!$A$1:$O$100,15,0)),0,VLOOKUP($U$1057,'TAR FIN'!$A$1:$O$100,15,0))</f>
        <v>219.03</v>
      </c>
      <c r="Y1057" s="6"/>
      <c r="Z1057" s="6">
        <f ca="1">('TUSD BE'!$AM$56+'TUSD BF'!$AM$56+'TUSD CVA'!$AM$56)*1</f>
        <v>492.17792965518021</v>
      </c>
      <c r="AA1057" s="6">
        <f>('TE BE'!$AA$39+'TE BF'!$AA$39+'TE CVA'!$AA$39)*1</f>
        <v>238.55077890362423</v>
      </c>
      <c r="AB1057" s="6">
        <f>$K$1057*$V$1057</f>
        <v>0</v>
      </c>
      <c r="AC1057" s="6">
        <f>$M$1057*$W$1057</f>
        <v>297.78543999999999</v>
      </c>
      <c r="AD1057" s="6">
        <f>$O$1057*$X$1057</f>
        <v>130.54187999999999</v>
      </c>
      <c r="AE1057" s="6">
        <f>$K$1057*$Y$1057</f>
        <v>0</v>
      </c>
      <c r="AF1057" s="6">
        <f ca="1">$M$1057*$Z$1057</f>
        <v>293.33804607448741</v>
      </c>
      <c r="AG1057" s="6">
        <f>$O$1057*$AA$1057</f>
        <v>142.17626422656005</v>
      </c>
    </row>
    <row r="1058" spans="1:33" ht="11.25" customHeight="1" x14ac:dyDescent="0.25">
      <c r="A1058" s="4" t="s">
        <v>21</v>
      </c>
      <c r="B1058" s="4" t="s">
        <v>37</v>
      </c>
      <c r="C1058" s="4" t="s">
        <v>33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36</v>
      </c>
      <c r="I1058" s="5">
        <v>44440</v>
      </c>
      <c r="J1058" s="6">
        <v>0</v>
      </c>
      <c r="K1058" s="6">
        <v>0</v>
      </c>
      <c r="L1058" s="6">
        <v>0.60299999999999998</v>
      </c>
      <c r="M1058" s="6">
        <v>0.60299999999999998</v>
      </c>
      <c r="N1058" s="6">
        <v>0.60299999999999998</v>
      </c>
      <c r="O1058" s="6">
        <v>0.60299999999999998</v>
      </c>
      <c r="P1058" s="6">
        <v>0</v>
      </c>
      <c r="Q1058" s="4" t="s">
        <v>26</v>
      </c>
      <c r="R1058" s="4">
        <v>0</v>
      </c>
      <c r="S1058" s="6">
        <v>0</v>
      </c>
      <c r="T1058" s="6">
        <v>59</v>
      </c>
      <c r="U1058" s="6">
        <v>5</v>
      </c>
      <c r="V1058" s="6">
        <f>IF(ISERROR(VLOOKUP($S$1058,'TAR FIN'!$A$1:$O$100,15,0)),0,VLOOKUP($S$1058,'TAR FIN'!$A$1:$O$100,15,0))</f>
        <v>0</v>
      </c>
      <c r="W1058" s="6">
        <f>IF(ISERROR(VLOOKUP($T$1058,'TAR FIN'!$A$1:$O$100,15,0)),0,VLOOKUP($T$1058,'TAR FIN'!$A$1:$O$100,15,0))</f>
        <v>499.64</v>
      </c>
      <c r="X1058" s="6">
        <f>IF(ISERROR(VLOOKUP($U$1058,'TAR FIN'!$A$1:$O$100,15,0)),0,VLOOKUP($U$1058,'TAR FIN'!$A$1:$O$100,15,0))</f>
        <v>219.03</v>
      </c>
      <c r="Y1058" s="6"/>
      <c r="Z1058" s="6">
        <f ca="1">('TUSD BE'!$AM$56+'TUSD BF'!$AM$56+'TUSD CVA'!$AM$56)*1</f>
        <v>492.17792965518021</v>
      </c>
      <c r="AA1058" s="6">
        <f>('TE BE'!$AA$39+'TE BF'!$AA$39+'TE CVA'!$AA$39)*1</f>
        <v>238.55077890362423</v>
      </c>
      <c r="AB1058" s="6">
        <f>$K$1058*$V$1058</f>
        <v>0</v>
      </c>
      <c r="AC1058" s="6">
        <f>$M$1058*$W$1058</f>
        <v>301.28291999999999</v>
      </c>
      <c r="AD1058" s="6">
        <f>$O$1058*$X$1058</f>
        <v>132.07508999999999</v>
      </c>
      <c r="AE1058" s="6">
        <f>$K$1058*$Y$1058</f>
        <v>0</v>
      </c>
      <c r="AF1058" s="6">
        <f ca="1">$M$1058*$Z$1058</f>
        <v>296.78329158207367</v>
      </c>
      <c r="AG1058" s="6">
        <f>$O$1058*$AA$1058</f>
        <v>143.8461196788854</v>
      </c>
    </row>
    <row r="1059" spans="1:33" ht="11.25" customHeight="1" x14ac:dyDescent="0.25">
      <c r="A1059" s="4" t="s">
        <v>21</v>
      </c>
      <c r="B1059" s="4" t="s">
        <v>37</v>
      </c>
      <c r="C1059" s="4" t="s">
        <v>33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36</v>
      </c>
      <c r="I1059" s="5">
        <v>44470</v>
      </c>
      <c r="J1059" s="6">
        <v>0</v>
      </c>
      <c r="K1059" s="6">
        <v>0</v>
      </c>
      <c r="L1059" s="6">
        <v>0.73599999999999999</v>
      </c>
      <c r="M1059" s="6">
        <v>0.73599999999999999</v>
      </c>
      <c r="N1059" s="6">
        <v>0.73599999999999999</v>
      </c>
      <c r="O1059" s="6">
        <v>0.73599999999999999</v>
      </c>
      <c r="P1059" s="6">
        <v>0</v>
      </c>
      <c r="Q1059" s="4" t="s">
        <v>26</v>
      </c>
      <c r="R1059" s="4">
        <v>0</v>
      </c>
      <c r="S1059" s="6">
        <v>0</v>
      </c>
      <c r="T1059" s="6">
        <v>59</v>
      </c>
      <c r="U1059" s="6">
        <v>5</v>
      </c>
      <c r="V1059" s="6">
        <f>IF(ISERROR(VLOOKUP($S$1059,'TAR FIN'!$A$1:$O$100,15,0)),0,VLOOKUP($S$1059,'TAR FIN'!$A$1:$O$100,15,0))</f>
        <v>0</v>
      </c>
      <c r="W1059" s="6">
        <f>IF(ISERROR(VLOOKUP($T$1059,'TAR FIN'!$A$1:$O$100,15,0)),0,VLOOKUP($T$1059,'TAR FIN'!$A$1:$O$100,15,0))</f>
        <v>499.64</v>
      </c>
      <c r="X1059" s="6">
        <f>IF(ISERROR(VLOOKUP($U$1059,'TAR FIN'!$A$1:$O$100,15,0)),0,VLOOKUP($U$1059,'TAR FIN'!$A$1:$O$100,15,0))</f>
        <v>219.03</v>
      </c>
      <c r="Y1059" s="6"/>
      <c r="Z1059" s="6">
        <f ca="1">('TUSD BE'!$AM$56+'TUSD BF'!$AM$56+'TUSD CVA'!$AM$56)*1</f>
        <v>492.17792965518021</v>
      </c>
      <c r="AA1059" s="6">
        <f>('TE BE'!$AA$39+'TE BF'!$AA$39+'TE CVA'!$AA$39)*1</f>
        <v>238.55077890362423</v>
      </c>
      <c r="AB1059" s="6">
        <f>$K$1059*$V$1059</f>
        <v>0</v>
      </c>
      <c r="AC1059" s="6">
        <f>$M$1059*$W$1059</f>
        <v>367.73503999999997</v>
      </c>
      <c r="AD1059" s="6">
        <f>$O$1059*$X$1059</f>
        <v>161.20607999999999</v>
      </c>
      <c r="AE1059" s="6">
        <f>$K$1059*$Y$1059</f>
        <v>0</v>
      </c>
      <c r="AF1059" s="6">
        <f ca="1">$M$1059*$Z$1059</f>
        <v>362.24295622621264</v>
      </c>
      <c r="AG1059" s="6">
        <f>$O$1059*$AA$1059</f>
        <v>175.57337327306743</v>
      </c>
    </row>
    <row r="1060" spans="1:33" ht="11.25" customHeight="1" x14ac:dyDescent="0.25">
      <c r="A1060" s="4" t="s">
        <v>27</v>
      </c>
      <c r="B1060" s="4" t="s">
        <v>37</v>
      </c>
      <c r="C1060" s="4" t="s">
        <v>33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36</v>
      </c>
      <c r="I1060" s="5">
        <v>44470</v>
      </c>
      <c r="J1060" s="6">
        <v>0</v>
      </c>
      <c r="K1060" s="6">
        <v>0</v>
      </c>
      <c r="L1060" s="6">
        <v>7.0000000000000001E-3</v>
      </c>
      <c r="M1060" s="6">
        <v>7.0000000000000001E-3</v>
      </c>
      <c r="N1060" s="6">
        <v>7.0000000000000001E-3</v>
      </c>
      <c r="O1060" s="6">
        <v>7.0000000000000001E-3</v>
      </c>
      <c r="P1060" s="6">
        <v>0</v>
      </c>
      <c r="Q1060" s="4" t="s">
        <v>26</v>
      </c>
      <c r="R1060" s="4">
        <v>0</v>
      </c>
      <c r="S1060" s="6">
        <v>0</v>
      </c>
      <c r="T1060" s="6">
        <v>59</v>
      </c>
      <c r="U1060" s="6">
        <v>5</v>
      </c>
      <c r="V1060" s="6">
        <f>IF(ISERROR(VLOOKUP($S$1060,'TAR FIN'!$A$1:$O$100,15,0)),0,VLOOKUP($S$1060,'TAR FIN'!$A$1:$O$100,15,0))</f>
        <v>0</v>
      </c>
      <c r="W1060" s="6">
        <f>IF(ISERROR(VLOOKUP($T$1060,'TAR FIN'!$A$1:$O$100,15,0)),0,VLOOKUP($T$1060,'TAR FIN'!$A$1:$O$100,15,0))</f>
        <v>499.64</v>
      </c>
      <c r="X1060" s="6">
        <f>IF(ISERROR(VLOOKUP($U$1060,'TAR FIN'!$A$1:$O$100,15,0)),0,VLOOKUP($U$1060,'TAR FIN'!$A$1:$O$100,15,0))</f>
        <v>219.03</v>
      </c>
      <c r="Y1060" s="6"/>
      <c r="Z1060" s="6">
        <f ca="1">('TUSD BE'!$AM$56+'TUSD BF'!$AM$56+'TUSD CVA'!$AM$56)*1</f>
        <v>492.17792965518021</v>
      </c>
      <c r="AA1060" s="6">
        <f>('TE BE'!$AA$39+'TE BF'!$AA$39+'TE CVA'!$AA$39)*1</f>
        <v>238.55077890362423</v>
      </c>
      <c r="AB1060" s="6">
        <f>$K$1060*$V$1060</f>
        <v>0</v>
      </c>
      <c r="AC1060" s="6">
        <f>$M$1060*$W$1060</f>
        <v>3.4974799999999999</v>
      </c>
      <c r="AD1060" s="6">
        <f>$O$1060*$X$1060</f>
        <v>1.53321</v>
      </c>
      <c r="AE1060" s="6">
        <f>$K$1060*$Y$1060</f>
        <v>0</v>
      </c>
      <c r="AF1060" s="6">
        <f ca="1">$M$1060*$Z$1060</f>
        <v>3.4452455075862614</v>
      </c>
      <c r="AG1060" s="6">
        <f>$O$1060*$AA$1060</f>
        <v>1.6698554523253697</v>
      </c>
    </row>
    <row r="1061" spans="1:33" ht="11.25" customHeight="1" x14ac:dyDescent="0.25">
      <c r="A1061" s="4" t="s">
        <v>21</v>
      </c>
      <c r="B1061" s="4" t="s">
        <v>37</v>
      </c>
      <c r="C1061" s="4" t="s">
        <v>33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36</v>
      </c>
      <c r="I1061" s="5">
        <v>44501</v>
      </c>
      <c r="J1061" s="6">
        <v>0</v>
      </c>
      <c r="K1061" s="6">
        <v>0</v>
      </c>
      <c r="L1061" s="6">
        <v>0.79500000000000004</v>
      </c>
      <c r="M1061" s="6">
        <v>0.79500000000000004</v>
      </c>
      <c r="N1061" s="6">
        <v>0.79500000000000004</v>
      </c>
      <c r="O1061" s="6">
        <v>0.79500000000000004</v>
      </c>
      <c r="P1061" s="6">
        <v>0</v>
      </c>
      <c r="Q1061" s="4" t="s">
        <v>26</v>
      </c>
      <c r="R1061" s="4">
        <v>0</v>
      </c>
      <c r="S1061" s="6">
        <v>0</v>
      </c>
      <c r="T1061" s="6">
        <v>59</v>
      </c>
      <c r="U1061" s="6">
        <v>5</v>
      </c>
      <c r="V1061" s="6">
        <f>IF(ISERROR(VLOOKUP($S$1061,'TAR FIN'!$A$1:$O$100,15,0)),0,VLOOKUP($S$1061,'TAR FIN'!$A$1:$O$100,15,0))</f>
        <v>0</v>
      </c>
      <c r="W1061" s="6">
        <f>IF(ISERROR(VLOOKUP($T$1061,'TAR FIN'!$A$1:$O$100,15,0)),0,VLOOKUP($T$1061,'TAR FIN'!$A$1:$O$100,15,0))</f>
        <v>499.64</v>
      </c>
      <c r="X1061" s="6">
        <f>IF(ISERROR(VLOOKUP($U$1061,'TAR FIN'!$A$1:$O$100,15,0)),0,VLOOKUP($U$1061,'TAR FIN'!$A$1:$O$100,15,0))</f>
        <v>219.03</v>
      </c>
      <c r="Y1061" s="6"/>
      <c r="Z1061" s="6">
        <f ca="1">('TUSD BE'!$AM$56+'TUSD BF'!$AM$56+'TUSD CVA'!$AM$56)*1</f>
        <v>492.17792965518021</v>
      </c>
      <c r="AA1061" s="6">
        <f>('TE BE'!$AA$39+'TE BF'!$AA$39+'TE CVA'!$AA$39)*1</f>
        <v>238.55077890362423</v>
      </c>
      <c r="AB1061" s="6">
        <f>$K$1061*$V$1061</f>
        <v>0</v>
      </c>
      <c r="AC1061" s="6">
        <f>$M$1061*$W$1061</f>
        <v>397.21379999999999</v>
      </c>
      <c r="AD1061" s="6">
        <f>$O$1061*$X$1061</f>
        <v>174.12885</v>
      </c>
      <c r="AE1061" s="6">
        <f>$K$1061*$Y$1061</f>
        <v>0</v>
      </c>
      <c r="AF1061" s="6">
        <f ca="1">$M$1061*$Z$1061</f>
        <v>391.28145407586828</v>
      </c>
      <c r="AG1061" s="6">
        <f>$O$1061*$AA$1061</f>
        <v>189.64786922838127</v>
      </c>
    </row>
    <row r="1062" spans="1:33" ht="11.25" customHeight="1" x14ac:dyDescent="0.25">
      <c r="A1062" s="4" t="s">
        <v>21</v>
      </c>
      <c r="B1062" s="4" t="s">
        <v>37</v>
      </c>
      <c r="C1062" s="4" t="s">
        <v>33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36</v>
      </c>
      <c r="I1062" s="5">
        <v>44531</v>
      </c>
      <c r="J1062" s="6">
        <v>0</v>
      </c>
      <c r="K1062" s="6">
        <v>0</v>
      </c>
      <c r="L1062" s="6">
        <v>0.85599999999999998</v>
      </c>
      <c r="M1062" s="6">
        <v>0.85599999999999998</v>
      </c>
      <c r="N1062" s="6">
        <v>0.85599999999999998</v>
      </c>
      <c r="O1062" s="6">
        <v>0.85599999999999998</v>
      </c>
      <c r="P1062" s="6">
        <v>0</v>
      </c>
      <c r="Q1062" s="4" t="s">
        <v>26</v>
      </c>
      <c r="R1062" s="4">
        <v>0</v>
      </c>
      <c r="S1062" s="6">
        <v>0</v>
      </c>
      <c r="T1062" s="6">
        <v>59</v>
      </c>
      <c r="U1062" s="6">
        <v>5</v>
      </c>
      <c r="V1062" s="6">
        <f>IF(ISERROR(VLOOKUP($S$1062,'TAR FIN'!$A$1:$O$100,15,0)),0,VLOOKUP($S$1062,'TAR FIN'!$A$1:$O$100,15,0))</f>
        <v>0</v>
      </c>
      <c r="W1062" s="6">
        <f>IF(ISERROR(VLOOKUP($T$1062,'TAR FIN'!$A$1:$O$100,15,0)),0,VLOOKUP($T$1062,'TAR FIN'!$A$1:$O$100,15,0))</f>
        <v>499.64</v>
      </c>
      <c r="X1062" s="6">
        <f>IF(ISERROR(VLOOKUP($U$1062,'TAR FIN'!$A$1:$O$100,15,0)),0,VLOOKUP($U$1062,'TAR FIN'!$A$1:$O$100,15,0))</f>
        <v>219.03</v>
      </c>
      <c r="Y1062" s="6"/>
      <c r="Z1062" s="6">
        <f ca="1">('TUSD BE'!$AM$56+'TUSD BF'!$AM$56+'TUSD CVA'!$AM$56)*1</f>
        <v>492.17792965518021</v>
      </c>
      <c r="AA1062" s="6">
        <f>('TE BE'!$AA$39+'TE BF'!$AA$39+'TE CVA'!$AA$39)*1</f>
        <v>238.55077890362423</v>
      </c>
      <c r="AB1062" s="6">
        <f>$K$1062*$V$1062</f>
        <v>0</v>
      </c>
      <c r="AC1062" s="6">
        <f>$M$1062*$W$1062</f>
        <v>427.69183999999996</v>
      </c>
      <c r="AD1062" s="6">
        <f>$O$1062*$X$1062</f>
        <v>187.48967999999999</v>
      </c>
      <c r="AE1062" s="6">
        <f>$K$1062*$Y$1062</f>
        <v>0</v>
      </c>
      <c r="AF1062" s="6">
        <f ca="1">$M$1062*$Z$1062</f>
        <v>421.30430778483424</v>
      </c>
      <c r="AG1062" s="6">
        <f>$O$1062*$AA$1062</f>
        <v>204.19946674150233</v>
      </c>
    </row>
    <row r="1063" spans="1:33" ht="11.25" customHeight="1" x14ac:dyDescent="0.25">
      <c r="A1063" s="4" t="s">
        <v>28</v>
      </c>
      <c r="B1063" s="4" t="s">
        <v>37</v>
      </c>
      <c r="C1063" s="4" t="s">
        <v>33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36</v>
      </c>
      <c r="I1063" s="5">
        <v>44531</v>
      </c>
      <c r="J1063" s="6">
        <v>0</v>
      </c>
      <c r="K1063" s="6">
        <v>0</v>
      </c>
      <c r="L1063" s="6">
        <v>2.9000000000000001E-2</v>
      </c>
      <c r="M1063" s="6">
        <v>2.9000000000000001E-2</v>
      </c>
      <c r="N1063" s="6">
        <v>2.9000000000000001E-2</v>
      </c>
      <c r="O1063" s="6">
        <v>2.9000000000000001E-2</v>
      </c>
      <c r="P1063" s="6">
        <v>0</v>
      </c>
      <c r="Q1063" s="4" t="s">
        <v>26</v>
      </c>
      <c r="R1063" s="4">
        <v>0</v>
      </c>
      <c r="S1063" s="6">
        <v>0</v>
      </c>
      <c r="T1063" s="6">
        <v>59</v>
      </c>
      <c r="U1063" s="6">
        <v>5</v>
      </c>
      <c r="V1063" s="6">
        <f>IF(ISERROR(VLOOKUP($S$1063,'TAR FIN'!$A$1:$O$100,15,0)),0,VLOOKUP($S$1063,'TAR FIN'!$A$1:$O$100,15,0))</f>
        <v>0</v>
      </c>
      <c r="W1063" s="6">
        <f>IF(ISERROR(VLOOKUP($T$1063,'TAR FIN'!$A$1:$O$100,15,0)),0,VLOOKUP($T$1063,'TAR FIN'!$A$1:$O$100,15,0))</f>
        <v>499.64</v>
      </c>
      <c r="X1063" s="6">
        <f>IF(ISERROR(VLOOKUP($U$1063,'TAR FIN'!$A$1:$O$100,15,0)),0,VLOOKUP($U$1063,'TAR FIN'!$A$1:$O$100,15,0))</f>
        <v>219.03</v>
      </c>
      <c r="Y1063" s="6"/>
      <c r="Z1063" s="6">
        <f ca="1">('TUSD BE'!$AM$56+'TUSD BF'!$AM$56+'TUSD CVA'!$AM$56)*1</f>
        <v>492.17792965518021</v>
      </c>
      <c r="AA1063" s="6">
        <f>('TE BE'!$AA$39+'TE BF'!$AA$39+'TE CVA'!$AA$39)*1</f>
        <v>238.55077890362423</v>
      </c>
      <c r="AB1063" s="6">
        <f>$K$1063*$V$1063</f>
        <v>0</v>
      </c>
      <c r="AC1063" s="6">
        <f>$M$1063*$W$1063</f>
        <v>14.489560000000001</v>
      </c>
      <c r="AD1063" s="6">
        <f>$O$1063*$X$1063</f>
        <v>6.3518700000000008</v>
      </c>
      <c r="AE1063" s="6">
        <f>$K$1063*$Y$1063</f>
        <v>0</v>
      </c>
      <c r="AF1063" s="6">
        <f ca="1">$M$1063*$Z$1063</f>
        <v>14.273159960000227</v>
      </c>
      <c r="AG1063" s="6">
        <f>$O$1063*$AA$1063</f>
        <v>6.9179725882051031</v>
      </c>
    </row>
    <row r="1064" spans="1:33" ht="11.25" customHeight="1" x14ac:dyDescent="0.25">
      <c r="A1064" s="4" t="s">
        <v>55</v>
      </c>
      <c r="B1064" s="4" t="s">
        <v>37</v>
      </c>
      <c r="C1064" s="4" t="s">
        <v>33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36</v>
      </c>
      <c r="I1064" s="5">
        <v>44562</v>
      </c>
      <c r="J1064" s="6">
        <v>0</v>
      </c>
      <c r="K1064" s="6">
        <v>0</v>
      </c>
      <c r="L1064" s="6">
        <v>0.85599999999999998</v>
      </c>
      <c r="M1064" s="6">
        <v>0.85599999999999998</v>
      </c>
      <c r="N1064" s="6">
        <v>0.85599999999999998</v>
      </c>
      <c r="O1064" s="6">
        <v>0.85599999999999998</v>
      </c>
      <c r="P1064" s="6">
        <v>0</v>
      </c>
      <c r="Q1064" s="4" t="s">
        <v>26</v>
      </c>
      <c r="R1064" s="4">
        <v>0</v>
      </c>
      <c r="S1064" s="6">
        <v>0</v>
      </c>
      <c r="T1064" s="6">
        <v>59</v>
      </c>
      <c r="U1064" s="6">
        <v>5</v>
      </c>
      <c r="V1064" s="6">
        <f>IF(ISERROR(VLOOKUP($S$1064,'TAR FIN'!$A$1:$O$100,15,0)),0,VLOOKUP($S$1064,'TAR FIN'!$A$1:$O$100,15,0))</f>
        <v>0</v>
      </c>
      <c r="W1064" s="6">
        <f>IF(ISERROR(VLOOKUP($T$1064,'TAR FIN'!$A$1:$O$100,15,0)),0,VLOOKUP($T$1064,'TAR FIN'!$A$1:$O$100,15,0))</f>
        <v>499.64</v>
      </c>
      <c r="X1064" s="6">
        <f>IF(ISERROR(VLOOKUP($U$1064,'TAR FIN'!$A$1:$O$100,15,0)),0,VLOOKUP($U$1064,'TAR FIN'!$A$1:$O$100,15,0))</f>
        <v>219.03</v>
      </c>
      <c r="Y1064" s="6"/>
      <c r="Z1064" s="6">
        <f ca="1">('TUSD BE'!$AM$56+'TUSD BF'!$AM$56+'TUSD CVA'!$AM$56)*1</f>
        <v>492.17792965518021</v>
      </c>
      <c r="AA1064" s="6">
        <f>('TE BE'!$AA$39+'TE BF'!$AA$39+'TE CVA'!$AA$39)*1</f>
        <v>238.55077890362423</v>
      </c>
      <c r="AB1064" s="6">
        <f>$K$1064*$V$1064</f>
        <v>0</v>
      </c>
      <c r="AC1064" s="6">
        <f>$M$1064*$W$1064</f>
        <v>427.69183999999996</v>
      </c>
      <c r="AD1064" s="6">
        <f>$O$1064*$X$1064</f>
        <v>187.48967999999999</v>
      </c>
      <c r="AE1064" s="6">
        <f>$K$1064*$Y$1064</f>
        <v>0</v>
      </c>
      <c r="AF1064" s="6">
        <f ca="1">$M$1064*$Z$1064</f>
        <v>421.30430778483424</v>
      </c>
      <c r="AG1064" s="6">
        <f>$O$1064*$AA$1064</f>
        <v>204.19946674150233</v>
      </c>
    </row>
    <row r="1065" spans="1:33" ht="11.25" customHeight="1" x14ac:dyDescent="0.25">
      <c r="A1065" s="4" t="s">
        <v>55</v>
      </c>
      <c r="B1065" s="4" t="s">
        <v>37</v>
      </c>
      <c r="C1065" s="4" t="s">
        <v>33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36</v>
      </c>
      <c r="I1065" s="5">
        <v>44562</v>
      </c>
      <c r="J1065" s="6">
        <v>0</v>
      </c>
      <c r="K1065" s="6">
        <v>0</v>
      </c>
      <c r="L1065" s="6">
        <v>2.9000000000000001E-2</v>
      </c>
      <c r="M1065" s="6">
        <v>2.9000000000000001E-2</v>
      </c>
      <c r="N1065" s="6">
        <v>2.9000000000000001E-2</v>
      </c>
      <c r="O1065" s="6">
        <v>2.9000000000000001E-2</v>
      </c>
      <c r="P1065" s="6">
        <v>0</v>
      </c>
      <c r="Q1065" s="4" t="s">
        <v>26</v>
      </c>
      <c r="R1065" s="4">
        <v>0</v>
      </c>
      <c r="S1065" s="6">
        <v>0</v>
      </c>
      <c r="T1065" s="6">
        <v>59</v>
      </c>
      <c r="U1065" s="6">
        <v>5</v>
      </c>
      <c r="V1065" s="6">
        <f>IF(ISERROR(VLOOKUP($S$1065,'TAR FIN'!$A$1:$O$100,15,0)),0,VLOOKUP($S$1065,'TAR FIN'!$A$1:$O$100,15,0))</f>
        <v>0</v>
      </c>
      <c r="W1065" s="6">
        <f>IF(ISERROR(VLOOKUP($T$1065,'TAR FIN'!$A$1:$O$100,15,0)),0,VLOOKUP($T$1065,'TAR FIN'!$A$1:$O$100,15,0))</f>
        <v>499.64</v>
      </c>
      <c r="X1065" s="6">
        <f>IF(ISERROR(VLOOKUP($U$1065,'TAR FIN'!$A$1:$O$100,15,0)),0,VLOOKUP($U$1065,'TAR FIN'!$A$1:$O$100,15,0))</f>
        <v>219.03</v>
      </c>
      <c r="Y1065" s="6"/>
      <c r="Z1065" s="6">
        <f ca="1">('TUSD BE'!$AM$56+'TUSD BF'!$AM$56+'TUSD CVA'!$AM$56)*1</f>
        <v>492.17792965518021</v>
      </c>
      <c r="AA1065" s="6">
        <f>('TE BE'!$AA$39+'TE BF'!$AA$39+'TE CVA'!$AA$39)*1</f>
        <v>238.55077890362423</v>
      </c>
      <c r="AB1065" s="6">
        <f>$K$1065*$V$1065</f>
        <v>0</v>
      </c>
      <c r="AC1065" s="6">
        <f>$M$1065*$W$1065</f>
        <v>14.489560000000001</v>
      </c>
      <c r="AD1065" s="6">
        <f>$O$1065*$X$1065</f>
        <v>6.3518700000000008</v>
      </c>
      <c r="AE1065" s="6">
        <f>$K$1065*$Y$1065</f>
        <v>0</v>
      </c>
      <c r="AF1065" s="6">
        <f ca="1">$M$1065*$Z$1065</f>
        <v>14.273159960000227</v>
      </c>
      <c r="AG1065" s="6">
        <f>$O$1065*$AA$1065</f>
        <v>6.9179725882051031</v>
      </c>
    </row>
    <row r="1066" spans="1:33" ht="11.25" customHeight="1" x14ac:dyDescent="0.25">
      <c r="A1066" s="4" t="s">
        <v>21</v>
      </c>
      <c r="B1066" s="4" t="s">
        <v>37</v>
      </c>
      <c r="C1066" s="4" t="s">
        <v>33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34</v>
      </c>
      <c r="I1066" s="5">
        <v>44228</v>
      </c>
      <c r="J1066" s="6">
        <v>0</v>
      </c>
      <c r="K1066" s="6">
        <v>0</v>
      </c>
      <c r="L1066" s="6">
        <v>0.55600000000000005</v>
      </c>
      <c r="M1066" s="6">
        <v>0.55600000000000005</v>
      </c>
      <c r="N1066" s="6">
        <v>0.55600000000000005</v>
      </c>
      <c r="O1066" s="6">
        <v>0.55600000000000005</v>
      </c>
      <c r="P1066" s="6">
        <v>0</v>
      </c>
      <c r="Q1066" s="4" t="s">
        <v>26</v>
      </c>
      <c r="R1066" s="4">
        <v>0</v>
      </c>
      <c r="S1066" s="6">
        <v>0</v>
      </c>
      <c r="T1066" s="6">
        <v>58</v>
      </c>
      <c r="U1066" s="6">
        <v>84</v>
      </c>
      <c r="V1066" s="6">
        <f>IF(ISERROR(VLOOKUP($S$1066,'TAR FIN'!$A$1:$O$100,15,0)),0,VLOOKUP($S$1066,'TAR FIN'!$A$1:$O$100,15,0))</f>
        <v>0</v>
      </c>
      <c r="W1066" s="6">
        <f>IF(ISERROR(VLOOKUP($T$1066,'TAR FIN'!$A$1:$O$100,15,0)),0,VLOOKUP($T$1066,'TAR FIN'!$A$1:$O$100,15,0))</f>
        <v>792.32</v>
      </c>
      <c r="X1066" s="6">
        <f>IF(ISERROR(VLOOKUP($U$1066,'TAR FIN'!$A$1:$O$100,15,0)),0,VLOOKUP($U$1066,'TAR FIN'!$A$1:$O$100,15,0))</f>
        <v>366.6</v>
      </c>
      <c r="Y1066" s="6"/>
      <c r="Z1066" s="6">
        <f ca="1">('TUSD BE'!$AM$55+'TUSD BF'!$AM$55+'TUSD CVA'!$AM$55)*1</f>
        <v>774.80164550502172</v>
      </c>
      <c r="AA1066" s="6">
        <f>('TE BE'!$AA$38+'TE BF'!$AA$38+'TE CVA'!$AA$38)*1</f>
        <v>385.46556634281501</v>
      </c>
      <c r="AB1066" s="6">
        <f>$K$1066*$V$1066</f>
        <v>0</v>
      </c>
      <c r="AC1066" s="6">
        <f>$M$1066*$W$1066</f>
        <v>440.52992000000006</v>
      </c>
      <c r="AD1066" s="6">
        <f>$O$1066*$X$1066</f>
        <v>203.82960000000003</v>
      </c>
      <c r="AE1066" s="6">
        <f>$K$1066*$Y$1066</f>
        <v>0</v>
      </c>
      <c r="AF1066" s="6">
        <f ca="1">$M$1066*$Z$1066</f>
        <v>430.78971490079209</v>
      </c>
      <c r="AG1066" s="6">
        <f>$O$1066*$AA$1066</f>
        <v>214.31885488660515</v>
      </c>
    </row>
    <row r="1067" spans="1:33" ht="11.25" customHeight="1" x14ac:dyDescent="0.25">
      <c r="A1067" s="4" t="s">
        <v>21</v>
      </c>
      <c r="B1067" s="4" t="s">
        <v>37</v>
      </c>
      <c r="C1067" s="4" t="s">
        <v>33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34</v>
      </c>
      <c r="I1067" s="5">
        <v>44256</v>
      </c>
      <c r="J1067" s="6">
        <v>0</v>
      </c>
      <c r="K1067" s="6">
        <v>0</v>
      </c>
      <c r="L1067" s="6">
        <v>0.66</v>
      </c>
      <c r="M1067" s="6">
        <v>0.66</v>
      </c>
      <c r="N1067" s="6">
        <v>0.66</v>
      </c>
      <c r="O1067" s="6">
        <v>0.66</v>
      </c>
      <c r="P1067" s="6">
        <v>0</v>
      </c>
      <c r="Q1067" s="4" t="s">
        <v>26</v>
      </c>
      <c r="R1067" s="4">
        <v>0</v>
      </c>
      <c r="S1067" s="6">
        <v>0</v>
      </c>
      <c r="T1067" s="6">
        <v>58</v>
      </c>
      <c r="U1067" s="6">
        <v>84</v>
      </c>
      <c r="V1067" s="6">
        <f>IF(ISERROR(VLOOKUP($S$1067,'TAR FIN'!$A$1:$O$100,15,0)),0,VLOOKUP($S$1067,'TAR FIN'!$A$1:$O$100,15,0))</f>
        <v>0</v>
      </c>
      <c r="W1067" s="6">
        <f>IF(ISERROR(VLOOKUP($T$1067,'TAR FIN'!$A$1:$O$100,15,0)),0,VLOOKUP($T$1067,'TAR FIN'!$A$1:$O$100,15,0))</f>
        <v>792.32</v>
      </c>
      <c r="X1067" s="6">
        <f>IF(ISERROR(VLOOKUP($U$1067,'TAR FIN'!$A$1:$O$100,15,0)),0,VLOOKUP($U$1067,'TAR FIN'!$A$1:$O$100,15,0))</f>
        <v>366.6</v>
      </c>
      <c r="Y1067" s="6"/>
      <c r="Z1067" s="6">
        <f ca="1">('TUSD BE'!$AM$55+'TUSD BF'!$AM$55+'TUSD CVA'!$AM$55)*1</f>
        <v>774.80164550502172</v>
      </c>
      <c r="AA1067" s="6">
        <f>('TE BE'!$AA$38+'TE BF'!$AA$38+'TE CVA'!$AA$38)*1</f>
        <v>385.46556634281501</v>
      </c>
      <c r="AB1067" s="6">
        <f>$K$1067*$V$1067</f>
        <v>0</v>
      </c>
      <c r="AC1067" s="6">
        <f>$M$1067*$W$1067</f>
        <v>522.9312000000001</v>
      </c>
      <c r="AD1067" s="6">
        <f>$O$1067*$X$1067</f>
        <v>241.95600000000002</v>
      </c>
      <c r="AE1067" s="6">
        <f>$K$1067*$Y$1067</f>
        <v>0</v>
      </c>
      <c r="AF1067" s="6">
        <f ca="1">$M$1067*$Z$1067</f>
        <v>511.36908603331437</v>
      </c>
      <c r="AG1067" s="6">
        <f>$O$1067*$AA$1067</f>
        <v>254.40727378625792</v>
      </c>
    </row>
    <row r="1068" spans="1:33" ht="11.25" customHeight="1" x14ac:dyDescent="0.25">
      <c r="A1068" s="4" t="s">
        <v>21</v>
      </c>
      <c r="B1068" s="4" t="s">
        <v>37</v>
      </c>
      <c r="C1068" s="4" t="s">
        <v>33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34</v>
      </c>
      <c r="I1068" s="5">
        <v>44287</v>
      </c>
      <c r="J1068" s="6">
        <v>0</v>
      </c>
      <c r="K1068" s="6">
        <v>0</v>
      </c>
      <c r="L1068" s="6">
        <v>0.56399999999999995</v>
      </c>
      <c r="M1068" s="6">
        <v>0.56399999999999995</v>
      </c>
      <c r="N1068" s="6">
        <v>0.56399999999999995</v>
      </c>
      <c r="O1068" s="6">
        <v>0.56399999999999995</v>
      </c>
      <c r="P1068" s="6">
        <v>0</v>
      </c>
      <c r="Q1068" s="4" t="s">
        <v>26</v>
      </c>
      <c r="R1068" s="4">
        <v>0</v>
      </c>
      <c r="S1068" s="6">
        <v>0</v>
      </c>
      <c r="T1068" s="6">
        <v>58</v>
      </c>
      <c r="U1068" s="6">
        <v>84</v>
      </c>
      <c r="V1068" s="6">
        <f>IF(ISERROR(VLOOKUP($S$1068,'TAR FIN'!$A$1:$O$100,15,0)),0,VLOOKUP($S$1068,'TAR FIN'!$A$1:$O$100,15,0))</f>
        <v>0</v>
      </c>
      <c r="W1068" s="6">
        <f>IF(ISERROR(VLOOKUP($T$1068,'TAR FIN'!$A$1:$O$100,15,0)),0,VLOOKUP($T$1068,'TAR FIN'!$A$1:$O$100,15,0))</f>
        <v>792.32</v>
      </c>
      <c r="X1068" s="6">
        <f>IF(ISERROR(VLOOKUP($U$1068,'TAR FIN'!$A$1:$O$100,15,0)),0,VLOOKUP($U$1068,'TAR FIN'!$A$1:$O$100,15,0))</f>
        <v>366.6</v>
      </c>
      <c r="Y1068" s="6"/>
      <c r="Z1068" s="6">
        <f ca="1">('TUSD BE'!$AM$55+'TUSD BF'!$AM$55+'TUSD CVA'!$AM$55)*1</f>
        <v>774.80164550502172</v>
      </c>
      <c r="AA1068" s="6">
        <f>('TE BE'!$AA$38+'TE BF'!$AA$38+'TE CVA'!$AA$38)*1</f>
        <v>385.46556634281501</v>
      </c>
      <c r="AB1068" s="6">
        <f>$K$1068*$V$1068</f>
        <v>0</v>
      </c>
      <c r="AC1068" s="6">
        <f>$M$1068*$W$1068</f>
        <v>446.86847999999998</v>
      </c>
      <c r="AD1068" s="6">
        <f>$O$1068*$X$1068</f>
        <v>206.76239999999999</v>
      </c>
      <c r="AE1068" s="6">
        <f>$K$1068*$Y$1068</f>
        <v>0</v>
      </c>
      <c r="AF1068" s="6">
        <f ca="1">$M$1068*$Z$1068</f>
        <v>436.98812806483221</v>
      </c>
      <c r="AG1068" s="6">
        <f>$O$1068*$AA$1068</f>
        <v>217.40257941734765</v>
      </c>
    </row>
    <row r="1069" spans="1:33" ht="11.25" customHeight="1" x14ac:dyDescent="0.25">
      <c r="A1069" s="4" t="s">
        <v>21</v>
      </c>
      <c r="B1069" s="4" t="s">
        <v>37</v>
      </c>
      <c r="C1069" s="4" t="s">
        <v>33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34</v>
      </c>
      <c r="I1069" s="5">
        <v>44317</v>
      </c>
      <c r="J1069" s="6">
        <v>0</v>
      </c>
      <c r="K1069" s="6">
        <v>0</v>
      </c>
      <c r="L1069" s="6">
        <v>0.51600000000000001</v>
      </c>
      <c r="M1069" s="6">
        <v>0.51600000000000001</v>
      </c>
      <c r="N1069" s="6">
        <v>0.51600000000000001</v>
      </c>
      <c r="O1069" s="6">
        <v>0.51600000000000001</v>
      </c>
      <c r="P1069" s="6">
        <v>0</v>
      </c>
      <c r="Q1069" s="4" t="s">
        <v>26</v>
      </c>
      <c r="R1069" s="4">
        <v>0</v>
      </c>
      <c r="S1069" s="6">
        <v>0</v>
      </c>
      <c r="T1069" s="6">
        <v>58</v>
      </c>
      <c r="U1069" s="6">
        <v>84</v>
      </c>
      <c r="V1069" s="6">
        <f>IF(ISERROR(VLOOKUP($S$1069,'TAR FIN'!$A$1:$O$100,15,0)),0,VLOOKUP($S$1069,'TAR FIN'!$A$1:$O$100,15,0))</f>
        <v>0</v>
      </c>
      <c r="W1069" s="6">
        <f>IF(ISERROR(VLOOKUP($T$1069,'TAR FIN'!$A$1:$O$100,15,0)),0,VLOOKUP($T$1069,'TAR FIN'!$A$1:$O$100,15,0))</f>
        <v>792.32</v>
      </c>
      <c r="X1069" s="6">
        <f>IF(ISERROR(VLOOKUP($U$1069,'TAR FIN'!$A$1:$O$100,15,0)),0,VLOOKUP($U$1069,'TAR FIN'!$A$1:$O$100,15,0))</f>
        <v>366.6</v>
      </c>
      <c r="Y1069" s="6"/>
      <c r="Z1069" s="6">
        <f ca="1">('TUSD BE'!$AM$55+'TUSD BF'!$AM$55+'TUSD CVA'!$AM$55)*1</f>
        <v>774.80164550502172</v>
      </c>
      <c r="AA1069" s="6">
        <f>('TE BE'!$AA$38+'TE BF'!$AA$38+'TE CVA'!$AA$38)*1</f>
        <v>385.46556634281501</v>
      </c>
      <c r="AB1069" s="6">
        <f>$K$1069*$V$1069</f>
        <v>0</v>
      </c>
      <c r="AC1069" s="6">
        <f>$M$1069*$W$1069</f>
        <v>408.83712000000003</v>
      </c>
      <c r="AD1069" s="6">
        <f>$O$1069*$X$1069</f>
        <v>189.16560000000001</v>
      </c>
      <c r="AE1069" s="6">
        <f>$K$1069*$Y$1069</f>
        <v>0</v>
      </c>
      <c r="AF1069" s="6">
        <f ca="1">$M$1069*$Z$1069</f>
        <v>399.79764908059121</v>
      </c>
      <c r="AG1069" s="6">
        <f>$O$1069*$AA$1069</f>
        <v>198.90023223289256</v>
      </c>
    </row>
    <row r="1070" spans="1:33" ht="11.25" customHeight="1" x14ac:dyDescent="0.25">
      <c r="A1070" s="4" t="s">
        <v>21</v>
      </c>
      <c r="B1070" s="4" t="s">
        <v>37</v>
      </c>
      <c r="C1070" s="4" t="s">
        <v>33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34</v>
      </c>
      <c r="I1070" s="5">
        <v>44348</v>
      </c>
      <c r="J1070" s="6">
        <v>0</v>
      </c>
      <c r="K1070" s="6">
        <v>0</v>
      </c>
      <c r="L1070" s="6">
        <v>0.50700000000000001</v>
      </c>
      <c r="M1070" s="6">
        <v>0.50700000000000001</v>
      </c>
      <c r="N1070" s="6">
        <v>0.50700000000000001</v>
      </c>
      <c r="O1070" s="6">
        <v>0.50700000000000001</v>
      </c>
      <c r="P1070" s="6">
        <v>0</v>
      </c>
      <c r="Q1070" s="4" t="s">
        <v>26</v>
      </c>
      <c r="R1070" s="4">
        <v>0</v>
      </c>
      <c r="S1070" s="6">
        <v>0</v>
      </c>
      <c r="T1070" s="6">
        <v>58</v>
      </c>
      <c r="U1070" s="6">
        <v>84</v>
      </c>
      <c r="V1070" s="6">
        <f>IF(ISERROR(VLOOKUP($S$1070,'TAR FIN'!$A$1:$O$100,15,0)),0,VLOOKUP($S$1070,'TAR FIN'!$A$1:$O$100,15,0))</f>
        <v>0</v>
      </c>
      <c r="W1070" s="6">
        <f>IF(ISERROR(VLOOKUP($T$1070,'TAR FIN'!$A$1:$O$100,15,0)),0,VLOOKUP($T$1070,'TAR FIN'!$A$1:$O$100,15,0))</f>
        <v>792.32</v>
      </c>
      <c r="X1070" s="6">
        <f>IF(ISERROR(VLOOKUP($U$1070,'TAR FIN'!$A$1:$O$100,15,0)),0,VLOOKUP($U$1070,'TAR FIN'!$A$1:$O$100,15,0))</f>
        <v>366.6</v>
      </c>
      <c r="Y1070" s="6"/>
      <c r="Z1070" s="6">
        <f ca="1">('TUSD BE'!$AM$55+'TUSD BF'!$AM$55+'TUSD CVA'!$AM$55)*1</f>
        <v>774.80164550502172</v>
      </c>
      <c r="AA1070" s="6">
        <f>('TE BE'!$AA$38+'TE BF'!$AA$38+'TE CVA'!$AA$38)*1</f>
        <v>385.46556634281501</v>
      </c>
      <c r="AB1070" s="6">
        <f>$K$1070*$V$1070</f>
        <v>0</v>
      </c>
      <c r="AC1070" s="6">
        <f>$M$1070*$W$1070</f>
        <v>401.70624000000004</v>
      </c>
      <c r="AD1070" s="6">
        <f>$O$1070*$X$1070</f>
        <v>185.86620000000002</v>
      </c>
      <c r="AE1070" s="6">
        <f>$K$1070*$Y$1070</f>
        <v>0</v>
      </c>
      <c r="AF1070" s="6">
        <f ca="1">$M$1070*$Z$1070</f>
        <v>392.82443427104602</v>
      </c>
      <c r="AG1070" s="6">
        <f>$O$1070*$AA$1070</f>
        <v>195.43104213580722</v>
      </c>
    </row>
    <row r="1071" spans="1:33" ht="11.25" customHeight="1" x14ac:dyDescent="0.25">
      <c r="A1071" s="4" t="s">
        <v>21</v>
      </c>
      <c r="B1071" s="4" t="s">
        <v>37</v>
      </c>
      <c r="C1071" s="4" t="s">
        <v>33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34</v>
      </c>
      <c r="I1071" s="5">
        <v>44378</v>
      </c>
      <c r="J1071" s="6">
        <v>0</v>
      </c>
      <c r="K1071" s="6">
        <v>0</v>
      </c>
      <c r="L1071" s="6">
        <v>0.60799999999999998</v>
      </c>
      <c r="M1071" s="6">
        <v>0.60799999999999998</v>
      </c>
      <c r="N1071" s="6">
        <v>0.60799999999999998</v>
      </c>
      <c r="O1071" s="6">
        <v>0.60799999999999998</v>
      </c>
      <c r="P1071" s="6">
        <v>0</v>
      </c>
      <c r="Q1071" s="4" t="s">
        <v>26</v>
      </c>
      <c r="R1071" s="4">
        <v>0</v>
      </c>
      <c r="S1071" s="6">
        <v>0</v>
      </c>
      <c r="T1071" s="6">
        <v>58</v>
      </c>
      <c r="U1071" s="6">
        <v>84</v>
      </c>
      <c r="V1071" s="6">
        <f>IF(ISERROR(VLOOKUP($S$1071,'TAR FIN'!$A$1:$O$100,15,0)),0,VLOOKUP($S$1071,'TAR FIN'!$A$1:$O$100,15,0))</f>
        <v>0</v>
      </c>
      <c r="W1071" s="6">
        <f>IF(ISERROR(VLOOKUP($T$1071,'TAR FIN'!$A$1:$O$100,15,0)),0,VLOOKUP($T$1071,'TAR FIN'!$A$1:$O$100,15,0))</f>
        <v>792.32</v>
      </c>
      <c r="X1071" s="6">
        <f>IF(ISERROR(VLOOKUP($U$1071,'TAR FIN'!$A$1:$O$100,15,0)),0,VLOOKUP($U$1071,'TAR FIN'!$A$1:$O$100,15,0))</f>
        <v>366.6</v>
      </c>
      <c r="Y1071" s="6"/>
      <c r="Z1071" s="6">
        <f ca="1">('TUSD BE'!$AM$55+'TUSD BF'!$AM$55+'TUSD CVA'!$AM$55)*1</f>
        <v>774.80164550502172</v>
      </c>
      <c r="AA1071" s="6">
        <f>('TE BE'!$AA$38+'TE BF'!$AA$38+'TE CVA'!$AA$38)*1</f>
        <v>385.46556634281501</v>
      </c>
      <c r="AB1071" s="6">
        <f>$K$1071*$V$1071</f>
        <v>0</v>
      </c>
      <c r="AC1071" s="6">
        <f>$M$1071*$W$1071</f>
        <v>481.73056000000003</v>
      </c>
      <c r="AD1071" s="6">
        <f>$O$1071*$X$1071</f>
        <v>222.89280000000002</v>
      </c>
      <c r="AE1071" s="6">
        <f>$K$1071*$Y$1071</f>
        <v>0</v>
      </c>
      <c r="AF1071" s="6">
        <f ca="1">$M$1071*$Z$1071</f>
        <v>471.07940046705318</v>
      </c>
      <c r="AG1071" s="6">
        <f>$O$1071*$AA$1071</f>
        <v>234.36306433643151</v>
      </c>
    </row>
    <row r="1072" spans="1:33" ht="11.25" customHeight="1" x14ac:dyDescent="0.25">
      <c r="A1072" s="4" t="s">
        <v>21</v>
      </c>
      <c r="B1072" s="4" t="s">
        <v>37</v>
      </c>
      <c r="C1072" s="4" t="s">
        <v>33</v>
      </c>
      <c r="D1072" s="4" t="s">
        <v>42</v>
      </c>
      <c r="E1072" s="4" t="s">
        <v>25</v>
      </c>
      <c r="F1072" s="4" t="s">
        <v>25</v>
      </c>
      <c r="G1072" s="4" t="s">
        <v>25</v>
      </c>
      <c r="H1072" s="4" t="s">
        <v>34</v>
      </c>
      <c r="I1072" s="5">
        <v>44409</v>
      </c>
      <c r="J1072" s="6">
        <v>0</v>
      </c>
      <c r="K1072" s="6">
        <v>0</v>
      </c>
      <c r="L1072" s="6">
        <v>0.60899999999999999</v>
      </c>
      <c r="M1072" s="6">
        <v>0.60899999999999999</v>
      </c>
      <c r="N1072" s="6">
        <v>0.60899999999999999</v>
      </c>
      <c r="O1072" s="6">
        <v>0.60899999999999999</v>
      </c>
      <c r="P1072" s="6">
        <v>0</v>
      </c>
      <c r="Q1072" s="4" t="s">
        <v>26</v>
      </c>
      <c r="R1072" s="4">
        <v>0</v>
      </c>
      <c r="S1072" s="6">
        <v>0</v>
      </c>
      <c r="T1072" s="6">
        <v>58</v>
      </c>
      <c r="U1072" s="6">
        <v>84</v>
      </c>
      <c r="V1072" s="6">
        <f>IF(ISERROR(VLOOKUP($S$1072,'TAR FIN'!$A$1:$O$100,15,0)),0,VLOOKUP($S$1072,'TAR FIN'!$A$1:$O$100,15,0))</f>
        <v>0</v>
      </c>
      <c r="W1072" s="6">
        <f>IF(ISERROR(VLOOKUP($T$1072,'TAR FIN'!$A$1:$O$100,15,0)),0,VLOOKUP($T$1072,'TAR FIN'!$A$1:$O$100,15,0))</f>
        <v>792.32</v>
      </c>
      <c r="X1072" s="6">
        <f>IF(ISERROR(VLOOKUP($U$1072,'TAR FIN'!$A$1:$O$100,15,0)),0,VLOOKUP($U$1072,'TAR FIN'!$A$1:$O$100,15,0))</f>
        <v>366.6</v>
      </c>
      <c r="Y1072" s="6"/>
      <c r="Z1072" s="6">
        <f ca="1">('TUSD BE'!$AM$55+'TUSD BF'!$AM$55+'TUSD CVA'!$AM$55)*1</f>
        <v>774.80164550502172</v>
      </c>
      <c r="AA1072" s="6">
        <f>('TE BE'!$AA$38+'TE BF'!$AA$38+'TE CVA'!$AA$38)*1</f>
        <v>385.46556634281501</v>
      </c>
      <c r="AB1072" s="6">
        <f>$K$1072*$V$1072</f>
        <v>0</v>
      </c>
      <c r="AC1072" s="6">
        <f>$M$1072*$W$1072</f>
        <v>482.52288000000004</v>
      </c>
      <c r="AD1072" s="6">
        <f>$O$1072*$X$1072</f>
        <v>223.2594</v>
      </c>
      <c r="AE1072" s="6">
        <f>$K$1072*$Y$1072</f>
        <v>0</v>
      </c>
      <c r="AF1072" s="6">
        <f ca="1">$M$1072*$Z$1072</f>
        <v>471.8542021125582</v>
      </c>
      <c r="AG1072" s="6">
        <f>$O$1072*$AA$1072</f>
        <v>234.74852990277432</v>
      </c>
    </row>
    <row r="1073" spans="1:33" ht="11.25" customHeight="1" x14ac:dyDescent="0.25">
      <c r="A1073" s="4" t="s">
        <v>21</v>
      </c>
      <c r="B1073" s="4" t="s">
        <v>37</v>
      </c>
      <c r="C1073" s="4" t="s">
        <v>33</v>
      </c>
      <c r="D1073" s="4" t="s">
        <v>42</v>
      </c>
      <c r="E1073" s="4" t="s">
        <v>25</v>
      </c>
      <c r="F1073" s="4" t="s">
        <v>25</v>
      </c>
      <c r="G1073" s="4" t="s">
        <v>25</v>
      </c>
      <c r="H1073" s="4" t="s">
        <v>34</v>
      </c>
      <c r="I1073" s="5">
        <v>44440</v>
      </c>
      <c r="J1073" s="6">
        <v>0</v>
      </c>
      <c r="K1073" s="6">
        <v>0</v>
      </c>
      <c r="L1073" s="6">
        <v>0.623</v>
      </c>
      <c r="M1073" s="6">
        <v>0.623</v>
      </c>
      <c r="N1073" s="6">
        <v>0.623</v>
      </c>
      <c r="O1073" s="6">
        <v>0.623</v>
      </c>
      <c r="P1073" s="6">
        <v>0</v>
      </c>
      <c r="Q1073" s="4" t="s">
        <v>26</v>
      </c>
      <c r="R1073" s="4">
        <v>0</v>
      </c>
      <c r="S1073" s="6">
        <v>0</v>
      </c>
      <c r="T1073" s="6">
        <v>58</v>
      </c>
      <c r="U1073" s="6">
        <v>84</v>
      </c>
      <c r="V1073" s="6">
        <f>IF(ISERROR(VLOOKUP($S$1073,'TAR FIN'!$A$1:$O$100,15,0)),0,VLOOKUP($S$1073,'TAR FIN'!$A$1:$O$100,15,0))</f>
        <v>0</v>
      </c>
      <c r="W1073" s="6">
        <f>IF(ISERROR(VLOOKUP($T$1073,'TAR FIN'!$A$1:$O$100,15,0)),0,VLOOKUP($T$1073,'TAR FIN'!$A$1:$O$100,15,0))</f>
        <v>792.32</v>
      </c>
      <c r="X1073" s="6">
        <f>IF(ISERROR(VLOOKUP($U$1073,'TAR FIN'!$A$1:$O$100,15,0)),0,VLOOKUP($U$1073,'TAR FIN'!$A$1:$O$100,15,0))</f>
        <v>366.6</v>
      </c>
      <c r="Y1073" s="6"/>
      <c r="Z1073" s="6">
        <f ca="1">('TUSD BE'!$AM$55+'TUSD BF'!$AM$55+'TUSD CVA'!$AM$55)*1</f>
        <v>774.80164550502172</v>
      </c>
      <c r="AA1073" s="6">
        <f>('TE BE'!$AA$38+'TE BF'!$AA$38+'TE CVA'!$AA$38)*1</f>
        <v>385.46556634281501</v>
      </c>
      <c r="AB1073" s="6">
        <f>$K$1073*$V$1073</f>
        <v>0</v>
      </c>
      <c r="AC1073" s="6">
        <f>$M$1073*$W$1073</f>
        <v>493.61536000000001</v>
      </c>
      <c r="AD1073" s="6">
        <f>$O$1073*$X$1073</f>
        <v>228.39180000000002</v>
      </c>
      <c r="AE1073" s="6">
        <f>$K$1073*$Y$1073</f>
        <v>0</v>
      </c>
      <c r="AF1073" s="6">
        <f ca="1">$M$1073*$Z$1073</f>
        <v>482.70142514962851</v>
      </c>
      <c r="AG1073" s="6">
        <f>$O$1073*$AA$1073</f>
        <v>240.14504783157375</v>
      </c>
    </row>
    <row r="1074" spans="1:33" ht="11.25" customHeight="1" x14ac:dyDescent="0.25">
      <c r="A1074" s="4" t="s">
        <v>21</v>
      </c>
      <c r="B1074" s="4" t="s">
        <v>37</v>
      </c>
      <c r="C1074" s="4" t="s">
        <v>33</v>
      </c>
      <c r="D1074" s="4" t="s">
        <v>42</v>
      </c>
      <c r="E1074" s="4" t="s">
        <v>25</v>
      </c>
      <c r="F1074" s="4" t="s">
        <v>25</v>
      </c>
      <c r="G1074" s="4" t="s">
        <v>25</v>
      </c>
      <c r="H1074" s="4" t="s">
        <v>34</v>
      </c>
      <c r="I1074" s="5">
        <v>44470</v>
      </c>
      <c r="J1074" s="6">
        <v>0</v>
      </c>
      <c r="K1074" s="6">
        <v>0</v>
      </c>
      <c r="L1074" s="6">
        <v>0.79600000000000004</v>
      </c>
      <c r="M1074" s="6">
        <v>0.79600000000000004</v>
      </c>
      <c r="N1074" s="6">
        <v>0.79600000000000004</v>
      </c>
      <c r="O1074" s="6">
        <v>0.79600000000000004</v>
      </c>
      <c r="P1074" s="6">
        <v>0</v>
      </c>
      <c r="Q1074" s="4" t="s">
        <v>26</v>
      </c>
      <c r="R1074" s="4">
        <v>0</v>
      </c>
      <c r="S1074" s="6">
        <v>0</v>
      </c>
      <c r="T1074" s="6">
        <v>58</v>
      </c>
      <c r="U1074" s="6">
        <v>84</v>
      </c>
      <c r="V1074" s="6">
        <f>IF(ISERROR(VLOOKUP($S$1074,'TAR FIN'!$A$1:$O$100,15,0)),0,VLOOKUP($S$1074,'TAR FIN'!$A$1:$O$100,15,0))</f>
        <v>0</v>
      </c>
      <c r="W1074" s="6">
        <f>IF(ISERROR(VLOOKUP($T$1074,'TAR FIN'!$A$1:$O$100,15,0)),0,VLOOKUP($T$1074,'TAR FIN'!$A$1:$O$100,15,0))</f>
        <v>792.32</v>
      </c>
      <c r="X1074" s="6">
        <f>IF(ISERROR(VLOOKUP($U$1074,'TAR FIN'!$A$1:$O$100,15,0)),0,VLOOKUP($U$1074,'TAR FIN'!$A$1:$O$100,15,0))</f>
        <v>366.6</v>
      </c>
      <c r="Y1074" s="6"/>
      <c r="Z1074" s="6">
        <f ca="1">('TUSD BE'!$AM$55+'TUSD BF'!$AM$55+'TUSD CVA'!$AM$55)*1</f>
        <v>774.80164550502172</v>
      </c>
      <c r="AA1074" s="6">
        <f>('TE BE'!$AA$38+'TE BF'!$AA$38+'TE CVA'!$AA$38)*1</f>
        <v>385.46556634281501</v>
      </c>
      <c r="AB1074" s="6">
        <f>$K$1074*$V$1074</f>
        <v>0</v>
      </c>
      <c r="AC1074" s="6">
        <f>$M$1074*$W$1074</f>
        <v>630.68672000000004</v>
      </c>
      <c r="AD1074" s="6">
        <f>$O$1074*$X$1074</f>
        <v>291.81360000000001</v>
      </c>
      <c r="AE1074" s="6">
        <f>$K$1074*$Y$1074</f>
        <v>0</v>
      </c>
      <c r="AF1074" s="6">
        <f ca="1">$M$1074*$Z$1074</f>
        <v>616.74210982199736</v>
      </c>
      <c r="AG1074" s="6">
        <f>$O$1074*$AA$1074</f>
        <v>306.83059080888074</v>
      </c>
    </row>
    <row r="1075" spans="1:33" ht="11.25" customHeight="1" x14ac:dyDescent="0.25">
      <c r="A1075" s="4" t="s">
        <v>27</v>
      </c>
      <c r="B1075" s="4" t="s">
        <v>37</v>
      </c>
      <c r="C1075" s="4" t="s">
        <v>33</v>
      </c>
      <c r="D1075" s="4" t="s">
        <v>42</v>
      </c>
      <c r="E1075" s="4" t="s">
        <v>25</v>
      </c>
      <c r="F1075" s="4" t="s">
        <v>25</v>
      </c>
      <c r="G1075" s="4" t="s">
        <v>25</v>
      </c>
      <c r="H1075" s="4" t="s">
        <v>34</v>
      </c>
      <c r="I1075" s="5">
        <v>44470</v>
      </c>
      <c r="J1075" s="6">
        <v>0</v>
      </c>
      <c r="K1075" s="6">
        <v>0</v>
      </c>
      <c r="L1075" s="6">
        <v>0.01</v>
      </c>
      <c r="M1075" s="6">
        <v>0.01</v>
      </c>
      <c r="N1075" s="6">
        <v>0.01</v>
      </c>
      <c r="O1075" s="6">
        <v>0.01</v>
      </c>
      <c r="P1075" s="6">
        <v>0</v>
      </c>
      <c r="Q1075" s="4" t="s">
        <v>26</v>
      </c>
      <c r="R1075" s="4">
        <v>0</v>
      </c>
      <c r="S1075" s="6">
        <v>0</v>
      </c>
      <c r="T1075" s="6">
        <v>58</v>
      </c>
      <c r="U1075" s="6">
        <v>84</v>
      </c>
      <c r="V1075" s="6">
        <f>IF(ISERROR(VLOOKUP($S$1075,'TAR FIN'!$A$1:$O$100,15,0)),0,VLOOKUP($S$1075,'TAR FIN'!$A$1:$O$100,15,0))</f>
        <v>0</v>
      </c>
      <c r="W1075" s="6">
        <f>IF(ISERROR(VLOOKUP($T$1075,'TAR FIN'!$A$1:$O$100,15,0)),0,VLOOKUP($T$1075,'TAR FIN'!$A$1:$O$100,15,0))</f>
        <v>792.32</v>
      </c>
      <c r="X1075" s="6">
        <f>IF(ISERROR(VLOOKUP($U$1075,'TAR FIN'!$A$1:$O$100,15,0)),0,VLOOKUP($U$1075,'TAR FIN'!$A$1:$O$100,15,0))</f>
        <v>366.6</v>
      </c>
      <c r="Y1075" s="6"/>
      <c r="Z1075" s="6">
        <f ca="1">('TUSD BE'!$AM$55+'TUSD BF'!$AM$55+'TUSD CVA'!$AM$55)*1</f>
        <v>774.80164550502172</v>
      </c>
      <c r="AA1075" s="6">
        <f>('TE BE'!$AA$38+'TE BF'!$AA$38+'TE CVA'!$AA$38)*1</f>
        <v>385.46556634281501</v>
      </c>
      <c r="AB1075" s="6">
        <f>$K$1075*$V$1075</f>
        <v>0</v>
      </c>
      <c r="AC1075" s="6">
        <f>$M$1075*$W$1075</f>
        <v>7.9232000000000005</v>
      </c>
      <c r="AD1075" s="6">
        <f>$O$1075*$X$1075</f>
        <v>3.6660000000000004</v>
      </c>
      <c r="AE1075" s="6">
        <f>$K$1075*$Y$1075</f>
        <v>0</v>
      </c>
      <c r="AF1075" s="6">
        <f ca="1">$M$1075*$Z$1075</f>
        <v>7.7480164550502177</v>
      </c>
      <c r="AG1075" s="6">
        <f>$O$1075*$AA$1075</f>
        <v>3.8546556634281504</v>
      </c>
    </row>
    <row r="1076" spans="1:33" ht="11.25" customHeight="1" x14ac:dyDescent="0.25">
      <c r="A1076" s="4" t="s">
        <v>21</v>
      </c>
      <c r="B1076" s="4" t="s">
        <v>37</v>
      </c>
      <c r="C1076" s="4" t="s">
        <v>33</v>
      </c>
      <c r="D1076" s="4" t="s">
        <v>42</v>
      </c>
      <c r="E1076" s="4" t="s">
        <v>25</v>
      </c>
      <c r="F1076" s="4" t="s">
        <v>25</v>
      </c>
      <c r="G1076" s="4" t="s">
        <v>25</v>
      </c>
      <c r="H1076" s="4" t="s">
        <v>34</v>
      </c>
      <c r="I1076" s="5">
        <v>44501</v>
      </c>
      <c r="J1076" s="6">
        <v>0</v>
      </c>
      <c r="K1076" s="6">
        <v>0</v>
      </c>
      <c r="L1076" s="6">
        <v>0.81299999999999994</v>
      </c>
      <c r="M1076" s="6">
        <v>0.81299999999999994</v>
      </c>
      <c r="N1076" s="6">
        <v>0.81299999999999994</v>
      </c>
      <c r="O1076" s="6">
        <v>0.81299999999999994</v>
      </c>
      <c r="P1076" s="6">
        <v>0</v>
      </c>
      <c r="Q1076" s="4" t="s">
        <v>26</v>
      </c>
      <c r="R1076" s="4">
        <v>0</v>
      </c>
      <c r="S1076" s="6">
        <v>0</v>
      </c>
      <c r="T1076" s="6">
        <v>58</v>
      </c>
      <c r="U1076" s="6">
        <v>84</v>
      </c>
      <c r="V1076" s="6">
        <f>IF(ISERROR(VLOOKUP($S$1076,'TAR FIN'!$A$1:$O$100,15,0)),0,VLOOKUP($S$1076,'TAR FIN'!$A$1:$O$100,15,0))</f>
        <v>0</v>
      </c>
      <c r="W1076" s="6">
        <f>IF(ISERROR(VLOOKUP($T$1076,'TAR FIN'!$A$1:$O$100,15,0)),0,VLOOKUP($T$1076,'TAR FIN'!$A$1:$O$100,15,0))</f>
        <v>792.32</v>
      </c>
      <c r="X1076" s="6">
        <f>IF(ISERROR(VLOOKUP($U$1076,'TAR FIN'!$A$1:$O$100,15,0)),0,VLOOKUP($U$1076,'TAR FIN'!$A$1:$O$100,15,0))</f>
        <v>366.6</v>
      </c>
      <c r="Y1076" s="6"/>
      <c r="Z1076" s="6">
        <f ca="1">('TUSD BE'!$AM$55+'TUSD BF'!$AM$55+'TUSD CVA'!$AM$55)*1</f>
        <v>774.80164550502172</v>
      </c>
      <c r="AA1076" s="6">
        <f>('TE BE'!$AA$38+'TE BF'!$AA$38+'TE CVA'!$AA$38)*1</f>
        <v>385.46556634281501</v>
      </c>
      <c r="AB1076" s="6">
        <f>$K$1076*$V$1076</f>
        <v>0</v>
      </c>
      <c r="AC1076" s="6">
        <f>$M$1076*$W$1076</f>
        <v>644.15616</v>
      </c>
      <c r="AD1076" s="6">
        <f>$O$1076*$X$1076</f>
        <v>298.04579999999999</v>
      </c>
      <c r="AE1076" s="6">
        <f>$K$1076*$Y$1076</f>
        <v>0</v>
      </c>
      <c r="AF1076" s="6">
        <f ca="1">$M$1076*$Z$1076</f>
        <v>629.91373779558262</v>
      </c>
      <c r="AG1076" s="6">
        <f>$O$1076*$AA$1076</f>
        <v>313.38350543670856</v>
      </c>
    </row>
    <row r="1077" spans="1:33" ht="11.25" customHeight="1" x14ac:dyDescent="0.25">
      <c r="A1077" s="4" t="s">
        <v>21</v>
      </c>
      <c r="B1077" s="4" t="s">
        <v>37</v>
      </c>
      <c r="C1077" s="4" t="s">
        <v>33</v>
      </c>
      <c r="D1077" s="4" t="s">
        <v>42</v>
      </c>
      <c r="E1077" s="4" t="s">
        <v>25</v>
      </c>
      <c r="F1077" s="4" t="s">
        <v>25</v>
      </c>
      <c r="G1077" s="4" t="s">
        <v>25</v>
      </c>
      <c r="H1077" s="4" t="s">
        <v>34</v>
      </c>
      <c r="I1077" s="5">
        <v>44531</v>
      </c>
      <c r="J1077" s="6">
        <v>0</v>
      </c>
      <c r="K1077" s="6">
        <v>0</v>
      </c>
      <c r="L1077" s="6">
        <v>0.86699999999999999</v>
      </c>
      <c r="M1077" s="6">
        <v>0.86699999999999999</v>
      </c>
      <c r="N1077" s="6">
        <v>0.86699999999999999</v>
      </c>
      <c r="O1077" s="6">
        <v>0.86699999999999999</v>
      </c>
      <c r="P1077" s="6">
        <v>0</v>
      </c>
      <c r="Q1077" s="4" t="s">
        <v>26</v>
      </c>
      <c r="R1077" s="4">
        <v>0</v>
      </c>
      <c r="S1077" s="6">
        <v>0</v>
      </c>
      <c r="T1077" s="6">
        <v>58</v>
      </c>
      <c r="U1077" s="6">
        <v>84</v>
      </c>
      <c r="V1077" s="6">
        <f>IF(ISERROR(VLOOKUP($S$1077,'TAR FIN'!$A$1:$O$100,15,0)),0,VLOOKUP($S$1077,'TAR FIN'!$A$1:$O$100,15,0))</f>
        <v>0</v>
      </c>
      <c r="W1077" s="6">
        <f>IF(ISERROR(VLOOKUP($T$1077,'TAR FIN'!$A$1:$O$100,15,0)),0,VLOOKUP($T$1077,'TAR FIN'!$A$1:$O$100,15,0))</f>
        <v>792.32</v>
      </c>
      <c r="X1077" s="6">
        <f>IF(ISERROR(VLOOKUP($U$1077,'TAR FIN'!$A$1:$O$100,15,0)),0,VLOOKUP($U$1077,'TAR FIN'!$A$1:$O$100,15,0))</f>
        <v>366.6</v>
      </c>
      <c r="Y1077" s="6"/>
      <c r="Z1077" s="6">
        <f ca="1">('TUSD BE'!$AM$55+'TUSD BF'!$AM$55+'TUSD CVA'!$AM$55)*1</f>
        <v>774.80164550502172</v>
      </c>
      <c r="AA1077" s="6">
        <f>('TE BE'!$AA$38+'TE BF'!$AA$38+'TE CVA'!$AA$38)*1</f>
        <v>385.46556634281501</v>
      </c>
      <c r="AB1077" s="6">
        <f>$K$1077*$V$1077</f>
        <v>0</v>
      </c>
      <c r="AC1077" s="6">
        <f>$M$1077*$W$1077</f>
        <v>686.94144000000006</v>
      </c>
      <c r="AD1077" s="6">
        <f>$O$1077*$X$1077</f>
        <v>317.84219999999999</v>
      </c>
      <c r="AE1077" s="6">
        <f>$K$1077*$Y$1077</f>
        <v>0</v>
      </c>
      <c r="AF1077" s="6">
        <f ca="1">$M$1077*$Z$1077</f>
        <v>671.7530266528538</v>
      </c>
      <c r="AG1077" s="6">
        <f>$O$1077*$AA$1077</f>
        <v>334.19864601922063</v>
      </c>
    </row>
    <row r="1078" spans="1:33" ht="11.25" customHeight="1" x14ac:dyDescent="0.25">
      <c r="A1078" s="4" t="s">
        <v>28</v>
      </c>
      <c r="B1078" s="4" t="s">
        <v>37</v>
      </c>
      <c r="C1078" s="4" t="s">
        <v>33</v>
      </c>
      <c r="D1078" s="4" t="s">
        <v>42</v>
      </c>
      <c r="E1078" s="4" t="s">
        <v>25</v>
      </c>
      <c r="F1078" s="4" t="s">
        <v>25</v>
      </c>
      <c r="G1078" s="4" t="s">
        <v>25</v>
      </c>
      <c r="H1078" s="4" t="s">
        <v>34</v>
      </c>
      <c r="I1078" s="5">
        <v>44531</v>
      </c>
      <c r="J1078" s="6">
        <v>0</v>
      </c>
      <c r="K1078" s="6">
        <v>0</v>
      </c>
      <c r="L1078" s="6">
        <v>4.4999999999999998E-2</v>
      </c>
      <c r="M1078" s="6">
        <v>4.4999999999999998E-2</v>
      </c>
      <c r="N1078" s="6">
        <v>4.4999999999999998E-2</v>
      </c>
      <c r="O1078" s="6">
        <v>4.4999999999999998E-2</v>
      </c>
      <c r="P1078" s="6">
        <v>0</v>
      </c>
      <c r="Q1078" s="4" t="s">
        <v>26</v>
      </c>
      <c r="R1078" s="4">
        <v>0</v>
      </c>
      <c r="S1078" s="6">
        <v>0</v>
      </c>
      <c r="T1078" s="6">
        <v>58</v>
      </c>
      <c r="U1078" s="6">
        <v>84</v>
      </c>
      <c r="V1078" s="6">
        <f>IF(ISERROR(VLOOKUP($S$1078,'TAR FIN'!$A$1:$O$100,15,0)),0,VLOOKUP($S$1078,'TAR FIN'!$A$1:$O$100,15,0))</f>
        <v>0</v>
      </c>
      <c r="W1078" s="6">
        <f>IF(ISERROR(VLOOKUP($T$1078,'TAR FIN'!$A$1:$O$100,15,0)),0,VLOOKUP($T$1078,'TAR FIN'!$A$1:$O$100,15,0))</f>
        <v>792.32</v>
      </c>
      <c r="X1078" s="6">
        <f>IF(ISERROR(VLOOKUP($U$1078,'TAR FIN'!$A$1:$O$100,15,0)),0,VLOOKUP($U$1078,'TAR FIN'!$A$1:$O$100,15,0))</f>
        <v>366.6</v>
      </c>
      <c r="Y1078" s="6"/>
      <c r="Z1078" s="6">
        <f ca="1">('TUSD BE'!$AM$55+'TUSD BF'!$AM$55+'TUSD CVA'!$AM$55)*1</f>
        <v>774.80164550502172</v>
      </c>
      <c r="AA1078" s="6">
        <f>('TE BE'!$AA$38+'TE BF'!$AA$38+'TE CVA'!$AA$38)*1</f>
        <v>385.46556634281501</v>
      </c>
      <c r="AB1078" s="6">
        <f>$K$1078*$V$1078</f>
        <v>0</v>
      </c>
      <c r="AC1078" s="6">
        <f>$M$1078*$W$1078</f>
        <v>35.654400000000003</v>
      </c>
      <c r="AD1078" s="6">
        <f>$O$1078*$X$1078</f>
        <v>16.497</v>
      </c>
      <c r="AE1078" s="6">
        <f>$K$1078*$Y$1078</f>
        <v>0</v>
      </c>
      <c r="AF1078" s="6">
        <f ca="1">$M$1078*$Z$1078</f>
        <v>34.866074047725974</v>
      </c>
      <c r="AG1078" s="6">
        <f>$O$1078*$AA$1078</f>
        <v>17.345950485426673</v>
      </c>
    </row>
    <row r="1079" spans="1:33" ht="11.25" customHeight="1" x14ac:dyDescent="0.25">
      <c r="A1079" s="4" t="s">
        <v>55</v>
      </c>
      <c r="B1079" s="4" t="s">
        <v>37</v>
      </c>
      <c r="C1079" s="4" t="s">
        <v>33</v>
      </c>
      <c r="D1079" s="4" t="s">
        <v>42</v>
      </c>
      <c r="E1079" s="4" t="s">
        <v>25</v>
      </c>
      <c r="F1079" s="4" t="s">
        <v>25</v>
      </c>
      <c r="G1079" s="4" t="s">
        <v>25</v>
      </c>
      <c r="H1079" s="4" t="s">
        <v>34</v>
      </c>
      <c r="I1079" s="5">
        <v>44562</v>
      </c>
      <c r="J1079" s="6">
        <v>0</v>
      </c>
      <c r="K1079" s="6">
        <v>0</v>
      </c>
      <c r="L1079" s="6">
        <v>0.86699999999999999</v>
      </c>
      <c r="M1079" s="6">
        <v>0.86699999999999999</v>
      </c>
      <c r="N1079" s="6">
        <v>0.86699999999999999</v>
      </c>
      <c r="O1079" s="6">
        <v>0.86699999999999999</v>
      </c>
      <c r="P1079" s="6">
        <v>0</v>
      </c>
      <c r="Q1079" s="4" t="s">
        <v>26</v>
      </c>
      <c r="R1079" s="4">
        <v>0</v>
      </c>
      <c r="S1079" s="6">
        <v>0</v>
      </c>
      <c r="T1079" s="6">
        <v>58</v>
      </c>
      <c r="U1079" s="6">
        <v>84</v>
      </c>
      <c r="V1079" s="6">
        <f>IF(ISERROR(VLOOKUP($S$1079,'TAR FIN'!$A$1:$O$100,15,0)),0,VLOOKUP($S$1079,'TAR FIN'!$A$1:$O$100,15,0))</f>
        <v>0</v>
      </c>
      <c r="W1079" s="6">
        <f>IF(ISERROR(VLOOKUP($T$1079,'TAR FIN'!$A$1:$O$100,15,0)),0,VLOOKUP($T$1079,'TAR FIN'!$A$1:$O$100,15,0))</f>
        <v>792.32</v>
      </c>
      <c r="X1079" s="6">
        <f>IF(ISERROR(VLOOKUP($U$1079,'TAR FIN'!$A$1:$O$100,15,0)),0,VLOOKUP($U$1079,'TAR FIN'!$A$1:$O$100,15,0))</f>
        <v>366.6</v>
      </c>
      <c r="Y1079" s="6"/>
      <c r="Z1079" s="6">
        <f ca="1">('TUSD BE'!$AM$55+'TUSD BF'!$AM$55+'TUSD CVA'!$AM$55)*1</f>
        <v>774.80164550502172</v>
      </c>
      <c r="AA1079" s="6">
        <f>('TE BE'!$AA$38+'TE BF'!$AA$38+'TE CVA'!$AA$38)*1</f>
        <v>385.46556634281501</v>
      </c>
      <c r="AB1079" s="6">
        <f>$K$1079*$V$1079</f>
        <v>0</v>
      </c>
      <c r="AC1079" s="6">
        <f>$M$1079*$W$1079</f>
        <v>686.94144000000006</v>
      </c>
      <c r="AD1079" s="6">
        <f>$O$1079*$X$1079</f>
        <v>317.84219999999999</v>
      </c>
      <c r="AE1079" s="6">
        <f>$K$1079*$Y$1079</f>
        <v>0</v>
      </c>
      <c r="AF1079" s="6">
        <f ca="1">$M$1079*$Z$1079</f>
        <v>671.7530266528538</v>
      </c>
      <c r="AG1079" s="6">
        <f>$O$1079*$AA$1079</f>
        <v>334.19864601922063</v>
      </c>
    </row>
    <row r="1080" spans="1:33" ht="11.25" customHeight="1" x14ac:dyDescent="0.25">
      <c r="A1080" s="4" t="s">
        <v>55</v>
      </c>
      <c r="B1080" s="4" t="s">
        <v>37</v>
      </c>
      <c r="C1080" s="4" t="s">
        <v>33</v>
      </c>
      <c r="D1080" s="4" t="s">
        <v>42</v>
      </c>
      <c r="E1080" s="4" t="s">
        <v>25</v>
      </c>
      <c r="F1080" s="4" t="s">
        <v>25</v>
      </c>
      <c r="G1080" s="4" t="s">
        <v>25</v>
      </c>
      <c r="H1080" s="4" t="s">
        <v>34</v>
      </c>
      <c r="I1080" s="5">
        <v>44562</v>
      </c>
      <c r="J1080" s="6">
        <v>0</v>
      </c>
      <c r="K1080" s="6">
        <v>0</v>
      </c>
      <c r="L1080" s="6">
        <v>4.4999999999999998E-2</v>
      </c>
      <c r="M1080" s="6">
        <v>4.4999999999999998E-2</v>
      </c>
      <c r="N1080" s="6">
        <v>4.4999999999999998E-2</v>
      </c>
      <c r="O1080" s="6">
        <v>4.4999999999999998E-2</v>
      </c>
      <c r="P1080" s="6">
        <v>0</v>
      </c>
      <c r="Q1080" s="4" t="s">
        <v>26</v>
      </c>
      <c r="R1080" s="4">
        <v>0</v>
      </c>
      <c r="S1080" s="6">
        <v>0</v>
      </c>
      <c r="T1080" s="6">
        <v>58</v>
      </c>
      <c r="U1080" s="6">
        <v>84</v>
      </c>
      <c r="V1080" s="6">
        <f>IF(ISERROR(VLOOKUP($S$1080,'TAR FIN'!$A$1:$O$100,15,0)),0,VLOOKUP($S$1080,'TAR FIN'!$A$1:$O$100,15,0))</f>
        <v>0</v>
      </c>
      <c r="W1080" s="6">
        <f>IF(ISERROR(VLOOKUP($T$1080,'TAR FIN'!$A$1:$O$100,15,0)),0,VLOOKUP($T$1080,'TAR FIN'!$A$1:$O$100,15,0))</f>
        <v>792.32</v>
      </c>
      <c r="X1080" s="6">
        <f>IF(ISERROR(VLOOKUP($U$1080,'TAR FIN'!$A$1:$O$100,15,0)),0,VLOOKUP($U$1080,'TAR FIN'!$A$1:$O$100,15,0))</f>
        <v>366.6</v>
      </c>
      <c r="Y1080" s="6"/>
      <c r="Z1080" s="6">
        <f ca="1">('TUSD BE'!$AM$55+'TUSD BF'!$AM$55+'TUSD CVA'!$AM$55)*1</f>
        <v>774.80164550502172</v>
      </c>
      <c r="AA1080" s="6">
        <f>('TE BE'!$AA$38+'TE BF'!$AA$38+'TE CVA'!$AA$38)*1</f>
        <v>385.46556634281501</v>
      </c>
      <c r="AB1080" s="6">
        <f>$K$1080*$V$1080</f>
        <v>0</v>
      </c>
      <c r="AC1080" s="6">
        <f>$M$1080*$W$1080</f>
        <v>35.654400000000003</v>
      </c>
      <c r="AD1080" s="6">
        <f>$O$1080*$X$1080</f>
        <v>16.497</v>
      </c>
      <c r="AE1080" s="6">
        <f>$K$1080*$Y$1080</f>
        <v>0</v>
      </c>
      <c r="AF1080" s="6">
        <f ca="1">$M$1080*$Z$1080</f>
        <v>34.866074047725974</v>
      </c>
      <c r="AG1080" s="6">
        <f>$O$1080*$AA$1080</f>
        <v>17.345950485426673</v>
      </c>
    </row>
    <row r="1081" spans="1:33" ht="11.25" customHeight="1" x14ac:dyDescent="0.25">
      <c r="A1081" s="4" t="s">
        <v>21</v>
      </c>
      <c r="B1081" s="4" t="s">
        <v>37</v>
      </c>
      <c r="C1081" s="4" t="s">
        <v>23</v>
      </c>
      <c r="D1081" s="4" t="s">
        <v>42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44228</v>
      </c>
      <c r="J1081" s="6">
        <v>0</v>
      </c>
      <c r="K1081" s="6">
        <v>0</v>
      </c>
      <c r="L1081" s="6">
        <v>6249.5659999999998</v>
      </c>
      <c r="M1081" s="6">
        <v>6249.5659999999998</v>
      </c>
      <c r="N1081" s="6">
        <v>6249.5659999999998</v>
      </c>
      <c r="O1081" s="6">
        <v>6249.5659999999998</v>
      </c>
      <c r="P1081" s="6">
        <v>14916</v>
      </c>
      <c r="Q1081" s="4" t="s">
        <v>26</v>
      </c>
      <c r="R1081" s="4">
        <v>0</v>
      </c>
      <c r="S1081" s="6">
        <v>0</v>
      </c>
      <c r="T1081" s="6">
        <v>61</v>
      </c>
      <c r="U1081" s="6">
        <v>7</v>
      </c>
      <c r="V1081" s="6">
        <f>IF(ISERROR(VLOOKUP($S$1081,'TAR FIN'!$A$1:$O$100,15,0)),0,VLOOKUP($S$1081,'TAR FIN'!$A$1:$O$100,15,0))</f>
        <v>0</v>
      </c>
      <c r="W1081" s="6">
        <f>IF(ISERROR(VLOOKUP($T$1081,'TAR FIN'!$A$1:$O$100,15,0)),0,VLOOKUP($T$1081,'TAR FIN'!$A$1:$O$100,15,0))</f>
        <v>285.75</v>
      </c>
      <c r="X1081" s="6">
        <f>IF(ISERROR(VLOOKUP($U$1081,'TAR FIN'!$A$1:$O$100,15,0)),0,VLOOKUP($U$1081,'TAR FIN'!$A$1:$O$100,15,0))</f>
        <v>231.33</v>
      </c>
      <c r="Y1081" s="6"/>
      <c r="Z1081" s="6">
        <f ca="1">('TUSD BE'!$AM$58+'TUSD BF'!$AM$58+'TUSD CVA'!$AM$58)*1</f>
        <v>285.64503648725872</v>
      </c>
      <c r="AA1081" s="6">
        <f>('TE BE'!$AA$41+'TE BF'!$AA$41+'TE CVA'!$AA$41)*1</f>
        <v>250.79367785689016</v>
      </c>
      <c r="AB1081" s="6">
        <f>$K$1081*$V$1081</f>
        <v>0</v>
      </c>
      <c r="AC1081" s="6">
        <f>$M$1081*$W$1081</f>
        <v>1785813.4845</v>
      </c>
      <c r="AD1081" s="6">
        <f>$O$1081*$X$1081</f>
        <v>1445712.1027800001</v>
      </c>
      <c r="AE1081" s="6">
        <f>$K$1081*$Y$1081</f>
        <v>0</v>
      </c>
      <c r="AF1081" s="6">
        <f ca="1">$M$1081*$Z$1081</f>
        <v>1785157.5080995315</v>
      </c>
      <c r="AG1081" s="6">
        <f>$O$1081*$AA$1081</f>
        <v>1567351.6421493734</v>
      </c>
    </row>
    <row r="1082" spans="1:33" ht="11.25" customHeight="1" x14ac:dyDescent="0.25">
      <c r="A1082" s="4" t="s">
        <v>27</v>
      </c>
      <c r="B1082" s="4" t="s">
        <v>37</v>
      </c>
      <c r="C1082" s="4" t="s">
        <v>23</v>
      </c>
      <c r="D1082" s="4" t="s">
        <v>42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44228</v>
      </c>
      <c r="J1082" s="6">
        <v>0</v>
      </c>
      <c r="K1082" s="6">
        <v>0</v>
      </c>
      <c r="L1082" s="6">
        <v>-3.7160000000000002</v>
      </c>
      <c r="M1082" s="6">
        <v>-3.7160000000000002</v>
      </c>
      <c r="N1082" s="6">
        <v>-3.7160000000000002</v>
      </c>
      <c r="O1082" s="6">
        <v>-3.7160000000000002</v>
      </c>
      <c r="P1082" s="6">
        <v>0</v>
      </c>
      <c r="Q1082" s="4" t="s">
        <v>26</v>
      </c>
      <c r="R1082" s="4">
        <v>0</v>
      </c>
      <c r="S1082" s="6">
        <v>0</v>
      </c>
      <c r="T1082" s="6">
        <v>61</v>
      </c>
      <c r="U1082" s="6">
        <v>7</v>
      </c>
      <c r="V1082" s="6">
        <f>IF(ISERROR(VLOOKUP($S$1082,'TAR FIN'!$A$1:$O$100,15,0)),0,VLOOKUP($S$1082,'TAR FIN'!$A$1:$O$100,15,0))</f>
        <v>0</v>
      </c>
      <c r="W1082" s="6">
        <f>IF(ISERROR(VLOOKUP($T$1082,'TAR FIN'!$A$1:$O$100,15,0)),0,VLOOKUP($T$1082,'TAR FIN'!$A$1:$O$100,15,0))</f>
        <v>285.75</v>
      </c>
      <c r="X1082" s="6">
        <f>IF(ISERROR(VLOOKUP($U$1082,'TAR FIN'!$A$1:$O$100,15,0)),0,VLOOKUP($U$1082,'TAR FIN'!$A$1:$O$100,15,0))</f>
        <v>231.33</v>
      </c>
      <c r="Y1082" s="6"/>
      <c r="Z1082" s="6">
        <f ca="1">('TUSD BE'!$AM$58+'TUSD BF'!$AM$58+'TUSD CVA'!$AM$58)*1</f>
        <v>285.64503648725872</v>
      </c>
      <c r="AA1082" s="6">
        <f>('TE BE'!$AA$41+'TE BF'!$AA$41+'TE CVA'!$AA$41)*1</f>
        <v>250.79367785689016</v>
      </c>
      <c r="AB1082" s="6">
        <f>$K$1082*$V$1082</f>
        <v>0</v>
      </c>
      <c r="AC1082" s="6">
        <f>$M$1082*$W$1082</f>
        <v>-1061.847</v>
      </c>
      <c r="AD1082" s="6">
        <f>$O$1082*$X$1082</f>
        <v>-859.62228000000005</v>
      </c>
      <c r="AE1082" s="6">
        <f>$K$1082*$Y$1082</f>
        <v>0</v>
      </c>
      <c r="AF1082" s="6">
        <f ca="1">$M$1082*$Z$1082</f>
        <v>-1061.4569555866535</v>
      </c>
      <c r="AG1082" s="6">
        <f>$O$1082*$AA$1082</f>
        <v>-931.94930691620391</v>
      </c>
    </row>
    <row r="1083" spans="1:33" ht="11.25" customHeight="1" x14ac:dyDescent="0.25">
      <c r="A1083" s="4" t="s">
        <v>28</v>
      </c>
      <c r="B1083" s="4" t="s">
        <v>37</v>
      </c>
      <c r="C1083" s="4" t="s">
        <v>23</v>
      </c>
      <c r="D1083" s="4" t="s">
        <v>42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44228</v>
      </c>
      <c r="J1083" s="6">
        <v>0</v>
      </c>
      <c r="K1083" s="6">
        <v>0</v>
      </c>
      <c r="L1083" s="6">
        <v>249.79400000000001</v>
      </c>
      <c r="M1083" s="6">
        <v>249.79400000000001</v>
      </c>
      <c r="N1083" s="6">
        <v>249.79400000000001</v>
      </c>
      <c r="O1083" s="6">
        <v>249.79400000000001</v>
      </c>
      <c r="P1083" s="6">
        <v>339</v>
      </c>
      <c r="Q1083" s="4" t="s">
        <v>26</v>
      </c>
      <c r="R1083" s="4">
        <v>0</v>
      </c>
      <c r="S1083" s="6">
        <v>0</v>
      </c>
      <c r="T1083" s="6">
        <v>61</v>
      </c>
      <c r="U1083" s="6">
        <v>7</v>
      </c>
      <c r="V1083" s="6">
        <f>IF(ISERROR(VLOOKUP($S$1083,'TAR FIN'!$A$1:$O$100,15,0)),0,VLOOKUP($S$1083,'TAR FIN'!$A$1:$O$100,15,0))</f>
        <v>0</v>
      </c>
      <c r="W1083" s="6">
        <f>IF(ISERROR(VLOOKUP($T$1083,'TAR FIN'!$A$1:$O$100,15,0)),0,VLOOKUP($T$1083,'TAR FIN'!$A$1:$O$100,15,0))</f>
        <v>285.75</v>
      </c>
      <c r="X1083" s="6">
        <f>IF(ISERROR(VLOOKUP($U$1083,'TAR FIN'!$A$1:$O$100,15,0)),0,VLOOKUP($U$1083,'TAR FIN'!$A$1:$O$100,15,0))</f>
        <v>231.33</v>
      </c>
      <c r="Y1083" s="6"/>
      <c r="Z1083" s="6">
        <f ca="1">('TUSD BE'!$AM$58+'TUSD BF'!$AM$58+'TUSD CVA'!$AM$58)*1</f>
        <v>285.64503648725872</v>
      </c>
      <c r="AA1083" s="6">
        <f>('TE BE'!$AA$41+'TE BF'!$AA$41+'TE CVA'!$AA$41)*1</f>
        <v>250.79367785689016</v>
      </c>
      <c r="AB1083" s="6">
        <f>$K$1083*$V$1083</f>
        <v>0</v>
      </c>
      <c r="AC1083" s="6">
        <f>$M$1083*$W$1083</f>
        <v>71378.635500000004</v>
      </c>
      <c r="AD1083" s="6">
        <f>$O$1083*$X$1083</f>
        <v>57784.846020000005</v>
      </c>
      <c r="AE1083" s="6">
        <f>$K$1083*$Y$1083</f>
        <v>0</v>
      </c>
      <c r="AF1083" s="6">
        <f ca="1">$M$1083*$Z$1083</f>
        <v>71352.416244298307</v>
      </c>
      <c r="AG1083" s="6">
        <f>$O$1083*$AA$1083</f>
        <v>62646.755966584024</v>
      </c>
    </row>
    <row r="1084" spans="1:33" ht="11.25" customHeight="1" x14ac:dyDescent="0.25">
      <c r="A1084" s="4" t="s">
        <v>21</v>
      </c>
      <c r="B1084" s="4" t="s">
        <v>37</v>
      </c>
      <c r="C1084" s="4" t="s">
        <v>23</v>
      </c>
      <c r="D1084" s="4" t="s">
        <v>42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44256</v>
      </c>
      <c r="J1084" s="6">
        <v>0</v>
      </c>
      <c r="K1084" s="6">
        <v>0</v>
      </c>
      <c r="L1084" s="6">
        <v>6710.46</v>
      </c>
      <c r="M1084" s="6">
        <v>6710.46</v>
      </c>
      <c r="N1084" s="6">
        <v>6710.46</v>
      </c>
      <c r="O1084" s="6">
        <v>6710.46</v>
      </c>
      <c r="P1084" s="6">
        <v>14926</v>
      </c>
      <c r="Q1084" s="4" t="s">
        <v>26</v>
      </c>
      <c r="R1084" s="4">
        <v>0</v>
      </c>
      <c r="S1084" s="6">
        <v>0</v>
      </c>
      <c r="T1084" s="6">
        <v>61</v>
      </c>
      <c r="U1084" s="6">
        <v>7</v>
      </c>
      <c r="V1084" s="6">
        <f>IF(ISERROR(VLOOKUP($S$1084,'TAR FIN'!$A$1:$O$100,15,0)),0,VLOOKUP($S$1084,'TAR FIN'!$A$1:$O$100,15,0))</f>
        <v>0</v>
      </c>
      <c r="W1084" s="6">
        <f>IF(ISERROR(VLOOKUP($T$1084,'TAR FIN'!$A$1:$O$100,15,0)),0,VLOOKUP($T$1084,'TAR FIN'!$A$1:$O$100,15,0))</f>
        <v>285.75</v>
      </c>
      <c r="X1084" s="6">
        <f>IF(ISERROR(VLOOKUP($U$1084,'TAR FIN'!$A$1:$O$100,15,0)),0,VLOOKUP($U$1084,'TAR FIN'!$A$1:$O$100,15,0))</f>
        <v>231.33</v>
      </c>
      <c r="Y1084" s="6"/>
      <c r="Z1084" s="6">
        <f ca="1">('TUSD BE'!$AM$58+'TUSD BF'!$AM$58+'TUSD CVA'!$AM$58)*1</f>
        <v>285.64503648725872</v>
      </c>
      <c r="AA1084" s="6">
        <f>('TE BE'!$AA$41+'TE BF'!$AA$41+'TE CVA'!$AA$41)*1</f>
        <v>250.79367785689016</v>
      </c>
      <c r="AB1084" s="6">
        <f>$K$1084*$V$1084</f>
        <v>0</v>
      </c>
      <c r="AC1084" s="6">
        <f>$M$1084*$W$1084</f>
        <v>1917513.9450000001</v>
      </c>
      <c r="AD1084" s="6">
        <f>$O$1084*$X$1084</f>
        <v>1552330.7118000002</v>
      </c>
      <c r="AE1084" s="6">
        <f>$K$1084*$Y$1084</f>
        <v>0</v>
      </c>
      <c r="AF1084" s="6">
        <f ca="1">$M$1084*$Z$1084</f>
        <v>1916809.5915462901</v>
      </c>
      <c r="AG1084" s="6">
        <f>$O$1084*$AA$1084</f>
        <v>1682940.9435115471</v>
      </c>
    </row>
    <row r="1085" spans="1:33" ht="11.25" customHeight="1" x14ac:dyDescent="0.25">
      <c r="A1085" s="4" t="s">
        <v>27</v>
      </c>
      <c r="B1085" s="4" t="s">
        <v>37</v>
      </c>
      <c r="C1085" s="4" t="s">
        <v>23</v>
      </c>
      <c r="D1085" s="4" t="s">
        <v>42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44256</v>
      </c>
      <c r="J1085" s="6">
        <v>0</v>
      </c>
      <c r="K1085" s="6">
        <v>0</v>
      </c>
      <c r="L1085" s="6">
        <v>-7.0730000000000004</v>
      </c>
      <c r="M1085" s="6">
        <v>-7.0730000000000004</v>
      </c>
      <c r="N1085" s="6">
        <v>-7.0730000000000004</v>
      </c>
      <c r="O1085" s="6">
        <v>-7.0730000000000004</v>
      </c>
      <c r="P1085" s="6">
        <v>-2</v>
      </c>
      <c r="Q1085" s="4" t="s">
        <v>26</v>
      </c>
      <c r="R1085" s="4">
        <v>0</v>
      </c>
      <c r="S1085" s="6">
        <v>0</v>
      </c>
      <c r="T1085" s="6">
        <v>61</v>
      </c>
      <c r="U1085" s="6">
        <v>7</v>
      </c>
      <c r="V1085" s="6">
        <f>IF(ISERROR(VLOOKUP($S$1085,'TAR FIN'!$A$1:$O$100,15,0)),0,VLOOKUP($S$1085,'TAR FIN'!$A$1:$O$100,15,0))</f>
        <v>0</v>
      </c>
      <c r="W1085" s="6">
        <f>IF(ISERROR(VLOOKUP($T$1085,'TAR FIN'!$A$1:$O$100,15,0)),0,VLOOKUP($T$1085,'TAR FIN'!$A$1:$O$100,15,0))</f>
        <v>285.75</v>
      </c>
      <c r="X1085" s="6">
        <f>IF(ISERROR(VLOOKUP($U$1085,'TAR FIN'!$A$1:$O$100,15,0)),0,VLOOKUP($U$1085,'TAR FIN'!$A$1:$O$100,15,0))</f>
        <v>231.33</v>
      </c>
      <c r="Y1085" s="6"/>
      <c r="Z1085" s="6">
        <f ca="1">('TUSD BE'!$AM$58+'TUSD BF'!$AM$58+'TUSD CVA'!$AM$58)*1</f>
        <v>285.64503648725872</v>
      </c>
      <c r="AA1085" s="6">
        <f>('TE BE'!$AA$41+'TE BF'!$AA$41+'TE CVA'!$AA$41)*1</f>
        <v>250.79367785689016</v>
      </c>
      <c r="AB1085" s="6">
        <f>$K$1085*$V$1085</f>
        <v>0</v>
      </c>
      <c r="AC1085" s="6">
        <f>$M$1085*$W$1085</f>
        <v>-2021.1097500000001</v>
      </c>
      <c r="AD1085" s="6">
        <f>$O$1085*$X$1085</f>
        <v>-1636.1970900000001</v>
      </c>
      <c r="AE1085" s="6">
        <f>$K$1085*$Y$1085</f>
        <v>0</v>
      </c>
      <c r="AF1085" s="6">
        <f ca="1">$M$1085*$Z$1085</f>
        <v>-2020.3673430743811</v>
      </c>
      <c r="AG1085" s="6">
        <f>$O$1085*$AA$1085</f>
        <v>-1773.8636834817842</v>
      </c>
    </row>
    <row r="1086" spans="1:33" ht="11.25" customHeight="1" x14ac:dyDescent="0.25">
      <c r="A1086" s="4" t="s">
        <v>28</v>
      </c>
      <c r="B1086" s="4" t="s">
        <v>37</v>
      </c>
      <c r="C1086" s="4" t="s">
        <v>23</v>
      </c>
      <c r="D1086" s="4" t="s">
        <v>42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44256</v>
      </c>
      <c r="J1086" s="6">
        <v>0</v>
      </c>
      <c r="K1086" s="6">
        <v>0</v>
      </c>
      <c r="L1086" s="6">
        <v>270.69400000000002</v>
      </c>
      <c r="M1086" s="6">
        <v>270.69400000000002</v>
      </c>
      <c r="N1086" s="6">
        <v>270.69400000000002</v>
      </c>
      <c r="O1086" s="6">
        <v>270.69400000000002</v>
      </c>
      <c r="P1086" s="6">
        <v>349</v>
      </c>
      <c r="Q1086" s="4" t="s">
        <v>26</v>
      </c>
      <c r="R1086" s="4">
        <v>0</v>
      </c>
      <c r="S1086" s="6">
        <v>0</v>
      </c>
      <c r="T1086" s="6">
        <v>61</v>
      </c>
      <c r="U1086" s="6">
        <v>7</v>
      </c>
      <c r="V1086" s="6">
        <f>IF(ISERROR(VLOOKUP($S$1086,'TAR FIN'!$A$1:$O$100,15,0)),0,VLOOKUP($S$1086,'TAR FIN'!$A$1:$O$100,15,0))</f>
        <v>0</v>
      </c>
      <c r="W1086" s="6">
        <f>IF(ISERROR(VLOOKUP($T$1086,'TAR FIN'!$A$1:$O$100,15,0)),0,VLOOKUP($T$1086,'TAR FIN'!$A$1:$O$100,15,0))</f>
        <v>285.75</v>
      </c>
      <c r="X1086" s="6">
        <f>IF(ISERROR(VLOOKUP($U$1086,'TAR FIN'!$A$1:$O$100,15,0)),0,VLOOKUP($U$1086,'TAR FIN'!$A$1:$O$100,15,0))</f>
        <v>231.33</v>
      </c>
      <c r="Y1086" s="6"/>
      <c r="Z1086" s="6">
        <f ca="1">('TUSD BE'!$AM$58+'TUSD BF'!$AM$58+'TUSD CVA'!$AM$58)*1</f>
        <v>285.64503648725872</v>
      </c>
      <c r="AA1086" s="6">
        <f>('TE BE'!$AA$41+'TE BF'!$AA$41+'TE CVA'!$AA$41)*1</f>
        <v>250.79367785689016</v>
      </c>
      <c r="AB1086" s="6">
        <f>$K$1086*$V$1086</f>
        <v>0</v>
      </c>
      <c r="AC1086" s="6">
        <f>$M$1086*$W$1086</f>
        <v>77350.810500000007</v>
      </c>
      <c r="AD1086" s="6">
        <f>$O$1086*$X$1086</f>
        <v>62619.64302000001</v>
      </c>
      <c r="AE1086" s="6">
        <f>$K$1086*$Y$1086</f>
        <v>0</v>
      </c>
      <c r="AF1086" s="6">
        <f ca="1">$M$1086*$Z$1086</f>
        <v>77322.397506882015</v>
      </c>
      <c r="AG1086" s="6">
        <f>$O$1086*$AA$1086</f>
        <v>67888.343833793027</v>
      </c>
    </row>
    <row r="1087" spans="1:33" ht="11.25" customHeight="1" x14ac:dyDescent="0.25">
      <c r="A1087" s="4" t="s">
        <v>21</v>
      </c>
      <c r="B1087" s="4" t="s">
        <v>37</v>
      </c>
      <c r="C1087" s="4" t="s">
        <v>23</v>
      </c>
      <c r="D1087" s="4" t="s">
        <v>42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44287</v>
      </c>
      <c r="J1087" s="6">
        <v>0</v>
      </c>
      <c r="K1087" s="6">
        <v>0</v>
      </c>
      <c r="L1087" s="6">
        <v>6139.4750000000004</v>
      </c>
      <c r="M1087" s="6">
        <v>6139.4750000000004</v>
      </c>
      <c r="N1087" s="6">
        <v>6139.4750000000004</v>
      </c>
      <c r="O1087" s="6">
        <v>6139.4750000000004</v>
      </c>
      <c r="P1087" s="6">
        <v>14972</v>
      </c>
      <c r="Q1087" s="4" t="s">
        <v>26</v>
      </c>
      <c r="R1087" s="4">
        <v>0</v>
      </c>
      <c r="S1087" s="6">
        <v>0</v>
      </c>
      <c r="T1087" s="6">
        <v>61</v>
      </c>
      <c r="U1087" s="6">
        <v>7</v>
      </c>
      <c r="V1087" s="6">
        <f>IF(ISERROR(VLOOKUP($S$1087,'TAR FIN'!$A$1:$O$100,15,0)),0,VLOOKUP($S$1087,'TAR FIN'!$A$1:$O$100,15,0))</f>
        <v>0</v>
      </c>
      <c r="W1087" s="6">
        <f>IF(ISERROR(VLOOKUP($T$1087,'TAR FIN'!$A$1:$O$100,15,0)),0,VLOOKUP($T$1087,'TAR FIN'!$A$1:$O$100,15,0))</f>
        <v>285.75</v>
      </c>
      <c r="X1087" s="6">
        <f>IF(ISERROR(VLOOKUP($U$1087,'TAR FIN'!$A$1:$O$100,15,0)),0,VLOOKUP($U$1087,'TAR FIN'!$A$1:$O$100,15,0))</f>
        <v>231.33</v>
      </c>
      <c r="Y1087" s="6"/>
      <c r="Z1087" s="6">
        <f ca="1">('TUSD BE'!$AM$58+'TUSD BF'!$AM$58+'TUSD CVA'!$AM$58)*1</f>
        <v>285.64503648725872</v>
      </c>
      <c r="AA1087" s="6">
        <f>('TE BE'!$AA$41+'TE BF'!$AA$41+'TE CVA'!$AA$41)*1</f>
        <v>250.79367785689016</v>
      </c>
      <c r="AB1087" s="6">
        <f>$K$1087*$V$1087</f>
        <v>0</v>
      </c>
      <c r="AC1087" s="6">
        <f>$M$1087*$W$1087</f>
        <v>1754354.9812500002</v>
      </c>
      <c r="AD1087" s="6">
        <f>$O$1087*$X$1087</f>
        <v>1420244.7517500001</v>
      </c>
      <c r="AE1087" s="6">
        <f>$K$1087*$Y$1087</f>
        <v>0</v>
      </c>
      <c r="AF1087" s="6">
        <f ca="1">$M$1087*$Z$1087</f>
        <v>1753710.5603876128</v>
      </c>
      <c r="AG1087" s="6">
        <f>$O$1087*$AA$1087</f>
        <v>1539741.5153604308</v>
      </c>
    </row>
    <row r="1088" spans="1:33" ht="11.25" customHeight="1" x14ac:dyDescent="0.25">
      <c r="A1088" s="4" t="s">
        <v>27</v>
      </c>
      <c r="B1088" s="4" t="s">
        <v>37</v>
      </c>
      <c r="C1088" s="4" t="s">
        <v>23</v>
      </c>
      <c r="D1088" s="4" t="s">
        <v>42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44287</v>
      </c>
      <c r="J1088" s="6">
        <v>0</v>
      </c>
      <c r="K1088" s="6">
        <v>0</v>
      </c>
      <c r="L1088" s="6">
        <v>-0.1</v>
      </c>
      <c r="M1088" s="6">
        <v>-0.1</v>
      </c>
      <c r="N1088" s="6">
        <v>-0.1</v>
      </c>
      <c r="O1088" s="6">
        <v>-0.1</v>
      </c>
      <c r="P1088" s="6">
        <v>-1</v>
      </c>
      <c r="Q1088" s="4" t="s">
        <v>26</v>
      </c>
      <c r="R1088" s="4">
        <v>0</v>
      </c>
      <c r="S1088" s="6">
        <v>0</v>
      </c>
      <c r="T1088" s="6">
        <v>61</v>
      </c>
      <c r="U1088" s="6">
        <v>7</v>
      </c>
      <c r="V1088" s="6">
        <f>IF(ISERROR(VLOOKUP($S$1088,'TAR FIN'!$A$1:$O$100,15,0)),0,VLOOKUP($S$1088,'TAR FIN'!$A$1:$O$100,15,0))</f>
        <v>0</v>
      </c>
      <c r="W1088" s="6">
        <f>IF(ISERROR(VLOOKUP($T$1088,'TAR FIN'!$A$1:$O$100,15,0)),0,VLOOKUP($T$1088,'TAR FIN'!$A$1:$O$100,15,0))</f>
        <v>285.75</v>
      </c>
      <c r="X1088" s="6">
        <f>IF(ISERROR(VLOOKUP($U$1088,'TAR FIN'!$A$1:$O$100,15,0)),0,VLOOKUP($U$1088,'TAR FIN'!$A$1:$O$100,15,0))</f>
        <v>231.33</v>
      </c>
      <c r="Y1088" s="6"/>
      <c r="Z1088" s="6">
        <f ca="1">('TUSD BE'!$AM$58+'TUSD BF'!$AM$58+'TUSD CVA'!$AM$58)*1</f>
        <v>285.64503648725872</v>
      </c>
      <c r="AA1088" s="6">
        <f>('TE BE'!$AA$41+'TE BF'!$AA$41+'TE CVA'!$AA$41)*1</f>
        <v>250.79367785689016</v>
      </c>
      <c r="AB1088" s="6">
        <f>$K$1088*$V$1088</f>
        <v>0</v>
      </c>
      <c r="AC1088" s="6">
        <f>$M$1088*$W$1088</f>
        <v>-28.575000000000003</v>
      </c>
      <c r="AD1088" s="6">
        <f>$O$1088*$X$1088</f>
        <v>-23.133000000000003</v>
      </c>
      <c r="AE1088" s="6">
        <f>$K$1088*$Y$1088</f>
        <v>0</v>
      </c>
      <c r="AF1088" s="6">
        <f ca="1">$M$1088*$Z$1088</f>
        <v>-28.564503648725875</v>
      </c>
      <c r="AG1088" s="6">
        <f>$O$1088*$AA$1088</f>
        <v>-25.079367785689016</v>
      </c>
    </row>
    <row r="1089" spans="1:33" ht="11.25" customHeight="1" x14ac:dyDescent="0.25">
      <c r="A1089" s="4" t="s">
        <v>28</v>
      </c>
      <c r="B1089" s="4" t="s">
        <v>37</v>
      </c>
      <c r="C1089" s="4" t="s">
        <v>23</v>
      </c>
      <c r="D1089" s="4" t="s">
        <v>42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44287</v>
      </c>
      <c r="J1089" s="6">
        <v>0</v>
      </c>
      <c r="K1089" s="6">
        <v>0</v>
      </c>
      <c r="L1089" s="6">
        <v>294.31099999999998</v>
      </c>
      <c r="M1089" s="6">
        <v>294.31099999999998</v>
      </c>
      <c r="N1089" s="6">
        <v>294.31099999999998</v>
      </c>
      <c r="O1089" s="6">
        <v>294.31099999999998</v>
      </c>
      <c r="P1089" s="6">
        <v>388</v>
      </c>
      <c r="Q1089" s="4" t="s">
        <v>26</v>
      </c>
      <c r="R1089" s="4">
        <v>0</v>
      </c>
      <c r="S1089" s="6">
        <v>0</v>
      </c>
      <c r="T1089" s="6">
        <v>61</v>
      </c>
      <c r="U1089" s="6">
        <v>7</v>
      </c>
      <c r="V1089" s="6">
        <f>IF(ISERROR(VLOOKUP($S$1089,'TAR FIN'!$A$1:$O$100,15,0)),0,VLOOKUP($S$1089,'TAR FIN'!$A$1:$O$100,15,0))</f>
        <v>0</v>
      </c>
      <c r="W1089" s="6">
        <f>IF(ISERROR(VLOOKUP($T$1089,'TAR FIN'!$A$1:$O$100,15,0)),0,VLOOKUP($T$1089,'TAR FIN'!$A$1:$O$100,15,0))</f>
        <v>285.75</v>
      </c>
      <c r="X1089" s="6">
        <f>IF(ISERROR(VLOOKUP($U$1089,'TAR FIN'!$A$1:$O$100,15,0)),0,VLOOKUP($U$1089,'TAR FIN'!$A$1:$O$100,15,0))</f>
        <v>231.33</v>
      </c>
      <c r="Y1089" s="6"/>
      <c r="Z1089" s="6">
        <f ca="1">('TUSD BE'!$AM$58+'TUSD BF'!$AM$58+'TUSD CVA'!$AM$58)*1</f>
        <v>285.64503648725872</v>
      </c>
      <c r="AA1089" s="6">
        <f>('TE BE'!$AA$41+'TE BF'!$AA$41+'TE CVA'!$AA$41)*1</f>
        <v>250.79367785689016</v>
      </c>
      <c r="AB1089" s="6">
        <f>$K$1089*$V$1089</f>
        <v>0</v>
      </c>
      <c r="AC1089" s="6">
        <f>$M$1089*$W$1089</f>
        <v>84099.36825</v>
      </c>
      <c r="AD1089" s="6">
        <f>$O$1089*$X$1089</f>
        <v>68082.963629999998</v>
      </c>
      <c r="AE1089" s="6">
        <f>$K$1089*$Y$1089</f>
        <v>0</v>
      </c>
      <c r="AF1089" s="6">
        <f ca="1">$M$1089*$Z$1089</f>
        <v>84068.476333601589</v>
      </c>
      <c r="AG1089" s="6">
        <f>$O$1089*$AA$1089</f>
        <v>73811.338123739188</v>
      </c>
    </row>
    <row r="1090" spans="1:33" ht="11.25" customHeight="1" x14ac:dyDescent="0.25">
      <c r="A1090" s="4" t="s">
        <v>21</v>
      </c>
      <c r="B1090" s="4" t="s">
        <v>37</v>
      </c>
      <c r="C1090" s="4" t="s">
        <v>23</v>
      </c>
      <c r="D1090" s="4" t="s">
        <v>42</v>
      </c>
      <c r="E1090" s="4" t="s">
        <v>25</v>
      </c>
      <c r="F1090" s="4" t="s">
        <v>25</v>
      </c>
      <c r="G1090" s="4" t="s">
        <v>25</v>
      </c>
      <c r="H1090" s="4" t="s">
        <v>25</v>
      </c>
      <c r="I1090" s="5">
        <v>44317</v>
      </c>
      <c r="J1090" s="6">
        <v>0</v>
      </c>
      <c r="K1090" s="6">
        <v>0</v>
      </c>
      <c r="L1090" s="6">
        <v>6212.4359999999997</v>
      </c>
      <c r="M1090" s="6">
        <v>6212.4359999999997</v>
      </c>
      <c r="N1090" s="6">
        <v>6212.4359999999997</v>
      </c>
      <c r="O1090" s="6">
        <v>6212.4359999999997</v>
      </c>
      <c r="P1090" s="6">
        <v>14969</v>
      </c>
      <c r="Q1090" s="4" t="s">
        <v>26</v>
      </c>
      <c r="R1090" s="4">
        <v>0</v>
      </c>
      <c r="S1090" s="6">
        <v>0</v>
      </c>
      <c r="T1090" s="6">
        <v>61</v>
      </c>
      <c r="U1090" s="6">
        <v>7</v>
      </c>
      <c r="V1090" s="6">
        <f>IF(ISERROR(VLOOKUP($S$1090,'TAR FIN'!$A$1:$O$100,15,0)),0,VLOOKUP($S$1090,'TAR FIN'!$A$1:$O$100,15,0))</f>
        <v>0</v>
      </c>
      <c r="W1090" s="6">
        <f>IF(ISERROR(VLOOKUP($T$1090,'TAR FIN'!$A$1:$O$100,15,0)),0,VLOOKUP($T$1090,'TAR FIN'!$A$1:$O$100,15,0))</f>
        <v>285.75</v>
      </c>
      <c r="X1090" s="6">
        <f>IF(ISERROR(VLOOKUP($U$1090,'TAR FIN'!$A$1:$O$100,15,0)),0,VLOOKUP($U$1090,'TAR FIN'!$A$1:$O$100,15,0))</f>
        <v>231.33</v>
      </c>
      <c r="Y1090" s="6"/>
      <c r="Z1090" s="6">
        <f ca="1">('TUSD BE'!$AM$58+'TUSD BF'!$AM$58+'TUSD CVA'!$AM$58)*1</f>
        <v>285.64503648725872</v>
      </c>
      <c r="AA1090" s="6">
        <f>('TE BE'!$AA$41+'TE BF'!$AA$41+'TE CVA'!$AA$41)*1</f>
        <v>250.79367785689016</v>
      </c>
      <c r="AB1090" s="6">
        <f>$K$1090*$V$1090</f>
        <v>0</v>
      </c>
      <c r="AC1090" s="6">
        <f>$M$1090*$W$1090</f>
        <v>1775203.5869999998</v>
      </c>
      <c r="AD1090" s="6">
        <f>$O$1090*$X$1090</f>
        <v>1437122.8198800001</v>
      </c>
      <c r="AE1090" s="6">
        <f>$K$1090*$Y$1090</f>
        <v>0</v>
      </c>
      <c r="AF1090" s="6">
        <f ca="1">$M$1090*$Z$1090</f>
        <v>1774551.5078947595</v>
      </c>
      <c r="AG1090" s="6">
        <f>$O$1090*$AA$1090</f>
        <v>1558039.6728905472</v>
      </c>
    </row>
    <row r="1091" spans="1:33" ht="11.25" customHeight="1" x14ac:dyDescent="0.25">
      <c r="A1091" s="4" t="s">
        <v>27</v>
      </c>
      <c r="B1091" s="4" t="s">
        <v>37</v>
      </c>
      <c r="C1091" s="4" t="s">
        <v>23</v>
      </c>
      <c r="D1091" s="4" t="s">
        <v>42</v>
      </c>
      <c r="E1091" s="4" t="s">
        <v>25</v>
      </c>
      <c r="F1091" s="4" t="s">
        <v>25</v>
      </c>
      <c r="G1091" s="4" t="s">
        <v>25</v>
      </c>
      <c r="H1091" s="4" t="s">
        <v>25</v>
      </c>
      <c r="I1091" s="5">
        <v>44317</v>
      </c>
      <c r="J1091" s="6">
        <v>0</v>
      </c>
      <c r="K1091" s="6">
        <v>0</v>
      </c>
      <c r="L1091" s="6">
        <v>-0.47599999999999998</v>
      </c>
      <c r="M1091" s="6">
        <v>-0.47599999999999998</v>
      </c>
      <c r="N1091" s="6">
        <v>-0.47599999999999998</v>
      </c>
      <c r="O1091" s="6">
        <v>-0.47599999999999998</v>
      </c>
      <c r="P1091" s="6">
        <v>-1</v>
      </c>
      <c r="Q1091" s="4" t="s">
        <v>26</v>
      </c>
      <c r="R1091" s="4">
        <v>0</v>
      </c>
      <c r="S1091" s="6">
        <v>0</v>
      </c>
      <c r="T1091" s="6">
        <v>61</v>
      </c>
      <c r="U1091" s="6">
        <v>7</v>
      </c>
      <c r="V1091" s="6">
        <f>IF(ISERROR(VLOOKUP($S$1091,'TAR FIN'!$A$1:$O$100,15,0)),0,VLOOKUP($S$1091,'TAR FIN'!$A$1:$O$100,15,0))</f>
        <v>0</v>
      </c>
      <c r="W1091" s="6">
        <f>IF(ISERROR(VLOOKUP($T$1091,'TAR FIN'!$A$1:$O$100,15,0)),0,VLOOKUP($T$1091,'TAR FIN'!$A$1:$O$100,15,0))</f>
        <v>285.75</v>
      </c>
      <c r="X1091" s="6">
        <f>IF(ISERROR(VLOOKUP($U$1091,'TAR FIN'!$A$1:$O$100,15,0)),0,VLOOKUP($U$1091,'TAR FIN'!$A$1:$O$100,15,0))</f>
        <v>231.33</v>
      </c>
      <c r="Y1091" s="6"/>
      <c r="Z1091" s="6">
        <f ca="1">('TUSD BE'!$AM$58+'TUSD BF'!$AM$58+'TUSD CVA'!$AM$58)*1</f>
        <v>285.64503648725872</v>
      </c>
      <c r="AA1091" s="6">
        <f>('TE BE'!$AA$41+'TE BF'!$AA$41+'TE CVA'!$AA$41)*1</f>
        <v>250.79367785689016</v>
      </c>
      <c r="AB1091" s="6">
        <f>$K$1091*$V$1091</f>
        <v>0</v>
      </c>
      <c r="AC1091" s="6">
        <f>$M$1091*$W$1091</f>
        <v>-136.017</v>
      </c>
      <c r="AD1091" s="6">
        <f>$O$1091*$X$1091</f>
        <v>-110.11308</v>
      </c>
      <c r="AE1091" s="6">
        <f>$K$1091*$Y$1091</f>
        <v>0</v>
      </c>
      <c r="AF1091" s="6">
        <f ca="1">$M$1091*$Z$1091</f>
        <v>-135.96703736793515</v>
      </c>
      <c r="AG1091" s="6">
        <f>$O$1091*$AA$1091</f>
        <v>-119.37779065987971</v>
      </c>
    </row>
    <row r="1092" spans="1:33" ht="11.25" customHeight="1" x14ac:dyDescent="0.25">
      <c r="A1092" s="4" t="s">
        <v>28</v>
      </c>
      <c r="B1092" s="4" t="s">
        <v>37</v>
      </c>
      <c r="C1092" s="4" t="s">
        <v>23</v>
      </c>
      <c r="D1092" s="4" t="s">
        <v>42</v>
      </c>
      <c r="E1092" s="4" t="s">
        <v>25</v>
      </c>
      <c r="F1092" s="4" t="s">
        <v>25</v>
      </c>
      <c r="G1092" s="4" t="s">
        <v>25</v>
      </c>
      <c r="H1092" s="4" t="s">
        <v>25</v>
      </c>
      <c r="I1092" s="5">
        <v>44317</v>
      </c>
      <c r="J1092" s="6">
        <v>0</v>
      </c>
      <c r="K1092" s="6">
        <v>0</v>
      </c>
      <c r="L1092" s="6">
        <v>351.71600000000001</v>
      </c>
      <c r="M1092" s="6">
        <v>351.71600000000001</v>
      </c>
      <c r="N1092" s="6">
        <v>351.71600000000001</v>
      </c>
      <c r="O1092" s="6">
        <v>351.71600000000001</v>
      </c>
      <c r="P1092" s="6">
        <v>408</v>
      </c>
      <c r="Q1092" s="4" t="s">
        <v>26</v>
      </c>
      <c r="R1092" s="4">
        <v>0</v>
      </c>
      <c r="S1092" s="6">
        <v>0</v>
      </c>
      <c r="T1092" s="6">
        <v>61</v>
      </c>
      <c r="U1092" s="6">
        <v>7</v>
      </c>
      <c r="V1092" s="6">
        <f>IF(ISERROR(VLOOKUP($S$1092,'TAR FIN'!$A$1:$O$100,15,0)),0,VLOOKUP($S$1092,'TAR FIN'!$A$1:$O$100,15,0))</f>
        <v>0</v>
      </c>
      <c r="W1092" s="6">
        <f>IF(ISERROR(VLOOKUP($T$1092,'TAR FIN'!$A$1:$O$100,15,0)),0,VLOOKUP($T$1092,'TAR FIN'!$A$1:$O$100,15,0))</f>
        <v>285.75</v>
      </c>
      <c r="X1092" s="6">
        <f>IF(ISERROR(VLOOKUP($U$1092,'TAR FIN'!$A$1:$O$100,15,0)),0,VLOOKUP($U$1092,'TAR FIN'!$A$1:$O$100,15,0))</f>
        <v>231.33</v>
      </c>
      <c r="Y1092" s="6"/>
      <c r="Z1092" s="6">
        <f ca="1">('TUSD BE'!$AM$58+'TUSD BF'!$AM$58+'TUSD CVA'!$AM$58)*1</f>
        <v>285.64503648725872</v>
      </c>
      <c r="AA1092" s="6">
        <f>('TE BE'!$AA$41+'TE BF'!$AA$41+'TE CVA'!$AA$41)*1</f>
        <v>250.79367785689016</v>
      </c>
      <c r="AB1092" s="6">
        <f>$K$1092*$V$1092</f>
        <v>0</v>
      </c>
      <c r="AC1092" s="6">
        <f>$M$1092*$W$1092</f>
        <v>100502.84700000001</v>
      </c>
      <c r="AD1092" s="6">
        <f>$O$1092*$X$1092</f>
        <v>81362.462280000007</v>
      </c>
      <c r="AE1092" s="6">
        <f>$K$1092*$Y$1092</f>
        <v>0</v>
      </c>
      <c r="AF1092" s="6">
        <f ca="1">$M$1092*$Z$1092</f>
        <v>100465.92965315269</v>
      </c>
      <c r="AG1092" s="6">
        <f>$O$1092*$AA$1092</f>
        <v>88208.149201113978</v>
      </c>
    </row>
    <row r="1093" spans="1:33" ht="11.25" customHeight="1" x14ac:dyDescent="0.25">
      <c r="A1093" s="4" t="s">
        <v>21</v>
      </c>
      <c r="B1093" s="4" t="s">
        <v>37</v>
      </c>
      <c r="C1093" s="4" t="s">
        <v>23</v>
      </c>
      <c r="D1093" s="4" t="s">
        <v>42</v>
      </c>
      <c r="E1093" s="4" t="s">
        <v>25</v>
      </c>
      <c r="F1093" s="4" t="s">
        <v>25</v>
      </c>
      <c r="G1093" s="4" t="s">
        <v>25</v>
      </c>
      <c r="H1093" s="4" t="s">
        <v>25</v>
      </c>
      <c r="I1093" s="5">
        <v>44348</v>
      </c>
      <c r="J1093" s="6">
        <v>0</v>
      </c>
      <c r="K1093" s="6">
        <v>0</v>
      </c>
      <c r="L1093" s="6">
        <v>5658.2920000000004</v>
      </c>
      <c r="M1093" s="6">
        <v>5658.2920000000004</v>
      </c>
      <c r="N1093" s="6">
        <v>5658.2920000000004</v>
      </c>
      <c r="O1093" s="6">
        <v>5658.2920000000004</v>
      </c>
      <c r="P1093" s="6">
        <v>14934</v>
      </c>
      <c r="Q1093" s="4" t="s">
        <v>26</v>
      </c>
      <c r="R1093" s="4">
        <v>0</v>
      </c>
      <c r="S1093" s="6">
        <v>0</v>
      </c>
      <c r="T1093" s="6">
        <v>61</v>
      </c>
      <c r="U1093" s="6">
        <v>7</v>
      </c>
      <c r="V1093" s="6">
        <f>IF(ISERROR(VLOOKUP($S$1093,'TAR FIN'!$A$1:$O$100,15,0)),0,VLOOKUP($S$1093,'TAR FIN'!$A$1:$O$100,15,0))</f>
        <v>0</v>
      </c>
      <c r="W1093" s="6">
        <f>IF(ISERROR(VLOOKUP($T$1093,'TAR FIN'!$A$1:$O$100,15,0)),0,VLOOKUP($T$1093,'TAR FIN'!$A$1:$O$100,15,0))</f>
        <v>285.75</v>
      </c>
      <c r="X1093" s="6">
        <f>IF(ISERROR(VLOOKUP($U$1093,'TAR FIN'!$A$1:$O$100,15,0)),0,VLOOKUP($U$1093,'TAR FIN'!$A$1:$O$100,15,0))</f>
        <v>231.33</v>
      </c>
      <c r="Y1093" s="6"/>
      <c r="Z1093" s="6">
        <f ca="1">('TUSD BE'!$AM$58+'TUSD BF'!$AM$58+'TUSD CVA'!$AM$58)*1</f>
        <v>285.64503648725872</v>
      </c>
      <c r="AA1093" s="6">
        <f>('TE BE'!$AA$41+'TE BF'!$AA$41+'TE CVA'!$AA$41)*1</f>
        <v>250.79367785689016</v>
      </c>
      <c r="AB1093" s="6">
        <f>$K$1093*$V$1093</f>
        <v>0</v>
      </c>
      <c r="AC1093" s="6">
        <f>$M$1093*$W$1093</f>
        <v>1616856.939</v>
      </c>
      <c r="AD1093" s="6">
        <f>$O$1093*$X$1093</f>
        <v>1308932.6883600003</v>
      </c>
      <c r="AE1093" s="6">
        <f>$K$1093*$Y$1093</f>
        <v>0</v>
      </c>
      <c r="AF1093" s="6">
        <f ca="1">$M$1093*$Z$1093</f>
        <v>1616263.0247955641</v>
      </c>
      <c r="AG1093" s="6">
        <f>$O$1093*$AA$1093</f>
        <v>1419063.8610682187</v>
      </c>
    </row>
    <row r="1094" spans="1:33" ht="11.25" customHeight="1" x14ac:dyDescent="0.25">
      <c r="A1094" s="4" t="s">
        <v>27</v>
      </c>
      <c r="B1094" s="4" t="s">
        <v>37</v>
      </c>
      <c r="C1094" s="4" t="s">
        <v>23</v>
      </c>
      <c r="D1094" s="4" t="s">
        <v>42</v>
      </c>
      <c r="E1094" s="4" t="s">
        <v>25</v>
      </c>
      <c r="F1094" s="4" t="s">
        <v>25</v>
      </c>
      <c r="G1094" s="4" t="s">
        <v>25</v>
      </c>
      <c r="H1094" s="4" t="s">
        <v>25</v>
      </c>
      <c r="I1094" s="5">
        <v>44348</v>
      </c>
      <c r="J1094" s="6">
        <v>0</v>
      </c>
      <c r="K1094" s="6">
        <v>0</v>
      </c>
      <c r="L1094" s="6">
        <v>-14.468</v>
      </c>
      <c r="M1094" s="6">
        <v>-14.468</v>
      </c>
      <c r="N1094" s="6">
        <v>-14.468</v>
      </c>
      <c r="O1094" s="6">
        <v>-14.468</v>
      </c>
      <c r="P1094" s="6">
        <v>-7</v>
      </c>
      <c r="Q1094" s="4" t="s">
        <v>26</v>
      </c>
      <c r="R1094" s="4">
        <v>0</v>
      </c>
      <c r="S1094" s="6">
        <v>0</v>
      </c>
      <c r="T1094" s="6">
        <v>61</v>
      </c>
      <c r="U1094" s="6">
        <v>7</v>
      </c>
      <c r="V1094" s="6">
        <f>IF(ISERROR(VLOOKUP($S$1094,'TAR FIN'!$A$1:$O$100,15,0)),0,VLOOKUP($S$1094,'TAR FIN'!$A$1:$O$100,15,0))</f>
        <v>0</v>
      </c>
      <c r="W1094" s="6">
        <f>IF(ISERROR(VLOOKUP($T$1094,'TAR FIN'!$A$1:$O$100,15,0)),0,VLOOKUP($T$1094,'TAR FIN'!$A$1:$O$100,15,0))</f>
        <v>285.75</v>
      </c>
      <c r="X1094" s="6">
        <f>IF(ISERROR(VLOOKUP($U$1094,'TAR FIN'!$A$1:$O$100,15,0)),0,VLOOKUP($U$1094,'TAR FIN'!$A$1:$O$100,15,0))</f>
        <v>231.33</v>
      </c>
      <c r="Y1094" s="6"/>
      <c r="Z1094" s="6">
        <f ca="1">('TUSD BE'!$AM$58+'TUSD BF'!$AM$58+'TUSD CVA'!$AM$58)*1</f>
        <v>285.64503648725872</v>
      </c>
      <c r="AA1094" s="6">
        <f>('TE BE'!$AA$41+'TE BF'!$AA$41+'TE CVA'!$AA$41)*1</f>
        <v>250.79367785689016</v>
      </c>
      <c r="AB1094" s="6">
        <f>$K$1094*$V$1094</f>
        <v>0</v>
      </c>
      <c r="AC1094" s="6">
        <f>$M$1094*$W$1094</f>
        <v>-4134.2309999999998</v>
      </c>
      <c r="AD1094" s="6">
        <f>$O$1094*$X$1094</f>
        <v>-3346.8824400000003</v>
      </c>
      <c r="AE1094" s="6">
        <f>$K$1094*$Y$1094</f>
        <v>0</v>
      </c>
      <c r="AF1094" s="6">
        <f ca="1">$M$1094*$Z$1094</f>
        <v>-4132.712387897659</v>
      </c>
      <c r="AG1094" s="6">
        <f>$O$1094*$AA$1094</f>
        <v>-3628.4829312334869</v>
      </c>
    </row>
    <row r="1095" spans="1:33" ht="11.25" customHeight="1" x14ac:dyDescent="0.25">
      <c r="A1095" s="4" t="s">
        <v>28</v>
      </c>
      <c r="B1095" s="4" t="s">
        <v>37</v>
      </c>
      <c r="C1095" s="4" t="s">
        <v>23</v>
      </c>
      <c r="D1095" s="4" t="s">
        <v>42</v>
      </c>
      <c r="E1095" s="4" t="s">
        <v>25</v>
      </c>
      <c r="F1095" s="4" t="s">
        <v>25</v>
      </c>
      <c r="G1095" s="4" t="s">
        <v>25</v>
      </c>
      <c r="H1095" s="4" t="s">
        <v>25</v>
      </c>
      <c r="I1095" s="5">
        <v>44348</v>
      </c>
      <c r="J1095" s="6">
        <v>0</v>
      </c>
      <c r="K1095" s="6">
        <v>0</v>
      </c>
      <c r="L1095" s="6">
        <v>339.85199999999998</v>
      </c>
      <c r="M1095" s="6">
        <v>339.85199999999998</v>
      </c>
      <c r="N1095" s="6">
        <v>339.85199999999998</v>
      </c>
      <c r="O1095" s="6">
        <v>339.85199999999998</v>
      </c>
      <c r="P1095" s="6">
        <v>427</v>
      </c>
      <c r="Q1095" s="4" t="s">
        <v>26</v>
      </c>
      <c r="R1095" s="4">
        <v>0</v>
      </c>
      <c r="S1095" s="6">
        <v>0</v>
      </c>
      <c r="T1095" s="6">
        <v>61</v>
      </c>
      <c r="U1095" s="6">
        <v>7</v>
      </c>
      <c r="V1095" s="6">
        <f>IF(ISERROR(VLOOKUP($S$1095,'TAR FIN'!$A$1:$O$100,15,0)),0,VLOOKUP($S$1095,'TAR FIN'!$A$1:$O$100,15,0))</f>
        <v>0</v>
      </c>
      <c r="W1095" s="6">
        <f>IF(ISERROR(VLOOKUP($T$1095,'TAR FIN'!$A$1:$O$100,15,0)),0,VLOOKUP($T$1095,'TAR FIN'!$A$1:$O$100,15,0))</f>
        <v>285.75</v>
      </c>
      <c r="X1095" s="6">
        <f>IF(ISERROR(VLOOKUP($U$1095,'TAR FIN'!$A$1:$O$100,15,0)),0,VLOOKUP($U$1095,'TAR FIN'!$A$1:$O$100,15,0))</f>
        <v>231.33</v>
      </c>
      <c r="Y1095" s="6"/>
      <c r="Z1095" s="6">
        <f ca="1">('TUSD BE'!$AM$58+'TUSD BF'!$AM$58+'TUSD CVA'!$AM$58)*1</f>
        <v>285.64503648725872</v>
      </c>
      <c r="AA1095" s="6">
        <f>('TE BE'!$AA$41+'TE BF'!$AA$41+'TE CVA'!$AA$41)*1</f>
        <v>250.79367785689016</v>
      </c>
      <c r="AB1095" s="6">
        <f>$K$1095*$V$1095</f>
        <v>0</v>
      </c>
      <c r="AC1095" s="6">
        <f>$M$1095*$W$1095</f>
        <v>97112.708999999988</v>
      </c>
      <c r="AD1095" s="6">
        <f>$O$1095*$X$1095</f>
        <v>78617.963159999999</v>
      </c>
      <c r="AE1095" s="6">
        <f>$K$1095*$Y$1095</f>
        <v>0</v>
      </c>
      <c r="AF1095" s="6">
        <f ca="1">$M$1095*$Z$1095</f>
        <v>97077.036940267848</v>
      </c>
      <c r="AG1095" s="6">
        <f>$O$1095*$AA$1095</f>
        <v>85232.733007019822</v>
      </c>
    </row>
    <row r="1096" spans="1:33" ht="11.25" customHeight="1" x14ac:dyDescent="0.25">
      <c r="A1096" s="4" t="s">
        <v>28</v>
      </c>
      <c r="B1096" s="4" t="s">
        <v>37</v>
      </c>
      <c r="C1096" s="4" t="s">
        <v>23</v>
      </c>
      <c r="D1096" s="4" t="s">
        <v>42</v>
      </c>
      <c r="E1096" s="4" t="s">
        <v>25</v>
      </c>
      <c r="F1096" s="4" t="s">
        <v>25</v>
      </c>
      <c r="G1096" s="4" t="s">
        <v>25</v>
      </c>
      <c r="H1096" s="4" t="s">
        <v>25</v>
      </c>
      <c r="I1096" s="5">
        <v>44348</v>
      </c>
      <c r="J1096" s="6">
        <v>0</v>
      </c>
      <c r="K1096" s="6">
        <v>0</v>
      </c>
      <c r="L1096" s="6">
        <v>-7.0999999999999994E-2</v>
      </c>
      <c r="M1096" s="6">
        <v>-7.0999999999999994E-2</v>
      </c>
      <c r="N1096" s="6">
        <v>-7.0999999999999994E-2</v>
      </c>
      <c r="O1096" s="6">
        <v>-7.0999999999999994E-2</v>
      </c>
      <c r="P1096" s="6">
        <v>0</v>
      </c>
      <c r="Q1096" s="4" t="s">
        <v>26</v>
      </c>
      <c r="R1096" s="4">
        <v>0</v>
      </c>
      <c r="S1096" s="6">
        <v>0</v>
      </c>
      <c r="T1096" s="6">
        <v>61</v>
      </c>
      <c r="U1096" s="6">
        <v>7</v>
      </c>
      <c r="V1096" s="6">
        <f>IF(ISERROR(VLOOKUP($S$1096,'TAR FIN'!$A$1:$O$100,15,0)),0,VLOOKUP($S$1096,'TAR FIN'!$A$1:$O$100,15,0))</f>
        <v>0</v>
      </c>
      <c r="W1096" s="6">
        <f>IF(ISERROR(VLOOKUP($T$1096,'TAR FIN'!$A$1:$O$100,15,0)),0,VLOOKUP($T$1096,'TAR FIN'!$A$1:$O$100,15,0))</f>
        <v>285.75</v>
      </c>
      <c r="X1096" s="6">
        <f>IF(ISERROR(VLOOKUP($U$1096,'TAR FIN'!$A$1:$O$100,15,0)),0,VLOOKUP($U$1096,'TAR FIN'!$A$1:$O$100,15,0))</f>
        <v>231.33</v>
      </c>
      <c r="Y1096" s="6"/>
      <c r="Z1096" s="6">
        <f ca="1">('TUSD BE'!$AM$58+'TUSD BF'!$AM$58+'TUSD CVA'!$AM$58)*1</f>
        <v>285.64503648725872</v>
      </c>
      <c r="AA1096" s="6">
        <f>('TE BE'!$AA$41+'TE BF'!$AA$41+'TE CVA'!$AA$41)*1</f>
        <v>250.79367785689016</v>
      </c>
      <c r="AB1096" s="6">
        <f>$K$1096*$V$1096</f>
        <v>0</v>
      </c>
      <c r="AC1096" s="6">
        <f>$M$1096*$W$1096</f>
        <v>-20.288249999999998</v>
      </c>
      <c r="AD1096" s="6">
        <f>$O$1096*$X$1096</f>
        <v>-16.424430000000001</v>
      </c>
      <c r="AE1096" s="6">
        <f>$K$1096*$Y$1096</f>
        <v>0</v>
      </c>
      <c r="AF1096" s="6">
        <f ca="1">$M$1096*$Z$1096</f>
        <v>-20.280797590595366</v>
      </c>
      <c r="AG1096" s="6">
        <f>$O$1096*$AA$1096</f>
        <v>-17.8063511278392</v>
      </c>
    </row>
    <row r="1097" spans="1:33" ht="11.25" customHeight="1" x14ac:dyDescent="0.25">
      <c r="A1097" s="4" t="s">
        <v>21</v>
      </c>
      <c r="B1097" s="4" t="s">
        <v>37</v>
      </c>
      <c r="C1097" s="4" t="s">
        <v>23</v>
      </c>
      <c r="D1097" s="4" t="s">
        <v>42</v>
      </c>
      <c r="E1097" s="4" t="s">
        <v>25</v>
      </c>
      <c r="F1097" s="4" t="s">
        <v>25</v>
      </c>
      <c r="G1097" s="4" t="s">
        <v>25</v>
      </c>
      <c r="H1097" s="4" t="s">
        <v>25</v>
      </c>
      <c r="I1097" s="5">
        <v>44378</v>
      </c>
      <c r="J1097" s="6">
        <v>0</v>
      </c>
      <c r="K1097" s="6">
        <v>0</v>
      </c>
      <c r="L1097" s="6">
        <v>6032.2740000000003</v>
      </c>
      <c r="M1097" s="6">
        <v>6032.2740000000003</v>
      </c>
      <c r="N1097" s="6">
        <v>6032.2740000000003</v>
      </c>
      <c r="O1097" s="6">
        <v>6032.2740000000003</v>
      </c>
      <c r="P1097" s="6">
        <v>14943</v>
      </c>
      <c r="Q1097" s="4" t="s">
        <v>26</v>
      </c>
      <c r="R1097" s="4">
        <v>0</v>
      </c>
      <c r="S1097" s="6">
        <v>0</v>
      </c>
      <c r="T1097" s="6">
        <v>61</v>
      </c>
      <c r="U1097" s="6">
        <v>7</v>
      </c>
      <c r="V1097" s="6">
        <f>IF(ISERROR(VLOOKUP($S$1097,'TAR FIN'!$A$1:$O$100,15,0)),0,VLOOKUP($S$1097,'TAR FIN'!$A$1:$O$100,15,0))</f>
        <v>0</v>
      </c>
      <c r="W1097" s="6">
        <f>IF(ISERROR(VLOOKUP($T$1097,'TAR FIN'!$A$1:$O$100,15,0)),0,VLOOKUP($T$1097,'TAR FIN'!$A$1:$O$100,15,0))</f>
        <v>285.75</v>
      </c>
      <c r="X1097" s="6">
        <f>IF(ISERROR(VLOOKUP($U$1097,'TAR FIN'!$A$1:$O$100,15,0)),0,VLOOKUP($U$1097,'TAR FIN'!$A$1:$O$100,15,0))</f>
        <v>231.33</v>
      </c>
      <c r="Y1097" s="6"/>
      <c r="Z1097" s="6">
        <f ca="1">('TUSD BE'!$AM$58+'TUSD BF'!$AM$58+'TUSD CVA'!$AM$58)*1</f>
        <v>285.64503648725872</v>
      </c>
      <c r="AA1097" s="6">
        <f>('TE BE'!$AA$41+'TE BF'!$AA$41+'TE CVA'!$AA$41)*1</f>
        <v>250.79367785689016</v>
      </c>
      <c r="AB1097" s="6">
        <f>$K$1097*$V$1097</f>
        <v>0</v>
      </c>
      <c r="AC1097" s="6">
        <f>$M$1097*$W$1097</f>
        <v>1723722.2955</v>
      </c>
      <c r="AD1097" s="6">
        <f>$O$1097*$X$1097</f>
        <v>1395445.9444200001</v>
      </c>
      <c r="AE1097" s="6">
        <f>$K$1097*$Y$1097</f>
        <v>0</v>
      </c>
      <c r="AF1097" s="6">
        <f ca="1">$M$1097*$Z$1097</f>
        <v>1723089.1268311422</v>
      </c>
      <c r="AG1097" s="6">
        <f>$O$1097*$AA$1097</f>
        <v>1512856.1823004943</v>
      </c>
    </row>
    <row r="1098" spans="1:33" ht="11.25" customHeight="1" x14ac:dyDescent="0.25">
      <c r="A1098" s="4" t="s">
        <v>27</v>
      </c>
      <c r="B1098" s="4" t="s">
        <v>37</v>
      </c>
      <c r="C1098" s="4" t="s">
        <v>23</v>
      </c>
      <c r="D1098" s="4" t="s">
        <v>42</v>
      </c>
      <c r="E1098" s="4" t="s">
        <v>25</v>
      </c>
      <c r="F1098" s="4" t="s">
        <v>25</v>
      </c>
      <c r="G1098" s="4" t="s">
        <v>25</v>
      </c>
      <c r="H1098" s="4" t="s">
        <v>25</v>
      </c>
      <c r="I1098" s="5">
        <v>44378</v>
      </c>
      <c r="J1098" s="6">
        <v>0</v>
      </c>
      <c r="K1098" s="6">
        <v>0</v>
      </c>
      <c r="L1098" s="6">
        <v>-1.958</v>
      </c>
      <c r="M1098" s="6">
        <v>-1.958</v>
      </c>
      <c r="N1098" s="6">
        <v>-1.958</v>
      </c>
      <c r="O1098" s="6">
        <v>-1.958</v>
      </c>
      <c r="P1098" s="6">
        <v>-1</v>
      </c>
      <c r="Q1098" s="4" t="s">
        <v>26</v>
      </c>
      <c r="R1098" s="4">
        <v>0</v>
      </c>
      <c r="S1098" s="6">
        <v>0</v>
      </c>
      <c r="T1098" s="6">
        <v>61</v>
      </c>
      <c r="U1098" s="6">
        <v>7</v>
      </c>
      <c r="V1098" s="6">
        <f>IF(ISERROR(VLOOKUP($S$1098,'TAR FIN'!$A$1:$O$100,15,0)),0,VLOOKUP($S$1098,'TAR FIN'!$A$1:$O$100,15,0))</f>
        <v>0</v>
      </c>
      <c r="W1098" s="6">
        <f>IF(ISERROR(VLOOKUP($T$1098,'TAR FIN'!$A$1:$O$100,15,0)),0,VLOOKUP($T$1098,'TAR FIN'!$A$1:$O$100,15,0))</f>
        <v>285.75</v>
      </c>
      <c r="X1098" s="6">
        <f>IF(ISERROR(VLOOKUP($U$1098,'TAR FIN'!$A$1:$O$100,15,0)),0,VLOOKUP($U$1098,'TAR FIN'!$A$1:$O$100,15,0))</f>
        <v>231.33</v>
      </c>
      <c r="Y1098" s="6"/>
      <c r="Z1098" s="6">
        <f ca="1">('TUSD BE'!$AM$58+'TUSD BF'!$AM$58+'TUSD CVA'!$AM$58)*1</f>
        <v>285.64503648725872</v>
      </c>
      <c r="AA1098" s="6">
        <f>('TE BE'!$AA$41+'TE BF'!$AA$41+'TE CVA'!$AA$41)*1</f>
        <v>250.79367785689016</v>
      </c>
      <c r="AB1098" s="6">
        <f>$K$1098*$V$1098</f>
        <v>0</v>
      </c>
      <c r="AC1098" s="6">
        <f>$M$1098*$W$1098</f>
        <v>-559.49850000000004</v>
      </c>
      <c r="AD1098" s="6">
        <f>$O$1098*$X$1098</f>
        <v>-452.94414</v>
      </c>
      <c r="AE1098" s="6">
        <f>$K$1098*$Y$1098</f>
        <v>0</v>
      </c>
      <c r="AF1098" s="6">
        <f ca="1">$M$1098*$Z$1098</f>
        <v>-559.29298144205256</v>
      </c>
      <c r="AG1098" s="6">
        <f>$O$1098*$AA$1098</f>
        <v>-491.05402124379094</v>
      </c>
    </row>
    <row r="1099" spans="1:33" ht="11.25" customHeight="1" x14ac:dyDescent="0.25">
      <c r="A1099" s="4" t="s">
        <v>28</v>
      </c>
      <c r="B1099" s="4" t="s">
        <v>37</v>
      </c>
      <c r="C1099" s="4" t="s">
        <v>23</v>
      </c>
      <c r="D1099" s="4" t="s">
        <v>42</v>
      </c>
      <c r="E1099" s="4" t="s">
        <v>25</v>
      </c>
      <c r="F1099" s="4" t="s">
        <v>25</v>
      </c>
      <c r="G1099" s="4" t="s">
        <v>25</v>
      </c>
      <c r="H1099" s="4" t="s">
        <v>25</v>
      </c>
      <c r="I1099" s="5">
        <v>44378</v>
      </c>
      <c r="J1099" s="6">
        <v>0</v>
      </c>
      <c r="K1099" s="6">
        <v>0</v>
      </c>
      <c r="L1099" s="6">
        <v>373.64800000000002</v>
      </c>
      <c r="M1099" s="6">
        <v>373.64800000000002</v>
      </c>
      <c r="N1099" s="6">
        <v>373.64800000000002</v>
      </c>
      <c r="O1099" s="6">
        <v>373.64800000000002</v>
      </c>
      <c r="P1099" s="6">
        <v>450</v>
      </c>
      <c r="Q1099" s="4" t="s">
        <v>26</v>
      </c>
      <c r="R1099" s="4">
        <v>0</v>
      </c>
      <c r="S1099" s="6">
        <v>0</v>
      </c>
      <c r="T1099" s="6">
        <v>61</v>
      </c>
      <c r="U1099" s="6">
        <v>7</v>
      </c>
      <c r="V1099" s="6">
        <f>IF(ISERROR(VLOOKUP($S$1099,'TAR FIN'!$A$1:$O$100,15,0)),0,VLOOKUP($S$1099,'TAR FIN'!$A$1:$O$100,15,0))</f>
        <v>0</v>
      </c>
      <c r="W1099" s="6">
        <f>IF(ISERROR(VLOOKUP($T$1099,'TAR FIN'!$A$1:$O$100,15,0)),0,VLOOKUP($T$1099,'TAR FIN'!$A$1:$O$100,15,0))</f>
        <v>285.75</v>
      </c>
      <c r="X1099" s="6">
        <f>IF(ISERROR(VLOOKUP($U$1099,'TAR FIN'!$A$1:$O$100,15,0)),0,VLOOKUP($U$1099,'TAR FIN'!$A$1:$O$100,15,0))</f>
        <v>231.33</v>
      </c>
      <c r="Y1099" s="6"/>
      <c r="Z1099" s="6">
        <f ca="1">('TUSD BE'!$AM$58+'TUSD BF'!$AM$58+'TUSD CVA'!$AM$58)*1</f>
        <v>285.64503648725872</v>
      </c>
      <c r="AA1099" s="6">
        <f>('TE BE'!$AA$41+'TE BF'!$AA$41+'TE CVA'!$AA$41)*1</f>
        <v>250.79367785689016</v>
      </c>
      <c r="AB1099" s="6">
        <f>$K$1099*$V$1099</f>
        <v>0</v>
      </c>
      <c r="AC1099" s="6">
        <f>$M$1099*$W$1099</f>
        <v>106769.91600000001</v>
      </c>
      <c r="AD1099" s="6">
        <f>$O$1099*$X$1099</f>
        <v>86435.991840000017</v>
      </c>
      <c r="AE1099" s="6">
        <f>$K$1099*$Y$1099</f>
        <v>0</v>
      </c>
      <c r="AF1099" s="6">
        <f ca="1">$M$1099*$Z$1099</f>
        <v>106730.69659339126</v>
      </c>
      <c r="AG1099" s="6">
        <f>$O$1099*$AA$1099</f>
        <v>93708.556143871305</v>
      </c>
    </row>
    <row r="1100" spans="1:33" ht="11.25" customHeight="1" x14ac:dyDescent="0.25">
      <c r="A1100" s="4" t="s">
        <v>21</v>
      </c>
      <c r="B1100" s="4" t="s">
        <v>37</v>
      </c>
      <c r="C1100" s="4" t="s">
        <v>23</v>
      </c>
      <c r="D1100" s="4" t="s">
        <v>42</v>
      </c>
      <c r="E1100" s="4" t="s">
        <v>25</v>
      </c>
      <c r="F1100" s="4" t="s">
        <v>25</v>
      </c>
      <c r="G1100" s="4" t="s">
        <v>25</v>
      </c>
      <c r="H1100" s="4" t="s">
        <v>25</v>
      </c>
      <c r="I1100" s="5">
        <v>44409</v>
      </c>
      <c r="J1100" s="6">
        <v>0</v>
      </c>
      <c r="K1100" s="6">
        <v>0</v>
      </c>
      <c r="L1100" s="6">
        <v>5650.2250000000004</v>
      </c>
      <c r="M1100" s="6">
        <v>5650.2250000000004</v>
      </c>
      <c r="N1100" s="6">
        <v>5650.2250000000004</v>
      </c>
      <c r="O1100" s="6">
        <v>5650.2250000000004</v>
      </c>
      <c r="P1100" s="6">
        <v>14938</v>
      </c>
      <c r="Q1100" s="4" t="s">
        <v>26</v>
      </c>
      <c r="R1100" s="4">
        <v>0</v>
      </c>
      <c r="S1100" s="6">
        <v>0</v>
      </c>
      <c r="T1100" s="6">
        <v>61</v>
      </c>
      <c r="U1100" s="6">
        <v>7</v>
      </c>
      <c r="V1100" s="6">
        <f>IF(ISERROR(VLOOKUP($S$1100,'TAR FIN'!$A$1:$O$100,15,0)),0,VLOOKUP($S$1100,'TAR FIN'!$A$1:$O$100,15,0))</f>
        <v>0</v>
      </c>
      <c r="W1100" s="6">
        <f>IF(ISERROR(VLOOKUP($T$1100,'TAR FIN'!$A$1:$O$100,15,0)),0,VLOOKUP($T$1100,'TAR FIN'!$A$1:$O$100,15,0))</f>
        <v>285.75</v>
      </c>
      <c r="X1100" s="6">
        <f>IF(ISERROR(VLOOKUP($U$1100,'TAR FIN'!$A$1:$O$100,15,0)),0,VLOOKUP($U$1100,'TAR FIN'!$A$1:$O$100,15,0))</f>
        <v>231.33</v>
      </c>
      <c r="Y1100" s="6"/>
      <c r="Z1100" s="6">
        <f ca="1">('TUSD BE'!$AM$58+'TUSD BF'!$AM$58+'TUSD CVA'!$AM$58)*1</f>
        <v>285.64503648725872</v>
      </c>
      <c r="AA1100" s="6">
        <f>('TE BE'!$AA$41+'TE BF'!$AA$41+'TE CVA'!$AA$41)*1</f>
        <v>250.79367785689016</v>
      </c>
      <c r="AB1100" s="6">
        <f>$K$1100*$V$1100</f>
        <v>0</v>
      </c>
      <c r="AC1100" s="6">
        <f>$M$1100*$W$1100</f>
        <v>1614551.7937500002</v>
      </c>
      <c r="AD1100" s="6">
        <f>$O$1100*$X$1100</f>
        <v>1307066.5492500002</v>
      </c>
      <c r="AE1100" s="6">
        <f>$K$1100*$Y$1100</f>
        <v>0</v>
      </c>
      <c r="AF1100" s="6">
        <f ca="1">$M$1100*$Z$1100</f>
        <v>1613958.7262862215</v>
      </c>
      <c r="AG1100" s="6">
        <f>$O$1100*$AA$1100</f>
        <v>1417040.7084689473</v>
      </c>
    </row>
    <row r="1101" spans="1:33" ht="11.25" customHeight="1" x14ac:dyDescent="0.25">
      <c r="A1101" s="4" t="s">
        <v>27</v>
      </c>
      <c r="B1101" s="4" t="s">
        <v>37</v>
      </c>
      <c r="C1101" s="4" t="s">
        <v>23</v>
      </c>
      <c r="D1101" s="4" t="s">
        <v>42</v>
      </c>
      <c r="E1101" s="4" t="s">
        <v>25</v>
      </c>
      <c r="F1101" s="4" t="s">
        <v>25</v>
      </c>
      <c r="G1101" s="4" t="s">
        <v>25</v>
      </c>
      <c r="H1101" s="4" t="s">
        <v>25</v>
      </c>
      <c r="I1101" s="5">
        <v>44409</v>
      </c>
      <c r="J1101" s="6">
        <v>0</v>
      </c>
      <c r="K1101" s="6">
        <v>0</v>
      </c>
      <c r="L1101" s="6">
        <v>-17.959</v>
      </c>
      <c r="M1101" s="6">
        <v>-17.959</v>
      </c>
      <c r="N1101" s="6">
        <v>-17.959</v>
      </c>
      <c r="O1101" s="6">
        <v>-17.959</v>
      </c>
      <c r="P1101" s="6">
        <v>-2</v>
      </c>
      <c r="Q1101" s="4" t="s">
        <v>26</v>
      </c>
      <c r="R1101" s="4">
        <v>0</v>
      </c>
      <c r="S1101" s="6">
        <v>0</v>
      </c>
      <c r="T1101" s="6">
        <v>61</v>
      </c>
      <c r="U1101" s="6">
        <v>7</v>
      </c>
      <c r="V1101" s="6">
        <f>IF(ISERROR(VLOOKUP($S$1101,'TAR FIN'!$A$1:$O$100,15,0)),0,VLOOKUP($S$1101,'TAR FIN'!$A$1:$O$100,15,0))</f>
        <v>0</v>
      </c>
      <c r="W1101" s="6">
        <f>IF(ISERROR(VLOOKUP($T$1101,'TAR FIN'!$A$1:$O$100,15,0)),0,VLOOKUP($T$1101,'TAR FIN'!$A$1:$O$100,15,0))</f>
        <v>285.75</v>
      </c>
      <c r="X1101" s="6">
        <f>IF(ISERROR(VLOOKUP($U$1101,'TAR FIN'!$A$1:$O$100,15,0)),0,VLOOKUP($U$1101,'TAR FIN'!$A$1:$O$100,15,0))</f>
        <v>231.33</v>
      </c>
      <c r="Y1101" s="6"/>
      <c r="Z1101" s="6">
        <f ca="1">('TUSD BE'!$AM$58+'TUSD BF'!$AM$58+'TUSD CVA'!$AM$58)*1</f>
        <v>285.64503648725872</v>
      </c>
      <c r="AA1101" s="6">
        <f>('TE BE'!$AA$41+'TE BF'!$AA$41+'TE CVA'!$AA$41)*1</f>
        <v>250.79367785689016</v>
      </c>
      <c r="AB1101" s="6">
        <f>$K$1101*$V$1101</f>
        <v>0</v>
      </c>
      <c r="AC1101" s="6">
        <f>$M$1101*$W$1101</f>
        <v>-5131.7842499999997</v>
      </c>
      <c r="AD1101" s="6">
        <f>$O$1101*$X$1101</f>
        <v>-4154.4554699999999</v>
      </c>
      <c r="AE1101" s="6">
        <f>$K$1101*$Y$1101</f>
        <v>0</v>
      </c>
      <c r="AF1101" s="6">
        <f ca="1">$M$1101*$Z$1101</f>
        <v>-5129.8992102746797</v>
      </c>
      <c r="AG1101" s="6">
        <f>$O$1101*$AA$1101</f>
        <v>-4504.0036606318899</v>
      </c>
    </row>
    <row r="1102" spans="1:33" ht="11.25" customHeight="1" x14ac:dyDescent="0.25">
      <c r="A1102" s="4" t="s">
        <v>28</v>
      </c>
      <c r="B1102" s="4" t="s">
        <v>37</v>
      </c>
      <c r="C1102" s="4" t="s">
        <v>23</v>
      </c>
      <c r="D1102" s="4" t="s">
        <v>42</v>
      </c>
      <c r="E1102" s="4" t="s">
        <v>25</v>
      </c>
      <c r="F1102" s="4" t="s">
        <v>25</v>
      </c>
      <c r="G1102" s="4" t="s">
        <v>25</v>
      </c>
      <c r="H1102" s="4" t="s">
        <v>25</v>
      </c>
      <c r="I1102" s="5">
        <v>44409</v>
      </c>
      <c r="J1102" s="6">
        <v>0</v>
      </c>
      <c r="K1102" s="6">
        <v>0</v>
      </c>
      <c r="L1102" s="6">
        <v>371.334</v>
      </c>
      <c r="M1102" s="6">
        <v>371.334</v>
      </c>
      <c r="N1102" s="6">
        <v>371.334</v>
      </c>
      <c r="O1102" s="6">
        <v>371.334</v>
      </c>
      <c r="P1102" s="6">
        <v>479</v>
      </c>
      <c r="Q1102" s="4" t="s">
        <v>26</v>
      </c>
      <c r="R1102" s="4">
        <v>0</v>
      </c>
      <c r="S1102" s="6">
        <v>0</v>
      </c>
      <c r="T1102" s="6">
        <v>61</v>
      </c>
      <c r="U1102" s="6">
        <v>7</v>
      </c>
      <c r="V1102" s="6">
        <f>IF(ISERROR(VLOOKUP($S$1102,'TAR FIN'!$A$1:$O$100,15,0)),0,VLOOKUP($S$1102,'TAR FIN'!$A$1:$O$100,15,0))</f>
        <v>0</v>
      </c>
      <c r="W1102" s="6">
        <f>IF(ISERROR(VLOOKUP($T$1102,'TAR FIN'!$A$1:$O$100,15,0)),0,VLOOKUP($T$1102,'TAR FIN'!$A$1:$O$100,15,0))</f>
        <v>285.75</v>
      </c>
      <c r="X1102" s="6">
        <f>IF(ISERROR(VLOOKUP($U$1102,'TAR FIN'!$A$1:$O$100,15,0)),0,VLOOKUP($U$1102,'TAR FIN'!$A$1:$O$100,15,0))</f>
        <v>231.33</v>
      </c>
      <c r="Y1102" s="6"/>
      <c r="Z1102" s="6">
        <f ca="1">('TUSD BE'!$AM$58+'TUSD BF'!$AM$58+'TUSD CVA'!$AM$58)*1</f>
        <v>285.64503648725872</v>
      </c>
      <c r="AA1102" s="6">
        <f>('TE BE'!$AA$41+'TE BF'!$AA$41+'TE CVA'!$AA$41)*1</f>
        <v>250.79367785689016</v>
      </c>
      <c r="AB1102" s="6">
        <f>$K$1102*$V$1102</f>
        <v>0</v>
      </c>
      <c r="AC1102" s="6">
        <f>$M$1102*$W$1102</f>
        <v>106108.6905</v>
      </c>
      <c r="AD1102" s="6">
        <f>$O$1102*$X$1102</f>
        <v>85900.694220000005</v>
      </c>
      <c r="AE1102" s="6">
        <f>$K$1102*$Y$1102</f>
        <v>0</v>
      </c>
      <c r="AF1102" s="6">
        <f ca="1">$M$1102*$Z$1102</f>
        <v>106069.71397895973</v>
      </c>
      <c r="AG1102" s="6">
        <f>$O$1102*$AA$1102</f>
        <v>93128.219573310445</v>
      </c>
    </row>
    <row r="1103" spans="1:33" ht="11.25" customHeight="1" x14ac:dyDescent="0.25">
      <c r="A1103" s="4" t="s">
        <v>21</v>
      </c>
      <c r="B1103" s="4" t="s">
        <v>37</v>
      </c>
      <c r="C1103" s="4" t="s">
        <v>23</v>
      </c>
      <c r="D1103" s="4" t="s">
        <v>42</v>
      </c>
      <c r="E1103" s="4" t="s">
        <v>25</v>
      </c>
      <c r="F1103" s="4" t="s">
        <v>25</v>
      </c>
      <c r="G1103" s="4" t="s">
        <v>25</v>
      </c>
      <c r="H1103" s="4" t="s">
        <v>25</v>
      </c>
      <c r="I1103" s="5">
        <v>44440</v>
      </c>
      <c r="J1103" s="6">
        <v>0</v>
      </c>
      <c r="K1103" s="6">
        <v>0</v>
      </c>
      <c r="L1103" s="6">
        <v>5692.8609999999999</v>
      </c>
      <c r="M1103" s="6">
        <v>5692.8609999999999</v>
      </c>
      <c r="N1103" s="6">
        <v>5692.8609999999999</v>
      </c>
      <c r="O1103" s="6">
        <v>5692.8609999999999</v>
      </c>
      <c r="P1103" s="6">
        <v>14936</v>
      </c>
      <c r="Q1103" s="4" t="s">
        <v>26</v>
      </c>
      <c r="R1103" s="4">
        <v>0</v>
      </c>
      <c r="S1103" s="6">
        <v>0</v>
      </c>
      <c r="T1103" s="6">
        <v>61</v>
      </c>
      <c r="U1103" s="6">
        <v>7</v>
      </c>
      <c r="V1103" s="6">
        <f>IF(ISERROR(VLOOKUP($S$1103,'TAR FIN'!$A$1:$O$100,15,0)),0,VLOOKUP($S$1103,'TAR FIN'!$A$1:$O$100,15,0))</f>
        <v>0</v>
      </c>
      <c r="W1103" s="6">
        <f>IF(ISERROR(VLOOKUP($T$1103,'TAR FIN'!$A$1:$O$100,15,0)),0,VLOOKUP($T$1103,'TAR FIN'!$A$1:$O$100,15,0))</f>
        <v>285.75</v>
      </c>
      <c r="X1103" s="6">
        <f>IF(ISERROR(VLOOKUP($U$1103,'TAR FIN'!$A$1:$O$100,15,0)),0,VLOOKUP($U$1103,'TAR FIN'!$A$1:$O$100,15,0))</f>
        <v>231.33</v>
      </c>
      <c r="Y1103" s="6"/>
      <c r="Z1103" s="6">
        <f ca="1">('TUSD BE'!$AM$58+'TUSD BF'!$AM$58+'TUSD CVA'!$AM$58)*1</f>
        <v>285.64503648725872</v>
      </c>
      <c r="AA1103" s="6">
        <f>('TE BE'!$AA$41+'TE BF'!$AA$41+'TE CVA'!$AA$41)*1</f>
        <v>250.79367785689016</v>
      </c>
      <c r="AB1103" s="6">
        <f>$K$1103*$V$1103</f>
        <v>0</v>
      </c>
      <c r="AC1103" s="6">
        <f>$M$1103*$W$1103</f>
        <v>1626735.0307499999</v>
      </c>
      <c r="AD1103" s="6">
        <f>$O$1103*$X$1103</f>
        <v>1316929.53513</v>
      </c>
      <c r="AE1103" s="6">
        <f>$K$1103*$Y$1103</f>
        <v>0</v>
      </c>
      <c r="AF1103" s="6">
        <f ca="1">$M$1103*$Z$1103</f>
        <v>1626137.4880618921</v>
      </c>
      <c r="AG1103" s="6">
        <f>$O$1103*$AA$1103</f>
        <v>1427733.5477180535</v>
      </c>
    </row>
    <row r="1104" spans="1:33" ht="11.25" customHeight="1" x14ac:dyDescent="0.25">
      <c r="A1104" s="4" t="s">
        <v>27</v>
      </c>
      <c r="B1104" s="4" t="s">
        <v>37</v>
      </c>
      <c r="C1104" s="4" t="s">
        <v>23</v>
      </c>
      <c r="D1104" s="4" t="s">
        <v>42</v>
      </c>
      <c r="E1104" s="4" t="s">
        <v>25</v>
      </c>
      <c r="F1104" s="4" t="s">
        <v>25</v>
      </c>
      <c r="G1104" s="4" t="s">
        <v>25</v>
      </c>
      <c r="H1104" s="4" t="s">
        <v>25</v>
      </c>
      <c r="I1104" s="5">
        <v>44440</v>
      </c>
      <c r="J1104" s="6">
        <v>0</v>
      </c>
      <c r="K1104" s="6">
        <v>0</v>
      </c>
      <c r="L1104" s="6">
        <v>-20.847999999999999</v>
      </c>
      <c r="M1104" s="6">
        <v>-20.847999999999999</v>
      </c>
      <c r="N1104" s="6">
        <v>-20.847999999999999</v>
      </c>
      <c r="O1104" s="6">
        <v>-20.847999999999999</v>
      </c>
      <c r="P1104" s="6">
        <v>-7</v>
      </c>
      <c r="Q1104" s="4" t="s">
        <v>26</v>
      </c>
      <c r="R1104" s="4">
        <v>0</v>
      </c>
      <c r="S1104" s="6">
        <v>0</v>
      </c>
      <c r="T1104" s="6">
        <v>61</v>
      </c>
      <c r="U1104" s="6">
        <v>7</v>
      </c>
      <c r="V1104" s="6">
        <f>IF(ISERROR(VLOOKUP($S$1104,'TAR FIN'!$A$1:$O$100,15,0)),0,VLOOKUP($S$1104,'TAR FIN'!$A$1:$O$100,15,0))</f>
        <v>0</v>
      </c>
      <c r="W1104" s="6">
        <f>IF(ISERROR(VLOOKUP($T$1104,'TAR FIN'!$A$1:$O$100,15,0)),0,VLOOKUP($T$1104,'TAR FIN'!$A$1:$O$100,15,0))</f>
        <v>285.75</v>
      </c>
      <c r="X1104" s="6">
        <f>IF(ISERROR(VLOOKUP($U$1104,'TAR FIN'!$A$1:$O$100,15,0)),0,VLOOKUP($U$1104,'TAR FIN'!$A$1:$O$100,15,0))</f>
        <v>231.33</v>
      </c>
      <c r="Y1104" s="6"/>
      <c r="Z1104" s="6">
        <f ca="1">('TUSD BE'!$AM$58+'TUSD BF'!$AM$58+'TUSD CVA'!$AM$58)*1</f>
        <v>285.64503648725872</v>
      </c>
      <c r="AA1104" s="6">
        <f>('TE BE'!$AA$41+'TE BF'!$AA$41+'TE CVA'!$AA$41)*1</f>
        <v>250.79367785689016</v>
      </c>
      <c r="AB1104" s="6">
        <f>$K$1104*$V$1104</f>
        <v>0</v>
      </c>
      <c r="AC1104" s="6">
        <f>$M$1104*$W$1104</f>
        <v>-5957.3159999999998</v>
      </c>
      <c r="AD1104" s="6">
        <f>$O$1104*$X$1104</f>
        <v>-4822.7678400000004</v>
      </c>
      <c r="AE1104" s="6">
        <f>$K$1104*$Y$1104</f>
        <v>0</v>
      </c>
      <c r="AF1104" s="6">
        <f ca="1">$M$1104*$Z$1104</f>
        <v>-5955.1277206863697</v>
      </c>
      <c r="AG1104" s="6">
        <f>$O$1104*$AA$1104</f>
        <v>-5228.5465959604453</v>
      </c>
    </row>
    <row r="1105" spans="1:33" ht="11.25" customHeight="1" x14ac:dyDescent="0.25">
      <c r="A1105" s="4" t="s">
        <v>28</v>
      </c>
      <c r="B1105" s="4" t="s">
        <v>37</v>
      </c>
      <c r="C1105" s="4" t="s">
        <v>23</v>
      </c>
      <c r="D1105" s="4" t="s">
        <v>42</v>
      </c>
      <c r="E1105" s="4" t="s">
        <v>25</v>
      </c>
      <c r="F1105" s="4" t="s">
        <v>25</v>
      </c>
      <c r="G1105" s="4" t="s">
        <v>25</v>
      </c>
      <c r="H1105" s="4" t="s">
        <v>25</v>
      </c>
      <c r="I1105" s="5">
        <v>44440</v>
      </c>
      <c r="J1105" s="6">
        <v>0</v>
      </c>
      <c r="K1105" s="6">
        <v>0</v>
      </c>
      <c r="L1105" s="6">
        <v>312.32900000000001</v>
      </c>
      <c r="M1105" s="6">
        <v>312.32900000000001</v>
      </c>
      <c r="N1105" s="6">
        <v>312.32900000000001</v>
      </c>
      <c r="O1105" s="6">
        <v>312.32900000000001</v>
      </c>
      <c r="P1105" s="6">
        <v>507</v>
      </c>
      <c r="Q1105" s="4" t="s">
        <v>26</v>
      </c>
      <c r="R1105" s="4">
        <v>0</v>
      </c>
      <c r="S1105" s="6">
        <v>0</v>
      </c>
      <c r="T1105" s="6">
        <v>61</v>
      </c>
      <c r="U1105" s="6">
        <v>7</v>
      </c>
      <c r="V1105" s="6">
        <f>IF(ISERROR(VLOOKUP($S$1105,'TAR FIN'!$A$1:$O$100,15,0)),0,VLOOKUP($S$1105,'TAR FIN'!$A$1:$O$100,15,0))</f>
        <v>0</v>
      </c>
      <c r="W1105" s="6">
        <f>IF(ISERROR(VLOOKUP($T$1105,'TAR FIN'!$A$1:$O$100,15,0)),0,VLOOKUP($T$1105,'TAR FIN'!$A$1:$O$100,15,0))</f>
        <v>285.75</v>
      </c>
      <c r="X1105" s="6">
        <f>IF(ISERROR(VLOOKUP($U$1105,'TAR FIN'!$A$1:$O$100,15,0)),0,VLOOKUP($U$1105,'TAR FIN'!$A$1:$O$100,15,0))</f>
        <v>231.33</v>
      </c>
      <c r="Y1105" s="6"/>
      <c r="Z1105" s="6">
        <f ca="1">('TUSD BE'!$AM$58+'TUSD BF'!$AM$58+'TUSD CVA'!$AM$58)*1</f>
        <v>285.64503648725872</v>
      </c>
      <c r="AA1105" s="6">
        <f>('TE BE'!$AA$41+'TE BF'!$AA$41+'TE CVA'!$AA$41)*1</f>
        <v>250.79367785689016</v>
      </c>
      <c r="AB1105" s="6">
        <f>$K$1105*$V$1105</f>
        <v>0</v>
      </c>
      <c r="AC1105" s="6">
        <f>$M$1105*$W$1105</f>
        <v>89248.011750000005</v>
      </c>
      <c r="AD1105" s="6">
        <f>$O$1105*$X$1105</f>
        <v>72251.067569999999</v>
      </c>
      <c r="AE1105" s="6">
        <f>$K$1105*$Y$1105</f>
        <v>0</v>
      </c>
      <c r="AF1105" s="6">
        <f ca="1">$M$1105*$Z$1105</f>
        <v>89215.228601029026</v>
      </c>
      <c r="AG1105" s="6">
        <f>$O$1105*$AA$1105</f>
        <v>78330.138611364644</v>
      </c>
    </row>
    <row r="1106" spans="1:33" ht="11.25" customHeight="1" x14ac:dyDescent="0.25">
      <c r="A1106" s="4" t="s">
        <v>21</v>
      </c>
      <c r="B1106" s="4" t="s">
        <v>37</v>
      </c>
      <c r="C1106" s="4" t="s">
        <v>23</v>
      </c>
      <c r="D1106" s="4" t="s">
        <v>42</v>
      </c>
      <c r="E1106" s="4" t="s">
        <v>25</v>
      </c>
      <c r="F1106" s="4" t="s">
        <v>25</v>
      </c>
      <c r="G1106" s="4" t="s">
        <v>25</v>
      </c>
      <c r="H1106" s="4" t="s">
        <v>25</v>
      </c>
      <c r="I1106" s="5">
        <v>44470</v>
      </c>
      <c r="J1106" s="6">
        <v>0</v>
      </c>
      <c r="K1106" s="6">
        <v>0</v>
      </c>
      <c r="L1106" s="6">
        <v>6164.9219999999996</v>
      </c>
      <c r="M1106" s="6">
        <v>6164.9219999999996</v>
      </c>
      <c r="N1106" s="6">
        <v>6164.9219999999996</v>
      </c>
      <c r="O1106" s="6">
        <v>6164.9219999999996</v>
      </c>
      <c r="P1106" s="6">
        <v>14921</v>
      </c>
      <c r="Q1106" s="4" t="s">
        <v>26</v>
      </c>
      <c r="R1106" s="4">
        <v>0</v>
      </c>
      <c r="S1106" s="6">
        <v>0</v>
      </c>
      <c r="T1106" s="6">
        <v>61</v>
      </c>
      <c r="U1106" s="6">
        <v>7</v>
      </c>
      <c r="V1106" s="6">
        <f>IF(ISERROR(VLOOKUP($S$1106,'TAR FIN'!$A$1:$O$100,15,0)),0,VLOOKUP($S$1106,'TAR FIN'!$A$1:$O$100,15,0))</f>
        <v>0</v>
      </c>
      <c r="W1106" s="6">
        <f>IF(ISERROR(VLOOKUP($T$1106,'TAR FIN'!$A$1:$O$100,15,0)),0,VLOOKUP($T$1106,'TAR FIN'!$A$1:$O$100,15,0))</f>
        <v>285.75</v>
      </c>
      <c r="X1106" s="6">
        <f>IF(ISERROR(VLOOKUP($U$1106,'TAR FIN'!$A$1:$O$100,15,0)),0,VLOOKUP($U$1106,'TAR FIN'!$A$1:$O$100,15,0))</f>
        <v>231.33</v>
      </c>
      <c r="Y1106" s="6"/>
      <c r="Z1106" s="6">
        <f ca="1">('TUSD BE'!$AM$58+'TUSD BF'!$AM$58+'TUSD CVA'!$AM$58)*1</f>
        <v>285.64503648725872</v>
      </c>
      <c r="AA1106" s="6">
        <f>('TE BE'!$AA$41+'TE BF'!$AA$41+'TE CVA'!$AA$41)*1</f>
        <v>250.79367785689016</v>
      </c>
      <c r="AB1106" s="6">
        <f>$K$1106*$V$1106</f>
        <v>0</v>
      </c>
      <c r="AC1106" s="6">
        <f>$M$1106*$W$1106</f>
        <v>1761626.4615</v>
      </c>
      <c r="AD1106" s="6">
        <f>$O$1106*$X$1106</f>
        <v>1426131.4062600001</v>
      </c>
      <c r="AE1106" s="6">
        <f>$K$1106*$Y$1106</f>
        <v>0</v>
      </c>
      <c r="AF1106" s="6">
        <f ca="1">$M$1106*$Z$1106</f>
        <v>1760979.3696311039</v>
      </c>
      <c r="AG1106" s="6">
        <f>$O$1106*$AA$1106</f>
        <v>1546123.4620808549</v>
      </c>
    </row>
    <row r="1107" spans="1:33" ht="11.25" customHeight="1" x14ac:dyDescent="0.25">
      <c r="A1107" s="4" t="s">
        <v>27</v>
      </c>
      <c r="B1107" s="4" t="s">
        <v>37</v>
      </c>
      <c r="C1107" s="4" t="s">
        <v>23</v>
      </c>
      <c r="D1107" s="4" t="s">
        <v>42</v>
      </c>
      <c r="E1107" s="4" t="s">
        <v>25</v>
      </c>
      <c r="F1107" s="4" t="s">
        <v>25</v>
      </c>
      <c r="G1107" s="4" t="s">
        <v>25</v>
      </c>
      <c r="H1107" s="4" t="s">
        <v>25</v>
      </c>
      <c r="I1107" s="5">
        <v>44470</v>
      </c>
      <c r="J1107" s="6">
        <v>0</v>
      </c>
      <c r="K1107" s="6">
        <v>0</v>
      </c>
      <c r="L1107" s="6">
        <v>-4.9240000000000004</v>
      </c>
      <c r="M1107" s="6">
        <v>-4.9240000000000004</v>
      </c>
      <c r="N1107" s="6">
        <v>-4.9240000000000004</v>
      </c>
      <c r="O1107" s="6">
        <v>-4.9240000000000004</v>
      </c>
      <c r="P1107" s="6">
        <v>-3</v>
      </c>
      <c r="Q1107" s="4" t="s">
        <v>26</v>
      </c>
      <c r="R1107" s="4">
        <v>0</v>
      </c>
      <c r="S1107" s="6">
        <v>0</v>
      </c>
      <c r="T1107" s="6">
        <v>61</v>
      </c>
      <c r="U1107" s="6">
        <v>7</v>
      </c>
      <c r="V1107" s="6">
        <f>IF(ISERROR(VLOOKUP($S$1107,'TAR FIN'!$A$1:$O$100,15,0)),0,VLOOKUP($S$1107,'TAR FIN'!$A$1:$O$100,15,0))</f>
        <v>0</v>
      </c>
      <c r="W1107" s="6">
        <f>IF(ISERROR(VLOOKUP($T$1107,'TAR FIN'!$A$1:$O$100,15,0)),0,VLOOKUP($T$1107,'TAR FIN'!$A$1:$O$100,15,0))</f>
        <v>285.75</v>
      </c>
      <c r="X1107" s="6">
        <f>IF(ISERROR(VLOOKUP($U$1107,'TAR FIN'!$A$1:$O$100,15,0)),0,VLOOKUP($U$1107,'TAR FIN'!$A$1:$O$100,15,0))</f>
        <v>231.33</v>
      </c>
      <c r="Y1107" s="6"/>
      <c r="Z1107" s="6">
        <f ca="1">('TUSD BE'!$AM$58+'TUSD BF'!$AM$58+'TUSD CVA'!$AM$58)*1</f>
        <v>285.64503648725872</v>
      </c>
      <c r="AA1107" s="6">
        <f>('TE BE'!$AA$41+'TE BF'!$AA$41+'TE CVA'!$AA$41)*1</f>
        <v>250.79367785689016</v>
      </c>
      <c r="AB1107" s="6">
        <f>$K$1107*$V$1107</f>
        <v>0</v>
      </c>
      <c r="AC1107" s="6">
        <f>$M$1107*$W$1107</f>
        <v>-1407.0330000000001</v>
      </c>
      <c r="AD1107" s="6">
        <f>$O$1107*$X$1107</f>
        <v>-1139.0689200000002</v>
      </c>
      <c r="AE1107" s="6">
        <f>$K$1107*$Y$1107</f>
        <v>0</v>
      </c>
      <c r="AF1107" s="6">
        <f ca="1">$M$1107*$Z$1107</f>
        <v>-1406.516159663262</v>
      </c>
      <c r="AG1107" s="6">
        <f>$O$1107*$AA$1107</f>
        <v>-1234.9080697673273</v>
      </c>
    </row>
    <row r="1108" spans="1:33" ht="11.25" customHeight="1" x14ac:dyDescent="0.25">
      <c r="A1108" s="4" t="s">
        <v>28</v>
      </c>
      <c r="B1108" s="4" t="s">
        <v>37</v>
      </c>
      <c r="C1108" s="4" t="s">
        <v>23</v>
      </c>
      <c r="D1108" s="4" t="s">
        <v>42</v>
      </c>
      <c r="E1108" s="4" t="s">
        <v>25</v>
      </c>
      <c r="F1108" s="4" t="s">
        <v>25</v>
      </c>
      <c r="G1108" s="4" t="s">
        <v>25</v>
      </c>
      <c r="H1108" s="4" t="s">
        <v>25</v>
      </c>
      <c r="I1108" s="5">
        <v>44470</v>
      </c>
      <c r="J1108" s="6">
        <v>0</v>
      </c>
      <c r="K1108" s="6">
        <v>0</v>
      </c>
      <c r="L1108" s="6">
        <v>380.94900000000001</v>
      </c>
      <c r="M1108" s="6">
        <v>380.94900000000001</v>
      </c>
      <c r="N1108" s="6">
        <v>380.94900000000001</v>
      </c>
      <c r="O1108" s="6">
        <v>380.94900000000001</v>
      </c>
      <c r="P1108" s="6">
        <v>540</v>
      </c>
      <c r="Q1108" s="4" t="s">
        <v>26</v>
      </c>
      <c r="R1108" s="4">
        <v>0</v>
      </c>
      <c r="S1108" s="6">
        <v>0</v>
      </c>
      <c r="T1108" s="6">
        <v>61</v>
      </c>
      <c r="U1108" s="6">
        <v>7</v>
      </c>
      <c r="V1108" s="6">
        <f>IF(ISERROR(VLOOKUP($S$1108,'TAR FIN'!$A$1:$O$100,15,0)),0,VLOOKUP($S$1108,'TAR FIN'!$A$1:$O$100,15,0))</f>
        <v>0</v>
      </c>
      <c r="W1108" s="6">
        <f>IF(ISERROR(VLOOKUP($T$1108,'TAR FIN'!$A$1:$O$100,15,0)),0,VLOOKUP($T$1108,'TAR FIN'!$A$1:$O$100,15,0))</f>
        <v>285.75</v>
      </c>
      <c r="X1108" s="6">
        <f>IF(ISERROR(VLOOKUP($U$1108,'TAR FIN'!$A$1:$O$100,15,0)),0,VLOOKUP($U$1108,'TAR FIN'!$A$1:$O$100,15,0))</f>
        <v>231.33</v>
      </c>
      <c r="Y1108" s="6"/>
      <c r="Z1108" s="6">
        <f ca="1">('TUSD BE'!$AM$58+'TUSD BF'!$AM$58+'TUSD CVA'!$AM$58)*1</f>
        <v>285.64503648725872</v>
      </c>
      <c r="AA1108" s="6">
        <f>('TE BE'!$AA$41+'TE BF'!$AA$41+'TE CVA'!$AA$41)*1</f>
        <v>250.79367785689016</v>
      </c>
      <c r="AB1108" s="6">
        <f>$K$1108*$V$1108</f>
        <v>0</v>
      </c>
      <c r="AC1108" s="6">
        <f>$M$1108*$W$1108</f>
        <v>108856.17675</v>
      </c>
      <c r="AD1108" s="6">
        <f>$O$1108*$X$1108</f>
        <v>88124.932170000015</v>
      </c>
      <c r="AE1108" s="6">
        <f>$K$1108*$Y$1108</f>
        <v>0</v>
      </c>
      <c r="AF1108" s="6">
        <f ca="1">$M$1108*$Z$1108</f>
        <v>108816.19100478472</v>
      </c>
      <c r="AG1108" s="6">
        <f>$O$1108*$AA$1108</f>
        <v>95539.600785904448</v>
      </c>
    </row>
    <row r="1109" spans="1:33" ht="11.25" customHeight="1" x14ac:dyDescent="0.25">
      <c r="A1109" s="4" t="s">
        <v>21</v>
      </c>
      <c r="B1109" s="4" t="s">
        <v>37</v>
      </c>
      <c r="C1109" s="4" t="s">
        <v>23</v>
      </c>
      <c r="D1109" s="4" t="s">
        <v>42</v>
      </c>
      <c r="E1109" s="4" t="s">
        <v>25</v>
      </c>
      <c r="F1109" s="4" t="s">
        <v>25</v>
      </c>
      <c r="G1109" s="4" t="s">
        <v>25</v>
      </c>
      <c r="H1109" s="4" t="s">
        <v>25</v>
      </c>
      <c r="I1109" s="5">
        <v>44501</v>
      </c>
      <c r="J1109" s="6">
        <v>0</v>
      </c>
      <c r="K1109" s="6">
        <v>0</v>
      </c>
      <c r="L1109" s="6">
        <v>6316.9679999999998</v>
      </c>
      <c r="M1109" s="6">
        <v>6316.9679999999998</v>
      </c>
      <c r="N1109" s="6">
        <v>6316.9679999999998</v>
      </c>
      <c r="O1109" s="6">
        <v>6316.9679999999998</v>
      </c>
      <c r="P1109" s="6">
        <v>14928</v>
      </c>
      <c r="Q1109" s="4" t="s">
        <v>26</v>
      </c>
      <c r="R1109" s="4">
        <v>0</v>
      </c>
      <c r="S1109" s="6">
        <v>0</v>
      </c>
      <c r="T1109" s="6">
        <v>61</v>
      </c>
      <c r="U1109" s="6">
        <v>7</v>
      </c>
      <c r="V1109" s="6">
        <f>IF(ISERROR(VLOOKUP($S$1109,'TAR FIN'!$A$1:$O$100,15,0)),0,VLOOKUP($S$1109,'TAR FIN'!$A$1:$O$100,15,0))</f>
        <v>0</v>
      </c>
      <c r="W1109" s="6">
        <f>IF(ISERROR(VLOOKUP($T$1109,'TAR FIN'!$A$1:$O$100,15,0)),0,VLOOKUP($T$1109,'TAR FIN'!$A$1:$O$100,15,0))</f>
        <v>285.75</v>
      </c>
      <c r="X1109" s="6">
        <f>IF(ISERROR(VLOOKUP($U$1109,'TAR FIN'!$A$1:$O$100,15,0)),0,VLOOKUP($U$1109,'TAR FIN'!$A$1:$O$100,15,0))</f>
        <v>231.33</v>
      </c>
      <c r="Y1109" s="6"/>
      <c r="Z1109" s="6">
        <f ca="1">('TUSD BE'!$AM$58+'TUSD BF'!$AM$58+'TUSD CVA'!$AM$58)*1</f>
        <v>285.64503648725872</v>
      </c>
      <c r="AA1109" s="6">
        <f>('TE BE'!$AA$41+'TE BF'!$AA$41+'TE CVA'!$AA$41)*1</f>
        <v>250.79367785689016</v>
      </c>
      <c r="AB1109" s="6">
        <f>$K$1109*$V$1109</f>
        <v>0</v>
      </c>
      <c r="AC1109" s="6">
        <f>$M$1109*$W$1109</f>
        <v>1805073.6059999999</v>
      </c>
      <c r="AD1109" s="6">
        <f>$O$1109*$X$1109</f>
        <v>1461304.20744</v>
      </c>
      <c r="AE1109" s="6">
        <f>$K$1109*$Y$1109</f>
        <v>0</v>
      </c>
      <c r="AF1109" s="6">
        <f ca="1">$M$1109*$Z$1109</f>
        <v>1804410.5548488458</v>
      </c>
      <c r="AG1109" s="6">
        <f>$O$1109*$AA$1109</f>
        <v>1584255.6376242836</v>
      </c>
    </row>
    <row r="1110" spans="1:33" ht="11.25" customHeight="1" x14ac:dyDescent="0.25">
      <c r="A1110" s="4" t="s">
        <v>27</v>
      </c>
      <c r="B1110" s="4" t="s">
        <v>37</v>
      </c>
      <c r="C1110" s="4" t="s">
        <v>23</v>
      </c>
      <c r="D1110" s="4" t="s">
        <v>42</v>
      </c>
      <c r="E1110" s="4" t="s">
        <v>25</v>
      </c>
      <c r="F1110" s="4" t="s">
        <v>25</v>
      </c>
      <c r="G1110" s="4" t="s">
        <v>25</v>
      </c>
      <c r="H1110" s="4" t="s">
        <v>25</v>
      </c>
      <c r="I1110" s="5">
        <v>44501</v>
      </c>
      <c r="J1110" s="6">
        <v>0</v>
      </c>
      <c r="K1110" s="6">
        <v>0</v>
      </c>
      <c r="L1110" s="6">
        <v>-0.91600000000000004</v>
      </c>
      <c r="M1110" s="6">
        <v>-0.91600000000000004</v>
      </c>
      <c r="N1110" s="6">
        <v>-0.91600000000000004</v>
      </c>
      <c r="O1110" s="6">
        <v>-0.91600000000000004</v>
      </c>
      <c r="P1110" s="6">
        <v>-1</v>
      </c>
      <c r="Q1110" s="4" t="s">
        <v>26</v>
      </c>
      <c r="R1110" s="4">
        <v>0</v>
      </c>
      <c r="S1110" s="6">
        <v>0</v>
      </c>
      <c r="T1110" s="6">
        <v>61</v>
      </c>
      <c r="U1110" s="6">
        <v>7</v>
      </c>
      <c r="V1110" s="6">
        <f>IF(ISERROR(VLOOKUP($S$1110,'TAR FIN'!$A$1:$O$100,15,0)),0,VLOOKUP($S$1110,'TAR FIN'!$A$1:$O$100,15,0))</f>
        <v>0</v>
      </c>
      <c r="W1110" s="6">
        <f>IF(ISERROR(VLOOKUP($T$1110,'TAR FIN'!$A$1:$O$100,15,0)),0,VLOOKUP($T$1110,'TAR FIN'!$A$1:$O$100,15,0))</f>
        <v>285.75</v>
      </c>
      <c r="X1110" s="6">
        <f>IF(ISERROR(VLOOKUP($U$1110,'TAR FIN'!$A$1:$O$100,15,0)),0,VLOOKUP($U$1110,'TAR FIN'!$A$1:$O$100,15,0))</f>
        <v>231.33</v>
      </c>
      <c r="Y1110" s="6"/>
      <c r="Z1110" s="6">
        <f ca="1">('TUSD BE'!$AM$58+'TUSD BF'!$AM$58+'TUSD CVA'!$AM$58)*1</f>
        <v>285.64503648725872</v>
      </c>
      <c r="AA1110" s="6">
        <f>('TE BE'!$AA$41+'TE BF'!$AA$41+'TE CVA'!$AA$41)*1</f>
        <v>250.79367785689016</v>
      </c>
      <c r="AB1110" s="6">
        <f>$K$1110*$V$1110</f>
        <v>0</v>
      </c>
      <c r="AC1110" s="6">
        <f>$M$1110*$W$1110</f>
        <v>-261.74700000000001</v>
      </c>
      <c r="AD1110" s="6">
        <f>$O$1110*$X$1110</f>
        <v>-211.89828000000003</v>
      </c>
      <c r="AE1110" s="6">
        <f>$K$1110*$Y$1110</f>
        <v>0</v>
      </c>
      <c r="AF1110" s="6">
        <f ca="1">$M$1110*$Z$1110</f>
        <v>-261.65085342232902</v>
      </c>
      <c r="AG1110" s="6">
        <f>$O$1110*$AA$1110</f>
        <v>-229.72700891691139</v>
      </c>
    </row>
    <row r="1111" spans="1:33" ht="11.25" customHeight="1" x14ac:dyDescent="0.25">
      <c r="A1111" s="4" t="s">
        <v>28</v>
      </c>
      <c r="B1111" s="4" t="s">
        <v>37</v>
      </c>
      <c r="C1111" s="4" t="s">
        <v>23</v>
      </c>
      <c r="D1111" s="4" t="s">
        <v>42</v>
      </c>
      <c r="E1111" s="4" t="s">
        <v>25</v>
      </c>
      <c r="F1111" s="4" t="s">
        <v>25</v>
      </c>
      <c r="G1111" s="4" t="s">
        <v>25</v>
      </c>
      <c r="H1111" s="4" t="s">
        <v>25</v>
      </c>
      <c r="I1111" s="5">
        <v>44501</v>
      </c>
      <c r="J1111" s="6">
        <v>0</v>
      </c>
      <c r="K1111" s="6">
        <v>0</v>
      </c>
      <c r="L1111" s="6">
        <v>364.74700000000001</v>
      </c>
      <c r="M1111" s="6">
        <v>364.74700000000001</v>
      </c>
      <c r="N1111" s="6">
        <v>364.74700000000001</v>
      </c>
      <c r="O1111" s="6">
        <v>364.74700000000001</v>
      </c>
      <c r="P1111" s="6">
        <v>552</v>
      </c>
      <c r="Q1111" s="4" t="s">
        <v>26</v>
      </c>
      <c r="R1111" s="4">
        <v>0</v>
      </c>
      <c r="S1111" s="6">
        <v>0</v>
      </c>
      <c r="T1111" s="6">
        <v>61</v>
      </c>
      <c r="U1111" s="6">
        <v>7</v>
      </c>
      <c r="V1111" s="6">
        <f>IF(ISERROR(VLOOKUP($S$1111,'TAR FIN'!$A$1:$O$100,15,0)),0,VLOOKUP($S$1111,'TAR FIN'!$A$1:$O$100,15,0))</f>
        <v>0</v>
      </c>
      <c r="W1111" s="6">
        <f>IF(ISERROR(VLOOKUP($T$1111,'TAR FIN'!$A$1:$O$100,15,0)),0,VLOOKUP($T$1111,'TAR FIN'!$A$1:$O$100,15,0))</f>
        <v>285.75</v>
      </c>
      <c r="X1111" s="6">
        <f>IF(ISERROR(VLOOKUP($U$1111,'TAR FIN'!$A$1:$O$100,15,0)),0,VLOOKUP($U$1111,'TAR FIN'!$A$1:$O$100,15,0))</f>
        <v>231.33</v>
      </c>
      <c r="Y1111" s="6"/>
      <c r="Z1111" s="6">
        <f ca="1">('TUSD BE'!$AM$58+'TUSD BF'!$AM$58+'TUSD CVA'!$AM$58)*1</f>
        <v>285.64503648725872</v>
      </c>
      <c r="AA1111" s="6">
        <f>('TE BE'!$AA$41+'TE BF'!$AA$41+'TE CVA'!$AA$41)*1</f>
        <v>250.79367785689016</v>
      </c>
      <c r="AB1111" s="6">
        <f>$K$1111*$V$1111</f>
        <v>0</v>
      </c>
      <c r="AC1111" s="6">
        <f>$M$1111*$W$1111</f>
        <v>104226.45525</v>
      </c>
      <c r="AD1111" s="6">
        <f>$O$1111*$X$1111</f>
        <v>84376.923510000008</v>
      </c>
      <c r="AE1111" s="6">
        <f>$K$1111*$Y$1111</f>
        <v>0</v>
      </c>
      <c r="AF1111" s="6">
        <f ca="1">$M$1111*$Z$1111</f>
        <v>104188.17012361815</v>
      </c>
      <c r="AG1111" s="6">
        <f>$O$1111*$AA$1111</f>
        <v>91476.241617267122</v>
      </c>
    </row>
    <row r="1112" spans="1:33" ht="11.25" customHeight="1" x14ac:dyDescent="0.25">
      <c r="A1112" s="4" t="s">
        <v>28</v>
      </c>
      <c r="B1112" s="4" t="s">
        <v>37</v>
      </c>
      <c r="C1112" s="4" t="s">
        <v>23</v>
      </c>
      <c r="D1112" s="4" t="s">
        <v>42</v>
      </c>
      <c r="E1112" s="4" t="s">
        <v>25</v>
      </c>
      <c r="F1112" s="4" t="s">
        <v>25</v>
      </c>
      <c r="G1112" s="4" t="s">
        <v>25</v>
      </c>
      <c r="H1112" s="4" t="s">
        <v>25</v>
      </c>
      <c r="I1112" s="5">
        <v>44501</v>
      </c>
      <c r="J1112" s="6">
        <v>0</v>
      </c>
      <c r="K1112" s="6">
        <v>0</v>
      </c>
      <c r="L1112" s="6">
        <v>-0.97599999999999998</v>
      </c>
      <c r="M1112" s="6">
        <v>-0.97599999999999998</v>
      </c>
      <c r="N1112" s="6">
        <v>-0.97599999999999998</v>
      </c>
      <c r="O1112" s="6">
        <v>-0.97599999999999998</v>
      </c>
      <c r="P1112" s="6">
        <v>0</v>
      </c>
      <c r="Q1112" s="4" t="s">
        <v>26</v>
      </c>
      <c r="R1112" s="4">
        <v>0</v>
      </c>
      <c r="S1112" s="6">
        <v>0</v>
      </c>
      <c r="T1112" s="6">
        <v>61</v>
      </c>
      <c r="U1112" s="6">
        <v>7</v>
      </c>
      <c r="V1112" s="6">
        <f>IF(ISERROR(VLOOKUP($S$1112,'TAR FIN'!$A$1:$O$100,15,0)),0,VLOOKUP($S$1112,'TAR FIN'!$A$1:$O$100,15,0))</f>
        <v>0</v>
      </c>
      <c r="W1112" s="6">
        <f>IF(ISERROR(VLOOKUP($T$1112,'TAR FIN'!$A$1:$O$100,15,0)),0,VLOOKUP($T$1112,'TAR FIN'!$A$1:$O$100,15,0))</f>
        <v>285.75</v>
      </c>
      <c r="X1112" s="6">
        <f>IF(ISERROR(VLOOKUP($U$1112,'TAR FIN'!$A$1:$O$100,15,0)),0,VLOOKUP($U$1112,'TAR FIN'!$A$1:$O$100,15,0))</f>
        <v>231.33</v>
      </c>
      <c r="Y1112" s="6"/>
      <c r="Z1112" s="6">
        <f ca="1">('TUSD BE'!$AM$58+'TUSD BF'!$AM$58+'TUSD CVA'!$AM$58)*1</f>
        <v>285.64503648725872</v>
      </c>
      <c r="AA1112" s="6">
        <f>('TE BE'!$AA$41+'TE BF'!$AA$41+'TE CVA'!$AA$41)*1</f>
        <v>250.79367785689016</v>
      </c>
      <c r="AB1112" s="6">
        <f>$K$1112*$V$1112</f>
        <v>0</v>
      </c>
      <c r="AC1112" s="6">
        <f>$M$1112*$W$1112</f>
        <v>-278.892</v>
      </c>
      <c r="AD1112" s="6">
        <f>$O$1112*$X$1112</f>
        <v>-225.77808000000002</v>
      </c>
      <c r="AE1112" s="6">
        <f>$K$1112*$Y$1112</f>
        <v>0</v>
      </c>
      <c r="AF1112" s="6">
        <f ca="1">$M$1112*$Z$1112</f>
        <v>-278.78955561156448</v>
      </c>
      <c r="AG1112" s="6">
        <f>$O$1112*$AA$1112</f>
        <v>-244.77462958832479</v>
      </c>
    </row>
    <row r="1113" spans="1:33" ht="11.25" customHeight="1" x14ac:dyDescent="0.25">
      <c r="A1113" s="4" t="s">
        <v>21</v>
      </c>
      <c r="B1113" s="4" t="s">
        <v>37</v>
      </c>
      <c r="C1113" s="4" t="s">
        <v>23</v>
      </c>
      <c r="D1113" s="4" t="s">
        <v>42</v>
      </c>
      <c r="E1113" s="4" t="s">
        <v>25</v>
      </c>
      <c r="F1113" s="4" t="s">
        <v>25</v>
      </c>
      <c r="G1113" s="4" t="s">
        <v>25</v>
      </c>
      <c r="H1113" s="4" t="s">
        <v>25</v>
      </c>
      <c r="I1113" s="5">
        <v>44531</v>
      </c>
      <c r="J1113" s="6">
        <v>0</v>
      </c>
      <c r="K1113" s="6">
        <v>0</v>
      </c>
      <c r="L1113" s="6">
        <v>6604.2439999999997</v>
      </c>
      <c r="M1113" s="6">
        <v>6604.2439999999997</v>
      </c>
      <c r="N1113" s="6">
        <v>6604.2439999999997</v>
      </c>
      <c r="O1113" s="6">
        <v>6604.2439999999997</v>
      </c>
      <c r="P1113" s="6">
        <v>14954</v>
      </c>
      <c r="Q1113" s="4" t="s">
        <v>26</v>
      </c>
      <c r="R1113" s="4">
        <v>0</v>
      </c>
      <c r="S1113" s="6">
        <v>0</v>
      </c>
      <c r="T1113" s="6">
        <v>61</v>
      </c>
      <c r="U1113" s="6">
        <v>7</v>
      </c>
      <c r="V1113" s="6">
        <f>IF(ISERROR(VLOOKUP($S$1113,'TAR FIN'!$A$1:$O$100,15,0)),0,VLOOKUP($S$1113,'TAR FIN'!$A$1:$O$100,15,0))</f>
        <v>0</v>
      </c>
      <c r="W1113" s="6">
        <f>IF(ISERROR(VLOOKUP($T$1113,'TAR FIN'!$A$1:$O$100,15,0)),0,VLOOKUP($T$1113,'TAR FIN'!$A$1:$O$100,15,0))</f>
        <v>285.75</v>
      </c>
      <c r="X1113" s="6">
        <f>IF(ISERROR(VLOOKUP($U$1113,'TAR FIN'!$A$1:$O$100,15,0)),0,VLOOKUP($U$1113,'TAR FIN'!$A$1:$O$100,15,0))</f>
        <v>231.33</v>
      </c>
      <c r="Y1113" s="6"/>
      <c r="Z1113" s="6">
        <f ca="1">('TUSD BE'!$AM$58+'TUSD BF'!$AM$58+'TUSD CVA'!$AM$58)*1</f>
        <v>285.64503648725872</v>
      </c>
      <c r="AA1113" s="6">
        <f>('TE BE'!$AA$41+'TE BF'!$AA$41+'TE CVA'!$AA$41)*1</f>
        <v>250.79367785689016</v>
      </c>
      <c r="AB1113" s="6">
        <f>$K$1113*$V$1113</f>
        <v>0</v>
      </c>
      <c r="AC1113" s="6">
        <f>$M$1113*$W$1113</f>
        <v>1887162.723</v>
      </c>
      <c r="AD1113" s="6">
        <f>$O$1113*$X$1113</f>
        <v>1527759.76452</v>
      </c>
      <c r="AE1113" s="6">
        <f>$K$1113*$Y$1113</f>
        <v>0</v>
      </c>
      <c r="AF1113" s="6">
        <f ca="1">$M$1113*$Z$1113</f>
        <v>1886469.5183507593</v>
      </c>
      <c r="AG1113" s="6">
        <f>$O$1113*$AA$1113</f>
        <v>1656302.6422242995</v>
      </c>
    </row>
    <row r="1114" spans="1:33" ht="11.25" customHeight="1" x14ac:dyDescent="0.25">
      <c r="A1114" s="4" t="s">
        <v>28</v>
      </c>
      <c r="B1114" s="4" t="s">
        <v>37</v>
      </c>
      <c r="C1114" s="4" t="s">
        <v>23</v>
      </c>
      <c r="D1114" s="4" t="s">
        <v>42</v>
      </c>
      <c r="E1114" s="4" t="s">
        <v>25</v>
      </c>
      <c r="F1114" s="4" t="s">
        <v>25</v>
      </c>
      <c r="G1114" s="4" t="s">
        <v>25</v>
      </c>
      <c r="H1114" s="4" t="s">
        <v>25</v>
      </c>
      <c r="I1114" s="5">
        <v>44531</v>
      </c>
      <c r="J1114" s="6">
        <v>0</v>
      </c>
      <c r="K1114" s="6">
        <v>0</v>
      </c>
      <c r="L1114" s="6">
        <v>445.19299999999998</v>
      </c>
      <c r="M1114" s="6">
        <v>445.19299999999998</v>
      </c>
      <c r="N1114" s="6">
        <v>445.19299999999998</v>
      </c>
      <c r="O1114" s="6">
        <v>445.19299999999998</v>
      </c>
      <c r="P1114" s="6">
        <v>589</v>
      </c>
      <c r="Q1114" s="4" t="s">
        <v>26</v>
      </c>
      <c r="R1114" s="4">
        <v>0</v>
      </c>
      <c r="S1114" s="6">
        <v>0</v>
      </c>
      <c r="T1114" s="6">
        <v>61</v>
      </c>
      <c r="U1114" s="6">
        <v>7</v>
      </c>
      <c r="V1114" s="6">
        <f>IF(ISERROR(VLOOKUP($S$1114,'TAR FIN'!$A$1:$O$100,15,0)),0,VLOOKUP($S$1114,'TAR FIN'!$A$1:$O$100,15,0))</f>
        <v>0</v>
      </c>
      <c r="W1114" s="6">
        <f>IF(ISERROR(VLOOKUP($T$1114,'TAR FIN'!$A$1:$O$100,15,0)),0,VLOOKUP($T$1114,'TAR FIN'!$A$1:$O$100,15,0))</f>
        <v>285.75</v>
      </c>
      <c r="X1114" s="6">
        <f>IF(ISERROR(VLOOKUP($U$1114,'TAR FIN'!$A$1:$O$100,15,0)),0,VLOOKUP($U$1114,'TAR FIN'!$A$1:$O$100,15,0))</f>
        <v>231.33</v>
      </c>
      <c r="Y1114" s="6"/>
      <c r="Z1114" s="6">
        <f ca="1">('TUSD BE'!$AM$58+'TUSD BF'!$AM$58+'TUSD CVA'!$AM$58)*1</f>
        <v>285.64503648725872</v>
      </c>
      <c r="AA1114" s="6">
        <f>('TE BE'!$AA$41+'TE BF'!$AA$41+'TE CVA'!$AA$41)*1</f>
        <v>250.79367785689016</v>
      </c>
      <c r="AB1114" s="6">
        <f>$K$1114*$V$1114</f>
        <v>0</v>
      </c>
      <c r="AC1114" s="6">
        <f>$M$1114*$W$1114</f>
        <v>127213.89975</v>
      </c>
      <c r="AD1114" s="6">
        <f>$O$1114*$X$1114</f>
        <v>102986.49669</v>
      </c>
      <c r="AE1114" s="6">
        <f>$K$1114*$Y$1114</f>
        <v>0</v>
      </c>
      <c r="AF1114" s="6">
        <f ca="1">$M$1114*$Z$1114</f>
        <v>127167.17072887217</v>
      </c>
      <c r="AG1114" s="6">
        <f>$O$1114*$AA$1114</f>
        <v>111651.58982614249</v>
      </c>
    </row>
    <row r="1115" spans="1:33" ht="11.25" customHeight="1" x14ac:dyDescent="0.25">
      <c r="A1115" s="4" t="s">
        <v>28</v>
      </c>
      <c r="B1115" s="4" t="s">
        <v>37</v>
      </c>
      <c r="C1115" s="4" t="s">
        <v>23</v>
      </c>
      <c r="D1115" s="4" t="s">
        <v>42</v>
      </c>
      <c r="E1115" s="4" t="s">
        <v>25</v>
      </c>
      <c r="F1115" s="4" t="s">
        <v>25</v>
      </c>
      <c r="G1115" s="4" t="s">
        <v>25</v>
      </c>
      <c r="H1115" s="4" t="s">
        <v>25</v>
      </c>
      <c r="I1115" s="5">
        <v>44531</v>
      </c>
      <c r="J1115" s="6">
        <v>0</v>
      </c>
      <c r="K1115" s="6">
        <v>0</v>
      </c>
      <c r="L1115" s="6">
        <v>-0.27100000000000002</v>
      </c>
      <c r="M1115" s="6">
        <v>-0.27100000000000002</v>
      </c>
      <c r="N1115" s="6">
        <v>-0.27100000000000002</v>
      </c>
      <c r="O1115" s="6">
        <v>-0.27100000000000002</v>
      </c>
      <c r="P1115" s="6">
        <v>0</v>
      </c>
      <c r="Q1115" s="4" t="s">
        <v>26</v>
      </c>
      <c r="R1115" s="4">
        <v>0</v>
      </c>
      <c r="S1115" s="6">
        <v>0</v>
      </c>
      <c r="T1115" s="6">
        <v>61</v>
      </c>
      <c r="U1115" s="6">
        <v>7</v>
      </c>
      <c r="V1115" s="6">
        <f>IF(ISERROR(VLOOKUP($S$1115,'TAR FIN'!$A$1:$O$100,15,0)),0,VLOOKUP($S$1115,'TAR FIN'!$A$1:$O$100,15,0))</f>
        <v>0</v>
      </c>
      <c r="W1115" s="6">
        <f>IF(ISERROR(VLOOKUP($T$1115,'TAR FIN'!$A$1:$O$100,15,0)),0,VLOOKUP($T$1115,'TAR FIN'!$A$1:$O$100,15,0))</f>
        <v>285.75</v>
      </c>
      <c r="X1115" s="6">
        <f>IF(ISERROR(VLOOKUP($U$1115,'TAR FIN'!$A$1:$O$100,15,0)),0,VLOOKUP($U$1115,'TAR FIN'!$A$1:$O$100,15,0))</f>
        <v>231.33</v>
      </c>
      <c r="Y1115" s="6"/>
      <c r="Z1115" s="6">
        <f ca="1">('TUSD BE'!$AM$58+'TUSD BF'!$AM$58+'TUSD CVA'!$AM$58)*1</f>
        <v>285.64503648725872</v>
      </c>
      <c r="AA1115" s="6">
        <f>('TE BE'!$AA$41+'TE BF'!$AA$41+'TE CVA'!$AA$41)*1</f>
        <v>250.79367785689016</v>
      </c>
      <c r="AB1115" s="6">
        <f>$K$1115*$V$1115</f>
        <v>0</v>
      </c>
      <c r="AC1115" s="6">
        <f>$M$1115*$W$1115</f>
        <v>-77.438250000000011</v>
      </c>
      <c r="AD1115" s="6">
        <f>$O$1115*$X$1115</f>
        <v>-62.690430000000006</v>
      </c>
      <c r="AE1115" s="6">
        <f>$K$1115*$Y$1115</f>
        <v>0</v>
      </c>
      <c r="AF1115" s="6">
        <f ca="1">$M$1115*$Z$1115</f>
        <v>-77.40980488804712</v>
      </c>
      <c r="AG1115" s="6">
        <f>$O$1115*$AA$1115</f>
        <v>-67.965086699217238</v>
      </c>
    </row>
    <row r="1116" spans="1:33" ht="11.25" customHeight="1" x14ac:dyDescent="0.25">
      <c r="A1116" s="4" t="s">
        <v>55</v>
      </c>
      <c r="B1116" s="4" t="s">
        <v>37</v>
      </c>
      <c r="C1116" s="4" t="s">
        <v>23</v>
      </c>
      <c r="D1116" s="4" t="s">
        <v>42</v>
      </c>
      <c r="E1116" s="4" t="s">
        <v>25</v>
      </c>
      <c r="F1116" s="4" t="s">
        <v>25</v>
      </c>
      <c r="G1116" s="4" t="s">
        <v>25</v>
      </c>
      <c r="H1116" s="4" t="s">
        <v>25</v>
      </c>
      <c r="I1116" s="5">
        <v>44562</v>
      </c>
      <c r="J1116" s="6">
        <v>0</v>
      </c>
      <c r="K1116" s="6">
        <v>0</v>
      </c>
      <c r="L1116" s="6">
        <v>6604.2439999999997</v>
      </c>
      <c r="M1116" s="6">
        <v>6604.2439999999997</v>
      </c>
      <c r="N1116" s="6">
        <v>6604.2439999999997</v>
      </c>
      <c r="O1116" s="6">
        <v>6604.2439999999997</v>
      </c>
      <c r="P1116" s="6">
        <v>14954</v>
      </c>
      <c r="Q1116" s="4" t="s">
        <v>26</v>
      </c>
      <c r="R1116" s="4">
        <v>0</v>
      </c>
      <c r="S1116" s="6">
        <v>0</v>
      </c>
      <c r="T1116" s="6">
        <v>61</v>
      </c>
      <c r="U1116" s="6">
        <v>7</v>
      </c>
      <c r="V1116" s="6">
        <f>IF(ISERROR(VLOOKUP($S$1116,'TAR FIN'!$A$1:$O$100,15,0)),0,VLOOKUP($S$1116,'TAR FIN'!$A$1:$O$100,15,0))</f>
        <v>0</v>
      </c>
      <c r="W1116" s="6">
        <f>IF(ISERROR(VLOOKUP($T$1116,'TAR FIN'!$A$1:$O$100,15,0)),0,VLOOKUP($T$1116,'TAR FIN'!$A$1:$O$100,15,0))</f>
        <v>285.75</v>
      </c>
      <c r="X1116" s="6">
        <f>IF(ISERROR(VLOOKUP($U$1116,'TAR FIN'!$A$1:$O$100,15,0)),0,VLOOKUP($U$1116,'TAR FIN'!$A$1:$O$100,15,0))</f>
        <v>231.33</v>
      </c>
      <c r="Y1116" s="6"/>
      <c r="Z1116" s="6">
        <f ca="1">('TUSD BE'!$AM$58+'TUSD BF'!$AM$58+'TUSD CVA'!$AM$58)*1</f>
        <v>285.64503648725872</v>
      </c>
      <c r="AA1116" s="6">
        <f>('TE BE'!$AA$41+'TE BF'!$AA$41+'TE CVA'!$AA$41)*1</f>
        <v>250.79367785689016</v>
      </c>
      <c r="AB1116" s="6">
        <f>$K$1116*$V$1116</f>
        <v>0</v>
      </c>
      <c r="AC1116" s="6">
        <f>$M$1116*$W$1116</f>
        <v>1887162.723</v>
      </c>
      <c r="AD1116" s="6">
        <f>$O$1116*$X$1116</f>
        <v>1527759.76452</v>
      </c>
      <c r="AE1116" s="6">
        <f>$K$1116*$Y$1116</f>
        <v>0</v>
      </c>
      <c r="AF1116" s="6">
        <f ca="1">$M$1116*$Z$1116</f>
        <v>1886469.5183507593</v>
      </c>
      <c r="AG1116" s="6">
        <f>$O$1116*$AA$1116</f>
        <v>1656302.6422242995</v>
      </c>
    </row>
    <row r="1117" spans="1:33" ht="11.25" customHeight="1" x14ac:dyDescent="0.25">
      <c r="A1117" s="4" t="s">
        <v>55</v>
      </c>
      <c r="B1117" s="4" t="s">
        <v>37</v>
      </c>
      <c r="C1117" s="4" t="s">
        <v>23</v>
      </c>
      <c r="D1117" s="4" t="s">
        <v>42</v>
      </c>
      <c r="E1117" s="4" t="s">
        <v>25</v>
      </c>
      <c r="F1117" s="4" t="s">
        <v>25</v>
      </c>
      <c r="G1117" s="4" t="s">
        <v>25</v>
      </c>
      <c r="H1117" s="4" t="s">
        <v>25</v>
      </c>
      <c r="I1117" s="5">
        <v>44562</v>
      </c>
      <c r="J1117" s="6">
        <v>0</v>
      </c>
      <c r="K1117" s="6">
        <v>0</v>
      </c>
      <c r="L1117" s="6">
        <v>445.19299999999998</v>
      </c>
      <c r="M1117" s="6">
        <v>445.19299999999998</v>
      </c>
      <c r="N1117" s="6">
        <v>445.19299999999998</v>
      </c>
      <c r="O1117" s="6">
        <v>445.19299999999998</v>
      </c>
      <c r="P1117" s="6">
        <v>589</v>
      </c>
      <c r="Q1117" s="4" t="s">
        <v>26</v>
      </c>
      <c r="R1117" s="4">
        <v>0</v>
      </c>
      <c r="S1117" s="6">
        <v>0</v>
      </c>
      <c r="T1117" s="6">
        <v>61</v>
      </c>
      <c r="U1117" s="6">
        <v>7</v>
      </c>
      <c r="V1117" s="6">
        <f>IF(ISERROR(VLOOKUP($S$1117,'TAR FIN'!$A$1:$O$100,15,0)),0,VLOOKUP($S$1117,'TAR FIN'!$A$1:$O$100,15,0))</f>
        <v>0</v>
      </c>
      <c r="W1117" s="6">
        <f>IF(ISERROR(VLOOKUP($T$1117,'TAR FIN'!$A$1:$O$100,15,0)),0,VLOOKUP($T$1117,'TAR FIN'!$A$1:$O$100,15,0))</f>
        <v>285.75</v>
      </c>
      <c r="X1117" s="6">
        <f>IF(ISERROR(VLOOKUP($U$1117,'TAR FIN'!$A$1:$O$100,15,0)),0,VLOOKUP($U$1117,'TAR FIN'!$A$1:$O$100,15,0))</f>
        <v>231.33</v>
      </c>
      <c r="Y1117" s="6"/>
      <c r="Z1117" s="6">
        <f ca="1">('TUSD BE'!$AM$58+'TUSD BF'!$AM$58+'TUSD CVA'!$AM$58)*1</f>
        <v>285.64503648725872</v>
      </c>
      <c r="AA1117" s="6">
        <f>('TE BE'!$AA$41+'TE BF'!$AA$41+'TE CVA'!$AA$41)*1</f>
        <v>250.79367785689016</v>
      </c>
      <c r="AB1117" s="6">
        <f>$K$1117*$V$1117</f>
        <v>0</v>
      </c>
      <c r="AC1117" s="6">
        <f>$M$1117*$W$1117</f>
        <v>127213.89975</v>
      </c>
      <c r="AD1117" s="6">
        <f>$O$1117*$X$1117</f>
        <v>102986.49669</v>
      </c>
      <c r="AE1117" s="6">
        <f>$K$1117*$Y$1117</f>
        <v>0</v>
      </c>
      <c r="AF1117" s="6">
        <f ca="1">$M$1117*$Z$1117</f>
        <v>127167.17072887217</v>
      </c>
      <c r="AG1117" s="6">
        <f>$O$1117*$AA$1117</f>
        <v>111651.58982614249</v>
      </c>
    </row>
    <row r="1118" spans="1:33" ht="11.25" customHeight="1" x14ac:dyDescent="0.25">
      <c r="A1118" s="4" t="s">
        <v>55</v>
      </c>
      <c r="B1118" s="4" t="s">
        <v>37</v>
      </c>
      <c r="C1118" s="4" t="s">
        <v>23</v>
      </c>
      <c r="D1118" s="4" t="s">
        <v>42</v>
      </c>
      <c r="E1118" s="4" t="s">
        <v>25</v>
      </c>
      <c r="F1118" s="4" t="s">
        <v>25</v>
      </c>
      <c r="G1118" s="4" t="s">
        <v>25</v>
      </c>
      <c r="H1118" s="4" t="s">
        <v>25</v>
      </c>
      <c r="I1118" s="5">
        <v>44562</v>
      </c>
      <c r="J1118" s="6">
        <v>0</v>
      </c>
      <c r="K1118" s="6">
        <v>0</v>
      </c>
      <c r="L1118" s="6">
        <v>-0.27100000000000002</v>
      </c>
      <c r="M1118" s="6">
        <v>-0.27100000000000002</v>
      </c>
      <c r="N1118" s="6">
        <v>-0.27100000000000002</v>
      </c>
      <c r="O1118" s="6">
        <v>-0.27100000000000002</v>
      </c>
      <c r="P1118" s="6">
        <v>0</v>
      </c>
      <c r="Q1118" s="4" t="s">
        <v>26</v>
      </c>
      <c r="R1118" s="4">
        <v>0</v>
      </c>
      <c r="S1118" s="6">
        <v>0</v>
      </c>
      <c r="T1118" s="6">
        <v>61</v>
      </c>
      <c r="U1118" s="6">
        <v>7</v>
      </c>
      <c r="V1118" s="6">
        <f>IF(ISERROR(VLOOKUP($S$1118,'TAR FIN'!$A$1:$O$100,15,0)),0,VLOOKUP($S$1118,'TAR FIN'!$A$1:$O$100,15,0))</f>
        <v>0</v>
      </c>
      <c r="W1118" s="6">
        <f>IF(ISERROR(VLOOKUP($T$1118,'TAR FIN'!$A$1:$O$100,15,0)),0,VLOOKUP($T$1118,'TAR FIN'!$A$1:$O$100,15,0))</f>
        <v>285.75</v>
      </c>
      <c r="X1118" s="6">
        <f>IF(ISERROR(VLOOKUP($U$1118,'TAR FIN'!$A$1:$O$100,15,0)),0,VLOOKUP($U$1118,'TAR FIN'!$A$1:$O$100,15,0))</f>
        <v>231.33</v>
      </c>
      <c r="Y1118" s="6"/>
      <c r="Z1118" s="6">
        <f ca="1">('TUSD BE'!$AM$58+'TUSD BF'!$AM$58+'TUSD CVA'!$AM$58)*1</f>
        <v>285.64503648725872</v>
      </c>
      <c r="AA1118" s="6">
        <f>('TE BE'!$AA$41+'TE BF'!$AA$41+'TE CVA'!$AA$41)*1</f>
        <v>250.79367785689016</v>
      </c>
      <c r="AB1118" s="6">
        <f>$K$1118*$V$1118</f>
        <v>0</v>
      </c>
      <c r="AC1118" s="6">
        <f>$M$1118*$W$1118</f>
        <v>-77.438250000000011</v>
      </c>
      <c r="AD1118" s="6">
        <f>$O$1118*$X$1118</f>
        <v>-62.690430000000006</v>
      </c>
      <c r="AE1118" s="6">
        <f>$K$1118*$Y$1118</f>
        <v>0</v>
      </c>
      <c r="AF1118" s="6">
        <f ca="1">$M$1118*$Z$1118</f>
        <v>-77.40980488804712</v>
      </c>
      <c r="AG1118" s="6">
        <f>$O$1118*$AA$1118</f>
        <v>-67.965086699217238</v>
      </c>
    </row>
    <row r="1119" spans="1:33" ht="11.25" customHeight="1" x14ac:dyDescent="0.25">
      <c r="A1119" s="4" t="s">
        <v>21</v>
      </c>
      <c r="B1119" s="4" t="s">
        <v>37</v>
      </c>
      <c r="C1119" s="4" t="s">
        <v>23</v>
      </c>
      <c r="D1119" s="4" t="s">
        <v>51</v>
      </c>
      <c r="E1119" s="4" t="s">
        <v>25</v>
      </c>
      <c r="F1119" s="4" t="s">
        <v>25</v>
      </c>
      <c r="G1119" s="4" t="s">
        <v>25</v>
      </c>
      <c r="H1119" s="4" t="s">
        <v>25</v>
      </c>
      <c r="I1119" s="5">
        <v>44228</v>
      </c>
      <c r="J1119" s="6">
        <v>0</v>
      </c>
      <c r="K1119" s="6">
        <v>0</v>
      </c>
      <c r="L1119" s="6">
        <v>5.6680000000000001</v>
      </c>
      <c r="M1119" s="6">
        <v>5.6680000000000001</v>
      </c>
      <c r="N1119" s="6">
        <v>5.6680000000000001</v>
      </c>
      <c r="O1119" s="6">
        <v>5.6680000000000001</v>
      </c>
      <c r="P1119" s="6">
        <v>10</v>
      </c>
      <c r="Q1119" s="4" t="s">
        <v>26</v>
      </c>
      <c r="R1119" s="4">
        <v>0</v>
      </c>
      <c r="S1119" s="6">
        <v>0</v>
      </c>
      <c r="T1119" s="6">
        <v>61</v>
      </c>
      <c r="U1119" s="6">
        <v>7</v>
      </c>
      <c r="V1119" s="6">
        <f>IF(ISERROR(VLOOKUP($S$1119,'TAR FIN'!$A$1:$O$100,15,0)),0,VLOOKUP($S$1119,'TAR FIN'!$A$1:$O$100,15,0))</f>
        <v>0</v>
      </c>
      <c r="W1119" s="6">
        <f>IF(ISERROR(VLOOKUP($T$1119,'TAR FIN'!$A$1:$O$100,15,0)),0,VLOOKUP($T$1119,'TAR FIN'!$A$1:$O$100,15,0))</f>
        <v>285.75</v>
      </c>
      <c r="X1119" s="6">
        <f>IF(ISERROR(VLOOKUP($U$1119,'TAR FIN'!$A$1:$O$100,15,0)),0,VLOOKUP($U$1119,'TAR FIN'!$A$1:$O$100,15,0))</f>
        <v>231.33</v>
      </c>
      <c r="Y1119" s="6"/>
      <c r="Z1119" s="6">
        <f ca="1">('TUSD BE'!$AM$58+'TUSD BF'!$AM$58+'TUSD CVA'!$AM$58)*1</f>
        <v>285.64503648725872</v>
      </c>
      <c r="AA1119" s="6">
        <f>('TE BE'!$AA$41+'TE BF'!$AA$41+'TE CVA'!$AA$41)*1</f>
        <v>250.79367785689016</v>
      </c>
      <c r="AB1119" s="6">
        <f>$K$1119*$V$1119</f>
        <v>0</v>
      </c>
      <c r="AC1119" s="6">
        <f>$M$1119*$W$1119</f>
        <v>1619.6310000000001</v>
      </c>
      <c r="AD1119" s="6">
        <f>$O$1119*$X$1119</f>
        <v>1311.1784400000001</v>
      </c>
      <c r="AE1119" s="6">
        <f>$K$1119*$Y$1119</f>
        <v>0</v>
      </c>
      <c r="AF1119" s="6">
        <f ca="1">$M$1119*$Z$1119</f>
        <v>1619.0360668097824</v>
      </c>
      <c r="AG1119" s="6">
        <f>$O$1119*$AA$1119</f>
        <v>1421.4985660928535</v>
      </c>
    </row>
    <row r="1120" spans="1:33" ht="11.25" customHeight="1" x14ac:dyDescent="0.25">
      <c r="A1120" s="4" t="s">
        <v>21</v>
      </c>
      <c r="B1120" s="4" t="s">
        <v>37</v>
      </c>
      <c r="C1120" s="4" t="s">
        <v>23</v>
      </c>
      <c r="D1120" s="4" t="s">
        <v>51</v>
      </c>
      <c r="E1120" s="4" t="s">
        <v>25</v>
      </c>
      <c r="F1120" s="4" t="s">
        <v>25</v>
      </c>
      <c r="G1120" s="4" t="s">
        <v>25</v>
      </c>
      <c r="H1120" s="4" t="s">
        <v>25</v>
      </c>
      <c r="I1120" s="5">
        <v>44256</v>
      </c>
      <c r="J1120" s="6">
        <v>0</v>
      </c>
      <c r="K1120" s="6">
        <v>0</v>
      </c>
      <c r="L1120" s="6">
        <v>6.37</v>
      </c>
      <c r="M1120" s="6">
        <v>6.37</v>
      </c>
      <c r="N1120" s="6">
        <v>6.37</v>
      </c>
      <c r="O1120" s="6">
        <v>6.37</v>
      </c>
      <c r="P1120" s="6">
        <v>10</v>
      </c>
      <c r="Q1120" s="4" t="s">
        <v>26</v>
      </c>
      <c r="R1120" s="4">
        <v>0</v>
      </c>
      <c r="S1120" s="6">
        <v>0</v>
      </c>
      <c r="T1120" s="6">
        <v>61</v>
      </c>
      <c r="U1120" s="6">
        <v>7</v>
      </c>
      <c r="V1120" s="6">
        <f>IF(ISERROR(VLOOKUP($S$1120,'TAR FIN'!$A$1:$O$100,15,0)),0,VLOOKUP($S$1120,'TAR FIN'!$A$1:$O$100,15,0))</f>
        <v>0</v>
      </c>
      <c r="W1120" s="6">
        <f>IF(ISERROR(VLOOKUP($T$1120,'TAR FIN'!$A$1:$O$100,15,0)),0,VLOOKUP($T$1120,'TAR FIN'!$A$1:$O$100,15,0))</f>
        <v>285.75</v>
      </c>
      <c r="X1120" s="6">
        <f>IF(ISERROR(VLOOKUP($U$1120,'TAR FIN'!$A$1:$O$100,15,0)),0,VLOOKUP($U$1120,'TAR FIN'!$A$1:$O$100,15,0))</f>
        <v>231.33</v>
      </c>
      <c r="Y1120" s="6"/>
      <c r="Z1120" s="6">
        <f ca="1">('TUSD BE'!$AM$58+'TUSD BF'!$AM$58+'TUSD CVA'!$AM$58)*1</f>
        <v>285.64503648725872</v>
      </c>
      <c r="AA1120" s="6">
        <f>('TE BE'!$AA$41+'TE BF'!$AA$41+'TE CVA'!$AA$41)*1</f>
        <v>250.79367785689016</v>
      </c>
      <c r="AB1120" s="6">
        <f>$K$1120*$V$1120</f>
        <v>0</v>
      </c>
      <c r="AC1120" s="6">
        <f>$M$1120*$W$1120</f>
        <v>1820.2275</v>
      </c>
      <c r="AD1120" s="6">
        <f>$O$1120*$X$1120</f>
        <v>1473.5721000000001</v>
      </c>
      <c r="AE1120" s="6">
        <f>$K$1120*$Y$1120</f>
        <v>0</v>
      </c>
      <c r="AF1120" s="6">
        <f ca="1">$M$1120*$Z$1120</f>
        <v>1819.558882423838</v>
      </c>
      <c r="AG1120" s="6">
        <f>$O$1120*$AA$1120</f>
        <v>1597.5557279483903</v>
      </c>
    </row>
    <row r="1121" spans="1:33" ht="11.25" customHeight="1" x14ac:dyDescent="0.25">
      <c r="A1121" s="4" t="s">
        <v>21</v>
      </c>
      <c r="B1121" s="4" t="s">
        <v>37</v>
      </c>
      <c r="C1121" s="4" t="s">
        <v>23</v>
      </c>
      <c r="D1121" s="4" t="s">
        <v>51</v>
      </c>
      <c r="E1121" s="4" t="s">
        <v>25</v>
      </c>
      <c r="F1121" s="4" t="s">
        <v>25</v>
      </c>
      <c r="G1121" s="4" t="s">
        <v>25</v>
      </c>
      <c r="H1121" s="4" t="s">
        <v>25</v>
      </c>
      <c r="I1121" s="5">
        <v>44287</v>
      </c>
      <c r="J1121" s="6">
        <v>0</v>
      </c>
      <c r="K1121" s="6">
        <v>0</v>
      </c>
      <c r="L1121" s="6">
        <v>6.4660000000000002</v>
      </c>
      <c r="M1121" s="6">
        <v>6.4660000000000002</v>
      </c>
      <c r="N1121" s="6">
        <v>6.4660000000000002</v>
      </c>
      <c r="O1121" s="6">
        <v>6.4660000000000002</v>
      </c>
      <c r="P1121" s="6">
        <v>12</v>
      </c>
      <c r="Q1121" s="4" t="s">
        <v>26</v>
      </c>
      <c r="R1121" s="4">
        <v>0</v>
      </c>
      <c r="S1121" s="6">
        <v>0</v>
      </c>
      <c r="T1121" s="6">
        <v>61</v>
      </c>
      <c r="U1121" s="6">
        <v>7</v>
      </c>
      <c r="V1121" s="6">
        <f>IF(ISERROR(VLOOKUP($S$1121,'TAR FIN'!$A$1:$O$100,15,0)),0,VLOOKUP($S$1121,'TAR FIN'!$A$1:$O$100,15,0))</f>
        <v>0</v>
      </c>
      <c r="W1121" s="6">
        <f>IF(ISERROR(VLOOKUP($T$1121,'TAR FIN'!$A$1:$O$100,15,0)),0,VLOOKUP($T$1121,'TAR FIN'!$A$1:$O$100,15,0))</f>
        <v>285.75</v>
      </c>
      <c r="X1121" s="6">
        <f>IF(ISERROR(VLOOKUP($U$1121,'TAR FIN'!$A$1:$O$100,15,0)),0,VLOOKUP($U$1121,'TAR FIN'!$A$1:$O$100,15,0))</f>
        <v>231.33</v>
      </c>
      <c r="Y1121" s="6"/>
      <c r="Z1121" s="6">
        <f ca="1">('TUSD BE'!$AM$58+'TUSD BF'!$AM$58+'TUSD CVA'!$AM$58)*1</f>
        <v>285.64503648725872</v>
      </c>
      <c r="AA1121" s="6">
        <f>('TE BE'!$AA$41+'TE BF'!$AA$41+'TE CVA'!$AA$41)*1</f>
        <v>250.79367785689016</v>
      </c>
      <c r="AB1121" s="6">
        <f>$K$1121*$V$1121</f>
        <v>0</v>
      </c>
      <c r="AC1121" s="6">
        <f>$M$1121*$W$1121</f>
        <v>1847.6595</v>
      </c>
      <c r="AD1121" s="6">
        <f>$O$1121*$X$1121</f>
        <v>1495.7797800000001</v>
      </c>
      <c r="AE1121" s="6">
        <f>$K$1121*$Y$1121</f>
        <v>0</v>
      </c>
      <c r="AF1121" s="6">
        <f ca="1">$M$1121*$Z$1121</f>
        <v>1846.9808059266149</v>
      </c>
      <c r="AG1121" s="6">
        <f>$O$1121*$AA$1121</f>
        <v>1621.6319210226518</v>
      </c>
    </row>
    <row r="1122" spans="1:33" ht="11.25" customHeight="1" x14ac:dyDescent="0.25">
      <c r="A1122" s="4" t="s">
        <v>21</v>
      </c>
      <c r="B1122" s="4" t="s">
        <v>37</v>
      </c>
      <c r="C1122" s="4" t="s">
        <v>23</v>
      </c>
      <c r="D1122" s="4" t="s">
        <v>51</v>
      </c>
      <c r="E1122" s="4" t="s">
        <v>25</v>
      </c>
      <c r="F1122" s="4" t="s">
        <v>25</v>
      </c>
      <c r="G1122" s="4" t="s">
        <v>25</v>
      </c>
      <c r="H1122" s="4" t="s">
        <v>25</v>
      </c>
      <c r="I1122" s="5">
        <v>44317</v>
      </c>
      <c r="J1122" s="6">
        <v>0</v>
      </c>
      <c r="K1122" s="6">
        <v>0</v>
      </c>
      <c r="L1122" s="6">
        <v>6.57</v>
      </c>
      <c r="M1122" s="6">
        <v>6.57</v>
      </c>
      <c r="N1122" s="6">
        <v>6.57</v>
      </c>
      <c r="O1122" s="6">
        <v>6.57</v>
      </c>
      <c r="P1122" s="6">
        <v>13</v>
      </c>
      <c r="Q1122" s="4" t="s">
        <v>26</v>
      </c>
      <c r="R1122" s="4">
        <v>0</v>
      </c>
      <c r="S1122" s="6">
        <v>0</v>
      </c>
      <c r="T1122" s="6">
        <v>61</v>
      </c>
      <c r="U1122" s="6">
        <v>7</v>
      </c>
      <c r="V1122" s="6">
        <f>IF(ISERROR(VLOOKUP($S$1122,'TAR FIN'!$A$1:$O$100,15,0)),0,VLOOKUP($S$1122,'TAR FIN'!$A$1:$O$100,15,0))</f>
        <v>0</v>
      </c>
      <c r="W1122" s="6">
        <f>IF(ISERROR(VLOOKUP($T$1122,'TAR FIN'!$A$1:$O$100,15,0)),0,VLOOKUP($T$1122,'TAR FIN'!$A$1:$O$100,15,0))</f>
        <v>285.75</v>
      </c>
      <c r="X1122" s="6">
        <f>IF(ISERROR(VLOOKUP($U$1122,'TAR FIN'!$A$1:$O$100,15,0)),0,VLOOKUP($U$1122,'TAR FIN'!$A$1:$O$100,15,0))</f>
        <v>231.33</v>
      </c>
      <c r="Y1122" s="6"/>
      <c r="Z1122" s="6">
        <f ca="1">('TUSD BE'!$AM$58+'TUSD BF'!$AM$58+'TUSD CVA'!$AM$58)*1</f>
        <v>285.64503648725872</v>
      </c>
      <c r="AA1122" s="6">
        <f>('TE BE'!$AA$41+'TE BF'!$AA$41+'TE CVA'!$AA$41)*1</f>
        <v>250.79367785689016</v>
      </c>
      <c r="AB1122" s="6">
        <f>$K$1122*$V$1122</f>
        <v>0</v>
      </c>
      <c r="AC1122" s="6">
        <f>$M$1122*$W$1122</f>
        <v>1877.3775000000001</v>
      </c>
      <c r="AD1122" s="6">
        <f>$O$1122*$X$1122</f>
        <v>1519.8381000000002</v>
      </c>
      <c r="AE1122" s="6">
        <f>$K$1122*$Y$1122</f>
        <v>0</v>
      </c>
      <c r="AF1122" s="6">
        <f ca="1">$M$1122*$Z$1122</f>
        <v>1876.6878897212898</v>
      </c>
      <c r="AG1122" s="6">
        <f>$O$1122*$AA$1122</f>
        <v>1647.7144635197683</v>
      </c>
    </row>
    <row r="1123" spans="1:33" ht="11.25" customHeight="1" x14ac:dyDescent="0.25">
      <c r="A1123" s="4" t="s">
        <v>21</v>
      </c>
      <c r="B1123" s="4" t="s">
        <v>37</v>
      </c>
      <c r="C1123" s="4" t="s">
        <v>23</v>
      </c>
      <c r="D1123" s="4" t="s">
        <v>51</v>
      </c>
      <c r="E1123" s="4" t="s">
        <v>25</v>
      </c>
      <c r="F1123" s="4" t="s">
        <v>25</v>
      </c>
      <c r="G1123" s="4" t="s">
        <v>25</v>
      </c>
      <c r="H1123" s="4" t="s">
        <v>25</v>
      </c>
      <c r="I1123" s="5">
        <v>44348</v>
      </c>
      <c r="J1123" s="6">
        <v>0</v>
      </c>
      <c r="K1123" s="6">
        <v>0</v>
      </c>
      <c r="L1123" s="6">
        <v>5.9379999999999997</v>
      </c>
      <c r="M1123" s="6">
        <v>5.9379999999999997</v>
      </c>
      <c r="N1123" s="6">
        <v>5.9379999999999997</v>
      </c>
      <c r="O1123" s="6">
        <v>5.9379999999999997</v>
      </c>
      <c r="P1123" s="6">
        <v>13</v>
      </c>
      <c r="Q1123" s="4" t="s">
        <v>26</v>
      </c>
      <c r="R1123" s="4">
        <v>0</v>
      </c>
      <c r="S1123" s="6">
        <v>0</v>
      </c>
      <c r="T1123" s="6">
        <v>61</v>
      </c>
      <c r="U1123" s="6">
        <v>7</v>
      </c>
      <c r="V1123" s="6">
        <f>IF(ISERROR(VLOOKUP($S$1123,'TAR FIN'!$A$1:$O$100,15,0)),0,VLOOKUP($S$1123,'TAR FIN'!$A$1:$O$100,15,0))</f>
        <v>0</v>
      </c>
      <c r="W1123" s="6">
        <f>IF(ISERROR(VLOOKUP($T$1123,'TAR FIN'!$A$1:$O$100,15,0)),0,VLOOKUP($T$1123,'TAR FIN'!$A$1:$O$100,15,0))</f>
        <v>285.75</v>
      </c>
      <c r="X1123" s="6">
        <f>IF(ISERROR(VLOOKUP($U$1123,'TAR FIN'!$A$1:$O$100,15,0)),0,VLOOKUP($U$1123,'TAR FIN'!$A$1:$O$100,15,0))</f>
        <v>231.33</v>
      </c>
      <c r="Y1123" s="6"/>
      <c r="Z1123" s="6">
        <f ca="1">('TUSD BE'!$AM$58+'TUSD BF'!$AM$58+'TUSD CVA'!$AM$58)*1</f>
        <v>285.64503648725872</v>
      </c>
      <c r="AA1123" s="6">
        <f>('TE BE'!$AA$41+'TE BF'!$AA$41+'TE CVA'!$AA$41)*1</f>
        <v>250.79367785689016</v>
      </c>
      <c r="AB1123" s="6">
        <f>$K$1123*$V$1123</f>
        <v>0</v>
      </c>
      <c r="AC1123" s="6">
        <f>$M$1123*$W$1123</f>
        <v>1696.7835</v>
      </c>
      <c r="AD1123" s="6">
        <f>$O$1123*$X$1123</f>
        <v>1373.6375399999999</v>
      </c>
      <c r="AE1123" s="6">
        <f>$K$1123*$Y$1123</f>
        <v>0</v>
      </c>
      <c r="AF1123" s="6">
        <f ca="1">$M$1123*$Z$1123</f>
        <v>1696.1602266613422</v>
      </c>
      <c r="AG1123" s="6">
        <f>$O$1123*$AA$1123</f>
        <v>1489.2128591142136</v>
      </c>
    </row>
    <row r="1124" spans="1:33" ht="11.25" customHeight="1" x14ac:dyDescent="0.25">
      <c r="A1124" s="4" t="s">
        <v>21</v>
      </c>
      <c r="B1124" s="4" t="s">
        <v>37</v>
      </c>
      <c r="C1124" s="4" t="s">
        <v>23</v>
      </c>
      <c r="D1124" s="4" t="s">
        <v>51</v>
      </c>
      <c r="E1124" s="4" t="s">
        <v>25</v>
      </c>
      <c r="F1124" s="4" t="s">
        <v>25</v>
      </c>
      <c r="G1124" s="4" t="s">
        <v>25</v>
      </c>
      <c r="H1124" s="4" t="s">
        <v>25</v>
      </c>
      <c r="I1124" s="5">
        <v>44378</v>
      </c>
      <c r="J1124" s="6">
        <v>0</v>
      </c>
      <c r="K1124" s="6">
        <v>0</v>
      </c>
      <c r="L1124" s="6">
        <v>6.6929999999999996</v>
      </c>
      <c r="M1124" s="6">
        <v>6.6929999999999996</v>
      </c>
      <c r="N1124" s="6">
        <v>6.6929999999999996</v>
      </c>
      <c r="O1124" s="6">
        <v>6.6929999999999996</v>
      </c>
      <c r="P1124" s="6">
        <v>13</v>
      </c>
      <c r="Q1124" s="4" t="s">
        <v>26</v>
      </c>
      <c r="R1124" s="4">
        <v>0</v>
      </c>
      <c r="S1124" s="6">
        <v>0</v>
      </c>
      <c r="T1124" s="6">
        <v>61</v>
      </c>
      <c r="U1124" s="6">
        <v>7</v>
      </c>
      <c r="V1124" s="6">
        <f>IF(ISERROR(VLOOKUP($S$1124,'TAR FIN'!$A$1:$O$100,15,0)),0,VLOOKUP($S$1124,'TAR FIN'!$A$1:$O$100,15,0))</f>
        <v>0</v>
      </c>
      <c r="W1124" s="6">
        <f>IF(ISERROR(VLOOKUP($T$1124,'TAR FIN'!$A$1:$O$100,15,0)),0,VLOOKUP($T$1124,'TAR FIN'!$A$1:$O$100,15,0))</f>
        <v>285.75</v>
      </c>
      <c r="X1124" s="6">
        <f>IF(ISERROR(VLOOKUP($U$1124,'TAR FIN'!$A$1:$O$100,15,0)),0,VLOOKUP($U$1124,'TAR FIN'!$A$1:$O$100,15,0))</f>
        <v>231.33</v>
      </c>
      <c r="Y1124" s="6"/>
      <c r="Z1124" s="6">
        <f ca="1">('TUSD BE'!$AM$58+'TUSD BF'!$AM$58+'TUSD CVA'!$AM$58)*1</f>
        <v>285.64503648725872</v>
      </c>
      <c r="AA1124" s="6">
        <f>('TE BE'!$AA$41+'TE BF'!$AA$41+'TE CVA'!$AA$41)*1</f>
        <v>250.79367785689016</v>
      </c>
      <c r="AB1124" s="6">
        <f>$K$1124*$V$1124</f>
        <v>0</v>
      </c>
      <c r="AC1124" s="6">
        <f>$M$1124*$W$1124</f>
        <v>1912.5247499999998</v>
      </c>
      <c r="AD1124" s="6">
        <f>$O$1124*$X$1124</f>
        <v>1548.29169</v>
      </c>
      <c r="AE1124" s="6">
        <f>$K$1124*$Y$1124</f>
        <v>0</v>
      </c>
      <c r="AF1124" s="6">
        <f ca="1">$M$1124*$Z$1124</f>
        <v>1911.8222292092225</v>
      </c>
      <c r="AG1124" s="6">
        <f>$O$1124*$AA$1124</f>
        <v>1678.5620858961656</v>
      </c>
    </row>
    <row r="1125" spans="1:33" ht="11.25" customHeight="1" x14ac:dyDescent="0.25">
      <c r="A1125" s="4" t="s">
        <v>21</v>
      </c>
      <c r="B1125" s="4" t="s">
        <v>37</v>
      </c>
      <c r="C1125" s="4" t="s">
        <v>23</v>
      </c>
      <c r="D1125" s="4" t="s">
        <v>51</v>
      </c>
      <c r="E1125" s="4" t="s">
        <v>25</v>
      </c>
      <c r="F1125" s="4" t="s">
        <v>25</v>
      </c>
      <c r="G1125" s="4" t="s">
        <v>25</v>
      </c>
      <c r="H1125" s="4" t="s">
        <v>25</v>
      </c>
      <c r="I1125" s="5">
        <v>44409</v>
      </c>
      <c r="J1125" s="6">
        <v>0</v>
      </c>
      <c r="K1125" s="6">
        <v>0</v>
      </c>
      <c r="L1125" s="6">
        <v>5.8540000000000001</v>
      </c>
      <c r="M1125" s="6">
        <v>5.8540000000000001</v>
      </c>
      <c r="N1125" s="6">
        <v>5.8540000000000001</v>
      </c>
      <c r="O1125" s="6">
        <v>5.8540000000000001</v>
      </c>
      <c r="P1125" s="6">
        <v>11</v>
      </c>
      <c r="Q1125" s="4" t="s">
        <v>26</v>
      </c>
      <c r="R1125" s="4">
        <v>0</v>
      </c>
      <c r="S1125" s="6">
        <v>0</v>
      </c>
      <c r="T1125" s="6">
        <v>61</v>
      </c>
      <c r="U1125" s="6">
        <v>7</v>
      </c>
      <c r="V1125" s="6">
        <f>IF(ISERROR(VLOOKUP($S$1125,'TAR FIN'!$A$1:$O$100,15,0)),0,VLOOKUP($S$1125,'TAR FIN'!$A$1:$O$100,15,0))</f>
        <v>0</v>
      </c>
      <c r="W1125" s="6">
        <f>IF(ISERROR(VLOOKUP($T$1125,'TAR FIN'!$A$1:$O$100,15,0)),0,VLOOKUP($T$1125,'TAR FIN'!$A$1:$O$100,15,0))</f>
        <v>285.75</v>
      </c>
      <c r="X1125" s="6">
        <f>IF(ISERROR(VLOOKUP($U$1125,'TAR FIN'!$A$1:$O$100,15,0)),0,VLOOKUP($U$1125,'TAR FIN'!$A$1:$O$100,15,0))</f>
        <v>231.33</v>
      </c>
      <c r="Y1125" s="6"/>
      <c r="Z1125" s="6">
        <f ca="1">('TUSD BE'!$AM$58+'TUSD BF'!$AM$58+'TUSD CVA'!$AM$58)*1</f>
        <v>285.64503648725872</v>
      </c>
      <c r="AA1125" s="6">
        <f>('TE BE'!$AA$41+'TE BF'!$AA$41+'TE CVA'!$AA$41)*1</f>
        <v>250.79367785689016</v>
      </c>
      <c r="AB1125" s="6">
        <f>$K$1125*$V$1125</f>
        <v>0</v>
      </c>
      <c r="AC1125" s="6">
        <f>$M$1125*$W$1125</f>
        <v>1672.7805000000001</v>
      </c>
      <c r="AD1125" s="6">
        <f>$O$1125*$X$1125</f>
        <v>1354.2058200000001</v>
      </c>
      <c r="AE1125" s="6">
        <f>$K$1125*$Y$1125</f>
        <v>0</v>
      </c>
      <c r="AF1125" s="6">
        <f ca="1">$M$1125*$Z$1125</f>
        <v>1672.1660435964127</v>
      </c>
      <c r="AG1125" s="6">
        <f>$O$1125*$AA$1125</f>
        <v>1468.146190174235</v>
      </c>
    </row>
    <row r="1126" spans="1:33" ht="11.25" customHeight="1" x14ac:dyDescent="0.25">
      <c r="A1126" s="4" t="s">
        <v>27</v>
      </c>
      <c r="B1126" s="4" t="s">
        <v>37</v>
      </c>
      <c r="C1126" s="4" t="s">
        <v>23</v>
      </c>
      <c r="D1126" s="4" t="s">
        <v>51</v>
      </c>
      <c r="E1126" s="4" t="s">
        <v>25</v>
      </c>
      <c r="F1126" s="4" t="s">
        <v>25</v>
      </c>
      <c r="G1126" s="4" t="s">
        <v>25</v>
      </c>
      <c r="H1126" s="4" t="s">
        <v>25</v>
      </c>
      <c r="I1126" s="5">
        <v>44409</v>
      </c>
      <c r="J1126" s="6">
        <v>0</v>
      </c>
      <c r="K1126" s="6">
        <v>0</v>
      </c>
      <c r="L1126" s="6">
        <v>0.123</v>
      </c>
      <c r="M1126" s="6">
        <v>0.123</v>
      </c>
      <c r="N1126" s="6">
        <v>0.123</v>
      </c>
      <c r="O1126" s="6">
        <v>0.123</v>
      </c>
      <c r="P1126" s="6">
        <v>1</v>
      </c>
      <c r="Q1126" s="4" t="s">
        <v>26</v>
      </c>
      <c r="R1126" s="4">
        <v>0</v>
      </c>
      <c r="S1126" s="6">
        <v>0</v>
      </c>
      <c r="T1126" s="6">
        <v>61</v>
      </c>
      <c r="U1126" s="6">
        <v>7</v>
      </c>
      <c r="V1126" s="6">
        <f>IF(ISERROR(VLOOKUP($S$1126,'TAR FIN'!$A$1:$O$100,15,0)),0,VLOOKUP($S$1126,'TAR FIN'!$A$1:$O$100,15,0))</f>
        <v>0</v>
      </c>
      <c r="W1126" s="6">
        <f>IF(ISERROR(VLOOKUP($T$1126,'TAR FIN'!$A$1:$O$100,15,0)),0,VLOOKUP($T$1126,'TAR FIN'!$A$1:$O$100,15,0))</f>
        <v>285.75</v>
      </c>
      <c r="X1126" s="6">
        <f>IF(ISERROR(VLOOKUP($U$1126,'TAR FIN'!$A$1:$O$100,15,0)),0,VLOOKUP($U$1126,'TAR FIN'!$A$1:$O$100,15,0))</f>
        <v>231.33</v>
      </c>
      <c r="Y1126" s="6"/>
      <c r="Z1126" s="6">
        <f ca="1">('TUSD BE'!$AM$58+'TUSD BF'!$AM$58+'TUSD CVA'!$AM$58)*1</f>
        <v>285.64503648725872</v>
      </c>
      <c r="AA1126" s="6">
        <f>('TE BE'!$AA$41+'TE BF'!$AA$41+'TE CVA'!$AA$41)*1</f>
        <v>250.79367785689016</v>
      </c>
      <c r="AB1126" s="6">
        <f>$K$1126*$V$1126</f>
        <v>0</v>
      </c>
      <c r="AC1126" s="6">
        <f>$M$1126*$W$1126</f>
        <v>35.14725</v>
      </c>
      <c r="AD1126" s="6">
        <f>$O$1126*$X$1126</f>
        <v>28.453590000000002</v>
      </c>
      <c r="AE1126" s="6">
        <f>$K$1126*$Y$1126</f>
        <v>0</v>
      </c>
      <c r="AF1126" s="6">
        <f ca="1">$M$1126*$Z$1126</f>
        <v>35.13433948793282</v>
      </c>
      <c r="AG1126" s="6">
        <f>$O$1126*$AA$1126</f>
        <v>30.847622376397489</v>
      </c>
    </row>
    <row r="1127" spans="1:33" ht="11.25" customHeight="1" x14ac:dyDescent="0.25">
      <c r="A1127" s="4" t="s">
        <v>21</v>
      </c>
      <c r="B1127" s="4" t="s">
        <v>37</v>
      </c>
      <c r="C1127" s="4" t="s">
        <v>23</v>
      </c>
      <c r="D1127" s="4" t="s">
        <v>51</v>
      </c>
      <c r="E1127" s="4" t="s">
        <v>25</v>
      </c>
      <c r="F1127" s="4" t="s">
        <v>25</v>
      </c>
      <c r="G1127" s="4" t="s">
        <v>25</v>
      </c>
      <c r="H1127" s="4" t="s">
        <v>25</v>
      </c>
      <c r="I1127" s="5">
        <v>44440</v>
      </c>
      <c r="J1127" s="6">
        <v>0</v>
      </c>
      <c r="K1127" s="6">
        <v>0</v>
      </c>
      <c r="L1127" s="6">
        <v>5.9420000000000002</v>
      </c>
      <c r="M1127" s="6">
        <v>5.9420000000000002</v>
      </c>
      <c r="N1127" s="6">
        <v>5.9420000000000002</v>
      </c>
      <c r="O1127" s="6">
        <v>5.9420000000000002</v>
      </c>
      <c r="P1127" s="6">
        <v>11</v>
      </c>
      <c r="Q1127" s="4" t="s">
        <v>26</v>
      </c>
      <c r="R1127" s="4">
        <v>0</v>
      </c>
      <c r="S1127" s="6">
        <v>0</v>
      </c>
      <c r="T1127" s="6">
        <v>61</v>
      </c>
      <c r="U1127" s="6">
        <v>7</v>
      </c>
      <c r="V1127" s="6">
        <f>IF(ISERROR(VLOOKUP($S$1127,'TAR FIN'!$A$1:$O$100,15,0)),0,VLOOKUP($S$1127,'TAR FIN'!$A$1:$O$100,15,0))</f>
        <v>0</v>
      </c>
      <c r="W1127" s="6">
        <f>IF(ISERROR(VLOOKUP($T$1127,'TAR FIN'!$A$1:$O$100,15,0)),0,VLOOKUP($T$1127,'TAR FIN'!$A$1:$O$100,15,0))</f>
        <v>285.75</v>
      </c>
      <c r="X1127" s="6">
        <f>IF(ISERROR(VLOOKUP($U$1127,'TAR FIN'!$A$1:$O$100,15,0)),0,VLOOKUP($U$1127,'TAR FIN'!$A$1:$O$100,15,0))</f>
        <v>231.33</v>
      </c>
      <c r="Y1127" s="6"/>
      <c r="Z1127" s="6">
        <f ca="1">('TUSD BE'!$AM$58+'TUSD BF'!$AM$58+'TUSD CVA'!$AM$58)*1</f>
        <v>285.64503648725872</v>
      </c>
      <c r="AA1127" s="6">
        <f>('TE BE'!$AA$41+'TE BF'!$AA$41+'TE CVA'!$AA$41)*1</f>
        <v>250.79367785689016</v>
      </c>
      <c r="AB1127" s="6">
        <f>$K$1127*$V$1127</f>
        <v>0</v>
      </c>
      <c r="AC1127" s="6">
        <f>$M$1127*$W$1127</f>
        <v>1697.9265</v>
      </c>
      <c r="AD1127" s="6">
        <f>$O$1127*$X$1127</f>
        <v>1374.56286</v>
      </c>
      <c r="AE1127" s="6">
        <f>$K$1127*$Y$1127</f>
        <v>0</v>
      </c>
      <c r="AF1127" s="6">
        <f ca="1">$M$1127*$Z$1127</f>
        <v>1697.3028068072913</v>
      </c>
      <c r="AG1127" s="6">
        <f>$O$1127*$AA$1127</f>
        <v>1490.2160338256413</v>
      </c>
    </row>
    <row r="1128" spans="1:33" ht="11.25" customHeight="1" x14ac:dyDescent="0.25">
      <c r="A1128" s="4" t="s">
        <v>21</v>
      </c>
      <c r="B1128" s="4" t="s">
        <v>37</v>
      </c>
      <c r="C1128" s="4" t="s">
        <v>23</v>
      </c>
      <c r="D1128" s="4" t="s">
        <v>51</v>
      </c>
      <c r="E1128" s="4" t="s">
        <v>25</v>
      </c>
      <c r="F1128" s="4" t="s">
        <v>25</v>
      </c>
      <c r="G1128" s="4" t="s">
        <v>25</v>
      </c>
      <c r="H1128" s="4" t="s">
        <v>25</v>
      </c>
      <c r="I1128" s="5">
        <v>44470</v>
      </c>
      <c r="J1128" s="6">
        <v>0</v>
      </c>
      <c r="K1128" s="6">
        <v>0</v>
      </c>
      <c r="L1128" s="6">
        <v>6.5289999999999999</v>
      </c>
      <c r="M1128" s="6">
        <v>6.5289999999999999</v>
      </c>
      <c r="N1128" s="6">
        <v>6.5289999999999999</v>
      </c>
      <c r="O1128" s="6">
        <v>6.5289999999999999</v>
      </c>
      <c r="P1128" s="6">
        <v>11</v>
      </c>
      <c r="Q1128" s="4" t="s">
        <v>26</v>
      </c>
      <c r="R1128" s="4">
        <v>0</v>
      </c>
      <c r="S1128" s="6">
        <v>0</v>
      </c>
      <c r="T1128" s="6">
        <v>61</v>
      </c>
      <c r="U1128" s="6">
        <v>7</v>
      </c>
      <c r="V1128" s="6">
        <f>IF(ISERROR(VLOOKUP($S$1128,'TAR FIN'!$A$1:$O$100,15,0)),0,VLOOKUP($S$1128,'TAR FIN'!$A$1:$O$100,15,0))</f>
        <v>0</v>
      </c>
      <c r="W1128" s="6">
        <f>IF(ISERROR(VLOOKUP($T$1128,'TAR FIN'!$A$1:$O$100,15,0)),0,VLOOKUP($T$1128,'TAR FIN'!$A$1:$O$100,15,0))</f>
        <v>285.75</v>
      </c>
      <c r="X1128" s="6">
        <f>IF(ISERROR(VLOOKUP($U$1128,'TAR FIN'!$A$1:$O$100,15,0)),0,VLOOKUP($U$1128,'TAR FIN'!$A$1:$O$100,15,0))</f>
        <v>231.33</v>
      </c>
      <c r="Y1128" s="6"/>
      <c r="Z1128" s="6">
        <f ca="1">('TUSD BE'!$AM$58+'TUSD BF'!$AM$58+'TUSD CVA'!$AM$58)*1</f>
        <v>285.64503648725872</v>
      </c>
      <c r="AA1128" s="6">
        <f>('TE BE'!$AA$41+'TE BF'!$AA$41+'TE CVA'!$AA$41)*1</f>
        <v>250.79367785689016</v>
      </c>
      <c r="AB1128" s="6">
        <f>$K$1128*$V$1128</f>
        <v>0</v>
      </c>
      <c r="AC1128" s="6">
        <f>$M$1128*$W$1128</f>
        <v>1865.66175</v>
      </c>
      <c r="AD1128" s="6">
        <f>$O$1128*$X$1128</f>
        <v>1510.35357</v>
      </c>
      <c r="AE1128" s="6">
        <f>$K$1128*$Y$1128</f>
        <v>0</v>
      </c>
      <c r="AF1128" s="6">
        <f ca="1">$M$1128*$Z$1128</f>
        <v>1864.9764432253121</v>
      </c>
      <c r="AG1128" s="6">
        <f>$O$1128*$AA$1128</f>
        <v>1637.4319227276358</v>
      </c>
    </row>
    <row r="1129" spans="1:33" ht="11.25" customHeight="1" x14ac:dyDescent="0.25">
      <c r="A1129" s="4" t="s">
        <v>21</v>
      </c>
      <c r="B1129" s="4" t="s">
        <v>37</v>
      </c>
      <c r="C1129" s="4" t="s">
        <v>23</v>
      </c>
      <c r="D1129" s="4" t="s">
        <v>51</v>
      </c>
      <c r="E1129" s="4" t="s">
        <v>25</v>
      </c>
      <c r="F1129" s="4" t="s">
        <v>25</v>
      </c>
      <c r="G1129" s="4" t="s">
        <v>25</v>
      </c>
      <c r="H1129" s="4" t="s">
        <v>25</v>
      </c>
      <c r="I1129" s="5">
        <v>44501</v>
      </c>
      <c r="J1129" s="6">
        <v>0</v>
      </c>
      <c r="K1129" s="6">
        <v>0</v>
      </c>
      <c r="L1129" s="6">
        <v>6.1230000000000002</v>
      </c>
      <c r="M1129" s="6">
        <v>6.1230000000000002</v>
      </c>
      <c r="N1129" s="6">
        <v>6.1230000000000002</v>
      </c>
      <c r="O1129" s="6">
        <v>6.1230000000000002</v>
      </c>
      <c r="P1129" s="6">
        <v>11</v>
      </c>
      <c r="Q1129" s="4" t="s">
        <v>26</v>
      </c>
      <c r="R1129" s="4">
        <v>0</v>
      </c>
      <c r="S1129" s="6">
        <v>0</v>
      </c>
      <c r="T1129" s="6">
        <v>61</v>
      </c>
      <c r="U1129" s="6">
        <v>7</v>
      </c>
      <c r="V1129" s="6">
        <f>IF(ISERROR(VLOOKUP($S$1129,'TAR FIN'!$A$1:$O$100,15,0)),0,VLOOKUP($S$1129,'TAR FIN'!$A$1:$O$100,15,0))</f>
        <v>0</v>
      </c>
      <c r="W1129" s="6">
        <f>IF(ISERROR(VLOOKUP($T$1129,'TAR FIN'!$A$1:$O$100,15,0)),0,VLOOKUP($T$1129,'TAR FIN'!$A$1:$O$100,15,0))</f>
        <v>285.75</v>
      </c>
      <c r="X1129" s="6">
        <f>IF(ISERROR(VLOOKUP($U$1129,'TAR FIN'!$A$1:$O$100,15,0)),0,VLOOKUP($U$1129,'TAR FIN'!$A$1:$O$100,15,0))</f>
        <v>231.33</v>
      </c>
      <c r="Y1129" s="6"/>
      <c r="Z1129" s="6">
        <f ca="1">('TUSD BE'!$AM$58+'TUSD BF'!$AM$58+'TUSD CVA'!$AM$58)*1</f>
        <v>285.64503648725872</v>
      </c>
      <c r="AA1129" s="6">
        <f>('TE BE'!$AA$41+'TE BF'!$AA$41+'TE CVA'!$AA$41)*1</f>
        <v>250.79367785689016</v>
      </c>
      <c r="AB1129" s="6">
        <f>$K$1129*$V$1129</f>
        <v>0</v>
      </c>
      <c r="AC1129" s="6">
        <f>$M$1129*$W$1129</f>
        <v>1749.64725</v>
      </c>
      <c r="AD1129" s="6">
        <f>$O$1129*$X$1129</f>
        <v>1416.4335900000001</v>
      </c>
      <c r="AE1129" s="6">
        <f>$K$1129*$Y$1129</f>
        <v>0</v>
      </c>
      <c r="AF1129" s="6">
        <f ca="1">$M$1129*$Z$1129</f>
        <v>1749.0045584114853</v>
      </c>
      <c r="AG1129" s="6">
        <f>$O$1129*$AA$1129</f>
        <v>1535.6096895177384</v>
      </c>
    </row>
    <row r="1130" spans="1:33" ht="11.25" customHeight="1" x14ac:dyDescent="0.25">
      <c r="A1130" s="4" t="s">
        <v>21</v>
      </c>
      <c r="B1130" s="4" t="s">
        <v>37</v>
      </c>
      <c r="C1130" s="4" t="s">
        <v>23</v>
      </c>
      <c r="D1130" s="4" t="s">
        <v>51</v>
      </c>
      <c r="E1130" s="4" t="s">
        <v>25</v>
      </c>
      <c r="F1130" s="4" t="s">
        <v>25</v>
      </c>
      <c r="G1130" s="4" t="s">
        <v>25</v>
      </c>
      <c r="H1130" s="4" t="s">
        <v>25</v>
      </c>
      <c r="I1130" s="5">
        <v>44531</v>
      </c>
      <c r="J1130" s="6">
        <v>0</v>
      </c>
      <c r="K1130" s="6">
        <v>0</v>
      </c>
      <c r="L1130" s="6">
        <v>6.798</v>
      </c>
      <c r="M1130" s="6">
        <v>6.798</v>
      </c>
      <c r="N1130" s="6">
        <v>6.798</v>
      </c>
      <c r="O1130" s="6">
        <v>6.798</v>
      </c>
      <c r="P1130" s="6">
        <v>14</v>
      </c>
      <c r="Q1130" s="4" t="s">
        <v>26</v>
      </c>
      <c r="R1130" s="4">
        <v>0</v>
      </c>
      <c r="S1130" s="6">
        <v>0</v>
      </c>
      <c r="T1130" s="6">
        <v>61</v>
      </c>
      <c r="U1130" s="6">
        <v>7</v>
      </c>
      <c r="V1130" s="6">
        <f>IF(ISERROR(VLOOKUP($S$1130,'TAR FIN'!$A$1:$O$100,15,0)),0,VLOOKUP($S$1130,'TAR FIN'!$A$1:$O$100,15,0))</f>
        <v>0</v>
      </c>
      <c r="W1130" s="6">
        <f>IF(ISERROR(VLOOKUP($T$1130,'TAR FIN'!$A$1:$O$100,15,0)),0,VLOOKUP($T$1130,'TAR FIN'!$A$1:$O$100,15,0))</f>
        <v>285.75</v>
      </c>
      <c r="X1130" s="6">
        <f>IF(ISERROR(VLOOKUP($U$1130,'TAR FIN'!$A$1:$O$100,15,0)),0,VLOOKUP($U$1130,'TAR FIN'!$A$1:$O$100,15,0))</f>
        <v>231.33</v>
      </c>
      <c r="Y1130" s="6"/>
      <c r="Z1130" s="6">
        <f ca="1">('TUSD BE'!$AM$58+'TUSD BF'!$AM$58+'TUSD CVA'!$AM$58)*1</f>
        <v>285.64503648725872</v>
      </c>
      <c r="AA1130" s="6">
        <f>('TE BE'!$AA$41+'TE BF'!$AA$41+'TE CVA'!$AA$41)*1</f>
        <v>250.79367785689016</v>
      </c>
      <c r="AB1130" s="6">
        <f>$K$1130*$V$1130</f>
        <v>0</v>
      </c>
      <c r="AC1130" s="6">
        <f>$M$1130*$W$1130</f>
        <v>1942.5285000000001</v>
      </c>
      <c r="AD1130" s="6">
        <f>$O$1130*$X$1130</f>
        <v>1572.5813400000002</v>
      </c>
      <c r="AE1130" s="6">
        <f>$K$1130*$Y$1130</f>
        <v>0</v>
      </c>
      <c r="AF1130" s="6">
        <f ca="1">$M$1130*$Z$1130</f>
        <v>1941.8149580403849</v>
      </c>
      <c r="AG1130" s="6">
        <f>$O$1130*$AA$1130</f>
        <v>1704.8954220711394</v>
      </c>
    </row>
    <row r="1131" spans="1:33" ht="11.25" customHeight="1" x14ac:dyDescent="0.25">
      <c r="A1131" s="4" t="s">
        <v>55</v>
      </c>
      <c r="B1131" s="4" t="s">
        <v>37</v>
      </c>
      <c r="C1131" s="4" t="s">
        <v>23</v>
      </c>
      <c r="D1131" s="4" t="s">
        <v>51</v>
      </c>
      <c r="E1131" s="4" t="s">
        <v>25</v>
      </c>
      <c r="F1131" s="4" t="s">
        <v>25</v>
      </c>
      <c r="G1131" s="4" t="s">
        <v>25</v>
      </c>
      <c r="H1131" s="4" t="s">
        <v>25</v>
      </c>
      <c r="I1131" s="5">
        <v>44562</v>
      </c>
      <c r="J1131" s="6">
        <v>0</v>
      </c>
      <c r="K1131" s="6">
        <v>0</v>
      </c>
      <c r="L1131" s="6">
        <v>6.798</v>
      </c>
      <c r="M1131" s="6">
        <v>6.798</v>
      </c>
      <c r="N1131" s="6">
        <v>6.798</v>
      </c>
      <c r="O1131" s="6">
        <v>6.798</v>
      </c>
      <c r="P1131" s="6">
        <v>14</v>
      </c>
      <c r="Q1131" s="4" t="s">
        <v>26</v>
      </c>
      <c r="R1131" s="4">
        <v>0</v>
      </c>
      <c r="S1131" s="6">
        <v>0</v>
      </c>
      <c r="T1131" s="6">
        <v>61</v>
      </c>
      <c r="U1131" s="6">
        <v>7</v>
      </c>
      <c r="V1131" s="6">
        <f>IF(ISERROR(VLOOKUP($S$1131,'TAR FIN'!$A$1:$O$100,15,0)),0,VLOOKUP($S$1131,'TAR FIN'!$A$1:$O$100,15,0))</f>
        <v>0</v>
      </c>
      <c r="W1131" s="6">
        <f>IF(ISERROR(VLOOKUP($T$1131,'TAR FIN'!$A$1:$O$100,15,0)),0,VLOOKUP($T$1131,'TAR FIN'!$A$1:$O$100,15,0))</f>
        <v>285.75</v>
      </c>
      <c r="X1131" s="6">
        <f>IF(ISERROR(VLOOKUP($U$1131,'TAR FIN'!$A$1:$O$100,15,0)),0,VLOOKUP($U$1131,'TAR FIN'!$A$1:$O$100,15,0))</f>
        <v>231.33</v>
      </c>
      <c r="Y1131" s="6"/>
      <c r="Z1131" s="6">
        <f ca="1">('TUSD BE'!$AM$58+'TUSD BF'!$AM$58+'TUSD CVA'!$AM$58)*1</f>
        <v>285.64503648725872</v>
      </c>
      <c r="AA1131" s="6">
        <f>('TE BE'!$AA$41+'TE BF'!$AA$41+'TE CVA'!$AA$41)*1</f>
        <v>250.79367785689016</v>
      </c>
      <c r="AB1131" s="6">
        <f>$K$1131*$V$1131</f>
        <v>0</v>
      </c>
      <c r="AC1131" s="6">
        <f>$M$1131*$W$1131</f>
        <v>1942.5285000000001</v>
      </c>
      <c r="AD1131" s="6">
        <f>$O$1131*$X$1131</f>
        <v>1572.5813400000002</v>
      </c>
      <c r="AE1131" s="6">
        <f>$K$1131*$Y$1131</f>
        <v>0</v>
      </c>
      <c r="AF1131" s="6">
        <f ca="1">$M$1131*$Z$1131</f>
        <v>1941.8149580403849</v>
      </c>
      <c r="AG1131" s="6">
        <f>$O$1131*$AA$1131</f>
        <v>1704.8954220711394</v>
      </c>
    </row>
    <row r="1132" spans="1:33" ht="11.25" customHeight="1" x14ac:dyDescent="0.25">
      <c r="A1132" s="4" t="s">
        <v>21</v>
      </c>
      <c r="B1132" s="4" t="s">
        <v>37</v>
      </c>
      <c r="C1132" s="4" t="s">
        <v>23</v>
      </c>
      <c r="D1132" s="4" t="s">
        <v>38</v>
      </c>
      <c r="E1132" s="4" t="s">
        <v>25</v>
      </c>
      <c r="F1132" s="4" t="s">
        <v>25</v>
      </c>
      <c r="G1132" s="4" t="s">
        <v>25</v>
      </c>
      <c r="H1132" s="4" t="s">
        <v>25</v>
      </c>
      <c r="I1132" s="5">
        <v>44228</v>
      </c>
      <c r="J1132" s="6">
        <v>0</v>
      </c>
      <c r="K1132" s="6">
        <v>0</v>
      </c>
      <c r="L1132" s="6">
        <v>395.22</v>
      </c>
      <c r="M1132" s="6">
        <v>395.22</v>
      </c>
      <c r="N1132" s="6">
        <v>395.22</v>
      </c>
      <c r="O1132" s="6">
        <v>395.22</v>
      </c>
      <c r="P1132" s="6">
        <v>398</v>
      </c>
      <c r="Q1132" s="4" t="s">
        <v>26</v>
      </c>
      <c r="R1132" s="4">
        <v>0</v>
      </c>
      <c r="S1132" s="6">
        <v>0</v>
      </c>
      <c r="T1132" s="6">
        <v>61</v>
      </c>
      <c r="U1132" s="6">
        <v>7</v>
      </c>
      <c r="V1132" s="6">
        <f>IF(ISERROR(VLOOKUP($S$1132,'TAR FIN'!$A$1:$O$100,15,0)),0,VLOOKUP($S$1132,'TAR FIN'!$A$1:$O$100,15,0))</f>
        <v>0</v>
      </c>
      <c r="W1132" s="6">
        <f>IF(ISERROR(VLOOKUP($T$1132,'TAR FIN'!$A$1:$O$100,15,0)),0,VLOOKUP($T$1132,'TAR FIN'!$A$1:$O$100,15,0))</f>
        <v>285.75</v>
      </c>
      <c r="X1132" s="6">
        <f>IF(ISERROR(VLOOKUP($U$1132,'TAR FIN'!$A$1:$O$100,15,0)),0,VLOOKUP($U$1132,'TAR FIN'!$A$1:$O$100,15,0))</f>
        <v>231.33</v>
      </c>
      <c r="Y1132" s="6"/>
      <c r="Z1132" s="6">
        <f ca="1">('TUSD BE'!$AM$58+'TUSD BF'!$AM$58+'TUSD CVA'!$AM$58)*1</f>
        <v>285.64503648725872</v>
      </c>
      <c r="AA1132" s="6">
        <f>('TE BE'!$AA$41+'TE BF'!$AA$41+'TE CVA'!$AA$41)*1</f>
        <v>250.79367785689016</v>
      </c>
      <c r="AB1132" s="6">
        <f>$K$1132*$V$1132</f>
        <v>0</v>
      </c>
      <c r="AC1132" s="6">
        <f>$M$1132*$W$1132</f>
        <v>112934.11500000001</v>
      </c>
      <c r="AD1132" s="6">
        <f>$O$1132*$X$1132</f>
        <v>91426.242600000012</v>
      </c>
      <c r="AE1132" s="6">
        <f>$K$1132*$Y$1132</f>
        <v>0</v>
      </c>
      <c r="AF1132" s="6">
        <f ca="1">$M$1132*$Z$1132</f>
        <v>112892.6313204944</v>
      </c>
      <c r="AG1132" s="6">
        <f>$O$1132*$AA$1132</f>
        <v>99118.677362600138</v>
      </c>
    </row>
    <row r="1133" spans="1:33" ht="11.25" customHeight="1" x14ac:dyDescent="0.25">
      <c r="A1133" s="4" t="s">
        <v>28</v>
      </c>
      <c r="B1133" s="4" t="s">
        <v>37</v>
      </c>
      <c r="C1133" s="4" t="s">
        <v>23</v>
      </c>
      <c r="D1133" s="4" t="s">
        <v>38</v>
      </c>
      <c r="E1133" s="4" t="s">
        <v>25</v>
      </c>
      <c r="F1133" s="4" t="s">
        <v>25</v>
      </c>
      <c r="G1133" s="4" t="s">
        <v>25</v>
      </c>
      <c r="H1133" s="4" t="s">
        <v>25</v>
      </c>
      <c r="I1133" s="5">
        <v>44228</v>
      </c>
      <c r="J1133" s="6">
        <v>0</v>
      </c>
      <c r="K1133" s="6">
        <v>0</v>
      </c>
      <c r="L1133" s="6">
        <v>34.006</v>
      </c>
      <c r="M1133" s="6">
        <v>34.006</v>
      </c>
      <c r="N1133" s="6">
        <v>34.006</v>
      </c>
      <c r="O1133" s="6">
        <v>34.006</v>
      </c>
      <c r="P1133" s="6">
        <v>28</v>
      </c>
      <c r="Q1133" s="4" t="s">
        <v>26</v>
      </c>
      <c r="R1133" s="4">
        <v>0</v>
      </c>
      <c r="S1133" s="6">
        <v>0</v>
      </c>
      <c r="T1133" s="6">
        <v>61</v>
      </c>
      <c r="U1133" s="6">
        <v>7</v>
      </c>
      <c r="V1133" s="6">
        <f>IF(ISERROR(VLOOKUP($S$1133,'TAR FIN'!$A$1:$O$100,15,0)),0,VLOOKUP($S$1133,'TAR FIN'!$A$1:$O$100,15,0))</f>
        <v>0</v>
      </c>
      <c r="W1133" s="6">
        <f>IF(ISERROR(VLOOKUP($T$1133,'TAR FIN'!$A$1:$O$100,15,0)),0,VLOOKUP($T$1133,'TAR FIN'!$A$1:$O$100,15,0))</f>
        <v>285.75</v>
      </c>
      <c r="X1133" s="6">
        <f>IF(ISERROR(VLOOKUP($U$1133,'TAR FIN'!$A$1:$O$100,15,0)),0,VLOOKUP($U$1133,'TAR FIN'!$A$1:$O$100,15,0))</f>
        <v>231.33</v>
      </c>
      <c r="Y1133" s="6"/>
      <c r="Z1133" s="6">
        <f ca="1">('TUSD BE'!$AM$58+'TUSD BF'!$AM$58+'TUSD CVA'!$AM$58)*1</f>
        <v>285.64503648725872</v>
      </c>
      <c r="AA1133" s="6">
        <f>('TE BE'!$AA$41+'TE BF'!$AA$41+'TE CVA'!$AA$41)*1</f>
        <v>250.79367785689016</v>
      </c>
      <c r="AB1133" s="6">
        <f>$K$1133*$V$1133</f>
        <v>0</v>
      </c>
      <c r="AC1133" s="6">
        <f>$M$1133*$W$1133</f>
        <v>9717.2145</v>
      </c>
      <c r="AD1133" s="6">
        <f>$O$1133*$X$1133</f>
        <v>7866.6079800000007</v>
      </c>
      <c r="AE1133" s="6">
        <f>$K$1133*$Y$1133</f>
        <v>0</v>
      </c>
      <c r="AF1133" s="6">
        <f ca="1">$M$1133*$Z$1133</f>
        <v>9713.645110785721</v>
      </c>
      <c r="AG1133" s="6">
        <f>$O$1133*$AA$1133</f>
        <v>8528.4898092014064</v>
      </c>
    </row>
    <row r="1134" spans="1:33" ht="11.25" customHeight="1" x14ac:dyDescent="0.25">
      <c r="A1134" s="4" t="s">
        <v>21</v>
      </c>
      <c r="B1134" s="4" t="s">
        <v>37</v>
      </c>
      <c r="C1134" s="4" t="s">
        <v>23</v>
      </c>
      <c r="D1134" s="4" t="s">
        <v>38</v>
      </c>
      <c r="E1134" s="4" t="s">
        <v>25</v>
      </c>
      <c r="F1134" s="4" t="s">
        <v>25</v>
      </c>
      <c r="G1134" s="4" t="s">
        <v>25</v>
      </c>
      <c r="H1134" s="4" t="s">
        <v>25</v>
      </c>
      <c r="I1134" s="5">
        <v>44256</v>
      </c>
      <c r="J1134" s="6">
        <v>0</v>
      </c>
      <c r="K1134" s="6">
        <v>0</v>
      </c>
      <c r="L1134" s="6">
        <v>412.42399999999998</v>
      </c>
      <c r="M1134" s="6">
        <v>412.42399999999998</v>
      </c>
      <c r="N1134" s="6">
        <v>412.42399999999998</v>
      </c>
      <c r="O1134" s="6">
        <v>412.42399999999998</v>
      </c>
      <c r="P1134" s="6">
        <v>401</v>
      </c>
      <c r="Q1134" s="4" t="s">
        <v>26</v>
      </c>
      <c r="R1134" s="4">
        <v>0</v>
      </c>
      <c r="S1134" s="6">
        <v>0</v>
      </c>
      <c r="T1134" s="6">
        <v>61</v>
      </c>
      <c r="U1134" s="6">
        <v>7</v>
      </c>
      <c r="V1134" s="6">
        <f>IF(ISERROR(VLOOKUP($S$1134,'TAR FIN'!$A$1:$O$100,15,0)),0,VLOOKUP($S$1134,'TAR FIN'!$A$1:$O$100,15,0))</f>
        <v>0</v>
      </c>
      <c r="W1134" s="6">
        <f>IF(ISERROR(VLOOKUP($T$1134,'TAR FIN'!$A$1:$O$100,15,0)),0,VLOOKUP($T$1134,'TAR FIN'!$A$1:$O$100,15,0))</f>
        <v>285.75</v>
      </c>
      <c r="X1134" s="6">
        <f>IF(ISERROR(VLOOKUP($U$1134,'TAR FIN'!$A$1:$O$100,15,0)),0,VLOOKUP($U$1134,'TAR FIN'!$A$1:$O$100,15,0))</f>
        <v>231.33</v>
      </c>
      <c r="Y1134" s="6"/>
      <c r="Z1134" s="6">
        <f ca="1">('TUSD BE'!$AM$58+'TUSD BF'!$AM$58+'TUSD CVA'!$AM$58)*1</f>
        <v>285.64503648725872</v>
      </c>
      <c r="AA1134" s="6">
        <f>('TE BE'!$AA$41+'TE BF'!$AA$41+'TE CVA'!$AA$41)*1</f>
        <v>250.79367785689016</v>
      </c>
      <c r="AB1134" s="6">
        <f>$K$1134*$V$1134</f>
        <v>0</v>
      </c>
      <c r="AC1134" s="6">
        <f>$M$1134*$W$1134</f>
        <v>117850.158</v>
      </c>
      <c r="AD1134" s="6">
        <f>$O$1134*$X$1134</f>
        <v>95406.043919999996</v>
      </c>
      <c r="AE1134" s="6">
        <f>$K$1134*$Y$1134</f>
        <v>0</v>
      </c>
      <c r="AF1134" s="6">
        <f ca="1">$M$1134*$Z$1134</f>
        <v>117806.86852822118</v>
      </c>
      <c r="AG1134" s="6">
        <f>$O$1134*$AA$1134</f>
        <v>103433.33179645006</v>
      </c>
    </row>
    <row r="1135" spans="1:33" ht="11.25" customHeight="1" x14ac:dyDescent="0.25">
      <c r="A1135" s="4" t="s">
        <v>28</v>
      </c>
      <c r="B1135" s="4" t="s">
        <v>37</v>
      </c>
      <c r="C1135" s="4" t="s">
        <v>23</v>
      </c>
      <c r="D1135" s="4" t="s">
        <v>38</v>
      </c>
      <c r="E1135" s="4" t="s">
        <v>25</v>
      </c>
      <c r="F1135" s="4" t="s">
        <v>25</v>
      </c>
      <c r="G1135" s="4" t="s">
        <v>25</v>
      </c>
      <c r="H1135" s="4" t="s">
        <v>25</v>
      </c>
      <c r="I1135" s="5">
        <v>44256</v>
      </c>
      <c r="J1135" s="6">
        <v>0</v>
      </c>
      <c r="K1135" s="6">
        <v>0</v>
      </c>
      <c r="L1135" s="6">
        <v>28.431999999999999</v>
      </c>
      <c r="M1135" s="6">
        <v>28.431999999999999</v>
      </c>
      <c r="N1135" s="6">
        <v>28.431999999999999</v>
      </c>
      <c r="O1135" s="6">
        <v>28.431999999999999</v>
      </c>
      <c r="P1135" s="6">
        <v>31</v>
      </c>
      <c r="Q1135" s="4" t="s">
        <v>26</v>
      </c>
      <c r="R1135" s="4">
        <v>0</v>
      </c>
      <c r="S1135" s="6">
        <v>0</v>
      </c>
      <c r="T1135" s="6">
        <v>61</v>
      </c>
      <c r="U1135" s="6">
        <v>7</v>
      </c>
      <c r="V1135" s="6">
        <f>IF(ISERROR(VLOOKUP($S$1135,'TAR FIN'!$A$1:$O$100,15,0)),0,VLOOKUP($S$1135,'TAR FIN'!$A$1:$O$100,15,0))</f>
        <v>0</v>
      </c>
      <c r="W1135" s="6">
        <f>IF(ISERROR(VLOOKUP($T$1135,'TAR FIN'!$A$1:$O$100,15,0)),0,VLOOKUP($T$1135,'TAR FIN'!$A$1:$O$100,15,0))</f>
        <v>285.75</v>
      </c>
      <c r="X1135" s="6">
        <f>IF(ISERROR(VLOOKUP($U$1135,'TAR FIN'!$A$1:$O$100,15,0)),0,VLOOKUP($U$1135,'TAR FIN'!$A$1:$O$100,15,0))</f>
        <v>231.33</v>
      </c>
      <c r="Y1135" s="6"/>
      <c r="Z1135" s="6">
        <f ca="1">('TUSD BE'!$AM$58+'TUSD BF'!$AM$58+'TUSD CVA'!$AM$58)*1</f>
        <v>285.64503648725872</v>
      </c>
      <c r="AA1135" s="6">
        <f>('TE BE'!$AA$41+'TE BF'!$AA$41+'TE CVA'!$AA$41)*1</f>
        <v>250.79367785689016</v>
      </c>
      <c r="AB1135" s="6">
        <f>$K$1135*$V$1135</f>
        <v>0</v>
      </c>
      <c r="AC1135" s="6">
        <f>$M$1135*$W$1135</f>
        <v>8124.4439999999995</v>
      </c>
      <c r="AD1135" s="6">
        <f>$O$1135*$X$1135</f>
        <v>6577.1745600000004</v>
      </c>
      <c r="AE1135" s="6">
        <f>$K$1135*$Y$1135</f>
        <v>0</v>
      </c>
      <c r="AF1135" s="6">
        <f ca="1">$M$1135*$Z$1135</f>
        <v>8121.45967740574</v>
      </c>
      <c r="AG1135" s="6">
        <f>$O$1135*$AA$1135</f>
        <v>7130.5658488271001</v>
      </c>
    </row>
    <row r="1136" spans="1:33" ht="11.25" customHeight="1" x14ac:dyDescent="0.25">
      <c r="A1136" s="4" t="s">
        <v>21</v>
      </c>
      <c r="B1136" s="4" t="s">
        <v>37</v>
      </c>
      <c r="C1136" s="4" t="s">
        <v>23</v>
      </c>
      <c r="D1136" s="4" t="s">
        <v>38</v>
      </c>
      <c r="E1136" s="4" t="s">
        <v>25</v>
      </c>
      <c r="F1136" s="4" t="s">
        <v>25</v>
      </c>
      <c r="G1136" s="4" t="s">
        <v>25</v>
      </c>
      <c r="H1136" s="4" t="s">
        <v>25</v>
      </c>
      <c r="I1136" s="5">
        <v>44287</v>
      </c>
      <c r="J1136" s="6">
        <v>0</v>
      </c>
      <c r="K1136" s="6">
        <v>0</v>
      </c>
      <c r="L1136" s="6">
        <v>465.09800000000001</v>
      </c>
      <c r="M1136" s="6">
        <v>465.09800000000001</v>
      </c>
      <c r="N1136" s="6">
        <v>465.09800000000001</v>
      </c>
      <c r="O1136" s="6">
        <v>465.09800000000001</v>
      </c>
      <c r="P1136" s="6">
        <v>402</v>
      </c>
      <c r="Q1136" s="4" t="s">
        <v>26</v>
      </c>
      <c r="R1136" s="4">
        <v>0</v>
      </c>
      <c r="S1136" s="6">
        <v>0</v>
      </c>
      <c r="T1136" s="6">
        <v>61</v>
      </c>
      <c r="U1136" s="6">
        <v>7</v>
      </c>
      <c r="V1136" s="6">
        <f>IF(ISERROR(VLOOKUP($S$1136,'TAR FIN'!$A$1:$O$100,15,0)),0,VLOOKUP($S$1136,'TAR FIN'!$A$1:$O$100,15,0))</f>
        <v>0</v>
      </c>
      <c r="W1136" s="6">
        <f>IF(ISERROR(VLOOKUP($T$1136,'TAR FIN'!$A$1:$O$100,15,0)),0,VLOOKUP($T$1136,'TAR FIN'!$A$1:$O$100,15,0))</f>
        <v>285.75</v>
      </c>
      <c r="X1136" s="6">
        <f>IF(ISERROR(VLOOKUP($U$1136,'TAR FIN'!$A$1:$O$100,15,0)),0,VLOOKUP($U$1136,'TAR FIN'!$A$1:$O$100,15,0))</f>
        <v>231.33</v>
      </c>
      <c r="Y1136" s="6"/>
      <c r="Z1136" s="6">
        <f ca="1">('TUSD BE'!$AM$58+'TUSD BF'!$AM$58+'TUSD CVA'!$AM$58)*1</f>
        <v>285.64503648725872</v>
      </c>
      <c r="AA1136" s="6">
        <f>('TE BE'!$AA$41+'TE BF'!$AA$41+'TE CVA'!$AA$41)*1</f>
        <v>250.79367785689016</v>
      </c>
      <c r="AB1136" s="6">
        <f>$K$1136*$V$1136</f>
        <v>0</v>
      </c>
      <c r="AC1136" s="6">
        <f>$M$1136*$W$1136</f>
        <v>132901.75349999999</v>
      </c>
      <c r="AD1136" s="6">
        <f>$O$1136*$X$1136</f>
        <v>107591.12034000001</v>
      </c>
      <c r="AE1136" s="6">
        <f>$K$1136*$Y$1136</f>
        <v>0</v>
      </c>
      <c r="AF1136" s="6">
        <f ca="1">$M$1136*$Z$1136</f>
        <v>132852.93518015105</v>
      </c>
      <c r="AG1136" s="6">
        <f>$O$1136*$AA$1136</f>
        <v>116643.63798388391</v>
      </c>
    </row>
    <row r="1137" spans="1:33" ht="11.25" customHeight="1" x14ac:dyDescent="0.25">
      <c r="A1137" s="4" t="s">
        <v>27</v>
      </c>
      <c r="B1137" s="4" t="s">
        <v>37</v>
      </c>
      <c r="C1137" s="4" t="s">
        <v>23</v>
      </c>
      <c r="D1137" s="4" t="s">
        <v>38</v>
      </c>
      <c r="E1137" s="4" t="s">
        <v>25</v>
      </c>
      <c r="F1137" s="4" t="s">
        <v>25</v>
      </c>
      <c r="G1137" s="4" t="s">
        <v>25</v>
      </c>
      <c r="H1137" s="4" t="s">
        <v>25</v>
      </c>
      <c r="I1137" s="5">
        <v>44287</v>
      </c>
      <c r="J1137" s="6">
        <v>0</v>
      </c>
      <c r="K1137" s="6">
        <v>0</v>
      </c>
      <c r="L1137" s="6">
        <v>-2.14</v>
      </c>
      <c r="M1137" s="6">
        <v>-2.14</v>
      </c>
      <c r="N1137" s="6">
        <v>-2.14</v>
      </c>
      <c r="O1137" s="6">
        <v>-2.14</v>
      </c>
      <c r="P1137" s="6">
        <v>-1</v>
      </c>
      <c r="Q1137" s="4" t="s">
        <v>26</v>
      </c>
      <c r="R1137" s="4">
        <v>0</v>
      </c>
      <c r="S1137" s="6">
        <v>0</v>
      </c>
      <c r="T1137" s="6">
        <v>61</v>
      </c>
      <c r="U1137" s="6">
        <v>7</v>
      </c>
      <c r="V1137" s="6">
        <f>IF(ISERROR(VLOOKUP($S$1137,'TAR FIN'!$A$1:$O$100,15,0)),0,VLOOKUP($S$1137,'TAR FIN'!$A$1:$O$100,15,0))</f>
        <v>0</v>
      </c>
      <c r="W1137" s="6">
        <f>IF(ISERROR(VLOOKUP($T$1137,'TAR FIN'!$A$1:$O$100,15,0)),0,VLOOKUP($T$1137,'TAR FIN'!$A$1:$O$100,15,0))</f>
        <v>285.75</v>
      </c>
      <c r="X1137" s="6">
        <f>IF(ISERROR(VLOOKUP($U$1137,'TAR FIN'!$A$1:$O$100,15,0)),0,VLOOKUP($U$1137,'TAR FIN'!$A$1:$O$100,15,0))</f>
        <v>231.33</v>
      </c>
      <c r="Y1137" s="6"/>
      <c r="Z1137" s="6">
        <f ca="1">('TUSD BE'!$AM$58+'TUSD BF'!$AM$58+'TUSD CVA'!$AM$58)*1</f>
        <v>285.64503648725872</v>
      </c>
      <c r="AA1137" s="6">
        <f>('TE BE'!$AA$41+'TE BF'!$AA$41+'TE CVA'!$AA$41)*1</f>
        <v>250.79367785689016</v>
      </c>
      <c r="AB1137" s="6">
        <f>$K$1137*$V$1137</f>
        <v>0</v>
      </c>
      <c r="AC1137" s="6">
        <f>$M$1137*$W$1137</f>
        <v>-611.505</v>
      </c>
      <c r="AD1137" s="6">
        <f>$O$1137*$X$1137</f>
        <v>-495.04620000000006</v>
      </c>
      <c r="AE1137" s="6">
        <f>$K$1137*$Y$1137</f>
        <v>0</v>
      </c>
      <c r="AF1137" s="6">
        <f ca="1">$M$1137*$Z$1137</f>
        <v>-611.28037808273371</v>
      </c>
      <c r="AG1137" s="6">
        <f>$O$1137*$AA$1137</f>
        <v>-536.69847061374492</v>
      </c>
    </row>
    <row r="1138" spans="1:33" ht="11.25" customHeight="1" x14ac:dyDescent="0.25">
      <c r="A1138" s="4" t="s">
        <v>28</v>
      </c>
      <c r="B1138" s="4" t="s">
        <v>37</v>
      </c>
      <c r="C1138" s="4" t="s">
        <v>23</v>
      </c>
      <c r="D1138" s="4" t="s">
        <v>38</v>
      </c>
      <c r="E1138" s="4" t="s">
        <v>25</v>
      </c>
      <c r="F1138" s="4" t="s">
        <v>25</v>
      </c>
      <c r="G1138" s="4" t="s">
        <v>25</v>
      </c>
      <c r="H1138" s="4" t="s">
        <v>25</v>
      </c>
      <c r="I1138" s="5">
        <v>44287</v>
      </c>
      <c r="J1138" s="6">
        <v>0</v>
      </c>
      <c r="K1138" s="6">
        <v>0</v>
      </c>
      <c r="L1138" s="6">
        <v>33.573999999999998</v>
      </c>
      <c r="M1138" s="6">
        <v>33.573999999999998</v>
      </c>
      <c r="N1138" s="6">
        <v>33.573999999999998</v>
      </c>
      <c r="O1138" s="6">
        <v>33.573999999999998</v>
      </c>
      <c r="P1138" s="6">
        <v>33</v>
      </c>
      <c r="Q1138" s="4" t="s">
        <v>26</v>
      </c>
      <c r="R1138" s="4">
        <v>0</v>
      </c>
      <c r="S1138" s="6">
        <v>0</v>
      </c>
      <c r="T1138" s="6">
        <v>61</v>
      </c>
      <c r="U1138" s="6">
        <v>7</v>
      </c>
      <c r="V1138" s="6">
        <f>IF(ISERROR(VLOOKUP($S$1138,'TAR FIN'!$A$1:$O$100,15,0)),0,VLOOKUP($S$1138,'TAR FIN'!$A$1:$O$100,15,0))</f>
        <v>0</v>
      </c>
      <c r="W1138" s="6">
        <f>IF(ISERROR(VLOOKUP($T$1138,'TAR FIN'!$A$1:$O$100,15,0)),0,VLOOKUP($T$1138,'TAR FIN'!$A$1:$O$100,15,0))</f>
        <v>285.75</v>
      </c>
      <c r="X1138" s="6">
        <f>IF(ISERROR(VLOOKUP($U$1138,'TAR FIN'!$A$1:$O$100,15,0)),0,VLOOKUP($U$1138,'TAR FIN'!$A$1:$O$100,15,0))</f>
        <v>231.33</v>
      </c>
      <c r="Y1138" s="6"/>
      <c r="Z1138" s="6">
        <f ca="1">('TUSD BE'!$AM$58+'TUSD BF'!$AM$58+'TUSD CVA'!$AM$58)*1</f>
        <v>285.64503648725872</v>
      </c>
      <c r="AA1138" s="6">
        <f>('TE BE'!$AA$41+'TE BF'!$AA$41+'TE CVA'!$AA$41)*1</f>
        <v>250.79367785689016</v>
      </c>
      <c r="AB1138" s="6">
        <f>$K$1138*$V$1138</f>
        <v>0</v>
      </c>
      <c r="AC1138" s="6">
        <f>$M$1138*$W$1138</f>
        <v>9593.7704999999987</v>
      </c>
      <c r="AD1138" s="6">
        <f>$O$1138*$X$1138</f>
        <v>7766.6734200000001</v>
      </c>
      <c r="AE1138" s="6">
        <f>$K$1138*$Y$1138</f>
        <v>0</v>
      </c>
      <c r="AF1138" s="6">
        <f ca="1">$M$1138*$Z$1138</f>
        <v>9590.2464550232235</v>
      </c>
      <c r="AG1138" s="6">
        <f>$O$1138*$AA$1138</f>
        <v>8420.146940367229</v>
      </c>
    </row>
    <row r="1139" spans="1:33" ht="11.25" customHeight="1" x14ac:dyDescent="0.25">
      <c r="A1139" s="4" t="s">
        <v>21</v>
      </c>
      <c r="B1139" s="4" t="s">
        <v>37</v>
      </c>
      <c r="C1139" s="4" t="s">
        <v>23</v>
      </c>
      <c r="D1139" s="4" t="s">
        <v>38</v>
      </c>
      <c r="E1139" s="4" t="s">
        <v>25</v>
      </c>
      <c r="F1139" s="4" t="s">
        <v>25</v>
      </c>
      <c r="G1139" s="4" t="s">
        <v>25</v>
      </c>
      <c r="H1139" s="4" t="s">
        <v>25</v>
      </c>
      <c r="I1139" s="5">
        <v>44317</v>
      </c>
      <c r="J1139" s="6">
        <v>0</v>
      </c>
      <c r="K1139" s="6">
        <v>0</v>
      </c>
      <c r="L1139" s="6">
        <v>411.48399999999998</v>
      </c>
      <c r="M1139" s="6">
        <v>411.48399999999998</v>
      </c>
      <c r="N1139" s="6">
        <v>411.48399999999998</v>
      </c>
      <c r="O1139" s="6">
        <v>411.48399999999998</v>
      </c>
      <c r="P1139" s="6">
        <v>405</v>
      </c>
      <c r="Q1139" s="4" t="s">
        <v>26</v>
      </c>
      <c r="R1139" s="4">
        <v>0</v>
      </c>
      <c r="S1139" s="6">
        <v>0</v>
      </c>
      <c r="T1139" s="6">
        <v>61</v>
      </c>
      <c r="U1139" s="6">
        <v>7</v>
      </c>
      <c r="V1139" s="6">
        <f>IF(ISERROR(VLOOKUP($S$1139,'TAR FIN'!$A$1:$O$100,15,0)),0,VLOOKUP($S$1139,'TAR FIN'!$A$1:$O$100,15,0))</f>
        <v>0</v>
      </c>
      <c r="W1139" s="6">
        <f>IF(ISERROR(VLOOKUP($T$1139,'TAR FIN'!$A$1:$O$100,15,0)),0,VLOOKUP($T$1139,'TAR FIN'!$A$1:$O$100,15,0))</f>
        <v>285.75</v>
      </c>
      <c r="X1139" s="6">
        <f>IF(ISERROR(VLOOKUP($U$1139,'TAR FIN'!$A$1:$O$100,15,0)),0,VLOOKUP($U$1139,'TAR FIN'!$A$1:$O$100,15,0))</f>
        <v>231.33</v>
      </c>
      <c r="Y1139" s="6"/>
      <c r="Z1139" s="6">
        <f ca="1">('TUSD BE'!$AM$58+'TUSD BF'!$AM$58+'TUSD CVA'!$AM$58)*1</f>
        <v>285.64503648725872</v>
      </c>
      <c r="AA1139" s="6">
        <f>('TE BE'!$AA$41+'TE BF'!$AA$41+'TE CVA'!$AA$41)*1</f>
        <v>250.79367785689016</v>
      </c>
      <c r="AB1139" s="6">
        <f>$K$1139*$V$1139</f>
        <v>0</v>
      </c>
      <c r="AC1139" s="6">
        <f>$M$1139*$W$1139</f>
        <v>117581.553</v>
      </c>
      <c r="AD1139" s="6">
        <f>$O$1139*$X$1139</f>
        <v>95188.593720000004</v>
      </c>
      <c r="AE1139" s="6">
        <f>$K$1139*$Y$1139</f>
        <v>0</v>
      </c>
      <c r="AF1139" s="6">
        <f ca="1">$M$1139*$Z$1139</f>
        <v>117538.36219392317</v>
      </c>
      <c r="AG1139" s="6">
        <f>$O$1139*$AA$1139</f>
        <v>103197.58573926458</v>
      </c>
    </row>
    <row r="1140" spans="1:33" ht="11.25" customHeight="1" x14ac:dyDescent="0.25">
      <c r="A1140" s="4" t="s">
        <v>27</v>
      </c>
      <c r="B1140" s="4" t="s">
        <v>37</v>
      </c>
      <c r="C1140" s="4" t="s">
        <v>23</v>
      </c>
      <c r="D1140" s="4" t="s">
        <v>38</v>
      </c>
      <c r="E1140" s="4" t="s">
        <v>25</v>
      </c>
      <c r="F1140" s="4" t="s">
        <v>25</v>
      </c>
      <c r="G1140" s="4" t="s">
        <v>25</v>
      </c>
      <c r="H1140" s="4" t="s">
        <v>25</v>
      </c>
      <c r="I1140" s="5">
        <v>44317</v>
      </c>
      <c r="J1140" s="6">
        <v>0</v>
      </c>
      <c r="K1140" s="6">
        <v>0</v>
      </c>
      <c r="L1140" s="6">
        <v>-0.98599999999999999</v>
      </c>
      <c r="M1140" s="6">
        <v>-0.98599999999999999</v>
      </c>
      <c r="N1140" s="6">
        <v>-0.98599999999999999</v>
      </c>
      <c r="O1140" s="6">
        <v>-0.98599999999999999</v>
      </c>
      <c r="P1140" s="6">
        <v>0</v>
      </c>
      <c r="Q1140" s="4" t="s">
        <v>26</v>
      </c>
      <c r="R1140" s="4">
        <v>0</v>
      </c>
      <c r="S1140" s="6">
        <v>0</v>
      </c>
      <c r="T1140" s="6">
        <v>61</v>
      </c>
      <c r="U1140" s="6">
        <v>7</v>
      </c>
      <c r="V1140" s="6">
        <f>IF(ISERROR(VLOOKUP($S$1140,'TAR FIN'!$A$1:$O$100,15,0)),0,VLOOKUP($S$1140,'TAR FIN'!$A$1:$O$100,15,0))</f>
        <v>0</v>
      </c>
      <c r="W1140" s="6">
        <f>IF(ISERROR(VLOOKUP($T$1140,'TAR FIN'!$A$1:$O$100,15,0)),0,VLOOKUP($T$1140,'TAR FIN'!$A$1:$O$100,15,0))</f>
        <v>285.75</v>
      </c>
      <c r="X1140" s="6">
        <f>IF(ISERROR(VLOOKUP($U$1140,'TAR FIN'!$A$1:$O$100,15,0)),0,VLOOKUP($U$1140,'TAR FIN'!$A$1:$O$100,15,0))</f>
        <v>231.33</v>
      </c>
      <c r="Y1140" s="6"/>
      <c r="Z1140" s="6">
        <f ca="1">('TUSD BE'!$AM$58+'TUSD BF'!$AM$58+'TUSD CVA'!$AM$58)*1</f>
        <v>285.64503648725872</v>
      </c>
      <c r="AA1140" s="6">
        <f>('TE BE'!$AA$41+'TE BF'!$AA$41+'TE CVA'!$AA$41)*1</f>
        <v>250.79367785689016</v>
      </c>
      <c r="AB1140" s="6">
        <f>$K$1140*$V$1140</f>
        <v>0</v>
      </c>
      <c r="AC1140" s="6">
        <f>$M$1140*$W$1140</f>
        <v>-281.74950000000001</v>
      </c>
      <c r="AD1140" s="6">
        <f>$O$1140*$X$1140</f>
        <v>-228.09138000000002</v>
      </c>
      <c r="AE1140" s="6">
        <f>$K$1140*$Y$1140</f>
        <v>0</v>
      </c>
      <c r="AF1140" s="6">
        <f ca="1">$M$1140*$Z$1140</f>
        <v>-281.6460059764371</v>
      </c>
      <c r="AG1140" s="6">
        <f>$O$1140*$AA$1140</f>
        <v>-247.28256636689369</v>
      </c>
    </row>
    <row r="1141" spans="1:33" ht="11.25" customHeight="1" x14ac:dyDescent="0.25">
      <c r="A1141" s="4" t="s">
        <v>28</v>
      </c>
      <c r="B1141" s="4" t="s">
        <v>37</v>
      </c>
      <c r="C1141" s="4" t="s">
        <v>23</v>
      </c>
      <c r="D1141" s="4" t="s">
        <v>38</v>
      </c>
      <c r="E1141" s="4" t="s">
        <v>25</v>
      </c>
      <c r="F1141" s="4" t="s">
        <v>25</v>
      </c>
      <c r="G1141" s="4" t="s">
        <v>25</v>
      </c>
      <c r="H1141" s="4" t="s">
        <v>25</v>
      </c>
      <c r="I1141" s="5">
        <v>44317</v>
      </c>
      <c r="J1141" s="6">
        <v>0</v>
      </c>
      <c r="K1141" s="6">
        <v>0</v>
      </c>
      <c r="L1141" s="6">
        <v>35.981999999999999</v>
      </c>
      <c r="M1141" s="6">
        <v>35.981999999999999</v>
      </c>
      <c r="N1141" s="6">
        <v>35.981999999999999</v>
      </c>
      <c r="O1141" s="6">
        <v>35.981999999999999</v>
      </c>
      <c r="P1141" s="6">
        <v>33</v>
      </c>
      <c r="Q1141" s="4" t="s">
        <v>26</v>
      </c>
      <c r="R1141" s="4">
        <v>0</v>
      </c>
      <c r="S1141" s="6">
        <v>0</v>
      </c>
      <c r="T1141" s="6">
        <v>61</v>
      </c>
      <c r="U1141" s="6">
        <v>7</v>
      </c>
      <c r="V1141" s="6">
        <f>IF(ISERROR(VLOOKUP($S$1141,'TAR FIN'!$A$1:$O$100,15,0)),0,VLOOKUP($S$1141,'TAR FIN'!$A$1:$O$100,15,0))</f>
        <v>0</v>
      </c>
      <c r="W1141" s="6">
        <f>IF(ISERROR(VLOOKUP($T$1141,'TAR FIN'!$A$1:$O$100,15,0)),0,VLOOKUP($T$1141,'TAR FIN'!$A$1:$O$100,15,0))</f>
        <v>285.75</v>
      </c>
      <c r="X1141" s="6">
        <f>IF(ISERROR(VLOOKUP($U$1141,'TAR FIN'!$A$1:$O$100,15,0)),0,VLOOKUP($U$1141,'TAR FIN'!$A$1:$O$100,15,0))</f>
        <v>231.33</v>
      </c>
      <c r="Y1141" s="6"/>
      <c r="Z1141" s="6">
        <f ca="1">('TUSD BE'!$AM$58+'TUSD BF'!$AM$58+'TUSD CVA'!$AM$58)*1</f>
        <v>285.64503648725872</v>
      </c>
      <c r="AA1141" s="6">
        <f>('TE BE'!$AA$41+'TE BF'!$AA$41+'TE CVA'!$AA$41)*1</f>
        <v>250.79367785689016</v>
      </c>
      <c r="AB1141" s="6">
        <f>$K$1141*$V$1141</f>
        <v>0</v>
      </c>
      <c r="AC1141" s="6">
        <f>$M$1141*$W$1141</f>
        <v>10281.8565</v>
      </c>
      <c r="AD1141" s="6">
        <f>$O$1141*$X$1141</f>
        <v>8323.7160600000007</v>
      </c>
      <c r="AE1141" s="6">
        <f>$K$1141*$Y$1141</f>
        <v>0</v>
      </c>
      <c r="AF1141" s="6">
        <f ca="1">$M$1141*$Z$1141</f>
        <v>10278.079702884543</v>
      </c>
      <c r="AG1141" s="6">
        <f>$O$1141*$AA$1141</f>
        <v>9024.0581166466218</v>
      </c>
    </row>
    <row r="1142" spans="1:33" ht="11.25" customHeight="1" x14ac:dyDescent="0.25">
      <c r="A1142" s="4" t="s">
        <v>21</v>
      </c>
      <c r="B1142" s="4" t="s">
        <v>37</v>
      </c>
      <c r="C1142" s="4" t="s">
        <v>23</v>
      </c>
      <c r="D1142" s="4" t="s">
        <v>38</v>
      </c>
      <c r="E1142" s="4" t="s">
        <v>25</v>
      </c>
      <c r="F1142" s="4" t="s">
        <v>25</v>
      </c>
      <c r="G1142" s="4" t="s">
        <v>25</v>
      </c>
      <c r="H1142" s="4" t="s">
        <v>25</v>
      </c>
      <c r="I1142" s="5">
        <v>44348</v>
      </c>
      <c r="J1142" s="6">
        <v>0</v>
      </c>
      <c r="K1142" s="6">
        <v>0</v>
      </c>
      <c r="L1142" s="6">
        <v>372.315</v>
      </c>
      <c r="M1142" s="6">
        <v>372.315</v>
      </c>
      <c r="N1142" s="6">
        <v>372.315</v>
      </c>
      <c r="O1142" s="6">
        <v>372.315</v>
      </c>
      <c r="P1142" s="6">
        <v>396</v>
      </c>
      <c r="Q1142" s="4" t="s">
        <v>26</v>
      </c>
      <c r="R1142" s="4">
        <v>0</v>
      </c>
      <c r="S1142" s="6">
        <v>0</v>
      </c>
      <c r="T1142" s="6">
        <v>61</v>
      </c>
      <c r="U1142" s="6">
        <v>7</v>
      </c>
      <c r="V1142" s="6">
        <f>IF(ISERROR(VLOOKUP($S$1142,'TAR FIN'!$A$1:$O$100,15,0)),0,VLOOKUP($S$1142,'TAR FIN'!$A$1:$O$100,15,0))</f>
        <v>0</v>
      </c>
      <c r="W1142" s="6">
        <f>IF(ISERROR(VLOOKUP($T$1142,'TAR FIN'!$A$1:$O$100,15,0)),0,VLOOKUP($T$1142,'TAR FIN'!$A$1:$O$100,15,0))</f>
        <v>285.75</v>
      </c>
      <c r="X1142" s="6">
        <f>IF(ISERROR(VLOOKUP($U$1142,'TAR FIN'!$A$1:$O$100,15,0)),0,VLOOKUP($U$1142,'TAR FIN'!$A$1:$O$100,15,0))</f>
        <v>231.33</v>
      </c>
      <c r="Y1142" s="6"/>
      <c r="Z1142" s="6">
        <f ca="1">('TUSD BE'!$AM$58+'TUSD BF'!$AM$58+'TUSD CVA'!$AM$58)*1</f>
        <v>285.64503648725872</v>
      </c>
      <c r="AA1142" s="6">
        <f>('TE BE'!$AA$41+'TE BF'!$AA$41+'TE CVA'!$AA$41)*1</f>
        <v>250.79367785689016</v>
      </c>
      <c r="AB1142" s="6">
        <f>$K$1142*$V$1142</f>
        <v>0</v>
      </c>
      <c r="AC1142" s="6">
        <f>$M$1142*$W$1142</f>
        <v>106389.01125</v>
      </c>
      <c r="AD1142" s="6">
        <f>$O$1142*$X$1142</f>
        <v>86127.628949999998</v>
      </c>
      <c r="AE1142" s="6">
        <f>$K$1142*$Y$1142</f>
        <v>0</v>
      </c>
      <c r="AF1142" s="6">
        <f ca="1">$M$1142*$Z$1142</f>
        <v>106349.93175975373</v>
      </c>
      <c r="AG1142" s="6">
        <f>$O$1142*$AA$1142</f>
        <v>93374.248171288054</v>
      </c>
    </row>
    <row r="1143" spans="1:33" ht="11.25" customHeight="1" x14ac:dyDescent="0.25">
      <c r="A1143" s="4" t="s">
        <v>28</v>
      </c>
      <c r="B1143" s="4" t="s">
        <v>37</v>
      </c>
      <c r="C1143" s="4" t="s">
        <v>23</v>
      </c>
      <c r="D1143" s="4" t="s">
        <v>38</v>
      </c>
      <c r="E1143" s="4" t="s">
        <v>25</v>
      </c>
      <c r="F1143" s="4" t="s">
        <v>25</v>
      </c>
      <c r="G1143" s="4" t="s">
        <v>25</v>
      </c>
      <c r="H1143" s="4" t="s">
        <v>25</v>
      </c>
      <c r="I1143" s="5">
        <v>44348</v>
      </c>
      <c r="J1143" s="6">
        <v>0</v>
      </c>
      <c r="K1143" s="6">
        <v>0</v>
      </c>
      <c r="L1143" s="6">
        <v>50.466999999999999</v>
      </c>
      <c r="M1143" s="6">
        <v>50.466999999999999</v>
      </c>
      <c r="N1143" s="6">
        <v>50.466999999999999</v>
      </c>
      <c r="O1143" s="6">
        <v>50.466999999999999</v>
      </c>
      <c r="P1143" s="6">
        <v>35</v>
      </c>
      <c r="Q1143" s="4" t="s">
        <v>26</v>
      </c>
      <c r="R1143" s="4">
        <v>0</v>
      </c>
      <c r="S1143" s="6">
        <v>0</v>
      </c>
      <c r="T1143" s="6">
        <v>61</v>
      </c>
      <c r="U1143" s="6">
        <v>7</v>
      </c>
      <c r="V1143" s="6">
        <f>IF(ISERROR(VLOOKUP($S$1143,'TAR FIN'!$A$1:$O$100,15,0)),0,VLOOKUP($S$1143,'TAR FIN'!$A$1:$O$100,15,0))</f>
        <v>0</v>
      </c>
      <c r="W1143" s="6">
        <f>IF(ISERROR(VLOOKUP($T$1143,'TAR FIN'!$A$1:$O$100,15,0)),0,VLOOKUP($T$1143,'TAR FIN'!$A$1:$O$100,15,0))</f>
        <v>285.75</v>
      </c>
      <c r="X1143" s="6">
        <f>IF(ISERROR(VLOOKUP($U$1143,'TAR FIN'!$A$1:$O$100,15,0)),0,VLOOKUP($U$1143,'TAR FIN'!$A$1:$O$100,15,0))</f>
        <v>231.33</v>
      </c>
      <c r="Y1143" s="6"/>
      <c r="Z1143" s="6">
        <f ca="1">('TUSD BE'!$AM$58+'TUSD BF'!$AM$58+'TUSD CVA'!$AM$58)*1</f>
        <v>285.64503648725872</v>
      </c>
      <c r="AA1143" s="6">
        <f>('TE BE'!$AA$41+'TE BF'!$AA$41+'TE CVA'!$AA$41)*1</f>
        <v>250.79367785689016</v>
      </c>
      <c r="AB1143" s="6">
        <f>$K$1143*$V$1143</f>
        <v>0</v>
      </c>
      <c r="AC1143" s="6">
        <f>$M$1143*$W$1143</f>
        <v>14420.945249999999</v>
      </c>
      <c r="AD1143" s="6">
        <f>$O$1143*$X$1143</f>
        <v>11674.53111</v>
      </c>
      <c r="AE1143" s="6">
        <f>$K$1143*$Y$1143</f>
        <v>0</v>
      </c>
      <c r="AF1143" s="6">
        <f ca="1">$M$1143*$Z$1143</f>
        <v>14415.648056402486</v>
      </c>
      <c r="AG1143" s="6">
        <f>$O$1143*$AA$1143</f>
        <v>12656.804540403675</v>
      </c>
    </row>
    <row r="1144" spans="1:33" ht="11.25" customHeight="1" x14ac:dyDescent="0.25">
      <c r="A1144" s="4" t="s">
        <v>21</v>
      </c>
      <c r="B1144" s="4" t="s">
        <v>37</v>
      </c>
      <c r="C1144" s="4" t="s">
        <v>23</v>
      </c>
      <c r="D1144" s="4" t="s">
        <v>38</v>
      </c>
      <c r="E1144" s="4" t="s">
        <v>25</v>
      </c>
      <c r="F1144" s="4" t="s">
        <v>25</v>
      </c>
      <c r="G1144" s="4" t="s">
        <v>25</v>
      </c>
      <c r="H1144" s="4" t="s">
        <v>25</v>
      </c>
      <c r="I1144" s="5">
        <v>44378</v>
      </c>
      <c r="J1144" s="6">
        <v>0</v>
      </c>
      <c r="K1144" s="6">
        <v>0</v>
      </c>
      <c r="L1144" s="6">
        <v>419.09399999999999</v>
      </c>
      <c r="M1144" s="6">
        <v>419.09399999999999</v>
      </c>
      <c r="N1144" s="6">
        <v>419.09399999999999</v>
      </c>
      <c r="O1144" s="6">
        <v>419.09399999999999</v>
      </c>
      <c r="P1144" s="6">
        <v>397</v>
      </c>
      <c r="Q1144" s="4" t="s">
        <v>26</v>
      </c>
      <c r="R1144" s="4">
        <v>0</v>
      </c>
      <c r="S1144" s="6">
        <v>0</v>
      </c>
      <c r="T1144" s="6">
        <v>61</v>
      </c>
      <c r="U1144" s="6">
        <v>7</v>
      </c>
      <c r="V1144" s="6">
        <f>IF(ISERROR(VLOOKUP($S$1144,'TAR FIN'!$A$1:$O$100,15,0)),0,VLOOKUP($S$1144,'TAR FIN'!$A$1:$O$100,15,0))</f>
        <v>0</v>
      </c>
      <c r="W1144" s="6">
        <f>IF(ISERROR(VLOOKUP($T$1144,'TAR FIN'!$A$1:$O$100,15,0)),0,VLOOKUP($T$1144,'TAR FIN'!$A$1:$O$100,15,0))</f>
        <v>285.75</v>
      </c>
      <c r="X1144" s="6">
        <f>IF(ISERROR(VLOOKUP($U$1144,'TAR FIN'!$A$1:$O$100,15,0)),0,VLOOKUP($U$1144,'TAR FIN'!$A$1:$O$100,15,0))</f>
        <v>231.33</v>
      </c>
      <c r="Y1144" s="6"/>
      <c r="Z1144" s="6">
        <f ca="1">('TUSD BE'!$AM$58+'TUSD BF'!$AM$58+'TUSD CVA'!$AM$58)*1</f>
        <v>285.64503648725872</v>
      </c>
      <c r="AA1144" s="6">
        <f>('TE BE'!$AA$41+'TE BF'!$AA$41+'TE CVA'!$AA$41)*1</f>
        <v>250.79367785689016</v>
      </c>
      <c r="AB1144" s="6">
        <f>$K$1144*$V$1144</f>
        <v>0</v>
      </c>
      <c r="AC1144" s="6">
        <f>$M$1144*$W$1144</f>
        <v>119756.1105</v>
      </c>
      <c r="AD1144" s="6">
        <f>$O$1144*$X$1144</f>
        <v>96949.015020000006</v>
      </c>
      <c r="AE1144" s="6">
        <f>$K$1144*$Y$1144</f>
        <v>0</v>
      </c>
      <c r="AF1144" s="6">
        <f ca="1">$M$1144*$Z$1144</f>
        <v>119712.12092159121</v>
      </c>
      <c r="AG1144" s="6">
        <f>$O$1144*$AA$1144</f>
        <v>105106.12562775552</v>
      </c>
    </row>
    <row r="1145" spans="1:33" ht="11.25" customHeight="1" x14ac:dyDescent="0.25">
      <c r="A1145" s="4" t="s">
        <v>28</v>
      </c>
      <c r="B1145" s="4" t="s">
        <v>37</v>
      </c>
      <c r="C1145" s="4" t="s">
        <v>23</v>
      </c>
      <c r="D1145" s="4" t="s">
        <v>38</v>
      </c>
      <c r="E1145" s="4" t="s">
        <v>25</v>
      </c>
      <c r="F1145" s="4" t="s">
        <v>25</v>
      </c>
      <c r="G1145" s="4" t="s">
        <v>25</v>
      </c>
      <c r="H1145" s="4" t="s">
        <v>25</v>
      </c>
      <c r="I1145" s="5">
        <v>44378</v>
      </c>
      <c r="J1145" s="6">
        <v>0</v>
      </c>
      <c r="K1145" s="6">
        <v>0</v>
      </c>
      <c r="L1145" s="6">
        <v>60.704000000000001</v>
      </c>
      <c r="M1145" s="6">
        <v>60.704000000000001</v>
      </c>
      <c r="N1145" s="6">
        <v>60.704000000000001</v>
      </c>
      <c r="O1145" s="6">
        <v>60.704000000000001</v>
      </c>
      <c r="P1145" s="6">
        <v>35</v>
      </c>
      <c r="Q1145" s="4" t="s">
        <v>26</v>
      </c>
      <c r="R1145" s="4">
        <v>0</v>
      </c>
      <c r="S1145" s="6">
        <v>0</v>
      </c>
      <c r="T1145" s="6">
        <v>61</v>
      </c>
      <c r="U1145" s="6">
        <v>7</v>
      </c>
      <c r="V1145" s="6">
        <f>IF(ISERROR(VLOOKUP($S$1145,'TAR FIN'!$A$1:$O$100,15,0)),0,VLOOKUP($S$1145,'TAR FIN'!$A$1:$O$100,15,0))</f>
        <v>0</v>
      </c>
      <c r="W1145" s="6">
        <f>IF(ISERROR(VLOOKUP($T$1145,'TAR FIN'!$A$1:$O$100,15,0)),0,VLOOKUP($T$1145,'TAR FIN'!$A$1:$O$100,15,0))</f>
        <v>285.75</v>
      </c>
      <c r="X1145" s="6">
        <f>IF(ISERROR(VLOOKUP($U$1145,'TAR FIN'!$A$1:$O$100,15,0)),0,VLOOKUP($U$1145,'TAR FIN'!$A$1:$O$100,15,0))</f>
        <v>231.33</v>
      </c>
      <c r="Y1145" s="6"/>
      <c r="Z1145" s="6">
        <f ca="1">('TUSD BE'!$AM$58+'TUSD BF'!$AM$58+'TUSD CVA'!$AM$58)*1</f>
        <v>285.64503648725872</v>
      </c>
      <c r="AA1145" s="6">
        <f>('TE BE'!$AA$41+'TE BF'!$AA$41+'TE CVA'!$AA$41)*1</f>
        <v>250.79367785689016</v>
      </c>
      <c r="AB1145" s="6">
        <f>$K$1145*$V$1145</f>
        <v>0</v>
      </c>
      <c r="AC1145" s="6">
        <f>$M$1145*$W$1145</f>
        <v>17346.168000000001</v>
      </c>
      <c r="AD1145" s="6">
        <f>$O$1145*$X$1145</f>
        <v>14042.65632</v>
      </c>
      <c r="AE1145" s="6">
        <f>$K$1145*$Y$1145</f>
        <v>0</v>
      </c>
      <c r="AF1145" s="6">
        <f ca="1">$M$1145*$Z$1145</f>
        <v>17339.796294922555</v>
      </c>
      <c r="AG1145" s="6">
        <f>$O$1145*$AA$1145</f>
        <v>15224.17942062466</v>
      </c>
    </row>
    <row r="1146" spans="1:33" ht="11.25" customHeight="1" x14ac:dyDescent="0.25">
      <c r="A1146" s="4" t="s">
        <v>21</v>
      </c>
      <c r="B1146" s="4" t="s">
        <v>37</v>
      </c>
      <c r="C1146" s="4" t="s">
        <v>23</v>
      </c>
      <c r="D1146" s="4" t="s">
        <v>38</v>
      </c>
      <c r="E1146" s="4" t="s">
        <v>25</v>
      </c>
      <c r="F1146" s="4" t="s">
        <v>25</v>
      </c>
      <c r="G1146" s="4" t="s">
        <v>25</v>
      </c>
      <c r="H1146" s="4" t="s">
        <v>25</v>
      </c>
      <c r="I1146" s="5">
        <v>44409</v>
      </c>
      <c r="J1146" s="6">
        <v>0</v>
      </c>
      <c r="K1146" s="6">
        <v>0</v>
      </c>
      <c r="L1146" s="6">
        <v>399.577</v>
      </c>
      <c r="M1146" s="6">
        <v>399.577</v>
      </c>
      <c r="N1146" s="6">
        <v>399.577</v>
      </c>
      <c r="O1146" s="6">
        <v>399.577</v>
      </c>
      <c r="P1146" s="6">
        <v>396</v>
      </c>
      <c r="Q1146" s="4" t="s">
        <v>26</v>
      </c>
      <c r="R1146" s="4">
        <v>0</v>
      </c>
      <c r="S1146" s="6">
        <v>0</v>
      </c>
      <c r="T1146" s="6">
        <v>61</v>
      </c>
      <c r="U1146" s="6">
        <v>7</v>
      </c>
      <c r="V1146" s="6">
        <f>IF(ISERROR(VLOOKUP($S$1146,'TAR FIN'!$A$1:$O$100,15,0)),0,VLOOKUP($S$1146,'TAR FIN'!$A$1:$O$100,15,0))</f>
        <v>0</v>
      </c>
      <c r="W1146" s="6">
        <f>IF(ISERROR(VLOOKUP($T$1146,'TAR FIN'!$A$1:$O$100,15,0)),0,VLOOKUP($T$1146,'TAR FIN'!$A$1:$O$100,15,0))</f>
        <v>285.75</v>
      </c>
      <c r="X1146" s="6">
        <f>IF(ISERROR(VLOOKUP($U$1146,'TAR FIN'!$A$1:$O$100,15,0)),0,VLOOKUP($U$1146,'TAR FIN'!$A$1:$O$100,15,0))</f>
        <v>231.33</v>
      </c>
      <c r="Y1146" s="6"/>
      <c r="Z1146" s="6">
        <f ca="1">('TUSD BE'!$AM$58+'TUSD BF'!$AM$58+'TUSD CVA'!$AM$58)*1</f>
        <v>285.64503648725872</v>
      </c>
      <c r="AA1146" s="6">
        <f>('TE BE'!$AA$41+'TE BF'!$AA$41+'TE CVA'!$AA$41)*1</f>
        <v>250.79367785689016</v>
      </c>
      <c r="AB1146" s="6">
        <f>$K$1146*$V$1146</f>
        <v>0</v>
      </c>
      <c r="AC1146" s="6">
        <f>$M$1146*$W$1146</f>
        <v>114179.12775</v>
      </c>
      <c r="AD1146" s="6">
        <f>$O$1146*$X$1146</f>
        <v>92434.147410000005</v>
      </c>
      <c r="AE1146" s="6">
        <f>$K$1146*$Y$1146</f>
        <v>0</v>
      </c>
      <c r="AF1146" s="6">
        <f ca="1">$M$1146*$Z$1146</f>
        <v>114137.18674446938</v>
      </c>
      <c r="AG1146" s="6">
        <f>$O$1146*$AA$1146</f>
        <v>100211.3854170226</v>
      </c>
    </row>
    <row r="1147" spans="1:33" ht="11.25" customHeight="1" x14ac:dyDescent="0.25">
      <c r="A1147" s="4" t="s">
        <v>27</v>
      </c>
      <c r="B1147" s="4" t="s">
        <v>37</v>
      </c>
      <c r="C1147" s="4" t="s">
        <v>23</v>
      </c>
      <c r="D1147" s="4" t="s">
        <v>38</v>
      </c>
      <c r="E1147" s="4" t="s">
        <v>25</v>
      </c>
      <c r="F1147" s="4" t="s">
        <v>25</v>
      </c>
      <c r="G1147" s="4" t="s">
        <v>25</v>
      </c>
      <c r="H1147" s="4" t="s">
        <v>25</v>
      </c>
      <c r="I1147" s="5">
        <v>44409</v>
      </c>
      <c r="J1147" s="6">
        <v>0</v>
      </c>
      <c r="K1147" s="6">
        <v>0</v>
      </c>
      <c r="L1147" s="6">
        <v>-0.80600000000000005</v>
      </c>
      <c r="M1147" s="6">
        <v>-0.80600000000000005</v>
      </c>
      <c r="N1147" s="6">
        <v>-0.80600000000000005</v>
      </c>
      <c r="O1147" s="6">
        <v>-0.80600000000000005</v>
      </c>
      <c r="P1147" s="6">
        <v>0</v>
      </c>
      <c r="Q1147" s="4" t="s">
        <v>26</v>
      </c>
      <c r="R1147" s="4">
        <v>0</v>
      </c>
      <c r="S1147" s="6">
        <v>0</v>
      </c>
      <c r="T1147" s="6">
        <v>61</v>
      </c>
      <c r="U1147" s="6">
        <v>7</v>
      </c>
      <c r="V1147" s="6">
        <f>IF(ISERROR(VLOOKUP($S$1147,'TAR FIN'!$A$1:$O$100,15,0)),0,VLOOKUP($S$1147,'TAR FIN'!$A$1:$O$100,15,0))</f>
        <v>0</v>
      </c>
      <c r="W1147" s="6">
        <f>IF(ISERROR(VLOOKUP($T$1147,'TAR FIN'!$A$1:$O$100,15,0)),0,VLOOKUP($T$1147,'TAR FIN'!$A$1:$O$100,15,0))</f>
        <v>285.75</v>
      </c>
      <c r="X1147" s="6">
        <f>IF(ISERROR(VLOOKUP($U$1147,'TAR FIN'!$A$1:$O$100,15,0)),0,VLOOKUP($U$1147,'TAR FIN'!$A$1:$O$100,15,0))</f>
        <v>231.33</v>
      </c>
      <c r="Y1147" s="6"/>
      <c r="Z1147" s="6">
        <f ca="1">('TUSD BE'!$AM$58+'TUSD BF'!$AM$58+'TUSD CVA'!$AM$58)*1</f>
        <v>285.64503648725872</v>
      </c>
      <c r="AA1147" s="6">
        <f>('TE BE'!$AA$41+'TE BF'!$AA$41+'TE CVA'!$AA$41)*1</f>
        <v>250.79367785689016</v>
      </c>
      <c r="AB1147" s="6">
        <f>$K$1147*$V$1147</f>
        <v>0</v>
      </c>
      <c r="AC1147" s="6">
        <f>$M$1147*$W$1147</f>
        <v>-230.31450000000001</v>
      </c>
      <c r="AD1147" s="6">
        <f>$O$1147*$X$1147</f>
        <v>-186.45198000000002</v>
      </c>
      <c r="AE1147" s="6">
        <f>$K$1147*$Y$1147</f>
        <v>0</v>
      </c>
      <c r="AF1147" s="6">
        <f ca="1">$M$1147*$Z$1147</f>
        <v>-230.22989940873055</v>
      </c>
      <c r="AG1147" s="6">
        <f>$O$1147*$AA$1147</f>
        <v>-202.13970435265347</v>
      </c>
    </row>
    <row r="1148" spans="1:33" ht="11.25" customHeight="1" x14ac:dyDescent="0.25">
      <c r="A1148" s="4" t="s">
        <v>28</v>
      </c>
      <c r="B1148" s="4" t="s">
        <v>37</v>
      </c>
      <c r="C1148" s="4" t="s">
        <v>23</v>
      </c>
      <c r="D1148" s="4" t="s">
        <v>38</v>
      </c>
      <c r="E1148" s="4" t="s">
        <v>25</v>
      </c>
      <c r="F1148" s="4" t="s">
        <v>25</v>
      </c>
      <c r="G1148" s="4" t="s">
        <v>25</v>
      </c>
      <c r="H1148" s="4" t="s">
        <v>25</v>
      </c>
      <c r="I1148" s="5">
        <v>44409</v>
      </c>
      <c r="J1148" s="6">
        <v>0</v>
      </c>
      <c r="K1148" s="6">
        <v>0</v>
      </c>
      <c r="L1148" s="6">
        <v>55.6</v>
      </c>
      <c r="M1148" s="6">
        <v>55.6</v>
      </c>
      <c r="N1148" s="6">
        <v>55.6</v>
      </c>
      <c r="O1148" s="6">
        <v>55.6</v>
      </c>
      <c r="P1148" s="6">
        <v>36</v>
      </c>
      <c r="Q1148" s="4" t="s">
        <v>26</v>
      </c>
      <c r="R1148" s="4">
        <v>0</v>
      </c>
      <c r="S1148" s="6">
        <v>0</v>
      </c>
      <c r="T1148" s="6">
        <v>61</v>
      </c>
      <c r="U1148" s="6">
        <v>7</v>
      </c>
      <c r="V1148" s="6">
        <f>IF(ISERROR(VLOOKUP($S$1148,'TAR FIN'!$A$1:$O$100,15,0)),0,VLOOKUP($S$1148,'TAR FIN'!$A$1:$O$100,15,0))</f>
        <v>0</v>
      </c>
      <c r="W1148" s="6">
        <f>IF(ISERROR(VLOOKUP($T$1148,'TAR FIN'!$A$1:$O$100,15,0)),0,VLOOKUP($T$1148,'TAR FIN'!$A$1:$O$100,15,0))</f>
        <v>285.75</v>
      </c>
      <c r="X1148" s="6">
        <f>IF(ISERROR(VLOOKUP($U$1148,'TAR FIN'!$A$1:$O$100,15,0)),0,VLOOKUP($U$1148,'TAR FIN'!$A$1:$O$100,15,0))</f>
        <v>231.33</v>
      </c>
      <c r="Y1148" s="6"/>
      <c r="Z1148" s="6">
        <f ca="1">('TUSD BE'!$AM$58+'TUSD BF'!$AM$58+'TUSD CVA'!$AM$58)*1</f>
        <v>285.64503648725872</v>
      </c>
      <c r="AA1148" s="6">
        <f>('TE BE'!$AA$41+'TE BF'!$AA$41+'TE CVA'!$AA$41)*1</f>
        <v>250.79367785689016</v>
      </c>
      <c r="AB1148" s="6">
        <f>$K$1148*$V$1148</f>
        <v>0</v>
      </c>
      <c r="AC1148" s="6">
        <f>$M$1148*$W$1148</f>
        <v>15887.7</v>
      </c>
      <c r="AD1148" s="6">
        <f>$O$1148*$X$1148</f>
        <v>12861.948</v>
      </c>
      <c r="AE1148" s="6">
        <f>$K$1148*$Y$1148</f>
        <v>0</v>
      </c>
      <c r="AF1148" s="6">
        <f ca="1">$M$1148*$Z$1148</f>
        <v>15881.864028691585</v>
      </c>
      <c r="AG1148" s="6">
        <f>$O$1148*$AA$1148</f>
        <v>13944.128488843093</v>
      </c>
    </row>
    <row r="1149" spans="1:33" ht="11.25" customHeight="1" x14ac:dyDescent="0.25">
      <c r="A1149" s="4" t="s">
        <v>21</v>
      </c>
      <c r="B1149" s="4" t="s">
        <v>37</v>
      </c>
      <c r="C1149" s="4" t="s">
        <v>23</v>
      </c>
      <c r="D1149" s="4" t="s">
        <v>38</v>
      </c>
      <c r="E1149" s="4" t="s">
        <v>25</v>
      </c>
      <c r="F1149" s="4" t="s">
        <v>25</v>
      </c>
      <c r="G1149" s="4" t="s">
        <v>25</v>
      </c>
      <c r="H1149" s="4" t="s">
        <v>25</v>
      </c>
      <c r="I1149" s="5">
        <v>44440</v>
      </c>
      <c r="J1149" s="6">
        <v>0</v>
      </c>
      <c r="K1149" s="6">
        <v>0</v>
      </c>
      <c r="L1149" s="6">
        <v>402.161</v>
      </c>
      <c r="M1149" s="6">
        <v>402.161</v>
      </c>
      <c r="N1149" s="6">
        <v>402.161</v>
      </c>
      <c r="O1149" s="6">
        <v>402.161</v>
      </c>
      <c r="P1149" s="6">
        <v>395</v>
      </c>
      <c r="Q1149" s="4" t="s">
        <v>26</v>
      </c>
      <c r="R1149" s="4">
        <v>0</v>
      </c>
      <c r="S1149" s="6">
        <v>0</v>
      </c>
      <c r="T1149" s="6">
        <v>61</v>
      </c>
      <c r="U1149" s="6">
        <v>7</v>
      </c>
      <c r="V1149" s="6">
        <f>IF(ISERROR(VLOOKUP($S$1149,'TAR FIN'!$A$1:$O$100,15,0)),0,VLOOKUP($S$1149,'TAR FIN'!$A$1:$O$100,15,0))</f>
        <v>0</v>
      </c>
      <c r="W1149" s="6">
        <f>IF(ISERROR(VLOOKUP($T$1149,'TAR FIN'!$A$1:$O$100,15,0)),0,VLOOKUP($T$1149,'TAR FIN'!$A$1:$O$100,15,0))</f>
        <v>285.75</v>
      </c>
      <c r="X1149" s="6">
        <f>IF(ISERROR(VLOOKUP($U$1149,'TAR FIN'!$A$1:$O$100,15,0)),0,VLOOKUP($U$1149,'TAR FIN'!$A$1:$O$100,15,0))</f>
        <v>231.33</v>
      </c>
      <c r="Y1149" s="6"/>
      <c r="Z1149" s="6">
        <f ca="1">('TUSD BE'!$AM$58+'TUSD BF'!$AM$58+'TUSD CVA'!$AM$58)*1</f>
        <v>285.64503648725872</v>
      </c>
      <c r="AA1149" s="6">
        <f>('TE BE'!$AA$41+'TE BF'!$AA$41+'TE CVA'!$AA$41)*1</f>
        <v>250.79367785689016</v>
      </c>
      <c r="AB1149" s="6">
        <f>$K$1149*$V$1149</f>
        <v>0</v>
      </c>
      <c r="AC1149" s="6">
        <f>$M$1149*$W$1149</f>
        <v>114917.50575</v>
      </c>
      <c r="AD1149" s="6">
        <f>$O$1149*$X$1149</f>
        <v>93031.90413000001</v>
      </c>
      <c r="AE1149" s="6">
        <f>$K$1149*$Y$1149</f>
        <v>0</v>
      </c>
      <c r="AF1149" s="6">
        <f ca="1">$M$1149*$Z$1149</f>
        <v>114875.29351875246</v>
      </c>
      <c r="AG1149" s="6">
        <f>$O$1149*$AA$1149</f>
        <v>100859.4362806048</v>
      </c>
    </row>
    <row r="1150" spans="1:33" ht="11.25" customHeight="1" x14ac:dyDescent="0.25">
      <c r="A1150" s="4" t="s">
        <v>28</v>
      </c>
      <c r="B1150" s="4" t="s">
        <v>37</v>
      </c>
      <c r="C1150" s="4" t="s">
        <v>23</v>
      </c>
      <c r="D1150" s="4" t="s">
        <v>38</v>
      </c>
      <c r="E1150" s="4" t="s">
        <v>25</v>
      </c>
      <c r="F1150" s="4" t="s">
        <v>25</v>
      </c>
      <c r="G1150" s="4" t="s">
        <v>25</v>
      </c>
      <c r="H1150" s="4" t="s">
        <v>25</v>
      </c>
      <c r="I1150" s="5">
        <v>44440</v>
      </c>
      <c r="J1150" s="6">
        <v>0</v>
      </c>
      <c r="K1150" s="6">
        <v>0</v>
      </c>
      <c r="L1150" s="6">
        <v>52.469000000000001</v>
      </c>
      <c r="M1150" s="6">
        <v>52.469000000000001</v>
      </c>
      <c r="N1150" s="6">
        <v>52.469000000000001</v>
      </c>
      <c r="O1150" s="6">
        <v>52.469000000000001</v>
      </c>
      <c r="P1150" s="6">
        <v>39</v>
      </c>
      <c r="Q1150" s="4" t="s">
        <v>26</v>
      </c>
      <c r="R1150" s="4">
        <v>0</v>
      </c>
      <c r="S1150" s="6">
        <v>0</v>
      </c>
      <c r="T1150" s="6">
        <v>61</v>
      </c>
      <c r="U1150" s="6">
        <v>7</v>
      </c>
      <c r="V1150" s="6">
        <f>IF(ISERROR(VLOOKUP($S$1150,'TAR FIN'!$A$1:$O$100,15,0)),0,VLOOKUP($S$1150,'TAR FIN'!$A$1:$O$100,15,0))</f>
        <v>0</v>
      </c>
      <c r="W1150" s="6">
        <f>IF(ISERROR(VLOOKUP($T$1150,'TAR FIN'!$A$1:$O$100,15,0)),0,VLOOKUP($T$1150,'TAR FIN'!$A$1:$O$100,15,0))</f>
        <v>285.75</v>
      </c>
      <c r="X1150" s="6">
        <f>IF(ISERROR(VLOOKUP($U$1150,'TAR FIN'!$A$1:$O$100,15,0)),0,VLOOKUP($U$1150,'TAR FIN'!$A$1:$O$100,15,0))</f>
        <v>231.33</v>
      </c>
      <c r="Y1150" s="6"/>
      <c r="Z1150" s="6">
        <f ca="1">('TUSD BE'!$AM$58+'TUSD BF'!$AM$58+'TUSD CVA'!$AM$58)*1</f>
        <v>285.64503648725872</v>
      </c>
      <c r="AA1150" s="6">
        <f>('TE BE'!$AA$41+'TE BF'!$AA$41+'TE CVA'!$AA$41)*1</f>
        <v>250.79367785689016</v>
      </c>
      <c r="AB1150" s="6">
        <f>$K$1150*$V$1150</f>
        <v>0</v>
      </c>
      <c r="AC1150" s="6">
        <f>$M$1150*$W$1150</f>
        <v>14993.016750000001</v>
      </c>
      <c r="AD1150" s="6">
        <f>$O$1150*$X$1150</f>
        <v>12137.653770000001</v>
      </c>
      <c r="AE1150" s="6">
        <f>$K$1150*$Y$1150</f>
        <v>0</v>
      </c>
      <c r="AF1150" s="6">
        <f ca="1">$M$1150*$Z$1150</f>
        <v>14987.509419449978</v>
      </c>
      <c r="AG1150" s="6">
        <f>$O$1150*$AA$1150</f>
        <v>13158.89348347317</v>
      </c>
    </row>
    <row r="1151" spans="1:33" ht="11.25" customHeight="1" x14ac:dyDescent="0.25">
      <c r="A1151" s="4" t="s">
        <v>21</v>
      </c>
      <c r="B1151" s="4" t="s">
        <v>37</v>
      </c>
      <c r="C1151" s="4" t="s">
        <v>23</v>
      </c>
      <c r="D1151" s="4" t="s">
        <v>38</v>
      </c>
      <c r="E1151" s="4" t="s">
        <v>25</v>
      </c>
      <c r="F1151" s="4" t="s">
        <v>25</v>
      </c>
      <c r="G1151" s="4" t="s">
        <v>25</v>
      </c>
      <c r="H1151" s="4" t="s">
        <v>25</v>
      </c>
      <c r="I1151" s="5">
        <v>44470</v>
      </c>
      <c r="J1151" s="6">
        <v>0</v>
      </c>
      <c r="K1151" s="6">
        <v>0</v>
      </c>
      <c r="L1151" s="6">
        <v>396.13400000000001</v>
      </c>
      <c r="M1151" s="6">
        <v>396.13400000000001</v>
      </c>
      <c r="N1151" s="6">
        <v>396.13400000000001</v>
      </c>
      <c r="O1151" s="6">
        <v>396.13400000000001</v>
      </c>
      <c r="P1151" s="6">
        <v>390</v>
      </c>
      <c r="Q1151" s="4" t="s">
        <v>26</v>
      </c>
      <c r="R1151" s="4">
        <v>0</v>
      </c>
      <c r="S1151" s="6">
        <v>0</v>
      </c>
      <c r="T1151" s="6">
        <v>61</v>
      </c>
      <c r="U1151" s="6">
        <v>7</v>
      </c>
      <c r="V1151" s="6">
        <f>IF(ISERROR(VLOOKUP($S$1151,'TAR FIN'!$A$1:$O$100,15,0)),0,VLOOKUP($S$1151,'TAR FIN'!$A$1:$O$100,15,0))</f>
        <v>0</v>
      </c>
      <c r="W1151" s="6">
        <f>IF(ISERROR(VLOOKUP($T$1151,'TAR FIN'!$A$1:$O$100,15,0)),0,VLOOKUP($T$1151,'TAR FIN'!$A$1:$O$100,15,0))</f>
        <v>285.75</v>
      </c>
      <c r="X1151" s="6">
        <f>IF(ISERROR(VLOOKUP($U$1151,'TAR FIN'!$A$1:$O$100,15,0)),0,VLOOKUP($U$1151,'TAR FIN'!$A$1:$O$100,15,0))</f>
        <v>231.33</v>
      </c>
      <c r="Y1151" s="6"/>
      <c r="Z1151" s="6">
        <f ca="1">('TUSD BE'!$AM$58+'TUSD BF'!$AM$58+'TUSD CVA'!$AM$58)*1</f>
        <v>285.64503648725872</v>
      </c>
      <c r="AA1151" s="6">
        <f>('TE BE'!$AA$41+'TE BF'!$AA$41+'TE CVA'!$AA$41)*1</f>
        <v>250.79367785689016</v>
      </c>
      <c r="AB1151" s="6">
        <f>$K$1151*$V$1151</f>
        <v>0</v>
      </c>
      <c r="AC1151" s="6">
        <f>$M$1151*$W$1151</f>
        <v>113195.2905</v>
      </c>
      <c r="AD1151" s="6">
        <f>$O$1151*$X$1151</f>
        <v>91637.678220000002</v>
      </c>
      <c r="AE1151" s="6">
        <f>$K$1151*$Y$1151</f>
        <v>0</v>
      </c>
      <c r="AF1151" s="6">
        <f ca="1">$M$1151*$Z$1151</f>
        <v>113153.71088384376</v>
      </c>
      <c r="AG1151" s="6">
        <f>$O$1151*$AA$1151</f>
        <v>99347.902784161328</v>
      </c>
    </row>
    <row r="1152" spans="1:33" ht="11.25" customHeight="1" x14ac:dyDescent="0.25">
      <c r="A1152" s="4" t="s">
        <v>28</v>
      </c>
      <c r="B1152" s="4" t="s">
        <v>37</v>
      </c>
      <c r="C1152" s="4" t="s">
        <v>23</v>
      </c>
      <c r="D1152" s="4" t="s">
        <v>38</v>
      </c>
      <c r="E1152" s="4" t="s">
        <v>25</v>
      </c>
      <c r="F1152" s="4" t="s">
        <v>25</v>
      </c>
      <c r="G1152" s="4" t="s">
        <v>25</v>
      </c>
      <c r="H1152" s="4" t="s">
        <v>25</v>
      </c>
      <c r="I1152" s="5">
        <v>44470</v>
      </c>
      <c r="J1152" s="6">
        <v>0</v>
      </c>
      <c r="K1152" s="6">
        <v>0</v>
      </c>
      <c r="L1152" s="6">
        <v>55.122</v>
      </c>
      <c r="M1152" s="6">
        <v>55.122</v>
      </c>
      <c r="N1152" s="6">
        <v>55.122</v>
      </c>
      <c r="O1152" s="6">
        <v>55.122</v>
      </c>
      <c r="P1152" s="6">
        <v>42</v>
      </c>
      <c r="Q1152" s="4" t="s">
        <v>26</v>
      </c>
      <c r="R1152" s="4">
        <v>0</v>
      </c>
      <c r="S1152" s="6">
        <v>0</v>
      </c>
      <c r="T1152" s="6">
        <v>61</v>
      </c>
      <c r="U1152" s="6">
        <v>7</v>
      </c>
      <c r="V1152" s="6">
        <f>IF(ISERROR(VLOOKUP($S$1152,'TAR FIN'!$A$1:$O$100,15,0)),0,VLOOKUP($S$1152,'TAR FIN'!$A$1:$O$100,15,0))</f>
        <v>0</v>
      </c>
      <c r="W1152" s="6">
        <f>IF(ISERROR(VLOOKUP($T$1152,'TAR FIN'!$A$1:$O$100,15,0)),0,VLOOKUP($T$1152,'TAR FIN'!$A$1:$O$100,15,0))</f>
        <v>285.75</v>
      </c>
      <c r="X1152" s="6">
        <f>IF(ISERROR(VLOOKUP($U$1152,'TAR FIN'!$A$1:$O$100,15,0)),0,VLOOKUP($U$1152,'TAR FIN'!$A$1:$O$100,15,0))</f>
        <v>231.33</v>
      </c>
      <c r="Y1152" s="6"/>
      <c r="Z1152" s="6">
        <f ca="1">('TUSD BE'!$AM$58+'TUSD BF'!$AM$58+'TUSD CVA'!$AM$58)*1</f>
        <v>285.64503648725872</v>
      </c>
      <c r="AA1152" s="6">
        <f>('TE BE'!$AA$41+'TE BF'!$AA$41+'TE CVA'!$AA$41)*1</f>
        <v>250.79367785689016</v>
      </c>
      <c r="AB1152" s="6">
        <f>$K$1152*$V$1152</f>
        <v>0</v>
      </c>
      <c r="AC1152" s="6">
        <f>$M$1152*$W$1152</f>
        <v>15751.111499999999</v>
      </c>
      <c r="AD1152" s="6">
        <f>$O$1152*$X$1152</f>
        <v>12751.37226</v>
      </c>
      <c r="AE1152" s="6">
        <f>$K$1152*$Y$1152</f>
        <v>0</v>
      </c>
      <c r="AF1152" s="6">
        <f ca="1">$M$1152*$Z$1152</f>
        <v>15745.325701250675</v>
      </c>
      <c r="AG1152" s="6">
        <f>$O$1152*$AA$1152</f>
        <v>13824.249110827499</v>
      </c>
    </row>
    <row r="1153" spans="1:33" ht="11.25" customHeight="1" x14ac:dyDescent="0.25">
      <c r="A1153" s="4" t="s">
        <v>21</v>
      </c>
      <c r="B1153" s="4" t="s">
        <v>37</v>
      </c>
      <c r="C1153" s="4" t="s">
        <v>23</v>
      </c>
      <c r="D1153" s="4" t="s">
        <v>38</v>
      </c>
      <c r="E1153" s="4" t="s">
        <v>25</v>
      </c>
      <c r="F1153" s="4" t="s">
        <v>25</v>
      </c>
      <c r="G1153" s="4" t="s">
        <v>25</v>
      </c>
      <c r="H1153" s="4" t="s">
        <v>25</v>
      </c>
      <c r="I1153" s="5">
        <v>44501</v>
      </c>
      <c r="J1153" s="6">
        <v>0</v>
      </c>
      <c r="K1153" s="6">
        <v>0</v>
      </c>
      <c r="L1153" s="6">
        <v>358.63400000000001</v>
      </c>
      <c r="M1153" s="6">
        <v>358.63400000000001</v>
      </c>
      <c r="N1153" s="6">
        <v>358.63400000000001</v>
      </c>
      <c r="O1153" s="6">
        <v>358.63400000000001</v>
      </c>
      <c r="P1153" s="6">
        <v>390</v>
      </c>
      <c r="Q1153" s="4" t="s">
        <v>26</v>
      </c>
      <c r="R1153" s="4">
        <v>0</v>
      </c>
      <c r="S1153" s="6">
        <v>0</v>
      </c>
      <c r="T1153" s="6">
        <v>61</v>
      </c>
      <c r="U1153" s="6">
        <v>7</v>
      </c>
      <c r="V1153" s="6">
        <f>IF(ISERROR(VLOOKUP($S$1153,'TAR FIN'!$A$1:$O$100,15,0)),0,VLOOKUP($S$1153,'TAR FIN'!$A$1:$O$100,15,0))</f>
        <v>0</v>
      </c>
      <c r="W1153" s="6">
        <f>IF(ISERROR(VLOOKUP($T$1153,'TAR FIN'!$A$1:$O$100,15,0)),0,VLOOKUP($T$1153,'TAR FIN'!$A$1:$O$100,15,0))</f>
        <v>285.75</v>
      </c>
      <c r="X1153" s="6">
        <f>IF(ISERROR(VLOOKUP($U$1153,'TAR FIN'!$A$1:$O$100,15,0)),0,VLOOKUP($U$1153,'TAR FIN'!$A$1:$O$100,15,0))</f>
        <v>231.33</v>
      </c>
      <c r="Y1153" s="6"/>
      <c r="Z1153" s="6">
        <f ca="1">('TUSD BE'!$AM$58+'TUSD BF'!$AM$58+'TUSD CVA'!$AM$58)*1</f>
        <v>285.64503648725872</v>
      </c>
      <c r="AA1153" s="6">
        <f>('TE BE'!$AA$41+'TE BF'!$AA$41+'TE CVA'!$AA$41)*1</f>
        <v>250.79367785689016</v>
      </c>
      <c r="AB1153" s="6">
        <f>$K$1153*$V$1153</f>
        <v>0</v>
      </c>
      <c r="AC1153" s="6">
        <f>$M$1153*$W$1153</f>
        <v>102479.6655</v>
      </c>
      <c r="AD1153" s="6">
        <f>$O$1153*$X$1153</f>
        <v>82962.803220000002</v>
      </c>
      <c r="AE1153" s="6">
        <f>$K$1153*$Y$1153</f>
        <v>0</v>
      </c>
      <c r="AF1153" s="6">
        <f ca="1">$M$1153*$Z$1153</f>
        <v>102442.02201557155</v>
      </c>
      <c r="AG1153" s="6">
        <f>$O$1153*$AA$1153</f>
        <v>89943.139864527955</v>
      </c>
    </row>
    <row r="1154" spans="1:33" ht="11.25" customHeight="1" x14ac:dyDescent="0.25">
      <c r="A1154" s="4" t="s">
        <v>27</v>
      </c>
      <c r="B1154" s="4" t="s">
        <v>37</v>
      </c>
      <c r="C1154" s="4" t="s">
        <v>23</v>
      </c>
      <c r="D1154" s="4" t="s">
        <v>38</v>
      </c>
      <c r="E1154" s="4" t="s">
        <v>25</v>
      </c>
      <c r="F1154" s="4" t="s">
        <v>25</v>
      </c>
      <c r="G1154" s="4" t="s">
        <v>25</v>
      </c>
      <c r="H1154" s="4" t="s">
        <v>25</v>
      </c>
      <c r="I1154" s="5">
        <v>44501</v>
      </c>
      <c r="J1154" s="6">
        <v>0</v>
      </c>
      <c r="K1154" s="6">
        <v>0</v>
      </c>
      <c r="L1154" s="6">
        <v>-0.25700000000000001</v>
      </c>
      <c r="M1154" s="6">
        <v>-0.25700000000000001</v>
      </c>
      <c r="N1154" s="6">
        <v>-0.25700000000000001</v>
      </c>
      <c r="O1154" s="6">
        <v>-0.25700000000000001</v>
      </c>
      <c r="P1154" s="6">
        <v>0</v>
      </c>
      <c r="Q1154" s="4" t="s">
        <v>26</v>
      </c>
      <c r="R1154" s="4">
        <v>0</v>
      </c>
      <c r="S1154" s="6">
        <v>0</v>
      </c>
      <c r="T1154" s="6">
        <v>61</v>
      </c>
      <c r="U1154" s="6">
        <v>7</v>
      </c>
      <c r="V1154" s="6">
        <f>IF(ISERROR(VLOOKUP($S$1154,'TAR FIN'!$A$1:$O$100,15,0)),0,VLOOKUP($S$1154,'TAR FIN'!$A$1:$O$100,15,0))</f>
        <v>0</v>
      </c>
      <c r="W1154" s="6">
        <f>IF(ISERROR(VLOOKUP($T$1154,'TAR FIN'!$A$1:$O$100,15,0)),0,VLOOKUP($T$1154,'TAR FIN'!$A$1:$O$100,15,0))</f>
        <v>285.75</v>
      </c>
      <c r="X1154" s="6">
        <f>IF(ISERROR(VLOOKUP($U$1154,'TAR FIN'!$A$1:$O$100,15,0)),0,VLOOKUP($U$1154,'TAR FIN'!$A$1:$O$100,15,0))</f>
        <v>231.33</v>
      </c>
      <c r="Y1154" s="6"/>
      <c r="Z1154" s="6">
        <f ca="1">('TUSD BE'!$AM$58+'TUSD BF'!$AM$58+'TUSD CVA'!$AM$58)*1</f>
        <v>285.64503648725872</v>
      </c>
      <c r="AA1154" s="6">
        <f>('TE BE'!$AA$41+'TE BF'!$AA$41+'TE CVA'!$AA$41)*1</f>
        <v>250.79367785689016</v>
      </c>
      <c r="AB1154" s="6">
        <f>$K$1154*$V$1154</f>
        <v>0</v>
      </c>
      <c r="AC1154" s="6">
        <f>$M$1154*$W$1154</f>
        <v>-73.437750000000008</v>
      </c>
      <c r="AD1154" s="6">
        <f>$O$1154*$X$1154</f>
        <v>-59.451810000000002</v>
      </c>
      <c r="AE1154" s="6">
        <f>$K$1154*$Y$1154</f>
        <v>0</v>
      </c>
      <c r="AF1154" s="6">
        <f ca="1">$M$1154*$Z$1154</f>
        <v>-73.410774377225493</v>
      </c>
      <c r="AG1154" s="6">
        <f>$O$1154*$AA$1154</f>
        <v>-64.453975209220772</v>
      </c>
    </row>
    <row r="1155" spans="1:33" ht="11.25" customHeight="1" x14ac:dyDescent="0.25">
      <c r="A1155" s="4" t="s">
        <v>28</v>
      </c>
      <c r="B1155" s="4" t="s">
        <v>37</v>
      </c>
      <c r="C1155" s="4" t="s">
        <v>23</v>
      </c>
      <c r="D1155" s="4" t="s">
        <v>38</v>
      </c>
      <c r="E1155" s="4" t="s">
        <v>25</v>
      </c>
      <c r="F1155" s="4" t="s">
        <v>25</v>
      </c>
      <c r="G1155" s="4" t="s">
        <v>25</v>
      </c>
      <c r="H1155" s="4" t="s">
        <v>25</v>
      </c>
      <c r="I1155" s="5">
        <v>44501</v>
      </c>
      <c r="J1155" s="6">
        <v>0</v>
      </c>
      <c r="K1155" s="6">
        <v>0</v>
      </c>
      <c r="L1155" s="6">
        <v>51.185000000000002</v>
      </c>
      <c r="M1155" s="6">
        <v>51.185000000000002</v>
      </c>
      <c r="N1155" s="6">
        <v>51.185000000000002</v>
      </c>
      <c r="O1155" s="6">
        <v>51.185000000000002</v>
      </c>
      <c r="P1155" s="6">
        <v>45</v>
      </c>
      <c r="Q1155" s="4" t="s">
        <v>26</v>
      </c>
      <c r="R1155" s="4">
        <v>0</v>
      </c>
      <c r="S1155" s="6">
        <v>0</v>
      </c>
      <c r="T1155" s="6">
        <v>61</v>
      </c>
      <c r="U1155" s="6">
        <v>7</v>
      </c>
      <c r="V1155" s="6">
        <f>IF(ISERROR(VLOOKUP($S$1155,'TAR FIN'!$A$1:$O$100,15,0)),0,VLOOKUP($S$1155,'TAR FIN'!$A$1:$O$100,15,0))</f>
        <v>0</v>
      </c>
      <c r="W1155" s="6">
        <f>IF(ISERROR(VLOOKUP($T$1155,'TAR FIN'!$A$1:$O$100,15,0)),0,VLOOKUP($T$1155,'TAR FIN'!$A$1:$O$100,15,0))</f>
        <v>285.75</v>
      </c>
      <c r="X1155" s="6">
        <f>IF(ISERROR(VLOOKUP($U$1155,'TAR FIN'!$A$1:$O$100,15,0)),0,VLOOKUP($U$1155,'TAR FIN'!$A$1:$O$100,15,0))</f>
        <v>231.33</v>
      </c>
      <c r="Y1155" s="6"/>
      <c r="Z1155" s="6">
        <f ca="1">('TUSD BE'!$AM$58+'TUSD BF'!$AM$58+'TUSD CVA'!$AM$58)*1</f>
        <v>285.64503648725872</v>
      </c>
      <c r="AA1155" s="6">
        <f>('TE BE'!$AA$41+'TE BF'!$AA$41+'TE CVA'!$AA$41)*1</f>
        <v>250.79367785689016</v>
      </c>
      <c r="AB1155" s="6">
        <f>$K$1155*$V$1155</f>
        <v>0</v>
      </c>
      <c r="AC1155" s="6">
        <f>$M$1155*$W$1155</f>
        <v>14626.11375</v>
      </c>
      <c r="AD1155" s="6">
        <f>$O$1155*$X$1155</f>
        <v>11840.626050000001</v>
      </c>
      <c r="AE1155" s="6">
        <f>$K$1155*$Y$1155</f>
        <v>0</v>
      </c>
      <c r="AF1155" s="6">
        <f ca="1">$M$1155*$Z$1155</f>
        <v>14620.741192600339</v>
      </c>
      <c r="AG1155" s="6">
        <f>$O$1155*$AA$1155</f>
        <v>12836.874401104924</v>
      </c>
    </row>
    <row r="1156" spans="1:33" ht="11.25" customHeight="1" x14ac:dyDescent="0.25">
      <c r="A1156" s="4" t="s">
        <v>21</v>
      </c>
      <c r="B1156" s="4" t="s">
        <v>37</v>
      </c>
      <c r="C1156" s="4" t="s">
        <v>23</v>
      </c>
      <c r="D1156" s="4" t="s">
        <v>38</v>
      </c>
      <c r="E1156" s="4" t="s">
        <v>25</v>
      </c>
      <c r="F1156" s="4" t="s">
        <v>25</v>
      </c>
      <c r="G1156" s="4" t="s">
        <v>25</v>
      </c>
      <c r="H1156" s="4" t="s">
        <v>25</v>
      </c>
      <c r="I1156" s="5">
        <v>44531</v>
      </c>
      <c r="J1156" s="6">
        <v>0</v>
      </c>
      <c r="K1156" s="6">
        <v>0</v>
      </c>
      <c r="L1156" s="6">
        <v>377.56599999999997</v>
      </c>
      <c r="M1156" s="6">
        <v>377.56599999999997</v>
      </c>
      <c r="N1156" s="6">
        <v>377.56599999999997</v>
      </c>
      <c r="O1156" s="6">
        <v>377.56599999999997</v>
      </c>
      <c r="P1156" s="6">
        <v>384</v>
      </c>
      <c r="Q1156" s="4" t="s">
        <v>26</v>
      </c>
      <c r="R1156" s="4">
        <v>0</v>
      </c>
      <c r="S1156" s="6">
        <v>0</v>
      </c>
      <c r="T1156" s="6">
        <v>61</v>
      </c>
      <c r="U1156" s="6">
        <v>7</v>
      </c>
      <c r="V1156" s="6">
        <f>IF(ISERROR(VLOOKUP($S$1156,'TAR FIN'!$A$1:$O$100,15,0)),0,VLOOKUP($S$1156,'TAR FIN'!$A$1:$O$100,15,0))</f>
        <v>0</v>
      </c>
      <c r="W1156" s="6">
        <f>IF(ISERROR(VLOOKUP($T$1156,'TAR FIN'!$A$1:$O$100,15,0)),0,VLOOKUP($T$1156,'TAR FIN'!$A$1:$O$100,15,0))</f>
        <v>285.75</v>
      </c>
      <c r="X1156" s="6">
        <f>IF(ISERROR(VLOOKUP($U$1156,'TAR FIN'!$A$1:$O$100,15,0)),0,VLOOKUP($U$1156,'TAR FIN'!$A$1:$O$100,15,0))</f>
        <v>231.33</v>
      </c>
      <c r="Y1156" s="6"/>
      <c r="Z1156" s="6">
        <f ca="1">('TUSD BE'!$AM$58+'TUSD BF'!$AM$58+'TUSD CVA'!$AM$58)*1</f>
        <v>285.64503648725872</v>
      </c>
      <c r="AA1156" s="6">
        <f>('TE BE'!$AA$41+'TE BF'!$AA$41+'TE CVA'!$AA$41)*1</f>
        <v>250.79367785689016</v>
      </c>
      <c r="AB1156" s="6">
        <f>$K$1156*$V$1156</f>
        <v>0</v>
      </c>
      <c r="AC1156" s="6">
        <f>$M$1156*$W$1156</f>
        <v>107889.48449999999</v>
      </c>
      <c r="AD1156" s="6">
        <f>$O$1156*$X$1156</f>
        <v>87342.342779999992</v>
      </c>
      <c r="AE1156" s="6">
        <f>$K$1156*$Y$1156</f>
        <v>0</v>
      </c>
      <c r="AF1156" s="6">
        <f ca="1">$M$1156*$Z$1156</f>
        <v>107849.85384634831</v>
      </c>
      <c r="AG1156" s="6">
        <f>$O$1156*$AA$1156</f>
        <v>94691.165773714587</v>
      </c>
    </row>
    <row r="1157" spans="1:33" ht="11.25" customHeight="1" x14ac:dyDescent="0.25">
      <c r="A1157" s="4" t="s">
        <v>27</v>
      </c>
      <c r="B1157" s="4" t="s">
        <v>37</v>
      </c>
      <c r="C1157" s="4" t="s">
        <v>23</v>
      </c>
      <c r="D1157" s="4" t="s">
        <v>38</v>
      </c>
      <c r="E1157" s="4" t="s">
        <v>25</v>
      </c>
      <c r="F1157" s="4" t="s">
        <v>25</v>
      </c>
      <c r="G1157" s="4" t="s">
        <v>25</v>
      </c>
      <c r="H1157" s="4" t="s">
        <v>25</v>
      </c>
      <c r="I1157" s="5">
        <v>44531</v>
      </c>
      <c r="J1157" s="6">
        <v>0</v>
      </c>
      <c r="K1157" s="6">
        <v>0</v>
      </c>
      <c r="L1157" s="6">
        <v>-2.1429999999999998</v>
      </c>
      <c r="M1157" s="6">
        <v>-2.1429999999999998</v>
      </c>
      <c r="N1157" s="6">
        <v>-2.1429999999999998</v>
      </c>
      <c r="O1157" s="6">
        <v>-2.1429999999999998</v>
      </c>
      <c r="P1157" s="6">
        <v>0</v>
      </c>
      <c r="Q1157" s="4" t="s">
        <v>26</v>
      </c>
      <c r="R1157" s="4">
        <v>0</v>
      </c>
      <c r="S1157" s="6">
        <v>0</v>
      </c>
      <c r="T1157" s="6">
        <v>61</v>
      </c>
      <c r="U1157" s="6">
        <v>7</v>
      </c>
      <c r="V1157" s="6">
        <f>IF(ISERROR(VLOOKUP($S$1157,'TAR FIN'!$A$1:$O$100,15,0)),0,VLOOKUP($S$1157,'TAR FIN'!$A$1:$O$100,15,0))</f>
        <v>0</v>
      </c>
      <c r="W1157" s="6">
        <f>IF(ISERROR(VLOOKUP($T$1157,'TAR FIN'!$A$1:$O$100,15,0)),0,VLOOKUP($T$1157,'TAR FIN'!$A$1:$O$100,15,0))</f>
        <v>285.75</v>
      </c>
      <c r="X1157" s="6">
        <f>IF(ISERROR(VLOOKUP($U$1157,'TAR FIN'!$A$1:$O$100,15,0)),0,VLOOKUP($U$1157,'TAR FIN'!$A$1:$O$100,15,0))</f>
        <v>231.33</v>
      </c>
      <c r="Y1157" s="6"/>
      <c r="Z1157" s="6">
        <f ca="1">('TUSD BE'!$AM$58+'TUSD BF'!$AM$58+'TUSD CVA'!$AM$58)*1</f>
        <v>285.64503648725872</v>
      </c>
      <c r="AA1157" s="6">
        <f>('TE BE'!$AA$41+'TE BF'!$AA$41+'TE CVA'!$AA$41)*1</f>
        <v>250.79367785689016</v>
      </c>
      <c r="AB1157" s="6">
        <f>$K$1157*$V$1157</f>
        <v>0</v>
      </c>
      <c r="AC1157" s="6">
        <f>$M$1157*$W$1157</f>
        <v>-612.3622499999999</v>
      </c>
      <c r="AD1157" s="6">
        <f>$O$1157*$X$1157</f>
        <v>-495.74018999999998</v>
      </c>
      <c r="AE1157" s="6">
        <f>$K$1157*$Y$1157</f>
        <v>0</v>
      </c>
      <c r="AF1157" s="6">
        <f ca="1">$M$1157*$Z$1157</f>
        <v>-612.13731319219539</v>
      </c>
      <c r="AG1157" s="6">
        <f>$O$1157*$AA$1157</f>
        <v>-537.45085164731552</v>
      </c>
    </row>
    <row r="1158" spans="1:33" ht="11.25" customHeight="1" x14ac:dyDescent="0.25">
      <c r="A1158" s="4" t="s">
        <v>28</v>
      </c>
      <c r="B1158" s="4" t="s">
        <v>37</v>
      </c>
      <c r="C1158" s="4" t="s">
        <v>23</v>
      </c>
      <c r="D1158" s="4" t="s">
        <v>38</v>
      </c>
      <c r="E1158" s="4" t="s">
        <v>25</v>
      </c>
      <c r="F1158" s="4" t="s">
        <v>25</v>
      </c>
      <c r="G1158" s="4" t="s">
        <v>25</v>
      </c>
      <c r="H1158" s="4" t="s">
        <v>25</v>
      </c>
      <c r="I1158" s="5">
        <v>44531</v>
      </c>
      <c r="J1158" s="6">
        <v>0</v>
      </c>
      <c r="K1158" s="6">
        <v>0</v>
      </c>
      <c r="L1158" s="6">
        <v>51.215000000000003</v>
      </c>
      <c r="M1158" s="6">
        <v>51.215000000000003</v>
      </c>
      <c r="N1158" s="6">
        <v>51.215000000000003</v>
      </c>
      <c r="O1158" s="6">
        <v>51.215000000000003</v>
      </c>
      <c r="P1158" s="6">
        <v>47</v>
      </c>
      <c r="Q1158" s="4" t="s">
        <v>26</v>
      </c>
      <c r="R1158" s="4">
        <v>0</v>
      </c>
      <c r="S1158" s="6">
        <v>0</v>
      </c>
      <c r="T1158" s="6">
        <v>61</v>
      </c>
      <c r="U1158" s="6">
        <v>7</v>
      </c>
      <c r="V1158" s="6">
        <f>IF(ISERROR(VLOOKUP($S$1158,'TAR FIN'!$A$1:$O$100,15,0)),0,VLOOKUP($S$1158,'TAR FIN'!$A$1:$O$100,15,0))</f>
        <v>0</v>
      </c>
      <c r="W1158" s="6">
        <f>IF(ISERROR(VLOOKUP($T$1158,'TAR FIN'!$A$1:$O$100,15,0)),0,VLOOKUP($T$1158,'TAR FIN'!$A$1:$O$100,15,0))</f>
        <v>285.75</v>
      </c>
      <c r="X1158" s="6">
        <f>IF(ISERROR(VLOOKUP($U$1158,'TAR FIN'!$A$1:$O$100,15,0)),0,VLOOKUP($U$1158,'TAR FIN'!$A$1:$O$100,15,0))</f>
        <v>231.33</v>
      </c>
      <c r="Y1158" s="6"/>
      <c r="Z1158" s="6">
        <f ca="1">('TUSD BE'!$AM$58+'TUSD BF'!$AM$58+'TUSD CVA'!$AM$58)*1</f>
        <v>285.64503648725872</v>
      </c>
      <c r="AA1158" s="6">
        <f>('TE BE'!$AA$41+'TE BF'!$AA$41+'TE CVA'!$AA$41)*1</f>
        <v>250.79367785689016</v>
      </c>
      <c r="AB1158" s="6">
        <f>$K$1158*$V$1158</f>
        <v>0</v>
      </c>
      <c r="AC1158" s="6">
        <f>$M$1158*$W$1158</f>
        <v>14634.686250000001</v>
      </c>
      <c r="AD1158" s="6">
        <f>$O$1158*$X$1158</f>
        <v>11847.565950000002</v>
      </c>
      <c r="AE1158" s="6">
        <f>$K$1158*$Y$1158</f>
        <v>0</v>
      </c>
      <c r="AF1158" s="6">
        <f ca="1">$M$1158*$Z$1158</f>
        <v>14629.310543694957</v>
      </c>
      <c r="AG1158" s="6">
        <f>$O$1158*$AA$1158</f>
        <v>12844.39821144063</v>
      </c>
    </row>
    <row r="1159" spans="1:33" ht="11.25" customHeight="1" x14ac:dyDescent="0.25">
      <c r="A1159" s="4" t="s">
        <v>55</v>
      </c>
      <c r="B1159" s="4" t="s">
        <v>37</v>
      </c>
      <c r="C1159" s="4" t="s">
        <v>23</v>
      </c>
      <c r="D1159" s="4" t="s">
        <v>38</v>
      </c>
      <c r="E1159" s="4" t="s">
        <v>25</v>
      </c>
      <c r="F1159" s="4" t="s">
        <v>25</v>
      </c>
      <c r="G1159" s="4" t="s">
        <v>25</v>
      </c>
      <c r="H1159" s="4" t="s">
        <v>25</v>
      </c>
      <c r="I1159" s="5">
        <v>44562</v>
      </c>
      <c r="J1159" s="6">
        <v>0</v>
      </c>
      <c r="K1159" s="6">
        <v>0</v>
      </c>
      <c r="L1159" s="6">
        <v>377.56599999999997</v>
      </c>
      <c r="M1159" s="6">
        <v>377.56599999999997</v>
      </c>
      <c r="N1159" s="6">
        <v>377.56599999999997</v>
      </c>
      <c r="O1159" s="6">
        <v>377.56599999999997</v>
      </c>
      <c r="P1159" s="6">
        <v>384</v>
      </c>
      <c r="Q1159" s="4" t="s">
        <v>26</v>
      </c>
      <c r="R1159" s="4">
        <v>0</v>
      </c>
      <c r="S1159" s="6">
        <v>0</v>
      </c>
      <c r="T1159" s="6">
        <v>61</v>
      </c>
      <c r="U1159" s="6">
        <v>7</v>
      </c>
      <c r="V1159" s="6">
        <f>IF(ISERROR(VLOOKUP($S$1159,'TAR FIN'!$A$1:$O$100,15,0)),0,VLOOKUP($S$1159,'TAR FIN'!$A$1:$O$100,15,0))</f>
        <v>0</v>
      </c>
      <c r="W1159" s="6">
        <f>IF(ISERROR(VLOOKUP($T$1159,'TAR FIN'!$A$1:$O$100,15,0)),0,VLOOKUP($T$1159,'TAR FIN'!$A$1:$O$100,15,0))</f>
        <v>285.75</v>
      </c>
      <c r="X1159" s="6">
        <f>IF(ISERROR(VLOOKUP($U$1159,'TAR FIN'!$A$1:$O$100,15,0)),0,VLOOKUP($U$1159,'TAR FIN'!$A$1:$O$100,15,0))</f>
        <v>231.33</v>
      </c>
      <c r="Y1159" s="6"/>
      <c r="Z1159" s="6">
        <f ca="1">('TUSD BE'!$AM$58+'TUSD BF'!$AM$58+'TUSD CVA'!$AM$58)*1</f>
        <v>285.64503648725872</v>
      </c>
      <c r="AA1159" s="6">
        <f>('TE BE'!$AA$41+'TE BF'!$AA$41+'TE CVA'!$AA$41)*1</f>
        <v>250.79367785689016</v>
      </c>
      <c r="AB1159" s="6">
        <f>$K$1159*$V$1159</f>
        <v>0</v>
      </c>
      <c r="AC1159" s="6">
        <f>$M$1159*$W$1159</f>
        <v>107889.48449999999</v>
      </c>
      <c r="AD1159" s="6">
        <f>$O$1159*$X$1159</f>
        <v>87342.342779999992</v>
      </c>
      <c r="AE1159" s="6">
        <f>$K$1159*$Y$1159</f>
        <v>0</v>
      </c>
      <c r="AF1159" s="6">
        <f ca="1">$M$1159*$Z$1159</f>
        <v>107849.85384634831</v>
      </c>
      <c r="AG1159" s="6">
        <f>$O$1159*$AA$1159</f>
        <v>94691.165773714587</v>
      </c>
    </row>
    <row r="1160" spans="1:33" ht="11.25" customHeight="1" x14ac:dyDescent="0.25">
      <c r="A1160" s="4" t="s">
        <v>55</v>
      </c>
      <c r="B1160" s="4" t="s">
        <v>37</v>
      </c>
      <c r="C1160" s="4" t="s">
        <v>23</v>
      </c>
      <c r="D1160" s="4" t="s">
        <v>38</v>
      </c>
      <c r="E1160" s="4" t="s">
        <v>25</v>
      </c>
      <c r="F1160" s="4" t="s">
        <v>25</v>
      </c>
      <c r="G1160" s="4" t="s">
        <v>25</v>
      </c>
      <c r="H1160" s="4" t="s">
        <v>25</v>
      </c>
      <c r="I1160" s="5">
        <v>44562</v>
      </c>
      <c r="J1160" s="6">
        <v>0</v>
      </c>
      <c r="K1160" s="6">
        <v>0</v>
      </c>
      <c r="L1160" s="6">
        <v>-2.1429999999999998</v>
      </c>
      <c r="M1160" s="6">
        <v>-2.1429999999999998</v>
      </c>
      <c r="N1160" s="6">
        <v>-2.1429999999999998</v>
      </c>
      <c r="O1160" s="6">
        <v>-2.1429999999999998</v>
      </c>
      <c r="P1160" s="6">
        <v>0</v>
      </c>
      <c r="Q1160" s="4" t="s">
        <v>26</v>
      </c>
      <c r="R1160" s="4">
        <v>0</v>
      </c>
      <c r="S1160" s="6">
        <v>0</v>
      </c>
      <c r="T1160" s="6">
        <v>61</v>
      </c>
      <c r="U1160" s="6">
        <v>7</v>
      </c>
      <c r="V1160" s="6">
        <f>IF(ISERROR(VLOOKUP($S$1160,'TAR FIN'!$A$1:$O$100,15,0)),0,VLOOKUP($S$1160,'TAR FIN'!$A$1:$O$100,15,0))</f>
        <v>0</v>
      </c>
      <c r="W1160" s="6">
        <f>IF(ISERROR(VLOOKUP($T$1160,'TAR FIN'!$A$1:$O$100,15,0)),0,VLOOKUP($T$1160,'TAR FIN'!$A$1:$O$100,15,0))</f>
        <v>285.75</v>
      </c>
      <c r="X1160" s="6">
        <f>IF(ISERROR(VLOOKUP($U$1160,'TAR FIN'!$A$1:$O$100,15,0)),0,VLOOKUP($U$1160,'TAR FIN'!$A$1:$O$100,15,0))</f>
        <v>231.33</v>
      </c>
      <c r="Y1160" s="6"/>
      <c r="Z1160" s="6">
        <f ca="1">('TUSD BE'!$AM$58+'TUSD BF'!$AM$58+'TUSD CVA'!$AM$58)*1</f>
        <v>285.64503648725872</v>
      </c>
      <c r="AA1160" s="6">
        <f>('TE BE'!$AA$41+'TE BF'!$AA$41+'TE CVA'!$AA$41)*1</f>
        <v>250.79367785689016</v>
      </c>
      <c r="AB1160" s="6">
        <f>$K$1160*$V$1160</f>
        <v>0</v>
      </c>
      <c r="AC1160" s="6">
        <f>$M$1160*$W$1160</f>
        <v>-612.3622499999999</v>
      </c>
      <c r="AD1160" s="6">
        <f>$O$1160*$X$1160</f>
        <v>-495.74018999999998</v>
      </c>
      <c r="AE1160" s="6">
        <f>$K$1160*$Y$1160</f>
        <v>0</v>
      </c>
      <c r="AF1160" s="6">
        <f ca="1">$M$1160*$Z$1160</f>
        <v>-612.13731319219539</v>
      </c>
      <c r="AG1160" s="6">
        <f>$O$1160*$AA$1160</f>
        <v>-537.45085164731552</v>
      </c>
    </row>
    <row r="1161" spans="1:33" ht="11.25" customHeight="1" x14ac:dyDescent="0.25">
      <c r="A1161" s="4" t="s">
        <v>55</v>
      </c>
      <c r="B1161" s="4" t="s">
        <v>37</v>
      </c>
      <c r="C1161" s="4" t="s">
        <v>23</v>
      </c>
      <c r="D1161" s="4" t="s">
        <v>38</v>
      </c>
      <c r="E1161" s="4" t="s">
        <v>25</v>
      </c>
      <c r="F1161" s="4" t="s">
        <v>25</v>
      </c>
      <c r="G1161" s="4" t="s">
        <v>25</v>
      </c>
      <c r="H1161" s="4" t="s">
        <v>25</v>
      </c>
      <c r="I1161" s="5">
        <v>44562</v>
      </c>
      <c r="J1161" s="6">
        <v>0</v>
      </c>
      <c r="K1161" s="6">
        <v>0</v>
      </c>
      <c r="L1161" s="6">
        <v>51.215000000000003</v>
      </c>
      <c r="M1161" s="6">
        <v>51.215000000000003</v>
      </c>
      <c r="N1161" s="6">
        <v>51.215000000000003</v>
      </c>
      <c r="O1161" s="6">
        <v>51.215000000000003</v>
      </c>
      <c r="P1161" s="6">
        <v>47</v>
      </c>
      <c r="Q1161" s="4" t="s">
        <v>26</v>
      </c>
      <c r="R1161" s="4">
        <v>0</v>
      </c>
      <c r="S1161" s="6">
        <v>0</v>
      </c>
      <c r="T1161" s="6">
        <v>61</v>
      </c>
      <c r="U1161" s="6">
        <v>7</v>
      </c>
      <c r="V1161" s="6">
        <f>IF(ISERROR(VLOOKUP($S$1161,'TAR FIN'!$A$1:$O$100,15,0)),0,VLOOKUP($S$1161,'TAR FIN'!$A$1:$O$100,15,0))</f>
        <v>0</v>
      </c>
      <c r="W1161" s="6">
        <f>IF(ISERROR(VLOOKUP($T$1161,'TAR FIN'!$A$1:$O$100,15,0)),0,VLOOKUP($T$1161,'TAR FIN'!$A$1:$O$100,15,0))</f>
        <v>285.75</v>
      </c>
      <c r="X1161" s="6">
        <f>IF(ISERROR(VLOOKUP($U$1161,'TAR FIN'!$A$1:$O$100,15,0)),0,VLOOKUP($U$1161,'TAR FIN'!$A$1:$O$100,15,0))</f>
        <v>231.33</v>
      </c>
      <c r="Y1161" s="6"/>
      <c r="Z1161" s="6">
        <f ca="1">('TUSD BE'!$AM$58+'TUSD BF'!$AM$58+'TUSD CVA'!$AM$58)*1</f>
        <v>285.64503648725872</v>
      </c>
      <c r="AA1161" s="6">
        <f>('TE BE'!$AA$41+'TE BF'!$AA$41+'TE CVA'!$AA$41)*1</f>
        <v>250.79367785689016</v>
      </c>
      <c r="AB1161" s="6">
        <f>$K$1161*$V$1161</f>
        <v>0</v>
      </c>
      <c r="AC1161" s="6">
        <f>$M$1161*$W$1161</f>
        <v>14634.686250000001</v>
      </c>
      <c r="AD1161" s="6">
        <f>$O$1161*$X$1161</f>
        <v>11847.565950000002</v>
      </c>
      <c r="AE1161" s="6">
        <f>$K$1161*$Y$1161</f>
        <v>0</v>
      </c>
      <c r="AF1161" s="6">
        <f ca="1">$M$1161*$Z$1161</f>
        <v>14629.310543694957</v>
      </c>
      <c r="AG1161" s="6">
        <f>$O$1161*$AA$1161</f>
        <v>12844.39821144063</v>
      </c>
    </row>
    <row r="1162" spans="1:33" ht="11.25" customHeight="1" x14ac:dyDescent="0.25">
      <c r="A1162" s="4" t="s">
        <v>21</v>
      </c>
      <c r="B1162" s="4" t="s">
        <v>37</v>
      </c>
      <c r="C1162" s="4" t="s">
        <v>23</v>
      </c>
      <c r="D1162" s="4" t="s">
        <v>45</v>
      </c>
      <c r="E1162" s="4" t="s">
        <v>25</v>
      </c>
      <c r="F1162" s="4" t="s">
        <v>25</v>
      </c>
      <c r="G1162" s="4" t="s">
        <v>25</v>
      </c>
      <c r="H1162" s="4" t="s">
        <v>25</v>
      </c>
      <c r="I1162" s="5">
        <v>44228</v>
      </c>
      <c r="J1162" s="6">
        <v>0</v>
      </c>
      <c r="K1162" s="6">
        <v>0</v>
      </c>
      <c r="L1162" s="6">
        <v>791.82899999999995</v>
      </c>
      <c r="M1162" s="6">
        <v>791.82899999999995</v>
      </c>
      <c r="N1162" s="6">
        <v>791.82899999999995</v>
      </c>
      <c r="O1162" s="6">
        <v>791.82899999999995</v>
      </c>
      <c r="P1162" s="6">
        <v>1415</v>
      </c>
      <c r="Q1162" s="4" t="s">
        <v>26</v>
      </c>
      <c r="R1162" s="4">
        <v>0</v>
      </c>
      <c r="S1162" s="6">
        <v>0</v>
      </c>
      <c r="T1162" s="6">
        <v>61</v>
      </c>
      <c r="U1162" s="6">
        <v>7</v>
      </c>
      <c r="V1162" s="6">
        <f>IF(ISERROR(VLOOKUP($S$1162,'TAR FIN'!$A$1:$O$100,15,0)),0,VLOOKUP($S$1162,'TAR FIN'!$A$1:$O$100,15,0))</f>
        <v>0</v>
      </c>
      <c r="W1162" s="6">
        <f>IF(ISERROR(VLOOKUP($T$1162,'TAR FIN'!$A$1:$O$100,15,0)),0,VLOOKUP($T$1162,'TAR FIN'!$A$1:$O$100,15,0))</f>
        <v>285.75</v>
      </c>
      <c r="X1162" s="6">
        <f>IF(ISERROR(VLOOKUP($U$1162,'TAR FIN'!$A$1:$O$100,15,0)),0,VLOOKUP($U$1162,'TAR FIN'!$A$1:$O$100,15,0))</f>
        <v>231.33</v>
      </c>
      <c r="Y1162" s="6"/>
      <c r="Z1162" s="6">
        <f ca="1">('TUSD BE'!$AM$58+'TUSD BF'!$AM$58+'TUSD CVA'!$AM$58)*1</f>
        <v>285.64503648725872</v>
      </c>
      <c r="AA1162" s="6">
        <f>('TE BE'!$AA$41+'TE BF'!$AA$41+'TE CVA'!$AA$41)*1</f>
        <v>250.79367785689016</v>
      </c>
      <c r="AB1162" s="6">
        <f>$K$1162*$V$1162</f>
        <v>0</v>
      </c>
      <c r="AC1162" s="6">
        <f>$M$1162*$W$1162</f>
        <v>226265.13674999998</v>
      </c>
      <c r="AD1162" s="6">
        <f>$O$1162*$X$1162</f>
        <v>183173.80257</v>
      </c>
      <c r="AE1162" s="6">
        <f>$K$1162*$Y$1162</f>
        <v>0</v>
      </c>
      <c r="AF1162" s="6">
        <f ca="1">$M$1162*$Z$1162</f>
        <v>226182.02359666958</v>
      </c>
      <c r="AG1162" s="6">
        <f>$O$1162*$AA$1162</f>
        <v>198585.70714374346</v>
      </c>
    </row>
    <row r="1163" spans="1:33" ht="11.25" customHeight="1" x14ac:dyDescent="0.25">
      <c r="A1163" s="4" t="s">
        <v>28</v>
      </c>
      <c r="B1163" s="4" t="s">
        <v>37</v>
      </c>
      <c r="C1163" s="4" t="s">
        <v>23</v>
      </c>
      <c r="D1163" s="4" t="s">
        <v>45</v>
      </c>
      <c r="E1163" s="4" t="s">
        <v>25</v>
      </c>
      <c r="F1163" s="4" t="s">
        <v>25</v>
      </c>
      <c r="G1163" s="4" t="s">
        <v>25</v>
      </c>
      <c r="H1163" s="4" t="s">
        <v>25</v>
      </c>
      <c r="I1163" s="5">
        <v>44228</v>
      </c>
      <c r="J1163" s="6">
        <v>0</v>
      </c>
      <c r="K1163" s="6">
        <v>0</v>
      </c>
      <c r="L1163" s="6">
        <v>9.1050000000000004</v>
      </c>
      <c r="M1163" s="6">
        <v>9.1050000000000004</v>
      </c>
      <c r="N1163" s="6">
        <v>9.1050000000000004</v>
      </c>
      <c r="O1163" s="6">
        <v>9.1050000000000004</v>
      </c>
      <c r="P1163" s="6">
        <v>1</v>
      </c>
      <c r="Q1163" s="4" t="s">
        <v>26</v>
      </c>
      <c r="R1163" s="4">
        <v>0</v>
      </c>
      <c r="S1163" s="6">
        <v>0</v>
      </c>
      <c r="T1163" s="6">
        <v>61</v>
      </c>
      <c r="U1163" s="6">
        <v>7</v>
      </c>
      <c r="V1163" s="6">
        <f>IF(ISERROR(VLOOKUP($S$1163,'TAR FIN'!$A$1:$O$100,15,0)),0,VLOOKUP($S$1163,'TAR FIN'!$A$1:$O$100,15,0))</f>
        <v>0</v>
      </c>
      <c r="W1163" s="6">
        <f>IF(ISERROR(VLOOKUP($T$1163,'TAR FIN'!$A$1:$O$100,15,0)),0,VLOOKUP($T$1163,'TAR FIN'!$A$1:$O$100,15,0))</f>
        <v>285.75</v>
      </c>
      <c r="X1163" s="6">
        <f>IF(ISERROR(VLOOKUP($U$1163,'TAR FIN'!$A$1:$O$100,15,0)),0,VLOOKUP($U$1163,'TAR FIN'!$A$1:$O$100,15,0))</f>
        <v>231.33</v>
      </c>
      <c r="Y1163" s="6"/>
      <c r="Z1163" s="6">
        <f ca="1">('TUSD BE'!$AM$58+'TUSD BF'!$AM$58+'TUSD CVA'!$AM$58)*1</f>
        <v>285.64503648725872</v>
      </c>
      <c r="AA1163" s="6">
        <f>('TE BE'!$AA$41+'TE BF'!$AA$41+'TE CVA'!$AA$41)*1</f>
        <v>250.79367785689016</v>
      </c>
      <c r="AB1163" s="6">
        <f>$K$1163*$V$1163</f>
        <v>0</v>
      </c>
      <c r="AC1163" s="6">
        <f>$M$1163*$W$1163</f>
        <v>2601.7537500000003</v>
      </c>
      <c r="AD1163" s="6">
        <f>$O$1163*$X$1163</f>
        <v>2106.2596500000004</v>
      </c>
      <c r="AE1163" s="6">
        <f>$K$1163*$Y$1163</f>
        <v>0</v>
      </c>
      <c r="AF1163" s="6">
        <f ca="1">$M$1163*$Z$1163</f>
        <v>2600.7980572164906</v>
      </c>
      <c r="AG1163" s="6">
        <f>$O$1163*$AA$1163</f>
        <v>2283.4764368869851</v>
      </c>
    </row>
    <row r="1164" spans="1:33" ht="11.25" customHeight="1" x14ac:dyDescent="0.25">
      <c r="A1164" s="4" t="s">
        <v>21</v>
      </c>
      <c r="B1164" s="4" t="s">
        <v>37</v>
      </c>
      <c r="C1164" s="4" t="s">
        <v>23</v>
      </c>
      <c r="D1164" s="4" t="s">
        <v>45</v>
      </c>
      <c r="E1164" s="4" t="s">
        <v>25</v>
      </c>
      <c r="F1164" s="4" t="s">
        <v>25</v>
      </c>
      <c r="G1164" s="4" t="s">
        <v>25</v>
      </c>
      <c r="H1164" s="4" t="s">
        <v>25</v>
      </c>
      <c r="I1164" s="5">
        <v>44256</v>
      </c>
      <c r="J1164" s="6">
        <v>0</v>
      </c>
      <c r="K1164" s="6">
        <v>0</v>
      </c>
      <c r="L1164" s="6">
        <v>808.64700000000005</v>
      </c>
      <c r="M1164" s="6">
        <v>808.64700000000005</v>
      </c>
      <c r="N1164" s="6">
        <v>808.64700000000005</v>
      </c>
      <c r="O1164" s="6">
        <v>808.64700000000005</v>
      </c>
      <c r="P1164" s="6">
        <v>1429</v>
      </c>
      <c r="Q1164" s="4" t="s">
        <v>26</v>
      </c>
      <c r="R1164" s="4">
        <v>0</v>
      </c>
      <c r="S1164" s="6">
        <v>0</v>
      </c>
      <c r="T1164" s="6">
        <v>61</v>
      </c>
      <c r="U1164" s="6">
        <v>7</v>
      </c>
      <c r="V1164" s="6">
        <f>IF(ISERROR(VLOOKUP($S$1164,'TAR FIN'!$A$1:$O$100,15,0)),0,VLOOKUP($S$1164,'TAR FIN'!$A$1:$O$100,15,0))</f>
        <v>0</v>
      </c>
      <c r="W1164" s="6">
        <f>IF(ISERROR(VLOOKUP($T$1164,'TAR FIN'!$A$1:$O$100,15,0)),0,VLOOKUP($T$1164,'TAR FIN'!$A$1:$O$100,15,0))</f>
        <v>285.75</v>
      </c>
      <c r="X1164" s="6">
        <f>IF(ISERROR(VLOOKUP($U$1164,'TAR FIN'!$A$1:$O$100,15,0)),0,VLOOKUP($U$1164,'TAR FIN'!$A$1:$O$100,15,0))</f>
        <v>231.33</v>
      </c>
      <c r="Y1164" s="6"/>
      <c r="Z1164" s="6">
        <f ca="1">('TUSD BE'!$AM$58+'TUSD BF'!$AM$58+'TUSD CVA'!$AM$58)*1</f>
        <v>285.64503648725872</v>
      </c>
      <c r="AA1164" s="6">
        <f>('TE BE'!$AA$41+'TE BF'!$AA$41+'TE CVA'!$AA$41)*1</f>
        <v>250.79367785689016</v>
      </c>
      <c r="AB1164" s="6">
        <f>$K$1164*$V$1164</f>
        <v>0</v>
      </c>
      <c r="AC1164" s="6">
        <f>$M$1164*$W$1164</f>
        <v>231070.88025000002</v>
      </c>
      <c r="AD1164" s="6">
        <f>$O$1164*$X$1164</f>
        <v>187064.31051000001</v>
      </c>
      <c r="AE1164" s="6">
        <f>$K$1164*$Y$1164</f>
        <v>0</v>
      </c>
      <c r="AF1164" s="6">
        <f ca="1">$M$1164*$Z$1164</f>
        <v>230986.00182031232</v>
      </c>
      <c r="AG1164" s="6">
        <f>$O$1164*$AA$1164</f>
        <v>202803.55521794068</v>
      </c>
    </row>
    <row r="1165" spans="1:33" ht="11.25" customHeight="1" x14ac:dyDescent="0.25">
      <c r="A1165" s="4" t="s">
        <v>28</v>
      </c>
      <c r="B1165" s="4" t="s">
        <v>37</v>
      </c>
      <c r="C1165" s="4" t="s">
        <v>23</v>
      </c>
      <c r="D1165" s="4" t="s">
        <v>45</v>
      </c>
      <c r="E1165" s="4" t="s">
        <v>25</v>
      </c>
      <c r="F1165" s="4" t="s">
        <v>25</v>
      </c>
      <c r="G1165" s="4" t="s">
        <v>25</v>
      </c>
      <c r="H1165" s="4" t="s">
        <v>25</v>
      </c>
      <c r="I1165" s="5">
        <v>44256</v>
      </c>
      <c r="J1165" s="6">
        <v>0</v>
      </c>
      <c r="K1165" s="6">
        <v>0</v>
      </c>
      <c r="L1165" s="6">
        <v>9.8379999999999992</v>
      </c>
      <c r="M1165" s="6">
        <v>9.8379999999999992</v>
      </c>
      <c r="N1165" s="6">
        <v>9.8379999999999992</v>
      </c>
      <c r="O1165" s="6">
        <v>9.8379999999999992</v>
      </c>
      <c r="P1165" s="6">
        <v>1</v>
      </c>
      <c r="Q1165" s="4" t="s">
        <v>26</v>
      </c>
      <c r="R1165" s="4">
        <v>0</v>
      </c>
      <c r="S1165" s="6">
        <v>0</v>
      </c>
      <c r="T1165" s="6">
        <v>61</v>
      </c>
      <c r="U1165" s="6">
        <v>7</v>
      </c>
      <c r="V1165" s="6">
        <f>IF(ISERROR(VLOOKUP($S$1165,'TAR FIN'!$A$1:$O$100,15,0)),0,VLOOKUP($S$1165,'TAR FIN'!$A$1:$O$100,15,0))</f>
        <v>0</v>
      </c>
      <c r="W1165" s="6">
        <f>IF(ISERROR(VLOOKUP($T$1165,'TAR FIN'!$A$1:$O$100,15,0)),0,VLOOKUP($T$1165,'TAR FIN'!$A$1:$O$100,15,0))</f>
        <v>285.75</v>
      </c>
      <c r="X1165" s="6">
        <f>IF(ISERROR(VLOOKUP($U$1165,'TAR FIN'!$A$1:$O$100,15,0)),0,VLOOKUP($U$1165,'TAR FIN'!$A$1:$O$100,15,0))</f>
        <v>231.33</v>
      </c>
      <c r="Y1165" s="6"/>
      <c r="Z1165" s="6">
        <f ca="1">('TUSD BE'!$AM$58+'TUSD BF'!$AM$58+'TUSD CVA'!$AM$58)*1</f>
        <v>285.64503648725872</v>
      </c>
      <c r="AA1165" s="6">
        <f>('TE BE'!$AA$41+'TE BF'!$AA$41+'TE CVA'!$AA$41)*1</f>
        <v>250.79367785689016</v>
      </c>
      <c r="AB1165" s="6">
        <f>$K$1165*$V$1165</f>
        <v>0</v>
      </c>
      <c r="AC1165" s="6">
        <f>$M$1165*$W$1165</f>
        <v>2811.2084999999997</v>
      </c>
      <c r="AD1165" s="6">
        <f>$O$1165*$X$1165</f>
        <v>2275.8245400000001</v>
      </c>
      <c r="AE1165" s="6">
        <f>$K$1165*$Y$1165</f>
        <v>0</v>
      </c>
      <c r="AF1165" s="6">
        <f ca="1">$M$1165*$Z$1165</f>
        <v>2810.1758689616508</v>
      </c>
      <c r="AG1165" s="6">
        <f>$O$1165*$AA$1165</f>
        <v>2467.3082027560849</v>
      </c>
    </row>
    <row r="1166" spans="1:33" ht="11.25" customHeight="1" x14ac:dyDescent="0.25">
      <c r="A1166" s="4" t="s">
        <v>21</v>
      </c>
      <c r="B1166" s="4" t="s">
        <v>37</v>
      </c>
      <c r="C1166" s="4" t="s">
        <v>23</v>
      </c>
      <c r="D1166" s="4" t="s">
        <v>45</v>
      </c>
      <c r="E1166" s="4" t="s">
        <v>25</v>
      </c>
      <c r="F1166" s="4" t="s">
        <v>25</v>
      </c>
      <c r="G1166" s="4" t="s">
        <v>25</v>
      </c>
      <c r="H1166" s="4" t="s">
        <v>25</v>
      </c>
      <c r="I1166" s="5">
        <v>44287</v>
      </c>
      <c r="J1166" s="6">
        <v>0</v>
      </c>
      <c r="K1166" s="6">
        <v>0</v>
      </c>
      <c r="L1166" s="6">
        <v>783.99</v>
      </c>
      <c r="M1166" s="6">
        <v>783.99</v>
      </c>
      <c r="N1166" s="6">
        <v>783.99</v>
      </c>
      <c r="O1166" s="6">
        <v>783.99</v>
      </c>
      <c r="P1166" s="6">
        <v>1439</v>
      </c>
      <c r="Q1166" s="4" t="s">
        <v>26</v>
      </c>
      <c r="R1166" s="4">
        <v>0</v>
      </c>
      <c r="S1166" s="6">
        <v>0</v>
      </c>
      <c r="T1166" s="6">
        <v>61</v>
      </c>
      <c r="U1166" s="6">
        <v>7</v>
      </c>
      <c r="V1166" s="6">
        <f>IF(ISERROR(VLOOKUP($S$1166,'TAR FIN'!$A$1:$O$100,15,0)),0,VLOOKUP($S$1166,'TAR FIN'!$A$1:$O$100,15,0))</f>
        <v>0</v>
      </c>
      <c r="W1166" s="6">
        <f>IF(ISERROR(VLOOKUP($T$1166,'TAR FIN'!$A$1:$O$100,15,0)),0,VLOOKUP($T$1166,'TAR FIN'!$A$1:$O$100,15,0))</f>
        <v>285.75</v>
      </c>
      <c r="X1166" s="6">
        <f>IF(ISERROR(VLOOKUP($U$1166,'TAR FIN'!$A$1:$O$100,15,0)),0,VLOOKUP($U$1166,'TAR FIN'!$A$1:$O$100,15,0))</f>
        <v>231.33</v>
      </c>
      <c r="Y1166" s="6"/>
      <c r="Z1166" s="6">
        <f ca="1">('TUSD BE'!$AM$58+'TUSD BF'!$AM$58+'TUSD CVA'!$AM$58)*1</f>
        <v>285.64503648725872</v>
      </c>
      <c r="AA1166" s="6">
        <f>('TE BE'!$AA$41+'TE BF'!$AA$41+'TE CVA'!$AA$41)*1</f>
        <v>250.79367785689016</v>
      </c>
      <c r="AB1166" s="6">
        <f>$K$1166*$V$1166</f>
        <v>0</v>
      </c>
      <c r="AC1166" s="6">
        <f>$M$1166*$W$1166</f>
        <v>224025.14250000002</v>
      </c>
      <c r="AD1166" s="6">
        <f>$O$1166*$X$1166</f>
        <v>181360.40670000002</v>
      </c>
      <c r="AE1166" s="6">
        <f>$K$1166*$Y$1166</f>
        <v>0</v>
      </c>
      <c r="AF1166" s="6">
        <f ca="1">$M$1166*$Z$1166</f>
        <v>223942.85215564596</v>
      </c>
      <c r="AG1166" s="6">
        <f>$O$1166*$AA$1166</f>
        <v>196619.73550302332</v>
      </c>
    </row>
    <row r="1167" spans="1:33" ht="11.25" customHeight="1" x14ac:dyDescent="0.25">
      <c r="A1167" s="4" t="s">
        <v>27</v>
      </c>
      <c r="B1167" s="4" t="s">
        <v>37</v>
      </c>
      <c r="C1167" s="4" t="s">
        <v>23</v>
      </c>
      <c r="D1167" s="4" t="s">
        <v>45</v>
      </c>
      <c r="E1167" s="4" t="s">
        <v>25</v>
      </c>
      <c r="F1167" s="4" t="s">
        <v>25</v>
      </c>
      <c r="G1167" s="4" t="s">
        <v>25</v>
      </c>
      <c r="H1167" s="4" t="s">
        <v>25</v>
      </c>
      <c r="I1167" s="5">
        <v>44287</v>
      </c>
      <c r="J1167" s="6">
        <v>0</v>
      </c>
      <c r="K1167" s="6">
        <v>0</v>
      </c>
      <c r="L1167" s="6">
        <v>0.03</v>
      </c>
      <c r="M1167" s="6">
        <v>0.03</v>
      </c>
      <c r="N1167" s="6">
        <v>0.03</v>
      </c>
      <c r="O1167" s="6">
        <v>0.03</v>
      </c>
      <c r="P1167" s="6">
        <v>1</v>
      </c>
      <c r="Q1167" s="4" t="s">
        <v>26</v>
      </c>
      <c r="R1167" s="4">
        <v>0</v>
      </c>
      <c r="S1167" s="6">
        <v>0</v>
      </c>
      <c r="T1167" s="6">
        <v>61</v>
      </c>
      <c r="U1167" s="6">
        <v>7</v>
      </c>
      <c r="V1167" s="6">
        <f>IF(ISERROR(VLOOKUP($S$1167,'TAR FIN'!$A$1:$O$100,15,0)),0,VLOOKUP($S$1167,'TAR FIN'!$A$1:$O$100,15,0))</f>
        <v>0</v>
      </c>
      <c r="W1167" s="6">
        <f>IF(ISERROR(VLOOKUP($T$1167,'TAR FIN'!$A$1:$O$100,15,0)),0,VLOOKUP($T$1167,'TAR FIN'!$A$1:$O$100,15,0))</f>
        <v>285.75</v>
      </c>
      <c r="X1167" s="6">
        <f>IF(ISERROR(VLOOKUP($U$1167,'TAR FIN'!$A$1:$O$100,15,0)),0,VLOOKUP($U$1167,'TAR FIN'!$A$1:$O$100,15,0))</f>
        <v>231.33</v>
      </c>
      <c r="Y1167" s="6"/>
      <c r="Z1167" s="6">
        <f ca="1">('TUSD BE'!$AM$58+'TUSD BF'!$AM$58+'TUSD CVA'!$AM$58)*1</f>
        <v>285.64503648725872</v>
      </c>
      <c r="AA1167" s="6">
        <f>('TE BE'!$AA$41+'TE BF'!$AA$41+'TE CVA'!$AA$41)*1</f>
        <v>250.79367785689016</v>
      </c>
      <c r="AB1167" s="6">
        <f>$K$1167*$V$1167</f>
        <v>0</v>
      </c>
      <c r="AC1167" s="6">
        <f>$M$1167*$W$1167</f>
        <v>8.5724999999999998</v>
      </c>
      <c r="AD1167" s="6">
        <f>$O$1167*$X$1167</f>
        <v>6.9398999999999997</v>
      </c>
      <c r="AE1167" s="6">
        <f>$K$1167*$Y$1167</f>
        <v>0</v>
      </c>
      <c r="AF1167" s="6">
        <f ca="1">$M$1167*$Z$1167</f>
        <v>8.5693510946177618</v>
      </c>
      <c r="AG1167" s="6">
        <f>$O$1167*$AA$1167</f>
        <v>7.5238103357067043</v>
      </c>
    </row>
    <row r="1168" spans="1:33" ht="11.25" customHeight="1" x14ac:dyDescent="0.25">
      <c r="A1168" s="4" t="s">
        <v>28</v>
      </c>
      <c r="B1168" s="4" t="s">
        <v>37</v>
      </c>
      <c r="C1168" s="4" t="s">
        <v>23</v>
      </c>
      <c r="D1168" s="4" t="s">
        <v>45</v>
      </c>
      <c r="E1168" s="4" t="s">
        <v>25</v>
      </c>
      <c r="F1168" s="4" t="s">
        <v>25</v>
      </c>
      <c r="G1168" s="4" t="s">
        <v>25</v>
      </c>
      <c r="H1168" s="4" t="s">
        <v>25</v>
      </c>
      <c r="I1168" s="5">
        <v>44287</v>
      </c>
      <c r="J1168" s="6">
        <v>0</v>
      </c>
      <c r="K1168" s="6">
        <v>0</v>
      </c>
      <c r="L1168" s="6">
        <v>8.5030000000000001</v>
      </c>
      <c r="M1168" s="6">
        <v>8.5030000000000001</v>
      </c>
      <c r="N1168" s="6">
        <v>8.5030000000000001</v>
      </c>
      <c r="O1168" s="6">
        <v>8.5030000000000001</v>
      </c>
      <c r="P1168" s="6">
        <v>1</v>
      </c>
      <c r="Q1168" s="4" t="s">
        <v>26</v>
      </c>
      <c r="R1168" s="4">
        <v>0</v>
      </c>
      <c r="S1168" s="6">
        <v>0</v>
      </c>
      <c r="T1168" s="6">
        <v>61</v>
      </c>
      <c r="U1168" s="6">
        <v>7</v>
      </c>
      <c r="V1168" s="6">
        <f>IF(ISERROR(VLOOKUP($S$1168,'TAR FIN'!$A$1:$O$100,15,0)),0,VLOOKUP($S$1168,'TAR FIN'!$A$1:$O$100,15,0))</f>
        <v>0</v>
      </c>
      <c r="W1168" s="6">
        <f>IF(ISERROR(VLOOKUP($T$1168,'TAR FIN'!$A$1:$O$100,15,0)),0,VLOOKUP($T$1168,'TAR FIN'!$A$1:$O$100,15,0))</f>
        <v>285.75</v>
      </c>
      <c r="X1168" s="6">
        <f>IF(ISERROR(VLOOKUP($U$1168,'TAR FIN'!$A$1:$O$100,15,0)),0,VLOOKUP($U$1168,'TAR FIN'!$A$1:$O$100,15,0))</f>
        <v>231.33</v>
      </c>
      <c r="Y1168" s="6"/>
      <c r="Z1168" s="6">
        <f ca="1">('TUSD BE'!$AM$58+'TUSD BF'!$AM$58+'TUSD CVA'!$AM$58)*1</f>
        <v>285.64503648725872</v>
      </c>
      <c r="AA1168" s="6">
        <f>('TE BE'!$AA$41+'TE BF'!$AA$41+'TE CVA'!$AA$41)*1</f>
        <v>250.79367785689016</v>
      </c>
      <c r="AB1168" s="6">
        <f>$K$1168*$V$1168</f>
        <v>0</v>
      </c>
      <c r="AC1168" s="6">
        <f>$M$1168*$W$1168</f>
        <v>2429.73225</v>
      </c>
      <c r="AD1168" s="6">
        <f>$O$1168*$X$1168</f>
        <v>1966.99899</v>
      </c>
      <c r="AE1168" s="6">
        <f>$K$1168*$Y$1168</f>
        <v>0</v>
      </c>
      <c r="AF1168" s="6">
        <f ca="1">$M$1168*$Z$1168</f>
        <v>2428.8397452511608</v>
      </c>
      <c r="AG1168" s="6">
        <f>$O$1168*$AA$1168</f>
        <v>2132.4986428171369</v>
      </c>
    </row>
    <row r="1169" spans="1:33" ht="11.25" customHeight="1" x14ac:dyDescent="0.25">
      <c r="A1169" s="4" t="s">
        <v>21</v>
      </c>
      <c r="B1169" s="4" t="s">
        <v>37</v>
      </c>
      <c r="C1169" s="4" t="s">
        <v>23</v>
      </c>
      <c r="D1169" s="4" t="s">
        <v>45</v>
      </c>
      <c r="E1169" s="4" t="s">
        <v>25</v>
      </c>
      <c r="F1169" s="4" t="s">
        <v>25</v>
      </c>
      <c r="G1169" s="4" t="s">
        <v>25</v>
      </c>
      <c r="H1169" s="4" t="s">
        <v>25</v>
      </c>
      <c r="I1169" s="5">
        <v>44317</v>
      </c>
      <c r="J1169" s="6">
        <v>0</v>
      </c>
      <c r="K1169" s="6">
        <v>0</v>
      </c>
      <c r="L1169" s="6">
        <v>766.19399999999996</v>
      </c>
      <c r="M1169" s="6">
        <v>766.19399999999996</v>
      </c>
      <c r="N1169" s="6">
        <v>766.19399999999996</v>
      </c>
      <c r="O1169" s="6">
        <v>766.19399999999996</v>
      </c>
      <c r="P1169" s="6">
        <v>1438</v>
      </c>
      <c r="Q1169" s="4" t="s">
        <v>26</v>
      </c>
      <c r="R1169" s="4">
        <v>0</v>
      </c>
      <c r="S1169" s="6">
        <v>0</v>
      </c>
      <c r="T1169" s="6">
        <v>61</v>
      </c>
      <c r="U1169" s="6">
        <v>7</v>
      </c>
      <c r="V1169" s="6">
        <f>IF(ISERROR(VLOOKUP($S$1169,'TAR FIN'!$A$1:$O$100,15,0)),0,VLOOKUP($S$1169,'TAR FIN'!$A$1:$O$100,15,0))</f>
        <v>0</v>
      </c>
      <c r="W1169" s="6">
        <f>IF(ISERROR(VLOOKUP($T$1169,'TAR FIN'!$A$1:$O$100,15,0)),0,VLOOKUP($T$1169,'TAR FIN'!$A$1:$O$100,15,0))</f>
        <v>285.75</v>
      </c>
      <c r="X1169" s="6">
        <f>IF(ISERROR(VLOOKUP($U$1169,'TAR FIN'!$A$1:$O$100,15,0)),0,VLOOKUP($U$1169,'TAR FIN'!$A$1:$O$100,15,0))</f>
        <v>231.33</v>
      </c>
      <c r="Y1169" s="6"/>
      <c r="Z1169" s="6">
        <f ca="1">('TUSD BE'!$AM$58+'TUSD BF'!$AM$58+'TUSD CVA'!$AM$58)*1</f>
        <v>285.64503648725872</v>
      </c>
      <c r="AA1169" s="6">
        <f>('TE BE'!$AA$41+'TE BF'!$AA$41+'TE CVA'!$AA$41)*1</f>
        <v>250.79367785689016</v>
      </c>
      <c r="AB1169" s="6">
        <f>$K$1169*$V$1169</f>
        <v>0</v>
      </c>
      <c r="AC1169" s="6">
        <f>$M$1169*$W$1169</f>
        <v>218939.93549999999</v>
      </c>
      <c r="AD1169" s="6">
        <f>$O$1169*$X$1169</f>
        <v>177243.65802</v>
      </c>
      <c r="AE1169" s="6">
        <f>$K$1169*$Y$1169</f>
        <v>0</v>
      </c>
      <c r="AF1169" s="6">
        <f ca="1">$M$1169*$Z$1169</f>
        <v>218859.51308631871</v>
      </c>
      <c r="AG1169" s="6">
        <f>$O$1169*$AA$1169</f>
        <v>192156.61121188209</v>
      </c>
    </row>
    <row r="1170" spans="1:33" ht="11.25" customHeight="1" x14ac:dyDescent="0.25">
      <c r="A1170" s="4" t="s">
        <v>28</v>
      </c>
      <c r="B1170" s="4" t="s">
        <v>37</v>
      </c>
      <c r="C1170" s="4" t="s">
        <v>23</v>
      </c>
      <c r="D1170" s="4" t="s">
        <v>45</v>
      </c>
      <c r="E1170" s="4" t="s">
        <v>25</v>
      </c>
      <c r="F1170" s="4" t="s">
        <v>25</v>
      </c>
      <c r="G1170" s="4" t="s">
        <v>25</v>
      </c>
      <c r="H1170" s="4" t="s">
        <v>25</v>
      </c>
      <c r="I1170" s="5">
        <v>44317</v>
      </c>
      <c r="J1170" s="6">
        <v>0</v>
      </c>
      <c r="K1170" s="6">
        <v>0</v>
      </c>
      <c r="L1170" s="6">
        <v>10.4</v>
      </c>
      <c r="M1170" s="6">
        <v>10.4</v>
      </c>
      <c r="N1170" s="6">
        <v>10.4</v>
      </c>
      <c r="O1170" s="6">
        <v>10.4</v>
      </c>
      <c r="P1170" s="6">
        <v>1</v>
      </c>
      <c r="Q1170" s="4" t="s">
        <v>26</v>
      </c>
      <c r="R1170" s="4">
        <v>0</v>
      </c>
      <c r="S1170" s="6">
        <v>0</v>
      </c>
      <c r="T1170" s="6">
        <v>61</v>
      </c>
      <c r="U1170" s="6">
        <v>7</v>
      </c>
      <c r="V1170" s="6">
        <f>IF(ISERROR(VLOOKUP($S$1170,'TAR FIN'!$A$1:$O$100,15,0)),0,VLOOKUP($S$1170,'TAR FIN'!$A$1:$O$100,15,0))</f>
        <v>0</v>
      </c>
      <c r="W1170" s="6">
        <f>IF(ISERROR(VLOOKUP($T$1170,'TAR FIN'!$A$1:$O$100,15,0)),0,VLOOKUP($T$1170,'TAR FIN'!$A$1:$O$100,15,0))</f>
        <v>285.75</v>
      </c>
      <c r="X1170" s="6">
        <f>IF(ISERROR(VLOOKUP($U$1170,'TAR FIN'!$A$1:$O$100,15,0)),0,VLOOKUP($U$1170,'TAR FIN'!$A$1:$O$100,15,0))</f>
        <v>231.33</v>
      </c>
      <c r="Y1170" s="6"/>
      <c r="Z1170" s="6">
        <f ca="1">('TUSD BE'!$AM$58+'TUSD BF'!$AM$58+'TUSD CVA'!$AM$58)*1</f>
        <v>285.64503648725872</v>
      </c>
      <c r="AA1170" s="6">
        <f>('TE BE'!$AA$41+'TE BF'!$AA$41+'TE CVA'!$AA$41)*1</f>
        <v>250.79367785689016</v>
      </c>
      <c r="AB1170" s="6">
        <f>$K$1170*$V$1170</f>
        <v>0</v>
      </c>
      <c r="AC1170" s="6">
        <f>$M$1170*$W$1170</f>
        <v>2971.8</v>
      </c>
      <c r="AD1170" s="6">
        <f>$O$1170*$X$1170</f>
        <v>2405.8320000000003</v>
      </c>
      <c r="AE1170" s="6">
        <f>$K$1170*$Y$1170</f>
        <v>0</v>
      </c>
      <c r="AF1170" s="6">
        <f ca="1">$M$1170*$Z$1170</f>
        <v>2970.7083794674909</v>
      </c>
      <c r="AG1170" s="6">
        <f>$O$1170*$AA$1170</f>
        <v>2608.2542497116578</v>
      </c>
    </row>
    <row r="1171" spans="1:33" ht="11.25" customHeight="1" x14ac:dyDescent="0.25">
      <c r="A1171" s="4" t="s">
        <v>21</v>
      </c>
      <c r="B1171" s="4" t="s">
        <v>37</v>
      </c>
      <c r="C1171" s="4" t="s">
        <v>23</v>
      </c>
      <c r="D1171" s="4" t="s">
        <v>45</v>
      </c>
      <c r="E1171" s="4" t="s">
        <v>25</v>
      </c>
      <c r="F1171" s="4" t="s">
        <v>25</v>
      </c>
      <c r="G1171" s="4" t="s">
        <v>25</v>
      </c>
      <c r="H1171" s="4" t="s">
        <v>25</v>
      </c>
      <c r="I1171" s="5">
        <v>44348</v>
      </c>
      <c r="J1171" s="6">
        <v>0</v>
      </c>
      <c r="K1171" s="6">
        <v>0</v>
      </c>
      <c r="L1171" s="6">
        <v>669.51</v>
      </c>
      <c r="M1171" s="6">
        <v>669.51</v>
      </c>
      <c r="N1171" s="6">
        <v>669.51</v>
      </c>
      <c r="O1171" s="6">
        <v>669.51</v>
      </c>
      <c r="P1171" s="6">
        <v>1424</v>
      </c>
      <c r="Q1171" s="4" t="s">
        <v>26</v>
      </c>
      <c r="R1171" s="4">
        <v>0</v>
      </c>
      <c r="S1171" s="6">
        <v>0</v>
      </c>
      <c r="T1171" s="6">
        <v>61</v>
      </c>
      <c r="U1171" s="6">
        <v>7</v>
      </c>
      <c r="V1171" s="6">
        <f>IF(ISERROR(VLOOKUP($S$1171,'TAR FIN'!$A$1:$O$100,15,0)),0,VLOOKUP($S$1171,'TAR FIN'!$A$1:$O$100,15,0))</f>
        <v>0</v>
      </c>
      <c r="W1171" s="6">
        <f>IF(ISERROR(VLOOKUP($T$1171,'TAR FIN'!$A$1:$O$100,15,0)),0,VLOOKUP($T$1171,'TAR FIN'!$A$1:$O$100,15,0))</f>
        <v>285.75</v>
      </c>
      <c r="X1171" s="6">
        <f>IF(ISERROR(VLOOKUP($U$1171,'TAR FIN'!$A$1:$O$100,15,0)),0,VLOOKUP($U$1171,'TAR FIN'!$A$1:$O$100,15,0))</f>
        <v>231.33</v>
      </c>
      <c r="Y1171" s="6"/>
      <c r="Z1171" s="6">
        <f ca="1">('TUSD BE'!$AM$58+'TUSD BF'!$AM$58+'TUSD CVA'!$AM$58)*1</f>
        <v>285.64503648725872</v>
      </c>
      <c r="AA1171" s="6">
        <f>('TE BE'!$AA$41+'TE BF'!$AA$41+'TE CVA'!$AA$41)*1</f>
        <v>250.79367785689016</v>
      </c>
      <c r="AB1171" s="6">
        <f>$K$1171*$V$1171</f>
        <v>0</v>
      </c>
      <c r="AC1171" s="6">
        <f>$M$1171*$W$1171</f>
        <v>191312.48249999998</v>
      </c>
      <c r="AD1171" s="6">
        <f>$O$1171*$X$1171</f>
        <v>154877.74830000001</v>
      </c>
      <c r="AE1171" s="6">
        <f>$K$1171*$Y$1171</f>
        <v>0</v>
      </c>
      <c r="AF1171" s="6">
        <f ca="1">$M$1171*$Z$1171</f>
        <v>191242.20837858459</v>
      </c>
      <c r="AG1171" s="6">
        <f>$O$1171*$AA$1171</f>
        <v>167908.87526196652</v>
      </c>
    </row>
    <row r="1172" spans="1:33" ht="11.25" customHeight="1" x14ac:dyDescent="0.25">
      <c r="A1172" s="4" t="s">
        <v>27</v>
      </c>
      <c r="B1172" s="4" t="s">
        <v>37</v>
      </c>
      <c r="C1172" s="4" t="s">
        <v>23</v>
      </c>
      <c r="D1172" s="4" t="s">
        <v>45</v>
      </c>
      <c r="E1172" s="4" t="s">
        <v>25</v>
      </c>
      <c r="F1172" s="4" t="s">
        <v>25</v>
      </c>
      <c r="G1172" s="4" t="s">
        <v>25</v>
      </c>
      <c r="H1172" s="4" t="s">
        <v>25</v>
      </c>
      <c r="I1172" s="5">
        <v>44348</v>
      </c>
      <c r="J1172" s="6">
        <v>0</v>
      </c>
      <c r="K1172" s="6">
        <v>0</v>
      </c>
      <c r="L1172" s="6">
        <v>-0.13</v>
      </c>
      <c r="M1172" s="6">
        <v>-0.13</v>
      </c>
      <c r="N1172" s="6">
        <v>-0.13</v>
      </c>
      <c r="O1172" s="6">
        <v>-0.13</v>
      </c>
      <c r="P1172" s="6">
        <v>-2</v>
      </c>
      <c r="Q1172" s="4" t="s">
        <v>26</v>
      </c>
      <c r="R1172" s="4">
        <v>0</v>
      </c>
      <c r="S1172" s="6">
        <v>0</v>
      </c>
      <c r="T1172" s="6">
        <v>61</v>
      </c>
      <c r="U1172" s="6">
        <v>7</v>
      </c>
      <c r="V1172" s="6">
        <f>IF(ISERROR(VLOOKUP($S$1172,'TAR FIN'!$A$1:$O$100,15,0)),0,VLOOKUP($S$1172,'TAR FIN'!$A$1:$O$100,15,0))</f>
        <v>0</v>
      </c>
      <c r="W1172" s="6">
        <f>IF(ISERROR(VLOOKUP($T$1172,'TAR FIN'!$A$1:$O$100,15,0)),0,VLOOKUP($T$1172,'TAR FIN'!$A$1:$O$100,15,0))</f>
        <v>285.75</v>
      </c>
      <c r="X1172" s="6">
        <f>IF(ISERROR(VLOOKUP($U$1172,'TAR FIN'!$A$1:$O$100,15,0)),0,VLOOKUP($U$1172,'TAR FIN'!$A$1:$O$100,15,0))</f>
        <v>231.33</v>
      </c>
      <c r="Y1172" s="6"/>
      <c r="Z1172" s="6">
        <f ca="1">('TUSD BE'!$AM$58+'TUSD BF'!$AM$58+'TUSD CVA'!$AM$58)*1</f>
        <v>285.64503648725872</v>
      </c>
      <c r="AA1172" s="6">
        <f>('TE BE'!$AA$41+'TE BF'!$AA$41+'TE CVA'!$AA$41)*1</f>
        <v>250.79367785689016</v>
      </c>
      <c r="AB1172" s="6">
        <f>$K$1172*$V$1172</f>
        <v>0</v>
      </c>
      <c r="AC1172" s="6">
        <f>$M$1172*$W$1172</f>
        <v>-37.147500000000001</v>
      </c>
      <c r="AD1172" s="6">
        <f>$O$1172*$X$1172</f>
        <v>-30.072900000000004</v>
      </c>
      <c r="AE1172" s="6">
        <f>$K$1172*$Y$1172</f>
        <v>0</v>
      </c>
      <c r="AF1172" s="6">
        <f ca="1">$M$1172*$Z$1172</f>
        <v>-37.133854743343633</v>
      </c>
      <c r="AG1172" s="6">
        <f>$O$1172*$AA$1172</f>
        <v>-32.603178121395722</v>
      </c>
    </row>
    <row r="1173" spans="1:33" ht="11.25" customHeight="1" x14ac:dyDescent="0.25">
      <c r="A1173" s="4" t="s">
        <v>28</v>
      </c>
      <c r="B1173" s="4" t="s">
        <v>37</v>
      </c>
      <c r="C1173" s="4" t="s">
        <v>23</v>
      </c>
      <c r="D1173" s="4" t="s">
        <v>45</v>
      </c>
      <c r="E1173" s="4" t="s">
        <v>25</v>
      </c>
      <c r="F1173" s="4" t="s">
        <v>25</v>
      </c>
      <c r="G1173" s="4" t="s">
        <v>25</v>
      </c>
      <c r="H1173" s="4" t="s">
        <v>25</v>
      </c>
      <c r="I1173" s="5">
        <v>44348</v>
      </c>
      <c r="J1173" s="6">
        <v>0</v>
      </c>
      <c r="K1173" s="6">
        <v>0</v>
      </c>
      <c r="L1173" s="6">
        <v>9.7520000000000007</v>
      </c>
      <c r="M1173" s="6">
        <v>9.7520000000000007</v>
      </c>
      <c r="N1173" s="6">
        <v>9.7520000000000007</v>
      </c>
      <c r="O1173" s="6">
        <v>9.7520000000000007</v>
      </c>
      <c r="P1173" s="6">
        <v>1</v>
      </c>
      <c r="Q1173" s="4" t="s">
        <v>26</v>
      </c>
      <c r="R1173" s="4">
        <v>0</v>
      </c>
      <c r="S1173" s="6">
        <v>0</v>
      </c>
      <c r="T1173" s="6">
        <v>61</v>
      </c>
      <c r="U1173" s="6">
        <v>7</v>
      </c>
      <c r="V1173" s="6">
        <f>IF(ISERROR(VLOOKUP($S$1173,'TAR FIN'!$A$1:$O$100,15,0)),0,VLOOKUP($S$1173,'TAR FIN'!$A$1:$O$100,15,0))</f>
        <v>0</v>
      </c>
      <c r="W1173" s="6">
        <f>IF(ISERROR(VLOOKUP($T$1173,'TAR FIN'!$A$1:$O$100,15,0)),0,VLOOKUP($T$1173,'TAR FIN'!$A$1:$O$100,15,0))</f>
        <v>285.75</v>
      </c>
      <c r="X1173" s="6">
        <f>IF(ISERROR(VLOOKUP($U$1173,'TAR FIN'!$A$1:$O$100,15,0)),0,VLOOKUP($U$1173,'TAR FIN'!$A$1:$O$100,15,0))</f>
        <v>231.33</v>
      </c>
      <c r="Y1173" s="6"/>
      <c r="Z1173" s="6">
        <f ca="1">('TUSD BE'!$AM$58+'TUSD BF'!$AM$58+'TUSD CVA'!$AM$58)*1</f>
        <v>285.64503648725872</v>
      </c>
      <c r="AA1173" s="6">
        <f>('TE BE'!$AA$41+'TE BF'!$AA$41+'TE CVA'!$AA$41)*1</f>
        <v>250.79367785689016</v>
      </c>
      <c r="AB1173" s="6">
        <f>$K$1173*$V$1173</f>
        <v>0</v>
      </c>
      <c r="AC1173" s="6">
        <f>$M$1173*$W$1173</f>
        <v>2786.634</v>
      </c>
      <c r="AD1173" s="6">
        <f>$O$1173*$X$1173</f>
        <v>2255.9301600000003</v>
      </c>
      <c r="AE1173" s="6">
        <f>$K$1173*$Y$1173</f>
        <v>0</v>
      </c>
      <c r="AF1173" s="6">
        <f ca="1">$M$1173*$Z$1173</f>
        <v>2785.6103958237472</v>
      </c>
      <c r="AG1173" s="6">
        <f>$O$1173*$AA$1173</f>
        <v>2445.7399464603932</v>
      </c>
    </row>
    <row r="1174" spans="1:33" ht="11.25" customHeight="1" x14ac:dyDescent="0.25">
      <c r="A1174" s="4" t="s">
        <v>21</v>
      </c>
      <c r="B1174" s="4" t="s">
        <v>37</v>
      </c>
      <c r="C1174" s="4" t="s">
        <v>23</v>
      </c>
      <c r="D1174" s="4" t="s">
        <v>45</v>
      </c>
      <c r="E1174" s="4" t="s">
        <v>25</v>
      </c>
      <c r="F1174" s="4" t="s">
        <v>25</v>
      </c>
      <c r="G1174" s="4" t="s">
        <v>25</v>
      </c>
      <c r="H1174" s="4" t="s">
        <v>25</v>
      </c>
      <c r="I1174" s="5">
        <v>44378</v>
      </c>
      <c r="J1174" s="6">
        <v>0</v>
      </c>
      <c r="K1174" s="6">
        <v>0</v>
      </c>
      <c r="L1174" s="6">
        <v>711.63800000000003</v>
      </c>
      <c r="M1174" s="6">
        <v>711.63800000000003</v>
      </c>
      <c r="N1174" s="6">
        <v>711.63800000000003</v>
      </c>
      <c r="O1174" s="6">
        <v>711.63800000000003</v>
      </c>
      <c r="P1174" s="6">
        <v>1425</v>
      </c>
      <c r="Q1174" s="4" t="s">
        <v>26</v>
      </c>
      <c r="R1174" s="4">
        <v>0</v>
      </c>
      <c r="S1174" s="6">
        <v>0</v>
      </c>
      <c r="T1174" s="6">
        <v>61</v>
      </c>
      <c r="U1174" s="6">
        <v>7</v>
      </c>
      <c r="V1174" s="6">
        <f>IF(ISERROR(VLOOKUP($S$1174,'TAR FIN'!$A$1:$O$100,15,0)),0,VLOOKUP($S$1174,'TAR FIN'!$A$1:$O$100,15,0))</f>
        <v>0</v>
      </c>
      <c r="W1174" s="6">
        <f>IF(ISERROR(VLOOKUP($T$1174,'TAR FIN'!$A$1:$O$100,15,0)),0,VLOOKUP($T$1174,'TAR FIN'!$A$1:$O$100,15,0))</f>
        <v>285.75</v>
      </c>
      <c r="X1174" s="6">
        <f>IF(ISERROR(VLOOKUP($U$1174,'TAR FIN'!$A$1:$O$100,15,0)),0,VLOOKUP($U$1174,'TAR FIN'!$A$1:$O$100,15,0))</f>
        <v>231.33</v>
      </c>
      <c r="Y1174" s="6"/>
      <c r="Z1174" s="6">
        <f ca="1">('TUSD BE'!$AM$58+'TUSD BF'!$AM$58+'TUSD CVA'!$AM$58)*1</f>
        <v>285.64503648725872</v>
      </c>
      <c r="AA1174" s="6">
        <f>('TE BE'!$AA$41+'TE BF'!$AA$41+'TE CVA'!$AA$41)*1</f>
        <v>250.79367785689016</v>
      </c>
      <c r="AB1174" s="6">
        <f>$K$1174*$V$1174</f>
        <v>0</v>
      </c>
      <c r="AC1174" s="6">
        <f>$M$1174*$W$1174</f>
        <v>203350.55850000001</v>
      </c>
      <c r="AD1174" s="6">
        <f>$O$1174*$X$1174</f>
        <v>164623.21854000003</v>
      </c>
      <c r="AE1174" s="6">
        <f>$K$1174*$Y$1174</f>
        <v>0</v>
      </c>
      <c r="AF1174" s="6">
        <f ca="1">$M$1174*$Z$1174</f>
        <v>203275.86247571983</v>
      </c>
      <c r="AG1174" s="6">
        <f>$O$1174*$AA$1174</f>
        <v>178474.31132272159</v>
      </c>
    </row>
    <row r="1175" spans="1:33" ht="11.25" customHeight="1" x14ac:dyDescent="0.25">
      <c r="A1175" s="4" t="s">
        <v>28</v>
      </c>
      <c r="B1175" s="4" t="s">
        <v>37</v>
      </c>
      <c r="C1175" s="4" t="s">
        <v>23</v>
      </c>
      <c r="D1175" s="4" t="s">
        <v>45</v>
      </c>
      <c r="E1175" s="4" t="s">
        <v>25</v>
      </c>
      <c r="F1175" s="4" t="s">
        <v>25</v>
      </c>
      <c r="G1175" s="4" t="s">
        <v>25</v>
      </c>
      <c r="H1175" s="4" t="s">
        <v>25</v>
      </c>
      <c r="I1175" s="5">
        <v>44378</v>
      </c>
      <c r="J1175" s="6">
        <v>0</v>
      </c>
      <c r="K1175" s="6">
        <v>0</v>
      </c>
      <c r="L1175" s="6">
        <v>9.8030000000000008</v>
      </c>
      <c r="M1175" s="6">
        <v>9.8030000000000008</v>
      </c>
      <c r="N1175" s="6">
        <v>9.8030000000000008</v>
      </c>
      <c r="O1175" s="6">
        <v>9.8030000000000008</v>
      </c>
      <c r="P1175" s="6">
        <v>1</v>
      </c>
      <c r="Q1175" s="4" t="s">
        <v>26</v>
      </c>
      <c r="R1175" s="4">
        <v>0</v>
      </c>
      <c r="S1175" s="6">
        <v>0</v>
      </c>
      <c r="T1175" s="6">
        <v>61</v>
      </c>
      <c r="U1175" s="6">
        <v>7</v>
      </c>
      <c r="V1175" s="6">
        <f>IF(ISERROR(VLOOKUP($S$1175,'TAR FIN'!$A$1:$O$100,15,0)),0,VLOOKUP($S$1175,'TAR FIN'!$A$1:$O$100,15,0))</f>
        <v>0</v>
      </c>
      <c r="W1175" s="6">
        <f>IF(ISERROR(VLOOKUP($T$1175,'TAR FIN'!$A$1:$O$100,15,0)),0,VLOOKUP($T$1175,'TAR FIN'!$A$1:$O$100,15,0))</f>
        <v>285.75</v>
      </c>
      <c r="X1175" s="6">
        <f>IF(ISERROR(VLOOKUP($U$1175,'TAR FIN'!$A$1:$O$100,15,0)),0,VLOOKUP($U$1175,'TAR FIN'!$A$1:$O$100,15,0))</f>
        <v>231.33</v>
      </c>
      <c r="Y1175" s="6"/>
      <c r="Z1175" s="6">
        <f ca="1">('TUSD BE'!$AM$58+'TUSD BF'!$AM$58+'TUSD CVA'!$AM$58)*1</f>
        <v>285.64503648725872</v>
      </c>
      <c r="AA1175" s="6">
        <f>('TE BE'!$AA$41+'TE BF'!$AA$41+'TE CVA'!$AA$41)*1</f>
        <v>250.79367785689016</v>
      </c>
      <c r="AB1175" s="6">
        <f>$K$1175*$V$1175</f>
        <v>0</v>
      </c>
      <c r="AC1175" s="6">
        <f>$M$1175*$W$1175</f>
        <v>2801.2072500000004</v>
      </c>
      <c r="AD1175" s="6">
        <f>$O$1175*$X$1175</f>
        <v>2267.7279900000003</v>
      </c>
      <c r="AE1175" s="6">
        <f>$K$1175*$Y$1175</f>
        <v>0</v>
      </c>
      <c r="AF1175" s="6">
        <f ca="1">$M$1175*$Z$1175</f>
        <v>2800.1782926845976</v>
      </c>
      <c r="AG1175" s="6">
        <f>$O$1175*$AA$1175</f>
        <v>2458.5304240310943</v>
      </c>
    </row>
    <row r="1176" spans="1:33" ht="11.25" customHeight="1" x14ac:dyDescent="0.25">
      <c r="A1176" s="4" t="s">
        <v>21</v>
      </c>
      <c r="B1176" s="4" t="s">
        <v>37</v>
      </c>
      <c r="C1176" s="4" t="s">
        <v>23</v>
      </c>
      <c r="D1176" s="4" t="s">
        <v>45</v>
      </c>
      <c r="E1176" s="4" t="s">
        <v>25</v>
      </c>
      <c r="F1176" s="4" t="s">
        <v>25</v>
      </c>
      <c r="G1176" s="4" t="s">
        <v>25</v>
      </c>
      <c r="H1176" s="4" t="s">
        <v>25</v>
      </c>
      <c r="I1176" s="5">
        <v>44409</v>
      </c>
      <c r="J1176" s="6">
        <v>0</v>
      </c>
      <c r="K1176" s="6">
        <v>0</v>
      </c>
      <c r="L1176" s="6">
        <v>690.24300000000005</v>
      </c>
      <c r="M1176" s="6">
        <v>690.24300000000005</v>
      </c>
      <c r="N1176" s="6">
        <v>690.24300000000005</v>
      </c>
      <c r="O1176" s="6">
        <v>690.24300000000005</v>
      </c>
      <c r="P1176" s="6">
        <v>1427</v>
      </c>
      <c r="Q1176" s="4" t="s">
        <v>26</v>
      </c>
      <c r="R1176" s="4">
        <v>0</v>
      </c>
      <c r="S1176" s="6">
        <v>0</v>
      </c>
      <c r="T1176" s="6">
        <v>61</v>
      </c>
      <c r="U1176" s="6">
        <v>7</v>
      </c>
      <c r="V1176" s="6">
        <f>IF(ISERROR(VLOOKUP($S$1176,'TAR FIN'!$A$1:$O$100,15,0)),0,VLOOKUP($S$1176,'TAR FIN'!$A$1:$O$100,15,0))</f>
        <v>0</v>
      </c>
      <c r="W1176" s="6">
        <f>IF(ISERROR(VLOOKUP($T$1176,'TAR FIN'!$A$1:$O$100,15,0)),0,VLOOKUP($T$1176,'TAR FIN'!$A$1:$O$100,15,0))</f>
        <v>285.75</v>
      </c>
      <c r="X1176" s="6">
        <f>IF(ISERROR(VLOOKUP($U$1176,'TAR FIN'!$A$1:$O$100,15,0)),0,VLOOKUP($U$1176,'TAR FIN'!$A$1:$O$100,15,0))</f>
        <v>231.33</v>
      </c>
      <c r="Y1176" s="6"/>
      <c r="Z1176" s="6">
        <f ca="1">('TUSD BE'!$AM$58+'TUSD BF'!$AM$58+'TUSD CVA'!$AM$58)*1</f>
        <v>285.64503648725872</v>
      </c>
      <c r="AA1176" s="6">
        <f>('TE BE'!$AA$41+'TE BF'!$AA$41+'TE CVA'!$AA$41)*1</f>
        <v>250.79367785689016</v>
      </c>
      <c r="AB1176" s="6">
        <f>$K$1176*$V$1176</f>
        <v>0</v>
      </c>
      <c r="AC1176" s="6">
        <f>$M$1176*$W$1176</f>
        <v>197236.93725000002</v>
      </c>
      <c r="AD1176" s="6">
        <f>$O$1176*$X$1176</f>
        <v>159673.91319000002</v>
      </c>
      <c r="AE1176" s="6">
        <f>$K$1176*$Y$1176</f>
        <v>0</v>
      </c>
      <c r="AF1176" s="6">
        <f ca="1">$M$1176*$Z$1176</f>
        <v>197164.48692007494</v>
      </c>
      <c r="AG1176" s="6">
        <f>$O$1176*$AA$1176</f>
        <v>173108.58058497345</v>
      </c>
    </row>
    <row r="1177" spans="1:33" ht="11.25" customHeight="1" x14ac:dyDescent="0.25">
      <c r="A1177" s="4" t="s">
        <v>27</v>
      </c>
      <c r="B1177" s="4" t="s">
        <v>37</v>
      </c>
      <c r="C1177" s="4" t="s">
        <v>23</v>
      </c>
      <c r="D1177" s="4" t="s">
        <v>45</v>
      </c>
      <c r="E1177" s="4" t="s">
        <v>25</v>
      </c>
      <c r="F1177" s="4" t="s">
        <v>25</v>
      </c>
      <c r="G1177" s="4" t="s">
        <v>25</v>
      </c>
      <c r="H1177" s="4" t="s">
        <v>25</v>
      </c>
      <c r="I1177" s="5">
        <v>44409</v>
      </c>
      <c r="J1177" s="6">
        <v>0</v>
      </c>
      <c r="K1177" s="6">
        <v>0</v>
      </c>
      <c r="L1177" s="6">
        <v>-11.167</v>
      </c>
      <c r="M1177" s="6">
        <v>-11.167</v>
      </c>
      <c r="N1177" s="6">
        <v>-11.167</v>
      </c>
      <c r="O1177" s="6">
        <v>-11.167</v>
      </c>
      <c r="P1177" s="6">
        <v>1</v>
      </c>
      <c r="Q1177" s="4" t="s">
        <v>26</v>
      </c>
      <c r="R1177" s="4">
        <v>0</v>
      </c>
      <c r="S1177" s="6">
        <v>0</v>
      </c>
      <c r="T1177" s="6">
        <v>61</v>
      </c>
      <c r="U1177" s="6">
        <v>7</v>
      </c>
      <c r="V1177" s="6">
        <f>IF(ISERROR(VLOOKUP($S$1177,'TAR FIN'!$A$1:$O$100,15,0)),0,VLOOKUP($S$1177,'TAR FIN'!$A$1:$O$100,15,0))</f>
        <v>0</v>
      </c>
      <c r="W1177" s="6">
        <f>IF(ISERROR(VLOOKUP($T$1177,'TAR FIN'!$A$1:$O$100,15,0)),0,VLOOKUP($T$1177,'TAR FIN'!$A$1:$O$100,15,0))</f>
        <v>285.75</v>
      </c>
      <c r="X1177" s="6">
        <f>IF(ISERROR(VLOOKUP($U$1177,'TAR FIN'!$A$1:$O$100,15,0)),0,VLOOKUP($U$1177,'TAR FIN'!$A$1:$O$100,15,0))</f>
        <v>231.33</v>
      </c>
      <c r="Y1177" s="6"/>
      <c r="Z1177" s="6">
        <f ca="1">('TUSD BE'!$AM$58+'TUSD BF'!$AM$58+'TUSD CVA'!$AM$58)*1</f>
        <v>285.64503648725872</v>
      </c>
      <c r="AA1177" s="6">
        <f>('TE BE'!$AA$41+'TE BF'!$AA$41+'TE CVA'!$AA$41)*1</f>
        <v>250.79367785689016</v>
      </c>
      <c r="AB1177" s="6">
        <f>$K$1177*$V$1177</f>
        <v>0</v>
      </c>
      <c r="AC1177" s="6">
        <f>$M$1177*$W$1177</f>
        <v>-3190.9702499999999</v>
      </c>
      <c r="AD1177" s="6">
        <f>$O$1177*$X$1177</f>
        <v>-2583.2621100000001</v>
      </c>
      <c r="AE1177" s="6">
        <f>$K$1177*$Y$1177</f>
        <v>0</v>
      </c>
      <c r="AF1177" s="6">
        <f ca="1">$M$1177*$Z$1177</f>
        <v>-3189.7981224532182</v>
      </c>
      <c r="AG1177" s="6">
        <f>$O$1177*$AA$1177</f>
        <v>-2800.6130006278922</v>
      </c>
    </row>
    <row r="1178" spans="1:33" ht="11.25" customHeight="1" x14ac:dyDescent="0.25">
      <c r="A1178" s="4" t="s">
        <v>28</v>
      </c>
      <c r="B1178" s="4" t="s">
        <v>37</v>
      </c>
      <c r="C1178" s="4" t="s">
        <v>23</v>
      </c>
      <c r="D1178" s="4" t="s">
        <v>45</v>
      </c>
      <c r="E1178" s="4" t="s">
        <v>25</v>
      </c>
      <c r="F1178" s="4" t="s">
        <v>25</v>
      </c>
      <c r="G1178" s="4" t="s">
        <v>25</v>
      </c>
      <c r="H1178" s="4" t="s">
        <v>25</v>
      </c>
      <c r="I1178" s="5">
        <v>44409</v>
      </c>
      <c r="J1178" s="6">
        <v>0</v>
      </c>
      <c r="K1178" s="6">
        <v>0</v>
      </c>
      <c r="L1178" s="6">
        <v>7.3659999999999997</v>
      </c>
      <c r="M1178" s="6">
        <v>7.3659999999999997</v>
      </c>
      <c r="N1178" s="6">
        <v>7.3659999999999997</v>
      </c>
      <c r="O1178" s="6">
        <v>7.3659999999999997</v>
      </c>
      <c r="P1178" s="6">
        <v>1</v>
      </c>
      <c r="Q1178" s="4" t="s">
        <v>26</v>
      </c>
      <c r="R1178" s="4">
        <v>0</v>
      </c>
      <c r="S1178" s="6">
        <v>0</v>
      </c>
      <c r="T1178" s="6">
        <v>61</v>
      </c>
      <c r="U1178" s="6">
        <v>7</v>
      </c>
      <c r="V1178" s="6">
        <f>IF(ISERROR(VLOOKUP($S$1178,'TAR FIN'!$A$1:$O$100,15,0)),0,VLOOKUP($S$1178,'TAR FIN'!$A$1:$O$100,15,0))</f>
        <v>0</v>
      </c>
      <c r="W1178" s="6">
        <f>IF(ISERROR(VLOOKUP($T$1178,'TAR FIN'!$A$1:$O$100,15,0)),0,VLOOKUP($T$1178,'TAR FIN'!$A$1:$O$100,15,0))</f>
        <v>285.75</v>
      </c>
      <c r="X1178" s="6">
        <f>IF(ISERROR(VLOOKUP($U$1178,'TAR FIN'!$A$1:$O$100,15,0)),0,VLOOKUP($U$1178,'TAR FIN'!$A$1:$O$100,15,0))</f>
        <v>231.33</v>
      </c>
      <c r="Y1178" s="6"/>
      <c r="Z1178" s="6">
        <f ca="1">('TUSD BE'!$AM$58+'TUSD BF'!$AM$58+'TUSD CVA'!$AM$58)*1</f>
        <v>285.64503648725872</v>
      </c>
      <c r="AA1178" s="6">
        <f>('TE BE'!$AA$41+'TE BF'!$AA$41+'TE CVA'!$AA$41)*1</f>
        <v>250.79367785689016</v>
      </c>
      <c r="AB1178" s="6">
        <f>$K$1178*$V$1178</f>
        <v>0</v>
      </c>
      <c r="AC1178" s="6">
        <f>$M$1178*$W$1178</f>
        <v>2104.8344999999999</v>
      </c>
      <c r="AD1178" s="6">
        <f>$O$1178*$X$1178</f>
        <v>1703.97678</v>
      </c>
      <c r="AE1178" s="6">
        <f>$K$1178*$Y$1178</f>
        <v>0</v>
      </c>
      <c r="AF1178" s="6">
        <f ca="1">$M$1178*$Z$1178</f>
        <v>2104.0613387651479</v>
      </c>
      <c r="AG1178" s="6">
        <f>$O$1178*$AA$1178</f>
        <v>1847.3462310938528</v>
      </c>
    </row>
    <row r="1179" spans="1:33" ht="11.25" customHeight="1" x14ac:dyDescent="0.25">
      <c r="A1179" s="4" t="s">
        <v>21</v>
      </c>
      <c r="B1179" s="4" t="s">
        <v>37</v>
      </c>
      <c r="C1179" s="4" t="s">
        <v>23</v>
      </c>
      <c r="D1179" s="4" t="s">
        <v>45</v>
      </c>
      <c r="E1179" s="4" t="s">
        <v>25</v>
      </c>
      <c r="F1179" s="4" t="s">
        <v>25</v>
      </c>
      <c r="G1179" s="4" t="s">
        <v>25</v>
      </c>
      <c r="H1179" s="4" t="s">
        <v>25</v>
      </c>
      <c r="I1179" s="5">
        <v>44440</v>
      </c>
      <c r="J1179" s="6">
        <v>0</v>
      </c>
      <c r="K1179" s="6">
        <v>0</v>
      </c>
      <c r="L1179" s="6">
        <v>679.69399999999996</v>
      </c>
      <c r="M1179" s="6">
        <v>679.69399999999996</v>
      </c>
      <c r="N1179" s="6">
        <v>679.69399999999996</v>
      </c>
      <c r="O1179" s="6">
        <v>679.69399999999996</v>
      </c>
      <c r="P1179" s="6">
        <v>1421</v>
      </c>
      <c r="Q1179" s="4" t="s">
        <v>26</v>
      </c>
      <c r="R1179" s="4">
        <v>0</v>
      </c>
      <c r="S1179" s="6">
        <v>0</v>
      </c>
      <c r="T1179" s="6">
        <v>61</v>
      </c>
      <c r="U1179" s="6">
        <v>7</v>
      </c>
      <c r="V1179" s="6">
        <f>IF(ISERROR(VLOOKUP($S$1179,'TAR FIN'!$A$1:$O$100,15,0)),0,VLOOKUP($S$1179,'TAR FIN'!$A$1:$O$100,15,0))</f>
        <v>0</v>
      </c>
      <c r="W1179" s="6">
        <f>IF(ISERROR(VLOOKUP($T$1179,'TAR FIN'!$A$1:$O$100,15,0)),0,VLOOKUP($T$1179,'TAR FIN'!$A$1:$O$100,15,0))</f>
        <v>285.75</v>
      </c>
      <c r="X1179" s="6">
        <f>IF(ISERROR(VLOOKUP($U$1179,'TAR FIN'!$A$1:$O$100,15,0)),0,VLOOKUP($U$1179,'TAR FIN'!$A$1:$O$100,15,0))</f>
        <v>231.33</v>
      </c>
      <c r="Y1179" s="6"/>
      <c r="Z1179" s="6">
        <f ca="1">('TUSD BE'!$AM$58+'TUSD BF'!$AM$58+'TUSD CVA'!$AM$58)*1</f>
        <v>285.64503648725872</v>
      </c>
      <c r="AA1179" s="6">
        <f>('TE BE'!$AA$41+'TE BF'!$AA$41+'TE CVA'!$AA$41)*1</f>
        <v>250.79367785689016</v>
      </c>
      <c r="AB1179" s="6">
        <f>$K$1179*$V$1179</f>
        <v>0</v>
      </c>
      <c r="AC1179" s="6">
        <f>$M$1179*$W$1179</f>
        <v>194222.56049999999</v>
      </c>
      <c r="AD1179" s="6">
        <f>$O$1179*$X$1179</f>
        <v>157233.61301999999</v>
      </c>
      <c r="AE1179" s="6">
        <f>$K$1179*$Y$1179</f>
        <v>0</v>
      </c>
      <c r="AF1179" s="6">
        <f ca="1">$M$1179*$Z$1179</f>
        <v>194151.21743017083</v>
      </c>
      <c r="AG1179" s="6">
        <f>$O$1179*$AA$1179</f>
        <v>170462.95807726108</v>
      </c>
    </row>
    <row r="1180" spans="1:33" ht="11.25" customHeight="1" x14ac:dyDescent="0.25">
      <c r="A1180" s="4" t="s">
        <v>28</v>
      </c>
      <c r="B1180" s="4" t="s">
        <v>37</v>
      </c>
      <c r="C1180" s="4" t="s">
        <v>23</v>
      </c>
      <c r="D1180" s="4" t="s">
        <v>45</v>
      </c>
      <c r="E1180" s="4" t="s">
        <v>25</v>
      </c>
      <c r="F1180" s="4" t="s">
        <v>25</v>
      </c>
      <c r="G1180" s="4" t="s">
        <v>25</v>
      </c>
      <c r="H1180" s="4" t="s">
        <v>25</v>
      </c>
      <c r="I1180" s="5">
        <v>44440</v>
      </c>
      <c r="J1180" s="6">
        <v>0</v>
      </c>
      <c r="K1180" s="6">
        <v>0</v>
      </c>
      <c r="L1180" s="6">
        <v>8.0009999999999994</v>
      </c>
      <c r="M1180" s="6">
        <v>8.0009999999999994</v>
      </c>
      <c r="N1180" s="6">
        <v>8.0009999999999994</v>
      </c>
      <c r="O1180" s="6">
        <v>8.0009999999999994</v>
      </c>
      <c r="P1180" s="6">
        <v>1</v>
      </c>
      <c r="Q1180" s="4" t="s">
        <v>26</v>
      </c>
      <c r="R1180" s="4">
        <v>0</v>
      </c>
      <c r="S1180" s="6">
        <v>0</v>
      </c>
      <c r="T1180" s="6">
        <v>61</v>
      </c>
      <c r="U1180" s="6">
        <v>7</v>
      </c>
      <c r="V1180" s="6">
        <f>IF(ISERROR(VLOOKUP($S$1180,'TAR FIN'!$A$1:$O$100,15,0)),0,VLOOKUP($S$1180,'TAR FIN'!$A$1:$O$100,15,0))</f>
        <v>0</v>
      </c>
      <c r="W1180" s="6">
        <f>IF(ISERROR(VLOOKUP($T$1180,'TAR FIN'!$A$1:$O$100,15,0)),0,VLOOKUP($T$1180,'TAR FIN'!$A$1:$O$100,15,0))</f>
        <v>285.75</v>
      </c>
      <c r="X1180" s="6">
        <f>IF(ISERROR(VLOOKUP($U$1180,'TAR FIN'!$A$1:$O$100,15,0)),0,VLOOKUP($U$1180,'TAR FIN'!$A$1:$O$100,15,0))</f>
        <v>231.33</v>
      </c>
      <c r="Y1180" s="6"/>
      <c r="Z1180" s="6">
        <f ca="1">('TUSD BE'!$AM$58+'TUSD BF'!$AM$58+'TUSD CVA'!$AM$58)*1</f>
        <v>285.64503648725872</v>
      </c>
      <c r="AA1180" s="6">
        <f>('TE BE'!$AA$41+'TE BF'!$AA$41+'TE CVA'!$AA$41)*1</f>
        <v>250.79367785689016</v>
      </c>
      <c r="AB1180" s="6">
        <f>$K$1180*$V$1180</f>
        <v>0</v>
      </c>
      <c r="AC1180" s="6">
        <f>$M$1180*$W$1180</f>
        <v>2286.28575</v>
      </c>
      <c r="AD1180" s="6">
        <f>$O$1180*$X$1180</f>
        <v>1850.8713299999999</v>
      </c>
      <c r="AE1180" s="6">
        <f>$K$1180*$Y$1180</f>
        <v>0</v>
      </c>
      <c r="AF1180" s="6">
        <f ca="1">$M$1180*$Z$1180</f>
        <v>2285.4459369345568</v>
      </c>
      <c r="AG1180" s="6">
        <f>$O$1180*$AA$1180</f>
        <v>2006.600216532978</v>
      </c>
    </row>
    <row r="1181" spans="1:33" ht="11.25" customHeight="1" x14ac:dyDescent="0.25">
      <c r="A1181" s="4" t="s">
        <v>21</v>
      </c>
      <c r="B1181" s="4" t="s">
        <v>37</v>
      </c>
      <c r="C1181" s="4" t="s">
        <v>23</v>
      </c>
      <c r="D1181" s="4" t="s">
        <v>45</v>
      </c>
      <c r="E1181" s="4" t="s">
        <v>25</v>
      </c>
      <c r="F1181" s="4" t="s">
        <v>25</v>
      </c>
      <c r="G1181" s="4" t="s">
        <v>25</v>
      </c>
      <c r="H1181" s="4" t="s">
        <v>25</v>
      </c>
      <c r="I1181" s="5">
        <v>44470</v>
      </c>
      <c r="J1181" s="6">
        <v>0</v>
      </c>
      <c r="K1181" s="6">
        <v>0</v>
      </c>
      <c r="L1181" s="6">
        <v>796.76199999999994</v>
      </c>
      <c r="M1181" s="6">
        <v>796.76199999999994</v>
      </c>
      <c r="N1181" s="6">
        <v>796.76199999999994</v>
      </c>
      <c r="O1181" s="6">
        <v>796.76199999999994</v>
      </c>
      <c r="P1181" s="6">
        <v>1428</v>
      </c>
      <c r="Q1181" s="4" t="s">
        <v>26</v>
      </c>
      <c r="R1181" s="4">
        <v>0</v>
      </c>
      <c r="S1181" s="6">
        <v>0</v>
      </c>
      <c r="T1181" s="6">
        <v>61</v>
      </c>
      <c r="U1181" s="6">
        <v>7</v>
      </c>
      <c r="V1181" s="6">
        <f>IF(ISERROR(VLOOKUP($S$1181,'TAR FIN'!$A$1:$O$100,15,0)),0,VLOOKUP($S$1181,'TAR FIN'!$A$1:$O$100,15,0))</f>
        <v>0</v>
      </c>
      <c r="W1181" s="6">
        <f>IF(ISERROR(VLOOKUP($T$1181,'TAR FIN'!$A$1:$O$100,15,0)),0,VLOOKUP($T$1181,'TAR FIN'!$A$1:$O$100,15,0))</f>
        <v>285.75</v>
      </c>
      <c r="X1181" s="6">
        <f>IF(ISERROR(VLOOKUP($U$1181,'TAR FIN'!$A$1:$O$100,15,0)),0,VLOOKUP($U$1181,'TAR FIN'!$A$1:$O$100,15,0))</f>
        <v>231.33</v>
      </c>
      <c r="Y1181" s="6"/>
      <c r="Z1181" s="6">
        <f ca="1">('TUSD BE'!$AM$58+'TUSD BF'!$AM$58+'TUSD CVA'!$AM$58)*1</f>
        <v>285.64503648725872</v>
      </c>
      <c r="AA1181" s="6">
        <f>('TE BE'!$AA$41+'TE BF'!$AA$41+'TE CVA'!$AA$41)*1</f>
        <v>250.79367785689016</v>
      </c>
      <c r="AB1181" s="6">
        <f>$K$1181*$V$1181</f>
        <v>0</v>
      </c>
      <c r="AC1181" s="6">
        <f>$M$1181*$W$1181</f>
        <v>227674.74149999997</v>
      </c>
      <c r="AD1181" s="6">
        <f>$O$1181*$X$1181</f>
        <v>184314.95345999999</v>
      </c>
      <c r="AE1181" s="6">
        <f>$K$1181*$Y$1181</f>
        <v>0</v>
      </c>
      <c r="AF1181" s="6">
        <f ca="1">$M$1181*$Z$1181</f>
        <v>227591.11056166122</v>
      </c>
      <c r="AG1181" s="6">
        <f>$O$1181*$AA$1181</f>
        <v>199822.87235661151</v>
      </c>
    </row>
    <row r="1182" spans="1:33" ht="11.25" customHeight="1" x14ac:dyDescent="0.25">
      <c r="A1182" s="4" t="s">
        <v>28</v>
      </c>
      <c r="B1182" s="4" t="s">
        <v>37</v>
      </c>
      <c r="C1182" s="4" t="s">
        <v>23</v>
      </c>
      <c r="D1182" s="4" t="s">
        <v>45</v>
      </c>
      <c r="E1182" s="4" t="s">
        <v>25</v>
      </c>
      <c r="F1182" s="4" t="s">
        <v>25</v>
      </c>
      <c r="G1182" s="4" t="s">
        <v>25</v>
      </c>
      <c r="H1182" s="4" t="s">
        <v>25</v>
      </c>
      <c r="I1182" s="5">
        <v>44470</v>
      </c>
      <c r="J1182" s="6">
        <v>0</v>
      </c>
      <c r="K1182" s="6">
        <v>0</v>
      </c>
      <c r="L1182" s="6">
        <v>8.19</v>
      </c>
      <c r="M1182" s="6">
        <v>8.19</v>
      </c>
      <c r="N1182" s="6">
        <v>8.19</v>
      </c>
      <c r="O1182" s="6">
        <v>8.19</v>
      </c>
      <c r="P1182" s="6">
        <v>1</v>
      </c>
      <c r="Q1182" s="4" t="s">
        <v>26</v>
      </c>
      <c r="R1182" s="4">
        <v>0</v>
      </c>
      <c r="S1182" s="6">
        <v>0</v>
      </c>
      <c r="T1182" s="6">
        <v>61</v>
      </c>
      <c r="U1182" s="6">
        <v>7</v>
      </c>
      <c r="V1182" s="6">
        <f>IF(ISERROR(VLOOKUP($S$1182,'TAR FIN'!$A$1:$O$100,15,0)),0,VLOOKUP($S$1182,'TAR FIN'!$A$1:$O$100,15,0))</f>
        <v>0</v>
      </c>
      <c r="W1182" s="6">
        <f>IF(ISERROR(VLOOKUP($T$1182,'TAR FIN'!$A$1:$O$100,15,0)),0,VLOOKUP($T$1182,'TAR FIN'!$A$1:$O$100,15,0))</f>
        <v>285.75</v>
      </c>
      <c r="X1182" s="6">
        <f>IF(ISERROR(VLOOKUP($U$1182,'TAR FIN'!$A$1:$O$100,15,0)),0,VLOOKUP($U$1182,'TAR FIN'!$A$1:$O$100,15,0))</f>
        <v>231.33</v>
      </c>
      <c r="Y1182" s="6"/>
      <c r="Z1182" s="6">
        <f ca="1">('TUSD BE'!$AM$58+'TUSD BF'!$AM$58+'TUSD CVA'!$AM$58)*1</f>
        <v>285.64503648725872</v>
      </c>
      <c r="AA1182" s="6">
        <f>('TE BE'!$AA$41+'TE BF'!$AA$41+'TE CVA'!$AA$41)*1</f>
        <v>250.79367785689016</v>
      </c>
      <c r="AB1182" s="6">
        <f>$K$1182*$V$1182</f>
        <v>0</v>
      </c>
      <c r="AC1182" s="6">
        <f>$M$1182*$W$1182</f>
        <v>2340.2925</v>
      </c>
      <c r="AD1182" s="6">
        <f>$O$1182*$X$1182</f>
        <v>1894.5926999999999</v>
      </c>
      <c r="AE1182" s="6">
        <f>$K$1182*$Y$1182</f>
        <v>0</v>
      </c>
      <c r="AF1182" s="6">
        <f ca="1">$M$1182*$Z$1182</f>
        <v>2339.4328488306487</v>
      </c>
      <c r="AG1182" s="6">
        <f>$O$1182*$AA$1182</f>
        <v>2054.0002216479302</v>
      </c>
    </row>
    <row r="1183" spans="1:33" ht="11.25" customHeight="1" x14ac:dyDescent="0.25">
      <c r="A1183" s="4" t="s">
        <v>21</v>
      </c>
      <c r="B1183" s="4" t="s">
        <v>37</v>
      </c>
      <c r="C1183" s="4" t="s">
        <v>23</v>
      </c>
      <c r="D1183" s="4" t="s">
        <v>45</v>
      </c>
      <c r="E1183" s="4" t="s">
        <v>25</v>
      </c>
      <c r="F1183" s="4" t="s">
        <v>25</v>
      </c>
      <c r="G1183" s="4" t="s">
        <v>25</v>
      </c>
      <c r="H1183" s="4" t="s">
        <v>25</v>
      </c>
      <c r="I1183" s="5">
        <v>44501</v>
      </c>
      <c r="J1183" s="6">
        <v>0</v>
      </c>
      <c r="K1183" s="6">
        <v>0</v>
      </c>
      <c r="L1183" s="6">
        <v>835.428</v>
      </c>
      <c r="M1183" s="6">
        <v>835.428</v>
      </c>
      <c r="N1183" s="6">
        <v>835.428</v>
      </c>
      <c r="O1183" s="6">
        <v>835.428</v>
      </c>
      <c r="P1183" s="6">
        <v>1431</v>
      </c>
      <c r="Q1183" s="4" t="s">
        <v>26</v>
      </c>
      <c r="R1183" s="4">
        <v>0</v>
      </c>
      <c r="S1183" s="6">
        <v>0</v>
      </c>
      <c r="T1183" s="6">
        <v>61</v>
      </c>
      <c r="U1183" s="6">
        <v>7</v>
      </c>
      <c r="V1183" s="6">
        <f>IF(ISERROR(VLOOKUP($S$1183,'TAR FIN'!$A$1:$O$100,15,0)),0,VLOOKUP($S$1183,'TAR FIN'!$A$1:$O$100,15,0))</f>
        <v>0</v>
      </c>
      <c r="W1183" s="6">
        <f>IF(ISERROR(VLOOKUP($T$1183,'TAR FIN'!$A$1:$O$100,15,0)),0,VLOOKUP($T$1183,'TAR FIN'!$A$1:$O$100,15,0))</f>
        <v>285.75</v>
      </c>
      <c r="X1183" s="6">
        <f>IF(ISERROR(VLOOKUP($U$1183,'TAR FIN'!$A$1:$O$100,15,0)),0,VLOOKUP($U$1183,'TAR FIN'!$A$1:$O$100,15,0))</f>
        <v>231.33</v>
      </c>
      <c r="Y1183" s="6"/>
      <c r="Z1183" s="6">
        <f ca="1">('TUSD BE'!$AM$58+'TUSD BF'!$AM$58+'TUSD CVA'!$AM$58)*1</f>
        <v>285.64503648725872</v>
      </c>
      <c r="AA1183" s="6">
        <f>('TE BE'!$AA$41+'TE BF'!$AA$41+'TE CVA'!$AA$41)*1</f>
        <v>250.79367785689016</v>
      </c>
      <c r="AB1183" s="6">
        <f>$K$1183*$V$1183</f>
        <v>0</v>
      </c>
      <c r="AC1183" s="6">
        <f>$M$1183*$W$1183</f>
        <v>238723.55100000001</v>
      </c>
      <c r="AD1183" s="6">
        <f>$O$1183*$X$1183</f>
        <v>193259.55924</v>
      </c>
      <c r="AE1183" s="6">
        <f>$K$1183*$Y$1183</f>
        <v>0</v>
      </c>
      <c r="AF1183" s="6">
        <f ca="1">$M$1183*$Z$1183</f>
        <v>238635.86154247759</v>
      </c>
      <c r="AG1183" s="6">
        <f>$O$1183*$AA$1183</f>
        <v>209520.06070462603</v>
      </c>
    </row>
    <row r="1184" spans="1:33" ht="11.25" customHeight="1" x14ac:dyDescent="0.25">
      <c r="A1184" s="4" t="s">
        <v>27</v>
      </c>
      <c r="B1184" s="4" t="s">
        <v>37</v>
      </c>
      <c r="C1184" s="4" t="s">
        <v>23</v>
      </c>
      <c r="D1184" s="4" t="s">
        <v>45</v>
      </c>
      <c r="E1184" s="4" t="s">
        <v>25</v>
      </c>
      <c r="F1184" s="4" t="s">
        <v>25</v>
      </c>
      <c r="G1184" s="4" t="s">
        <v>25</v>
      </c>
      <c r="H1184" s="4" t="s">
        <v>25</v>
      </c>
      <c r="I1184" s="5">
        <v>44501</v>
      </c>
      <c r="J1184" s="6">
        <v>0</v>
      </c>
      <c r="K1184" s="6">
        <v>0</v>
      </c>
      <c r="L1184" s="6">
        <v>-11.247</v>
      </c>
      <c r="M1184" s="6">
        <v>-11.247</v>
      </c>
      <c r="N1184" s="6">
        <v>-11.247</v>
      </c>
      <c r="O1184" s="6">
        <v>-11.247</v>
      </c>
      <c r="P1184" s="6">
        <v>-3</v>
      </c>
      <c r="Q1184" s="4" t="s">
        <v>26</v>
      </c>
      <c r="R1184" s="4">
        <v>0</v>
      </c>
      <c r="S1184" s="6">
        <v>0</v>
      </c>
      <c r="T1184" s="6">
        <v>61</v>
      </c>
      <c r="U1184" s="6">
        <v>7</v>
      </c>
      <c r="V1184" s="6">
        <f>IF(ISERROR(VLOOKUP($S$1184,'TAR FIN'!$A$1:$O$100,15,0)),0,VLOOKUP($S$1184,'TAR FIN'!$A$1:$O$100,15,0))</f>
        <v>0</v>
      </c>
      <c r="W1184" s="6">
        <f>IF(ISERROR(VLOOKUP($T$1184,'TAR FIN'!$A$1:$O$100,15,0)),0,VLOOKUP($T$1184,'TAR FIN'!$A$1:$O$100,15,0))</f>
        <v>285.75</v>
      </c>
      <c r="X1184" s="6">
        <f>IF(ISERROR(VLOOKUP($U$1184,'TAR FIN'!$A$1:$O$100,15,0)),0,VLOOKUP($U$1184,'TAR FIN'!$A$1:$O$100,15,0))</f>
        <v>231.33</v>
      </c>
      <c r="Y1184" s="6"/>
      <c r="Z1184" s="6">
        <f ca="1">('TUSD BE'!$AM$58+'TUSD BF'!$AM$58+'TUSD CVA'!$AM$58)*1</f>
        <v>285.64503648725872</v>
      </c>
      <c r="AA1184" s="6">
        <f>('TE BE'!$AA$41+'TE BF'!$AA$41+'TE CVA'!$AA$41)*1</f>
        <v>250.79367785689016</v>
      </c>
      <c r="AB1184" s="6">
        <f>$K$1184*$V$1184</f>
        <v>0</v>
      </c>
      <c r="AC1184" s="6">
        <f>$M$1184*$W$1184</f>
        <v>-3213.83025</v>
      </c>
      <c r="AD1184" s="6">
        <f>$O$1184*$X$1184</f>
        <v>-2601.7685100000003</v>
      </c>
      <c r="AE1184" s="6">
        <f>$K$1184*$Y$1184</f>
        <v>0</v>
      </c>
      <c r="AF1184" s="6">
        <f ca="1">$M$1184*$Z$1184</f>
        <v>-3212.6497253721986</v>
      </c>
      <c r="AG1184" s="6">
        <f>$O$1184*$AA$1184</f>
        <v>-2820.6764948564437</v>
      </c>
    </row>
    <row r="1185" spans="1:33" ht="11.25" customHeight="1" x14ac:dyDescent="0.25">
      <c r="A1185" s="4" t="s">
        <v>28</v>
      </c>
      <c r="B1185" s="4" t="s">
        <v>37</v>
      </c>
      <c r="C1185" s="4" t="s">
        <v>23</v>
      </c>
      <c r="D1185" s="4" t="s">
        <v>45</v>
      </c>
      <c r="E1185" s="4" t="s">
        <v>25</v>
      </c>
      <c r="F1185" s="4" t="s">
        <v>25</v>
      </c>
      <c r="G1185" s="4" t="s">
        <v>25</v>
      </c>
      <c r="H1185" s="4" t="s">
        <v>25</v>
      </c>
      <c r="I1185" s="5">
        <v>44501</v>
      </c>
      <c r="J1185" s="6">
        <v>0</v>
      </c>
      <c r="K1185" s="6">
        <v>0</v>
      </c>
      <c r="L1185" s="6">
        <v>9.3480000000000008</v>
      </c>
      <c r="M1185" s="6">
        <v>9.3480000000000008</v>
      </c>
      <c r="N1185" s="6">
        <v>9.3480000000000008</v>
      </c>
      <c r="O1185" s="6">
        <v>9.3480000000000008</v>
      </c>
      <c r="P1185" s="6">
        <v>1</v>
      </c>
      <c r="Q1185" s="4" t="s">
        <v>26</v>
      </c>
      <c r="R1185" s="4">
        <v>0</v>
      </c>
      <c r="S1185" s="6">
        <v>0</v>
      </c>
      <c r="T1185" s="6">
        <v>61</v>
      </c>
      <c r="U1185" s="6">
        <v>7</v>
      </c>
      <c r="V1185" s="6">
        <f>IF(ISERROR(VLOOKUP($S$1185,'TAR FIN'!$A$1:$O$100,15,0)),0,VLOOKUP($S$1185,'TAR FIN'!$A$1:$O$100,15,0))</f>
        <v>0</v>
      </c>
      <c r="W1185" s="6">
        <f>IF(ISERROR(VLOOKUP($T$1185,'TAR FIN'!$A$1:$O$100,15,0)),0,VLOOKUP($T$1185,'TAR FIN'!$A$1:$O$100,15,0))</f>
        <v>285.75</v>
      </c>
      <c r="X1185" s="6">
        <f>IF(ISERROR(VLOOKUP($U$1185,'TAR FIN'!$A$1:$O$100,15,0)),0,VLOOKUP($U$1185,'TAR FIN'!$A$1:$O$100,15,0))</f>
        <v>231.33</v>
      </c>
      <c r="Y1185" s="6"/>
      <c r="Z1185" s="6">
        <f ca="1">('TUSD BE'!$AM$58+'TUSD BF'!$AM$58+'TUSD CVA'!$AM$58)*1</f>
        <v>285.64503648725872</v>
      </c>
      <c r="AA1185" s="6">
        <f>('TE BE'!$AA$41+'TE BF'!$AA$41+'TE CVA'!$AA$41)*1</f>
        <v>250.79367785689016</v>
      </c>
      <c r="AB1185" s="6">
        <f>$K$1185*$V$1185</f>
        <v>0</v>
      </c>
      <c r="AC1185" s="6">
        <f>$M$1185*$W$1185</f>
        <v>2671.1910000000003</v>
      </c>
      <c r="AD1185" s="6">
        <f>$O$1185*$X$1185</f>
        <v>2162.4728400000004</v>
      </c>
      <c r="AE1185" s="6">
        <f>$K$1185*$Y$1185</f>
        <v>0</v>
      </c>
      <c r="AF1185" s="6">
        <f ca="1">$M$1185*$Z$1185</f>
        <v>2670.209801082895</v>
      </c>
      <c r="AG1185" s="6">
        <f>$O$1185*$AA$1185</f>
        <v>2344.4193006062092</v>
      </c>
    </row>
    <row r="1186" spans="1:33" ht="11.25" customHeight="1" x14ac:dyDescent="0.25">
      <c r="A1186" s="4" t="s">
        <v>21</v>
      </c>
      <c r="B1186" s="4" t="s">
        <v>37</v>
      </c>
      <c r="C1186" s="4" t="s">
        <v>23</v>
      </c>
      <c r="D1186" s="4" t="s">
        <v>45</v>
      </c>
      <c r="E1186" s="4" t="s">
        <v>25</v>
      </c>
      <c r="F1186" s="4" t="s">
        <v>25</v>
      </c>
      <c r="G1186" s="4" t="s">
        <v>25</v>
      </c>
      <c r="H1186" s="4" t="s">
        <v>25</v>
      </c>
      <c r="I1186" s="5">
        <v>44531</v>
      </c>
      <c r="J1186" s="6">
        <v>0</v>
      </c>
      <c r="K1186" s="6">
        <v>0</v>
      </c>
      <c r="L1186" s="6">
        <v>898.94600000000003</v>
      </c>
      <c r="M1186" s="6">
        <v>898.94600000000003</v>
      </c>
      <c r="N1186" s="6">
        <v>898.94600000000003</v>
      </c>
      <c r="O1186" s="6">
        <v>898.94600000000003</v>
      </c>
      <c r="P1186" s="6">
        <v>1436</v>
      </c>
      <c r="Q1186" s="4" t="s">
        <v>26</v>
      </c>
      <c r="R1186" s="4">
        <v>0</v>
      </c>
      <c r="S1186" s="6">
        <v>0</v>
      </c>
      <c r="T1186" s="6">
        <v>61</v>
      </c>
      <c r="U1186" s="6">
        <v>7</v>
      </c>
      <c r="V1186" s="6">
        <f>IF(ISERROR(VLOOKUP($S$1186,'TAR FIN'!$A$1:$O$100,15,0)),0,VLOOKUP($S$1186,'TAR FIN'!$A$1:$O$100,15,0))</f>
        <v>0</v>
      </c>
      <c r="W1186" s="6">
        <f>IF(ISERROR(VLOOKUP($T$1186,'TAR FIN'!$A$1:$O$100,15,0)),0,VLOOKUP($T$1186,'TAR FIN'!$A$1:$O$100,15,0))</f>
        <v>285.75</v>
      </c>
      <c r="X1186" s="6">
        <f>IF(ISERROR(VLOOKUP($U$1186,'TAR FIN'!$A$1:$O$100,15,0)),0,VLOOKUP($U$1186,'TAR FIN'!$A$1:$O$100,15,0))</f>
        <v>231.33</v>
      </c>
      <c r="Y1186" s="6"/>
      <c r="Z1186" s="6">
        <f ca="1">('TUSD BE'!$AM$58+'TUSD BF'!$AM$58+'TUSD CVA'!$AM$58)*1</f>
        <v>285.64503648725872</v>
      </c>
      <c r="AA1186" s="6">
        <f>('TE BE'!$AA$41+'TE BF'!$AA$41+'TE CVA'!$AA$41)*1</f>
        <v>250.79367785689016</v>
      </c>
      <c r="AB1186" s="6">
        <f>$K$1186*$V$1186</f>
        <v>0</v>
      </c>
      <c r="AC1186" s="6">
        <f>$M$1186*$W$1186</f>
        <v>256873.81950000001</v>
      </c>
      <c r="AD1186" s="6">
        <f>$O$1186*$X$1186</f>
        <v>207953.17818000002</v>
      </c>
      <c r="AE1186" s="6">
        <f>$K$1186*$Y$1186</f>
        <v>0</v>
      </c>
      <c r="AF1186" s="6">
        <f ca="1">$M$1186*$Z$1186</f>
        <v>256779.46297007528</v>
      </c>
      <c r="AG1186" s="6">
        <f>$O$1186*$AA$1186</f>
        <v>225449.97353473998</v>
      </c>
    </row>
    <row r="1187" spans="1:33" ht="11.25" customHeight="1" x14ac:dyDescent="0.25">
      <c r="A1187" s="4" t="s">
        <v>28</v>
      </c>
      <c r="B1187" s="4" t="s">
        <v>37</v>
      </c>
      <c r="C1187" s="4" t="s">
        <v>23</v>
      </c>
      <c r="D1187" s="4" t="s">
        <v>45</v>
      </c>
      <c r="E1187" s="4" t="s">
        <v>25</v>
      </c>
      <c r="F1187" s="4" t="s">
        <v>25</v>
      </c>
      <c r="G1187" s="4" t="s">
        <v>25</v>
      </c>
      <c r="H1187" s="4" t="s">
        <v>25</v>
      </c>
      <c r="I1187" s="5">
        <v>44531</v>
      </c>
      <c r="J1187" s="6">
        <v>0</v>
      </c>
      <c r="K1187" s="6">
        <v>0</v>
      </c>
      <c r="L1187" s="6">
        <v>11.028</v>
      </c>
      <c r="M1187" s="6">
        <v>11.028</v>
      </c>
      <c r="N1187" s="6">
        <v>11.028</v>
      </c>
      <c r="O1187" s="6">
        <v>11.028</v>
      </c>
      <c r="P1187" s="6">
        <v>1</v>
      </c>
      <c r="Q1187" s="4" t="s">
        <v>26</v>
      </c>
      <c r="R1187" s="4">
        <v>0</v>
      </c>
      <c r="S1187" s="6">
        <v>0</v>
      </c>
      <c r="T1187" s="6">
        <v>61</v>
      </c>
      <c r="U1187" s="6">
        <v>7</v>
      </c>
      <c r="V1187" s="6">
        <f>IF(ISERROR(VLOOKUP($S$1187,'TAR FIN'!$A$1:$O$100,15,0)),0,VLOOKUP($S$1187,'TAR FIN'!$A$1:$O$100,15,0))</f>
        <v>0</v>
      </c>
      <c r="W1187" s="6">
        <f>IF(ISERROR(VLOOKUP($T$1187,'TAR FIN'!$A$1:$O$100,15,0)),0,VLOOKUP($T$1187,'TAR FIN'!$A$1:$O$100,15,0))</f>
        <v>285.75</v>
      </c>
      <c r="X1187" s="6">
        <f>IF(ISERROR(VLOOKUP($U$1187,'TAR FIN'!$A$1:$O$100,15,0)),0,VLOOKUP($U$1187,'TAR FIN'!$A$1:$O$100,15,0))</f>
        <v>231.33</v>
      </c>
      <c r="Y1187" s="6"/>
      <c r="Z1187" s="6">
        <f ca="1">('TUSD BE'!$AM$58+'TUSD BF'!$AM$58+'TUSD CVA'!$AM$58)*1</f>
        <v>285.64503648725872</v>
      </c>
      <c r="AA1187" s="6">
        <f>('TE BE'!$AA$41+'TE BF'!$AA$41+'TE CVA'!$AA$41)*1</f>
        <v>250.79367785689016</v>
      </c>
      <c r="AB1187" s="6">
        <f>$K$1187*$V$1187</f>
        <v>0</v>
      </c>
      <c r="AC1187" s="6">
        <f>$M$1187*$W$1187</f>
        <v>3151.2510000000002</v>
      </c>
      <c r="AD1187" s="6">
        <f>$O$1187*$X$1187</f>
        <v>2551.1072400000003</v>
      </c>
      <c r="AE1187" s="6">
        <f>$K$1187*$Y$1187</f>
        <v>0</v>
      </c>
      <c r="AF1187" s="6">
        <f ca="1">$M$1187*$Z$1187</f>
        <v>3150.0934623814892</v>
      </c>
      <c r="AG1187" s="6">
        <f>$O$1187*$AA$1187</f>
        <v>2765.7526794057849</v>
      </c>
    </row>
    <row r="1188" spans="1:33" ht="11.25" customHeight="1" x14ac:dyDescent="0.25">
      <c r="A1188" s="4" t="s">
        <v>55</v>
      </c>
      <c r="B1188" s="4" t="s">
        <v>37</v>
      </c>
      <c r="C1188" s="4" t="s">
        <v>23</v>
      </c>
      <c r="D1188" s="4" t="s">
        <v>45</v>
      </c>
      <c r="E1188" s="4" t="s">
        <v>25</v>
      </c>
      <c r="F1188" s="4" t="s">
        <v>25</v>
      </c>
      <c r="G1188" s="4" t="s">
        <v>25</v>
      </c>
      <c r="H1188" s="4" t="s">
        <v>25</v>
      </c>
      <c r="I1188" s="5">
        <v>44562</v>
      </c>
      <c r="J1188" s="6">
        <v>0</v>
      </c>
      <c r="K1188" s="6">
        <v>0</v>
      </c>
      <c r="L1188" s="6">
        <v>898.94600000000003</v>
      </c>
      <c r="M1188" s="6">
        <v>898.94600000000003</v>
      </c>
      <c r="N1188" s="6">
        <v>898.94600000000003</v>
      </c>
      <c r="O1188" s="6">
        <v>898.94600000000003</v>
      </c>
      <c r="P1188" s="6">
        <v>1436</v>
      </c>
      <c r="Q1188" s="4" t="s">
        <v>26</v>
      </c>
      <c r="R1188" s="4">
        <v>0</v>
      </c>
      <c r="S1188" s="6">
        <v>0</v>
      </c>
      <c r="T1188" s="6">
        <v>61</v>
      </c>
      <c r="U1188" s="6">
        <v>7</v>
      </c>
      <c r="V1188" s="6">
        <f>IF(ISERROR(VLOOKUP($S$1188,'TAR FIN'!$A$1:$O$100,15,0)),0,VLOOKUP($S$1188,'TAR FIN'!$A$1:$O$100,15,0))</f>
        <v>0</v>
      </c>
      <c r="W1188" s="6">
        <f>IF(ISERROR(VLOOKUP($T$1188,'TAR FIN'!$A$1:$O$100,15,0)),0,VLOOKUP($T$1188,'TAR FIN'!$A$1:$O$100,15,0))</f>
        <v>285.75</v>
      </c>
      <c r="X1188" s="6">
        <f>IF(ISERROR(VLOOKUP($U$1188,'TAR FIN'!$A$1:$O$100,15,0)),0,VLOOKUP($U$1188,'TAR FIN'!$A$1:$O$100,15,0))</f>
        <v>231.33</v>
      </c>
      <c r="Y1188" s="6"/>
      <c r="Z1188" s="6">
        <f ca="1">('TUSD BE'!$AM$58+'TUSD BF'!$AM$58+'TUSD CVA'!$AM$58)*1</f>
        <v>285.64503648725872</v>
      </c>
      <c r="AA1188" s="6">
        <f>('TE BE'!$AA$41+'TE BF'!$AA$41+'TE CVA'!$AA$41)*1</f>
        <v>250.79367785689016</v>
      </c>
      <c r="AB1188" s="6">
        <f>$K$1188*$V$1188</f>
        <v>0</v>
      </c>
      <c r="AC1188" s="6">
        <f>$M$1188*$W$1188</f>
        <v>256873.81950000001</v>
      </c>
      <c r="AD1188" s="6">
        <f>$O$1188*$X$1188</f>
        <v>207953.17818000002</v>
      </c>
      <c r="AE1188" s="6">
        <f>$K$1188*$Y$1188</f>
        <v>0</v>
      </c>
      <c r="AF1188" s="6">
        <f ca="1">$M$1188*$Z$1188</f>
        <v>256779.46297007528</v>
      </c>
      <c r="AG1188" s="6">
        <f>$O$1188*$AA$1188</f>
        <v>225449.97353473998</v>
      </c>
    </row>
    <row r="1189" spans="1:33" ht="11.25" customHeight="1" x14ac:dyDescent="0.25">
      <c r="A1189" s="4" t="s">
        <v>55</v>
      </c>
      <c r="B1189" s="4" t="s">
        <v>37</v>
      </c>
      <c r="C1189" s="4" t="s">
        <v>23</v>
      </c>
      <c r="D1189" s="4" t="s">
        <v>45</v>
      </c>
      <c r="E1189" s="4" t="s">
        <v>25</v>
      </c>
      <c r="F1189" s="4" t="s">
        <v>25</v>
      </c>
      <c r="G1189" s="4" t="s">
        <v>25</v>
      </c>
      <c r="H1189" s="4" t="s">
        <v>25</v>
      </c>
      <c r="I1189" s="5">
        <v>44562</v>
      </c>
      <c r="J1189" s="6">
        <v>0</v>
      </c>
      <c r="K1189" s="6">
        <v>0</v>
      </c>
      <c r="L1189" s="6">
        <v>11.028</v>
      </c>
      <c r="M1189" s="6">
        <v>11.028</v>
      </c>
      <c r="N1189" s="6">
        <v>11.028</v>
      </c>
      <c r="O1189" s="6">
        <v>11.028</v>
      </c>
      <c r="P1189" s="6">
        <v>1</v>
      </c>
      <c r="Q1189" s="4" t="s">
        <v>26</v>
      </c>
      <c r="R1189" s="4">
        <v>0</v>
      </c>
      <c r="S1189" s="6">
        <v>0</v>
      </c>
      <c r="T1189" s="6">
        <v>61</v>
      </c>
      <c r="U1189" s="6">
        <v>7</v>
      </c>
      <c r="V1189" s="6">
        <f>IF(ISERROR(VLOOKUP($S$1189,'TAR FIN'!$A$1:$O$100,15,0)),0,VLOOKUP($S$1189,'TAR FIN'!$A$1:$O$100,15,0))</f>
        <v>0</v>
      </c>
      <c r="W1189" s="6">
        <f>IF(ISERROR(VLOOKUP($T$1189,'TAR FIN'!$A$1:$O$100,15,0)),0,VLOOKUP($T$1189,'TAR FIN'!$A$1:$O$100,15,0))</f>
        <v>285.75</v>
      </c>
      <c r="X1189" s="6">
        <f>IF(ISERROR(VLOOKUP($U$1189,'TAR FIN'!$A$1:$O$100,15,0)),0,VLOOKUP($U$1189,'TAR FIN'!$A$1:$O$100,15,0))</f>
        <v>231.33</v>
      </c>
      <c r="Y1189" s="6"/>
      <c r="Z1189" s="6">
        <f ca="1">('TUSD BE'!$AM$58+'TUSD BF'!$AM$58+'TUSD CVA'!$AM$58)*1</f>
        <v>285.64503648725872</v>
      </c>
      <c r="AA1189" s="6">
        <f>('TE BE'!$AA$41+'TE BF'!$AA$41+'TE CVA'!$AA$41)*1</f>
        <v>250.79367785689016</v>
      </c>
      <c r="AB1189" s="6">
        <f>$K$1189*$V$1189</f>
        <v>0</v>
      </c>
      <c r="AC1189" s="6">
        <f>$M$1189*$W$1189</f>
        <v>3151.2510000000002</v>
      </c>
      <c r="AD1189" s="6">
        <f>$O$1189*$X$1189</f>
        <v>2551.1072400000003</v>
      </c>
      <c r="AE1189" s="6">
        <f>$K$1189*$Y$1189</f>
        <v>0</v>
      </c>
      <c r="AF1189" s="6">
        <f ca="1">$M$1189*$Z$1189</f>
        <v>3150.0934623814892</v>
      </c>
      <c r="AG1189" s="6">
        <f>$O$1189*$AA$1189</f>
        <v>2765.7526794057849</v>
      </c>
    </row>
    <row r="1190" spans="1:33" ht="11.25" customHeight="1" x14ac:dyDescent="0.25">
      <c r="A1190" s="4" t="s">
        <v>21</v>
      </c>
      <c r="B1190" s="4" t="s">
        <v>37</v>
      </c>
      <c r="C1190" s="4" t="s">
        <v>23</v>
      </c>
      <c r="D1190" s="4" t="s">
        <v>49</v>
      </c>
      <c r="E1190" s="4" t="s">
        <v>50</v>
      </c>
      <c r="F1190" s="4" t="s">
        <v>25</v>
      </c>
      <c r="G1190" s="4" t="s">
        <v>25</v>
      </c>
      <c r="H1190" s="4" t="s">
        <v>25</v>
      </c>
      <c r="I1190" s="5">
        <v>44228</v>
      </c>
      <c r="J1190" s="6">
        <v>0</v>
      </c>
      <c r="K1190" s="43">
        <v>0</v>
      </c>
      <c r="L1190" s="6">
        <v>78.28</v>
      </c>
      <c r="M1190" s="43">
        <v>78.28</v>
      </c>
      <c r="N1190" s="6">
        <v>78.28</v>
      </c>
      <c r="O1190" s="43">
        <v>78.28</v>
      </c>
      <c r="P1190" s="6">
        <v>64</v>
      </c>
      <c r="Q1190" s="4" t="s">
        <v>26</v>
      </c>
      <c r="R1190" s="4">
        <v>0</v>
      </c>
      <c r="S1190" s="6">
        <v>0</v>
      </c>
      <c r="T1190" s="6">
        <v>61</v>
      </c>
      <c r="U1190" s="6">
        <v>7</v>
      </c>
      <c r="V1190" s="43">
        <f>IF(ISERROR(VLOOKUP($S$1190,'TAR FIN'!$A$1:$O$100,15,0)),0,VLOOKUP($S$1190,'TAR FIN'!$A$1:$O$100,15,0))</f>
        <v>0</v>
      </c>
      <c r="W1190" s="43">
        <f>IF(ISERROR(VLOOKUP($T$1190,'TAR FIN'!$A$1:$O$100,15,0)),0,VLOOKUP($T$1190,'TAR FIN'!$A$1:$O$100,15,0))*(1-0.06)</f>
        <v>268.60499999999996</v>
      </c>
      <c r="X1190" s="43">
        <f>IF(ISERROR(VLOOKUP($U$1190,'TAR FIN'!$A$1:$O$100,15,0)),0,VLOOKUP($U$1190,'TAR FIN'!$A$1:$O$100,15,0))*(1-0.06)</f>
        <v>217.4502</v>
      </c>
      <c r="Y1190" s="43"/>
      <c r="Z1190" s="43">
        <f ca="1">('TUSD BE'!$AM$58+'TUSD BF'!$AM$58+'TUSD CVA'!$AM$58)*1*(1-0.03)</f>
        <v>277.07568539264093</v>
      </c>
      <c r="AA1190" s="43">
        <f>('TE BE'!$AA$41+'TE BF'!$AA$41+'TE CVA'!$AA$41)*1*(1-0.03)</f>
        <v>243.26986752118344</v>
      </c>
      <c r="AB1190" s="6">
        <f>$K$1190*$V$1190</f>
        <v>0</v>
      </c>
      <c r="AC1190" s="6">
        <f>$M$1190*$W$1190</f>
        <v>21026.399399999998</v>
      </c>
      <c r="AD1190" s="6">
        <f>$O$1190*$X$1190</f>
        <v>17022.001656</v>
      </c>
      <c r="AE1190" s="6">
        <f>$K$1190*$Y$1190</f>
        <v>0</v>
      </c>
      <c r="AF1190" s="6">
        <f ca="1">$M$1190*$Z$1190</f>
        <v>21689.484652535932</v>
      </c>
      <c r="AG1190" s="6">
        <f>$O$1190*$AA$1190</f>
        <v>19043.165229558239</v>
      </c>
    </row>
    <row r="1191" spans="1:33" ht="11.25" customHeight="1" x14ac:dyDescent="0.25">
      <c r="A1191" s="4" t="s">
        <v>21</v>
      </c>
      <c r="B1191" s="4" t="s">
        <v>37</v>
      </c>
      <c r="C1191" s="4" t="s">
        <v>23</v>
      </c>
      <c r="D1191" s="4" t="s">
        <v>49</v>
      </c>
      <c r="E1191" s="4" t="s">
        <v>50</v>
      </c>
      <c r="F1191" s="4" t="s">
        <v>25</v>
      </c>
      <c r="G1191" s="4" t="s">
        <v>25</v>
      </c>
      <c r="H1191" s="4" t="s">
        <v>25</v>
      </c>
      <c r="I1191" s="5">
        <v>44256</v>
      </c>
      <c r="J1191" s="6">
        <v>0</v>
      </c>
      <c r="K1191" s="43">
        <v>0</v>
      </c>
      <c r="L1191" s="6">
        <v>88.935000000000002</v>
      </c>
      <c r="M1191" s="43">
        <v>88.935000000000002</v>
      </c>
      <c r="N1191" s="6">
        <v>88.935000000000002</v>
      </c>
      <c r="O1191" s="43">
        <v>88.935000000000002</v>
      </c>
      <c r="P1191" s="6">
        <v>66</v>
      </c>
      <c r="Q1191" s="4" t="s">
        <v>26</v>
      </c>
      <c r="R1191" s="4">
        <v>0</v>
      </c>
      <c r="S1191" s="6">
        <v>0</v>
      </c>
      <c r="T1191" s="6">
        <v>61</v>
      </c>
      <c r="U1191" s="6">
        <v>7</v>
      </c>
      <c r="V1191" s="43">
        <f>IF(ISERROR(VLOOKUP($S$1191,'TAR FIN'!$A$1:$O$100,15,0)),0,VLOOKUP($S$1191,'TAR FIN'!$A$1:$O$100,15,0))</f>
        <v>0</v>
      </c>
      <c r="W1191" s="43">
        <f>IF(ISERROR(VLOOKUP($T$1191,'TAR FIN'!$A$1:$O$100,15,0)),0,VLOOKUP($T$1191,'TAR FIN'!$A$1:$O$100,15,0))*(1-0.06)</f>
        <v>268.60499999999996</v>
      </c>
      <c r="X1191" s="43">
        <f>IF(ISERROR(VLOOKUP($U$1191,'TAR FIN'!$A$1:$O$100,15,0)),0,VLOOKUP($U$1191,'TAR FIN'!$A$1:$O$100,15,0))*(1-0.06)</f>
        <v>217.4502</v>
      </c>
      <c r="Y1191" s="43"/>
      <c r="Z1191" s="43">
        <f ca="1">('TUSD BE'!$AM$58+'TUSD BF'!$AM$58+'TUSD CVA'!$AM$58)*1*(1-0.03)</f>
        <v>277.07568539264093</v>
      </c>
      <c r="AA1191" s="43">
        <f>('TE BE'!$AA$41+'TE BF'!$AA$41+'TE CVA'!$AA$41)*1*(1-0.03)</f>
        <v>243.26986752118344</v>
      </c>
      <c r="AB1191" s="6">
        <f>$K$1191*$V$1191</f>
        <v>0</v>
      </c>
      <c r="AC1191" s="6">
        <f>$M$1191*$W$1191</f>
        <v>23888.385674999998</v>
      </c>
      <c r="AD1191" s="6">
        <f>$O$1191*$X$1191</f>
        <v>19338.933537000001</v>
      </c>
      <c r="AE1191" s="6">
        <f>$K$1191*$Y$1191</f>
        <v>0</v>
      </c>
      <c r="AF1191" s="6">
        <f ca="1">$M$1191*$Z$1191</f>
        <v>24641.726080394521</v>
      </c>
      <c r="AG1191" s="6">
        <f>$O$1191*$AA$1191</f>
        <v>21635.205667996452</v>
      </c>
    </row>
    <row r="1192" spans="1:33" ht="11.25" customHeight="1" x14ac:dyDescent="0.25">
      <c r="A1192" s="4" t="s">
        <v>21</v>
      </c>
      <c r="B1192" s="4" t="s">
        <v>37</v>
      </c>
      <c r="C1192" s="4" t="s">
        <v>23</v>
      </c>
      <c r="D1192" s="4" t="s">
        <v>49</v>
      </c>
      <c r="E1192" s="4" t="s">
        <v>50</v>
      </c>
      <c r="F1192" s="4" t="s">
        <v>25</v>
      </c>
      <c r="G1192" s="4" t="s">
        <v>25</v>
      </c>
      <c r="H1192" s="4" t="s">
        <v>25</v>
      </c>
      <c r="I1192" s="5">
        <v>44287</v>
      </c>
      <c r="J1192" s="6">
        <v>0</v>
      </c>
      <c r="K1192" s="43">
        <v>0</v>
      </c>
      <c r="L1192" s="6">
        <v>85.811000000000007</v>
      </c>
      <c r="M1192" s="43">
        <v>85.811000000000007</v>
      </c>
      <c r="N1192" s="6">
        <v>85.811000000000007</v>
      </c>
      <c r="O1192" s="43">
        <v>85.811000000000007</v>
      </c>
      <c r="P1192" s="6">
        <v>65</v>
      </c>
      <c r="Q1192" s="4" t="s">
        <v>26</v>
      </c>
      <c r="R1192" s="4">
        <v>0</v>
      </c>
      <c r="S1192" s="6">
        <v>0</v>
      </c>
      <c r="T1192" s="6">
        <v>61</v>
      </c>
      <c r="U1192" s="6">
        <v>7</v>
      </c>
      <c r="V1192" s="43">
        <f>IF(ISERROR(VLOOKUP($S$1192,'TAR FIN'!$A$1:$O$100,15,0)),0,VLOOKUP($S$1192,'TAR FIN'!$A$1:$O$100,15,0))</f>
        <v>0</v>
      </c>
      <c r="W1192" s="43">
        <f>IF(ISERROR(VLOOKUP($T$1192,'TAR FIN'!$A$1:$O$100,15,0)),0,VLOOKUP($T$1192,'TAR FIN'!$A$1:$O$100,15,0))*(1-0.06)</f>
        <v>268.60499999999996</v>
      </c>
      <c r="X1192" s="43">
        <f>IF(ISERROR(VLOOKUP($U$1192,'TAR FIN'!$A$1:$O$100,15,0)),0,VLOOKUP($U$1192,'TAR FIN'!$A$1:$O$100,15,0))*(1-0.06)</f>
        <v>217.4502</v>
      </c>
      <c r="Y1192" s="43"/>
      <c r="Z1192" s="43">
        <f ca="1">('TUSD BE'!$AM$58+'TUSD BF'!$AM$58+'TUSD CVA'!$AM$58)*1*(1-0.03)</f>
        <v>277.07568539264093</v>
      </c>
      <c r="AA1192" s="43">
        <f>('TE BE'!$AA$41+'TE BF'!$AA$41+'TE CVA'!$AA$41)*1*(1-0.03)</f>
        <v>243.26986752118344</v>
      </c>
      <c r="AB1192" s="6">
        <f>$K$1192*$V$1192</f>
        <v>0</v>
      </c>
      <c r="AC1192" s="6">
        <f>$M$1192*$W$1192</f>
        <v>23049.263654999999</v>
      </c>
      <c r="AD1192" s="6">
        <f>$O$1192*$X$1192</f>
        <v>18659.619112200002</v>
      </c>
      <c r="AE1192" s="6">
        <f>$K$1192*$Y$1192</f>
        <v>0</v>
      </c>
      <c r="AF1192" s="6">
        <f ca="1">$M$1192*$Z$1192</f>
        <v>23776.141639227913</v>
      </c>
      <c r="AG1192" s="6">
        <f>$O$1192*$AA$1192</f>
        <v>20875.230601860276</v>
      </c>
    </row>
    <row r="1193" spans="1:33" ht="11.25" customHeight="1" x14ac:dyDescent="0.25">
      <c r="A1193" s="4" t="s">
        <v>21</v>
      </c>
      <c r="B1193" s="4" t="s">
        <v>37</v>
      </c>
      <c r="C1193" s="4" t="s">
        <v>23</v>
      </c>
      <c r="D1193" s="4" t="s">
        <v>49</v>
      </c>
      <c r="E1193" s="4" t="s">
        <v>50</v>
      </c>
      <c r="F1193" s="4" t="s">
        <v>25</v>
      </c>
      <c r="G1193" s="4" t="s">
        <v>25</v>
      </c>
      <c r="H1193" s="4" t="s">
        <v>25</v>
      </c>
      <c r="I1193" s="5">
        <v>44317</v>
      </c>
      <c r="J1193" s="6">
        <v>0</v>
      </c>
      <c r="K1193" s="43">
        <v>0</v>
      </c>
      <c r="L1193" s="6">
        <v>97.037999999999997</v>
      </c>
      <c r="M1193" s="43">
        <v>97.037999999999997</v>
      </c>
      <c r="N1193" s="6">
        <v>97.037999999999997</v>
      </c>
      <c r="O1193" s="43">
        <v>97.037999999999997</v>
      </c>
      <c r="P1193" s="6">
        <v>64</v>
      </c>
      <c r="Q1193" s="4" t="s">
        <v>26</v>
      </c>
      <c r="R1193" s="4">
        <v>0</v>
      </c>
      <c r="S1193" s="6">
        <v>0</v>
      </c>
      <c r="T1193" s="6">
        <v>61</v>
      </c>
      <c r="U1193" s="6">
        <v>7</v>
      </c>
      <c r="V1193" s="43">
        <f>IF(ISERROR(VLOOKUP($S$1193,'TAR FIN'!$A$1:$O$100,15,0)),0,VLOOKUP($S$1193,'TAR FIN'!$A$1:$O$100,15,0))</f>
        <v>0</v>
      </c>
      <c r="W1193" s="43">
        <f>IF(ISERROR(VLOOKUP($T$1193,'TAR FIN'!$A$1:$O$100,15,0)),0,VLOOKUP($T$1193,'TAR FIN'!$A$1:$O$100,15,0))*(1-0.06)</f>
        <v>268.60499999999996</v>
      </c>
      <c r="X1193" s="43">
        <f>IF(ISERROR(VLOOKUP($U$1193,'TAR FIN'!$A$1:$O$100,15,0)),0,VLOOKUP($U$1193,'TAR FIN'!$A$1:$O$100,15,0))*(1-0.06)</f>
        <v>217.4502</v>
      </c>
      <c r="Y1193" s="43"/>
      <c r="Z1193" s="43">
        <f ca="1">('TUSD BE'!$AM$58+'TUSD BF'!$AM$58+'TUSD CVA'!$AM$58)*1*(1-0.03)</f>
        <v>277.07568539264093</v>
      </c>
      <c r="AA1193" s="43">
        <f>('TE BE'!$AA$41+'TE BF'!$AA$41+'TE CVA'!$AA$41)*1*(1-0.03)</f>
        <v>243.26986752118344</v>
      </c>
      <c r="AB1193" s="6">
        <f>$K$1193*$V$1193</f>
        <v>0</v>
      </c>
      <c r="AC1193" s="6">
        <f>$M$1193*$W$1193</f>
        <v>26064.891989999996</v>
      </c>
      <c r="AD1193" s="6">
        <f>$O$1193*$X$1193</f>
        <v>21100.932507599999</v>
      </c>
      <c r="AE1193" s="6">
        <f>$K$1193*$Y$1193</f>
        <v>0</v>
      </c>
      <c r="AF1193" s="6">
        <f ca="1">$M$1193*$Z$1193</f>
        <v>26886.870359131091</v>
      </c>
      <c r="AG1193" s="6">
        <f>$O$1193*$AA$1193</f>
        <v>23606.421404520599</v>
      </c>
    </row>
    <row r="1194" spans="1:33" ht="11.25" customHeight="1" x14ac:dyDescent="0.25">
      <c r="A1194" s="4" t="s">
        <v>21</v>
      </c>
      <c r="B1194" s="4" t="s">
        <v>37</v>
      </c>
      <c r="C1194" s="4" t="s">
        <v>23</v>
      </c>
      <c r="D1194" s="4" t="s">
        <v>49</v>
      </c>
      <c r="E1194" s="4" t="s">
        <v>50</v>
      </c>
      <c r="F1194" s="4" t="s">
        <v>25</v>
      </c>
      <c r="G1194" s="4" t="s">
        <v>25</v>
      </c>
      <c r="H1194" s="4" t="s">
        <v>25</v>
      </c>
      <c r="I1194" s="5">
        <v>44348</v>
      </c>
      <c r="J1194" s="6">
        <v>0</v>
      </c>
      <c r="K1194" s="43">
        <v>0</v>
      </c>
      <c r="L1194" s="6">
        <v>79.037999999999997</v>
      </c>
      <c r="M1194" s="43">
        <v>79.037999999999997</v>
      </c>
      <c r="N1194" s="6">
        <v>79.037999999999997</v>
      </c>
      <c r="O1194" s="43">
        <v>79.037999999999997</v>
      </c>
      <c r="P1194" s="6">
        <v>65</v>
      </c>
      <c r="Q1194" s="4" t="s">
        <v>26</v>
      </c>
      <c r="R1194" s="4">
        <v>0</v>
      </c>
      <c r="S1194" s="6">
        <v>0</v>
      </c>
      <c r="T1194" s="6">
        <v>61</v>
      </c>
      <c r="U1194" s="6">
        <v>7</v>
      </c>
      <c r="V1194" s="43">
        <f>IF(ISERROR(VLOOKUP($S$1194,'TAR FIN'!$A$1:$O$100,15,0)),0,VLOOKUP($S$1194,'TAR FIN'!$A$1:$O$100,15,0))</f>
        <v>0</v>
      </c>
      <c r="W1194" s="43">
        <f>IF(ISERROR(VLOOKUP($T$1194,'TAR FIN'!$A$1:$O$100,15,0)),0,VLOOKUP($T$1194,'TAR FIN'!$A$1:$O$100,15,0))*(1-0.06)</f>
        <v>268.60499999999996</v>
      </c>
      <c r="X1194" s="43">
        <f>IF(ISERROR(VLOOKUP($U$1194,'TAR FIN'!$A$1:$O$100,15,0)),0,VLOOKUP($U$1194,'TAR FIN'!$A$1:$O$100,15,0))*(1-0.06)</f>
        <v>217.4502</v>
      </c>
      <c r="Y1194" s="43"/>
      <c r="Z1194" s="43">
        <f ca="1">('TUSD BE'!$AM$58+'TUSD BF'!$AM$58+'TUSD CVA'!$AM$58)*1*(1-0.03)</f>
        <v>277.07568539264093</v>
      </c>
      <c r="AA1194" s="43">
        <f>('TE BE'!$AA$41+'TE BF'!$AA$41+'TE CVA'!$AA$41)*1*(1-0.03)</f>
        <v>243.26986752118344</v>
      </c>
      <c r="AB1194" s="6">
        <f>$K$1194*$V$1194</f>
        <v>0</v>
      </c>
      <c r="AC1194" s="6">
        <f>$M$1194*$W$1194</f>
        <v>21230.001989999997</v>
      </c>
      <c r="AD1194" s="6">
        <f>$O$1194*$X$1194</f>
        <v>17186.8289076</v>
      </c>
      <c r="AE1194" s="6">
        <f>$K$1194*$Y$1194</f>
        <v>0</v>
      </c>
      <c r="AF1194" s="6">
        <f ca="1">$M$1194*$Z$1194</f>
        <v>21899.508022063554</v>
      </c>
      <c r="AG1194" s="6">
        <f>$O$1194*$AA$1194</f>
        <v>19227.563789139294</v>
      </c>
    </row>
    <row r="1195" spans="1:33" ht="11.25" customHeight="1" x14ac:dyDescent="0.25">
      <c r="A1195" s="4" t="s">
        <v>21</v>
      </c>
      <c r="B1195" s="4" t="s">
        <v>37</v>
      </c>
      <c r="C1195" s="4" t="s">
        <v>23</v>
      </c>
      <c r="D1195" s="4" t="s">
        <v>49</v>
      </c>
      <c r="E1195" s="4" t="s">
        <v>50</v>
      </c>
      <c r="F1195" s="4" t="s">
        <v>25</v>
      </c>
      <c r="G1195" s="4" t="s">
        <v>25</v>
      </c>
      <c r="H1195" s="4" t="s">
        <v>25</v>
      </c>
      <c r="I1195" s="5">
        <v>44378</v>
      </c>
      <c r="J1195" s="6">
        <v>0</v>
      </c>
      <c r="K1195" s="43">
        <v>0</v>
      </c>
      <c r="L1195" s="6">
        <v>90.715000000000003</v>
      </c>
      <c r="M1195" s="43">
        <v>90.715000000000003</v>
      </c>
      <c r="N1195" s="6">
        <v>90.715000000000003</v>
      </c>
      <c r="O1195" s="43">
        <v>90.715000000000003</v>
      </c>
      <c r="P1195" s="6">
        <v>65</v>
      </c>
      <c r="Q1195" s="4" t="s">
        <v>26</v>
      </c>
      <c r="R1195" s="4">
        <v>0</v>
      </c>
      <c r="S1195" s="6">
        <v>0</v>
      </c>
      <c r="T1195" s="6">
        <v>61</v>
      </c>
      <c r="U1195" s="6">
        <v>7</v>
      </c>
      <c r="V1195" s="43">
        <f>IF(ISERROR(VLOOKUP($S$1195,'TAR FIN'!$A$1:$O$100,15,0)),0,VLOOKUP($S$1195,'TAR FIN'!$A$1:$O$100,15,0))</f>
        <v>0</v>
      </c>
      <c r="W1195" s="43">
        <f>IF(ISERROR(VLOOKUP($T$1195,'TAR FIN'!$A$1:$O$100,15,0)),0,VLOOKUP($T$1195,'TAR FIN'!$A$1:$O$100,15,0))*(1-0.06)</f>
        <v>268.60499999999996</v>
      </c>
      <c r="X1195" s="43">
        <f>IF(ISERROR(VLOOKUP($U$1195,'TAR FIN'!$A$1:$O$100,15,0)),0,VLOOKUP($U$1195,'TAR FIN'!$A$1:$O$100,15,0))*(1-0.06)</f>
        <v>217.4502</v>
      </c>
      <c r="Y1195" s="43"/>
      <c r="Z1195" s="43">
        <f ca="1">('TUSD BE'!$AM$58+'TUSD BF'!$AM$58+'TUSD CVA'!$AM$58)*1*(1-0.03)</f>
        <v>277.07568539264093</v>
      </c>
      <c r="AA1195" s="43">
        <f>('TE BE'!$AA$41+'TE BF'!$AA$41+'TE CVA'!$AA$41)*1*(1-0.03)</f>
        <v>243.26986752118344</v>
      </c>
      <c r="AB1195" s="6">
        <f>$K$1195*$V$1195</f>
        <v>0</v>
      </c>
      <c r="AC1195" s="6">
        <f>$M$1195*$W$1195</f>
        <v>24366.502574999999</v>
      </c>
      <c r="AD1195" s="6">
        <f>$O$1195*$X$1195</f>
        <v>19725.994892999999</v>
      </c>
      <c r="AE1195" s="6">
        <f>$K$1195*$Y$1195</f>
        <v>0</v>
      </c>
      <c r="AF1195" s="6">
        <f ca="1">$M$1195*$Z$1195</f>
        <v>25134.920800393422</v>
      </c>
      <c r="AG1195" s="6">
        <f>$O$1195*$AA$1195</f>
        <v>22068.226032184157</v>
      </c>
    </row>
    <row r="1196" spans="1:33" ht="11.25" customHeight="1" x14ac:dyDescent="0.25">
      <c r="A1196" s="4" t="s">
        <v>21</v>
      </c>
      <c r="B1196" s="4" t="s">
        <v>37</v>
      </c>
      <c r="C1196" s="4" t="s">
        <v>23</v>
      </c>
      <c r="D1196" s="4" t="s">
        <v>49</v>
      </c>
      <c r="E1196" s="4" t="s">
        <v>50</v>
      </c>
      <c r="F1196" s="4" t="s">
        <v>25</v>
      </c>
      <c r="G1196" s="4" t="s">
        <v>25</v>
      </c>
      <c r="H1196" s="4" t="s">
        <v>25</v>
      </c>
      <c r="I1196" s="5">
        <v>44409</v>
      </c>
      <c r="J1196" s="6">
        <v>0</v>
      </c>
      <c r="K1196" s="43">
        <v>0</v>
      </c>
      <c r="L1196" s="6">
        <v>80.218999999999994</v>
      </c>
      <c r="M1196" s="43">
        <v>80.218999999999994</v>
      </c>
      <c r="N1196" s="6">
        <v>80.218999999999994</v>
      </c>
      <c r="O1196" s="43">
        <v>80.218999999999994</v>
      </c>
      <c r="P1196" s="6">
        <v>65</v>
      </c>
      <c r="Q1196" s="4" t="s">
        <v>26</v>
      </c>
      <c r="R1196" s="4">
        <v>0</v>
      </c>
      <c r="S1196" s="6">
        <v>0</v>
      </c>
      <c r="T1196" s="6">
        <v>61</v>
      </c>
      <c r="U1196" s="6">
        <v>7</v>
      </c>
      <c r="V1196" s="43">
        <f>IF(ISERROR(VLOOKUP($S$1196,'TAR FIN'!$A$1:$O$100,15,0)),0,VLOOKUP($S$1196,'TAR FIN'!$A$1:$O$100,15,0))</f>
        <v>0</v>
      </c>
      <c r="W1196" s="43">
        <f>IF(ISERROR(VLOOKUP($T$1196,'TAR FIN'!$A$1:$O$100,15,0)),0,VLOOKUP($T$1196,'TAR FIN'!$A$1:$O$100,15,0))*(1-0.06)</f>
        <v>268.60499999999996</v>
      </c>
      <c r="X1196" s="43">
        <f>IF(ISERROR(VLOOKUP($U$1196,'TAR FIN'!$A$1:$O$100,15,0)),0,VLOOKUP($U$1196,'TAR FIN'!$A$1:$O$100,15,0))*(1-0.06)</f>
        <v>217.4502</v>
      </c>
      <c r="Y1196" s="43"/>
      <c r="Z1196" s="43">
        <f ca="1">('TUSD BE'!$AM$58+'TUSD BF'!$AM$58+'TUSD CVA'!$AM$58)*1*(1-0.03)</f>
        <v>277.07568539264093</v>
      </c>
      <c r="AA1196" s="43">
        <f>('TE BE'!$AA$41+'TE BF'!$AA$41+'TE CVA'!$AA$41)*1*(1-0.03)</f>
        <v>243.26986752118344</v>
      </c>
      <c r="AB1196" s="6">
        <f>$K$1196*$V$1196</f>
        <v>0</v>
      </c>
      <c r="AC1196" s="6">
        <f>$M$1196*$W$1196</f>
        <v>21547.224494999995</v>
      </c>
      <c r="AD1196" s="6">
        <f>$O$1196*$X$1196</f>
        <v>17443.637593799998</v>
      </c>
      <c r="AE1196" s="6">
        <f>$K$1196*$Y$1196</f>
        <v>0</v>
      </c>
      <c r="AF1196" s="6">
        <f ca="1">$M$1196*$Z$1196</f>
        <v>22226.73440651226</v>
      </c>
      <c r="AG1196" s="6">
        <f>$O$1196*$AA$1196</f>
        <v>19514.865502681812</v>
      </c>
    </row>
    <row r="1197" spans="1:33" ht="11.25" customHeight="1" x14ac:dyDescent="0.25">
      <c r="A1197" s="4" t="s">
        <v>21</v>
      </c>
      <c r="B1197" s="4" t="s">
        <v>37</v>
      </c>
      <c r="C1197" s="4" t="s">
        <v>23</v>
      </c>
      <c r="D1197" s="4" t="s">
        <v>49</v>
      </c>
      <c r="E1197" s="4" t="s">
        <v>50</v>
      </c>
      <c r="F1197" s="4" t="s">
        <v>25</v>
      </c>
      <c r="G1197" s="4" t="s">
        <v>25</v>
      </c>
      <c r="H1197" s="4" t="s">
        <v>25</v>
      </c>
      <c r="I1197" s="5">
        <v>44440</v>
      </c>
      <c r="J1197" s="6">
        <v>0</v>
      </c>
      <c r="K1197" s="43">
        <v>0</v>
      </c>
      <c r="L1197" s="6">
        <v>81.337000000000003</v>
      </c>
      <c r="M1197" s="43">
        <v>81.337000000000003</v>
      </c>
      <c r="N1197" s="6">
        <v>81.337000000000003</v>
      </c>
      <c r="O1197" s="43">
        <v>81.337000000000003</v>
      </c>
      <c r="P1197" s="6">
        <v>65</v>
      </c>
      <c r="Q1197" s="4" t="s">
        <v>26</v>
      </c>
      <c r="R1197" s="4">
        <v>0</v>
      </c>
      <c r="S1197" s="6">
        <v>0</v>
      </c>
      <c r="T1197" s="6">
        <v>61</v>
      </c>
      <c r="U1197" s="6">
        <v>7</v>
      </c>
      <c r="V1197" s="43">
        <f>IF(ISERROR(VLOOKUP($S$1197,'TAR FIN'!$A$1:$O$100,15,0)),0,VLOOKUP($S$1197,'TAR FIN'!$A$1:$O$100,15,0))</f>
        <v>0</v>
      </c>
      <c r="W1197" s="43">
        <f>IF(ISERROR(VLOOKUP($T$1197,'TAR FIN'!$A$1:$O$100,15,0)),0,VLOOKUP($T$1197,'TAR FIN'!$A$1:$O$100,15,0))*(1-0.06)</f>
        <v>268.60499999999996</v>
      </c>
      <c r="X1197" s="43">
        <f>IF(ISERROR(VLOOKUP($U$1197,'TAR FIN'!$A$1:$O$100,15,0)),0,VLOOKUP($U$1197,'TAR FIN'!$A$1:$O$100,15,0))*(1-0.06)</f>
        <v>217.4502</v>
      </c>
      <c r="Y1197" s="43"/>
      <c r="Z1197" s="43">
        <f ca="1">('TUSD BE'!$AM$58+'TUSD BF'!$AM$58+'TUSD CVA'!$AM$58)*1*(1-0.03)</f>
        <v>277.07568539264093</v>
      </c>
      <c r="AA1197" s="43">
        <f>('TE BE'!$AA$41+'TE BF'!$AA$41+'TE CVA'!$AA$41)*1*(1-0.03)</f>
        <v>243.26986752118344</v>
      </c>
      <c r="AB1197" s="6">
        <f>$K$1197*$V$1197</f>
        <v>0</v>
      </c>
      <c r="AC1197" s="6">
        <f>$M$1197*$W$1197</f>
        <v>21847.524884999999</v>
      </c>
      <c r="AD1197" s="6">
        <f>$O$1197*$X$1197</f>
        <v>17686.7469174</v>
      </c>
      <c r="AE1197" s="6">
        <f>$K$1197*$Y$1197</f>
        <v>0</v>
      </c>
      <c r="AF1197" s="6">
        <f ca="1">$M$1197*$Z$1197</f>
        <v>22536.505022781235</v>
      </c>
      <c r="AG1197" s="6">
        <f>$O$1197*$AA$1197</f>
        <v>19786.841214570497</v>
      </c>
    </row>
    <row r="1198" spans="1:33" ht="11.25" customHeight="1" x14ac:dyDescent="0.25">
      <c r="A1198" s="4" t="s">
        <v>21</v>
      </c>
      <c r="B1198" s="4" t="s">
        <v>37</v>
      </c>
      <c r="C1198" s="4" t="s">
        <v>23</v>
      </c>
      <c r="D1198" s="4" t="s">
        <v>49</v>
      </c>
      <c r="E1198" s="4" t="s">
        <v>50</v>
      </c>
      <c r="F1198" s="4" t="s">
        <v>25</v>
      </c>
      <c r="G1198" s="4" t="s">
        <v>25</v>
      </c>
      <c r="H1198" s="4" t="s">
        <v>25</v>
      </c>
      <c r="I1198" s="5">
        <v>44470</v>
      </c>
      <c r="J1198" s="6">
        <v>0</v>
      </c>
      <c r="K1198" s="43">
        <v>0</v>
      </c>
      <c r="L1198" s="6">
        <v>87.936000000000007</v>
      </c>
      <c r="M1198" s="43">
        <v>87.936000000000007</v>
      </c>
      <c r="N1198" s="6">
        <v>87.936000000000007</v>
      </c>
      <c r="O1198" s="43">
        <v>87.936000000000007</v>
      </c>
      <c r="P1198" s="6">
        <v>65</v>
      </c>
      <c r="Q1198" s="4" t="s">
        <v>26</v>
      </c>
      <c r="R1198" s="4">
        <v>0</v>
      </c>
      <c r="S1198" s="6">
        <v>0</v>
      </c>
      <c r="T1198" s="6">
        <v>61</v>
      </c>
      <c r="U1198" s="6">
        <v>7</v>
      </c>
      <c r="V1198" s="43">
        <f>IF(ISERROR(VLOOKUP($S$1198,'TAR FIN'!$A$1:$O$100,15,0)),0,VLOOKUP($S$1198,'TAR FIN'!$A$1:$O$100,15,0))</f>
        <v>0</v>
      </c>
      <c r="W1198" s="43">
        <f>IF(ISERROR(VLOOKUP($T$1198,'TAR FIN'!$A$1:$O$100,15,0)),0,VLOOKUP($T$1198,'TAR FIN'!$A$1:$O$100,15,0))*(1-0.06)</f>
        <v>268.60499999999996</v>
      </c>
      <c r="X1198" s="43">
        <f>IF(ISERROR(VLOOKUP($U$1198,'TAR FIN'!$A$1:$O$100,15,0)),0,VLOOKUP($U$1198,'TAR FIN'!$A$1:$O$100,15,0))*(1-0.06)</f>
        <v>217.4502</v>
      </c>
      <c r="Y1198" s="43"/>
      <c r="Z1198" s="43">
        <f ca="1">('TUSD BE'!$AM$58+'TUSD BF'!$AM$58+'TUSD CVA'!$AM$58)*1*(1-0.03)</f>
        <v>277.07568539264093</v>
      </c>
      <c r="AA1198" s="43">
        <f>('TE BE'!$AA$41+'TE BF'!$AA$41+'TE CVA'!$AA$41)*1*(1-0.03)</f>
        <v>243.26986752118344</v>
      </c>
      <c r="AB1198" s="6">
        <f>$K$1198*$V$1198</f>
        <v>0</v>
      </c>
      <c r="AC1198" s="6">
        <f>$M$1198*$W$1198</f>
        <v>23620.049279999999</v>
      </c>
      <c r="AD1198" s="6">
        <f>$O$1198*$X$1198</f>
        <v>19121.700787199999</v>
      </c>
      <c r="AE1198" s="6">
        <f>$K$1198*$Y$1198</f>
        <v>0</v>
      </c>
      <c r="AF1198" s="6">
        <f ca="1">$M$1198*$Z$1198</f>
        <v>24364.927470687275</v>
      </c>
      <c r="AG1198" s="6">
        <f>$O$1198*$AA$1198</f>
        <v>21392.179070342791</v>
      </c>
    </row>
    <row r="1199" spans="1:33" ht="11.25" customHeight="1" x14ac:dyDescent="0.25">
      <c r="A1199" s="4" t="s">
        <v>21</v>
      </c>
      <c r="B1199" s="4" t="s">
        <v>37</v>
      </c>
      <c r="C1199" s="4" t="s">
        <v>23</v>
      </c>
      <c r="D1199" s="4" t="s">
        <v>49</v>
      </c>
      <c r="E1199" s="4" t="s">
        <v>50</v>
      </c>
      <c r="F1199" s="4" t="s">
        <v>25</v>
      </c>
      <c r="G1199" s="4" t="s">
        <v>25</v>
      </c>
      <c r="H1199" s="4" t="s">
        <v>25</v>
      </c>
      <c r="I1199" s="5">
        <v>44501</v>
      </c>
      <c r="J1199" s="6">
        <v>0</v>
      </c>
      <c r="K1199" s="43">
        <v>0</v>
      </c>
      <c r="L1199" s="6">
        <v>87.006</v>
      </c>
      <c r="M1199" s="43">
        <v>87.006</v>
      </c>
      <c r="N1199" s="6">
        <v>87.006</v>
      </c>
      <c r="O1199" s="43">
        <v>87.006</v>
      </c>
      <c r="P1199" s="6">
        <v>67</v>
      </c>
      <c r="Q1199" s="4" t="s">
        <v>26</v>
      </c>
      <c r="R1199" s="4">
        <v>0</v>
      </c>
      <c r="S1199" s="6">
        <v>0</v>
      </c>
      <c r="T1199" s="6">
        <v>61</v>
      </c>
      <c r="U1199" s="6">
        <v>7</v>
      </c>
      <c r="V1199" s="43">
        <f>IF(ISERROR(VLOOKUP($S$1199,'TAR FIN'!$A$1:$O$100,15,0)),0,VLOOKUP($S$1199,'TAR FIN'!$A$1:$O$100,15,0))</f>
        <v>0</v>
      </c>
      <c r="W1199" s="43">
        <f>IF(ISERROR(VLOOKUP($T$1199,'TAR FIN'!$A$1:$O$100,15,0)),0,VLOOKUP($T$1199,'TAR FIN'!$A$1:$O$100,15,0))*(1-0.06)</f>
        <v>268.60499999999996</v>
      </c>
      <c r="X1199" s="43">
        <f>IF(ISERROR(VLOOKUP($U$1199,'TAR FIN'!$A$1:$O$100,15,0)),0,VLOOKUP($U$1199,'TAR FIN'!$A$1:$O$100,15,0))*(1-0.06)</f>
        <v>217.4502</v>
      </c>
      <c r="Y1199" s="43"/>
      <c r="Z1199" s="43">
        <f ca="1">('TUSD BE'!$AM$58+'TUSD BF'!$AM$58+'TUSD CVA'!$AM$58)*1*(1-0.03)</f>
        <v>277.07568539264093</v>
      </c>
      <c r="AA1199" s="43">
        <f>('TE BE'!$AA$41+'TE BF'!$AA$41+'TE CVA'!$AA$41)*1*(1-0.03)</f>
        <v>243.26986752118344</v>
      </c>
      <c r="AB1199" s="6">
        <f>$K$1199*$V$1199</f>
        <v>0</v>
      </c>
      <c r="AC1199" s="6">
        <f>$M$1199*$W$1199</f>
        <v>23370.246629999998</v>
      </c>
      <c r="AD1199" s="6">
        <f>$O$1199*$X$1199</f>
        <v>18919.472101200001</v>
      </c>
      <c r="AE1199" s="6">
        <f>$K$1199*$Y$1199</f>
        <v>0</v>
      </c>
      <c r="AF1199" s="6">
        <f ca="1">$M$1199*$Z$1199</f>
        <v>24107.247083272116</v>
      </c>
      <c r="AG1199" s="6">
        <f>$O$1199*$AA$1199</f>
        <v>21165.938093548088</v>
      </c>
    </row>
    <row r="1200" spans="1:33" ht="11.25" customHeight="1" x14ac:dyDescent="0.25">
      <c r="A1200" s="4" t="s">
        <v>27</v>
      </c>
      <c r="B1200" s="4" t="s">
        <v>37</v>
      </c>
      <c r="C1200" s="4" t="s">
        <v>23</v>
      </c>
      <c r="D1200" s="4" t="s">
        <v>49</v>
      </c>
      <c r="E1200" s="4" t="s">
        <v>50</v>
      </c>
      <c r="F1200" s="4" t="s">
        <v>25</v>
      </c>
      <c r="G1200" s="4" t="s">
        <v>25</v>
      </c>
      <c r="H1200" s="4" t="s">
        <v>25</v>
      </c>
      <c r="I1200" s="5">
        <v>44501</v>
      </c>
      <c r="J1200" s="6">
        <v>0</v>
      </c>
      <c r="K1200" s="43">
        <v>0</v>
      </c>
      <c r="L1200" s="6">
        <v>-0.03</v>
      </c>
      <c r="M1200" s="43">
        <v>-0.03</v>
      </c>
      <c r="N1200" s="6">
        <v>-0.03</v>
      </c>
      <c r="O1200" s="43">
        <v>-0.03</v>
      </c>
      <c r="P1200" s="6">
        <v>-1</v>
      </c>
      <c r="Q1200" s="4" t="s">
        <v>26</v>
      </c>
      <c r="R1200" s="4">
        <v>0</v>
      </c>
      <c r="S1200" s="6">
        <v>0</v>
      </c>
      <c r="T1200" s="6">
        <v>61</v>
      </c>
      <c r="U1200" s="6">
        <v>7</v>
      </c>
      <c r="V1200" s="43">
        <f>IF(ISERROR(VLOOKUP($S$1200,'TAR FIN'!$A$1:$O$100,15,0)),0,VLOOKUP($S$1200,'TAR FIN'!$A$1:$O$100,15,0))</f>
        <v>0</v>
      </c>
      <c r="W1200" s="43">
        <f>IF(ISERROR(VLOOKUP($T$1200,'TAR FIN'!$A$1:$O$100,15,0)),0,VLOOKUP($T$1200,'TAR FIN'!$A$1:$O$100,15,0))*(1-0.06)</f>
        <v>268.60499999999996</v>
      </c>
      <c r="X1200" s="43">
        <f>IF(ISERROR(VLOOKUP($U$1200,'TAR FIN'!$A$1:$O$100,15,0)),0,VLOOKUP($U$1200,'TAR FIN'!$A$1:$O$100,15,0))*(1-0.06)</f>
        <v>217.4502</v>
      </c>
      <c r="Y1200" s="43"/>
      <c r="Z1200" s="43">
        <f ca="1">('TUSD BE'!$AM$58+'TUSD BF'!$AM$58+'TUSD CVA'!$AM$58)*1*(1-0.03)</f>
        <v>277.07568539264093</v>
      </c>
      <c r="AA1200" s="43">
        <f>('TE BE'!$AA$41+'TE BF'!$AA$41+'TE CVA'!$AA$41)*1*(1-0.03)</f>
        <v>243.26986752118344</v>
      </c>
      <c r="AB1200" s="6">
        <f>$K$1200*$V$1200</f>
        <v>0</v>
      </c>
      <c r="AC1200" s="6">
        <f>$M$1200*$W$1200</f>
        <v>-8.0581499999999977</v>
      </c>
      <c r="AD1200" s="6">
        <f>$O$1200*$X$1200</f>
        <v>-6.5235059999999994</v>
      </c>
      <c r="AE1200" s="6">
        <f>$K$1200*$Y$1200</f>
        <v>0</v>
      </c>
      <c r="AF1200" s="6">
        <f ca="1">$M$1200*$Z$1200</f>
        <v>-8.3122705617792274</v>
      </c>
      <c r="AG1200" s="6">
        <f>$O$1200*$AA$1200</f>
        <v>-7.2980960256355027</v>
      </c>
    </row>
    <row r="1201" spans="1:33" ht="11.25" customHeight="1" x14ac:dyDescent="0.25">
      <c r="A1201" s="4" t="s">
        <v>21</v>
      </c>
      <c r="B1201" s="4" t="s">
        <v>37</v>
      </c>
      <c r="C1201" s="4" t="s">
        <v>23</v>
      </c>
      <c r="D1201" s="4" t="s">
        <v>49</v>
      </c>
      <c r="E1201" s="4" t="s">
        <v>50</v>
      </c>
      <c r="F1201" s="4" t="s">
        <v>25</v>
      </c>
      <c r="G1201" s="4" t="s">
        <v>25</v>
      </c>
      <c r="H1201" s="4" t="s">
        <v>25</v>
      </c>
      <c r="I1201" s="5">
        <v>44531</v>
      </c>
      <c r="J1201" s="6">
        <v>0</v>
      </c>
      <c r="K1201" s="43">
        <v>0</v>
      </c>
      <c r="L1201" s="6">
        <v>92.775000000000006</v>
      </c>
      <c r="M1201" s="43">
        <v>92.775000000000006</v>
      </c>
      <c r="N1201" s="6">
        <v>92.775000000000006</v>
      </c>
      <c r="O1201" s="43">
        <v>92.775000000000006</v>
      </c>
      <c r="P1201" s="6">
        <v>67</v>
      </c>
      <c r="Q1201" s="4" t="s">
        <v>26</v>
      </c>
      <c r="R1201" s="4">
        <v>0</v>
      </c>
      <c r="S1201" s="6">
        <v>0</v>
      </c>
      <c r="T1201" s="6">
        <v>61</v>
      </c>
      <c r="U1201" s="6">
        <v>7</v>
      </c>
      <c r="V1201" s="43">
        <f>IF(ISERROR(VLOOKUP($S$1201,'TAR FIN'!$A$1:$O$100,15,0)),0,VLOOKUP($S$1201,'TAR FIN'!$A$1:$O$100,15,0))</f>
        <v>0</v>
      </c>
      <c r="W1201" s="43">
        <f>IF(ISERROR(VLOOKUP($T$1201,'TAR FIN'!$A$1:$O$100,15,0)),0,VLOOKUP($T$1201,'TAR FIN'!$A$1:$O$100,15,0))*(1-0.06)</f>
        <v>268.60499999999996</v>
      </c>
      <c r="X1201" s="43">
        <f>IF(ISERROR(VLOOKUP($U$1201,'TAR FIN'!$A$1:$O$100,15,0)),0,VLOOKUP($U$1201,'TAR FIN'!$A$1:$O$100,15,0))*(1-0.06)</f>
        <v>217.4502</v>
      </c>
      <c r="Y1201" s="43"/>
      <c r="Z1201" s="43">
        <f ca="1">('TUSD BE'!$AM$58+'TUSD BF'!$AM$58+'TUSD CVA'!$AM$58)*1*(1-0.03)</f>
        <v>277.07568539264093</v>
      </c>
      <c r="AA1201" s="43">
        <f>('TE BE'!$AA$41+'TE BF'!$AA$41+'TE CVA'!$AA$41)*1*(1-0.03)</f>
        <v>243.26986752118344</v>
      </c>
      <c r="AB1201" s="6">
        <f>$K$1201*$V$1201</f>
        <v>0</v>
      </c>
      <c r="AC1201" s="6">
        <f>$M$1201*$W$1201</f>
        <v>24919.828874999999</v>
      </c>
      <c r="AD1201" s="6">
        <f>$O$1201*$X$1201</f>
        <v>20173.942305</v>
      </c>
      <c r="AE1201" s="6">
        <f>$K$1201*$Y$1201</f>
        <v>0</v>
      </c>
      <c r="AF1201" s="6">
        <f ca="1">$M$1201*$Z$1201</f>
        <v>25705.696712302266</v>
      </c>
      <c r="AG1201" s="6">
        <f>$O$1201*$AA$1201</f>
        <v>22569.361959277794</v>
      </c>
    </row>
    <row r="1202" spans="1:33" ht="11.25" customHeight="1" x14ac:dyDescent="0.25">
      <c r="A1202" s="4" t="s">
        <v>55</v>
      </c>
      <c r="B1202" s="4" t="s">
        <v>37</v>
      </c>
      <c r="C1202" s="4" t="s">
        <v>23</v>
      </c>
      <c r="D1202" s="4" t="s">
        <v>49</v>
      </c>
      <c r="E1202" s="4" t="s">
        <v>50</v>
      </c>
      <c r="F1202" s="4" t="s">
        <v>25</v>
      </c>
      <c r="G1202" s="4" t="s">
        <v>25</v>
      </c>
      <c r="H1202" s="4" t="s">
        <v>25</v>
      </c>
      <c r="I1202" s="5">
        <v>44562</v>
      </c>
      <c r="J1202" s="6">
        <v>0</v>
      </c>
      <c r="K1202" s="43">
        <v>0</v>
      </c>
      <c r="L1202" s="6">
        <v>92.775000000000006</v>
      </c>
      <c r="M1202" s="43">
        <v>92.775000000000006</v>
      </c>
      <c r="N1202" s="6">
        <v>92.775000000000006</v>
      </c>
      <c r="O1202" s="43">
        <v>92.775000000000006</v>
      </c>
      <c r="P1202" s="6">
        <v>67</v>
      </c>
      <c r="Q1202" s="4" t="s">
        <v>26</v>
      </c>
      <c r="R1202" s="4">
        <v>0</v>
      </c>
      <c r="S1202" s="6">
        <v>0</v>
      </c>
      <c r="T1202" s="6">
        <v>61</v>
      </c>
      <c r="U1202" s="6">
        <v>7</v>
      </c>
      <c r="V1202" s="43">
        <f>IF(ISERROR(VLOOKUP($S$1202,'TAR FIN'!$A$1:$O$100,15,0)),0,VLOOKUP($S$1202,'TAR FIN'!$A$1:$O$100,15,0))</f>
        <v>0</v>
      </c>
      <c r="W1202" s="43">
        <f>IF(ISERROR(VLOOKUP($T$1202,'TAR FIN'!$A$1:$O$100,15,0)),0,VLOOKUP($T$1202,'TAR FIN'!$A$1:$O$100,15,0))*(1-0.06)</f>
        <v>268.60499999999996</v>
      </c>
      <c r="X1202" s="43">
        <f>IF(ISERROR(VLOOKUP($U$1202,'TAR FIN'!$A$1:$O$100,15,0)),0,VLOOKUP($U$1202,'TAR FIN'!$A$1:$O$100,15,0))*(1-0.06)</f>
        <v>217.4502</v>
      </c>
      <c r="Y1202" s="43"/>
      <c r="Z1202" s="43">
        <f ca="1">('TUSD BE'!$AM$58+'TUSD BF'!$AM$58+'TUSD CVA'!$AM$58)*1*(1-0.03)</f>
        <v>277.07568539264093</v>
      </c>
      <c r="AA1202" s="43">
        <f>('TE BE'!$AA$41+'TE BF'!$AA$41+'TE CVA'!$AA$41)*1*(1-0.03)</f>
        <v>243.26986752118344</v>
      </c>
      <c r="AB1202" s="6">
        <f>$K$1202*$V$1202</f>
        <v>0</v>
      </c>
      <c r="AC1202" s="6">
        <f>$M$1202*$W$1202</f>
        <v>24919.828874999999</v>
      </c>
      <c r="AD1202" s="6">
        <f>$O$1202*$X$1202</f>
        <v>20173.942305</v>
      </c>
      <c r="AE1202" s="6">
        <f>$K$1202*$Y$1202</f>
        <v>0</v>
      </c>
      <c r="AF1202" s="6">
        <f ca="1">$M$1202*$Z$1202</f>
        <v>25705.696712302266</v>
      </c>
      <c r="AG1202" s="6">
        <f>$O$1202*$AA$1202</f>
        <v>22569.361959277794</v>
      </c>
    </row>
    <row r="1203" spans="1:33" ht="11.25" customHeight="1" x14ac:dyDescent="0.25">
      <c r="A1203" s="4" t="s">
        <v>21</v>
      </c>
      <c r="B1203" s="4" t="s">
        <v>46</v>
      </c>
      <c r="C1203" s="4" t="s">
        <v>23</v>
      </c>
      <c r="D1203" s="4" t="s">
        <v>47</v>
      </c>
      <c r="E1203" s="4" t="s">
        <v>48</v>
      </c>
      <c r="F1203" s="4" t="s">
        <v>25</v>
      </c>
      <c r="G1203" s="4" t="s">
        <v>25</v>
      </c>
      <c r="H1203" s="4" t="s">
        <v>25</v>
      </c>
      <c r="I1203" s="5">
        <v>44228</v>
      </c>
      <c r="J1203" s="6">
        <v>0</v>
      </c>
      <c r="K1203" s="6">
        <v>0</v>
      </c>
      <c r="L1203" s="6">
        <v>3064.1419999999998</v>
      </c>
      <c r="M1203" s="6">
        <v>3064.1419999999998</v>
      </c>
      <c r="N1203" s="6">
        <v>3064.1419999999998</v>
      </c>
      <c r="O1203" s="6">
        <v>3064.1419999999998</v>
      </c>
      <c r="P1203" s="6">
        <v>70</v>
      </c>
      <c r="Q1203" s="4" t="s">
        <v>26</v>
      </c>
      <c r="R1203" s="4">
        <v>0</v>
      </c>
      <c r="S1203" s="6">
        <v>0</v>
      </c>
      <c r="T1203" s="6">
        <v>63</v>
      </c>
      <c r="U1203" s="6">
        <v>80</v>
      </c>
      <c r="V1203" s="6">
        <f>IF(ISERROR(VLOOKUP($S$1203,'TAR FIN'!$A$1:$O$100,15,0)),0,VLOOKUP($S$1203,'TAR FIN'!$A$1:$O$100,15,0))</f>
        <v>0</v>
      </c>
      <c r="W1203" s="6">
        <f>IF(ISERROR(VLOOKUP($T$1203,'TAR FIN'!$A$1:$O$100,15,0)),0,VLOOKUP($T$1203,'TAR FIN'!$A$1:$O$100,15,0))</f>
        <v>157.16</v>
      </c>
      <c r="X1203" s="6">
        <f>IF(ISERROR(VLOOKUP($U$1203,'TAR FIN'!$A$1:$O$100,15,0)),0,VLOOKUP($U$1203,'TAR FIN'!$A$1:$O$100,15,0))</f>
        <v>127.23</v>
      </c>
      <c r="Y1203" s="6"/>
      <c r="Z1203" s="6">
        <f ca="1">('TUSD BE'!$AM$60+'TUSD BF'!$AM$60+'TUSD CVA'!$AM$60)*1</f>
        <v>157.10477006799229</v>
      </c>
      <c r="AA1203" s="6">
        <f>('TE BE'!$AA$43+'TE BF'!$AA$43+'TE CVA'!$AA$43)*1</f>
        <v>137.9365228212896</v>
      </c>
      <c r="AB1203" s="6">
        <f>$K$1203*$V$1203</f>
        <v>0</v>
      </c>
      <c r="AC1203" s="6">
        <f>$M$1203*$W$1203</f>
        <v>481560.55671999994</v>
      </c>
      <c r="AD1203" s="6">
        <f>$O$1203*$X$1203</f>
        <v>389850.78665999998</v>
      </c>
      <c r="AE1203" s="6">
        <f>$K$1203*$Y$1203</f>
        <v>0</v>
      </c>
      <c r="AF1203" s="6">
        <f ca="1">$M$1203*$Z$1203</f>
        <v>481391.32436567801</v>
      </c>
      <c r="AG1203" s="6">
        <f>$O$1203*$AA$1203</f>
        <v>422657.09291067196</v>
      </c>
    </row>
    <row r="1204" spans="1:33" ht="11.25" customHeight="1" x14ac:dyDescent="0.25">
      <c r="A1204" s="4" t="s">
        <v>21</v>
      </c>
      <c r="B1204" s="4" t="s">
        <v>46</v>
      </c>
      <c r="C1204" s="4" t="s">
        <v>23</v>
      </c>
      <c r="D1204" s="4" t="s">
        <v>47</v>
      </c>
      <c r="E1204" s="4" t="s">
        <v>48</v>
      </c>
      <c r="F1204" s="4" t="s">
        <v>25</v>
      </c>
      <c r="G1204" s="4" t="s">
        <v>25</v>
      </c>
      <c r="H1204" s="4" t="s">
        <v>25</v>
      </c>
      <c r="I1204" s="5">
        <v>44256</v>
      </c>
      <c r="J1204" s="6">
        <v>0</v>
      </c>
      <c r="K1204" s="6">
        <v>0</v>
      </c>
      <c r="L1204" s="6">
        <v>3061.0070000000001</v>
      </c>
      <c r="M1204" s="6">
        <v>3061.0070000000001</v>
      </c>
      <c r="N1204" s="6">
        <v>3061.0070000000001</v>
      </c>
      <c r="O1204" s="6">
        <v>3061.0070000000001</v>
      </c>
      <c r="P1204" s="6">
        <v>74</v>
      </c>
      <c r="Q1204" s="4" t="s">
        <v>26</v>
      </c>
      <c r="R1204" s="4">
        <v>0</v>
      </c>
      <c r="S1204" s="6">
        <v>0</v>
      </c>
      <c r="T1204" s="6">
        <v>63</v>
      </c>
      <c r="U1204" s="6">
        <v>80</v>
      </c>
      <c r="V1204" s="6">
        <f>IF(ISERROR(VLOOKUP($S$1204,'TAR FIN'!$A$1:$O$100,15,0)),0,VLOOKUP($S$1204,'TAR FIN'!$A$1:$O$100,15,0))</f>
        <v>0</v>
      </c>
      <c r="W1204" s="6">
        <f>IF(ISERROR(VLOOKUP($T$1204,'TAR FIN'!$A$1:$O$100,15,0)),0,VLOOKUP($T$1204,'TAR FIN'!$A$1:$O$100,15,0))</f>
        <v>157.16</v>
      </c>
      <c r="X1204" s="6">
        <f>IF(ISERROR(VLOOKUP($U$1204,'TAR FIN'!$A$1:$O$100,15,0)),0,VLOOKUP($U$1204,'TAR FIN'!$A$1:$O$100,15,0))</f>
        <v>127.23</v>
      </c>
      <c r="Y1204" s="6"/>
      <c r="Z1204" s="6">
        <f ca="1">('TUSD BE'!$AM$60+'TUSD BF'!$AM$60+'TUSD CVA'!$AM$60)*1</f>
        <v>157.10477006799229</v>
      </c>
      <c r="AA1204" s="6">
        <f>('TE BE'!$AA$43+'TE BF'!$AA$43+'TE CVA'!$AA$43)*1</f>
        <v>137.9365228212896</v>
      </c>
      <c r="AB1204" s="6">
        <f>$K$1204*$V$1204</f>
        <v>0</v>
      </c>
      <c r="AC1204" s="6">
        <f>$M$1204*$W$1204</f>
        <v>481067.86012000003</v>
      </c>
      <c r="AD1204" s="6">
        <f>$O$1204*$X$1204</f>
        <v>389451.92061000003</v>
      </c>
      <c r="AE1204" s="6">
        <f>$K$1204*$Y$1204</f>
        <v>0</v>
      </c>
      <c r="AF1204" s="6">
        <f ca="1">$M$1204*$Z$1204</f>
        <v>480898.8009115149</v>
      </c>
      <c r="AG1204" s="6">
        <f>$O$1204*$AA$1204</f>
        <v>422224.66191162722</v>
      </c>
    </row>
    <row r="1205" spans="1:33" ht="11.25" customHeight="1" x14ac:dyDescent="0.25">
      <c r="A1205" s="4" t="s">
        <v>21</v>
      </c>
      <c r="B1205" s="4" t="s">
        <v>46</v>
      </c>
      <c r="C1205" s="4" t="s">
        <v>23</v>
      </c>
      <c r="D1205" s="4" t="s">
        <v>47</v>
      </c>
      <c r="E1205" s="4" t="s">
        <v>48</v>
      </c>
      <c r="F1205" s="4" t="s">
        <v>25</v>
      </c>
      <c r="G1205" s="4" t="s">
        <v>25</v>
      </c>
      <c r="H1205" s="4" t="s">
        <v>25</v>
      </c>
      <c r="I1205" s="5">
        <v>44287</v>
      </c>
      <c r="J1205" s="6">
        <v>0</v>
      </c>
      <c r="K1205" s="6">
        <v>0</v>
      </c>
      <c r="L1205" s="6">
        <v>3070.6329999999998</v>
      </c>
      <c r="M1205" s="6">
        <v>3070.6329999999998</v>
      </c>
      <c r="N1205" s="6">
        <v>3070.6329999999998</v>
      </c>
      <c r="O1205" s="6">
        <v>3070.6329999999998</v>
      </c>
      <c r="P1205" s="6">
        <v>74</v>
      </c>
      <c r="Q1205" s="4" t="s">
        <v>26</v>
      </c>
      <c r="R1205" s="4">
        <v>0</v>
      </c>
      <c r="S1205" s="6">
        <v>0</v>
      </c>
      <c r="T1205" s="6">
        <v>63</v>
      </c>
      <c r="U1205" s="6">
        <v>80</v>
      </c>
      <c r="V1205" s="6">
        <f>IF(ISERROR(VLOOKUP($S$1205,'TAR FIN'!$A$1:$O$100,15,0)),0,VLOOKUP($S$1205,'TAR FIN'!$A$1:$O$100,15,0))</f>
        <v>0</v>
      </c>
      <c r="W1205" s="6">
        <f>IF(ISERROR(VLOOKUP($T$1205,'TAR FIN'!$A$1:$O$100,15,0)),0,VLOOKUP($T$1205,'TAR FIN'!$A$1:$O$100,15,0))</f>
        <v>157.16</v>
      </c>
      <c r="X1205" s="6">
        <f>IF(ISERROR(VLOOKUP($U$1205,'TAR FIN'!$A$1:$O$100,15,0)),0,VLOOKUP($U$1205,'TAR FIN'!$A$1:$O$100,15,0))</f>
        <v>127.23</v>
      </c>
      <c r="Y1205" s="6"/>
      <c r="Z1205" s="6">
        <f ca="1">('TUSD BE'!$AM$60+'TUSD BF'!$AM$60+'TUSD CVA'!$AM$60)*1</f>
        <v>157.10477006799229</v>
      </c>
      <c r="AA1205" s="6">
        <f>('TE BE'!$AA$43+'TE BF'!$AA$43+'TE CVA'!$AA$43)*1</f>
        <v>137.9365228212896</v>
      </c>
      <c r="AB1205" s="6">
        <f>$K$1205*$V$1205</f>
        <v>0</v>
      </c>
      <c r="AC1205" s="6">
        <f>$M$1205*$W$1205</f>
        <v>482580.68227999995</v>
      </c>
      <c r="AD1205" s="6">
        <f>$O$1205*$X$1205</f>
        <v>390676.63659000001</v>
      </c>
      <c r="AE1205" s="6">
        <f>$K$1205*$Y$1205</f>
        <v>0</v>
      </c>
      <c r="AF1205" s="6">
        <f ca="1">$M$1205*$Z$1205</f>
        <v>482411.09142818936</v>
      </c>
      <c r="AG1205" s="6">
        <f>$O$1205*$AA$1205</f>
        <v>423552.43888030492</v>
      </c>
    </row>
    <row r="1206" spans="1:33" ht="11.25" customHeight="1" x14ac:dyDescent="0.25">
      <c r="A1206" s="4" t="s">
        <v>21</v>
      </c>
      <c r="B1206" s="4" t="s">
        <v>46</v>
      </c>
      <c r="C1206" s="4" t="s">
        <v>23</v>
      </c>
      <c r="D1206" s="4" t="s">
        <v>47</v>
      </c>
      <c r="E1206" s="4" t="s">
        <v>48</v>
      </c>
      <c r="F1206" s="4" t="s">
        <v>25</v>
      </c>
      <c r="G1206" s="4" t="s">
        <v>25</v>
      </c>
      <c r="H1206" s="4" t="s">
        <v>25</v>
      </c>
      <c r="I1206" s="5">
        <v>44317</v>
      </c>
      <c r="J1206" s="6">
        <v>0</v>
      </c>
      <c r="K1206" s="6">
        <v>0</v>
      </c>
      <c r="L1206" s="6">
        <v>3101.3229999999999</v>
      </c>
      <c r="M1206" s="6">
        <v>3101.3229999999999</v>
      </c>
      <c r="N1206" s="6">
        <v>3101.3229999999999</v>
      </c>
      <c r="O1206" s="6">
        <v>3101.3229999999999</v>
      </c>
      <c r="P1206" s="6">
        <v>74</v>
      </c>
      <c r="Q1206" s="4" t="s">
        <v>26</v>
      </c>
      <c r="R1206" s="4">
        <v>0</v>
      </c>
      <c r="S1206" s="6">
        <v>0</v>
      </c>
      <c r="T1206" s="6">
        <v>63</v>
      </c>
      <c r="U1206" s="6">
        <v>80</v>
      </c>
      <c r="V1206" s="6">
        <f>IF(ISERROR(VLOOKUP($S$1206,'TAR FIN'!$A$1:$O$100,15,0)),0,VLOOKUP($S$1206,'TAR FIN'!$A$1:$O$100,15,0))</f>
        <v>0</v>
      </c>
      <c r="W1206" s="6">
        <f>IF(ISERROR(VLOOKUP($T$1206,'TAR FIN'!$A$1:$O$100,15,0)),0,VLOOKUP($T$1206,'TAR FIN'!$A$1:$O$100,15,0))</f>
        <v>157.16</v>
      </c>
      <c r="X1206" s="6">
        <f>IF(ISERROR(VLOOKUP($U$1206,'TAR FIN'!$A$1:$O$100,15,0)),0,VLOOKUP($U$1206,'TAR FIN'!$A$1:$O$100,15,0))</f>
        <v>127.23</v>
      </c>
      <c r="Y1206" s="6"/>
      <c r="Z1206" s="6">
        <f ca="1">('TUSD BE'!$AM$60+'TUSD BF'!$AM$60+'TUSD CVA'!$AM$60)*1</f>
        <v>157.10477006799229</v>
      </c>
      <c r="AA1206" s="6">
        <f>('TE BE'!$AA$43+'TE BF'!$AA$43+'TE CVA'!$AA$43)*1</f>
        <v>137.9365228212896</v>
      </c>
      <c r="AB1206" s="6">
        <f>$K$1206*$V$1206</f>
        <v>0</v>
      </c>
      <c r="AC1206" s="6">
        <f>$M$1206*$W$1206</f>
        <v>487403.92267999996</v>
      </c>
      <c r="AD1206" s="6">
        <f>$O$1206*$X$1206</f>
        <v>394581.32529000001</v>
      </c>
      <c r="AE1206" s="6">
        <f>$K$1206*$Y$1206</f>
        <v>0</v>
      </c>
      <c r="AF1206" s="6">
        <f ca="1">$M$1206*$Z$1206</f>
        <v>487232.63682157604</v>
      </c>
      <c r="AG1206" s="6">
        <f>$O$1206*$AA$1206</f>
        <v>427785.71076569031</v>
      </c>
    </row>
    <row r="1207" spans="1:33" ht="11.25" customHeight="1" x14ac:dyDescent="0.25">
      <c r="A1207" s="4" t="s">
        <v>21</v>
      </c>
      <c r="B1207" s="4" t="s">
        <v>46</v>
      </c>
      <c r="C1207" s="4" t="s">
        <v>23</v>
      </c>
      <c r="D1207" s="4" t="s">
        <v>47</v>
      </c>
      <c r="E1207" s="4" t="s">
        <v>48</v>
      </c>
      <c r="F1207" s="4" t="s">
        <v>25</v>
      </c>
      <c r="G1207" s="4" t="s">
        <v>25</v>
      </c>
      <c r="H1207" s="4" t="s">
        <v>25</v>
      </c>
      <c r="I1207" s="5">
        <v>44348</v>
      </c>
      <c r="J1207" s="6">
        <v>0</v>
      </c>
      <c r="K1207" s="6">
        <v>0</v>
      </c>
      <c r="L1207" s="6">
        <v>3350.3620000000001</v>
      </c>
      <c r="M1207" s="6">
        <v>3350.3620000000001</v>
      </c>
      <c r="N1207" s="6">
        <v>3350.3620000000001</v>
      </c>
      <c r="O1207" s="6">
        <v>3350.3620000000001</v>
      </c>
      <c r="P1207" s="6">
        <v>75</v>
      </c>
      <c r="Q1207" s="4" t="s">
        <v>26</v>
      </c>
      <c r="R1207" s="4">
        <v>0</v>
      </c>
      <c r="S1207" s="6">
        <v>0</v>
      </c>
      <c r="T1207" s="6">
        <v>63</v>
      </c>
      <c r="U1207" s="6">
        <v>80</v>
      </c>
      <c r="V1207" s="6">
        <f>IF(ISERROR(VLOOKUP($S$1207,'TAR FIN'!$A$1:$O$100,15,0)),0,VLOOKUP($S$1207,'TAR FIN'!$A$1:$O$100,15,0))</f>
        <v>0</v>
      </c>
      <c r="W1207" s="6">
        <f>IF(ISERROR(VLOOKUP($T$1207,'TAR FIN'!$A$1:$O$100,15,0)),0,VLOOKUP($T$1207,'TAR FIN'!$A$1:$O$100,15,0))</f>
        <v>157.16</v>
      </c>
      <c r="X1207" s="6">
        <f>IF(ISERROR(VLOOKUP($U$1207,'TAR FIN'!$A$1:$O$100,15,0)),0,VLOOKUP($U$1207,'TAR FIN'!$A$1:$O$100,15,0))</f>
        <v>127.23</v>
      </c>
      <c r="Y1207" s="6"/>
      <c r="Z1207" s="6">
        <f ca="1">('TUSD BE'!$AM$60+'TUSD BF'!$AM$60+'TUSD CVA'!$AM$60)*1</f>
        <v>157.10477006799229</v>
      </c>
      <c r="AA1207" s="6">
        <f>('TE BE'!$AA$43+'TE BF'!$AA$43+'TE CVA'!$AA$43)*1</f>
        <v>137.9365228212896</v>
      </c>
      <c r="AB1207" s="6">
        <f>$K$1207*$V$1207</f>
        <v>0</v>
      </c>
      <c r="AC1207" s="6">
        <f>$M$1207*$W$1207</f>
        <v>526542.89191999997</v>
      </c>
      <c r="AD1207" s="6">
        <f>$O$1207*$X$1207</f>
        <v>426266.55726000003</v>
      </c>
      <c r="AE1207" s="6">
        <f>$K$1207*$Y$1207</f>
        <v>0</v>
      </c>
      <c r="AF1207" s="6">
        <f ca="1">$M$1207*$Z$1207</f>
        <v>526357.85165453877</v>
      </c>
      <c r="AG1207" s="6">
        <f>$O$1207*$AA$1207</f>
        <v>462137.28447258146</v>
      </c>
    </row>
    <row r="1208" spans="1:33" ht="11.25" customHeight="1" x14ac:dyDescent="0.25">
      <c r="A1208" s="4" t="s">
        <v>21</v>
      </c>
      <c r="B1208" s="4" t="s">
        <v>46</v>
      </c>
      <c r="C1208" s="4" t="s">
        <v>23</v>
      </c>
      <c r="D1208" s="4" t="s">
        <v>47</v>
      </c>
      <c r="E1208" s="4" t="s">
        <v>48</v>
      </c>
      <c r="F1208" s="4" t="s">
        <v>25</v>
      </c>
      <c r="G1208" s="4" t="s">
        <v>25</v>
      </c>
      <c r="H1208" s="4" t="s">
        <v>25</v>
      </c>
      <c r="I1208" s="5">
        <v>44378</v>
      </c>
      <c r="J1208" s="6">
        <v>0</v>
      </c>
      <c r="K1208" s="6">
        <v>0</v>
      </c>
      <c r="L1208" s="6">
        <v>3083.627</v>
      </c>
      <c r="M1208" s="6">
        <v>3083.627</v>
      </c>
      <c r="N1208" s="6">
        <v>3083.627</v>
      </c>
      <c r="O1208" s="6">
        <v>3083.627</v>
      </c>
      <c r="P1208" s="6">
        <v>74</v>
      </c>
      <c r="Q1208" s="4" t="s">
        <v>26</v>
      </c>
      <c r="R1208" s="4">
        <v>0</v>
      </c>
      <c r="S1208" s="6">
        <v>0</v>
      </c>
      <c r="T1208" s="6">
        <v>63</v>
      </c>
      <c r="U1208" s="6">
        <v>80</v>
      </c>
      <c r="V1208" s="6">
        <f>IF(ISERROR(VLOOKUP($S$1208,'TAR FIN'!$A$1:$O$100,15,0)),0,VLOOKUP($S$1208,'TAR FIN'!$A$1:$O$100,15,0))</f>
        <v>0</v>
      </c>
      <c r="W1208" s="6">
        <f>IF(ISERROR(VLOOKUP($T$1208,'TAR FIN'!$A$1:$O$100,15,0)),0,VLOOKUP($T$1208,'TAR FIN'!$A$1:$O$100,15,0))</f>
        <v>157.16</v>
      </c>
      <c r="X1208" s="6">
        <f>IF(ISERROR(VLOOKUP($U$1208,'TAR FIN'!$A$1:$O$100,15,0)),0,VLOOKUP($U$1208,'TAR FIN'!$A$1:$O$100,15,0))</f>
        <v>127.23</v>
      </c>
      <c r="Y1208" s="6"/>
      <c r="Z1208" s="6">
        <f ca="1">('TUSD BE'!$AM$60+'TUSD BF'!$AM$60+'TUSD CVA'!$AM$60)*1</f>
        <v>157.10477006799229</v>
      </c>
      <c r="AA1208" s="6">
        <f>('TE BE'!$AA$43+'TE BF'!$AA$43+'TE CVA'!$AA$43)*1</f>
        <v>137.9365228212896</v>
      </c>
      <c r="AB1208" s="6">
        <f>$K$1208*$V$1208</f>
        <v>0</v>
      </c>
      <c r="AC1208" s="6">
        <f>$M$1208*$W$1208</f>
        <v>484622.81932000001</v>
      </c>
      <c r="AD1208" s="6">
        <f>$O$1208*$X$1208</f>
        <v>392329.86320999998</v>
      </c>
      <c r="AE1208" s="6">
        <f>$K$1208*$Y$1208</f>
        <v>0</v>
      </c>
      <c r="AF1208" s="6">
        <f ca="1">$M$1208*$Z$1208</f>
        <v>484452.51081045286</v>
      </c>
      <c r="AG1208" s="6">
        <f>$O$1208*$AA$1208</f>
        <v>425344.78605784476</v>
      </c>
    </row>
    <row r="1209" spans="1:33" ht="11.25" customHeight="1" x14ac:dyDescent="0.25">
      <c r="A1209" s="4" t="s">
        <v>21</v>
      </c>
      <c r="B1209" s="4" t="s">
        <v>46</v>
      </c>
      <c r="C1209" s="4" t="s">
        <v>23</v>
      </c>
      <c r="D1209" s="4" t="s">
        <v>47</v>
      </c>
      <c r="E1209" s="4" t="s">
        <v>48</v>
      </c>
      <c r="F1209" s="4" t="s">
        <v>25</v>
      </c>
      <c r="G1209" s="4" t="s">
        <v>25</v>
      </c>
      <c r="H1209" s="4" t="s">
        <v>25</v>
      </c>
      <c r="I1209" s="5">
        <v>44409</v>
      </c>
      <c r="J1209" s="6">
        <v>0</v>
      </c>
      <c r="K1209" s="6">
        <v>0</v>
      </c>
      <c r="L1209" s="6">
        <v>2883.42</v>
      </c>
      <c r="M1209" s="6">
        <v>2883.42</v>
      </c>
      <c r="N1209" s="6">
        <v>2883.42</v>
      </c>
      <c r="O1209" s="6">
        <v>2883.42</v>
      </c>
      <c r="P1209" s="6">
        <v>75</v>
      </c>
      <c r="Q1209" s="4" t="s">
        <v>26</v>
      </c>
      <c r="R1209" s="4">
        <v>0</v>
      </c>
      <c r="S1209" s="6">
        <v>0</v>
      </c>
      <c r="T1209" s="6">
        <v>63</v>
      </c>
      <c r="U1209" s="6">
        <v>80</v>
      </c>
      <c r="V1209" s="6">
        <f>IF(ISERROR(VLOOKUP($S$1209,'TAR FIN'!$A$1:$O$100,15,0)),0,VLOOKUP($S$1209,'TAR FIN'!$A$1:$O$100,15,0))</f>
        <v>0</v>
      </c>
      <c r="W1209" s="6">
        <f>IF(ISERROR(VLOOKUP($T$1209,'TAR FIN'!$A$1:$O$100,15,0)),0,VLOOKUP($T$1209,'TAR FIN'!$A$1:$O$100,15,0))</f>
        <v>157.16</v>
      </c>
      <c r="X1209" s="6">
        <f>IF(ISERROR(VLOOKUP($U$1209,'TAR FIN'!$A$1:$O$100,15,0)),0,VLOOKUP($U$1209,'TAR FIN'!$A$1:$O$100,15,0))</f>
        <v>127.23</v>
      </c>
      <c r="Y1209" s="6"/>
      <c r="Z1209" s="6">
        <f ca="1">('TUSD BE'!$AM$60+'TUSD BF'!$AM$60+'TUSD CVA'!$AM$60)*1</f>
        <v>157.10477006799229</v>
      </c>
      <c r="AA1209" s="6">
        <f>('TE BE'!$AA$43+'TE BF'!$AA$43+'TE CVA'!$AA$43)*1</f>
        <v>137.9365228212896</v>
      </c>
      <c r="AB1209" s="6">
        <f>$K$1209*$V$1209</f>
        <v>0</v>
      </c>
      <c r="AC1209" s="6">
        <f>$M$1209*$W$1209</f>
        <v>453158.28720000002</v>
      </c>
      <c r="AD1209" s="6">
        <f>$O$1209*$X$1209</f>
        <v>366857.52660000004</v>
      </c>
      <c r="AE1209" s="6">
        <f>$K$1209*$Y$1209</f>
        <v>0</v>
      </c>
      <c r="AF1209" s="6">
        <f ca="1">$M$1209*$Z$1209</f>
        <v>452999.03610945033</v>
      </c>
      <c r="AG1209" s="6">
        <f>$O$1209*$AA$1209</f>
        <v>397728.92863336287</v>
      </c>
    </row>
    <row r="1210" spans="1:33" ht="11.25" customHeight="1" x14ac:dyDescent="0.25">
      <c r="A1210" s="4" t="s">
        <v>21</v>
      </c>
      <c r="B1210" s="4" t="s">
        <v>46</v>
      </c>
      <c r="C1210" s="4" t="s">
        <v>23</v>
      </c>
      <c r="D1210" s="4" t="s">
        <v>47</v>
      </c>
      <c r="E1210" s="4" t="s">
        <v>48</v>
      </c>
      <c r="F1210" s="4" t="s">
        <v>25</v>
      </c>
      <c r="G1210" s="4" t="s">
        <v>25</v>
      </c>
      <c r="H1210" s="4" t="s">
        <v>25</v>
      </c>
      <c r="I1210" s="5">
        <v>44440</v>
      </c>
      <c r="J1210" s="6">
        <v>0</v>
      </c>
      <c r="K1210" s="6">
        <v>0</v>
      </c>
      <c r="L1210" s="6">
        <v>2778.9769999999999</v>
      </c>
      <c r="M1210" s="6">
        <v>2778.9769999999999</v>
      </c>
      <c r="N1210" s="6">
        <v>2778.9769999999999</v>
      </c>
      <c r="O1210" s="6">
        <v>2778.9769999999999</v>
      </c>
      <c r="P1210" s="6">
        <v>75</v>
      </c>
      <c r="Q1210" s="4" t="s">
        <v>26</v>
      </c>
      <c r="R1210" s="4">
        <v>0</v>
      </c>
      <c r="S1210" s="6">
        <v>0</v>
      </c>
      <c r="T1210" s="6">
        <v>63</v>
      </c>
      <c r="U1210" s="6">
        <v>80</v>
      </c>
      <c r="V1210" s="6">
        <f>IF(ISERROR(VLOOKUP($S$1210,'TAR FIN'!$A$1:$O$100,15,0)),0,VLOOKUP($S$1210,'TAR FIN'!$A$1:$O$100,15,0))</f>
        <v>0</v>
      </c>
      <c r="W1210" s="6">
        <f>IF(ISERROR(VLOOKUP($T$1210,'TAR FIN'!$A$1:$O$100,15,0)),0,VLOOKUP($T$1210,'TAR FIN'!$A$1:$O$100,15,0))</f>
        <v>157.16</v>
      </c>
      <c r="X1210" s="6">
        <f>IF(ISERROR(VLOOKUP($U$1210,'TAR FIN'!$A$1:$O$100,15,0)),0,VLOOKUP($U$1210,'TAR FIN'!$A$1:$O$100,15,0))</f>
        <v>127.23</v>
      </c>
      <c r="Y1210" s="6"/>
      <c r="Z1210" s="6">
        <f ca="1">('TUSD BE'!$AM$60+'TUSD BF'!$AM$60+'TUSD CVA'!$AM$60)*1</f>
        <v>157.10477006799229</v>
      </c>
      <c r="AA1210" s="6">
        <f>('TE BE'!$AA$43+'TE BF'!$AA$43+'TE CVA'!$AA$43)*1</f>
        <v>137.9365228212896</v>
      </c>
      <c r="AB1210" s="6">
        <f>$K$1210*$V$1210</f>
        <v>0</v>
      </c>
      <c r="AC1210" s="6">
        <f>$M$1210*$W$1210</f>
        <v>436744.02531999996</v>
      </c>
      <c r="AD1210" s="6">
        <f>$O$1210*$X$1210</f>
        <v>353569.24371000001</v>
      </c>
      <c r="AE1210" s="6">
        <f>$K$1210*$Y$1210</f>
        <v>0</v>
      </c>
      <c r="AF1210" s="6">
        <f ca="1">$M$1210*$Z$1210</f>
        <v>436590.542609239</v>
      </c>
      <c r="AG1210" s="6">
        <f>$O$1210*$AA$1210</f>
        <v>383322.42438033887</v>
      </c>
    </row>
    <row r="1211" spans="1:33" ht="11.25" customHeight="1" x14ac:dyDescent="0.25">
      <c r="A1211" s="4" t="s">
        <v>21</v>
      </c>
      <c r="B1211" s="4" t="s">
        <v>46</v>
      </c>
      <c r="C1211" s="4" t="s">
        <v>23</v>
      </c>
      <c r="D1211" s="4" t="s">
        <v>47</v>
      </c>
      <c r="E1211" s="4" t="s">
        <v>48</v>
      </c>
      <c r="F1211" s="4" t="s">
        <v>25</v>
      </c>
      <c r="G1211" s="4" t="s">
        <v>25</v>
      </c>
      <c r="H1211" s="4" t="s">
        <v>25</v>
      </c>
      <c r="I1211" s="5">
        <v>44470</v>
      </c>
      <c r="J1211" s="6">
        <v>0</v>
      </c>
      <c r="K1211" s="6">
        <v>0</v>
      </c>
      <c r="L1211" s="6">
        <v>2857.6770000000001</v>
      </c>
      <c r="M1211" s="6">
        <v>2857.6770000000001</v>
      </c>
      <c r="N1211" s="6">
        <v>2857.6770000000001</v>
      </c>
      <c r="O1211" s="6">
        <v>2857.6770000000001</v>
      </c>
      <c r="P1211" s="6">
        <v>76</v>
      </c>
      <c r="Q1211" s="4" t="s">
        <v>26</v>
      </c>
      <c r="R1211" s="4">
        <v>0</v>
      </c>
      <c r="S1211" s="6">
        <v>0</v>
      </c>
      <c r="T1211" s="6">
        <v>63</v>
      </c>
      <c r="U1211" s="6">
        <v>80</v>
      </c>
      <c r="V1211" s="6">
        <f>IF(ISERROR(VLOOKUP($S$1211,'TAR FIN'!$A$1:$O$100,15,0)),0,VLOOKUP($S$1211,'TAR FIN'!$A$1:$O$100,15,0))</f>
        <v>0</v>
      </c>
      <c r="W1211" s="6">
        <f>IF(ISERROR(VLOOKUP($T$1211,'TAR FIN'!$A$1:$O$100,15,0)),0,VLOOKUP($T$1211,'TAR FIN'!$A$1:$O$100,15,0))</f>
        <v>157.16</v>
      </c>
      <c r="X1211" s="6">
        <f>IF(ISERROR(VLOOKUP($U$1211,'TAR FIN'!$A$1:$O$100,15,0)),0,VLOOKUP($U$1211,'TAR FIN'!$A$1:$O$100,15,0))</f>
        <v>127.23</v>
      </c>
      <c r="Y1211" s="6"/>
      <c r="Z1211" s="6">
        <f ca="1">('TUSD BE'!$AM$60+'TUSD BF'!$AM$60+'TUSD CVA'!$AM$60)*1</f>
        <v>157.10477006799229</v>
      </c>
      <c r="AA1211" s="6">
        <f>('TE BE'!$AA$43+'TE BF'!$AA$43+'TE CVA'!$AA$43)*1</f>
        <v>137.9365228212896</v>
      </c>
      <c r="AB1211" s="6">
        <f>$K$1211*$V$1211</f>
        <v>0</v>
      </c>
      <c r="AC1211" s="6">
        <f>$M$1211*$W$1211</f>
        <v>449112.51731999998</v>
      </c>
      <c r="AD1211" s="6">
        <f>$O$1211*$X$1211</f>
        <v>363582.24471000006</v>
      </c>
      <c r="AE1211" s="6">
        <f>$K$1211*$Y$1211</f>
        <v>0</v>
      </c>
      <c r="AF1211" s="6">
        <f ca="1">$M$1211*$Z$1211</f>
        <v>448954.68801359</v>
      </c>
      <c r="AG1211" s="6">
        <f>$O$1211*$AA$1211</f>
        <v>394178.02872637444</v>
      </c>
    </row>
    <row r="1212" spans="1:33" ht="11.25" customHeight="1" x14ac:dyDescent="0.25">
      <c r="A1212" s="4" t="s">
        <v>21</v>
      </c>
      <c r="B1212" s="4" t="s">
        <v>46</v>
      </c>
      <c r="C1212" s="4" t="s">
        <v>23</v>
      </c>
      <c r="D1212" s="4" t="s">
        <v>47</v>
      </c>
      <c r="E1212" s="4" t="s">
        <v>48</v>
      </c>
      <c r="F1212" s="4" t="s">
        <v>25</v>
      </c>
      <c r="G1212" s="4" t="s">
        <v>25</v>
      </c>
      <c r="H1212" s="4" t="s">
        <v>25</v>
      </c>
      <c r="I1212" s="5">
        <v>44501</v>
      </c>
      <c r="J1212" s="6">
        <v>0</v>
      </c>
      <c r="K1212" s="6">
        <v>0</v>
      </c>
      <c r="L1212" s="6">
        <v>2714.1350000000002</v>
      </c>
      <c r="M1212" s="6">
        <v>2714.1350000000002</v>
      </c>
      <c r="N1212" s="6">
        <v>2714.1350000000002</v>
      </c>
      <c r="O1212" s="6">
        <v>2714.1350000000002</v>
      </c>
      <c r="P1212" s="6">
        <v>76</v>
      </c>
      <c r="Q1212" s="4" t="s">
        <v>26</v>
      </c>
      <c r="R1212" s="4">
        <v>0</v>
      </c>
      <c r="S1212" s="6">
        <v>0</v>
      </c>
      <c r="T1212" s="6">
        <v>63</v>
      </c>
      <c r="U1212" s="6">
        <v>80</v>
      </c>
      <c r="V1212" s="6">
        <f>IF(ISERROR(VLOOKUP($S$1212,'TAR FIN'!$A$1:$O$100,15,0)),0,VLOOKUP($S$1212,'TAR FIN'!$A$1:$O$100,15,0))</f>
        <v>0</v>
      </c>
      <c r="W1212" s="6">
        <f>IF(ISERROR(VLOOKUP($T$1212,'TAR FIN'!$A$1:$O$100,15,0)),0,VLOOKUP($T$1212,'TAR FIN'!$A$1:$O$100,15,0))</f>
        <v>157.16</v>
      </c>
      <c r="X1212" s="6">
        <f>IF(ISERROR(VLOOKUP($U$1212,'TAR FIN'!$A$1:$O$100,15,0)),0,VLOOKUP($U$1212,'TAR FIN'!$A$1:$O$100,15,0))</f>
        <v>127.23</v>
      </c>
      <c r="Y1212" s="6"/>
      <c r="Z1212" s="6">
        <f ca="1">('TUSD BE'!$AM$60+'TUSD BF'!$AM$60+'TUSD CVA'!$AM$60)*1</f>
        <v>157.10477006799229</v>
      </c>
      <c r="AA1212" s="6">
        <f>('TE BE'!$AA$43+'TE BF'!$AA$43+'TE CVA'!$AA$43)*1</f>
        <v>137.9365228212896</v>
      </c>
      <c r="AB1212" s="6">
        <f>$K$1212*$V$1212</f>
        <v>0</v>
      </c>
      <c r="AC1212" s="6">
        <f>$M$1212*$W$1212</f>
        <v>426553.45660000003</v>
      </c>
      <c r="AD1212" s="6">
        <f>$O$1212*$X$1212</f>
        <v>345319.39605000004</v>
      </c>
      <c r="AE1212" s="6">
        <f>$K$1212*$Y$1212</f>
        <v>0</v>
      </c>
      <c r="AF1212" s="6">
        <f ca="1">$M$1212*$Z$1212</f>
        <v>426403.55510849028</v>
      </c>
      <c r="AG1212" s="6">
        <f>$O$1212*$AA$1212</f>
        <v>374378.34436756087</v>
      </c>
    </row>
    <row r="1213" spans="1:33" ht="11.25" customHeight="1" x14ac:dyDescent="0.25">
      <c r="A1213" s="4" t="s">
        <v>21</v>
      </c>
      <c r="B1213" s="4" t="s">
        <v>46</v>
      </c>
      <c r="C1213" s="4" t="s">
        <v>23</v>
      </c>
      <c r="D1213" s="4" t="s">
        <v>47</v>
      </c>
      <c r="E1213" s="4" t="s">
        <v>48</v>
      </c>
      <c r="F1213" s="4" t="s">
        <v>25</v>
      </c>
      <c r="G1213" s="4" t="s">
        <v>25</v>
      </c>
      <c r="H1213" s="4" t="s">
        <v>25</v>
      </c>
      <c r="I1213" s="5">
        <v>44531</v>
      </c>
      <c r="J1213" s="6">
        <v>0</v>
      </c>
      <c r="K1213" s="6">
        <v>0</v>
      </c>
      <c r="L1213" s="6">
        <v>2795.0160000000001</v>
      </c>
      <c r="M1213" s="6">
        <v>2795.0160000000001</v>
      </c>
      <c r="N1213" s="6">
        <v>2795.0160000000001</v>
      </c>
      <c r="O1213" s="6">
        <v>2795.0160000000001</v>
      </c>
      <c r="P1213" s="6">
        <v>76</v>
      </c>
      <c r="Q1213" s="4" t="s">
        <v>26</v>
      </c>
      <c r="R1213" s="4">
        <v>0</v>
      </c>
      <c r="S1213" s="6">
        <v>0</v>
      </c>
      <c r="T1213" s="6">
        <v>63</v>
      </c>
      <c r="U1213" s="6">
        <v>80</v>
      </c>
      <c r="V1213" s="6">
        <f>IF(ISERROR(VLOOKUP($S$1213,'TAR FIN'!$A$1:$O$100,15,0)),0,VLOOKUP($S$1213,'TAR FIN'!$A$1:$O$100,15,0))</f>
        <v>0</v>
      </c>
      <c r="W1213" s="6">
        <f>IF(ISERROR(VLOOKUP($T$1213,'TAR FIN'!$A$1:$O$100,15,0)),0,VLOOKUP($T$1213,'TAR FIN'!$A$1:$O$100,15,0))</f>
        <v>157.16</v>
      </c>
      <c r="X1213" s="6">
        <f>IF(ISERROR(VLOOKUP($U$1213,'TAR FIN'!$A$1:$O$100,15,0)),0,VLOOKUP($U$1213,'TAR FIN'!$A$1:$O$100,15,0))</f>
        <v>127.23</v>
      </c>
      <c r="Y1213" s="6"/>
      <c r="Z1213" s="6">
        <f ca="1">('TUSD BE'!$AM$60+'TUSD BF'!$AM$60+'TUSD CVA'!$AM$60)*1</f>
        <v>157.10477006799229</v>
      </c>
      <c r="AA1213" s="6">
        <f>('TE BE'!$AA$43+'TE BF'!$AA$43+'TE CVA'!$AA$43)*1</f>
        <v>137.9365228212896</v>
      </c>
      <c r="AB1213" s="6">
        <f>$K$1213*$V$1213</f>
        <v>0</v>
      </c>
      <c r="AC1213" s="6">
        <f>$M$1213*$W$1213</f>
        <v>439264.71455999999</v>
      </c>
      <c r="AD1213" s="6">
        <f>$O$1213*$X$1213</f>
        <v>355609.88568000001</v>
      </c>
      <c r="AE1213" s="6">
        <f>$K$1213*$Y$1213</f>
        <v>0</v>
      </c>
      <c r="AF1213" s="6">
        <f ca="1">$M$1213*$Z$1213</f>
        <v>439110.34601635957</v>
      </c>
      <c r="AG1213" s="6">
        <f>$O$1213*$AA$1213</f>
        <v>385534.78826986958</v>
      </c>
    </row>
    <row r="1214" spans="1:33" ht="11.25" customHeight="1" x14ac:dyDescent="0.25">
      <c r="A1214" s="4" t="s">
        <v>55</v>
      </c>
      <c r="B1214" s="4" t="s">
        <v>46</v>
      </c>
      <c r="C1214" s="4" t="s">
        <v>23</v>
      </c>
      <c r="D1214" s="4" t="s">
        <v>47</v>
      </c>
      <c r="E1214" s="4" t="s">
        <v>48</v>
      </c>
      <c r="F1214" s="4" t="s">
        <v>25</v>
      </c>
      <c r="G1214" s="4" t="s">
        <v>25</v>
      </c>
      <c r="H1214" s="4" t="s">
        <v>25</v>
      </c>
      <c r="I1214" s="5">
        <v>44562</v>
      </c>
      <c r="J1214" s="6">
        <v>0</v>
      </c>
      <c r="K1214" s="6">
        <v>0</v>
      </c>
      <c r="L1214" s="6">
        <v>2795.0160000000001</v>
      </c>
      <c r="M1214" s="6">
        <v>2795.0160000000001</v>
      </c>
      <c r="N1214" s="6">
        <v>2795.0160000000001</v>
      </c>
      <c r="O1214" s="6">
        <v>2795.0160000000001</v>
      </c>
      <c r="P1214" s="6">
        <v>76</v>
      </c>
      <c r="Q1214" s="4" t="s">
        <v>26</v>
      </c>
      <c r="R1214" s="4">
        <v>0</v>
      </c>
      <c r="S1214" s="6">
        <v>0</v>
      </c>
      <c r="T1214" s="6">
        <v>63</v>
      </c>
      <c r="U1214" s="6">
        <v>80</v>
      </c>
      <c r="V1214" s="6">
        <f>IF(ISERROR(VLOOKUP($S$1214,'TAR FIN'!$A$1:$O$100,15,0)),0,VLOOKUP($S$1214,'TAR FIN'!$A$1:$O$100,15,0))</f>
        <v>0</v>
      </c>
      <c r="W1214" s="6">
        <f>IF(ISERROR(VLOOKUP($T$1214,'TAR FIN'!$A$1:$O$100,15,0)),0,VLOOKUP($T$1214,'TAR FIN'!$A$1:$O$100,15,0))</f>
        <v>157.16</v>
      </c>
      <c r="X1214" s="6">
        <f>IF(ISERROR(VLOOKUP($U$1214,'TAR FIN'!$A$1:$O$100,15,0)),0,VLOOKUP($U$1214,'TAR FIN'!$A$1:$O$100,15,0))</f>
        <v>127.23</v>
      </c>
      <c r="Y1214" s="6"/>
      <c r="Z1214" s="6">
        <f ca="1">('TUSD BE'!$AM$60+'TUSD BF'!$AM$60+'TUSD CVA'!$AM$60)*1</f>
        <v>157.10477006799229</v>
      </c>
      <c r="AA1214" s="6">
        <f>('TE BE'!$AA$43+'TE BF'!$AA$43+'TE CVA'!$AA$43)*1</f>
        <v>137.9365228212896</v>
      </c>
      <c r="AB1214" s="6">
        <f>$K$1214*$V$1214</f>
        <v>0</v>
      </c>
      <c r="AC1214" s="6">
        <f>$M$1214*$W$1214</f>
        <v>439264.71455999999</v>
      </c>
      <c r="AD1214" s="6">
        <f>$O$1214*$X$1214</f>
        <v>355609.88568000001</v>
      </c>
      <c r="AE1214" s="6">
        <f>$K$1214*$Y$1214</f>
        <v>0</v>
      </c>
      <c r="AF1214" s="6">
        <f ca="1">$M$1214*$Z$1214</f>
        <v>439110.34601635957</v>
      </c>
      <c r="AG1214" s="6">
        <f>$O$1214*$AA$1214</f>
        <v>385534.78826986958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73AC-D007-4603-937C-B8B6D8A798E6}">
  <dimension ref="A1:AJ1215"/>
  <sheetViews>
    <sheetView showGridLines="0" topLeftCell="AF1" workbookViewId="0">
      <selection activeCell="AJ2" sqref="AJ2:AJ7"/>
    </sheetView>
  </sheetViews>
  <sheetFormatPr defaultRowHeight="11.25" customHeight="1" x14ac:dyDescent="0.25"/>
  <cols>
    <col min="1" max="1" width="19.14062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1.28515625" style="4" bestFit="1" customWidth="1"/>
    <col min="8" max="8" width="10.28515625" style="4" bestFit="1" customWidth="1"/>
    <col min="9" max="9" width="12.140625" style="5" bestFit="1" customWidth="1"/>
    <col min="10" max="11" width="7.855468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863</v>
      </c>
      <c r="W1" s="1" t="s">
        <v>864</v>
      </c>
      <c r="X1" s="1" t="s">
        <v>865</v>
      </c>
      <c r="Y1" s="1" t="s">
        <v>866</v>
      </c>
      <c r="Z1" s="1" t="s">
        <v>867</v>
      </c>
      <c r="AA1" s="1" t="s">
        <v>868</v>
      </c>
      <c r="AB1" s="1" t="s">
        <v>907</v>
      </c>
      <c r="AC1" s="1" t="s">
        <v>908</v>
      </c>
      <c r="AD1" s="1" t="s">
        <v>909</v>
      </c>
      <c r="AE1" s="1" t="s">
        <v>910</v>
      </c>
      <c r="AF1" s="1" t="s">
        <v>911</v>
      </c>
      <c r="AH1" s="34" t="s">
        <v>911</v>
      </c>
      <c r="AI1" s="34" t="s">
        <v>917</v>
      </c>
      <c r="AJ1" s="34" t="s">
        <v>918</v>
      </c>
    </row>
    <row r="2" spans="1:36" ht="11.25" customHeight="1" x14ac:dyDescent="0.25">
      <c r="A2" s="4" t="s">
        <v>21</v>
      </c>
      <c r="B2" s="4" t="s">
        <v>39</v>
      </c>
      <c r="C2" s="4" t="s">
        <v>40</v>
      </c>
      <c r="D2" s="4" t="s">
        <v>38</v>
      </c>
      <c r="E2" s="4" t="s">
        <v>25</v>
      </c>
      <c r="F2" s="4" t="s">
        <v>58</v>
      </c>
      <c r="G2" s="4" t="s">
        <v>25</v>
      </c>
      <c r="H2" s="4" t="s">
        <v>35</v>
      </c>
      <c r="I2" s="5">
        <v>44228</v>
      </c>
      <c r="J2" s="6">
        <v>4352</v>
      </c>
      <c r="K2" s="6">
        <v>2191.5733708799999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57</v>
      </c>
      <c r="R2" s="4">
        <v>0</v>
      </c>
      <c r="S2" s="4">
        <v>10</v>
      </c>
      <c r="T2" s="4">
        <v>0</v>
      </c>
      <c r="U2" s="4">
        <v>0</v>
      </c>
      <c r="V2" s="6">
        <f>IF(ISERROR(VLOOKUP($S$2,'TAR FIN'!$A$1:$O$100,15,0)),0,VLOOKUP($S$2,'TAR FIN'!$A$1:$O$100,15,0))</f>
        <v>18.48</v>
      </c>
      <c r="W2" s="6">
        <f>IF(ISERROR(VLOOKUP($T$2,'TAR FIN'!$A$1:$O$100,15,0)),0,VLOOKUP($T$2,'TAR FIN'!$A$1:$O$100,15,0))</f>
        <v>0</v>
      </c>
      <c r="X2" s="6">
        <f>IF(ISERROR(VLOOKUP($U$2,'TAR FIN'!$A$1:$O$100,15,0)),0,VLOOKUP($U$2,'TAR FIN'!$A$1:$O$100,15,0))</f>
        <v>0</v>
      </c>
      <c r="Y2" s="6">
        <f ca="1">('TUSD BE'!$AM$13+'TUSD BF'!$AM$13+'TUSD CVA'!$AM$13)*1</f>
        <v>17.856842567448453</v>
      </c>
      <c r="Z2" s="6">
        <f ca="1">('TUSD BE'!$AM$14+'TUSD BF'!$AM$14+'TUSD CVA'!$AM$14)*1</f>
        <v>49.78704102185678</v>
      </c>
      <c r="AA2" s="6"/>
      <c r="AB2" s="6">
        <f t="shared" ref="AB2:AB65" si="0">(J2-K2)*V2</f>
        <v>39924.684106137604</v>
      </c>
      <c r="AC2" s="6">
        <f t="shared" ref="AC2:AC33" si="1">(L2-M2)*W2+(N2-O2)*X2</f>
        <v>0</v>
      </c>
      <c r="AD2" s="6">
        <f t="shared" ref="AD2:AD65" ca="1" si="2">(J2-K2)*Y2</f>
        <v>38578.398194719193</v>
      </c>
      <c r="AE2" s="6">
        <f t="shared" ref="AE2:AE33" ca="1" si="3">(L2-M2)*Z2+(N2-O2)*AA2</f>
        <v>0</v>
      </c>
      <c r="AF2" s="4" t="s">
        <v>912</v>
      </c>
      <c r="AH2" s="35" t="s">
        <v>912</v>
      </c>
      <c r="AI2" s="36">
        <f t="shared" ref="AI2:AI9" si="4">SUMIF($AF$2:$AF$1215,AH2,$AB$2:$AB$1215)+SUMIF($AF$2:$AF$1215,AH2,$AC$2:$AC$1215)</f>
        <v>4767191.5277861143</v>
      </c>
      <c r="AJ2" s="36">
        <f t="shared" ref="AJ2:AJ9" ca="1" si="5">SUMIF($AF$2:$AF$1215,AH2,$AD$2:$AD$1215)+SUMIF($AF$2:$AF$1215,AH2,$AE$2:$AE$1215)</f>
        <v>4649118.1432259325</v>
      </c>
    </row>
    <row r="3" spans="1:36" ht="11.25" customHeight="1" x14ac:dyDescent="0.25">
      <c r="A3" s="4" t="s">
        <v>21</v>
      </c>
      <c r="B3" s="4" t="s">
        <v>39</v>
      </c>
      <c r="C3" s="4" t="s">
        <v>40</v>
      </c>
      <c r="D3" s="4" t="s">
        <v>38</v>
      </c>
      <c r="E3" s="4" t="s">
        <v>25</v>
      </c>
      <c r="F3" s="4" t="s">
        <v>58</v>
      </c>
      <c r="G3" s="4" t="s">
        <v>25</v>
      </c>
      <c r="H3" s="4" t="s">
        <v>35</v>
      </c>
      <c r="I3" s="5">
        <v>44256</v>
      </c>
      <c r="J3" s="6">
        <v>4395</v>
      </c>
      <c r="K3" s="6">
        <v>2211.1419921000002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57</v>
      </c>
      <c r="R3" s="4">
        <v>0</v>
      </c>
      <c r="S3" s="4">
        <v>10</v>
      </c>
      <c r="T3" s="4">
        <v>0</v>
      </c>
      <c r="U3" s="4">
        <v>0</v>
      </c>
      <c r="V3" s="6">
        <f>IF(ISERROR(VLOOKUP($S$3,'TAR FIN'!$A$1:$O$100,15,0)),0,VLOOKUP($S$3,'TAR FIN'!$A$1:$O$100,15,0))</f>
        <v>18.48</v>
      </c>
      <c r="W3" s="6">
        <f>IF(ISERROR(VLOOKUP($T$3,'TAR FIN'!$A$1:$O$100,15,0)),0,VLOOKUP($T$3,'TAR FIN'!$A$1:$O$100,15,0))</f>
        <v>0</v>
      </c>
      <c r="X3" s="6">
        <f>IF(ISERROR(VLOOKUP($U$3,'TAR FIN'!$A$1:$O$100,15,0)),0,VLOOKUP($U$3,'TAR FIN'!$A$1:$O$100,15,0))</f>
        <v>0</v>
      </c>
      <c r="Y3" s="6">
        <f ca="1">('TUSD BE'!$AM$13+'TUSD BF'!$AM$13+'TUSD CVA'!$AM$13)*1</f>
        <v>17.856842567448453</v>
      </c>
      <c r="Z3" s="6">
        <f ca="1">('TUSD BE'!$AM$14+'TUSD BF'!$AM$14+'TUSD CVA'!$AM$14)*1</f>
        <v>49.78704102185678</v>
      </c>
      <c r="AA3" s="6"/>
      <c r="AB3" s="6">
        <f t="shared" si="0"/>
        <v>40357.695985991995</v>
      </c>
      <c r="AC3" s="6">
        <f t="shared" si="1"/>
        <v>0</v>
      </c>
      <c r="AD3" s="6">
        <f t="shared" ca="1" si="2"/>
        <v>38996.808636731897</v>
      </c>
      <c r="AE3" s="6">
        <f t="shared" ca="1" si="3"/>
        <v>0</v>
      </c>
      <c r="AF3" s="4" t="s">
        <v>912</v>
      </c>
      <c r="AH3" s="35" t="s">
        <v>919</v>
      </c>
      <c r="AI3" s="36">
        <f t="shared" si="4"/>
        <v>0</v>
      </c>
      <c r="AJ3" s="36">
        <f t="shared" si="5"/>
        <v>0</v>
      </c>
    </row>
    <row r="4" spans="1:36" ht="11.25" customHeight="1" x14ac:dyDescent="0.25">
      <c r="A4" s="4" t="s">
        <v>21</v>
      </c>
      <c r="B4" s="4" t="s">
        <v>39</v>
      </c>
      <c r="C4" s="4" t="s">
        <v>40</v>
      </c>
      <c r="D4" s="4" t="s">
        <v>38</v>
      </c>
      <c r="E4" s="4" t="s">
        <v>25</v>
      </c>
      <c r="F4" s="4" t="s">
        <v>58</v>
      </c>
      <c r="G4" s="4" t="s">
        <v>25</v>
      </c>
      <c r="H4" s="4" t="s">
        <v>35</v>
      </c>
      <c r="I4" s="5">
        <v>44287</v>
      </c>
      <c r="J4" s="6">
        <v>4292</v>
      </c>
      <c r="K4" s="6">
        <v>2157.1214304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57</v>
      </c>
      <c r="R4" s="4">
        <v>0</v>
      </c>
      <c r="S4" s="4">
        <v>10</v>
      </c>
      <c r="T4" s="4">
        <v>0</v>
      </c>
      <c r="U4" s="4">
        <v>0</v>
      </c>
      <c r="V4" s="6">
        <f>IF(ISERROR(VLOOKUP($S$4,'TAR FIN'!$A$1:$O$100,15,0)),0,VLOOKUP($S$4,'TAR FIN'!$A$1:$O$100,15,0))</f>
        <v>18.48</v>
      </c>
      <c r="W4" s="6">
        <f>IF(ISERROR(VLOOKUP($T$4,'TAR FIN'!$A$1:$O$100,15,0)),0,VLOOKUP($T$4,'TAR FIN'!$A$1:$O$100,15,0))</f>
        <v>0</v>
      </c>
      <c r="X4" s="6">
        <f>IF(ISERROR(VLOOKUP($U$4,'TAR FIN'!$A$1:$O$100,15,0)),0,VLOOKUP($U$4,'TAR FIN'!$A$1:$O$100,15,0))</f>
        <v>0</v>
      </c>
      <c r="Y4" s="6">
        <f ca="1">('TUSD BE'!$AM$13+'TUSD BF'!$AM$13+'TUSD CVA'!$AM$13)*1</f>
        <v>17.856842567448453</v>
      </c>
      <c r="Z4" s="6">
        <f ca="1">('TUSD BE'!$AM$14+'TUSD BF'!$AM$14+'TUSD CVA'!$AM$14)*1</f>
        <v>49.78704102185678</v>
      </c>
      <c r="AA4" s="6"/>
      <c r="AB4" s="6">
        <f t="shared" si="0"/>
        <v>39452.555966207998</v>
      </c>
      <c r="AC4" s="6">
        <f t="shared" si="1"/>
        <v>0</v>
      </c>
      <c r="AD4" s="6">
        <f t="shared" ca="1" si="2"/>
        <v>38122.190517966745</v>
      </c>
      <c r="AE4" s="6">
        <f t="shared" ca="1" si="3"/>
        <v>0</v>
      </c>
      <c r="AF4" s="4" t="s">
        <v>912</v>
      </c>
      <c r="AH4" s="35" t="s">
        <v>920</v>
      </c>
      <c r="AI4" s="36">
        <f t="shared" si="4"/>
        <v>0</v>
      </c>
      <c r="AJ4" s="36">
        <f t="shared" si="5"/>
        <v>0</v>
      </c>
    </row>
    <row r="5" spans="1:36" ht="11.25" customHeight="1" x14ac:dyDescent="0.25">
      <c r="A5" s="4" t="s">
        <v>21</v>
      </c>
      <c r="B5" s="4" t="s">
        <v>39</v>
      </c>
      <c r="C5" s="4" t="s">
        <v>40</v>
      </c>
      <c r="D5" s="4" t="s">
        <v>38</v>
      </c>
      <c r="E5" s="4" t="s">
        <v>25</v>
      </c>
      <c r="F5" s="4" t="s">
        <v>58</v>
      </c>
      <c r="G5" s="4" t="s">
        <v>25</v>
      </c>
      <c r="H5" s="4" t="s">
        <v>35</v>
      </c>
      <c r="I5" s="5">
        <v>44317</v>
      </c>
      <c r="J5" s="6">
        <v>4274</v>
      </c>
      <c r="K5" s="6">
        <v>2162.4691934000002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57</v>
      </c>
      <c r="R5" s="4">
        <v>0</v>
      </c>
      <c r="S5" s="4">
        <v>10</v>
      </c>
      <c r="T5" s="4">
        <v>0</v>
      </c>
      <c r="U5" s="4">
        <v>0</v>
      </c>
      <c r="V5" s="6">
        <f>IF(ISERROR(VLOOKUP($S$5,'TAR FIN'!$A$1:$O$100,15,0)),0,VLOOKUP($S$5,'TAR FIN'!$A$1:$O$100,15,0))</f>
        <v>18.48</v>
      </c>
      <c r="W5" s="6">
        <f>IF(ISERROR(VLOOKUP($T$5,'TAR FIN'!$A$1:$O$100,15,0)),0,VLOOKUP($T$5,'TAR FIN'!$A$1:$O$100,15,0))</f>
        <v>0</v>
      </c>
      <c r="X5" s="6">
        <f>IF(ISERROR(VLOOKUP($U$5,'TAR FIN'!$A$1:$O$100,15,0)),0,VLOOKUP($U$5,'TAR FIN'!$A$1:$O$100,15,0))</f>
        <v>0</v>
      </c>
      <c r="Y5" s="6">
        <f ca="1">('TUSD BE'!$AM$13+'TUSD BF'!$AM$13+'TUSD CVA'!$AM$13)*1</f>
        <v>17.856842567448453</v>
      </c>
      <c r="Z5" s="6">
        <f ca="1">('TUSD BE'!$AM$14+'TUSD BF'!$AM$14+'TUSD CVA'!$AM$14)*1</f>
        <v>49.78704102185678</v>
      </c>
      <c r="AA5" s="6"/>
      <c r="AB5" s="6">
        <f t="shared" si="0"/>
        <v>39021.089305967995</v>
      </c>
      <c r="AC5" s="6">
        <f t="shared" si="1"/>
        <v>0</v>
      </c>
      <c r="AD5" s="6">
        <f t="shared" ca="1" si="2"/>
        <v>37705.273189773645</v>
      </c>
      <c r="AE5" s="6">
        <f t="shared" ca="1" si="3"/>
        <v>0</v>
      </c>
      <c r="AF5" s="4" t="s">
        <v>912</v>
      </c>
      <c r="AH5" s="35" t="s">
        <v>913</v>
      </c>
      <c r="AI5" s="36">
        <f t="shared" si="4"/>
        <v>303708.15992699994</v>
      </c>
      <c r="AJ5" s="36">
        <f t="shared" ca="1" si="5"/>
        <v>160464.51484509013</v>
      </c>
    </row>
    <row r="6" spans="1:36" ht="11.25" customHeight="1" x14ac:dyDescent="0.25">
      <c r="A6" s="4" t="s">
        <v>21</v>
      </c>
      <c r="B6" s="4" t="s">
        <v>39</v>
      </c>
      <c r="C6" s="4" t="s">
        <v>40</v>
      </c>
      <c r="D6" s="4" t="s">
        <v>38</v>
      </c>
      <c r="E6" s="4" t="s">
        <v>25</v>
      </c>
      <c r="F6" s="4" t="s">
        <v>58</v>
      </c>
      <c r="G6" s="4" t="s">
        <v>25</v>
      </c>
      <c r="H6" s="4" t="s">
        <v>35</v>
      </c>
      <c r="I6" s="5">
        <v>44348</v>
      </c>
      <c r="J6" s="6">
        <v>4301</v>
      </c>
      <c r="K6" s="6">
        <v>2168.7002406299998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57</v>
      </c>
      <c r="R6" s="4">
        <v>0</v>
      </c>
      <c r="S6" s="4">
        <v>10</v>
      </c>
      <c r="T6" s="4">
        <v>0</v>
      </c>
      <c r="U6" s="4">
        <v>0</v>
      </c>
      <c r="V6" s="6">
        <f>IF(ISERROR(VLOOKUP($S$6,'TAR FIN'!$A$1:$O$100,15,0)),0,VLOOKUP($S$6,'TAR FIN'!$A$1:$O$100,15,0))</f>
        <v>18.48</v>
      </c>
      <c r="W6" s="6">
        <f>IF(ISERROR(VLOOKUP($T$6,'TAR FIN'!$A$1:$O$100,15,0)),0,VLOOKUP($T$6,'TAR FIN'!$A$1:$O$100,15,0))</f>
        <v>0</v>
      </c>
      <c r="X6" s="6">
        <f>IF(ISERROR(VLOOKUP($U$6,'TAR FIN'!$A$1:$O$100,15,0)),0,VLOOKUP($U$6,'TAR FIN'!$A$1:$O$100,15,0))</f>
        <v>0</v>
      </c>
      <c r="Y6" s="6">
        <f ca="1">('TUSD BE'!$AM$13+'TUSD BF'!$AM$13+'TUSD CVA'!$AM$13)*1</f>
        <v>17.856842567448453</v>
      </c>
      <c r="Z6" s="6">
        <f ca="1">('TUSD BE'!$AM$14+'TUSD BF'!$AM$14+'TUSD CVA'!$AM$14)*1</f>
        <v>49.78704102185678</v>
      </c>
      <c r="AA6" s="6"/>
      <c r="AB6" s="6">
        <f t="shared" si="0"/>
        <v>39404.899553157607</v>
      </c>
      <c r="AC6" s="6">
        <f t="shared" si="1"/>
        <v>0</v>
      </c>
      <c r="AD6" s="6">
        <f t="shared" ca="1" si="2"/>
        <v>38076.141109678312</v>
      </c>
      <c r="AE6" s="6">
        <f t="shared" ca="1" si="3"/>
        <v>0</v>
      </c>
      <c r="AF6" s="4" t="s">
        <v>912</v>
      </c>
      <c r="AH6" s="35" t="s">
        <v>914</v>
      </c>
      <c r="AI6" s="36">
        <f t="shared" si="4"/>
        <v>1381340.2934523826</v>
      </c>
      <c r="AJ6" s="36">
        <f t="shared" ca="1" si="5"/>
        <v>716774.79301982233</v>
      </c>
    </row>
    <row r="7" spans="1:36" ht="11.25" customHeight="1" x14ac:dyDescent="0.25">
      <c r="A7" s="4" t="s">
        <v>21</v>
      </c>
      <c r="B7" s="4" t="s">
        <v>39</v>
      </c>
      <c r="C7" s="4" t="s">
        <v>40</v>
      </c>
      <c r="D7" s="4" t="s">
        <v>38</v>
      </c>
      <c r="E7" s="4" t="s">
        <v>25</v>
      </c>
      <c r="F7" s="4" t="s">
        <v>58</v>
      </c>
      <c r="G7" s="4" t="s">
        <v>25</v>
      </c>
      <c r="H7" s="4" t="s">
        <v>35</v>
      </c>
      <c r="I7" s="5">
        <v>44378</v>
      </c>
      <c r="J7" s="6">
        <v>4273</v>
      </c>
      <c r="K7" s="6">
        <v>2150.35229686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57</v>
      </c>
      <c r="R7" s="4">
        <v>0</v>
      </c>
      <c r="S7" s="4">
        <v>10</v>
      </c>
      <c r="T7" s="4">
        <v>0</v>
      </c>
      <c r="U7" s="4">
        <v>0</v>
      </c>
      <c r="V7" s="6">
        <f>IF(ISERROR(VLOOKUP($S$7,'TAR FIN'!$A$1:$O$100,15,0)),0,VLOOKUP($S$7,'TAR FIN'!$A$1:$O$100,15,0))</f>
        <v>18.48</v>
      </c>
      <c r="W7" s="6">
        <f>IF(ISERROR(VLOOKUP($T$7,'TAR FIN'!$A$1:$O$100,15,0)),0,VLOOKUP($T$7,'TAR FIN'!$A$1:$O$100,15,0))</f>
        <v>0</v>
      </c>
      <c r="X7" s="6">
        <f>IF(ISERROR(VLOOKUP($U$7,'TAR FIN'!$A$1:$O$100,15,0)),0,VLOOKUP($U$7,'TAR FIN'!$A$1:$O$100,15,0))</f>
        <v>0</v>
      </c>
      <c r="Y7" s="6">
        <f ca="1">('TUSD BE'!$AM$13+'TUSD BF'!$AM$13+'TUSD CVA'!$AM$13)*1</f>
        <v>17.856842567448453</v>
      </c>
      <c r="Z7" s="6">
        <f ca="1">('TUSD BE'!$AM$14+'TUSD BF'!$AM$14+'TUSD CVA'!$AM$14)*1</f>
        <v>49.78704102185678</v>
      </c>
      <c r="AA7" s="6"/>
      <c r="AB7" s="6">
        <f t="shared" si="0"/>
        <v>39226.529554027198</v>
      </c>
      <c r="AC7" s="6">
        <f t="shared" si="1"/>
        <v>0</v>
      </c>
      <c r="AD7" s="6">
        <f t="shared" ca="1" si="2"/>
        <v>37903.785861127042</v>
      </c>
      <c r="AE7" s="6">
        <f t="shared" ca="1" si="3"/>
        <v>0</v>
      </c>
      <c r="AF7" s="4" t="s">
        <v>912</v>
      </c>
      <c r="AH7" s="35" t="s">
        <v>916</v>
      </c>
      <c r="AI7" s="36">
        <f t="shared" si="4"/>
        <v>725728.61481659999</v>
      </c>
      <c r="AJ7" s="36">
        <f t="shared" ca="1" si="5"/>
        <v>736900.5118839714</v>
      </c>
    </row>
    <row r="8" spans="1:36" ht="11.25" customHeight="1" x14ac:dyDescent="0.25">
      <c r="A8" s="4" t="s">
        <v>21</v>
      </c>
      <c r="B8" s="4" t="s">
        <v>39</v>
      </c>
      <c r="C8" s="4" t="s">
        <v>40</v>
      </c>
      <c r="D8" s="4" t="s">
        <v>38</v>
      </c>
      <c r="E8" s="4" t="s">
        <v>25</v>
      </c>
      <c r="F8" s="4" t="s">
        <v>58</v>
      </c>
      <c r="G8" s="4" t="s">
        <v>25</v>
      </c>
      <c r="H8" s="4" t="s">
        <v>35</v>
      </c>
      <c r="I8" s="5">
        <v>44409</v>
      </c>
      <c r="J8" s="6">
        <v>4273</v>
      </c>
      <c r="K8" s="6">
        <v>2157.3046815100001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57</v>
      </c>
      <c r="R8" s="4">
        <v>0</v>
      </c>
      <c r="S8" s="4">
        <v>10</v>
      </c>
      <c r="T8" s="4">
        <v>0</v>
      </c>
      <c r="U8" s="4">
        <v>0</v>
      </c>
      <c r="V8" s="6">
        <f>IF(ISERROR(VLOOKUP($S$8,'TAR FIN'!$A$1:$O$100,15,0)),0,VLOOKUP($S$8,'TAR FIN'!$A$1:$O$100,15,0))</f>
        <v>18.48</v>
      </c>
      <c r="W8" s="6">
        <f>IF(ISERROR(VLOOKUP($T$8,'TAR FIN'!$A$1:$O$100,15,0)),0,VLOOKUP($T$8,'TAR FIN'!$A$1:$O$100,15,0))</f>
        <v>0</v>
      </c>
      <c r="X8" s="6">
        <f>IF(ISERROR(VLOOKUP($U$8,'TAR FIN'!$A$1:$O$100,15,0)),0,VLOOKUP($U$8,'TAR FIN'!$A$1:$O$100,15,0))</f>
        <v>0</v>
      </c>
      <c r="Y8" s="6">
        <f ca="1">('TUSD BE'!$AM$13+'TUSD BF'!$AM$13+'TUSD CVA'!$AM$13)*1</f>
        <v>17.856842567448453</v>
      </c>
      <c r="Z8" s="6">
        <f ca="1">('TUSD BE'!$AM$14+'TUSD BF'!$AM$14+'TUSD CVA'!$AM$14)*1</f>
        <v>49.78704102185678</v>
      </c>
      <c r="AA8" s="6"/>
      <c r="AB8" s="6">
        <f t="shared" si="0"/>
        <v>39098.049485695199</v>
      </c>
      <c r="AC8" s="6">
        <f t="shared" si="1"/>
        <v>0</v>
      </c>
      <c r="AD8" s="6">
        <f t="shared" ca="1" si="2"/>
        <v>37779.638222963644</v>
      </c>
      <c r="AE8" s="6">
        <f t="shared" ca="1" si="3"/>
        <v>0</v>
      </c>
      <c r="AF8" s="4" t="s">
        <v>912</v>
      </c>
      <c r="AH8" s="35" t="s">
        <v>915</v>
      </c>
      <c r="AI8" s="36">
        <f t="shared" si="4"/>
        <v>13219422.070980005</v>
      </c>
      <c r="AJ8" s="36">
        <f t="shared" ca="1" si="5"/>
        <v>13542376.921661586</v>
      </c>
    </row>
    <row r="9" spans="1:36" ht="11.25" customHeight="1" x14ac:dyDescent="0.25">
      <c r="A9" s="4" t="s">
        <v>21</v>
      </c>
      <c r="B9" s="4" t="s">
        <v>39</v>
      </c>
      <c r="C9" s="4" t="s">
        <v>40</v>
      </c>
      <c r="D9" s="4" t="s">
        <v>38</v>
      </c>
      <c r="E9" s="4" t="s">
        <v>25</v>
      </c>
      <c r="F9" s="4" t="s">
        <v>58</v>
      </c>
      <c r="G9" s="4" t="s">
        <v>25</v>
      </c>
      <c r="H9" s="4" t="s">
        <v>35</v>
      </c>
      <c r="I9" s="5">
        <v>44440</v>
      </c>
      <c r="J9" s="6">
        <v>3869</v>
      </c>
      <c r="K9" s="6">
        <v>1955.4475011100001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57</v>
      </c>
      <c r="R9" s="4">
        <v>0</v>
      </c>
      <c r="S9" s="4">
        <v>10</v>
      </c>
      <c r="T9" s="4">
        <v>0</v>
      </c>
      <c r="U9" s="4">
        <v>0</v>
      </c>
      <c r="V9" s="6">
        <f>IF(ISERROR(VLOOKUP($S$9,'TAR FIN'!$A$1:$O$100,15,0)),0,VLOOKUP($S$9,'TAR FIN'!$A$1:$O$100,15,0))</f>
        <v>18.48</v>
      </c>
      <c r="W9" s="6">
        <f>IF(ISERROR(VLOOKUP($T$9,'TAR FIN'!$A$1:$O$100,15,0)),0,VLOOKUP($T$9,'TAR FIN'!$A$1:$O$100,15,0))</f>
        <v>0</v>
      </c>
      <c r="X9" s="6">
        <f>IF(ISERROR(VLOOKUP($U$9,'TAR FIN'!$A$1:$O$100,15,0)),0,VLOOKUP($U$9,'TAR FIN'!$A$1:$O$100,15,0))</f>
        <v>0</v>
      </c>
      <c r="Y9" s="6">
        <f ca="1">('TUSD BE'!$AM$13+'TUSD BF'!$AM$13+'TUSD CVA'!$AM$13)*1</f>
        <v>17.856842567448453</v>
      </c>
      <c r="Z9" s="6">
        <f ca="1">('TUSD BE'!$AM$14+'TUSD BF'!$AM$14+'TUSD CVA'!$AM$14)*1</f>
        <v>49.78704102185678</v>
      </c>
      <c r="AA9" s="6"/>
      <c r="AB9" s="6">
        <f t="shared" si="0"/>
        <v>35362.450179487198</v>
      </c>
      <c r="AC9" s="6">
        <f t="shared" si="1"/>
        <v>0</v>
      </c>
      <c r="AD9" s="6">
        <f t="shared" ca="1" si="2"/>
        <v>34170.005717226311</v>
      </c>
      <c r="AE9" s="6">
        <f t="shared" ca="1" si="3"/>
        <v>0</v>
      </c>
      <c r="AF9" s="4" t="s">
        <v>912</v>
      </c>
      <c r="AH9" s="35" t="s">
        <v>921</v>
      </c>
      <c r="AI9" s="36">
        <f t="shared" si="4"/>
        <v>0</v>
      </c>
      <c r="AJ9" s="36">
        <f t="shared" si="5"/>
        <v>0</v>
      </c>
    </row>
    <row r="10" spans="1:36" ht="11.25" customHeight="1" x14ac:dyDescent="0.25">
      <c r="A10" s="4" t="s">
        <v>21</v>
      </c>
      <c r="B10" s="4" t="s">
        <v>39</v>
      </c>
      <c r="C10" s="4" t="s">
        <v>40</v>
      </c>
      <c r="D10" s="4" t="s">
        <v>38</v>
      </c>
      <c r="E10" s="4" t="s">
        <v>25</v>
      </c>
      <c r="F10" s="4" t="s">
        <v>58</v>
      </c>
      <c r="G10" s="4" t="s">
        <v>25</v>
      </c>
      <c r="H10" s="4" t="s">
        <v>35</v>
      </c>
      <c r="I10" s="5">
        <v>44470</v>
      </c>
      <c r="J10" s="6">
        <v>3907</v>
      </c>
      <c r="K10" s="6">
        <v>1996.1270500099999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57</v>
      </c>
      <c r="R10" s="4">
        <v>0</v>
      </c>
      <c r="S10" s="4">
        <v>10</v>
      </c>
      <c r="T10" s="4">
        <v>0</v>
      </c>
      <c r="U10" s="4">
        <v>0</v>
      </c>
      <c r="V10" s="6">
        <f>IF(ISERROR(VLOOKUP($S$10,'TAR FIN'!$A$1:$O$100,15,0)),0,VLOOKUP($S$10,'TAR FIN'!$A$1:$O$100,15,0))</f>
        <v>18.48</v>
      </c>
      <c r="W10" s="6">
        <f>IF(ISERROR(VLOOKUP($T$10,'TAR FIN'!$A$1:$O$100,15,0)),0,VLOOKUP($T$10,'TAR FIN'!$A$1:$O$100,15,0))</f>
        <v>0</v>
      </c>
      <c r="X10" s="6">
        <f>IF(ISERROR(VLOOKUP($U$10,'TAR FIN'!$A$1:$O$100,15,0)),0,VLOOKUP($U$10,'TAR FIN'!$A$1:$O$100,15,0))</f>
        <v>0</v>
      </c>
      <c r="Y10" s="6">
        <f ca="1">('TUSD BE'!$AM$13+'TUSD BF'!$AM$13+'TUSD CVA'!$AM$13)*1</f>
        <v>17.856842567448453</v>
      </c>
      <c r="Z10" s="6">
        <f ca="1">('TUSD BE'!$AM$14+'TUSD BF'!$AM$14+'TUSD CVA'!$AM$14)*1</f>
        <v>49.78704102185678</v>
      </c>
      <c r="AA10" s="6"/>
      <c r="AB10" s="6">
        <f t="shared" si="0"/>
        <v>35312.932115815202</v>
      </c>
      <c r="AC10" s="6">
        <f t="shared" si="1"/>
        <v>0</v>
      </c>
      <c r="AD10" s="6">
        <f t="shared" ca="1" si="2"/>
        <v>34122.157434367233</v>
      </c>
      <c r="AE10" s="6">
        <f t="shared" ca="1" si="3"/>
        <v>0</v>
      </c>
      <c r="AF10" s="4" t="s">
        <v>912</v>
      </c>
    </row>
    <row r="11" spans="1:36" ht="11.25" customHeight="1" x14ac:dyDescent="0.25">
      <c r="A11" s="4" t="s">
        <v>21</v>
      </c>
      <c r="B11" s="4" t="s">
        <v>39</v>
      </c>
      <c r="C11" s="4" t="s">
        <v>40</v>
      </c>
      <c r="D11" s="4" t="s">
        <v>38</v>
      </c>
      <c r="E11" s="4" t="s">
        <v>25</v>
      </c>
      <c r="F11" s="4" t="s">
        <v>58</v>
      </c>
      <c r="G11" s="4" t="s">
        <v>25</v>
      </c>
      <c r="H11" s="4" t="s">
        <v>35</v>
      </c>
      <c r="I11" s="5">
        <v>44501</v>
      </c>
      <c r="J11" s="6">
        <v>4018</v>
      </c>
      <c r="K11" s="6">
        <v>2032.73545104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57</v>
      </c>
      <c r="R11" s="4">
        <v>0</v>
      </c>
      <c r="S11" s="4">
        <v>10</v>
      </c>
      <c r="T11" s="4">
        <v>0</v>
      </c>
      <c r="U11" s="4">
        <v>0</v>
      </c>
      <c r="V11" s="6">
        <f>IF(ISERROR(VLOOKUP($S$11,'TAR FIN'!$A$1:$O$100,15,0)),0,VLOOKUP($S$11,'TAR FIN'!$A$1:$O$100,15,0))</f>
        <v>18.48</v>
      </c>
      <c r="W11" s="6">
        <f>IF(ISERROR(VLOOKUP($T$11,'TAR FIN'!$A$1:$O$100,15,0)),0,VLOOKUP($T$11,'TAR FIN'!$A$1:$O$100,15,0))</f>
        <v>0</v>
      </c>
      <c r="X11" s="6">
        <f>IF(ISERROR(VLOOKUP($U$11,'TAR FIN'!$A$1:$O$100,15,0)),0,VLOOKUP($U$11,'TAR FIN'!$A$1:$O$100,15,0))</f>
        <v>0</v>
      </c>
      <c r="Y11" s="6">
        <f ca="1">('TUSD BE'!$AM$13+'TUSD BF'!$AM$13+'TUSD CVA'!$AM$13)*1</f>
        <v>17.856842567448453</v>
      </c>
      <c r="Z11" s="6">
        <f ca="1">('TUSD BE'!$AM$14+'TUSD BF'!$AM$14+'TUSD CVA'!$AM$14)*1</f>
        <v>49.78704102185678</v>
      </c>
      <c r="AA11" s="6"/>
      <c r="AB11" s="6">
        <f t="shared" si="0"/>
        <v>36687.688864780801</v>
      </c>
      <c r="AC11" s="6">
        <f t="shared" si="1"/>
        <v>0</v>
      </c>
      <c r="AD11" s="6">
        <f t="shared" ca="1" si="2"/>
        <v>35450.556505515284</v>
      </c>
      <c r="AE11" s="6">
        <f t="shared" ca="1" si="3"/>
        <v>0</v>
      </c>
      <c r="AF11" s="4" t="s">
        <v>912</v>
      </c>
    </row>
    <row r="12" spans="1:36" ht="11.25" customHeight="1" x14ac:dyDescent="0.25">
      <c r="A12" s="4" t="s">
        <v>21</v>
      </c>
      <c r="B12" s="4" t="s">
        <v>39</v>
      </c>
      <c r="C12" s="4" t="s">
        <v>40</v>
      </c>
      <c r="D12" s="4" t="s">
        <v>38</v>
      </c>
      <c r="E12" s="4" t="s">
        <v>25</v>
      </c>
      <c r="F12" s="4" t="s">
        <v>58</v>
      </c>
      <c r="G12" s="4" t="s">
        <v>25</v>
      </c>
      <c r="H12" s="4" t="s">
        <v>35</v>
      </c>
      <c r="I12" s="5">
        <v>44531</v>
      </c>
      <c r="J12" s="6">
        <v>3929</v>
      </c>
      <c r="K12" s="6">
        <v>2000.29480089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57</v>
      </c>
      <c r="R12" s="4">
        <v>0</v>
      </c>
      <c r="S12" s="4">
        <v>10</v>
      </c>
      <c r="T12" s="4">
        <v>0</v>
      </c>
      <c r="U12" s="4">
        <v>0</v>
      </c>
      <c r="V12" s="6">
        <f>IF(ISERROR(VLOOKUP($S$12,'TAR FIN'!$A$1:$O$100,15,0)),0,VLOOKUP($S$12,'TAR FIN'!$A$1:$O$100,15,0))</f>
        <v>18.48</v>
      </c>
      <c r="W12" s="6">
        <f>IF(ISERROR(VLOOKUP($T$12,'TAR FIN'!$A$1:$O$100,15,0)),0,VLOOKUP($T$12,'TAR FIN'!$A$1:$O$100,15,0))</f>
        <v>0</v>
      </c>
      <c r="X12" s="6">
        <f>IF(ISERROR(VLOOKUP($U$12,'TAR FIN'!$A$1:$O$100,15,0)),0,VLOOKUP($U$12,'TAR FIN'!$A$1:$O$100,15,0))</f>
        <v>0</v>
      </c>
      <c r="Y12" s="6">
        <f ca="1">('TUSD BE'!$AM$13+'TUSD BF'!$AM$13+'TUSD CVA'!$AM$13)*1</f>
        <v>17.856842567448453</v>
      </c>
      <c r="Z12" s="6">
        <f ca="1">('TUSD BE'!$AM$14+'TUSD BF'!$AM$14+'TUSD CVA'!$AM$14)*1</f>
        <v>49.78704102185678</v>
      </c>
      <c r="AA12" s="6"/>
      <c r="AB12" s="6">
        <f t="shared" si="0"/>
        <v>35642.472079552797</v>
      </c>
      <c r="AC12" s="6">
        <f t="shared" si="1"/>
        <v>0</v>
      </c>
      <c r="AD12" s="6">
        <f t="shared" ca="1" si="2"/>
        <v>34440.585099526594</v>
      </c>
      <c r="AE12" s="6">
        <f t="shared" ca="1" si="3"/>
        <v>0</v>
      </c>
      <c r="AF12" s="4" t="s">
        <v>912</v>
      </c>
    </row>
    <row r="13" spans="1:36" ht="11.25" customHeight="1" x14ac:dyDescent="0.25">
      <c r="A13" s="4" t="s">
        <v>55</v>
      </c>
      <c r="B13" s="4" t="s">
        <v>39</v>
      </c>
      <c r="C13" s="4" t="s">
        <v>40</v>
      </c>
      <c r="D13" s="4" t="s">
        <v>38</v>
      </c>
      <c r="E13" s="4" t="s">
        <v>25</v>
      </c>
      <c r="F13" s="4" t="s">
        <v>58</v>
      </c>
      <c r="G13" s="4" t="s">
        <v>25</v>
      </c>
      <c r="H13" s="4" t="s">
        <v>35</v>
      </c>
      <c r="I13" s="5">
        <v>44562</v>
      </c>
      <c r="J13" s="6">
        <v>3929</v>
      </c>
      <c r="K13" s="6">
        <v>2000.29480089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57</v>
      </c>
      <c r="R13" s="4">
        <v>0</v>
      </c>
      <c r="S13" s="4">
        <v>10</v>
      </c>
      <c r="T13" s="4">
        <v>0</v>
      </c>
      <c r="U13" s="4">
        <v>0</v>
      </c>
      <c r="V13" s="6">
        <f>IF(ISERROR(VLOOKUP($S$13,'TAR FIN'!$A$1:$O$100,15,0)),0,VLOOKUP($S$13,'TAR FIN'!$A$1:$O$100,15,0))</f>
        <v>18.48</v>
      </c>
      <c r="W13" s="6">
        <f>IF(ISERROR(VLOOKUP($T$13,'TAR FIN'!$A$1:$O$100,15,0)),0,VLOOKUP($T$13,'TAR FIN'!$A$1:$O$100,15,0))</f>
        <v>0</v>
      </c>
      <c r="X13" s="6">
        <f>IF(ISERROR(VLOOKUP($U$13,'TAR FIN'!$A$1:$O$100,15,0)),0,VLOOKUP($U$13,'TAR FIN'!$A$1:$O$100,15,0))</f>
        <v>0</v>
      </c>
      <c r="Y13" s="6">
        <f ca="1">('TUSD BE'!$AM$13+'TUSD BF'!$AM$13+'TUSD CVA'!$AM$13)*1</f>
        <v>17.856842567448453</v>
      </c>
      <c r="Z13" s="6">
        <f ca="1">('TUSD BE'!$AM$14+'TUSD BF'!$AM$14+'TUSD CVA'!$AM$14)*1</f>
        <v>49.78704102185678</v>
      </c>
      <c r="AA13" s="6"/>
      <c r="AB13" s="6">
        <f t="shared" si="0"/>
        <v>35642.472079552797</v>
      </c>
      <c r="AC13" s="6">
        <f t="shared" si="1"/>
        <v>0</v>
      </c>
      <c r="AD13" s="6">
        <f t="shared" ca="1" si="2"/>
        <v>34440.585099526594</v>
      </c>
      <c r="AE13" s="6">
        <f t="shared" ca="1" si="3"/>
        <v>0</v>
      </c>
      <c r="AF13" s="4" t="s">
        <v>912</v>
      </c>
    </row>
    <row r="14" spans="1:36" ht="11.25" customHeight="1" x14ac:dyDescent="0.25">
      <c r="A14" s="4" t="s">
        <v>21</v>
      </c>
      <c r="B14" s="4" t="s">
        <v>39</v>
      </c>
      <c r="C14" s="4" t="s">
        <v>40</v>
      </c>
      <c r="D14" s="4" t="s">
        <v>38</v>
      </c>
      <c r="E14" s="4" t="s">
        <v>25</v>
      </c>
      <c r="F14" s="4" t="s">
        <v>58</v>
      </c>
      <c r="G14" s="4" t="s">
        <v>25</v>
      </c>
      <c r="H14" s="4" t="s">
        <v>25</v>
      </c>
      <c r="I14" s="5">
        <v>44228</v>
      </c>
      <c r="J14" s="6">
        <v>0</v>
      </c>
      <c r="K14" s="6">
        <v>0</v>
      </c>
      <c r="L14" s="6">
        <v>1755.146</v>
      </c>
      <c r="M14" s="6">
        <v>1755.146</v>
      </c>
      <c r="N14" s="6">
        <v>0</v>
      </c>
      <c r="O14" s="6">
        <v>0</v>
      </c>
      <c r="P14" s="6">
        <v>9</v>
      </c>
      <c r="Q14" s="4" t="s">
        <v>57</v>
      </c>
      <c r="R14" s="4">
        <v>0</v>
      </c>
      <c r="S14" s="4">
        <v>0</v>
      </c>
      <c r="T14" s="4">
        <v>11</v>
      </c>
      <c r="U14" s="4">
        <v>0</v>
      </c>
      <c r="V14" s="6">
        <f>IF(ISERROR(VLOOKUP($S$14,'TAR FIN'!$A$1:$O$100,15,0)),0,VLOOKUP($S$14,'TAR FIN'!$A$1:$O$100,15,0))</f>
        <v>0</v>
      </c>
      <c r="W14" s="6">
        <f>IF(ISERROR(VLOOKUP($T$14,'TAR FIN'!$A$1:$O$100,15,0)),0,VLOOKUP($T$14,'TAR FIN'!$A$1:$O$100,15,0))</f>
        <v>43.65</v>
      </c>
      <c r="X14" s="6">
        <f>IF(ISERROR(VLOOKUP($U$14,'TAR FIN'!$A$1:$O$100,15,0)),0,VLOOKUP($U$14,'TAR FIN'!$A$1:$O$100,15,0))</f>
        <v>0</v>
      </c>
      <c r="Y14" s="6"/>
      <c r="Z14" s="6">
        <f ca="1">('TUSD BE'!$AM$14+'TUSD BF'!$AM$14+'TUSD CVA'!$AM$14)*1</f>
        <v>49.78704102185678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912</v>
      </c>
    </row>
    <row r="15" spans="1:36" ht="11.25" customHeight="1" x14ac:dyDescent="0.25">
      <c r="A15" s="4" t="s">
        <v>21</v>
      </c>
      <c r="B15" s="4" t="s">
        <v>39</v>
      </c>
      <c r="C15" s="4" t="s">
        <v>40</v>
      </c>
      <c r="D15" s="4" t="s">
        <v>38</v>
      </c>
      <c r="E15" s="4" t="s">
        <v>25</v>
      </c>
      <c r="F15" s="4" t="s">
        <v>58</v>
      </c>
      <c r="G15" s="4" t="s">
        <v>25</v>
      </c>
      <c r="H15" s="4" t="s">
        <v>25</v>
      </c>
      <c r="I15" s="5">
        <v>44256</v>
      </c>
      <c r="J15" s="6">
        <v>0</v>
      </c>
      <c r="K15" s="6">
        <v>0</v>
      </c>
      <c r="L15" s="6">
        <v>1701.3219999999999</v>
      </c>
      <c r="M15" s="6">
        <v>1701.3219999999999</v>
      </c>
      <c r="N15" s="6">
        <v>0</v>
      </c>
      <c r="O15" s="6">
        <v>0</v>
      </c>
      <c r="P15" s="6">
        <v>9</v>
      </c>
      <c r="Q15" s="4" t="s">
        <v>57</v>
      </c>
      <c r="R15" s="4">
        <v>0</v>
      </c>
      <c r="S15" s="4">
        <v>0</v>
      </c>
      <c r="T15" s="4">
        <v>11</v>
      </c>
      <c r="U15" s="4">
        <v>0</v>
      </c>
      <c r="V15" s="6">
        <f>IF(ISERROR(VLOOKUP($S$15,'TAR FIN'!$A$1:$O$100,15,0)),0,VLOOKUP($S$15,'TAR FIN'!$A$1:$O$100,15,0))</f>
        <v>0</v>
      </c>
      <c r="W15" s="6">
        <f>IF(ISERROR(VLOOKUP($T$15,'TAR FIN'!$A$1:$O$100,15,0)),0,VLOOKUP($T$15,'TAR FIN'!$A$1:$O$100,15,0))</f>
        <v>43.65</v>
      </c>
      <c r="X15" s="6">
        <f>IF(ISERROR(VLOOKUP($U$15,'TAR FIN'!$A$1:$O$100,15,0)),0,VLOOKUP($U$15,'TAR FIN'!$A$1:$O$100,15,0))</f>
        <v>0</v>
      </c>
      <c r="Y15" s="6"/>
      <c r="Z15" s="6">
        <f ca="1">('TUSD BE'!$AM$14+'TUSD BF'!$AM$14+'TUSD CVA'!$AM$14)*1</f>
        <v>49.78704102185678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912</v>
      </c>
    </row>
    <row r="16" spans="1:36" ht="11.25" customHeight="1" x14ac:dyDescent="0.25">
      <c r="A16" s="4" t="s">
        <v>21</v>
      </c>
      <c r="B16" s="4" t="s">
        <v>39</v>
      </c>
      <c r="C16" s="4" t="s">
        <v>40</v>
      </c>
      <c r="D16" s="4" t="s">
        <v>38</v>
      </c>
      <c r="E16" s="4" t="s">
        <v>25</v>
      </c>
      <c r="F16" s="4" t="s">
        <v>58</v>
      </c>
      <c r="G16" s="4" t="s">
        <v>25</v>
      </c>
      <c r="H16" s="4" t="s">
        <v>25</v>
      </c>
      <c r="I16" s="5">
        <v>44287</v>
      </c>
      <c r="J16" s="6">
        <v>0</v>
      </c>
      <c r="K16" s="6">
        <v>0</v>
      </c>
      <c r="L16" s="6">
        <v>1674.5419999999999</v>
      </c>
      <c r="M16" s="6">
        <v>1674.5419999999999</v>
      </c>
      <c r="N16" s="6">
        <v>0</v>
      </c>
      <c r="O16" s="6">
        <v>0</v>
      </c>
      <c r="P16" s="6">
        <v>9</v>
      </c>
      <c r="Q16" s="4" t="s">
        <v>57</v>
      </c>
      <c r="R16" s="4">
        <v>0</v>
      </c>
      <c r="S16" s="4">
        <v>0</v>
      </c>
      <c r="T16" s="4">
        <v>11</v>
      </c>
      <c r="U16" s="4">
        <v>0</v>
      </c>
      <c r="V16" s="6">
        <f>IF(ISERROR(VLOOKUP($S$16,'TAR FIN'!$A$1:$O$100,15,0)),0,VLOOKUP($S$16,'TAR FIN'!$A$1:$O$100,15,0))</f>
        <v>0</v>
      </c>
      <c r="W16" s="6">
        <f>IF(ISERROR(VLOOKUP($T$16,'TAR FIN'!$A$1:$O$100,15,0)),0,VLOOKUP($T$16,'TAR FIN'!$A$1:$O$100,15,0))</f>
        <v>43.65</v>
      </c>
      <c r="X16" s="6">
        <f>IF(ISERROR(VLOOKUP($U$16,'TAR FIN'!$A$1:$O$100,15,0)),0,VLOOKUP($U$16,'TAR FIN'!$A$1:$O$100,15,0))</f>
        <v>0</v>
      </c>
      <c r="Y16" s="6"/>
      <c r="Z16" s="6">
        <f ca="1">('TUSD BE'!$AM$14+'TUSD BF'!$AM$14+'TUSD CVA'!$AM$14)*1</f>
        <v>49.78704102185678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912</v>
      </c>
    </row>
    <row r="17" spans="1:32" ht="11.25" customHeight="1" x14ac:dyDescent="0.25">
      <c r="A17" s="4" t="s">
        <v>21</v>
      </c>
      <c r="B17" s="4" t="s">
        <v>39</v>
      </c>
      <c r="C17" s="4" t="s">
        <v>40</v>
      </c>
      <c r="D17" s="4" t="s">
        <v>38</v>
      </c>
      <c r="E17" s="4" t="s">
        <v>25</v>
      </c>
      <c r="F17" s="4" t="s">
        <v>58</v>
      </c>
      <c r="G17" s="4" t="s">
        <v>25</v>
      </c>
      <c r="H17" s="4" t="s">
        <v>25</v>
      </c>
      <c r="I17" s="5">
        <v>44317</v>
      </c>
      <c r="J17" s="6">
        <v>0</v>
      </c>
      <c r="K17" s="6">
        <v>0</v>
      </c>
      <c r="L17" s="6">
        <v>1683.701</v>
      </c>
      <c r="M17" s="6">
        <v>1683.701</v>
      </c>
      <c r="N17" s="6">
        <v>0</v>
      </c>
      <c r="O17" s="6">
        <v>0</v>
      </c>
      <c r="P17" s="6">
        <v>9</v>
      </c>
      <c r="Q17" s="4" t="s">
        <v>57</v>
      </c>
      <c r="R17" s="4">
        <v>0</v>
      </c>
      <c r="S17" s="4">
        <v>0</v>
      </c>
      <c r="T17" s="4">
        <v>11</v>
      </c>
      <c r="U17" s="4">
        <v>0</v>
      </c>
      <c r="V17" s="6">
        <f>IF(ISERROR(VLOOKUP($S$17,'TAR FIN'!$A$1:$O$100,15,0)),0,VLOOKUP($S$17,'TAR FIN'!$A$1:$O$100,15,0))</f>
        <v>0</v>
      </c>
      <c r="W17" s="6">
        <f>IF(ISERROR(VLOOKUP($T$17,'TAR FIN'!$A$1:$O$100,15,0)),0,VLOOKUP($T$17,'TAR FIN'!$A$1:$O$100,15,0))</f>
        <v>43.65</v>
      </c>
      <c r="X17" s="6">
        <f>IF(ISERROR(VLOOKUP($U$17,'TAR FIN'!$A$1:$O$100,15,0)),0,VLOOKUP($U$17,'TAR FIN'!$A$1:$O$100,15,0))</f>
        <v>0</v>
      </c>
      <c r="Y17" s="6"/>
      <c r="Z17" s="6">
        <f ca="1">('TUSD BE'!$AM$14+'TUSD BF'!$AM$14+'TUSD CVA'!$AM$14)*1</f>
        <v>49.78704102185678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912</v>
      </c>
    </row>
    <row r="18" spans="1:32" ht="11.25" customHeight="1" x14ac:dyDescent="0.25">
      <c r="A18" s="4" t="s">
        <v>21</v>
      </c>
      <c r="B18" s="4" t="s">
        <v>39</v>
      </c>
      <c r="C18" s="4" t="s">
        <v>40</v>
      </c>
      <c r="D18" s="4" t="s">
        <v>38</v>
      </c>
      <c r="E18" s="4" t="s">
        <v>25</v>
      </c>
      <c r="F18" s="4" t="s">
        <v>58</v>
      </c>
      <c r="G18" s="4" t="s">
        <v>25</v>
      </c>
      <c r="H18" s="4" t="s">
        <v>25</v>
      </c>
      <c r="I18" s="5">
        <v>44348</v>
      </c>
      <c r="J18" s="6">
        <v>0</v>
      </c>
      <c r="K18" s="6">
        <v>0</v>
      </c>
      <c r="L18" s="6">
        <v>1695.1780000000001</v>
      </c>
      <c r="M18" s="6">
        <v>1695.1780000000001</v>
      </c>
      <c r="N18" s="6">
        <v>0</v>
      </c>
      <c r="O18" s="6">
        <v>0</v>
      </c>
      <c r="P18" s="6">
        <v>9</v>
      </c>
      <c r="Q18" s="4" t="s">
        <v>57</v>
      </c>
      <c r="R18" s="4">
        <v>0</v>
      </c>
      <c r="S18" s="4">
        <v>0</v>
      </c>
      <c r="T18" s="4">
        <v>11</v>
      </c>
      <c r="U18" s="4">
        <v>0</v>
      </c>
      <c r="V18" s="6">
        <f>IF(ISERROR(VLOOKUP($S$18,'TAR FIN'!$A$1:$O$100,15,0)),0,VLOOKUP($S$18,'TAR FIN'!$A$1:$O$100,15,0))</f>
        <v>0</v>
      </c>
      <c r="W18" s="6">
        <f>IF(ISERROR(VLOOKUP($T$18,'TAR FIN'!$A$1:$O$100,15,0)),0,VLOOKUP($T$18,'TAR FIN'!$A$1:$O$100,15,0))</f>
        <v>43.65</v>
      </c>
      <c r="X18" s="6">
        <f>IF(ISERROR(VLOOKUP($U$18,'TAR FIN'!$A$1:$O$100,15,0)),0,VLOOKUP($U$18,'TAR FIN'!$A$1:$O$100,15,0))</f>
        <v>0</v>
      </c>
      <c r="Y18" s="6"/>
      <c r="Z18" s="6">
        <f ca="1">('TUSD BE'!$AM$14+'TUSD BF'!$AM$14+'TUSD CVA'!$AM$14)*1</f>
        <v>49.78704102185678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912</v>
      </c>
    </row>
    <row r="19" spans="1:32" ht="11.25" customHeight="1" x14ac:dyDescent="0.25">
      <c r="A19" s="4" t="s">
        <v>21</v>
      </c>
      <c r="B19" s="4" t="s">
        <v>39</v>
      </c>
      <c r="C19" s="4" t="s">
        <v>40</v>
      </c>
      <c r="D19" s="4" t="s">
        <v>38</v>
      </c>
      <c r="E19" s="4" t="s">
        <v>25</v>
      </c>
      <c r="F19" s="4" t="s">
        <v>58</v>
      </c>
      <c r="G19" s="4" t="s">
        <v>25</v>
      </c>
      <c r="H19" s="4" t="s">
        <v>25</v>
      </c>
      <c r="I19" s="5">
        <v>44378</v>
      </c>
      <c r="J19" s="6">
        <v>0</v>
      </c>
      <c r="K19" s="6">
        <v>0</v>
      </c>
      <c r="L19" s="6">
        <v>1473.6510000000001</v>
      </c>
      <c r="M19" s="6">
        <v>1473.6510000000001</v>
      </c>
      <c r="N19" s="6">
        <v>0</v>
      </c>
      <c r="O19" s="6">
        <v>0</v>
      </c>
      <c r="P19" s="6">
        <v>9</v>
      </c>
      <c r="Q19" s="4" t="s">
        <v>57</v>
      </c>
      <c r="R19" s="4">
        <v>0</v>
      </c>
      <c r="S19" s="4">
        <v>0</v>
      </c>
      <c r="T19" s="4">
        <v>11</v>
      </c>
      <c r="U19" s="4">
        <v>0</v>
      </c>
      <c r="V19" s="6">
        <f>IF(ISERROR(VLOOKUP($S$19,'TAR FIN'!$A$1:$O$100,15,0)),0,VLOOKUP($S$19,'TAR FIN'!$A$1:$O$100,15,0))</f>
        <v>0</v>
      </c>
      <c r="W19" s="6">
        <f>IF(ISERROR(VLOOKUP($T$19,'TAR FIN'!$A$1:$O$100,15,0)),0,VLOOKUP($T$19,'TAR FIN'!$A$1:$O$100,15,0))</f>
        <v>43.65</v>
      </c>
      <c r="X19" s="6">
        <f>IF(ISERROR(VLOOKUP($U$19,'TAR FIN'!$A$1:$O$100,15,0)),0,VLOOKUP($U$19,'TAR FIN'!$A$1:$O$100,15,0))</f>
        <v>0</v>
      </c>
      <c r="Y19" s="6"/>
      <c r="Z19" s="6">
        <f ca="1">('TUSD BE'!$AM$14+'TUSD BF'!$AM$14+'TUSD CVA'!$AM$14)*1</f>
        <v>49.78704102185678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912</v>
      </c>
    </row>
    <row r="20" spans="1:32" ht="11.25" customHeight="1" x14ac:dyDescent="0.25">
      <c r="A20" s="4" t="s">
        <v>21</v>
      </c>
      <c r="B20" s="4" t="s">
        <v>39</v>
      </c>
      <c r="C20" s="4" t="s">
        <v>40</v>
      </c>
      <c r="D20" s="4" t="s">
        <v>38</v>
      </c>
      <c r="E20" s="4" t="s">
        <v>25</v>
      </c>
      <c r="F20" s="4" t="s">
        <v>58</v>
      </c>
      <c r="G20" s="4" t="s">
        <v>25</v>
      </c>
      <c r="H20" s="4" t="s">
        <v>25</v>
      </c>
      <c r="I20" s="5">
        <v>44409</v>
      </c>
      <c r="J20" s="6">
        <v>0</v>
      </c>
      <c r="K20" s="6">
        <v>0</v>
      </c>
      <c r="L20" s="6">
        <v>1617.5</v>
      </c>
      <c r="M20" s="6">
        <v>1617.5</v>
      </c>
      <c r="N20" s="6">
        <v>0</v>
      </c>
      <c r="O20" s="6">
        <v>0</v>
      </c>
      <c r="P20" s="6">
        <v>9</v>
      </c>
      <c r="Q20" s="4" t="s">
        <v>57</v>
      </c>
      <c r="R20" s="4">
        <v>0</v>
      </c>
      <c r="S20" s="4">
        <v>0</v>
      </c>
      <c r="T20" s="4">
        <v>11</v>
      </c>
      <c r="U20" s="4">
        <v>0</v>
      </c>
      <c r="V20" s="6">
        <f>IF(ISERROR(VLOOKUP($S$20,'TAR FIN'!$A$1:$O$100,15,0)),0,VLOOKUP($S$20,'TAR FIN'!$A$1:$O$100,15,0))</f>
        <v>0</v>
      </c>
      <c r="W20" s="6">
        <f>IF(ISERROR(VLOOKUP($T$20,'TAR FIN'!$A$1:$O$100,15,0)),0,VLOOKUP($T$20,'TAR FIN'!$A$1:$O$100,15,0))</f>
        <v>43.65</v>
      </c>
      <c r="X20" s="6">
        <f>IF(ISERROR(VLOOKUP($U$20,'TAR FIN'!$A$1:$O$100,15,0)),0,VLOOKUP($U$20,'TAR FIN'!$A$1:$O$100,15,0))</f>
        <v>0</v>
      </c>
      <c r="Y20" s="6"/>
      <c r="Z20" s="6">
        <f ca="1">('TUSD BE'!$AM$14+'TUSD BF'!$AM$14+'TUSD CVA'!$AM$14)*1</f>
        <v>49.78704102185678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912</v>
      </c>
    </row>
    <row r="21" spans="1:32" ht="11.25" customHeight="1" x14ac:dyDescent="0.25">
      <c r="A21" s="4" t="s">
        <v>21</v>
      </c>
      <c r="B21" s="4" t="s">
        <v>39</v>
      </c>
      <c r="C21" s="4" t="s">
        <v>40</v>
      </c>
      <c r="D21" s="4" t="s">
        <v>38</v>
      </c>
      <c r="E21" s="4" t="s">
        <v>25</v>
      </c>
      <c r="F21" s="4" t="s">
        <v>58</v>
      </c>
      <c r="G21" s="4" t="s">
        <v>25</v>
      </c>
      <c r="H21" s="4" t="s">
        <v>25</v>
      </c>
      <c r="I21" s="5">
        <v>44440</v>
      </c>
      <c r="J21" s="6">
        <v>0</v>
      </c>
      <c r="K21" s="6">
        <v>0</v>
      </c>
      <c r="L21" s="6">
        <v>1539.8150000000001</v>
      </c>
      <c r="M21" s="6">
        <v>1539.8150000000001</v>
      </c>
      <c r="N21" s="6">
        <v>0</v>
      </c>
      <c r="O21" s="6">
        <v>0</v>
      </c>
      <c r="P21" s="6">
        <v>8</v>
      </c>
      <c r="Q21" s="4" t="s">
        <v>57</v>
      </c>
      <c r="R21" s="4">
        <v>0</v>
      </c>
      <c r="S21" s="4">
        <v>0</v>
      </c>
      <c r="T21" s="4">
        <v>11</v>
      </c>
      <c r="U21" s="4">
        <v>0</v>
      </c>
      <c r="V21" s="6">
        <f>IF(ISERROR(VLOOKUP($S$21,'TAR FIN'!$A$1:$O$100,15,0)),0,VLOOKUP($S$21,'TAR FIN'!$A$1:$O$100,15,0))</f>
        <v>0</v>
      </c>
      <c r="W21" s="6">
        <f>IF(ISERROR(VLOOKUP($T$21,'TAR FIN'!$A$1:$O$100,15,0)),0,VLOOKUP($T$21,'TAR FIN'!$A$1:$O$100,15,0))</f>
        <v>43.65</v>
      </c>
      <c r="X21" s="6">
        <f>IF(ISERROR(VLOOKUP($U$21,'TAR FIN'!$A$1:$O$100,15,0)),0,VLOOKUP($U$21,'TAR FIN'!$A$1:$O$100,15,0))</f>
        <v>0</v>
      </c>
      <c r="Y21" s="6"/>
      <c r="Z21" s="6">
        <f ca="1">('TUSD BE'!$AM$14+'TUSD BF'!$AM$14+'TUSD CVA'!$AM$14)*1</f>
        <v>49.78704102185678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912</v>
      </c>
    </row>
    <row r="22" spans="1:32" ht="11.25" customHeight="1" x14ac:dyDescent="0.25">
      <c r="A22" s="4" t="s">
        <v>21</v>
      </c>
      <c r="B22" s="4" t="s">
        <v>39</v>
      </c>
      <c r="C22" s="4" t="s">
        <v>40</v>
      </c>
      <c r="D22" s="4" t="s">
        <v>38</v>
      </c>
      <c r="E22" s="4" t="s">
        <v>25</v>
      </c>
      <c r="F22" s="4" t="s">
        <v>58</v>
      </c>
      <c r="G22" s="4" t="s">
        <v>25</v>
      </c>
      <c r="H22" s="4" t="s">
        <v>25</v>
      </c>
      <c r="I22" s="5">
        <v>44470</v>
      </c>
      <c r="J22" s="6">
        <v>0</v>
      </c>
      <c r="K22" s="6">
        <v>0</v>
      </c>
      <c r="L22" s="6">
        <v>1584.8879999999999</v>
      </c>
      <c r="M22" s="6">
        <v>1584.8879999999999</v>
      </c>
      <c r="N22" s="6">
        <v>0</v>
      </c>
      <c r="O22" s="6">
        <v>0</v>
      </c>
      <c r="P22" s="6">
        <v>8</v>
      </c>
      <c r="Q22" s="4" t="s">
        <v>57</v>
      </c>
      <c r="R22" s="4">
        <v>0</v>
      </c>
      <c r="S22" s="4">
        <v>0</v>
      </c>
      <c r="T22" s="4">
        <v>11</v>
      </c>
      <c r="U22" s="4">
        <v>0</v>
      </c>
      <c r="V22" s="6">
        <f>IF(ISERROR(VLOOKUP($S$22,'TAR FIN'!$A$1:$O$100,15,0)),0,VLOOKUP($S$22,'TAR FIN'!$A$1:$O$100,15,0))</f>
        <v>0</v>
      </c>
      <c r="W22" s="6">
        <f>IF(ISERROR(VLOOKUP($T$22,'TAR FIN'!$A$1:$O$100,15,0)),0,VLOOKUP($T$22,'TAR FIN'!$A$1:$O$100,15,0))</f>
        <v>43.65</v>
      </c>
      <c r="X22" s="6">
        <f>IF(ISERROR(VLOOKUP($U$22,'TAR FIN'!$A$1:$O$100,15,0)),0,VLOOKUP($U$22,'TAR FIN'!$A$1:$O$100,15,0))</f>
        <v>0</v>
      </c>
      <c r="Y22" s="6"/>
      <c r="Z22" s="6">
        <f ca="1">('TUSD BE'!$AM$14+'TUSD BF'!$AM$14+'TUSD CVA'!$AM$14)*1</f>
        <v>49.78704102185678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912</v>
      </c>
    </row>
    <row r="23" spans="1:32" ht="11.25" customHeight="1" x14ac:dyDescent="0.25">
      <c r="A23" s="4" t="s">
        <v>21</v>
      </c>
      <c r="B23" s="4" t="s">
        <v>39</v>
      </c>
      <c r="C23" s="4" t="s">
        <v>40</v>
      </c>
      <c r="D23" s="4" t="s">
        <v>38</v>
      </c>
      <c r="E23" s="4" t="s">
        <v>25</v>
      </c>
      <c r="F23" s="4" t="s">
        <v>58</v>
      </c>
      <c r="G23" s="4" t="s">
        <v>25</v>
      </c>
      <c r="H23" s="4" t="s">
        <v>25</v>
      </c>
      <c r="I23" s="5">
        <v>44501</v>
      </c>
      <c r="J23" s="6">
        <v>0</v>
      </c>
      <c r="K23" s="6">
        <v>0</v>
      </c>
      <c r="L23" s="6">
        <v>1784.5709999999999</v>
      </c>
      <c r="M23" s="6">
        <v>1784.5709999999999</v>
      </c>
      <c r="N23" s="6">
        <v>0</v>
      </c>
      <c r="O23" s="6">
        <v>0</v>
      </c>
      <c r="P23" s="6">
        <v>8</v>
      </c>
      <c r="Q23" s="4" t="s">
        <v>57</v>
      </c>
      <c r="R23" s="4">
        <v>0</v>
      </c>
      <c r="S23" s="4">
        <v>0</v>
      </c>
      <c r="T23" s="4">
        <v>11</v>
      </c>
      <c r="U23" s="4">
        <v>0</v>
      </c>
      <c r="V23" s="6">
        <f>IF(ISERROR(VLOOKUP($S$23,'TAR FIN'!$A$1:$O$100,15,0)),0,VLOOKUP($S$23,'TAR FIN'!$A$1:$O$100,15,0))</f>
        <v>0</v>
      </c>
      <c r="W23" s="6">
        <f>IF(ISERROR(VLOOKUP($T$23,'TAR FIN'!$A$1:$O$100,15,0)),0,VLOOKUP($T$23,'TAR FIN'!$A$1:$O$100,15,0))</f>
        <v>43.65</v>
      </c>
      <c r="X23" s="6">
        <f>IF(ISERROR(VLOOKUP($U$23,'TAR FIN'!$A$1:$O$100,15,0)),0,VLOOKUP($U$23,'TAR FIN'!$A$1:$O$100,15,0))</f>
        <v>0</v>
      </c>
      <c r="Y23" s="6"/>
      <c r="Z23" s="6">
        <f ca="1">('TUSD BE'!$AM$14+'TUSD BF'!$AM$14+'TUSD CVA'!$AM$14)*1</f>
        <v>49.78704102185678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912</v>
      </c>
    </row>
    <row r="24" spans="1:32" ht="11.25" customHeight="1" x14ac:dyDescent="0.25">
      <c r="A24" s="4" t="s">
        <v>21</v>
      </c>
      <c r="B24" s="4" t="s">
        <v>39</v>
      </c>
      <c r="C24" s="4" t="s">
        <v>40</v>
      </c>
      <c r="D24" s="4" t="s">
        <v>38</v>
      </c>
      <c r="E24" s="4" t="s">
        <v>25</v>
      </c>
      <c r="F24" s="4" t="s">
        <v>58</v>
      </c>
      <c r="G24" s="4" t="s">
        <v>25</v>
      </c>
      <c r="H24" s="4" t="s">
        <v>25</v>
      </c>
      <c r="I24" s="5">
        <v>44531</v>
      </c>
      <c r="J24" s="6">
        <v>0</v>
      </c>
      <c r="K24" s="6">
        <v>0</v>
      </c>
      <c r="L24" s="6">
        <v>1738.9190000000001</v>
      </c>
      <c r="M24" s="6">
        <v>1738.9190000000001</v>
      </c>
      <c r="N24" s="6">
        <v>0</v>
      </c>
      <c r="O24" s="6">
        <v>0</v>
      </c>
      <c r="P24" s="6">
        <v>8</v>
      </c>
      <c r="Q24" s="4" t="s">
        <v>57</v>
      </c>
      <c r="R24" s="4">
        <v>0</v>
      </c>
      <c r="S24" s="4">
        <v>0</v>
      </c>
      <c r="T24" s="4">
        <v>11</v>
      </c>
      <c r="U24" s="4">
        <v>0</v>
      </c>
      <c r="V24" s="6">
        <f>IF(ISERROR(VLOOKUP($S$24,'TAR FIN'!$A$1:$O$100,15,0)),0,VLOOKUP($S$24,'TAR FIN'!$A$1:$O$100,15,0))</f>
        <v>0</v>
      </c>
      <c r="W24" s="6">
        <f>IF(ISERROR(VLOOKUP($T$24,'TAR FIN'!$A$1:$O$100,15,0)),0,VLOOKUP($T$24,'TAR FIN'!$A$1:$O$100,15,0))</f>
        <v>43.65</v>
      </c>
      <c r="X24" s="6">
        <f>IF(ISERROR(VLOOKUP($U$24,'TAR FIN'!$A$1:$O$100,15,0)),0,VLOOKUP($U$24,'TAR FIN'!$A$1:$O$100,15,0))</f>
        <v>0</v>
      </c>
      <c r="Y24" s="6"/>
      <c r="Z24" s="6">
        <f ca="1">('TUSD BE'!$AM$14+'TUSD BF'!$AM$14+'TUSD CVA'!$AM$14)*1</f>
        <v>49.78704102185678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912</v>
      </c>
    </row>
    <row r="25" spans="1:32" ht="11.25" customHeight="1" x14ac:dyDescent="0.25">
      <c r="A25" s="4" t="s">
        <v>55</v>
      </c>
      <c r="B25" s="4" t="s">
        <v>39</v>
      </c>
      <c r="C25" s="4" t="s">
        <v>40</v>
      </c>
      <c r="D25" s="4" t="s">
        <v>38</v>
      </c>
      <c r="E25" s="4" t="s">
        <v>25</v>
      </c>
      <c r="F25" s="4" t="s">
        <v>58</v>
      </c>
      <c r="G25" s="4" t="s">
        <v>25</v>
      </c>
      <c r="H25" s="4" t="s">
        <v>25</v>
      </c>
      <c r="I25" s="5">
        <v>44562</v>
      </c>
      <c r="J25" s="6">
        <v>0</v>
      </c>
      <c r="K25" s="6">
        <v>0</v>
      </c>
      <c r="L25" s="6">
        <v>1738.9190000000001</v>
      </c>
      <c r="M25" s="6">
        <v>1738.9190000000001</v>
      </c>
      <c r="N25" s="6">
        <v>0</v>
      </c>
      <c r="O25" s="6">
        <v>0</v>
      </c>
      <c r="P25" s="6">
        <v>8</v>
      </c>
      <c r="Q25" s="4" t="s">
        <v>57</v>
      </c>
      <c r="R25" s="4">
        <v>0</v>
      </c>
      <c r="S25" s="4">
        <v>0</v>
      </c>
      <c r="T25" s="4">
        <v>11</v>
      </c>
      <c r="U25" s="4">
        <v>0</v>
      </c>
      <c r="V25" s="6">
        <f>IF(ISERROR(VLOOKUP($S$25,'TAR FIN'!$A$1:$O$100,15,0)),0,VLOOKUP($S$25,'TAR FIN'!$A$1:$O$100,15,0))</f>
        <v>0</v>
      </c>
      <c r="W25" s="6">
        <f>IF(ISERROR(VLOOKUP($T$25,'TAR FIN'!$A$1:$O$100,15,0)),0,VLOOKUP($T$25,'TAR FIN'!$A$1:$O$100,15,0))</f>
        <v>43.65</v>
      </c>
      <c r="X25" s="6">
        <f>IF(ISERROR(VLOOKUP($U$25,'TAR FIN'!$A$1:$O$100,15,0)),0,VLOOKUP($U$25,'TAR FIN'!$A$1:$O$100,15,0))</f>
        <v>0</v>
      </c>
      <c r="Y25" s="6"/>
      <c r="Z25" s="6">
        <f ca="1">('TUSD BE'!$AM$14+'TUSD BF'!$AM$14+'TUSD CVA'!$AM$14)*1</f>
        <v>49.78704102185678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912</v>
      </c>
    </row>
    <row r="26" spans="1:32" ht="11.25" customHeight="1" x14ac:dyDescent="0.25">
      <c r="A26" s="4" t="s">
        <v>21</v>
      </c>
      <c r="B26" s="4" t="s">
        <v>39</v>
      </c>
      <c r="C26" s="4" t="s">
        <v>40</v>
      </c>
      <c r="D26" s="4" t="s">
        <v>38</v>
      </c>
      <c r="E26" s="4" t="s">
        <v>25</v>
      </c>
      <c r="F26" s="4" t="s">
        <v>58</v>
      </c>
      <c r="G26" s="4" t="s">
        <v>25</v>
      </c>
      <c r="H26" s="4" t="s">
        <v>34</v>
      </c>
      <c r="I26" s="5">
        <v>44228</v>
      </c>
      <c r="J26" s="6">
        <v>4030</v>
      </c>
      <c r="K26" s="6">
        <v>2029.3389414999999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57</v>
      </c>
      <c r="R26" s="4">
        <v>0</v>
      </c>
      <c r="S26" s="4">
        <v>9</v>
      </c>
      <c r="T26" s="4">
        <v>0</v>
      </c>
      <c r="U26" s="4">
        <v>0</v>
      </c>
      <c r="V26" s="6">
        <f>IF(ISERROR(VLOOKUP($S$26,'TAR FIN'!$A$1:$O$100,15,0)),0,VLOOKUP($S$26,'TAR FIN'!$A$1:$O$100,15,0))</f>
        <v>37.01</v>
      </c>
      <c r="W26" s="6">
        <f>IF(ISERROR(VLOOKUP($T$26,'TAR FIN'!$A$1:$O$100,15,0)),0,VLOOKUP($T$26,'TAR FIN'!$A$1:$O$100,15,0))</f>
        <v>0</v>
      </c>
      <c r="X26" s="6">
        <f>IF(ISERROR(VLOOKUP($U$26,'TAR FIN'!$A$1:$O$100,15,0)),0,VLOOKUP($U$26,'TAR FIN'!$A$1:$O$100,15,0))</f>
        <v>0</v>
      </c>
      <c r="Y26" s="6">
        <f ca="1">('TUSD BE'!$AM$12+'TUSD BF'!$AM$12+'TUSD CVA'!$AM$12)*1</f>
        <v>36.177295232618533</v>
      </c>
      <c r="Z26" s="6">
        <f ca="1">('TUSD BE'!$AM$14+'TUSD BF'!$AM$14+'TUSD CVA'!$AM$14)*1</f>
        <v>49.78704102185678</v>
      </c>
      <c r="AA26" s="6"/>
      <c r="AB26" s="6">
        <f t="shared" si="0"/>
        <v>74044.465775085002</v>
      </c>
      <c r="AC26" s="6">
        <f t="shared" si="1"/>
        <v>0</v>
      </c>
      <c r="AD26" s="6">
        <f t="shared" ca="1" si="2"/>
        <v>72378.505773757599</v>
      </c>
      <c r="AE26" s="6">
        <f t="shared" ca="1" si="3"/>
        <v>0</v>
      </c>
      <c r="AF26" s="4" t="s">
        <v>912</v>
      </c>
    </row>
    <row r="27" spans="1:32" ht="11.25" customHeight="1" x14ac:dyDescent="0.25">
      <c r="A27" s="4" t="s">
        <v>21</v>
      </c>
      <c r="B27" s="4" t="s">
        <v>39</v>
      </c>
      <c r="C27" s="4" t="s">
        <v>40</v>
      </c>
      <c r="D27" s="4" t="s">
        <v>38</v>
      </c>
      <c r="E27" s="4" t="s">
        <v>25</v>
      </c>
      <c r="F27" s="4" t="s">
        <v>58</v>
      </c>
      <c r="G27" s="4" t="s">
        <v>25</v>
      </c>
      <c r="H27" s="4" t="s">
        <v>34</v>
      </c>
      <c r="I27" s="5">
        <v>44256</v>
      </c>
      <c r="J27" s="6">
        <v>3977</v>
      </c>
      <c r="K27" s="6">
        <v>2006.71692689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57</v>
      </c>
      <c r="R27" s="4">
        <v>0</v>
      </c>
      <c r="S27" s="4">
        <v>9</v>
      </c>
      <c r="T27" s="4">
        <v>0</v>
      </c>
      <c r="U27" s="4">
        <v>0</v>
      </c>
      <c r="V27" s="6">
        <f>IF(ISERROR(VLOOKUP($S$27,'TAR FIN'!$A$1:$O$100,15,0)),0,VLOOKUP($S$27,'TAR FIN'!$A$1:$O$100,15,0))</f>
        <v>37.01</v>
      </c>
      <c r="W27" s="6">
        <f>IF(ISERROR(VLOOKUP($T$27,'TAR FIN'!$A$1:$O$100,15,0)),0,VLOOKUP($T$27,'TAR FIN'!$A$1:$O$100,15,0))</f>
        <v>0</v>
      </c>
      <c r="X27" s="6">
        <f>IF(ISERROR(VLOOKUP($U$27,'TAR FIN'!$A$1:$O$100,15,0)),0,VLOOKUP($U$27,'TAR FIN'!$A$1:$O$100,15,0))</f>
        <v>0</v>
      </c>
      <c r="Y27" s="6">
        <f ca="1">('TUSD BE'!$AM$12+'TUSD BF'!$AM$12+'TUSD CVA'!$AM$12)*1</f>
        <v>36.177295232618533</v>
      </c>
      <c r="Z27" s="6">
        <f ca="1">('TUSD BE'!$AM$14+'TUSD BF'!$AM$14+'TUSD CVA'!$AM$14)*1</f>
        <v>49.78704102185678</v>
      </c>
      <c r="AA27" s="6"/>
      <c r="AB27" s="6">
        <f t="shared" si="0"/>
        <v>72920.176535801103</v>
      </c>
      <c r="AC27" s="6">
        <f t="shared" si="1"/>
        <v>0</v>
      </c>
      <c r="AD27" s="6">
        <f t="shared" ca="1" si="2"/>
        <v>71279.512427731403</v>
      </c>
      <c r="AE27" s="6">
        <f t="shared" ca="1" si="3"/>
        <v>0</v>
      </c>
      <c r="AF27" s="4" t="s">
        <v>912</v>
      </c>
    </row>
    <row r="28" spans="1:32" ht="11.25" customHeight="1" x14ac:dyDescent="0.25">
      <c r="A28" s="4" t="s">
        <v>21</v>
      </c>
      <c r="B28" s="4" t="s">
        <v>39</v>
      </c>
      <c r="C28" s="4" t="s">
        <v>40</v>
      </c>
      <c r="D28" s="4" t="s">
        <v>38</v>
      </c>
      <c r="E28" s="4" t="s">
        <v>25</v>
      </c>
      <c r="F28" s="4" t="s">
        <v>58</v>
      </c>
      <c r="G28" s="4" t="s">
        <v>25</v>
      </c>
      <c r="H28" s="4" t="s">
        <v>34</v>
      </c>
      <c r="I28" s="5">
        <v>44287</v>
      </c>
      <c r="J28" s="6">
        <v>3935</v>
      </c>
      <c r="K28" s="6">
        <v>1982.83064195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57</v>
      </c>
      <c r="R28" s="4">
        <v>0</v>
      </c>
      <c r="S28" s="4">
        <v>9</v>
      </c>
      <c r="T28" s="4">
        <v>0</v>
      </c>
      <c r="U28" s="4">
        <v>0</v>
      </c>
      <c r="V28" s="6">
        <f>IF(ISERROR(VLOOKUP($S$28,'TAR FIN'!$A$1:$O$100,15,0)),0,VLOOKUP($S$28,'TAR FIN'!$A$1:$O$100,15,0))</f>
        <v>37.01</v>
      </c>
      <c r="W28" s="6">
        <f>IF(ISERROR(VLOOKUP($T$28,'TAR FIN'!$A$1:$O$100,15,0)),0,VLOOKUP($T$28,'TAR FIN'!$A$1:$O$100,15,0))</f>
        <v>0</v>
      </c>
      <c r="X28" s="6">
        <f>IF(ISERROR(VLOOKUP($U$28,'TAR FIN'!$A$1:$O$100,15,0)),0,VLOOKUP($U$28,'TAR FIN'!$A$1:$O$100,15,0))</f>
        <v>0</v>
      </c>
      <c r="Y28" s="6">
        <f ca="1">('TUSD BE'!$AM$12+'TUSD BF'!$AM$12+'TUSD CVA'!$AM$12)*1</f>
        <v>36.177295232618533</v>
      </c>
      <c r="Z28" s="6">
        <f ca="1">('TUSD BE'!$AM$14+'TUSD BF'!$AM$14+'TUSD CVA'!$AM$14)*1</f>
        <v>49.78704102185678</v>
      </c>
      <c r="AA28" s="6"/>
      <c r="AB28" s="6">
        <f t="shared" si="0"/>
        <v>72249.787941430492</v>
      </c>
      <c r="AC28" s="6">
        <f t="shared" si="1"/>
        <v>0</v>
      </c>
      <c r="AD28" s="6">
        <f t="shared" ca="1" si="2"/>
        <v>70624.207210246255</v>
      </c>
      <c r="AE28" s="6">
        <f t="shared" ca="1" si="3"/>
        <v>0</v>
      </c>
      <c r="AF28" s="4" t="s">
        <v>912</v>
      </c>
    </row>
    <row r="29" spans="1:32" ht="11.25" customHeight="1" x14ac:dyDescent="0.25">
      <c r="A29" s="4" t="s">
        <v>21</v>
      </c>
      <c r="B29" s="4" t="s">
        <v>39</v>
      </c>
      <c r="C29" s="4" t="s">
        <v>40</v>
      </c>
      <c r="D29" s="4" t="s">
        <v>38</v>
      </c>
      <c r="E29" s="4" t="s">
        <v>25</v>
      </c>
      <c r="F29" s="4" t="s">
        <v>58</v>
      </c>
      <c r="G29" s="4" t="s">
        <v>25</v>
      </c>
      <c r="H29" s="4" t="s">
        <v>34</v>
      </c>
      <c r="I29" s="5">
        <v>44317</v>
      </c>
      <c r="J29" s="6">
        <v>3934</v>
      </c>
      <c r="K29" s="6">
        <v>2002.9792231399999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57</v>
      </c>
      <c r="R29" s="4">
        <v>0</v>
      </c>
      <c r="S29" s="4">
        <v>9</v>
      </c>
      <c r="T29" s="4">
        <v>0</v>
      </c>
      <c r="U29" s="4">
        <v>0</v>
      </c>
      <c r="V29" s="6">
        <f>IF(ISERROR(VLOOKUP($S$29,'TAR FIN'!$A$1:$O$100,15,0)),0,VLOOKUP($S$29,'TAR FIN'!$A$1:$O$100,15,0))</f>
        <v>37.01</v>
      </c>
      <c r="W29" s="6">
        <f>IF(ISERROR(VLOOKUP($T$29,'TAR FIN'!$A$1:$O$100,15,0)),0,VLOOKUP($T$29,'TAR FIN'!$A$1:$O$100,15,0))</f>
        <v>0</v>
      </c>
      <c r="X29" s="6">
        <f>IF(ISERROR(VLOOKUP($U$29,'TAR FIN'!$A$1:$O$100,15,0)),0,VLOOKUP($U$29,'TAR FIN'!$A$1:$O$100,15,0))</f>
        <v>0</v>
      </c>
      <c r="Y29" s="6">
        <f ca="1">('TUSD BE'!$AM$12+'TUSD BF'!$AM$12+'TUSD CVA'!$AM$12)*1</f>
        <v>36.177295232618533</v>
      </c>
      <c r="Z29" s="6">
        <f ca="1">('TUSD BE'!$AM$14+'TUSD BF'!$AM$14+'TUSD CVA'!$AM$14)*1</f>
        <v>49.78704102185678</v>
      </c>
      <c r="AA29" s="6"/>
      <c r="AB29" s="6">
        <f t="shared" si="0"/>
        <v>71467.078951588599</v>
      </c>
      <c r="AC29" s="6">
        <f t="shared" si="1"/>
        <v>0</v>
      </c>
      <c r="AD29" s="6">
        <f t="shared" ca="1" si="2"/>
        <v>69859.108744784622</v>
      </c>
      <c r="AE29" s="6">
        <f t="shared" ca="1" si="3"/>
        <v>0</v>
      </c>
      <c r="AF29" s="4" t="s">
        <v>912</v>
      </c>
    </row>
    <row r="30" spans="1:32" ht="11.25" customHeight="1" x14ac:dyDescent="0.25">
      <c r="A30" s="4" t="s">
        <v>21</v>
      </c>
      <c r="B30" s="4" t="s">
        <v>39</v>
      </c>
      <c r="C30" s="4" t="s">
        <v>40</v>
      </c>
      <c r="D30" s="4" t="s">
        <v>38</v>
      </c>
      <c r="E30" s="4" t="s">
        <v>25</v>
      </c>
      <c r="F30" s="4" t="s">
        <v>58</v>
      </c>
      <c r="G30" s="4" t="s">
        <v>25</v>
      </c>
      <c r="H30" s="4" t="s">
        <v>34</v>
      </c>
      <c r="I30" s="5">
        <v>44348</v>
      </c>
      <c r="J30" s="6">
        <v>3934</v>
      </c>
      <c r="K30" s="6">
        <v>1984.1832005799999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57</v>
      </c>
      <c r="R30" s="4">
        <v>0</v>
      </c>
      <c r="S30" s="4">
        <v>9</v>
      </c>
      <c r="T30" s="4">
        <v>0</v>
      </c>
      <c r="U30" s="4">
        <v>0</v>
      </c>
      <c r="V30" s="6">
        <f>IF(ISERROR(VLOOKUP($S$30,'TAR FIN'!$A$1:$O$100,15,0)),0,VLOOKUP($S$30,'TAR FIN'!$A$1:$O$100,15,0))</f>
        <v>37.01</v>
      </c>
      <c r="W30" s="6">
        <f>IF(ISERROR(VLOOKUP($T$30,'TAR FIN'!$A$1:$O$100,15,0)),0,VLOOKUP($T$30,'TAR FIN'!$A$1:$O$100,15,0))</f>
        <v>0</v>
      </c>
      <c r="X30" s="6">
        <f>IF(ISERROR(VLOOKUP($U$30,'TAR FIN'!$A$1:$O$100,15,0)),0,VLOOKUP($U$30,'TAR FIN'!$A$1:$O$100,15,0))</f>
        <v>0</v>
      </c>
      <c r="Y30" s="6">
        <f ca="1">('TUSD BE'!$AM$12+'TUSD BF'!$AM$12+'TUSD CVA'!$AM$12)*1</f>
        <v>36.177295232618533</v>
      </c>
      <c r="Z30" s="6">
        <f ca="1">('TUSD BE'!$AM$14+'TUSD BF'!$AM$14+'TUSD CVA'!$AM$14)*1</f>
        <v>49.78704102185678</v>
      </c>
      <c r="AA30" s="6"/>
      <c r="AB30" s="6">
        <f t="shared" si="0"/>
        <v>72162.719746534203</v>
      </c>
      <c r="AC30" s="6">
        <f t="shared" si="1"/>
        <v>0</v>
      </c>
      <c r="AD30" s="6">
        <f t="shared" ca="1" si="2"/>
        <v>70539.0980021367</v>
      </c>
      <c r="AE30" s="6">
        <f t="shared" ca="1" si="3"/>
        <v>0</v>
      </c>
      <c r="AF30" s="4" t="s">
        <v>912</v>
      </c>
    </row>
    <row r="31" spans="1:32" ht="11.25" customHeight="1" x14ac:dyDescent="0.25">
      <c r="A31" s="4" t="s">
        <v>21</v>
      </c>
      <c r="B31" s="4" t="s">
        <v>39</v>
      </c>
      <c r="C31" s="4" t="s">
        <v>40</v>
      </c>
      <c r="D31" s="4" t="s">
        <v>38</v>
      </c>
      <c r="E31" s="4" t="s">
        <v>25</v>
      </c>
      <c r="F31" s="4" t="s">
        <v>58</v>
      </c>
      <c r="G31" s="4" t="s">
        <v>25</v>
      </c>
      <c r="H31" s="4" t="s">
        <v>34</v>
      </c>
      <c r="I31" s="5">
        <v>44378</v>
      </c>
      <c r="J31" s="6">
        <v>3934</v>
      </c>
      <c r="K31" s="6">
        <v>1979.7195661600001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57</v>
      </c>
      <c r="R31" s="4">
        <v>0</v>
      </c>
      <c r="S31" s="4">
        <v>9</v>
      </c>
      <c r="T31" s="4">
        <v>0</v>
      </c>
      <c r="U31" s="4">
        <v>0</v>
      </c>
      <c r="V31" s="6">
        <f>IF(ISERROR(VLOOKUP($S$31,'TAR FIN'!$A$1:$O$100,15,0)),0,VLOOKUP($S$31,'TAR FIN'!$A$1:$O$100,15,0))</f>
        <v>37.01</v>
      </c>
      <c r="W31" s="6">
        <f>IF(ISERROR(VLOOKUP($T$31,'TAR FIN'!$A$1:$O$100,15,0)),0,VLOOKUP($T$31,'TAR FIN'!$A$1:$O$100,15,0))</f>
        <v>0</v>
      </c>
      <c r="X31" s="6">
        <f>IF(ISERROR(VLOOKUP($U$31,'TAR FIN'!$A$1:$O$100,15,0)),0,VLOOKUP($U$31,'TAR FIN'!$A$1:$O$100,15,0))</f>
        <v>0</v>
      </c>
      <c r="Y31" s="6">
        <f ca="1">('TUSD BE'!$AM$12+'TUSD BF'!$AM$12+'TUSD CVA'!$AM$12)*1</f>
        <v>36.177295232618533</v>
      </c>
      <c r="Z31" s="6">
        <f ca="1">('TUSD BE'!$AM$14+'TUSD BF'!$AM$14+'TUSD CVA'!$AM$14)*1</f>
        <v>49.78704102185678</v>
      </c>
      <c r="AA31" s="6"/>
      <c r="AB31" s="6">
        <f t="shared" si="0"/>
        <v>72327.918856418386</v>
      </c>
      <c r="AC31" s="6">
        <f t="shared" si="1"/>
        <v>0</v>
      </c>
      <c r="AD31" s="6">
        <f t="shared" ca="1" si="2"/>
        <v>70700.580222359509</v>
      </c>
      <c r="AE31" s="6">
        <f t="shared" ca="1" si="3"/>
        <v>0</v>
      </c>
      <c r="AF31" s="4" t="s">
        <v>912</v>
      </c>
    </row>
    <row r="32" spans="1:32" ht="11.25" customHeight="1" x14ac:dyDescent="0.25">
      <c r="A32" s="4" t="s">
        <v>21</v>
      </c>
      <c r="B32" s="4" t="s">
        <v>39</v>
      </c>
      <c r="C32" s="4" t="s">
        <v>40</v>
      </c>
      <c r="D32" s="4" t="s">
        <v>38</v>
      </c>
      <c r="E32" s="4" t="s">
        <v>25</v>
      </c>
      <c r="F32" s="4" t="s">
        <v>58</v>
      </c>
      <c r="G32" s="4" t="s">
        <v>25</v>
      </c>
      <c r="H32" s="4" t="s">
        <v>34</v>
      </c>
      <c r="I32" s="5">
        <v>44409</v>
      </c>
      <c r="J32" s="6">
        <v>3934</v>
      </c>
      <c r="K32" s="6">
        <v>1986.3820705400001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57</v>
      </c>
      <c r="R32" s="4">
        <v>0</v>
      </c>
      <c r="S32" s="4">
        <v>9</v>
      </c>
      <c r="T32" s="4">
        <v>0</v>
      </c>
      <c r="U32" s="4">
        <v>0</v>
      </c>
      <c r="V32" s="6">
        <f>IF(ISERROR(VLOOKUP($S$32,'TAR FIN'!$A$1:$O$100,15,0)),0,VLOOKUP($S$32,'TAR FIN'!$A$1:$O$100,15,0))</f>
        <v>37.01</v>
      </c>
      <c r="W32" s="6">
        <f>IF(ISERROR(VLOOKUP($T$32,'TAR FIN'!$A$1:$O$100,15,0)),0,VLOOKUP($T$32,'TAR FIN'!$A$1:$O$100,15,0))</f>
        <v>0</v>
      </c>
      <c r="X32" s="6">
        <f>IF(ISERROR(VLOOKUP($U$32,'TAR FIN'!$A$1:$O$100,15,0)),0,VLOOKUP($U$32,'TAR FIN'!$A$1:$O$100,15,0))</f>
        <v>0</v>
      </c>
      <c r="Y32" s="6">
        <f ca="1">('TUSD BE'!$AM$12+'TUSD BF'!$AM$12+'TUSD CVA'!$AM$12)*1</f>
        <v>36.177295232618533</v>
      </c>
      <c r="Z32" s="6">
        <f ca="1">('TUSD BE'!$AM$14+'TUSD BF'!$AM$14+'TUSD CVA'!$AM$14)*1</f>
        <v>49.78704102185678</v>
      </c>
      <c r="AA32" s="6"/>
      <c r="AB32" s="6">
        <f t="shared" si="0"/>
        <v>72081.339569314587</v>
      </c>
      <c r="AC32" s="6">
        <f t="shared" si="1"/>
        <v>0</v>
      </c>
      <c r="AD32" s="6">
        <f t="shared" ca="1" si="2"/>
        <v>70459.548834415633</v>
      </c>
      <c r="AE32" s="6">
        <f t="shared" ca="1" si="3"/>
        <v>0</v>
      </c>
      <c r="AF32" s="4" t="s">
        <v>912</v>
      </c>
    </row>
    <row r="33" spans="1:32" ht="11.25" customHeight="1" x14ac:dyDescent="0.25">
      <c r="A33" s="4" t="s">
        <v>21</v>
      </c>
      <c r="B33" s="4" t="s">
        <v>39</v>
      </c>
      <c r="C33" s="4" t="s">
        <v>40</v>
      </c>
      <c r="D33" s="4" t="s">
        <v>38</v>
      </c>
      <c r="E33" s="4" t="s">
        <v>25</v>
      </c>
      <c r="F33" s="4" t="s">
        <v>58</v>
      </c>
      <c r="G33" s="4" t="s">
        <v>25</v>
      </c>
      <c r="H33" s="4" t="s">
        <v>34</v>
      </c>
      <c r="I33" s="5">
        <v>44440</v>
      </c>
      <c r="J33" s="6">
        <v>3511</v>
      </c>
      <c r="K33" s="6">
        <v>1774.8026704700001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57</v>
      </c>
      <c r="R33" s="4">
        <v>0</v>
      </c>
      <c r="S33" s="4">
        <v>9</v>
      </c>
      <c r="T33" s="4">
        <v>0</v>
      </c>
      <c r="U33" s="4">
        <v>0</v>
      </c>
      <c r="V33" s="6">
        <f>IF(ISERROR(VLOOKUP($S$33,'TAR FIN'!$A$1:$O$100,15,0)),0,VLOOKUP($S$33,'TAR FIN'!$A$1:$O$100,15,0))</f>
        <v>37.01</v>
      </c>
      <c r="W33" s="6">
        <f>IF(ISERROR(VLOOKUP($T$33,'TAR FIN'!$A$1:$O$100,15,0)),0,VLOOKUP($T$33,'TAR FIN'!$A$1:$O$100,15,0))</f>
        <v>0</v>
      </c>
      <c r="X33" s="6">
        <f>IF(ISERROR(VLOOKUP($U$33,'TAR FIN'!$A$1:$O$100,15,0)),0,VLOOKUP($U$33,'TAR FIN'!$A$1:$O$100,15,0))</f>
        <v>0</v>
      </c>
      <c r="Y33" s="6">
        <f ca="1">('TUSD BE'!$AM$12+'TUSD BF'!$AM$12+'TUSD CVA'!$AM$12)*1</f>
        <v>36.177295232618533</v>
      </c>
      <c r="Z33" s="6">
        <f ca="1">('TUSD BE'!$AM$14+'TUSD BF'!$AM$14+'TUSD CVA'!$AM$14)*1</f>
        <v>49.78704102185678</v>
      </c>
      <c r="AA33" s="6"/>
      <c r="AB33" s="6">
        <f t="shared" si="0"/>
        <v>64256.663165905295</v>
      </c>
      <c r="AC33" s="6">
        <f t="shared" si="1"/>
        <v>0</v>
      </c>
      <c r="AD33" s="6">
        <f t="shared" ca="1" si="2"/>
        <v>62810.923372490695</v>
      </c>
      <c r="AE33" s="6">
        <f t="shared" ca="1" si="3"/>
        <v>0</v>
      </c>
      <c r="AF33" s="4" t="s">
        <v>912</v>
      </c>
    </row>
    <row r="34" spans="1:32" ht="11.25" customHeight="1" x14ac:dyDescent="0.25">
      <c r="A34" s="4" t="s">
        <v>21</v>
      </c>
      <c r="B34" s="4" t="s">
        <v>39</v>
      </c>
      <c r="C34" s="4" t="s">
        <v>40</v>
      </c>
      <c r="D34" s="4" t="s">
        <v>38</v>
      </c>
      <c r="E34" s="4" t="s">
        <v>25</v>
      </c>
      <c r="F34" s="4" t="s">
        <v>58</v>
      </c>
      <c r="G34" s="4" t="s">
        <v>25</v>
      </c>
      <c r="H34" s="4" t="s">
        <v>34</v>
      </c>
      <c r="I34" s="5">
        <v>44470</v>
      </c>
      <c r="J34" s="6">
        <v>3680</v>
      </c>
      <c r="K34" s="6">
        <v>1879.7369344000001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57</v>
      </c>
      <c r="R34" s="4">
        <v>0</v>
      </c>
      <c r="S34" s="4">
        <v>9</v>
      </c>
      <c r="T34" s="4">
        <v>0</v>
      </c>
      <c r="U34" s="4">
        <v>0</v>
      </c>
      <c r="V34" s="6">
        <f>IF(ISERROR(VLOOKUP($S$34,'TAR FIN'!$A$1:$O$100,15,0)),0,VLOOKUP($S$34,'TAR FIN'!$A$1:$O$100,15,0))</f>
        <v>37.01</v>
      </c>
      <c r="W34" s="6">
        <f>IF(ISERROR(VLOOKUP($T$34,'TAR FIN'!$A$1:$O$100,15,0)),0,VLOOKUP($T$34,'TAR FIN'!$A$1:$O$100,15,0))</f>
        <v>0</v>
      </c>
      <c r="X34" s="6">
        <f>IF(ISERROR(VLOOKUP($U$34,'TAR FIN'!$A$1:$O$100,15,0)),0,VLOOKUP($U$34,'TAR FIN'!$A$1:$O$100,15,0))</f>
        <v>0</v>
      </c>
      <c r="Y34" s="6">
        <f ca="1">('TUSD BE'!$AM$12+'TUSD BF'!$AM$12+'TUSD CVA'!$AM$12)*1</f>
        <v>36.177295232618533</v>
      </c>
      <c r="Z34" s="6">
        <f ca="1">('TUSD BE'!$AM$14+'TUSD BF'!$AM$14+'TUSD CVA'!$AM$14)*1</f>
        <v>49.78704102185678</v>
      </c>
      <c r="AA34" s="6"/>
      <c r="AB34" s="6">
        <f t="shared" si="0"/>
        <v>66627.736057855989</v>
      </c>
      <c r="AC34" s="6">
        <f t="shared" ref="AC34:AC65" si="6">(L34-M34)*W34+(N34-O34)*X34</f>
        <v>0</v>
      </c>
      <c r="AD34" s="6">
        <f t="shared" ca="1" si="2"/>
        <v>65128.6484205901</v>
      </c>
      <c r="AE34" s="6">
        <f t="shared" ref="AE34:AE65" ca="1" si="7">(L34-M34)*Z34+(N34-O34)*AA34</f>
        <v>0</v>
      </c>
      <c r="AF34" s="4" t="s">
        <v>912</v>
      </c>
    </row>
    <row r="35" spans="1:32" ht="11.25" customHeight="1" x14ac:dyDescent="0.25">
      <c r="A35" s="4" t="s">
        <v>21</v>
      </c>
      <c r="B35" s="4" t="s">
        <v>39</v>
      </c>
      <c r="C35" s="4" t="s">
        <v>40</v>
      </c>
      <c r="D35" s="4" t="s">
        <v>38</v>
      </c>
      <c r="E35" s="4" t="s">
        <v>25</v>
      </c>
      <c r="F35" s="4" t="s">
        <v>58</v>
      </c>
      <c r="G35" s="4" t="s">
        <v>25</v>
      </c>
      <c r="H35" s="4" t="s">
        <v>34</v>
      </c>
      <c r="I35" s="5">
        <v>44501</v>
      </c>
      <c r="J35" s="6">
        <v>3698</v>
      </c>
      <c r="K35" s="6">
        <v>1870.6379964600001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57</v>
      </c>
      <c r="R35" s="4">
        <v>0</v>
      </c>
      <c r="S35" s="4">
        <v>9</v>
      </c>
      <c r="T35" s="4">
        <v>0</v>
      </c>
      <c r="U35" s="4">
        <v>0</v>
      </c>
      <c r="V35" s="6">
        <f>IF(ISERROR(VLOOKUP($S$35,'TAR FIN'!$A$1:$O$100,15,0)),0,VLOOKUP($S$35,'TAR FIN'!$A$1:$O$100,15,0))</f>
        <v>37.01</v>
      </c>
      <c r="W35" s="6">
        <f>IF(ISERROR(VLOOKUP($T$35,'TAR FIN'!$A$1:$O$100,15,0)),0,VLOOKUP($T$35,'TAR FIN'!$A$1:$O$100,15,0))</f>
        <v>0</v>
      </c>
      <c r="X35" s="6">
        <f>IF(ISERROR(VLOOKUP($U$35,'TAR FIN'!$A$1:$O$100,15,0)),0,VLOOKUP($U$35,'TAR FIN'!$A$1:$O$100,15,0))</f>
        <v>0</v>
      </c>
      <c r="Y35" s="6">
        <f ca="1">('TUSD BE'!$AM$12+'TUSD BF'!$AM$12+'TUSD CVA'!$AM$12)*1</f>
        <v>36.177295232618533</v>
      </c>
      <c r="Z35" s="6">
        <f ca="1">('TUSD BE'!$AM$14+'TUSD BF'!$AM$14+'TUSD CVA'!$AM$14)*1</f>
        <v>49.78704102185678</v>
      </c>
      <c r="AA35" s="6"/>
      <c r="AB35" s="6">
        <f t="shared" si="0"/>
        <v>67630.667751015397</v>
      </c>
      <c r="AC35" s="6">
        <f t="shared" si="6"/>
        <v>0</v>
      </c>
      <c r="AD35" s="6">
        <f t="shared" ca="1" si="2"/>
        <v>66109.014698935891</v>
      </c>
      <c r="AE35" s="6">
        <f t="shared" ca="1" si="7"/>
        <v>0</v>
      </c>
      <c r="AF35" s="4" t="s">
        <v>912</v>
      </c>
    </row>
    <row r="36" spans="1:32" ht="11.25" customHeight="1" x14ac:dyDescent="0.25">
      <c r="A36" s="4" t="s">
        <v>21</v>
      </c>
      <c r="B36" s="4" t="s">
        <v>39</v>
      </c>
      <c r="C36" s="4" t="s">
        <v>40</v>
      </c>
      <c r="D36" s="4" t="s">
        <v>38</v>
      </c>
      <c r="E36" s="4" t="s">
        <v>25</v>
      </c>
      <c r="F36" s="4" t="s">
        <v>58</v>
      </c>
      <c r="G36" s="4" t="s">
        <v>25</v>
      </c>
      <c r="H36" s="4" t="s">
        <v>34</v>
      </c>
      <c r="I36" s="5">
        <v>44531</v>
      </c>
      <c r="J36" s="6">
        <v>3726</v>
      </c>
      <c r="K36" s="6">
        <v>1896.8934472200001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57</v>
      </c>
      <c r="R36" s="4">
        <v>0</v>
      </c>
      <c r="S36" s="4">
        <v>9</v>
      </c>
      <c r="T36" s="4">
        <v>0</v>
      </c>
      <c r="U36" s="4">
        <v>0</v>
      </c>
      <c r="V36" s="6">
        <f>IF(ISERROR(VLOOKUP($S$36,'TAR FIN'!$A$1:$O$100,15,0)),0,VLOOKUP($S$36,'TAR FIN'!$A$1:$O$100,15,0))</f>
        <v>37.01</v>
      </c>
      <c r="W36" s="6">
        <f>IF(ISERROR(VLOOKUP($T$36,'TAR FIN'!$A$1:$O$100,15,0)),0,VLOOKUP($T$36,'TAR FIN'!$A$1:$O$100,15,0))</f>
        <v>0</v>
      </c>
      <c r="X36" s="6">
        <f>IF(ISERROR(VLOOKUP($U$36,'TAR FIN'!$A$1:$O$100,15,0)),0,VLOOKUP($U$36,'TAR FIN'!$A$1:$O$100,15,0))</f>
        <v>0</v>
      </c>
      <c r="Y36" s="6">
        <f ca="1">('TUSD BE'!$AM$12+'TUSD BF'!$AM$12+'TUSD CVA'!$AM$12)*1</f>
        <v>36.177295232618533</v>
      </c>
      <c r="Z36" s="6">
        <f ca="1">('TUSD BE'!$AM$14+'TUSD BF'!$AM$14+'TUSD CVA'!$AM$14)*1</f>
        <v>49.78704102185678</v>
      </c>
      <c r="AA36" s="6"/>
      <c r="AB36" s="6">
        <f t="shared" si="0"/>
        <v>67695.233518387788</v>
      </c>
      <c r="AC36" s="6">
        <f t="shared" si="6"/>
        <v>0</v>
      </c>
      <c r="AD36" s="6">
        <f t="shared" ca="1" si="2"/>
        <v>66172.127771839208</v>
      </c>
      <c r="AE36" s="6">
        <f t="shared" ca="1" si="7"/>
        <v>0</v>
      </c>
      <c r="AF36" s="4" t="s">
        <v>912</v>
      </c>
    </row>
    <row r="37" spans="1:32" ht="11.25" customHeight="1" x14ac:dyDescent="0.25">
      <c r="A37" s="4" t="s">
        <v>55</v>
      </c>
      <c r="B37" s="4" t="s">
        <v>39</v>
      </c>
      <c r="C37" s="4" t="s">
        <v>40</v>
      </c>
      <c r="D37" s="4" t="s">
        <v>38</v>
      </c>
      <c r="E37" s="4" t="s">
        <v>25</v>
      </c>
      <c r="F37" s="4" t="s">
        <v>58</v>
      </c>
      <c r="G37" s="4" t="s">
        <v>25</v>
      </c>
      <c r="H37" s="4" t="s">
        <v>34</v>
      </c>
      <c r="I37" s="5">
        <v>44562</v>
      </c>
      <c r="J37" s="6">
        <v>3726</v>
      </c>
      <c r="K37" s="6">
        <v>1896.8934472200001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57</v>
      </c>
      <c r="R37" s="4">
        <v>0</v>
      </c>
      <c r="S37" s="4">
        <v>9</v>
      </c>
      <c r="T37" s="4">
        <v>0</v>
      </c>
      <c r="U37" s="4">
        <v>0</v>
      </c>
      <c r="V37" s="6">
        <f>IF(ISERROR(VLOOKUP($S$37,'TAR FIN'!$A$1:$O$100,15,0)),0,VLOOKUP($S$37,'TAR FIN'!$A$1:$O$100,15,0))</f>
        <v>37.01</v>
      </c>
      <c r="W37" s="6">
        <f>IF(ISERROR(VLOOKUP($T$37,'TAR FIN'!$A$1:$O$100,15,0)),0,VLOOKUP($T$37,'TAR FIN'!$A$1:$O$100,15,0))</f>
        <v>0</v>
      </c>
      <c r="X37" s="6">
        <f>IF(ISERROR(VLOOKUP($U$37,'TAR FIN'!$A$1:$O$100,15,0)),0,VLOOKUP($U$37,'TAR FIN'!$A$1:$O$100,15,0))</f>
        <v>0</v>
      </c>
      <c r="Y37" s="6">
        <f ca="1">('TUSD BE'!$AM$12+'TUSD BF'!$AM$12+'TUSD CVA'!$AM$12)*1</f>
        <v>36.177295232618533</v>
      </c>
      <c r="Z37" s="6">
        <f ca="1">('TUSD BE'!$AM$14+'TUSD BF'!$AM$14+'TUSD CVA'!$AM$14)*1</f>
        <v>49.78704102185678</v>
      </c>
      <c r="AA37" s="6"/>
      <c r="AB37" s="6">
        <f t="shared" si="0"/>
        <v>67695.233518387788</v>
      </c>
      <c r="AC37" s="6">
        <f t="shared" si="6"/>
        <v>0</v>
      </c>
      <c r="AD37" s="6">
        <f t="shared" ca="1" si="2"/>
        <v>66172.127771839208</v>
      </c>
      <c r="AE37" s="6">
        <f t="shared" ca="1" si="7"/>
        <v>0</v>
      </c>
      <c r="AF37" s="4" t="s">
        <v>912</v>
      </c>
    </row>
    <row r="38" spans="1:32" ht="11.25" customHeight="1" x14ac:dyDescent="0.25">
      <c r="A38" s="4" t="s">
        <v>21</v>
      </c>
      <c r="B38" s="4" t="s">
        <v>39</v>
      </c>
      <c r="C38" s="4" t="s">
        <v>40</v>
      </c>
      <c r="D38" s="4" t="s">
        <v>49</v>
      </c>
      <c r="E38" s="4" t="s">
        <v>50</v>
      </c>
      <c r="F38" s="4" t="s">
        <v>25</v>
      </c>
      <c r="G38" s="4" t="s">
        <v>25</v>
      </c>
      <c r="H38" s="4" t="s">
        <v>35</v>
      </c>
      <c r="I38" s="5">
        <v>44228</v>
      </c>
      <c r="J38" s="6">
        <v>1414</v>
      </c>
      <c r="K38" s="42">
        <v>1414</v>
      </c>
      <c r="L38" s="6">
        <v>678.25300000000004</v>
      </c>
      <c r="M38" s="43">
        <v>678.25300000000004</v>
      </c>
      <c r="N38" s="6">
        <v>678.25300000000004</v>
      </c>
      <c r="O38" s="43">
        <v>678.25300000000004</v>
      </c>
      <c r="P38" s="6">
        <v>0</v>
      </c>
      <c r="Q38" s="4" t="s">
        <v>26</v>
      </c>
      <c r="R38" s="4">
        <v>0</v>
      </c>
      <c r="S38" s="4">
        <v>10</v>
      </c>
      <c r="T38" s="4">
        <v>11</v>
      </c>
      <c r="U38" s="4">
        <v>68</v>
      </c>
      <c r="V38" s="43">
        <f>IF(ISERROR(VLOOKUP($S$38,'TAR FIN'!$A$1:$O$100,15,0)),0,VLOOKUP($S$38,'TAR FIN'!$A$1:$O$100,15,0))*(1-0.06)</f>
        <v>17.371199999999998</v>
      </c>
      <c r="W38" s="43">
        <f>IF(ISERROR(VLOOKUP($T$38,'TAR FIN'!$A$1:$O$100,15,0)),0,VLOOKUP($T$38,'TAR FIN'!$A$1:$O$100,15,0))*(1-0.06)</f>
        <v>41.030999999999999</v>
      </c>
      <c r="X38" s="43">
        <f>IF(ISERROR(VLOOKUP($U$38,'TAR FIN'!$A$1:$O$100,15,0)),0,VLOOKUP($U$38,'TAR FIN'!$A$1:$O$100,15,0))*(1-0.06)</f>
        <v>205.88819999999998</v>
      </c>
      <c r="Y38" s="43">
        <f ca="1">('TUSD BE'!$AM$13+'TUSD BF'!$AM$13+'TUSD CVA'!$AM$13)*1*(1-0.03)</f>
        <v>17.321137290425</v>
      </c>
      <c r="Z38" s="43">
        <f ca="1">('TUSD BE'!$AM$14+'TUSD BF'!$AM$14+'TUSD CVA'!$AM$14)*1*(1-0.03)</f>
        <v>48.293429791201078</v>
      </c>
      <c r="AA38" s="43">
        <f>('TE BE'!$AA$8+'TE BF'!$AA$8+'TE CVA'!$AA$8)*1*(1-0.03)</f>
        <v>231.39425553651549</v>
      </c>
      <c r="AB38" s="43">
        <f>(SUBSIDIO!$J$38*SUBSIDIO!$V$38)*(0.06)/(1-0.06)</f>
        <v>1567.8431999999998</v>
      </c>
      <c r="AC38" s="43">
        <f>((SUBSIDIO!$L$38*SUBSIDIO!$W$38)+(SUBSIDIO!$N$38*SUBSIDIO!$X$38))*(0.06)/(1-0.06)</f>
        <v>10689.809882400001</v>
      </c>
      <c r="AD38" s="43">
        <f ca="1">(SUBSIDIO!$J$38*SUBSIDIO!$Y$38)*(0.03)/(1-0.03)</f>
        <v>757.48726171116334</v>
      </c>
      <c r="AE38" s="43">
        <f ca="1">((SUBSIDIO!$L$38*SUBSIDIO!$Z$38)+(SUBSIDIO!$N$38*SUBSIDIO!$AA$38))*(0.03)/(1-0.03)</f>
        <v>5866.9797413375181</v>
      </c>
      <c r="AF38" s="4" t="s">
        <v>913</v>
      </c>
    </row>
    <row r="39" spans="1:32" ht="11.25" customHeight="1" x14ac:dyDescent="0.25">
      <c r="A39" s="4" t="s">
        <v>21</v>
      </c>
      <c r="B39" s="4" t="s">
        <v>39</v>
      </c>
      <c r="C39" s="4" t="s">
        <v>40</v>
      </c>
      <c r="D39" s="4" t="s">
        <v>49</v>
      </c>
      <c r="E39" s="4" t="s">
        <v>50</v>
      </c>
      <c r="F39" s="4" t="s">
        <v>25</v>
      </c>
      <c r="G39" s="4" t="s">
        <v>25</v>
      </c>
      <c r="H39" s="4" t="s">
        <v>35</v>
      </c>
      <c r="I39" s="5">
        <v>44256</v>
      </c>
      <c r="J39" s="6">
        <v>1427</v>
      </c>
      <c r="K39" s="42">
        <v>1427</v>
      </c>
      <c r="L39" s="6">
        <v>716.32799999999997</v>
      </c>
      <c r="M39" s="43">
        <v>716.32799999999997</v>
      </c>
      <c r="N39" s="6">
        <v>716.32799999999997</v>
      </c>
      <c r="O39" s="43">
        <v>716.32799999999997</v>
      </c>
      <c r="P39" s="6">
        <v>0</v>
      </c>
      <c r="Q39" s="4" t="s">
        <v>26</v>
      </c>
      <c r="R39" s="4">
        <v>0</v>
      </c>
      <c r="S39" s="4">
        <v>10</v>
      </c>
      <c r="T39" s="4">
        <v>11</v>
      </c>
      <c r="U39" s="4">
        <v>68</v>
      </c>
      <c r="V39" s="43">
        <f>IF(ISERROR(VLOOKUP($S$39,'TAR FIN'!$A$1:$O$100,15,0)),0,VLOOKUP($S$39,'TAR FIN'!$A$1:$O$100,15,0))*(1-0.06)</f>
        <v>17.371199999999998</v>
      </c>
      <c r="W39" s="43">
        <f>IF(ISERROR(VLOOKUP($T$39,'TAR FIN'!$A$1:$O$100,15,0)),0,VLOOKUP($T$39,'TAR FIN'!$A$1:$O$100,15,0))*(1-0.06)</f>
        <v>41.030999999999999</v>
      </c>
      <c r="X39" s="43">
        <f>IF(ISERROR(VLOOKUP($U$39,'TAR FIN'!$A$1:$O$100,15,0)),0,VLOOKUP($U$39,'TAR FIN'!$A$1:$O$100,15,0))*(1-0.06)</f>
        <v>205.88819999999998</v>
      </c>
      <c r="Y39" s="43">
        <f ca="1">('TUSD BE'!$AM$13+'TUSD BF'!$AM$13+'TUSD CVA'!$AM$13)*1*(1-0.03)</f>
        <v>17.321137290425</v>
      </c>
      <c r="Z39" s="43">
        <f ca="1">('TUSD BE'!$AM$14+'TUSD BF'!$AM$14+'TUSD CVA'!$AM$14)*1*(1-0.03)</f>
        <v>48.293429791201078</v>
      </c>
      <c r="AA39" s="43">
        <f>('TE BE'!$AA$8+'TE BF'!$AA$8+'TE CVA'!$AA$8)*1*(1-0.03)</f>
        <v>231.39425553651549</v>
      </c>
      <c r="AB39" s="43">
        <f>(SUBSIDIO!$J$39*SUBSIDIO!$V$39)*(0.06)/(1-0.06)</f>
        <v>1582.2575999999999</v>
      </c>
      <c r="AC39" s="43">
        <f>((SUBSIDIO!$L$39*SUBSIDIO!$W$39)+(SUBSIDIO!$N$39*SUBSIDIO!$X$39))*(0.06)/(1-0.06)</f>
        <v>11289.902342399999</v>
      </c>
      <c r="AD39" s="43">
        <f ca="1">(SUBSIDIO!$J$39*SUBSIDIO!$Y$39)*(0.03)/(1-0.03)</f>
        <v>764.45143031246835</v>
      </c>
      <c r="AE39" s="43">
        <f ca="1">((SUBSIDIO!$L$39*SUBSIDIO!$Z$39)+(SUBSIDIO!$N$39*SUBSIDIO!$AA$39))*(0.03)/(1-0.03)</f>
        <v>6196.3336161473972</v>
      </c>
      <c r="AF39" s="4" t="s">
        <v>913</v>
      </c>
    </row>
    <row r="40" spans="1:32" ht="11.25" customHeight="1" x14ac:dyDescent="0.25">
      <c r="A40" s="4" t="s">
        <v>21</v>
      </c>
      <c r="B40" s="4" t="s">
        <v>39</v>
      </c>
      <c r="C40" s="4" t="s">
        <v>40</v>
      </c>
      <c r="D40" s="4" t="s">
        <v>49</v>
      </c>
      <c r="E40" s="4" t="s">
        <v>50</v>
      </c>
      <c r="F40" s="4" t="s">
        <v>25</v>
      </c>
      <c r="G40" s="4" t="s">
        <v>25</v>
      </c>
      <c r="H40" s="4" t="s">
        <v>35</v>
      </c>
      <c r="I40" s="5">
        <v>44287</v>
      </c>
      <c r="J40" s="6">
        <v>1426</v>
      </c>
      <c r="K40" s="42">
        <v>1426</v>
      </c>
      <c r="L40" s="6">
        <v>698.07299999999998</v>
      </c>
      <c r="M40" s="43">
        <v>698.07299999999998</v>
      </c>
      <c r="N40" s="6">
        <v>698.07299999999998</v>
      </c>
      <c r="O40" s="43">
        <v>698.07299999999998</v>
      </c>
      <c r="P40" s="6">
        <v>0</v>
      </c>
      <c r="Q40" s="4" t="s">
        <v>26</v>
      </c>
      <c r="R40" s="4">
        <v>0</v>
      </c>
      <c r="S40" s="4">
        <v>10</v>
      </c>
      <c r="T40" s="4">
        <v>11</v>
      </c>
      <c r="U40" s="4">
        <v>68</v>
      </c>
      <c r="V40" s="43">
        <f>IF(ISERROR(VLOOKUP($S$40,'TAR FIN'!$A$1:$O$100,15,0)),0,VLOOKUP($S$40,'TAR FIN'!$A$1:$O$100,15,0))*(1-0.06)</f>
        <v>17.371199999999998</v>
      </c>
      <c r="W40" s="43">
        <f>IF(ISERROR(VLOOKUP($T$40,'TAR FIN'!$A$1:$O$100,15,0)),0,VLOOKUP($T$40,'TAR FIN'!$A$1:$O$100,15,0))*(1-0.06)</f>
        <v>41.030999999999999</v>
      </c>
      <c r="X40" s="43">
        <f>IF(ISERROR(VLOOKUP($U$40,'TAR FIN'!$A$1:$O$100,15,0)),0,VLOOKUP($U$40,'TAR FIN'!$A$1:$O$100,15,0))*(1-0.06)</f>
        <v>205.88819999999998</v>
      </c>
      <c r="Y40" s="43">
        <f ca="1">('TUSD BE'!$AM$13+'TUSD BF'!$AM$13+'TUSD CVA'!$AM$13)*1*(1-0.03)</f>
        <v>17.321137290425</v>
      </c>
      <c r="Z40" s="43">
        <f ca="1">('TUSD BE'!$AM$14+'TUSD BF'!$AM$14+'TUSD CVA'!$AM$14)*1*(1-0.03)</f>
        <v>48.293429791201078</v>
      </c>
      <c r="AA40" s="43">
        <f>('TE BE'!$AA$8+'TE BF'!$AA$8+'TE CVA'!$AA$8)*1*(1-0.03)</f>
        <v>231.39425553651549</v>
      </c>
      <c r="AB40" s="43">
        <f>(SUBSIDIO!$J$40*SUBSIDIO!$V$40)*(0.06)/(1-0.06)</f>
        <v>1581.1487999999999</v>
      </c>
      <c r="AC40" s="43">
        <f>((SUBSIDIO!$L$40*SUBSIDIO!$W$40)+(SUBSIDIO!$N$40*SUBSIDIO!$X$40))*(0.06)/(1-0.06)</f>
        <v>11002.188938399999</v>
      </c>
      <c r="AD40" s="43">
        <f ca="1">(SUBSIDIO!$J$40*SUBSIDIO!$Y$40)*(0.03)/(1-0.03)</f>
        <v>763.91572503544478</v>
      </c>
      <c r="AE40" s="43">
        <f ca="1">((SUBSIDIO!$L$40*SUBSIDIO!$Z$40)+(SUBSIDIO!$N$40*SUBSIDIO!$AA$40))*(0.03)/(1-0.03)</f>
        <v>6038.4254090652084</v>
      </c>
      <c r="AF40" s="4" t="s">
        <v>913</v>
      </c>
    </row>
    <row r="41" spans="1:32" ht="11.25" customHeight="1" x14ac:dyDescent="0.25">
      <c r="A41" s="4" t="s">
        <v>21</v>
      </c>
      <c r="B41" s="4" t="s">
        <v>39</v>
      </c>
      <c r="C41" s="4" t="s">
        <v>40</v>
      </c>
      <c r="D41" s="4" t="s">
        <v>49</v>
      </c>
      <c r="E41" s="4" t="s">
        <v>50</v>
      </c>
      <c r="F41" s="4" t="s">
        <v>25</v>
      </c>
      <c r="G41" s="4" t="s">
        <v>25</v>
      </c>
      <c r="H41" s="4" t="s">
        <v>35</v>
      </c>
      <c r="I41" s="5">
        <v>44317</v>
      </c>
      <c r="J41" s="6">
        <v>1394</v>
      </c>
      <c r="K41" s="42">
        <v>1394</v>
      </c>
      <c r="L41" s="6">
        <v>692.47199999999998</v>
      </c>
      <c r="M41" s="43">
        <v>692.47199999999998</v>
      </c>
      <c r="N41" s="6">
        <v>692.47199999999998</v>
      </c>
      <c r="O41" s="43">
        <v>692.47199999999998</v>
      </c>
      <c r="P41" s="6">
        <v>0</v>
      </c>
      <c r="Q41" s="4" t="s">
        <v>26</v>
      </c>
      <c r="R41" s="4">
        <v>0</v>
      </c>
      <c r="S41" s="4">
        <v>10</v>
      </c>
      <c r="T41" s="4">
        <v>11</v>
      </c>
      <c r="U41" s="4">
        <v>68</v>
      </c>
      <c r="V41" s="43">
        <f>IF(ISERROR(VLOOKUP($S$41,'TAR FIN'!$A$1:$O$100,15,0)),0,VLOOKUP($S$41,'TAR FIN'!$A$1:$O$100,15,0))*(1-0.06)</f>
        <v>17.371199999999998</v>
      </c>
      <c r="W41" s="43">
        <f>IF(ISERROR(VLOOKUP($T$41,'TAR FIN'!$A$1:$O$100,15,0)),0,VLOOKUP($T$41,'TAR FIN'!$A$1:$O$100,15,0))*(1-0.06)</f>
        <v>41.030999999999999</v>
      </c>
      <c r="X41" s="43">
        <f>IF(ISERROR(VLOOKUP($U$41,'TAR FIN'!$A$1:$O$100,15,0)),0,VLOOKUP($U$41,'TAR FIN'!$A$1:$O$100,15,0))*(1-0.06)</f>
        <v>205.88819999999998</v>
      </c>
      <c r="Y41" s="43">
        <f ca="1">('TUSD BE'!$AM$13+'TUSD BF'!$AM$13+'TUSD CVA'!$AM$13)*1*(1-0.03)</f>
        <v>17.321137290425</v>
      </c>
      <c r="Z41" s="43">
        <f ca="1">('TUSD BE'!$AM$14+'TUSD BF'!$AM$14+'TUSD CVA'!$AM$14)*1*(1-0.03)</f>
        <v>48.293429791201078</v>
      </c>
      <c r="AA41" s="43">
        <f>('TE BE'!$AA$8+'TE BF'!$AA$8+'TE CVA'!$AA$8)*1*(1-0.03)</f>
        <v>231.39425553651549</v>
      </c>
      <c r="AB41" s="43">
        <f>(SUBSIDIO!$J$41*SUBSIDIO!$V$41)*(0.06)/(1-0.06)</f>
        <v>1545.6672000000001</v>
      </c>
      <c r="AC41" s="43">
        <f>((SUBSIDIO!$L$41*SUBSIDIO!$W$41)+(SUBSIDIO!$N$41*SUBSIDIO!$X$41))*(0.06)/(1-0.06)</f>
        <v>10913.912697600001</v>
      </c>
      <c r="AD41" s="43">
        <f ca="1">(SUBSIDIO!$J$41*SUBSIDIO!$Y$41)*(0.03)/(1-0.03)</f>
        <v>746.77315617069439</v>
      </c>
      <c r="AE41" s="43">
        <f ca="1">((SUBSIDIO!$L$41*SUBSIDIO!$Z$41)+(SUBSIDIO!$N$41*SUBSIDIO!$AA$41))*(0.03)/(1-0.03)</f>
        <v>5989.9760051831308</v>
      </c>
      <c r="AF41" s="4" t="s">
        <v>913</v>
      </c>
    </row>
    <row r="42" spans="1:32" ht="11.25" customHeight="1" x14ac:dyDescent="0.25">
      <c r="A42" s="4" t="s">
        <v>21</v>
      </c>
      <c r="B42" s="4" t="s">
        <v>39</v>
      </c>
      <c r="C42" s="4" t="s">
        <v>40</v>
      </c>
      <c r="D42" s="4" t="s">
        <v>49</v>
      </c>
      <c r="E42" s="4" t="s">
        <v>50</v>
      </c>
      <c r="F42" s="4" t="s">
        <v>25</v>
      </c>
      <c r="G42" s="4" t="s">
        <v>25</v>
      </c>
      <c r="H42" s="4" t="s">
        <v>35</v>
      </c>
      <c r="I42" s="5">
        <v>44348</v>
      </c>
      <c r="J42" s="6">
        <v>1406</v>
      </c>
      <c r="K42" s="42">
        <v>1406</v>
      </c>
      <c r="L42" s="6">
        <v>738.70799999999997</v>
      </c>
      <c r="M42" s="43">
        <v>738.70799999999997</v>
      </c>
      <c r="N42" s="6">
        <v>738.70799999999997</v>
      </c>
      <c r="O42" s="43">
        <v>738.70799999999997</v>
      </c>
      <c r="P42" s="6">
        <v>0</v>
      </c>
      <c r="Q42" s="4" t="s">
        <v>26</v>
      </c>
      <c r="R42" s="4">
        <v>0</v>
      </c>
      <c r="S42" s="4">
        <v>10</v>
      </c>
      <c r="T42" s="4">
        <v>11</v>
      </c>
      <c r="U42" s="4">
        <v>68</v>
      </c>
      <c r="V42" s="43">
        <f>IF(ISERROR(VLOOKUP($S$42,'TAR FIN'!$A$1:$O$100,15,0)),0,VLOOKUP($S$42,'TAR FIN'!$A$1:$O$100,15,0))*(1-0.06)</f>
        <v>17.371199999999998</v>
      </c>
      <c r="W42" s="43">
        <f>IF(ISERROR(VLOOKUP($T$42,'TAR FIN'!$A$1:$O$100,15,0)),0,VLOOKUP($T$42,'TAR FIN'!$A$1:$O$100,15,0))*(1-0.06)</f>
        <v>41.030999999999999</v>
      </c>
      <c r="X42" s="43">
        <f>IF(ISERROR(VLOOKUP($U$42,'TAR FIN'!$A$1:$O$100,15,0)),0,VLOOKUP($U$42,'TAR FIN'!$A$1:$O$100,15,0))*(1-0.06)</f>
        <v>205.88819999999998</v>
      </c>
      <c r="Y42" s="43">
        <f ca="1">('TUSD BE'!$AM$13+'TUSD BF'!$AM$13+'TUSD CVA'!$AM$13)*1*(1-0.03)</f>
        <v>17.321137290425</v>
      </c>
      <c r="Z42" s="43">
        <f ca="1">('TUSD BE'!$AM$14+'TUSD BF'!$AM$14+'TUSD CVA'!$AM$14)*1*(1-0.03)</f>
        <v>48.293429791201078</v>
      </c>
      <c r="AA42" s="43">
        <f>('TE BE'!$AA$8+'TE BF'!$AA$8+'TE CVA'!$AA$8)*1*(1-0.03)</f>
        <v>231.39425553651549</v>
      </c>
      <c r="AB42" s="43">
        <f>(SUBSIDIO!$J$42*SUBSIDIO!$V$42)*(0.06)/(1-0.06)</f>
        <v>1558.9727999999998</v>
      </c>
      <c r="AC42" s="43">
        <f>((SUBSIDIO!$L$42*SUBSIDIO!$W$42)+(SUBSIDIO!$N$42*SUBSIDIO!$X$42))*(0.06)/(1-0.06)</f>
        <v>11642.629046399998</v>
      </c>
      <c r="AD42" s="43">
        <f ca="1">(SUBSIDIO!$J$42*SUBSIDIO!$Y$42)*(0.03)/(1-0.03)</f>
        <v>753.20161949497572</v>
      </c>
      <c r="AE42" s="43">
        <f ca="1">((SUBSIDIO!$L$42*SUBSIDIO!$Z$42)+(SUBSIDIO!$N$42*SUBSIDIO!$AA$42))*(0.03)/(1-0.03)</f>
        <v>6389.9236284453655</v>
      </c>
      <c r="AF42" s="4" t="s">
        <v>913</v>
      </c>
    </row>
    <row r="43" spans="1:32" ht="11.25" customHeight="1" x14ac:dyDescent="0.25">
      <c r="A43" s="4" t="s">
        <v>21</v>
      </c>
      <c r="B43" s="4" t="s">
        <v>39</v>
      </c>
      <c r="C43" s="4" t="s">
        <v>40</v>
      </c>
      <c r="D43" s="4" t="s">
        <v>49</v>
      </c>
      <c r="E43" s="4" t="s">
        <v>50</v>
      </c>
      <c r="F43" s="4" t="s">
        <v>25</v>
      </c>
      <c r="G43" s="4" t="s">
        <v>25</v>
      </c>
      <c r="H43" s="4" t="s">
        <v>35</v>
      </c>
      <c r="I43" s="5">
        <v>44378</v>
      </c>
      <c r="J43" s="6">
        <v>1425</v>
      </c>
      <c r="K43" s="42">
        <v>1425</v>
      </c>
      <c r="L43" s="6">
        <v>693.28700000000003</v>
      </c>
      <c r="M43" s="43">
        <v>693.28700000000003</v>
      </c>
      <c r="N43" s="6">
        <v>693.28700000000003</v>
      </c>
      <c r="O43" s="43">
        <v>693.28700000000003</v>
      </c>
      <c r="P43" s="6">
        <v>0</v>
      </c>
      <c r="Q43" s="4" t="s">
        <v>26</v>
      </c>
      <c r="R43" s="4">
        <v>0</v>
      </c>
      <c r="S43" s="4">
        <v>10</v>
      </c>
      <c r="T43" s="4">
        <v>11</v>
      </c>
      <c r="U43" s="4">
        <v>68</v>
      </c>
      <c r="V43" s="43">
        <f>IF(ISERROR(VLOOKUP($S$43,'TAR FIN'!$A$1:$O$100,15,0)),0,VLOOKUP($S$43,'TAR FIN'!$A$1:$O$100,15,0))*(1-0.06)</f>
        <v>17.371199999999998</v>
      </c>
      <c r="W43" s="43">
        <f>IF(ISERROR(VLOOKUP($T$43,'TAR FIN'!$A$1:$O$100,15,0)),0,VLOOKUP($T$43,'TAR FIN'!$A$1:$O$100,15,0))*(1-0.06)</f>
        <v>41.030999999999999</v>
      </c>
      <c r="X43" s="43">
        <f>IF(ISERROR(VLOOKUP($U$43,'TAR FIN'!$A$1:$O$100,15,0)),0,VLOOKUP($U$43,'TAR FIN'!$A$1:$O$100,15,0))*(1-0.06)</f>
        <v>205.88819999999998</v>
      </c>
      <c r="Y43" s="43">
        <f ca="1">('TUSD BE'!$AM$13+'TUSD BF'!$AM$13+'TUSD CVA'!$AM$13)*1*(1-0.03)</f>
        <v>17.321137290425</v>
      </c>
      <c r="Z43" s="43">
        <f ca="1">('TUSD BE'!$AM$14+'TUSD BF'!$AM$14+'TUSD CVA'!$AM$14)*1*(1-0.03)</f>
        <v>48.293429791201078</v>
      </c>
      <c r="AA43" s="43">
        <f>('TE BE'!$AA$8+'TE BF'!$AA$8+'TE CVA'!$AA$8)*1*(1-0.03)</f>
        <v>231.39425553651549</v>
      </c>
      <c r="AB43" s="43">
        <f>(SUBSIDIO!$J$43*SUBSIDIO!$V$43)*(0.06)/(1-0.06)</f>
        <v>1580.04</v>
      </c>
      <c r="AC43" s="43">
        <f>((SUBSIDIO!$L$43*SUBSIDIO!$W$43)+(SUBSIDIO!$N$43*SUBSIDIO!$X$43))*(0.06)/(1-0.06)</f>
        <v>10926.757749599999</v>
      </c>
      <c r="AD43" s="43">
        <f ca="1">(SUBSIDIO!$J$43*SUBSIDIO!$Y$43)*(0.03)/(1-0.03)</f>
        <v>763.38001975842133</v>
      </c>
      <c r="AE43" s="43">
        <f ca="1">((SUBSIDIO!$L$43*SUBSIDIO!$Z$43)+(SUBSIDIO!$N$43*SUBSIDIO!$AA$43))*(0.03)/(1-0.03)</f>
        <v>5997.0258648803092</v>
      </c>
      <c r="AF43" s="4" t="s">
        <v>913</v>
      </c>
    </row>
    <row r="44" spans="1:32" ht="11.25" customHeight="1" x14ac:dyDescent="0.25">
      <c r="A44" s="4" t="s">
        <v>21</v>
      </c>
      <c r="B44" s="4" t="s">
        <v>39</v>
      </c>
      <c r="C44" s="4" t="s">
        <v>40</v>
      </c>
      <c r="D44" s="4" t="s">
        <v>49</v>
      </c>
      <c r="E44" s="4" t="s">
        <v>50</v>
      </c>
      <c r="F44" s="4" t="s">
        <v>25</v>
      </c>
      <c r="G44" s="4" t="s">
        <v>25</v>
      </c>
      <c r="H44" s="4" t="s">
        <v>35</v>
      </c>
      <c r="I44" s="5">
        <v>44409</v>
      </c>
      <c r="J44" s="6">
        <v>1396</v>
      </c>
      <c r="K44" s="42">
        <v>1396</v>
      </c>
      <c r="L44" s="6">
        <v>709.65800000000002</v>
      </c>
      <c r="M44" s="43">
        <v>709.65800000000002</v>
      </c>
      <c r="N44" s="6">
        <v>709.65800000000002</v>
      </c>
      <c r="O44" s="43">
        <v>709.65800000000002</v>
      </c>
      <c r="P44" s="6">
        <v>0</v>
      </c>
      <c r="Q44" s="4" t="s">
        <v>26</v>
      </c>
      <c r="R44" s="4">
        <v>0</v>
      </c>
      <c r="S44" s="4">
        <v>10</v>
      </c>
      <c r="T44" s="4">
        <v>11</v>
      </c>
      <c r="U44" s="4">
        <v>68</v>
      </c>
      <c r="V44" s="43">
        <f>IF(ISERROR(VLOOKUP($S$44,'TAR FIN'!$A$1:$O$100,15,0)),0,VLOOKUP($S$44,'TAR FIN'!$A$1:$O$100,15,0))*(1-0.06)</f>
        <v>17.371199999999998</v>
      </c>
      <c r="W44" s="43">
        <f>IF(ISERROR(VLOOKUP($T$44,'TAR FIN'!$A$1:$O$100,15,0)),0,VLOOKUP($T$44,'TAR FIN'!$A$1:$O$100,15,0))*(1-0.06)</f>
        <v>41.030999999999999</v>
      </c>
      <c r="X44" s="43">
        <f>IF(ISERROR(VLOOKUP($U$44,'TAR FIN'!$A$1:$O$100,15,0)),0,VLOOKUP($U$44,'TAR FIN'!$A$1:$O$100,15,0))*(1-0.06)</f>
        <v>205.88819999999998</v>
      </c>
      <c r="Y44" s="43">
        <f ca="1">('TUSD BE'!$AM$13+'TUSD BF'!$AM$13+'TUSD CVA'!$AM$13)*1*(1-0.03)</f>
        <v>17.321137290425</v>
      </c>
      <c r="Z44" s="43">
        <f ca="1">('TUSD BE'!$AM$14+'TUSD BF'!$AM$14+'TUSD CVA'!$AM$14)*1*(1-0.03)</f>
        <v>48.293429791201078</v>
      </c>
      <c r="AA44" s="43">
        <f>('TE BE'!$AA$8+'TE BF'!$AA$8+'TE CVA'!$AA$8)*1*(1-0.03)</f>
        <v>231.39425553651549</v>
      </c>
      <c r="AB44" s="43">
        <f>(SUBSIDIO!$J$44*SUBSIDIO!$V$44)*(0.06)/(1-0.06)</f>
        <v>1547.8847999999998</v>
      </c>
      <c r="AC44" s="43">
        <f>((SUBSIDIO!$L$44*SUBSIDIO!$W$44)+(SUBSIDIO!$N$44*SUBSIDIO!$X$44))*(0.06)/(1-0.06)</f>
        <v>11184.777806400001</v>
      </c>
      <c r="AD44" s="43">
        <f ca="1">(SUBSIDIO!$J$44*SUBSIDIO!$Y$44)*(0.03)/(1-0.03)</f>
        <v>747.84456672474118</v>
      </c>
      <c r="AE44" s="43">
        <f ca="1">((SUBSIDIO!$L$44*SUBSIDIO!$Z$44)+(SUBSIDIO!$N$44*SUBSIDIO!$AA$44))*(0.03)/(1-0.03)</f>
        <v>6138.6372183803096</v>
      </c>
      <c r="AF44" s="4" t="s">
        <v>913</v>
      </c>
    </row>
    <row r="45" spans="1:32" ht="11.25" customHeight="1" x14ac:dyDescent="0.25">
      <c r="A45" s="4" t="s">
        <v>21</v>
      </c>
      <c r="B45" s="4" t="s">
        <v>39</v>
      </c>
      <c r="C45" s="4" t="s">
        <v>40</v>
      </c>
      <c r="D45" s="4" t="s">
        <v>49</v>
      </c>
      <c r="E45" s="4" t="s">
        <v>50</v>
      </c>
      <c r="F45" s="4" t="s">
        <v>25</v>
      </c>
      <c r="G45" s="4" t="s">
        <v>25</v>
      </c>
      <c r="H45" s="4" t="s">
        <v>35</v>
      </c>
      <c r="I45" s="5">
        <v>44440</v>
      </c>
      <c r="J45" s="6">
        <v>1412</v>
      </c>
      <c r="K45" s="42">
        <v>1412</v>
      </c>
      <c r="L45" s="6">
        <v>700.89499999999998</v>
      </c>
      <c r="M45" s="43">
        <v>700.89499999999998</v>
      </c>
      <c r="N45" s="6">
        <v>700.89499999999998</v>
      </c>
      <c r="O45" s="43">
        <v>700.89499999999998</v>
      </c>
      <c r="P45" s="6">
        <v>0</v>
      </c>
      <c r="Q45" s="4" t="s">
        <v>26</v>
      </c>
      <c r="R45" s="4">
        <v>0</v>
      </c>
      <c r="S45" s="4">
        <v>10</v>
      </c>
      <c r="T45" s="4">
        <v>11</v>
      </c>
      <c r="U45" s="4">
        <v>68</v>
      </c>
      <c r="V45" s="43">
        <f>IF(ISERROR(VLOOKUP($S$45,'TAR FIN'!$A$1:$O$100,15,0)),0,VLOOKUP($S$45,'TAR FIN'!$A$1:$O$100,15,0))*(1-0.06)</f>
        <v>17.371199999999998</v>
      </c>
      <c r="W45" s="43">
        <f>IF(ISERROR(VLOOKUP($T$45,'TAR FIN'!$A$1:$O$100,15,0)),0,VLOOKUP($T$45,'TAR FIN'!$A$1:$O$100,15,0))*(1-0.06)</f>
        <v>41.030999999999999</v>
      </c>
      <c r="X45" s="43">
        <f>IF(ISERROR(VLOOKUP($U$45,'TAR FIN'!$A$1:$O$100,15,0)),0,VLOOKUP($U$45,'TAR FIN'!$A$1:$O$100,15,0))*(1-0.06)</f>
        <v>205.88819999999998</v>
      </c>
      <c r="Y45" s="43">
        <f ca="1">('TUSD BE'!$AM$13+'TUSD BF'!$AM$13+'TUSD CVA'!$AM$13)*1*(1-0.03)</f>
        <v>17.321137290425</v>
      </c>
      <c r="Z45" s="43">
        <f ca="1">('TUSD BE'!$AM$14+'TUSD BF'!$AM$14+'TUSD CVA'!$AM$14)*1*(1-0.03)</f>
        <v>48.293429791201078</v>
      </c>
      <c r="AA45" s="43">
        <f>('TE BE'!$AA$8+'TE BF'!$AA$8+'TE CVA'!$AA$8)*1*(1-0.03)</f>
        <v>231.39425553651549</v>
      </c>
      <c r="AB45" s="43">
        <f>(SUBSIDIO!$J$45*SUBSIDIO!$V$45)*(0.06)/(1-0.06)</f>
        <v>1565.6256000000001</v>
      </c>
      <c r="AC45" s="43">
        <f>((SUBSIDIO!$L$45*SUBSIDIO!$W$45)+(SUBSIDIO!$N$45*SUBSIDIO!$X$45))*(0.06)/(1-0.06)</f>
        <v>11046.665915999998</v>
      </c>
      <c r="AD45" s="43">
        <f ca="1">(SUBSIDIO!$J$45*SUBSIDIO!$Y$45)*(0.03)/(1-0.03)</f>
        <v>756.41585115711644</v>
      </c>
      <c r="AE45" s="43">
        <f ca="1">((SUBSIDIO!$L$45*SUBSIDIO!$Z$45)+(SUBSIDIO!$N$45*SUBSIDIO!$AA$45))*(0.03)/(1-0.03)</f>
        <v>6062.8360889000996</v>
      </c>
      <c r="AF45" s="4" t="s">
        <v>913</v>
      </c>
    </row>
    <row r="46" spans="1:32" ht="11.25" customHeight="1" x14ac:dyDescent="0.25">
      <c r="A46" s="4" t="s">
        <v>21</v>
      </c>
      <c r="B46" s="4" t="s">
        <v>39</v>
      </c>
      <c r="C46" s="4" t="s">
        <v>40</v>
      </c>
      <c r="D46" s="4" t="s">
        <v>49</v>
      </c>
      <c r="E46" s="4" t="s">
        <v>50</v>
      </c>
      <c r="F46" s="4" t="s">
        <v>25</v>
      </c>
      <c r="G46" s="4" t="s">
        <v>25</v>
      </c>
      <c r="H46" s="4" t="s">
        <v>35</v>
      </c>
      <c r="I46" s="5">
        <v>44470</v>
      </c>
      <c r="J46" s="6">
        <v>1430</v>
      </c>
      <c r="K46" s="42">
        <v>1430</v>
      </c>
      <c r="L46" s="6">
        <v>723.44799999999998</v>
      </c>
      <c r="M46" s="43">
        <v>723.44799999999998</v>
      </c>
      <c r="N46" s="6">
        <v>723.44799999999998</v>
      </c>
      <c r="O46" s="43">
        <v>723.44799999999998</v>
      </c>
      <c r="P46" s="6">
        <v>0</v>
      </c>
      <c r="Q46" s="4" t="s">
        <v>26</v>
      </c>
      <c r="R46" s="4">
        <v>0</v>
      </c>
      <c r="S46" s="4">
        <v>10</v>
      </c>
      <c r="T46" s="4">
        <v>11</v>
      </c>
      <c r="U46" s="4">
        <v>68</v>
      </c>
      <c r="V46" s="43">
        <f>IF(ISERROR(VLOOKUP($S$46,'TAR FIN'!$A$1:$O$100,15,0)),0,VLOOKUP($S$46,'TAR FIN'!$A$1:$O$100,15,0))*(1-0.06)</f>
        <v>17.371199999999998</v>
      </c>
      <c r="W46" s="43">
        <f>IF(ISERROR(VLOOKUP($T$46,'TAR FIN'!$A$1:$O$100,15,0)),0,VLOOKUP($T$46,'TAR FIN'!$A$1:$O$100,15,0))*(1-0.06)</f>
        <v>41.030999999999999</v>
      </c>
      <c r="X46" s="43">
        <f>IF(ISERROR(VLOOKUP($U$46,'TAR FIN'!$A$1:$O$100,15,0)),0,VLOOKUP($U$46,'TAR FIN'!$A$1:$O$100,15,0))*(1-0.06)</f>
        <v>205.88819999999998</v>
      </c>
      <c r="Y46" s="43">
        <f ca="1">('TUSD BE'!$AM$13+'TUSD BF'!$AM$13+'TUSD CVA'!$AM$13)*1*(1-0.03)</f>
        <v>17.321137290425</v>
      </c>
      <c r="Z46" s="43">
        <f ca="1">('TUSD BE'!$AM$14+'TUSD BF'!$AM$14+'TUSD CVA'!$AM$14)*1*(1-0.03)</f>
        <v>48.293429791201078</v>
      </c>
      <c r="AA46" s="43">
        <f>('TE BE'!$AA$8+'TE BF'!$AA$8+'TE CVA'!$AA$8)*1*(1-0.03)</f>
        <v>231.39425553651549</v>
      </c>
      <c r="AB46" s="43">
        <f>(SUBSIDIO!$J$46*SUBSIDIO!$V$46)*(0.06)/(1-0.06)</f>
        <v>1585.5840000000001</v>
      </c>
      <c r="AC46" s="43">
        <f>((SUBSIDIO!$L$46*SUBSIDIO!$W$46)+(SUBSIDIO!$N$46*SUBSIDIO!$X$46))*(0.06)/(1-0.06)</f>
        <v>11402.119238399999</v>
      </c>
      <c r="AD46" s="43">
        <f ca="1">(SUBSIDIO!$J$46*SUBSIDIO!$Y$46)*(0.03)/(1-0.03)</f>
        <v>766.05854614353871</v>
      </c>
      <c r="AE46" s="43">
        <f ca="1">((SUBSIDIO!$L$46*SUBSIDIO!$Z$46)+(SUBSIDIO!$N$46*SUBSIDIO!$AA$46))*(0.03)/(1-0.03)</f>
        <v>6257.9225744834803</v>
      </c>
      <c r="AF46" s="4" t="s">
        <v>913</v>
      </c>
    </row>
    <row r="47" spans="1:32" ht="11.25" customHeight="1" x14ac:dyDescent="0.25">
      <c r="A47" s="4" t="s">
        <v>21</v>
      </c>
      <c r="B47" s="4" t="s">
        <v>39</v>
      </c>
      <c r="C47" s="4" t="s">
        <v>40</v>
      </c>
      <c r="D47" s="4" t="s">
        <v>49</v>
      </c>
      <c r="E47" s="4" t="s">
        <v>50</v>
      </c>
      <c r="F47" s="4" t="s">
        <v>25</v>
      </c>
      <c r="G47" s="4" t="s">
        <v>25</v>
      </c>
      <c r="H47" s="4" t="s">
        <v>35</v>
      </c>
      <c r="I47" s="5">
        <v>44501</v>
      </c>
      <c r="J47" s="6">
        <v>1427</v>
      </c>
      <c r="K47" s="42">
        <v>1427</v>
      </c>
      <c r="L47" s="6">
        <v>752.68200000000002</v>
      </c>
      <c r="M47" s="43">
        <v>752.68200000000002</v>
      </c>
      <c r="N47" s="6">
        <v>752.68200000000002</v>
      </c>
      <c r="O47" s="43">
        <v>752.68200000000002</v>
      </c>
      <c r="P47" s="6">
        <v>0</v>
      </c>
      <c r="Q47" s="4" t="s">
        <v>26</v>
      </c>
      <c r="R47" s="4">
        <v>0</v>
      </c>
      <c r="S47" s="4">
        <v>10</v>
      </c>
      <c r="T47" s="4">
        <v>11</v>
      </c>
      <c r="U47" s="4">
        <v>68</v>
      </c>
      <c r="V47" s="43">
        <f>IF(ISERROR(VLOOKUP($S$47,'TAR FIN'!$A$1:$O$100,15,0)),0,VLOOKUP($S$47,'TAR FIN'!$A$1:$O$100,15,0))*(1-0.06)</f>
        <v>17.371199999999998</v>
      </c>
      <c r="W47" s="43">
        <f>IF(ISERROR(VLOOKUP($T$47,'TAR FIN'!$A$1:$O$100,15,0)),0,VLOOKUP($T$47,'TAR FIN'!$A$1:$O$100,15,0))*(1-0.06)</f>
        <v>41.030999999999999</v>
      </c>
      <c r="X47" s="43">
        <f>IF(ISERROR(VLOOKUP($U$47,'TAR FIN'!$A$1:$O$100,15,0)),0,VLOOKUP($U$47,'TAR FIN'!$A$1:$O$100,15,0))*(1-0.06)</f>
        <v>205.88819999999998</v>
      </c>
      <c r="Y47" s="43">
        <f ca="1">('TUSD BE'!$AM$13+'TUSD BF'!$AM$13+'TUSD CVA'!$AM$13)*1*(1-0.03)</f>
        <v>17.321137290425</v>
      </c>
      <c r="Z47" s="43">
        <f ca="1">('TUSD BE'!$AM$14+'TUSD BF'!$AM$14+'TUSD CVA'!$AM$14)*1*(1-0.03)</f>
        <v>48.293429791201078</v>
      </c>
      <c r="AA47" s="43">
        <f>('TE BE'!$AA$8+'TE BF'!$AA$8+'TE CVA'!$AA$8)*1*(1-0.03)</f>
        <v>231.39425553651549</v>
      </c>
      <c r="AB47" s="43">
        <f>(SUBSIDIO!$J$47*SUBSIDIO!$V$47)*(0.06)/(1-0.06)</f>
        <v>1582.2575999999999</v>
      </c>
      <c r="AC47" s="43">
        <f>((SUBSIDIO!$L$47*SUBSIDIO!$W$47)+(SUBSIDIO!$N$47*SUBSIDIO!$X$47))*(0.06)/(1-0.06)</f>
        <v>11862.870465599999</v>
      </c>
      <c r="AD47" s="43">
        <f ca="1">(SUBSIDIO!$J$47*SUBSIDIO!$Y$47)*(0.03)/(1-0.03)</f>
        <v>764.45143031246835</v>
      </c>
      <c r="AE47" s="43">
        <f ca="1">((SUBSIDIO!$L$47*SUBSIDIO!$Z$47)+(SUBSIDIO!$N$47*SUBSIDIO!$AA$47))*(0.03)/(1-0.03)</f>
        <v>6510.8006093145277</v>
      </c>
      <c r="AF47" s="4" t="s">
        <v>913</v>
      </c>
    </row>
    <row r="48" spans="1:32" ht="11.25" customHeight="1" x14ac:dyDescent="0.25">
      <c r="A48" s="4" t="s">
        <v>21</v>
      </c>
      <c r="B48" s="4" t="s">
        <v>39</v>
      </c>
      <c r="C48" s="4" t="s">
        <v>40</v>
      </c>
      <c r="D48" s="4" t="s">
        <v>49</v>
      </c>
      <c r="E48" s="4" t="s">
        <v>50</v>
      </c>
      <c r="F48" s="4" t="s">
        <v>25</v>
      </c>
      <c r="G48" s="4" t="s">
        <v>25</v>
      </c>
      <c r="H48" s="4" t="s">
        <v>35</v>
      </c>
      <c r="I48" s="5">
        <v>44531</v>
      </c>
      <c r="J48" s="6">
        <v>1427</v>
      </c>
      <c r="K48" s="42">
        <v>1427</v>
      </c>
      <c r="L48" s="6">
        <v>766.65099999999995</v>
      </c>
      <c r="M48" s="43">
        <v>766.65099999999995</v>
      </c>
      <c r="N48" s="6">
        <v>766.65099999999995</v>
      </c>
      <c r="O48" s="43">
        <v>766.65099999999995</v>
      </c>
      <c r="P48" s="6">
        <v>0</v>
      </c>
      <c r="Q48" s="4" t="s">
        <v>26</v>
      </c>
      <c r="R48" s="4">
        <v>0</v>
      </c>
      <c r="S48" s="4">
        <v>10</v>
      </c>
      <c r="T48" s="4">
        <v>11</v>
      </c>
      <c r="U48" s="4">
        <v>68</v>
      </c>
      <c r="V48" s="43">
        <f>IF(ISERROR(VLOOKUP($S$48,'TAR FIN'!$A$1:$O$100,15,0)),0,VLOOKUP($S$48,'TAR FIN'!$A$1:$O$100,15,0))*(1-0.06)</f>
        <v>17.371199999999998</v>
      </c>
      <c r="W48" s="43">
        <f>IF(ISERROR(VLOOKUP($T$48,'TAR FIN'!$A$1:$O$100,15,0)),0,VLOOKUP($T$48,'TAR FIN'!$A$1:$O$100,15,0))*(1-0.06)</f>
        <v>41.030999999999999</v>
      </c>
      <c r="X48" s="43">
        <f>IF(ISERROR(VLOOKUP($U$48,'TAR FIN'!$A$1:$O$100,15,0)),0,VLOOKUP($U$48,'TAR FIN'!$A$1:$O$100,15,0))*(1-0.06)</f>
        <v>205.88819999999998</v>
      </c>
      <c r="Y48" s="43">
        <f ca="1">('TUSD BE'!$AM$13+'TUSD BF'!$AM$13+'TUSD CVA'!$AM$13)*1*(1-0.03)</f>
        <v>17.321137290425</v>
      </c>
      <c r="Z48" s="43">
        <f ca="1">('TUSD BE'!$AM$14+'TUSD BF'!$AM$14+'TUSD CVA'!$AM$14)*1*(1-0.03)</f>
        <v>48.293429791201078</v>
      </c>
      <c r="AA48" s="43">
        <f>('TE BE'!$AA$8+'TE BF'!$AA$8+'TE CVA'!$AA$8)*1*(1-0.03)</f>
        <v>231.39425553651549</v>
      </c>
      <c r="AB48" s="43">
        <f>(SUBSIDIO!$J$48*SUBSIDIO!$V$48)*(0.06)/(1-0.06)</f>
        <v>1582.2575999999999</v>
      </c>
      <c r="AC48" s="43">
        <f>((SUBSIDIO!$L$48*SUBSIDIO!$W$48)+(SUBSIDIO!$N$48*SUBSIDIO!$X$48))*(0.06)/(1-0.06)</f>
        <v>12083.0330808</v>
      </c>
      <c r="AD48" s="43">
        <f ca="1">(SUBSIDIO!$J$48*SUBSIDIO!$Y$48)*(0.03)/(1-0.03)</f>
        <v>764.45143031246835</v>
      </c>
      <c r="AE48" s="43">
        <f ca="1">((SUBSIDIO!$L$48*SUBSIDIO!$Z$48)+(SUBSIDIO!$N$48*SUBSIDIO!$AA$48))*(0.03)/(1-0.03)</f>
        <v>6631.6343395106978</v>
      </c>
      <c r="AF48" s="4" t="s">
        <v>913</v>
      </c>
    </row>
    <row r="49" spans="1:32" ht="11.25" customHeight="1" x14ac:dyDescent="0.25">
      <c r="A49" s="4" t="s">
        <v>55</v>
      </c>
      <c r="B49" s="4" t="s">
        <v>39</v>
      </c>
      <c r="C49" s="4" t="s">
        <v>40</v>
      </c>
      <c r="D49" s="4" t="s">
        <v>49</v>
      </c>
      <c r="E49" s="4" t="s">
        <v>50</v>
      </c>
      <c r="F49" s="4" t="s">
        <v>25</v>
      </c>
      <c r="G49" s="4" t="s">
        <v>25</v>
      </c>
      <c r="H49" s="4" t="s">
        <v>35</v>
      </c>
      <c r="I49" s="5">
        <v>44562</v>
      </c>
      <c r="J49" s="6">
        <v>1427</v>
      </c>
      <c r="K49" s="42">
        <v>1427</v>
      </c>
      <c r="L49" s="6">
        <v>766.65099999999995</v>
      </c>
      <c r="M49" s="43">
        <v>766.65099999999995</v>
      </c>
      <c r="N49" s="6">
        <v>766.65099999999995</v>
      </c>
      <c r="O49" s="43">
        <v>766.65099999999995</v>
      </c>
      <c r="P49" s="6">
        <v>0</v>
      </c>
      <c r="Q49" s="4" t="s">
        <v>26</v>
      </c>
      <c r="R49" s="4">
        <v>0</v>
      </c>
      <c r="S49" s="4">
        <v>10</v>
      </c>
      <c r="T49" s="4">
        <v>11</v>
      </c>
      <c r="U49" s="4">
        <v>68</v>
      </c>
      <c r="V49" s="43">
        <f>IF(ISERROR(VLOOKUP($S$49,'TAR FIN'!$A$1:$O$100,15,0)),0,VLOOKUP($S$49,'TAR FIN'!$A$1:$O$100,15,0))*(1-0.06)</f>
        <v>17.371199999999998</v>
      </c>
      <c r="W49" s="43">
        <f>IF(ISERROR(VLOOKUP($T$49,'TAR FIN'!$A$1:$O$100,15,0)),0,VLOOKUP($T$49,'TAR FIN'!$A$1:$O$100,15,0))*(1-0.06)</f>
        <v>41.030999999999999</v>
      </c>
      <c r="X49" s="43">
        <f>IF(ISERROR(VLOOKUP($U$49,'TAR FIN'!$A$1:$O$100,15,0)),0,VLOOKUP($U$49,'TAR FIN'!$A$1:$O$100,15,0))*(1-0.06)</f>
        <v>205.88819999999998</v>
      </c>
      <c r="Y49" s="43">
        <f ca="1">('TUSD BE'!$AM$13+'TUSD BF'!$AM$13+'TUSD CVA'!$AM$13)*1*(1-0.03)</f>
        <v>17.321137290425</v>
      </c>
      <c r="Z49" s="43">
        <f ca="1">('TUSD BE'!$AM$14+'TUSD BF'!$AM$14+'TUSD CVA'!$AM$14)*1*(1-0.03)</f>
        <v>48.293429791201078</v>
      </c>
      <c r="AA49" s="43">
        <f>('TE BE'!$AA$8+'TE BF'!$AA$8+'TE CVA'!$AA$8)*1*(1-0.03)</f>
        <v>231.39425553651549</v>
      </c>
      <c r="AB49" s="43">
        <f>(SUBSIDIO!$J$49*SUBSIDIO!$V$49)*(0.06)/(1-0.06)</f>
        <v>1582.2575999999999</v>
      </c>
      <c r="AC49" s="43">
        <f>((SUBSIDIO!$L$49*SUBSIDIO!$W$49)+(SUBSIDIO!$N$49*SUBSIDIO!$X$49))*(0.06)/(1-0.06)</f>
        <v>12083.0330808</v>
      </c>
      <c r="AD49" s="43">
        <f ca="1">(SUBSIDIO!$J$49*SUBSIDIO!$Y$49)*(0.03)/(1-0.03)</f>
        <v>764.45143031246835</v>
      </c>
      <c r="AE49" s="43">
        <f ca="1">((SUBSIDIO!$L$49*SUBSIDIO!$Z$49)+(SUBSIDIO!$N$49*SUBSIDIO!$AA$49))*(0.03)/(1-0.03)</f>
        <v>6631.6343395106978</v>
      </c>
      <c r="AF49" s="4" t="s">
        <v>913</v>
      </c>
    </row>
    <row r="50" spans="1:32" ht="11.25" customHeight="1" x14ac:dyDescent="0.25">
      <c r="A50" s="4" t="s">
        <v>21</v>
      </c>
      <c r="B50" s="4" t="s">
        <v>39</v>
      </c>
      <c r="C50" s="4" t="s">
        <v>40</v>
      </c>
      <c r="D50" s="4" t="s">
        <v>49</v>
      </c>
      <c r="E50" s="4" t="s">
        <v>50</v>
      </c>
      <c r="F50" s="4" t="s">
        <v>25</v>
      </c>
      <c r="G50" s="4" t="s">
        <v>25</v>
      </c>
      <c r="H50" s="4" t="s">
        <v>34</v>
      </c>
      <c r="I50" s="5">
        <v>44228</v>
      </c>
      <c r="J50" s="6">
        <v>1365</v>
      </c>
      <c r="K50" s="42">
        <v>1365</v>
      </c>
      <c r="L50" s="6">
        <v>70.594999999999999</v>
      </c>
      <c r="M50" s="43">
        <v>70.594999999999999</v>
      </c>
      <c r="N50" s="6">
        <v>70.594999999999999</v>
      </c>
      <c r="O50" s="43">
        <v>70.594999999999999</v>
      </c>
      <c r="P50" s="6">
        <v>0</v>
      </c>
      <c r="Q50" s="4" t="s">
        <v>26</v>
      </c>
      <c r="R50" s="4">
        <v>0</v>
      </c>
      <c r="S50" s="4">
        <v>9</v>
      </c>
      <c r="T50" s="4">
        <v>11</v>
      </c>
      <c r="U50" s="4">
        <v>67</v>
      </c>
      <c r="V50" s="43">
        <f>IF(ISERROR(VLOOKUP($S$50,'TAR FIN'!$A$1:$O$100,15,0)),0,VLOOKUP($S$50,'TAR FIN'!$A$1:$O$100,15,0))*(1-0.06)</f>
        <v>34.789399999999993</v>
      </c>
      <c r="W50" s="43">
        <f>IF(ISERROR(VLOOKUP($T$50,'TAR FIN'!$A$1:$O$100,15,0)),0,VLOOKUP($T$50,'TAR FIN'!$A$1:$O$100,15,0))*(1-0.06)</f>
        <v>41.030999999999999</v>
      </c>
      <c r="X50" s="43">
        <f>IF(ISERROR(VLOOKUP($U$50,'TAR FIN'!$A$1:$O$100,15,0)),0,VLOOKUP($U$50,'TAR FIN'!$A$1:$O$100,15,0))*(1-0.06)</f>
        <v>344.60399999999998</v>
      </c>
      <c r="Y50" s="43">
        <f ca="1">('TUSD BE'!$AM$12+'TUSD BF'!$AM$12+'TUSD CVA'!$AM$12)*1*(1-0.03)</f>
        <v>35.091976375639973</v>
      </c>
      <c r="Z50" s="43">
        <f ca="1">('TUSD BE'!$AM$14+'TUSD BF'!$AM$14+'TUSD CVA'!$AM$14)*1*(1-0.03)</f>
        <v>48.293429791201078</v>
      </c>
      <c r="AA50" s="43">
        <f>('TE BE'!$AA$7+'TE BF'!$AA$7+'TE CVA'!$AA$7)*1*(1-0.03)</f>
        <v>373.90159935253052</v>
      </c>
      <c r="AB50" s="43">
        <f>(SUBSIDIO!$J$50*SUBSIDIO!$V$50)*(0.06)/(1-0.06)</f>
        <v>3031.1189999999997</v>
      </c>
      <c r="AC50" s="43">
        <f>((SUBSIDIO!$L$50*SUBSIDIO!$W$50)+(SUBSIDIO!$N$50*SUBSIDIO!$X$50))*(0.06)/(1-0.06)</f>
        <v>1737.695925</v>
      </c>
      <c r="AD50" s="43">
        <f ca="1">(SUBSIDIO!$J$50*SUBSIDIO!$Y$50)*(0.03)/(1-0.03)</f>
        <v>1481.4602397757287</v>
      </c>
      <c r="AE50" s="43">
        <f ca="1">((SUBSIDIO!$L$50*SUBSIDIO!$Z$50)+(SUBSIDIO!$N$50*SUBSIDIO!$AA$50))*(0.03)/(1-0.03)</f>
        <v>921.79973450727005</v>
      </c>
      <c r="AF50" s="4" t="s">
        <v>913</v>
      </c>
    </row>
    <row r="51" spans="1:32" ht="11.25" customHeight="1" x14ac:dyDescent="0.25">
      <c r="A51" s="4" t="s">
        <v>21</v>
      </c>
      <c r="B51" s="4" t="s">
        <v>39</v>
      </c>
      <c r="C51" s="4" t="s">
        <v>40</v>
      </c>
      <c r="D51" s="4" t="s">
        <v>49</v>
      </c>
      <c r="E51" s="4" t="s">
        <v>50</v>
      </c>
      <c r="F51" s="4" t="s">
        <v>25</v>
      </c>
      <c r="G51" s="4" t="s">
        <v>25</v>
      </c>
      <c r="H51" s="4" t="s">
        <v>34</v>
      </c>
      <c r="I51" s="5">
        <v>44256</v>
      </c>
      <c r="J51" s="6">
        <v>1361</v>
      </c>
      <c r="K51" s="42">
        <v>1361</v>
      </c>
      <c r="L51" s="6">
        <v>77.448999999999998</v>
      </c>
      <c r="M51" s="43">
        <v>77.448999999999998</v>
      </c>
      <c r="N51" s="6">
        <v>77.448999999999998</v>
      </c>
      <c r="O51" s="43">
        <v>77.448999999999998</v>
      </c>
      <c r="P51" s="6">
        <v>0</v>
      </c>
      <c r="Q51" s="4" t="s">
        <v>26</v>
      </c>
      <c r="R51" s="4">
        <v>0</v>
      </c>
      <c r="S51" s="4">
        <v>9</v>
      </c>
      <c r="T51" s="4">
        <v>11</v>
      </c>
      <c r="U51" s="4">
        <v>67</v>
      </c>
      <c r="V51" s="43">
        <f>IF(ISERROR(VLOOKUP($S$51,'TAR FIN'!$A$1:$O$100,15,0)),0,VLOOKUP($S$51,'TAR FIN'!$A$1:$O$100,15,0))*(1-0.06)</f>
        <v>34.789399999999993</v>
      </c>
      <c r="W51" s="43">
        <f>IF(ISERROR(VLOOKUP($T$51,'TAR FIN'!$A$1:$O$100,15,0)),0,VLOOKUP($T$51,'TAR FIN'!$A$1:$O$100,15,0))*(1-0.06)</f>
        <v>41.030999999999999</v>
      </c>
      <c r="X51" s="43">
        <f>IF(ISERROR(VLOOKUP($U$51,'TAR FIN'!$A$1:$O$100,15,0)),0,VLOOKUP($U$51,'TAR FIN'!$A$1:$O$100,15,0))*(1-0.06)</f>
        <v>344.60399999999998</v>
      </c>
      <c r="Y51" s="43">
        <f ca="1">('TUSD BE'!$AM$12+'TUSD BF'!$AM$12+'TUSD CVA'!$AM$12)*1*(1-0.03)</f>
        <v>35.091976375639973</v>
      </c>
      <c r="Z51" s="43">
        <f ca="1">('TUSD BE'!$AM$14+'TUSD BF'!$AM$14+'TUSD CVA'!$AM$14)*1*(1-0.03)</f>
        <v>48.293429791201078</v>
      </c>
      <c r="AA51" s="43">
        <f>('TE BE'!$AA$7+'TE BF'!$AA$7+'TE CVA'!$AA$7)*1*(1-0.03)</f>
        <v>373.90159935253052</v>
      </c>
      <c r="AB51" s="43">
        <f>(SUBSIDIO!$J$51*SUBSIDIO!$V$51)*(0.06)/(1-0.06)</f>
        <v>3022.2365999999997</v>
      </c>
      <c r="AC51" s="43">
        <f>((SUBSIDIO!$L$51*SUBSIDIO!$W$51)+(SUBSIDIO!$N$51*SUBSIDIO!$X$51))*(0.06)/(1-0.06)</f>
        <v>1906.4071349999999</v>
      </c>
      <c r="AD51" s="43">
        <f ca="1">(SUBSIDIO!$J$51*SUBSIDIO!$Y$51)*(0.03)/(1-0.03)</f>
        <v>1477.1189643478147</v>
      </c>
      <c r="AE51" s="43">
        <f ca="1">((SUBSIDIO!$L$51*SUBSIDIO!$Z$51)+(SUBSIDIO!$N$51*SUBSIDIO!$AA$51))*(0.03)/(1-0.03)</f>
        <v>1011.2963756335938</v>
      </c>
      <c r="AF51" s="4" t="s">
        <v>913</v>
      </c>
    </row>
    <row r="52" spans="1:32" ht="11.25" customHeight="1" x14ac:dyDescent="0.25">
      <c r="A52" s="4" t="s">
        <v>21</v>
      </c>
      <c r="B52" s="4" t="s">
        <v>39</v>
      </c>
      <c r="C52" s="4" t="s">
        <v>40</v>
      </c>
      <c r="D52" s="4" t="s">
        <v>49</v>
      </c>
      <c r="E52" s="4" t="s">
        <v>50</v>
      </c>
      <c r="F52" s="4" t="s">
        <v>25</v>
      </c>
      <c r="G52" s="4" t="s">
        <v>25</v>
      </c>
      <c r="H52" s="4" t="s">
        <v>34</v>
      </c>
      <c r="I52" s="5">
        <v>44287</v>
      </c>
      <c r="J52" s="6">
        <v>1359</v>
      </c>
      <c r="K52" s="42">
        <v>1359</v>
      </c>
      <c r="L52" s="6">
        <v>66.813000000000002</v>
      </c>
      <c r="M52" s="43">
        <v>66.813000000000002</v>
      </c>
      <c r="N52" s="6">
        <v>66.813000000000002</v>
      </c>
      <c r="O52" s="43">
        <v>66.813000000000002</v>
      </c>
      <c r="P52" s="6">
        <v>0</v>
      </c>
      <c r="Q52" s="4" t="s">
        <v>26</v>
      </c>
      <c r="R52" s="4">
        <v>0</v>
      </c>
      <c r="S52" s="4">
        <v>9</v>
      </c>
      <c r="T52" s="4">
        <v>11</v>
      </c>
      <c r="U52" s="4">
        <v>67</v>
      </c>
      <c r="V52" s="43">
        <f>IF(ISERROR(VLOOKUP($S$52,'TAR FIN'!$A$1:$O$100,15,0)),0,VLOOKUP($S$52,'TAR FIN'!$A$1:$O$100,15,0))*(1-0.06)</f>
        <v>34.789399999999993</v>
      </c>
      <c r="W52" s="43">
        <f>IF(ISERROR(VLOOKUP($T$52,'TAR FIN'!$A$1:$O$100,15,0)),0,VLOOKUP($T$52,'TAR FIN'!$A$1:$O$100,15,0))*(1-0.06)</f>
        <v>41.030999999999999</v>
      </c>
      <c r="X52" s="43">
        <f>IF(ISERROR(VLOOKUP($U$52,'TAR FIN'!$A$1:$O$100,15,0)),0,VLOOKUP($U$52,'TAR FIN'!$A$1:$O$100,15,0))*(1-0.06)</f>
        <v>344.60399999999998</v>
      </c>
      <c r="Y52" s="43">
        <f ca="1">('TUSD BE'!$AM$12+'TUSD BF'!$AM$12+'TUSD CVA'!$AM$12)*1*(1-0.03)</f>
        <v>35.091976375639973</v>
      </c>
      <c r="Z52" s="43">
        <f ca="1">('TUSD BE'!$AM$14+'TUSD BF'!$AM$14+'TUSD CVA'!$AM$14)*1*(1-0.03)</f>
        <v>48.293429791201078</v>
      </c>
      <c r="AA52" s="43">
        <f>('TE BE'!$AA$7+'TE BF'!$AA$7+'TE CVA'!$AA$7)*1*(1-0.03)</f>
        <v>373.90159935253052</v>
      </c>
      <c r="AB52" s="43">
        <f>(SUBSIDIO!$J$52*SUBSIDIO!$V$52)*(0.06)/(1-0.06)</f>
        <v>3017.7953999999995</v>
      </c>
      <c r="AC52" s="43">
        <f>((SUBSIDIO!$L$52*SUBSIDIO!$W$52)+(SUBSIDIO!$N$52*SUBSIDIO!$X$52))*(0.06)/(1-0.06)</f>
        <v>1644.6019950000002</v>
      </c>
      <c r="AD52" s="43">
        <f ca="1">(SUBSIDIO!$J$52*SUBSIDIO!$Y$52)*(0.03)/(1-0.03)</f>
        <v>1474.9483266338575</v>
      </c>
      <c r="AE52" s="43">
        <f ca="1">((SUBSIDIO!$L$52*SUBSIDIO!$Z$52)+(SUBSIDIO!$N$52*SUBSIDIO!$AA$52))*(0.03)/(1-0.03)</f>
        <v>872.41597367567442</v>
      </c>
      <c r="AF52" s="4" t="s">
        <v>913</v>
      </c>
    </row>
    <row r="53" spans="1:32" ht="11.25" customHeight="1" x14ac:dyDescent="0.25">
      <c r="A53" s="4" t="s">
        <v>21</v>
      </c>
      <c r="B53" s="4" t="s">
        <v>39</v>
      </c>
      <c r="C53" s="4" t="s">
        <v>40</v>
      </c>
      <c r="D53" s="4" t="s">
        <v>49</v>
      </c>
      <c r="E53" s="4" t="s">
        <v>50</v>
      </c>
      <c r="F53" s="4" t="s">
        <v>25</v>
      </c>
      <c r="G53" s="4" t="s">
        <v>25</v>
      </c>
      <c r="H53" s="4" t="s">
        <v>34</v>
      </c>
      <c r="I53" s="5">
        <v>44317</v>
      </c>
      <c r="J53" s="6">
        <v>1345</v>
      </c>
      <c r="K53" s="42">
        <v>1345</v>
      </c>
      <c r="L53" s="6">
        <v>64.272000000000006</v>
      </c>
      <c r="M53" s="43">
        <v>64.272000000000006</v>
      </c>
      <c r="N53" s="6">
        <v>64.272000000000006</v>
      </c>
      <c r="O53" s="43">
        <v>64.272000000000006</v>
      </c>
      <c r="P53" s="6">
        <v>0</v>
      </c>
      <c r="Q53" s="4" t="s">
        <v>26</v>
      </c>
      <c r="R53" s="4">
        <v>0</v>
      </c>
      <c r="S53" s="4">
        <v>9</v>
      </c>
      <c r="T53" s="4">
        <v>11</v>
      </c>
      <c r="U53" s="4">
        <v>67</v>
      </c>
      <c r="V53" s="43">
        <f>IF(ISERROR(VLOOKUP($S$53,'TAR FIN'!$A$1:$O$100,15,0)),0,VLOOKUP($S$53,'TAR FIN'!$A$1:$O$100,15,0))*(1-0.06)</f>
        <v>34.789399999999993</v>
      </c>
      <c r="W53" s="43">
        <f>IF(ISERROR(VLOOKUP($T$53,'TAR FIN'!$A$1:$O$100,15,0)),0,VLOOKUP($T$53,'TAR FIN'!$A$1:$O$100,15,0))*(1-0.06)</f>
        <v>41.030999999999999</v>
      </c>
      <c r="X53" s="43">
        <f>IF(ISERROR(VLOOKUP($U$53,'TAR FIN'!$A$1:$O$100,15,0)),0,VLOOKUP($U$53,'TAR FIN'!$A$1:$O$100,15,0))*(1-0.06)</f>
        <v>344.60399999999998</v>
      </c>
      <c r="Y53" s="43">
        <f ca="1">('TUSD BE'!$AM$12+'TUSD BF'!$AM$12+'TUSD CVA'!$AM$12)*1*(1-0.03)</f>
        <v>35.091976375639973</v>
      </c>
      <c r="Z53" s="43">
        <f ca="1">('TUSD BE'!$AM$14+'TUSD BF'!$AM$14+'TUSD CVA'!$AM$14)*1*(1-0.03)</f>
        <v>48.293429791201078</v>
      </c>
      <c r="AA53" s="43">
        <f>('TE BE'!$AA$7+'TE BF'!$AA$7+'TE CVA'!$AA$7)*1*(1-0.03)</f>
        <v>373.90159935253052</v>
      </c>
      <c r="AB53" s="43">
        <f>(SUBSIDIO!$J$53*SUBSIDIO!$V$53)*(0.06)/(1-0.06)</f>
        <v>2986.7069999999994</v>
      </c>
      <c r="AC53" s="43">
        <f>((SUBSIDIO!$L$53*SUBSIDIO!$W$53)+(SUBSIDIO!$N$53*SUBSIDIO!$X$53))*(0.06)/(1-0.06)</f>
        <v>1582.0552800000003</v>
      </c>
      <c r="AD53" s="43">
        <f ca="1">(SUBSIDIO!$J$53*SUBSIDIO!$Y$53)*(0.03)/(1-0.03)</f>
        <v>1459.7538626361575</v>
      </c>
      <c r="AE53" s="43">
        <f ca="1">((SUBSIDIO!$L$53*SUBSIDIO!$Z$53)+(SUBSIDIO!$N$53*SUBSIDIO!$AA$53))*(0.03)/(1-0.03)</f>
        <v>839.2366674162655</v>
      </c>
      <c r="AF53" s="4" t="s">
        <v>913</v>
      </c>
    </row>
    <row r="54" spans="1:32" ht="11.25" customHeight="1" x14ac:dyDescent="0.25">
      <c r="A54" s="4" t="s">
        <v>21</v>
      </c>
      <c r="B54" s="4" t="s">
        <v>39</v>
      </c>
      <c r="C54" s="4" t="s">
        <v>40</v>
      </c>
      <c r="D54" s="4" t="s">
        <v>49</v>
      </c>
      <c r="E54" s="4" t="s">
        <v>50</v>
      </c>
      <c r="F54" s="4" t="s">
        <v>25</v>
      </c>
      <c r="G54" s="4" t="s">
        <v>25</v>
      </c>
      <c r="H54" s="4" t="s">
        <v>34</v>
      </c>
      <c r="I54" s="5">
        <v>44348</v>
      </c>
      <c r="J54" s="6">
        <v>1378</v>
      </c>
      <c r="K54" s="42">
        <v>1378</v>
      </c>
      <c r="L54" s="6">
        <v>67.081000000000003</v>
      </c>
      <c r="M54" s="43">
        <v>67.081000000000003</v>
      </c>
      <c r="N54" s="6">
        <v>67.081000000000003</v>
      </c>
      <c r="O54" s="43">
        <v>67.081000000000003</v>
      </c>
      <c r="P54" s="6">
        <v>0</v>
      </c>
      <c r="Q54" s="4" t="s">
        <v>26</v>
      </c>
      <c r="R54" s="4">
        <v>0</v>
      </c>
      <c r="S54" s="4">
        <v>9</v>
      </c>
      <c r="T54" s="4">
        <v>11</v>
      </c>
      <c r="U54" s="4">
        <v>67</v>
      </c>
      <c r="V54" s="43">
        <f>IF(ISERROR(VLOOKUP($S$54,'TAR FIN'!$A$1:$O$100,15,0)),0,VLOOKUP($S$54,'TAR FIN'!$A$1:$O$100,15,0))*(1-0.06)</f>
        <v>34.789399999999993</v>
      </c>
      <c r="W54" s="43">
        <f>IF(ISERROR(VLOOKUP($T$54,'TAR FIN'!$A$1:$O$100,15,0)),0,VLOOKUP($T$54,'TAR FIN'!$A$1:$O$100,15,0))*(1-0.06)</f>
        <v>41.030999999999999</v>
      </c>
      <c r="X54" s="43">
        <f>IF(ISERROR(VLOOKUP($U$54,'TAR FIN'!$A$1:$O$100,15,0)),0,VLOOKUP($U$54,'TAR FIN'!$A$1:$O$100,15,0))*(1-0.06)</f>
        <v>344.60399999999998</v>
      </c>
      <c r="Y54" s="43">
        <f ca="1">('TUSD BE'!$AM$12+'TUSD BF'!$AM$12+'TUSD CVA'!$AM$12)*1*(1-0.03)</f>
        <v>35.091976375639973</v>
      </c>
      <c r="Z54" s="43">
        <f ca="1">('TUSD BE'!$AM$14+'TUSD BF'!$AM$14+'TUSD CVA'!$AM$14)*1*(1-0.03)</f>
        <v>48.293429791201078</v>
      </c>
      <c r="AA54" s="43">
        <f>('TE BE'!$AA$7+'TE BF'!$AA$7+'TE CVA'!$AA$7)*1*(1-0.03)</f>
        <v>373.90159935253052</v>
      </c>
      <c r="AB54" s="43">
        <f>(SUBSIDIO!$J$54*SUBSIDIO!$V$54)*(0.06)/(1-0.06)</f>
        <v>3059.9867999999997</v>
      </c>
      <c r="AC54" s="43">
        <f>((SUBSIDIO!$L$54*SUBSIDIO!$W$54)+(SUBSIDIO!$N$54*SUBSIDIO!$X$54))*(0.06)/(1-0.06)</f>
        <v>1651.1988150000002</v>
      </c>
      <c r="AD54" s="43">
        <f ca="1">(SUBSIDIO!$J$54*SUBSIDIO!$Y$54)*(0.03)/(1-0.03)</f>
        <v>1495.56938491645</v>
      </c>
      <c r="AE54" s="43">
        <f ca="1">((SUBSIDIO!$L$54*SUBSIDIO!$Z$54)+(SUBSIDIO!$N$54*SUBSIDIO!$AA$54))*(0.03)/(1-0.03)</f>
        <v>875.91540463888634</v>
      </c>
      <c r="AF54" s="4" t="s">
        <v>913</v>
      </c>
    </row>
    <row r="55" spans="1:32" ht="11.25" customHeight="1" x14ac:dyDescent="0.25">
      <c r="A55" s="4" t="s">
        <v>21</v>
      </c>
      <c r="B55" s="4" t="s">
        <v>39</v>
      </c>
      <c r="C55" s="4" t="s">
        <v>40</v>
      </c>
      <c r="D55" s="4" t="s">
        <v>49</v>
      </c>
      <c r="E55" s="4" t="s">
        <v>50</v>
      </c>
      <c r="F55" s="4" t="s">
        <v>25</v>
      </c>
      <c r="G55" s="4" t="s">
        <v>25</v>
      </c>
      <c r="H55" s="4" t="s">
        <v>34</v>
      </c>
      <c r="I55" s="5">
        <v>44378</v>
      </c>
      <c r="J55" s="6">
        <v>1403</v>
      </c>
      <c r="K55" s="42">
        <v>1403</v>
      </c>
      <c r="L55" s="6">
        <v>71.475999999999999</v>
      </c>
      <c r="M55" s="43">
        <v>71.475999999999999</v>
      </c>
      <c r="N55" s="6">
        <v>71.475999999999999</v>
      </c>
      <c r="O55" s="43">
        <v>71.475999999999999</v>
      </c>
      <c r="P55" s="6">
        <v>0</v>
      </c>
      <c r="Q55" s="4" t="s">
        <v>26</v>
      </c>
      <c r="R55" s="4">
        <v>0</v>
      </c>
      <c r="S55" s="4">
        <v>9</v>
      </c>
      <c r="T55" s="4">
        <v>11</v>
      </c>
      <c r="U55" s="4">
        <v>67</v>
      </c>
      <c r="V55" s="43">
        <f>IF(ISERROR(VLOOKUP($S$55,'TAR FIN'!$A$1:$O$100,15,0)),0,VLOOKUP($S$55,'TAR FIN'!$A$1:$O$100,15,0))*(1-0.06)</f>
        <v>34.789399999999993</v>
      </c>
      <c r="W55" s="43">
        <f>IF(ISERROR(VLOOKUP($T$55,'TAR FIN'!$A$1:$O$100,15,0)),0,VLOOKUP($T$55,'TAR FIN'!$A$1:$O$100,15,0))*(1-0.06)</f>
        <v>41.030999999999999</v>
      </c>
      <c r="X55" s="43">
        <f>IF(ISERROR(VLOOKUP($U$55,'TAR FIN'!$A$1:$O$100,15,0)),0,VLOOKUP($U$55,'TAR FIN'!$A$1:$O$100,15,0))*(1-0.06)</f>
        <v>344.60399999999998</v>
      </c>
      <c r="Y55" s="43">
        <f ca="1">('TUSD BE'!$AM$12+'TUSD BF'!$AM$12+'TUSD CVA'!$AM$12)*1*(1-0.03)</f>
        <v>35.091976375639973</v>
      </c>
      <c r="Z55" s="43">
        <f ca="1">('TUSD BE'!$AM$14+'TUSD BF'!$AM$14+'TUSD CVA'!$AM$14)*1*(1-0.03)</f>
        <v>48.293429791201078</v>
      </c>
      <c r="AA55" s="43">
        <f>('TE BE'!$AA$7+'TE BF'!$AA$7+'TE CVA'!$AA$7)*1*(1-0.03)</f>
        <v>373.90159935253052</v>
      </c>
      <c r="AB55" s="43">
        <f>(SUBSIDIO!$J$55*SUBSIDIO!$V$55)*(0.06)/(1-0.06)</f>
        <v>3115.5017999999995</v>
      </c>
      <c r="AC55" s="43">
        <f>((SUBSIDIO!$L$55*SUBSIDIO!$W$55)+(SUBSIDIO!$N$55*SUBSIDIO!$X$55))*(0.06)/(1-0.06)</f>
        <v>1759.3817399999998</v>
      </c>
      <c r="AD55" s="43">
        <f ca="1">(SUBSIDIO!$J$55*SUBSIDIO!$Y$55)*(0.03)/(1-0.03)</f>
        <v>1522.7023563409139</v>
      </c>
      <c r="AE55" s="43">
        <f ca="1">((SUBSIDIO!$L$55*SUBSIDIO!$Z$55)+(SUBSIDIO!$N$55*SUBSIDIO!$AA$55))*(0.03)/(1-0.03)</f>
        <v>933.30346091991828</v>
      </c>
      <c r="AF55" s="4" t="s">
        <v>913</v>
      </c>
    </row>
    <row r="56" spans="1:32" ht="11.25" customHeight="1" x14ac:dyDescent="0.25">
      <c r="A56" s="4" t="s">
        <v>21</v>
      </c>
      <c r="B56" s="4" t="s">
        <v>39</v>
      </c>
      <c r="C56" s="4" t="s">
        <v>40</v>
      </c>
      <c r="D56" s="4" t="s">
        <v>49</v>
      </c>
      <c r="E56" s="4" t="s">
        <v>50</v>
      </c>
      <c r="F56" s="4" t="s">
        <v>25</v>
      </c>
      <c r="G56" s="4" t="s">
        <v>25</v>
      </c>
      <c r="H56" s="4" t="s">
        <v>34</v>
      </c>
      <c r="I56" s="5">
        <v>44409</v>
      </c>
      <c r="J56" s="6">
        <v>1207</v>
      </c>
      <c r="K56" s="42">
        <v>1207</v>
      </c>
      <c r="L56" s="6">
        <v>70.837999999999994</v>
      </c>
      <c r="M56" s="43">
        <v>70.837999999999994</v>
      </c>
      <c r="N56" s="6">
        <v>70.837999999999994</v>
      </c>
      <c r="O56" s="43">
        <v>70.837999999999994</v>
      </c>
      <c r="P56" s="6">
        <v>0</v>
      </c>
      <c r="Q56" s="4" t="s">
        <v>26</v>
      </c>
      <c r="R56" s="4">
        <v>0</v>
      </c>
      <c r="S56" s="4">
        <v>9</v>
      </c>
      <c r="T56" s="4">
        <v>11</v>
      </c>
      <c r="U56" s="4">
        <v>67</v>
      </c>
      <c r="V56" s="43">
        <f>IF(ISERROR(VLOOKUP($S$56,'TAR FIN'!$A$1:$O$100,15,0)),0,VLOOKUP($S$56,'TAR FIN'!$A$1:$O$100,15,0))*(1-0.06)</f>
        <v>34.789399999999993</v>
      </c>
      <c r="W56" s="43">
        <f>IF(ISERROR(VLOOKUP($T$56,'TAR FIN'!$A$1:$O$100,15,0)),0,VLOOKUP($T$56,'TAR FIN'!$A$1:$O$100,15,0))*(1-0.06)</f>
        <v>41.030999999999999</v>
      </c>
      <c r="X56" s="43">
        <f>IF(ISERROR(VLOOKUP($U$56,'TAR FIN'!$A$1:$O$100,15,0)),0,VLOOKUP($U$56,'TAR FIN'!$A$1:$O$100,15,0))*(1-0.06)</f>
        <v>344.60399999999998</v>
      </c>
      <c r="Y56" s="43">
        <f ca="1">('TUSD BE'!$AM$12+'TUSD BF'!$AM$12+'TUSD CVA'!$AM$12)*1*(1-0.03)</f>
        <v>35.091976375639973</v>
      </c>
      <c r="Z56" s="43">
        <f ca="1">('TUSD BE'!$AM$14+'TUSD BF'!$AM$14+'TUSD CVA'!$AM$14)*1*(1-0.03)</f>
        <v>48.293429791201078</v>
      </c>
      <c r="AA56" s="43">
        <f>('TE BE'!$AA$7+'TE BF'!$AA$7+'TE CVA'!$AA$7)*1*(1-0.03)</f>
        <v>373.90159935253052</v>
      </c>
      <c r="AB56" s="43">
        <f>(SUBSIDIO!$J$56*SUBSIDIO!$V$56)*(0.06)/(1-0.06)</f>
        <v>2680.2641999999996</v>
      </c>
      <c r="AC56" s="43">
        <f>((SUBSIDIO!$L$56*SUBSIDIO!$W$56)+(SUBSIDIO!$N$56*SUBSIDIO!$X$56))*(0.06)/(1-0.06)</f>
        <v>1743.6773699999999</v>
      </c>
      <c r="AD56" s="43">
        <f ca="1">(SUBSIDIO!$J$56*SUBSIDIO!$Y$56)*(0.03)/(1-0.03)</f>
        <v>1309.9798603731169</v>
      </c>
      <c r="AE56" s="43">
        <f ca="1">((SUBSIDIO!$L$56*SUBSIDIO!$Z$56)+(SUBSIDIO!$N$56*SUBSIDIO!$AA$56))*(0.03)/(1-0.03)</f>
        <v>924.97272601495843</v>
      </c>
      <c r="AF56" s="4" t="s">
        <v>913</v>
      </c>
    </row>
    <row r="57" spans="1:32" ht="11.25" customHeight="1" x14ac:dyDescent="0.25">
      <c r="A57" s="4" t="s">
        <v>21</v>
      </c>
      <c r="B57" s="4" t="s">
        <v>39</v>
      </c>
      <c r="C57" s="4" t="s">
        <v>40</v>
      </c>
      <c r="D57" s="4" t="s">
        <v>49</v>
      </c>
      <c r="E57" s="4" t="s">
        <v>50</v>
      </c>
      <c r="F57" s="4" t="s">
        <v>25</v>
      </c>
      <c r="G57" s="4" t="s">
        <v>25</v>
      </c>
      <c r="H57" s="4" t="s">
        <v>34</v>
      </c>
      <c r="I57" s="5">
        <v>44440</v>
      </c>
      <c r="J57" s="6">
        <v>1342</v>
      </c>
      <c r="K57" s="42">
        <v>1342</v>
      </c>
      <c r="L57" s="6">
        <v>71.135000000000005</v>
      </c>
      <c r="M57" s="43">
        <v>71.135000000000005</v>
      </c>
      <c r="N57" s="6">
        <v>71.135000000000005</v>
      </c>
      <c r="O57" s="43">
        <v>71.135000000000005</v>
      </c>
      <c r="P57" s="6">
        <v>0</v>
      </c>
      <c r="Q57" s="4" t="s">
        <v>26</v>
      </c>
      <c r="R57" s="4">
        <v>0</v>
      </c>
      <c r="S57" s="4">
        <v>9</v>
      </c>
      <c r="T57" s="4">
        <v>11</v>
      </c>
      <c r="U57" s="4">
        <v>67</v>
      </c>
      <c r="V57" s="43">
        <f>IF(ISERROR(VLOOKUP($S$57,'TAR FIN'!$A$1:$O$100,15,0)),0,VLOOKUP($S$57,'TAR FIN'!$A$1:$O$100,15,0))*(1-0.06)</f>
        <v>34.789399999999993</v>
      </c>
      <c r="W57" s="43">
        <f>IF(ISERROR(VLOOKUP($T$57,'TAR FIN'!$A$1:$O$100,15,0)),0,VLOOKUP($T$57,'TAR FIN'!$A$1:$O$100,15,0))*(1-0.06)</f>
        <v>41.030999999999999</v>
      </c>
      <c r="X57" s="43">
        <f>IF(ISERROR(VLOOKUP($U$57,'TAR FIN'!$A$1:$O$100,15,0)),0,VLOOKUP($U$57,'TAR FIN'!$A$1:$O$100,15,0))*(1-0.06)</f>
        <v>344.60399999999998</v>
      </c>
      <c r="Y57" s="43">
        <f ca="1">('TUSD BE'!$AM$12+'TUSD BF'!$AM$12+'TUSD CVA'!$AM$12)*1*(1-0.03)</f>
        <v>35.091976375639973</v>
      </c>
      <c r="Z57" s="43">
        <f ca="1">('TUSD BE'!$AM$14+'TUSD BF'!$AM$14+'TUSD CVA'!$AM$14)*1*(1-0.03)</f>
        <v>48.293429791201078</v>
      </c>
      <c r="AA57" s="43">
        <f>('TE BE'!$AA$7+'TE BF'!$AA$7+'TE CVA'!$AA$7)*1*(1-0.03)</f>
        <v>373.90159935253052</v>
      </c>
      <c r="AB57" s="43">
        <f>(SUBSIDIO!$J$57*SUBSIDIO!$V$57)*(0.06)/(1-0.06)</f>
        <v>2980.0451999999996</v>
      </c>
      <c r="AC57" s="43">
        <f>((SUBSIDIO!$L$57*SUBSIDIO!$W$57)+(SUBSIDIO!$N$57*SUBSIDIO!$X$57))*(0.06)/(1-0.06)</f>
        <v>1750.9880249999999</v>
      </c>
      <c r="AD57" s="43">
        <f ca="1">(SUBSIDIO!$J$57*SUBSIDIO!$Y$57)*(0.03)/(1-0.03)</f>
        <v>1456.497906065222</v>
      </c>
      <c r="AE57" s="43">
        <f ca="1">((SUBSIDIO!$L$57*SUBSIDIO!$Z$57)+(SUBSIDIO!$N$57*SUBSIDIO!$AA$57))*(0.03)/(1-0.03)</f>
        <v>928.85082674657781</v>
      </c>
      <c r="AF57" s="4" t="s">
        <v>913</v>
      </c>
    </row>
    <row r="58" spans="1:32" ht="11.25" customHeight="1" x14ac:dyDescent="0.25">
      <c r="A58" s="4" t="s">
        <v>21</v>
      </c>
      <c r="B58" s="4" t="s">
        <v>39</v>
      </c>
      <c r="C58" s="4" t="s">
        <v>40</v>
      </c>
      <c r="D58" s="4" t="s">
        <v>49</v>
      </c>
      <c r="E58" s="4" t="s">
        <v>50</v>
      </c>
      <c r="F58" s="4" t="s">
        <v>25</v>
      </c>
      <c r="G58" s="4" t="s">
        <v>25</v>
      </c>
      <c r="H58" s="4" t="s">
        <v>34</v>
      </c>
      <c r="I58" s="5">
        <v>44470</v>
      </c>
      <c r="J58" s="6">
        <v>1407</v>
      </c>
      <c r="K58" s="42">
        <v>1407</v>
      </c>
      <c r="L58" s="6">
        <v>70.917000000000002</v>
      </c>
      <c r="M58" s="43">
        <v>70.917000000000002</v>
      </c>
      <c r="N58" s="6">
        <v>70.917000000000002</v>
      </c>
      <c r="O58" s="43">
        <v>70.917000000000002</v>
      </c>
      <c r="P58" s="6">
        <v>0</v>
      </c>
      <c r="Q58" s="4" t="s">
        <v>26</v>
      </c>
      <c r="R58" s="4">
        <v>0</v>
      </c>
      <c r="S58" s="4">
        <v>9</v>
      </c>
      <c r="T58" s="4">
        <v>11</v>
      </c>
      <c r="U58" s="4">
        <v>67</v>
      </c>
      <c r="V58" s="43">
        <f>IF(ISERROR(VLOOKUP($S$58,'TAR FIN'!$A$1:$O$100,15,0)),0,VLOOKUP($S$58,'TAR FIN'!$A$1:$O$100,15,0))*(1-0.06)</f>
        <v>34.789399999999993</v>
      </c>
      <c r="W58" s="43">
        <f>IF(ISERROR(VLOOKUP($T$58,'TAR FIN'!$A$1:$O$100,15,0)),0,VLOOKUP($T$58,'TAR FIN'!$A$1:$O$100,15,0))*(1-0.06)</f>
        <v>41.030999999999999</v>
      </c>
      <c r="X58" s="43">
        <f>IF(ISERROR(VLOOKUP($U$58,'TAR FIN'!$A$1:$O$100,15,0)),0,VLOOKUP($U$58,'TAR FIN'!$A$1:$O$100,15,0))*(1-0.06)</f>
        <v>344.60399999999998</v>
      </c>
      <c r="Y58" s="43">
        <f ca="1">('TUSD BE'!$AM$12+'TUSD BF'!$AM$12+'TUSD CVA'!$AM$12)*1*(1-0.03)</f>
        <v>35.091976375639973</v>
      </c>
      <c r="Z58" s="43">
        <f ca="1">('TUSD BE'!$AM$14+'TUSD BF'!$AM$14+'TUSD CVA'!$AM$14)*1*(1-0.03)</f>
        <v>48.293429791201078</v>
      </c>
      <c r="AA58" s="43">
        <f>('TE BE'!$AA$7+'TE BF'!$AA$7+'TE CVA'!$AA$7)*1*(1-0.03)</f>
        <v>373.90159935253052</v>
      </c>
      <c r="AB58" s="43">
        <f>(SUBSIDIO!$J$58*SUBSIDIO!$V$58)*(0.06)/(1-0.06)</f>
        <v>3124.3841999999995</v>
      </c>
      <c r="AC58" s="43">
        <f>((SUBSIDIO!$L$58*SUBSIDIO!$W$58)+(SUBSIDIO!$N$58*SUBSIDIO!$X$58))*(0.06)/(1-0.06)</f>
        <v>1745.6219550000001</v>
      </c>
      <c r="AD58" s="43">
        <f ca="1">(SUBSIDIO!$J$58*SUBSIDIO!$Y$58)*(0.03)/(1-0.03)</f>
        <v>1527.0436317688279</v>
      </c>
      <c r="AE58" s="43">
        <f ca="1">((SUBSIDIO!$L$58*SUBSIDIO!$Z$58)+(SUBSIDIO!$N$58*SUBSIDIO!$AA$58))*(0.03)/(1-0.03)</f>
        <v>926.00427469441286</v>
      </c>
      <c r="AF58" s="4" t="s">
        <v>913</v>
      </c>
    </row>
    <row r="59" spans="1:32" ht="11.25" customHeight="1" x14ac:dyDescent="0.25">
      <c r="A59" s="4" t="s">
        <v>21</v>
      </c>
      <c r="B59" s="4" t="s">
        <v>39</v>
      </c>
      <c r="C59" s="4" t="s">
        <v>40</v>
      </c>
      <c r="D59" s="4" t="s">
        <v>49</v>
      </c>
      <c r="E59" s="4" t="s">
        <v>50</v>
      </c>
      <c r="F59" s="4" t="s">
        <v>25</v>
      </c>
      <c r="G59" s="4" t="s">
        <v>25</v>
      </c>
      <c r="H59" s="4" t="s">
        <v>34</v>
      </c>
      <c r="I59" s="5">
        <v>44501</v>
      </c>
      <c r="J59" s="6">
        <v>1408</v>
      </c>
      <c r="K59" s="42">
        <v>1408</v>
      </c>
      <c r="L59" s="6">
        <v>72.337999999999994</v>
      </c>
      <c r="M59" s="43">
        <v>72.337999999999994</v>
      </c>
      <c r="N59" s="6">
        <v>72.337999999999994</v>
      </c>
      <c r="O59" s="43">
        <v>72.337999999999994</v>
      </c>
      <c r="P59" s="6">
        <v>0</v>
      </c>
      <c r="Q59" s="4" t="s">
        <v>26</v>
      </c>
      <c r="R59" s="4">
        <v>0</v>
      </c>
      <c r="S59" s="4">
        <v>9</v>
      </c>
      <c r="T59" s="4">
        <v>11</v>
      </c>
      <c r="U59" s="4">
        <v>67</v>
      </c>
      <c r="V59" s="43">
        <f>IF(ISERROR(VLOOKUP($S$59,'TAR FIN'!$A$1:$O$100,15,0)),0,VLOOKUP($S$59,'TAR FIN'!$A$1:$O$100,15,0))*(1-0.06)</f>
        <v>34.789399999999993</v>
      </c>
      <c r="W59" s="43">
        <f>IF(ISERROR(VLOOKUP($T$59,'TAR FIN'!$A$1:$O$100,15,0)),0,VLOOKUP($T$59,'TAR FIN'!$A$1:$O$100,15,0))*(1-0.06)</f>
        <v>41.030999999999999</v>
      </c>
      <c r="X59" s="43">
        <f>IF(ISERROR(VLOOKUP($U$59,'TAR FIN'!$A$1:$O$100,15,0)),0,VLOOKUP($U$59,'TAR FIN'!$A$1:$O$100,15,0))*(1-0.06)</f>
        <v>344.60399999999998</v>
      </c>
      <c r="Y59" s="43">
        <f ca="1">('TUSD BE'!$AM$12+'TUSD BF'!$AM$12+'TUSD CVA'!$AM$12)*1*(1-0.03)</f>
        <v>35.091976375639973</v>
      </c>
      <c r="Z59" s="43">
        <f ca="1">('TUSD BE'!$AM$14+'TUSD BF'!$AM$14+'TUSD CVA'!$AM$14)*1*(1-0.03)</f>
        <v>48.293429791201078</v>
      </c>
      <c r="AA59" s="43">
        <f>('TE BE'!$AA$7+'TE BF'!$AA$7+'TE CVA'!$AA$7)*1*(1-0.03)</f>
        <v>373.90159935253052</v>
      </c>
      <c r="AB59" s="43">
        <f>(SUBSIDIO!$J$59*SUBSIDIO!$V$59)*(0.06)/(1-0.06)</f>
        <v>3126.6047999999996</v>
      </c>
      <c r="AC59" s="43">
        <f>((SUBSIDIO!$L$59*SUBSIDIO!$W$59)+(SUBSIDIO!$N$59*SUBSIDIO!$X$59))*(0.06)/(1-0.06)</f>
        <v>1780.59987</v>
      </c>
      <c r="AD59" s="43">
        <f ca="1">(SUBSIDIO!$J$59*SUBSIDIO!$Y$59)*(0.03)/(1-0.03)</f>
        <v>1528.1289506258067</v>
      </c>
      <c r="AE59" s="43">
        <f ca="1">((SUBSIDIO!$L$59*SUBSIDIO!$Z$59)+(SUBSIDIO!$N$59*SUBSIDIO!$AA$59))*(0.03)/(1-0.03)</f>
        <v>944.55909334636863</v>
      </c>
      <c r="AF59" s="4" t="s">
        <v>913</v>
      </c>
    </row>
    <row r="60" spans="1:32" ht="11.25" customHeight="1" x14ac:dyDescent="0.25">
      <c r="A60" s="4" t="s">
        <v>21</v>
      </c>
      <c r="B60" s="4" t="s">
        <v>39</v>
      </c>
      <c r="C60" s="4" t="s">
        <v>40</v>
      </c>
      <c r="D60" s="4" t="s">
        <v>49</v>
      </c>
      <c r="E60" s="4" t="s">
        <v>50</v>
      </c>
      <c r="F60" s="4" t="s">
        <v>25</v>
      </c>
      <c r="G60" s="4" t="s">
        <v>25</v>
      </c>
      <c r="H60" s="4" t="s">
        <v>34</v>
      </c>
      <c r="I60" s="5">
        <v>44531</v>
      </c>
      <c r="J60" s="6">
        <v>1412</v>
      </c>
      <c r="K60" s="42">
        <v>1412</v>
      </c>
      <c r="L60" s="6">
        <v>80.700999999999993</v>
      </c>
      <c r="M60" s="43">
        <v>80.700999999999993</v>
      </c>
      <c r="N60" s="6">
        <v>80.700999999999993</v>
      </c>
      <c r="O60" s="43">
        <v>80.700999999999993</v>
      </c>
      <c r="P60" s="6">
        <v>0</v>
      </c>
      <c r="Q60" s="4" t="s">
        <v>26</v>
      </c>
      <c r="R60" s="4">
        <v>0</v>
      </c>
      <c r="S60" s="4">
        <v>9</v>
      </c>
      <c r="T60" s="4">
        <v>11</v>
      </c>
      <c r="U60" s="4">
        <v>67</v>
      </c>
      <c r="V60" s="43">
        <f>IF(ISERROR(VLOOKUP($S$60,'TAR FIN'!$A$1:$O$100,15,0)),0,VLOOKUP($S$60,'TAR FIN'!$A$1:$O$100,15,0))*(1-0.06)</f>
        <v>34.789399999999993</v>
      </c>
      <c r="W60" s="43">
        <f>IF(ISERROR(VLOOKUP($T$60,'TAR FIN'!$A$1:$O$100,15,0)),0,VLOOKUP($T$60,'TAR FIN'!$A$1:$O$100,15,0))*(1-0.06)</f>
        <v>41.030999999999999</v>
      </c>
      <c r="X60" s="43">
        <f>IF(ISERROR(VLOOKUP($U$60,'TAR FIN'!$A$1:$O$100,15,0)),0,VLOOKUP($U$60,'TAR FIN'!$A$1:$O$100,15,0))*(1-0.06)</f>
        <v>344.60399999999998</v>
      </c>
      <c r="Y60" s="43">
        <f ca="1">('TUSD BE'!$AM$12+'TUSD BF'!$AM$12+'TUSD CVA'!$AM$12)*1*(1-0.03)</f>
        <v>35.091976375639973</v>
      </c>
      <c r="Z60" s="43">
        <f ca="1">('TUSD BE'!$AM$14+'TUSD BF'!$AM$14+'TUSD CVA'!$AM$14)*1*(1-0.03)</f>
        <v>48.293429791201078</v>
      </c>
      <c r="AA60" s="43">
        <f>('TE BE'!$AA$7+'TE BF'!$AA$7+'TE CVA'!$AA$7)*1*(1-0.03)</f>
        <v>373.90159935253052</v>
      </c>
      <c r="AB60" s="43">
        <f>(SUBSIDIO!$J$60*SUBSIDIO!$V$60)*(0.06)/(1-0.06)</f>
        <v>3135.4871999999996</v>
      </c>
      <c r="AC60" s="43">
        <f>((SUBSIDIO!$L$60*SUBSIDIO!$W$60)+(SUBSIDIO!$N$60*SUBSIDIO!$X$60))*(0.06)/(1-0.06)</f>
        <v>1986.4551149999998</v>
      </c>
      <c r="AD60" s="43">
        <f ca="1">(SUBSIDIO!$J$60*SUBSIDIO!$Y$60)*(0.03)/(1-0.03)</f>
        <v>1532.4702260537208</v>
      </c>
      <c r="AE60" s="43">
        <f ca="1">((SUBSIDIO!$L$60*SUBSIDIO!$Z$60)+(SUBSIDIO!$N$60*SUBSIDIO!$AA$60))*(0.03)/(1-0.03)</f>
        <v>1053.7596200080911</v>
      </c>
      <c r="AF60" s="4" t="s">
        <v>913</v>
      </c>
    </row>
    <row r="61" spans="1:32" ht="11.25" customHeight="1" x14ac:dyDescent="0.25">
      <c r="A61" s="4" t="s">
        <v>55</v>
      </c>
      <c r="B61" s="4" t="s">
        <v>39</v>
      </c>
      <c r="C61" s="4" t="s">
        <v>40</v>
      </c>
      <c r="D61" s="4" t="s">
        <v>49</v>
      </c>
      <c r="E61" s="4" t="s">
        <v>50</v>
      </c>
      <c r="F61" s="4" t="s">
        <v>25</v>
      </c>
      <c r="G61" s="4" t="s">
        <v>25</v>
      </c>
      <c r="H61" s="4" t="s">
        <v>34</v>
      </c>
      <c r="I61" s="5">
        <v>44562</v>
      </c>
      <c r="J61" s="6">
        <v>1412</v>
      </c>
      <c r="K61" s="42">
        <v>1412</v>
      </c>
      <c r="L61" s="6">
        <v>80.700999999999993</v>
      </c>
      <c r="M61" s="43">
        <v>80.700999999999993</v>
      </c>
      <c r="N61" s="6">
        <v>80.700999999999993</v>
      </c>
      <c r="O61" s="43">
        <v>80.700999999999993</v>
      </c>
      <c r="P61" s="6">
        <v>0</v>
      </c>
      <c r="Q61" s="4" t="s">
        <v>26</v>
      </c>
      <c r="R61" s="4">
        <v>0</v>
      </c>
      <c r="S61" s="4">
        <v>9</v>
      </c>
      <c r="T61" s="4">
        <v>11</v>
      </c>
      <c r="U61" s="4">
        <v>67</v>
      </c>
      <c r="V61" s="43">
        <f>IF(ISERROR(VLOOKUP($S$61,'TAR FIN'!$A$1:$O$100,15,0)),0,VLOOKUP($S$61,'TAR FIN'!$A$1:$O$100,15,0))*(1-0.06)</f>
        <v>34.789399999999993</v>
      </c>
      <c r="W61" s="43">
        <f>IF(ISERROR(VLOOKUP($T$61,'TAR FIN'!$A$1:$O$100,15,0)),0,VLOOKUP($T$61,'TAR FIN'!$A$1:$O$100,15,0))*(1-0.06)</f>
        <v>41.030999999999999</v>
      </c>
      <c r="X61" s="43">
        <f>IF(ISERROR(VLOOKUP($U$61,'TAR FIN'!$A$1:$O$100,15,0)),0,VLOOKUP($U$61,'TAR FIN'!$A$1:$O$100,15,0))*(1-0.06)</f>
        <v>344.60399999999998</v>
      </c>
      <c r="Y61" s="43">
        <f ca="1">('TUSD BE'!$AM$12+'TUSD BF'!$AM$12+'TUSD CVA'!$AM$12)*1*(1-0.03)</f>
        <v>35.091976375639973</v>
      </c>
      <c r="Z61" s="43">
        <f ca="1">('TUSD BE'!$AM$14+'TUSD BF'!$AM$14+'TUSD CVA'!$AM$14)*1*(1-0.03)</f>
        <v>48.293429791201078</v>
      </c>
      <c r="AA61" s="43">
        <f>('TE BE'!$AA$7+'TE BF'!$AA$7+'TE CVA'!$AA$7)*1*(1-0.03)</f>
        <v>373.90159935253052</v>
      </c>
      <c r="AB61" s="43">
        <f>(SUBSIDIO!$J$61*SUBSIDIO!$V$61)*(0.06)/(1-0.06)</f>
        <v>3135.4871999999996</v>
      </c>
      <c r="AC61" s="43">
        <f>((SUBSIDIO!$L$61*SUBSIDIO!$W$61)+(SUBSIDIO!$N$61*SUBSIDIO!$X$61))*(0.06)/(1-0.06)</f>
        <v>1986.4551149999998</v>
      </c>
      <c r="AD61" s="43">
        <f ca="1">(SUBSIDIO!$J$61*SUBSIDIO!$Y$61)*(0.03)/(1-0.03)</f>
        <v>1532.4702260537208</v>
      </c>
      <c r="AE61" s="43">
        <f ca="1">((SUBSIDIO!$L$61*SUBSIDIO!$Z$61)+(SUBSIDIO!$N$61*SUBSIDIO!$AA$61))*(0.03)/(1-0.03)</f>
        <v>1053.7596200080911</v>
      </c>
      <c r="AF61" s="4" t="s">
        <v>913</v>
      </c>
    </row>
    <row r="62" spans="1:32" ht="11.25" customHeight="1" x14ac:dyDescent="0.25">
      <c r="A62" s="4" t="s">
        <v>21</v>
      </c>
      <c r="B62" s="4" t="s">
        <v>39</v>
      </c>
      <c r="C62" s="4" t="s">
        <v>41</v>
      </c>
      <c r="D62" s="4" t="s">
        <v>38</v>
      </c>
      <c r="E62" s="4" t="s">
        <v>25</v>
      </c>
      <c r="F62" s="4" t="s">
        <v>58</v>
      </c>
      <c r="G62" s="4" t="s">
        <v>25</v>
      </c>
      <c r="H62" s="4" t="s">
        <v>35</v>
      </c>
      <c r="I62" s="5">
        <v>44228</v>
      </c>
      <c r="J62" s="6">
        <v>0</v>
      </c>
      <c r="K62" s="6">
        <v>0</v>
      </c>
      <c r="L62" s="6">
        <v>3771.5549999999998</v>
      </c>
      <c r="M62" s="6">
        <v>3771.5549999999998</v>
      </c>
      <c r="N62" s="6">
        <v>0</v>
      </c>
      <c r="O62" s="6">
        <v>0</v>
      </c>
      <c r="P62" s="6">
        <v>0</v>
      </c>
      <c r="Q62" s="4" t="s">
        <v>57</v>
      </c>
      <c r="R62" s="4">
        <v>0</v>
      </c>
      <c r="S62" s="4">
        <v>0</v>
      </c>
      <c r="T62" s="4">
        <v>25</v>
      </c>
      <c r="U62" s="4">
        <v>0</v>
      </c>
      <c r="V62" s="6">
        <f>IF(ISERROR(VLOOKUP($S$62,'TAR FIN'!$A$1:$O$100,15,0)),0,VLOOKUP($S$62,'TAR FIN'!$A$1:$O$100,15,0))</f>
        <v>0</v>
      </c>
      <c r="W62" s="6">
        <f>IF(ISERROR(VLOOKUP($T$62,'TAR FIN'!$A$1:$O$100,15,0)),0,VLOOKUP($T$62,'TAR FIN'!$A$1:$O$100,15,0))</f>
        <v>43.65</v>
      </c>
      <c r="X62" s="6">
        <f>IF(ISERROR(VLOOKUP($U$62,'TAR FIN'!$A$1:$O$100,15,0)),0,VLOOKUP($U$62,'TAR FIN'!$A$1:$O$100,15,0))</f>
        <v>0</v>
      </c>
      <c r="Y62" s="6"/>
      <c r="Z62" s="6">
        <f ca="1">('TUSD BE'!$AM$22+'TUSD BF'!$AM$22+'TUSD CVA'!$AM$22)*1</f>
        <v>49.78704102185678</v>
      </c>
      <c r="AA62" s="6"/>
      <c r="AB62" s="6">
        <f t="shared" si="0"/>
        <v>0</v>
      </c>
      <c r="AC62" s="6">
        <f t="shared" si="6"/>
        <v>0</v>
      </c>
      <c r="AD62" s="6">
        <f t="shared" si="2"/>
        <v>0</v>
      </c>
      <c r="AE62" s="6">
        <f t="shared" ca="1" si="7"/>
        <v>0</v>
      </c>
      <c r="AF62" s="4" t="s">
        <v>912</v>
      </c>
    </row>
    <row r="63" spans="1:32" ht="11.25" customHeight="1" x14ac:dyDescent="0.25">
      <c r="A63" s="4" t="s">
        <v>21</v>
      </c>
      <c r="B63" s="4" t="s">
        <v>39</v>
      </c>
      <c r="C63" s="4" t="s">
        <v>41</v>
      </c>
      <c r="D63" s="4" t="s">
        <v>38</v>
      </c>
      <c r="E63" s="4" t="s">
        <v>25</v>
      </c>
      <c r="F63" s="4" t="s">
        <v>58</v>
      </c>
      <c r="G63" s="4" t="s">
        <v>25</v>
      </c>
      <c r="H63" s="4" t="s">
        <v>35</v>
      </c>
      <c r="I63" s="5">
        <v>44256</v>
      </c>
      <c r="J63" s="6">
        <v>0</v>
      </c>
      <c r="K63" s="6">
        <v>0</v>
      </c>
      <c r="L63" s="6">
        <v>3462.8890000000001</v>
      </c>
      <c r="M63" s="6">
        <v>3462.8890000000001</v>
      </c>
      <c r="N63" s="6">
        <v>0</v>
      </c>
      <c r="O63" s="6">
        <v>0</v>
      </c>
      <c r="P63" s="6">
        <v>0</v>
      </c>
      <c r="Q63" s="4" t="s">
        <v>57</v>
      </c>
      <c r="R63" s="4">
        <v>0</v>
      </c>
      <c r="S63" s="4">
        <v>0</v>
      </c>
      <c r="T63" s="4">
        <v>25</v>
      </c>
      <c r="U63" s="4">
        <v>0</v>
      </c>
      <c r="V63" s="6">
        <f>IF(ISERROR(VLOOKUP($S$63,'TAR FIN'!$A$1:$O$100,15,0)),0,VLOOKUP($S$63,'TAR FIN'!$A$1:$O$100,15,0))</f>
        <v>0</v>
      </c>
      <c r="W63" s="6">
        <f>IF(ISERROR(VLOOKUP($T$63,'TAR FIN'!$A$1:$O$100,15,0)),0,VLOOKUP($T$63,'TAR FIN'!$A$1:$O$100,15,0))</f>
        <v>43.65</v>
      </c>
      <c r="X63" s="6">
        <f>IF(ISERROR(VLOOKUP($U$63,'TAR FIN'!$A$1:$O$100,15,0)),0,VLOOKUP($U$63,'TAR FIN'!$A$1:$O$100,15,0))</f>
        <v>0</v>
      </c>
      <c r="Y63" s="6"/>
      <c r="Z63" s="6">
        <f ca="1">('TUSD BE'!$AM$22+'TUSD BF'!$AM$22+'TUSD CVA'!$AM$22)*1</f>
        <v>49.78704102185678</v>
      </c>
      <c r="AA63" s="6"/>
      <c r="AB63" s="6">
        <f t="shared" si="0"/>
        <v>0</v>
      </c>
      <c r="AC63" s="6">
        <f t="shared" si="6"/>
        <v>0</v>
      </c>
      <c r="AD63" s="6">
        <f t="shared" si="2"/>
        <v>0</v>
      </c>
      <c r="AE63" s="6">
        <f t="shared" ca="1" si="7"/>
        <v>0</v>
      </c>
      <c r="AF63" s="4" t="s">
        <v>912</v>
      </c>
    </row>
    <row r="64" spans="1:32" ht="11.25" customHeight="1" x14ac:dyDescent="0.25">
      <c r="A64" s="4" t="s">
        <v>21</v>
      </c>
      <c r="B64" s="4" t="s">
        <v>39</v>
      </c>
      <c r="C64" s="4" t="s">
        <v>41</v>
      </c>
      <c r="D64" s="4" t="s">
        <v>38</v>
      </c>
      <c r="E64" s="4" t="s">
        <v>25</v>
      </c>
      <c r="F64" s="4" t="s">
        <v>58</v>
      </c>
      <c r="G64" s="4" t="s">
        <v>25</v>
      </c>
      <c r="H64" s="4" t="s">
        <v>35</v>
      </c>
      <c r="I64" s="5">
        <v>44287</v>
      </c>
      <c r="J64" s="6">
        <v>0</v>
      </c>
      <c r="K64" s="6">
        <v>0</v>
      </c>
      <c r="L64" s="6">
        <v>3515.2710000000002</v>
      </c>
      <c r="M64" s="6">
        <v>3515.2710000000002</v>
      </c>
      <c r="N64" s="6">
        <v>0</v>
      </c>
      <c r="O64" s="6">
        <v>0</v>
      </c>
      <c r="P64" s="6">
        <v>0</v>
      </c>
      <c r="Q64" s="4" t="s">
        <v>57</v>
      </c>
      <c r="R64" s="4">
        <v>0</v>
      </c>
      <c r="S64" s="4">
        <v>0</v>
      </c>
      <c r="T64" s="4">
        <v>25</v>
      </c>
      <c r="U64" s="4">
        <v>0</v>
      </c>
      <c r="V64" s="6">
        <f>IF(ISERROR(VLOOKUP($S$64,'TAR FIN'!$A$1:$O$100,15,0)),0,VLOOKUP($S$64,'TAR FIN'!$A$1:$O$100,15,0))</f>
        <v>0</v>
      </c>
      <c r="W64" s="6">
        <f>IF(ISERROR(VLOOKUP($T$64,'TAR FIN'!$A$1:$O$100,15,0)),0,VLOOKUP($T$64,'TAR FIN'!$A$1:$O$100,15,0))</f>
        <v>43.65</v>
      </c>
      <c r="X64" s="6">
        <f>IF(ISERROR(VLOOKUP($U$64,'TAR FIN'!$A$1:$O$100,15,0)),0,VLOOKUP($U$64,'TAR FIN'!$A$1:$O$100,15,0))</f>
        <v>0</v>
      </c>
      <c r="Y64" s="6"/>
      <c r="Z64" s="6">
        <f ca="1">('TUSD BE'!$AM$22+'TUSD BF'!$AM$22+'TUSD CVA'!$AM$22)*1</f>
        <v>49.78704102185678</v>
      </c>
      <c r="AA64" s="6"/>
      <c r="AB64" s="6">
        <f t="shared" si="0"/>
        <v>0</v>
      </c>
      <c r="AC64" s="6">
        <f t="shared" si="6"/>
        <v>0</v>
      </c>
      <c r="AD64" s="6">
        <f t="shared" si="2"/>
        <v>0</v>
      </c>
      <c r="AE64" s="6">
        <f t="shared" ca="1" si="7"/>
        <v>0</v>
      </c>
      <c r="AF64" s="4" t="s">
        <v>912</v>
      </c>
    </row>
    <row r="65" spans="1:32" ht="11.25" customHeight="1" x14ac:dyDescent="0.25">
      <c r="A65" s="4" t="s">
        <v>21</v>
      </c>
      <c r="B65" s="4" t="s">
        <v>39</v>
      </c>
      <c r="C65" s="4" t="s">
        <v>41</v>
      </c>
      <c r="D65" s="4" t="s">
        <v>38</v>
      </c>
      <c r="E65" s="4" t="s">
        <v>25</v>
      </c>
      <c r="F65" s="4" t="s">
        <v>58</v>
      </c>
      <c r="G65" s="4" t="s">
        <v>25</v>
      </c>
      <c r="H65" s="4" t="s">
        <v>35</v>
      </c>
      <c r="I65" s="5">
        <v>44317</v>
      </c>
      <c r="J65" s="6">
        <v>0</v>
      </c>
      <c r="K65" s="6">
        <v>0</v>
      </c>
      <c r="L65" s="6">
        <v>3651.1619999999998</v>
      </c>
      <c r="M65" s="6">
        <v>3651.1619999999998</v>
      </c>
      <c r="N65" s="6">
        <v>0</v>
      </c>
      <c r="O65" s="6">
        <v>0</v>
      </c>
      <c r="P65" s="6">
        <v>0</v>
      </c>
      <c r="Q65" s="4" t="s">
        <v>57</v>
      </c>
      <c r="R65" s="4">
        <v>0</v>
      </c>
      <c r="S65" s="4">
        <v>0</v>
      </c>
      <c r="T65" s="4">
        <v>25</v>
      </c>
      <c r="U65" s="4">
        <v>0</v>
      </c>
      <c r="V65" s="6">
        <f>IF(ISERROR(VLOOKUP($S$65,'TAR FIN'!$A$1:$O$100,15,0)),0,VLOOKUP($S$65,'TAR FIN'!$A$1:$O$100,15,0))</f>
        <v>0</v>
      </c>
      <c r="W65" s="6">
        <f>IF(ISERROR(VLOOKUP($T$65,'TAR FIN'!$A$1:$O$100,15,0)),0,VLOOKUP($T$65,'TAR FIN'!$A$1:$O$100,15,0))</f>
        <v>43.65</v>
      </c>
      <c r="X65" s="6">
        <f>IF(ISERROR(VLOOKUP($U$65,'TAR FIN'!$A$1:$O$100,15,0)),0,VLOOKUP($U$65,'TAR FIN'!$A$1:$O$100,15,0))</f>
        <v>0</v>
      </c>
      <c r="Y65" s="6"/>
      <c r="Z65" s="6">
        <f ca="1">('TUSD BE'!$AM$22+'TUSD BF'!$AM$22+'TUSD CVA'!$AM$22)*1</f>
        <v>49.78704102185678</v>
      </c>
      <c r="AA65" s="6"/>
      <c r="AB65" s="6">
        <f t="shared" si="0"/>
        <v>0</v>
      </c>
      <c r="AC65" s="6">
        <f t="shared" si="6"/>
        <v>0</v>
      </c>
      <c r="AD65" s="6">
        <f t="shared" si="2"/>
        <v>0</v>
      </c>
      <c r="AE65" s="6">
        <f t="shared" ca="1" si="7"/>
        <v>0</v>
      </c>
      <c r="AF65" s="4" t="s">
        <v>912</v>
      </c>
    </row>
    <row r="66" spans="1:32" ht="11.25" customHeight="1" x14ac:dyDescent="0.25">
      <c r="A66" s="4" t="s">
        <v>21</v>
      </c>
      <c r="B66" s="4" t="s">
        <v>39</v>
      </c>
      <c r="C66" s="4" t="s">
        <v>41</v>
      </c>
      <c r="D66" s="4" t="s">
        <v>38</v>
      </c>
      <c r="E66" s="4" t="s">
        <v>25</v>
      </c>
      <c r="F66" s="4" t="s">
        <v>58</v>
      </c>
      <c r="G66" s="4" t="s">
        <v>25</v>
      </c>
      <c r="H66" s="4" t="s">
        <v>35</v>
      </c>
      <c r="I66" s="5">
        <v>44348</v>
      </c>
      <c r="J66" s="6">
        <v>0</v>
      </c>
      <c r="K66" s="6">
        <v>0</v>
      </c>
      <c r="L66" s="6">
        <v>3664.721</v>
      </c>
      <c r="M66" s="6">
        <v>3664.721</v>
      </c>
      <c r="N66" s="6">
        <v>0</v>
      </c>
      <c r="O66" s="6">
        <v>0</v>
      </c>
      <c r="P66" s="6">
        <v>0</v>
      </c>
      <c r="Q66" s="4" t="s">
        <v>57</v>
      </c>
      <c r="R66" s="4">
        <v>0</v>
      </c>
      <c r="S66" s="4">
        <v>0</v>
      </c>
      <c r="T66" s="4">
        <v>25</v>
      </c>
      <c r="U66" s="4">
        <v>0</v>
      </c>
      <c r="V66" s="6">
        <f>IF(ISERROR(VLOOKUP($S$66,'TAR FIN'!$A$1:$O$100,15,0)),0,VLOOKUP($S$66,'TAR FIN'!$A$1:$O$100,15,0))</f>
        <v>0</v>
      </c>
      <c r="W66" s="6">
        <f>IF(ISERROR(VLOOKUP($T$66,'TAR FIN'!$A$1:$O$100,15,0)),0,VLOOKUP($T$66,'TAR FIN'!$A$1:$O$100,15,0))</f>
        <v>43.65</v>
      </c>
      <c r="X66" s="6">
        <f>IF(ISERROR(VLOOKUP($U$66,'TAR FIN'!$A$1:$O$100,15,0)),0,VLOOKUP($U$66,'TAR FIN'!$A$1:$O$100,15,0))</f>
        <v>0</v>
      </c>
      <c r="Y66" s="6"/>
      <c r="Z66" s="6">
        <f ca="1">('TUSD BE'!$AM$22+'TUSD BF'!$AM$22+'TUSD CVA'!$AM$22)*1</f>
        <v>49.78704102185678</v>
      </c>
      <c r="AA66" s="6"/>
      <c r="AB66" s="6">
        <f t="shared" ref="AB66:AB97" si="8">(J66-K66)*V66</f>
        <v>0</v>
      </c>
      <c r="AC66" s="6">
        <f t="shared" ref="AC66:AC97" si="9">(L66-M66)*W66+(N66-O66)*X66</f>
        <v>0</v>
      </c>
      <c r="AD66" s="6">
        <f t="shared" ref="AD66:AD97" si="10">(J66-K66)*Y66</f>
        <v>0</v>
      </c>
      <c r="AE66" s="6">
        <f t="shared" ref="AE66:AE97" ca="1" si="11">(L66-M66)*Z66+(N66-O66)*AA66</f>
        <v>0</v>
      </c>
      <c r="AF66" s="4" t="s">
        <v>912</v>
      </c>
    </row>
    <row r="67" spans="1:32" ht="11.25" customHeight="1" x14ac:dyDescent="0.25">
      <c r="A67" s="4" t="s">
        <v>21</v>
      </c>
      <c r="B67" s="4" t="s">
        <v>39</v>
      </c>
      <c r="C67" s="4" t="s">
        <v>41</v>
      </c>
      <c r="D67" s="4" t="s">
        <v>38</v>
      </c>
      <c r="E67" s="4" t="s">
        <v>25</v>
      </c>
      <c r="F67" s="4" t="s">
        <v>58</v>
      </c>
      <c r="G67" s="4" t="s">
        <v>25</v>
      </c>
      <c r="H67" s="4" t="s">
        <v>35</v>
      </c>
      <c r="I67" s="5">
        <v>44378</v>
      </c>
      <c r="J67" s="6">
        <v>0</v>
      </c>
      <c r="K67" s="6">
        <v>0</v>
      </c>
      <c r="L67" s="6">
        <v>3867.5659999999998</v>
      </c>
      <c r="M67" s="6">
        <v>3867.5659999999998</v>
      </c>
      <c r="N67" s="6">
        <v>0</v>
      </c>
      <c r="O67" s="6">
        <v>0</v>
      </c>
      <c r="P67" s="6">
        <v>0</v>
      </c>
      <c r="Q67" s="4" t="s">
        <v>57</v>
      </c>
      <c r="R67" s="4">
        <v>0</v>
      </c>
      <c r="S67" s="4">
        <v>0</v>
      </c>
      <c r="T67" s="4">
        <v>25</v>
      </c>
      <c r="U67" s="4">
        <v>0</v>
      </c>
      <c r="V67" s="6">
        <f>IF(ISERROR(VLOOKUP($S$67,'TAR FIN'!$A$1:$O$100,15,0)),0,VLOOKUP($S$67,'TAR FIN'!$A$1:$O$100,15,0))</f>
        <v>0</v>
      </c>
      <c r="W67" s="6">
        <f>IF(ISERROR(VLOOKUP($T$67,'TAR FIN'!$A$1:$O$100,15,0)),0,VLOOKUP($T$67,'TAR FIN'!$A$1:$O$100,15,0))</f>
        <v>43.65</v>
      </c>
      <c r="X67" s="6">
        <f>IF(ISERROR(VLOOKUP($U$67,'TAR FIN'!$A$1:$O$100,15,0)),0,VLOOKUP($U$67,'TAR FIN'!$A$1:$O$100,15,0))</f>
        <v>0</v>
      </c>
      <c r="Y67" s="6"/>
      <c r="Z67" s="6">
        <f ca="1">('TUSD BE'!$AM$22+'TUSD BF'!$AM$22+'TUSD CVA'!$AM$22)*1</f>
        <v>49.78704102185678</v>
      </c>
      <c r="AA67" s="6"/>
      <c r="AB67" s="6">
        <f t="shared" si="8"/>
        <v>0</v>
      </c>
      <c r="AC67" s="6">
        <f t="shared" si="9"/>
        <v>0</v>
      </c>
      <c r="AD67" s="6">
        <f t="shared" si="10"/>
        <v>0</v>
      </c>
      <c r="AE67" s="6">
        <f t="shared" ca="1" si="11"/>
        <v>0</v>
      </c>
      <c r="AF67" s="4" t="s">
        <v>912</v>
      </c>
    </row>
    <row r="68" spans="1:32" ht="11.25" customHeight="1" x14ac:dyDescent="0.25">
      <c r="A68" s="4" t="s">
        <v>21</v>
      </c>
      <c r="B68" s="4" t="s">
        <v>39</v>
      </c>
      <c r="C68" s="4" t="s">
        <v>41</v>
      </c>
      <c r="D68" s="4" t="s">
        <v>38</v>
      </c>
      <c r="E68" s="4" t="s">
        <v>25</v>
      </c>
      <c r="F68" s="4" t="s">
        <v>58</v>
      </c>
      <c r="G68" s="4" t="s">
        <v>25</v>
      </c>
      <c r="H68" s="4" t="s">
        <v>35</v>
      </c>
      <c r="I68" s="5">
        <v>44409</v>
      </c>
      <c r="J68" s="6">
        <v>0</v>
      </c>
      <c r="K68" s="6">
        <v>0</v>
      </c>
      <c r="L68" s="6">
        <v>3906.3690000000001</v>
      </c>
      <c r="M68" s="6">
        <v>3906.3690000000001</v>
      </c>
      <c r="N68" s="6">
        <v>0</v>
      </c>
      <c r="O68" s="6">
        <v>0</v>
      </c>
      <c r="P68" s="6">
        <v>0</v>
      </c>
      <c r="Q68" s="4" t="s">
        <v>57</v>
      </c>
      <c r="R68" s="4">
        <v>0</v>
      </c>
      <c r="S68" s="4">
        <v>0</v>
      </c>
      <c r="T68" s="4">
        <v>25</v>
      </c>
      <c r="U68" s="4">
        <v>0</v>
      </c>
      <c r="V68" s="6">
        <f>IF(ISERROR(VLOOKUP($S$68,'TAR FIN'!$A$1:$O$100,15,0)),0,VLOOKUP($S$68,'TAR FIN'!$A$1:$O$100,15,0))</f>
        <v>0</v>
      </c>
      <c r="W68" s="6">
        <f>IF(ISERROR(VLOOKUP($T$68,'TAR FIN'!$A$1:$O$100,15,0)),0,VLOOKUP($T$68,'TAR FIN'!$A$1:$O$100,15,0))</f>
        <v>43.65</v>
      </c>
      <c r="X68" s="6">
        <f>IF(ISERROR(VLOOKUP($U$68,'TAR FIN'!$A$1:$O$100,15,0)),0,VLOOKUP($U$68,'TAR FIN'!$A$1:$O$100,15,0))</f>
        <v>0</v>
      </c>
      <c r="Y68" s="6"/>
      <c r="Z68" s="6">
        <f ca="1">('TUSD BE'!$AM$22+'TUSD BF'!$AM$22+'TUSD CVA'!$AM$22)*1</f>
        <v>49.78704102185678</v>
      </c>
      <c r="AA68" s="6"/>
      <c r="AB68" s="6">
        <f t="shared" si="8"/>
        <v>0</v>
      </c>
      <c r="AC68" s="6">
        <f t="shared" si="9"/>
        <v>0</v>
      </c>
      <c r="AD68" s="6">
        <f t="shared" si="10"/>
        <v>0</v>
      </c>
      <c r="AE68" s="6">
        <f t="shared" ca="1" si="11"/>
        <v>0</v>
      </c>
      <c r="AF68" s="4" t="s">
        <v>912</v>
      </c>
    </row>
    <row r="69" spans="1:32" ht="11.25" customHeight="1" x14ac:dyDescent="0.25">
      <c r="A69" s="4" t="s">
        <v>21</v>
      </c>
      <c r="B69" s="4" t="s">
        <v>39</v>
      </c>
      <c r="C69" s="4" t="s">
        <v>41</v>
      </c>
      <c r="D69" s="4" t="s">
        <v>38</v>
      </c>
      <c r="E69" s="4" t="s">
        <v>25</v>
      </c>
      <c r="F69" s="4" t="s">
        <v>58</v>
      </c>
      <c r="G69" s="4" t="s">
        <v>25</v>
      </c>
      <c r="H69" s="4" t="s">
        <v>35</v>
      </c>
      <c r="I69" s="5">
        <v>44440</v>
      </c>
      <c r="J69" s="6">
        <v>0</v>
      </c>
      <c r="K69" s="6">
        <v>0</v>
      </c>
      <c r="L69" s="6">
        <v>3932.1239999999998</v>
      </c>
      <c r="M69" s="6">
        <v>3932.1239999999998</v>
      </c>
      <c r="N69" s="6">
        <v>0</v>
      </c>
      <c r="O69" s="6">
        <v>0</v>
      </c>
      <c r="P69" s="6">
        <v>0</v>
      </c>
      <c r="Q69" s="4" t="s">
        <v>57</v>
      </c>
      <c r="R69" s="4">
        <v>0</v>
      </c>
      <c r="S69" s="4">
        <v>0</v>
      </c>
      <c r="T69" s="4">
        <v>25</v>
      </c>
      <c r="U69" s="4">
        <v>0</v>
      </c>
      <c r="V69" s="6">
        <f>IF(ISERROR(VLOOKUP($S$69,'TAR FIN'!$A$1:$O$100,15,0)),0,VLOOKUP($S$69,'TAR FIN'!$A$1:$O$100,15,0))</f>
        <v>0</v>
      </c>
      <c r="W69" s="6">
        <f>IF(ISERROR(VLOOKUP($T$69,'TAR FIN'!$A$1:$O$100,15,0)),0,VLOOKUP($T$69,'TAR FIN'!$A$1:$O$100,15,0))</f>
        <v>43.65</v>
      </c>
      <c r="X69" s="6">
        <f>IF(ISERROR(VLOOKUP($U$69,'TAR FIN'!$A$1:$O$100,15,0)),0,VLOOKUP($U$69,'TAR FIN'!$A$1:$O$100,15,0))</f>
        <v>0</v>
      </c>
      <c r="Y69" s="6"/>
      <c r="Z69" s="6">
        <f ca="1">('TUSD BE'!$AM$22+'TUSD BF'!$AM$22+'TUSD CVA'!$AM$22)*1</f>
        <v>49.78704102185678</v>
      </c>
      <c r="AA69" s="6"/>
      <c r="AB69" s="6">
        <f t="shared" si="8"/>
        <v>0</v>
      </c>
      <c r="AC69" s="6">
        <f t="shared" si="9"/>
        <v>0</v>
      </c>
      <c r="AD69" s="6">
        <f t="shared" si="10"/>
        <v>0</v>
      </c>
      <c r="AE69" s="6">
        <f t="shared" ca="1" si="11"/>
        <v>0</v>
      </c>
      <c r="AF69" s="4" t="s">
        <v>912</v>
      </c>
    </row>
    <row r="70" spans="1:32" ht="11.25" customHeight="1" x14ac:dyDescent="0.25">
      <c r="A70" s="4" t="s">
        <v>21</v>
      </c>
      <c r="B70" s="4" t="s">
        <v>39</v>
      </c>
      <c r="C70" s="4" t="s">
        <v>41</v>
      </c>
      <c r="D70" s="4" t="s">
        <v>38</v>
      </c>
      <c r="E70" s="4" t="s">
        <v>25</v>
      </c>
      <c r="F70" s="4" t="s">
        <v>58</v>
      </c>
      <c r="G70" s="4" t="s">
        <v>25</v>
      </c>
      <c r="H70" s="4" t="s">
        <v>35</v>
      </c>
      <c r="I70" s="5">
        <v>44470</v>
      </c>
      <c r="J70" s="6">
        <v>0</v>
      </c>
      <c r="K70" s="6">
        <v>0</v>
      </c>
      <c r="L70" s="6">
        <v>4174.8879999999999</v>
      </c>
      <c r="M70" s="6">
        <v>4174.8879999999999</v>
      </c>
      <c r="N70" s="6">
        <v>0</v>
      </c>
      <c r="O70" s="6">
        <v>0</v>
      </c>
      <c r="P70" s="6">
        <v>0</v>
      </c>
      <c r="Q70" s="4" t="s">
        <v>57</v>
      </c>
      <c r="R70" s="4">
        <v>0</v>
      </c>
      <c r="S70" s="4">
        <v>0</v>
      </c>
      <c r="T70" s="4">
        <v>25</v>
      </c>
      <c r="U70" s="4">
        <v>0</v>
      </c>
      <c r="V70" s="6">
        <f>IF(ISERROR(VLOOKUP($S$70,'TAR FIN'!$A$1:$O$100,15,0)),0,VLOOKUP($S$70,'TAR FIN'!$A$1:$O$100,15,0))</f>
        <v>0</v>
      </c>
      <c r="W70" s="6">
        <f>IF(ISERROR(VLOOKUP($T$70,'TAR FIN'!$A$1:$O$100,15,0)),0,VLOOKUP($T$70,'TAR FIN'!$A$1:$O$100,15,0))</f>
        <v>43.65</v>
      </c>
      <c r="X70" s="6">
        <f>IF(ISERROR(VLOOKUP($U$70,'TAR FIN'!$A$1:$O$100,15,0)),0,VLOOKUP($U$70,'TAR FIN'!$A$1:$O$100,15,0))</f>
        <v>0</v>
      </c>
      <c r="Y70" s="6"/>
      <c r="Z70" s="6">
        <f ca="1">('TUSD BE'!$AM$22+'TUSD BF'!$AM$22+'TUSD CVA'!$AM$22)*1</f>
        <v>49.78704102185678</v>
      </c>
      <c r="AA70" s="6"/>
      <c r="AB70" s="6">
        <f t="shared" si="8"/>
        <v>0</v>
      </c>
      <c r="AC70" s="6">
        <f t="shared" si="9"/>
        <v>0</v>
      </c>
      <c r="AD70" s="6">
        <f t="shared" si="10"/>
        <v>0</v>
      </c>
      <c r="AE70" s="6">
        <f t="shared" ca="1" si="11"/>
        <v>0</v>
      </c>
      <c r="AF70" s="4" t="s">
        <v>912</v>
      </c>
    </row>
    <row r="71" spans="1:32" ht="11.25" customHeight="1" x14ac:dyDescent="0.25">
      <c r="A71" s="4" t="s">
        <v>21</v>
      </c>
      <c r="B71" s="4" t="s">
        <v>39</v>
      </c>
      <c r="C71" s="4" t="s">
        <v>41</v>
      </c>
      <c r="D71" s="4" t="s">
        <v>38</v>
      </c>
      <c r="E71" s="4" t="s">
        <v>25</v>
      </c>
      <c r="F71" s="4" t="s">
        <v>58</v>
      </c>
      <c r="G71" s="4" t="s">
        <v>25</v>
      </c>
      <c r="H71" s="4" t="s">
        <v>35</v>
      </c>
      <c r="I71" s="5">
        <v>44501</v>
      </c>
      <c r="J71" s="6">
        <v>0</v>
      </c>
      <c r="K71" s="6">
        <v>0</v>
      </c>
      <c r="L71" s="6">
        <v>4378.2280000000001</v>
      </c>
      <c r="M71" s="6">
        <v>4378.2280000000001</v>
      </c>
      <c r="N71" s="6">
        <v>0</v>
      </c>
      <c r="O71" s="6">
        <v>0</v>
      </c>
      <c r="P71" s="6">
        <v>0</v>
      </c>
      <c r="Q71" s="4" t="s">
        <v>57</v>
      </c>
      <c r="R71" s="4">
        <v>0</v>
      </c>
      <c r="S71" s="4">
        <v>0</v>
      </c>
      <c r="T71" s="4">
        <v>25</v>
      </c>
      <c r="U71" s="4">
        <v>0</v>
      </c>
      <c r="V71" s="6">
        <f>IF(ISERROR(VLOOKUP($S$71,'TAR FIN'!$A$1:$O$100,15,0)),0,VLOOKUP($S$71,'TAR FIN'!$A$1:$O$100,15,0))</f>
        <v>0</v>
      </c>
      <c r="W71" s="6">
        <f>IF(ISERROR(VLOOKUP($T$71,'TAR FIN'!$A$1:$O$100,15,0)),0,VLOOKUP($T$71,'TAR FIN'!$A$1:$O$100,15,0))</f>
        <v>43.65</v>
      </c>
      <c r="X71" s="6">
        <f>IF(ISERROR(VLOOKUP($U$71,'TAR FIN'!$A$1:$O$100,15,0)),0,VLOOKUP($U$71,'TAR FIN'!$A$1:$O$100,15,0))</f>
        <v>0</v>
      </c>
      <c r="Y71" s="6"/>
      <c r="Z71" s="6">
        <f ca="1">('TUSD BE'!$AM$22+'TUSD BF'!$AM$22+'TUSD CVA'!$AM$22)*1</f>
        <v>49.78704102185678</v>
      </c>
      <c r="AA71" s="6"/>
      <c r="AB71" s="6">
        <f t="shared" si="8"/>
        <v>0</v>
      </c>
      <c r="AC71" s="6">
        <f t="shared" si="9"/>
        <v>0</v>
      </c>
      <c r="AD71" s="6">
        <f t="shared" si="10"/>
        <v>0</v>
      </c>
      <c r="AE71" s="6">
        <f t="shared" ca="1" si="11"/>
        <v>0</v>
      </c>
      <c r="AF71" s="4" t="s">
        <v>912</v>
      </c>
    </row>
    <row r="72" spans="1:32" ht="11.25" customHeight="1" x14ac:dyDescent="0.25">
      <c r="A72" s="4" t="s">
        <v>21</v>
      </c>
      <c r="B72" s="4" t="s">
        <v>39</v>
      </c>
      <c r="C72" s="4" t="s">
        <v>41</v>
      </c>
      <c r="D72" s="4" t="s">
        <v>38</v>
      </c>
      <c r="E72" s="4" t="s">
        <v>25</v>
      </c>
      <c r="F72" s="4" t="s">
        <v>58</v>
      </c>
      <c r="G72" s="4" t="s">
        <v>25</v>
      </c>
      <c r="H72" s="4" t="s">
        <v>35</v>
      </c>
      <c r="I72" s="5">
        <v>44531</v>
      </c>
      <c r="J72" s="6">
        <v>0</v>
      </c>
      <c r="K72" s="6">
        <v>0</v>
      </c>
      <c r="L72" s="6">
        <v>4499.5730000000003</v>
      </c>
      <c r="M72" s="6">
        <v>4499.5730000000003</v>
      </c>
      <c r="N72" s="6">
        <v>0</v>
      </c>
      <c r="O72" s="6">
        <v>0</v>
      </c>
      <c r="P72" s="6">
        <v>0</v>
      </c>
      <c r="Q72" s="4" t="s">
        <v>57</v>
      </c>
      <c r="R72" s="4">
        <v>0</v>
      </c>
      <c r="S72" s="4">
        <v>0</v>
      </c>
      <c r="T72" s="4">
        <v>25</v>
      </c>
      <c r="U72" s="4">
        <v>0</v>
      </c>
      <c r="V72" s="6">
        <f>IF(ISERROR(VLOOKUP($S$72,'TAR FIN'!$A$1:$O$100,15,0)),0,VLOOKUP($S$72,'TAR FIN'!$A$1:$O$100,15,0))</f>
        <v>0</v>
      </c>
      <c r="W72" s="6">
        <f>IF(ISERROR(VLOOKUP($T$72,'TAR FIN'!$A$1:$O$100,15,0)),0,VLOOKUP($T$72,'TAR FIN'!$A$1:$O$100,15,0))</f>
        <v>43.65</v>
      </c>
      <c r="X72" s="6">
        <f>IF(ISERROR(VLOOKUP($U$72,'TAR FIN'!$A$1:$O$100,15,0)),0,VLOOKUP($U$72,'TAR FIN'!$A$1:$O$100,15,0))</f>
        <v>0</v>
      </c>
      <c r="Y72" s="6"/>
      <c r="Z72" s="6">
        <f ca="1">('TUSD BE'!$AM$22+'TUSD BF'!$AM$22+'TUSD CVA'!$AM$22)*1</f>
        <v>49.78704102185678</v>
      </c>
      <c r="AA72" s="6"/>
      <c r="AB72" s="6">
        <f t="shared" si="8"/>
        <v>0</v>
      </c>
      <c r="AC72" s="6">
        <f t="shared" si="9"/>
        <v>0</v>
      </c>
      <c r="AD72" s="6">
        <f t="shared" si="10"/>
        <v>0</v>
      </c>
      <c r="AE72" s="6">
        <f t="shared" ca="1" si="11"/>
        <v>0</v>
      </c>
      <c r="AF72" s="4" t="s">
        <v>912</v>
      </c>
    </row>
    <row r="73" spans="1:32" ht="11.25" customHeight="1" x14ac:dyDescent="0.25">
      <c r="A73" s="4" t="s">
        <v>55</v>
      </c>
      <c r="B73" s="4" t="s">
        <v>39</v>
      </c>
      <c r="C73" s="4" t="s">
        <v>41</v>
      </c>
      <c r="D73" s="4" t="s">
        <v>38</v>
      </c>
      <c r="E73" s="4" t="s">
        <v>25</v>
      </c>
      <c r="F73" s="4" t="s">
        <v>58</v>
      </c>
      <c r="G73" s="4" t="s">
        <v>25</v>
      </c>
      <c r="H73" s="4" t="s">
        <v>35</v>
      </c>
      <c r="I73" s="5">
        <v>44562</v>
      </c>
      <c r="J73" s="6">
        <v>0</v>
      </c>
      <c r="K73" s="6">
        <v>0</v>
      </c>
      <c r="L73" s="6">
        <v>4499.5730000000003</v>
      </c>
      <c r="M73" s="6">
        <v>4499.5730000000003</v>
      </c>
      <c r="N73" s="6">
        <v>0</v>
      </c>
      <c r="O73" s="6">
        <v>0</v>
      </c>
      <c r="P73" s="6">
        <v>0</v>
      </c>
      <c r="Q73" s="4" t="s">
        <v>57</v>
      </c>
      <c r="R73" s="4">
        <v>0</v>
      </c>
      <c r="S73" s="4">
        <v>0</v>
      </c>
      <c r="T73" s="4">
        <v>25</v>
      </c>
      <c r="U73" s="4">
        <v>0</v>
      </c>
      <c r="V73" s="6">
        <f>IF(ISERROR(VLOOKUP($S$73,'TAR FIN'!$A$1:$O$100,15,0)),0,VLOOKUP($S$73,'TAR FIN'!$A$1:$O$100,15,0))</f>
        <v>0</v>
      </c>
      <c r="W73" s="6">
        <f>IF(ISERROR(VLOOKUP($T$73,'TAR FIN'!$A$1:$O$100,15,0)),0,VLOOKUP($T$73,'TAR FIN'!$A$1:$O$100,15,0))</f>
        <v>43.65</v>
      </c>
      <c r="X73" s="6">
        <f>IF(ISERROR(VLOOKUP($U$73,'TAR FIN'!$A$1:$O$100,15,0)),0,VLOOKUP($U$73,'TAR FIN'!$A$1:$O$100,15,0))</f>
        <v>0</v>
      </c>
      <c r="Y73" s="6"/>
      <c r="Z73" s="6">
        <f ca="1">('TUSD BE'!$AM$22+'TUSD BF'!$AM$22+'TUSD CVA'!$AM$22)*1</f>
        <v>49.78704102185678</v>
      </c>
      <c r="AA73" s="6"/>
      <c r="AB73" s="6">
        <f t="shared" si="8"/>
        <v>0</v>
      </c>
      <c r="AC73" s="6">
        <f t="shared" si="9"/>
        <v>0</v>
      </c>
      <c r="AD73" s="6">
        <f t="shared" si="10"/>
        <v>0</v>
      </c>
      <c r="AE73" s="6">
        <f t="shared" ca="1" si="11"/>
        <v>0</v>
      </c>
      <c r="AF73" s="4" t="s">
        <v>912</v>
      </c>
    </row>
    <row r="74" spans="1:32" ht="11.25" customHeight="1" x14ac:dyDescent="0.25">
      <c r="A74" s="4" t="s">
        <v>21</v>
      </c>
      <c r="B74" s="4" t="s">
        <v>39</v>
      </c>
      <c r="C74" s="4" t="s">
        <v>41</v>
      </c>
      <c r="D74" s="4" t="s">
        <v>38</v>
      </c>
      <c r="E74" s="4" t="s">
        <v>25</v>
      </c>
      <c r="F74" s="4" t="s">
        <v>58</v>
      </c>
      <c r="G74" s="4" t="s">
        <v>25</v>
      </c>
      <c r="H74" s="4" t="s">
        <v>25</v>
      </c>
      <c r="I74" s="5">
        <v>44228</v>
      </c>
      <c r="J74" s="6">
        <v>12638</v>
      </c>
      <c r="K74" s="6">
        <v>5883.4054220999997</v>
      </c>
      <c r="L74" s="6">
        <v>0</v>
      </c>
      <c r="M74" s="6">
        <v>0</v>
      </c>
      <c r="N74" s="6">
        <v>0</v>
      </c>
      <c r="O74" s="6">
        <v>0</v>
      </c>
      <c r="P74" s="6">
        <v>17</v>
      </c>
      <c r="Q74" s="4" t="s">
        <v>57</v>
      </c>
      <c r="R74" s="4">
        <v>0</v>
      </c>
      <c r="S74" s="4">
        <v>23</v>
      </c>
      <c r="T74" s="4">
        <v>0</v>
      </c>
      <c r="U74" s="4">
        <v>0</v>
      </c>
      <c r="V74" s="6">
        <f>IF(ISERROR(VLOOKUP($S$74,'TAR FIN'!$A$1:$O$100,15,0)),0,VLOOKUP($S$74,'TAR FIN'!$A$1:$O$100,15,0))</f>
        <v>18.48</v>
      </c>
      <c r="W74" s="6">
        <f>IF(ISERROR(VLOOKUP($T$74,'TAR FIN'!$A$1:$O$100,15,0)),0,VLOOKUP($T$74,'TAR FIN'!$A$1:$O$100,15,0))</f>
        <v>0</v>
      </c>
      <c r="X74" s="6">
        <f>IF(ISERROR(VLOOKUP($U$74,'TAR FIN'!$A$1:$O$100,15,0)),0,VLOOKUP($U$74,'TAR FIN'!$A$1:$O$100,15,0))</f>
        <v>0</v>
      </c>
      <c r="Y74" s="6">
        <f ca="1">('TUSD BE'!$AM$20+'TUSD BF'!$AM$20+'TUSD CVA'!$AM$20)*1</f>
        <v>17.856842567448453</v>
      </c>
      <c r="Z74" s="6"/>
      <c r="AA74" s="6"/>
      <c r="AB74" s="6">
        <f t="shared" si="8"/>
        <v>124824.90779959201</v>
      </c>
      <c r="AC74" s="6">
        <f t="shared" si="9"/>
        <v>0</v>
      </c>
      <c r="AD74" s="6">
        <f t="shared" ca="1" si="10"/>
        <v>120615.73198450124</v>
      </c>
      <c r="AE74" s="6">
        <f t="shared" si="11"/>
        <v>0</v>
      </c>
      <c r="AF74" s="4" t="s">
        <v>912</v>
      </c>
    </row>
    <row r="75" spans="1:32" ht="11.25" customHeight="1" x14ac:dyDescent="0.25">
      <c r="A75" s="4" t="s">
        <v>21</v>
      </c>
      <c r="B75" s="4" t="s">
        <v>39</v>
      </c>
      <c r="C75" s="4" t="s">
        <v>41</v>
      </c>
      <c r="D75" s="4" t="s">
        <v>38</v>
      </c>
      <c r="E75" s="4" t="s">
        <v>25</v>
      </c>
      <c r="F75" s="4" t="s">
        <v>58</v>
      </c>
      <c r="G75" s="4" t="s">
        <v>25</v>
      </c>
      <c r="H75" s="4" t="s">
        <v>25</v>
      </c>
      <c r="I75" s="5">
        <v>44256</v>
      </c>
      <c r="J75" s="6">
        <v>12227</v>
      </c>
      <c r="K75" s="6">
        <v>5603.72078943</v>
      </c>
      <c r="L75" s="6">
        <v>0</v>
      </c>
      <c r="M75" s="6">
        <v>0</v>
      </c>
      <c r="N75" s="6">
        <v>0</v>
      </c>
      <c r="O75" s="6">
        <v>0</v>
      </c>
      <c r="P75" s="6">
        <v>16</v>
      </c>
      <c r="Q75" s="4" t="s">
        <v>57</v>
      </c>
      <c r="R75" s="4">
        <v>0</v>
      </c>
      <c r="S75" s="4">
        <v>23</v>
      </c>
      <c r="T75" s="4">
        <v>0</v>
      </c>
      <c r="U75" s="4">
        <v>0</v>
      </c>
      <c r="V75" s="6">
        <f>IF(ISERROR(VLOOKUP($S$75,'TAR FIN'!$A$1:$O$100,15,0)),0,VLOOKUP($S$75,'TAR FIN'!$A$1:$O$100,15,0))</f>
        <v>18.48</v>
      </c>
      <c r="W75" s="6">
        <f>IF(ISERROR(VLOOKUP($T$75,'TAR FIN'!$A$1:$O$100,15,0)),0,VLOOKUP($T$75,'TAR FIN'!$A$1:$O$100,15,0))</f>
        <v>0</v>
      </c>
      <c r="X75" s="6">
        <f>IF(ISERROR(VLOOKUP($U$75,'TAR FIN'!$A$1:$O$100,15,0)),0,VLOOKUP($U$75,'TAR FIN'!$A$1:$O$100,15,0))</f>
        <v>0</v>
      </c>
      <c r="Y75" s="6">
        <f ca="1">('TUSD BE'!$AM$20+'TUSD BF'!$AM$20+'TUSD CVA'!$AM$20)*1</f>
        <v>17.856842567448453</v>
      </c>
      <c r="Z75" s="6"/>
      <c r="AA75" s="6"/>
      <c r="AB75" s="6">
        <f t="shared" si="8"/>
        <v>122398.1998113336</v>
      </c>
      <c r="AC75" s="6">
        <f t="shared" si="9"/>
        <v>0</v>
      </c>
      <c r="AD75" s="6">
        <f t="shared" ca="1" si="10"/>
        <v>118270.85414340276</v>
      </c>
      <c r="AE75" s="6">
        <f t="shared" si="11"/>
        <v>0</v>
      </c>
      <c r="AF75" s="4" t="s">
        <v>912</v>
      </c>
    </row>
    <row r="76" spans="1:32" ht="11.25" customHeight="1" x14ac:dyDescent="0.25">
      <c r="A76" s="4" t="s">
        <v>21</v>
      </c>
      <c r="B76" s="4" t="s">
        <v>39</v>
      </c>
      <c r="C76" s="4" t="s">
        <v>41</v>
      </c>
      <c r="D76" s="4" t="s">
        <v>38</v>
      </c>
      <c r="E76" s="4" t="s">
        <v>25</v>
      </c>
      <c r="F76" s="4" t="s">
        <v>58</v>
      </c>
      <c r="G76" s="4" t="s">
        <v>25</v>
      </c>
      <c r="H76" s="4" t="s">
        <v>25</v>
      </c>
      <c r="I76" s="5">
        <v>44287</v>
      </c>
      <c r="J76" s="6">
        <v>12336</v>
      </c>
      <c r="K76" s="6">
        <v>5574.4267142400004</v>
      </c>
      <c r="L76" s="6">
        <v>0</v>
      </c>
      <c r="M76" s="6">
        <v>0</v>
      </c>
      <c r="N76" s="6">
        <v>0</v>
      </c>
      <c r="O76" s="6">
        <v>0</v>
      </c>
      <c r="P76" s="6">
        <v>17</v>
      </c>
      <c r="Q76" s="4" t="s">
        <v>57</v>
      </c>
      <c r="R76" s="4">
        <v>0</v>
      </c>
      <c r="S76" s="4">
        <v>23</v>
      </c>
      <c r="T76" s="4">
        <v>0</v>
      </c>
      <c r="U76" s="4">
        <v>0</v>
      </c>
      <c r="V76" s="6">
        <f>IF(ISERROR(VLOOKUP($S$76,'TAR FIN'!$A$1:$O$100,15,0)),0,VLOOKUP($S$76,'TAR FIN'!$A$1:$O$100,15,0))</f>
        <v>18.48</v>
      </c>
      <c r="W76" s="6">
        <f>IF(ISERROR(VLOOKUP($T$76,'TAR FIN'!$A$1:$O$100,15,0)),0,VLOOKUP($T$76,'TAR FIN'!$A$1:$O$100,15,0))</f>
        <v>0</v>
      </c>
      <c r="X76" s="6">
        <f>IF(ISERROR(VLOOKUP($U$76,'TAR FIN'!$A$1:$O$100,15,0)),0,VLOOKUP($U$76,'TAR FIN'!$A$1:$O$100,15,0))</f>
        <v>0</v>
      </c>
      <c r="Y76" s="6">
        <f ca="1">('TUSD BE'!$AM$20+'TUSD BF'!$AM$20+'TUSD CVA'!$AM$20)*1</f>
        <v>17.856842567448453</v>
      </c>
      <c r="Z76" s="6"/>
      <c r="AA76" s="6"/>
      <c r="AB76" s="6">
        <f t="shared" si="8"/>
        <v>124953.8743208448</v>
      </c>
      <c r="AC76" s="6">
        <f t="shared" si="9"/>
        <v>0</v>
      </c>
      <c r="AD76" s="6">
        <f t="shared" ca="1" si="10"/>
        <v>120740.34967208146</v>
      </c>
      <c r="AE76" s="6">
        <f t="shared" si="11"/>
        <v>0</v>
      </c>
      <c r="AF76" s="4" t="s">
        <v>912</v>
      </c>
    </row>
    <row r="77" spans="1:32" ht="11.25" customHeight="1" x14ac:dyDescent="0.25">
      <c r="A77" s="4" t="s">
        <v>21</v>
      </c>
      <c r="B77" s="4" t="s">
        <v>39</v>
      </c>
      <c r="C77" s="4" t="s">
        <v>41</v>
      </c>
      <c r="D77" s="4" t="s">
        <v>38</v>
      </c>
      <c r="E77" s="4" t="s">
        <v>25</v>
      </c>
      <c r="F77" s="4" t="s">
        <v>58</v>
      </c>
      <c r="G77" s="4" t="s">
        <v>25</v>
      </c>
      <c r="H77" s="4" t="s">
        <v>25</v>
      </c>
      <c r="I77" s="5">
        <v>44317</v>
      </c>
      <c r="J77" s="6">
        <v>12822</v>
      </c>
      <c r="K77" s="6">
        <v>5666.2982400000001</v>
      </c>
      <c r="L77" s="6">
        <v>0</v>
      </c>
      <c r="M77" s="6">
        <v>0</v>
      </c>
      <c r="N77" s="6">
        <v>0</v>
      </c>
      <c r="O77" s="6">
        <v>0</v>
      </c>
      <c r="P77" s="6">
        <v>18</v>
      </c>
      <c r="Q77" s="4" t="s">
        <v>57</v>
      </c>
      <c r="R77" s="4">
        <v>0</v>
      </c>
      <c r="S77" s="4">
        <v>23</v>
      </c>
      <c r="T77" s="4">
        <v>0</v>
      </c>
      <c r="U77" s="4">
        <v>0</v>
      </c>
      <c r="V77" s="6">
        <f>IF(ISERROR(VLOOKUP($S$77,'TAR FIN'!$A$1:$O$100,15,0)),0,VLOOKUP($S$77,'TAR FIN'!$A$1:$O$100,15,0))</f>
        <v>18.48</v>
      </c>
      <c r="W77" s="6">
        <f>IF(ISERROR(VLOOKUP($T$77,'TAR FIN'!$A$1:$O$100,15,0)),0,VLOOKUP($T$77,'TAR FIN'!$A$1:$O$100,15,0))</f>
        <v>0</v>
      </c>
      <c r="X77" s="6">
        <f>IF(ISERROR(VLOOKUP($U$77,'TAR FIN'!$A$1:$O$100,15,0)),0,VLOOKUP($U$77,'TAR FIN'!$A$1:$O$100,15,0))</f>
        <v>0</v>
      </c>
      <c r="Y77" s="6">
        <f ca="1">('TUSD BE'!$AM$20+'TUSD BF'!$AM$20+'TUSD CVA'!$AM$20)*1</f>
        <v>17.856842567448453</v>
      </c>
      <c r="Z77" s="6"/>
      <c r="AA77" s="6"/>
      <c r="AB77" s="6">
        <f t="shared" si="8"/>
        <v>132237.3685248</v>
      </c>
      <c r="AC77" s="6">
        <f t="shared" si="9"/>
        <v>0</v>
      </c>
      <c r="AD77" s="6">
        <f t="shared" ca="1" si="10"/>
        <v>127778.23978793381</v>
      </c>
      <c r="AE77" s="6">
        <f t="shared" si="11"/>
        <v>0</v>
      </c>
      <c r="AF77" s="4" t="s">
        <v>912</v>
      </c>
    </row>
    <row r="78" spans="1:32" ht="11.25" customHeight="1" x14ac:dyDescent="0.25">
      <c r="A78" s="4" t="s">
        <v>21</v>
      </c>
      <c r="B78" s="4" t="s">
        <v>39</v>
      </c>
      <c r="C78" s="4" t="s">
        <v>41</v>
      </c>
      <c r="D78" s="4" t="s">
        <v>38</v>
      </c>
      <c r="E78" s="4" t="s">
        <v>25</v>
      </c>
      <c r="F78" s="4" t="s">
        <v>58</v>
      </c>
      <c r="G78" s="4" t="s">
        <v>25</v>
      </c>
      <c r="H78" s="4" t="s">
        <v>25</v>
      </c>
      <c r="I78" s="5">
        <v>44348</v>
      </c>
      <c r="J78" s="6">
        <v>12803</v>
      </c>
      <c r="K78" s="6">
        <v>5693.5665649800003</v>
      </c>
      <c r="L78" s="6">
        <v>0</v>
      </c>
      <c r="M78" s="6">
        <v>0</v>
      </c>
      <c r="N78" s="6">
        <v>0</v>
      </c>
      <c r="O78" s="6">
        <v>0</v>
      </c>
      <c r="P78" s="6">
        <v>19</v>
      </c>
      <c r="Q78" s="4" t="s">
        <v>57</v>
      </c>
      <c r="R78" s="4">
        <v>0</v>
      </c>
      <c r="S78" s="4">
        <v>23</v>
      </c>
      <c r="T78" s="4">
        <v>0</v>
      </c>
      <c r="U78" s="4">
        <v>0</v>
      </c>
      <c r="V78" s="6">
        <f>IF(ISERROR(VLOOKUP($S$78,'TAR FIN'!$A$1:$O$100,15,0)),0,VLOOKUP($S$78,'TAR FIN'!$A$1:$O$100,15,0))</f>
        <v>18.48</v>
      </c>
      <c r="W78" s="6">
        <f>IF(ISERROR(VLOOKUP($T$78,'TAR FIN'!$A$1:$O$100,15,0)),0,VLOOKUP($T$78,'TAR FIN'!$A$1:$O$100,15,0))</f>
        <v>0</v>
      </c>
      <c r="X78" s="6">
        <f>IF(ISERROR(VLOOKUP($U$78,'TAR FIN'!$A$1:$O$100,15,0)),0,VLOOKUP($U$78,'TAR FIN'!$A$1:$O$100,15,0))</f>
        <v>0</v>
      </c>
      <c r="Y78" s="6">
        <f ca="1">('TUSD BE'!$AM$20+'TUSD BF'!$AM$20+'TUSD CVA'!$AM$20)*1</f>
        <v>17.856842567448453</v>
      </c>
      <c r="Z78" s="6"/>
      <c r="AA78" s="6"/>
      <c r="AB78" s="6">
        <f t="shared" si="8"/>
        <v>131382.32987916959</v>
      </c>
      <c r="AC78" s="6">
        <f t="shared" si="9"/>
        <v>0</v>
      </c>
      <c r="AD78" s="6">
        <f t="shared" ca="1" si="10"/>
        <v>126952.0335929064</v>
      </c>
      <c r="AE78" s="6">
        <f t="shared" si="11"/>
        <v>0</v>
      </c>
      <c r="AF78" s="4" t="s">
        <v>912</v>
      </c>
    </row>
    <row r="79" spans="1:32" ht="11.25" customHeight="1" x14ac:dyDescent="0.25">
      <c r="A79" s="4" t="s">
        <v>21</v>
      </c>
      <c r="B79" s="4" t="s">
        <v>39</v>
      </c>
      <c r="C79" s="4" t="s">
        <v>41</v>
      </c>
      <c r="D79" s="4" t="s">
        <v>38</v>
      </c>
      <c r="E79" s="4" t="s">
        <v>25</v>
      </c>
      <c r="F79" s="4" t="s">
        <v>58</v>
      </c>
      <c r="G79" s="4" t="s">
        <v>25</v>
      </c>
      <c r="H79" s="4" t="s">
        <v>25</v>
      </c>
      <c r="I79" s="5">
        <v>44378</v>
      </c>
      <c r="J79" s="6">
        <v>13457</v>
      </c>
      <c r="K79" s="6">
        <v>6167.46461671</v>
      </c>
      <c r="L79" s="6">
        <v>0</v>
      </c>
      <c r="M79" s="6">
        <v>0</v>
      </c>
      <c r="N79" s="6">
        <v>0</v>
      </c>
      <c r="O79" s="6">
        <v>0</v>
      </c>
      <c r="P79" s="6">
        <v>19</v>
      </c>
      <c r="Q79" s="4" t="s">
        <v>57</v>
      </c>
      <c r="R79" s="4">
        <v>0</v>
      </c>
      <c r="S79" s="4">
        <v>23</v>
      </c>
      <c r="T79" s="4">
        <v>0</v>
      </c>
      <c r="U79" s="4">
        <v>0</v>
      </c>
      <c r="V79" s="6">
        <f>IF(ISERROR(VLOOKUP($S$79,'TAR FIN'!$A$1:$O$100,15,0)),0,VLOOKUP($S$79,'TAR FIN'!$A$1:$O$100,15,0))</f>
        <v>18.48</v>
      </c>
      <c r="W79" s="6">
        <f>IF(ISERROR(VLOOKUP($T$79,'TAR FIN'!$A$1:$O$100,15,0)),0,VLOOKUP($T$79,'TAR FIN'!$A$1:$O$100,15,0))</f>
        <v>0</v>
      </c>
      <c r="X79" s="6">
        <f>IF(ISERROR(VLOOKUP($U$79,'TAR FIN'!$A$1:$O$100,15,0)),0,VLOOKUP($U$79,'TAR FIN'!$A$1:$O$100,15,0))</f>
        <v>0</v>
      </c>
      <c r="Y79" s="6">
        <f ca="1">('TUSD BE'!$AM$20+'TUSD BF'!$AM$20+'TUSD CVA'!$AM$20)*1</f>
        <v>17.856842567448453</v>
      </c>
      <c r="Z79" s="6"/>
      <c r="AA79" s="6"/>
      <c r="AB79" s="6">
        <f t="shared" si="8"/>
        <v>134710.6138831992</v>
      </c>
      <c r="AC79" s="6">
        <f t="shared" si="9"/>
        <v>0</v>
      </c>
      <c r="AD79" s="6">
        <f t="shared" ca="1" si="10"/>
        <v>130168.08572925454</v>
      </c>
      <c r="AE79" s="6">
        <f t="shared" si="11"/>
        <v>0</v>
      </c>
      <c r="AF79" s="4" t="s">
        <v>912</v>
      </c>
    </row>
    <row r="80" spans="1:32" ht="11.25" customHeight="1" x14ac:dyDescent="0.25">
      <c r="A80" s="4" t="s">
        <v>21</v>
      </c>
      <c r="B80" s="4" t="s">
        <v>39</v>
      </c>
      <c r="C80" s="4" t="s">
        <v>41</v>
      </c>
      <c r="D80" s="4" t="s">
        <v>38</v>
      </c>
      <c r="E80" s="4" t="s">
        <v>25</v>
      </c>
      <c r="F80" s="4" t="s">
        <v>58</v>
      </c>
      <c r="G80" s="4" t="s">
        <v>25</v>
      </c>
      <c r="H80" s="4" t="s">
        <v>25</v>
      </c>
      <c r="I80" s="5">
        <v>44409</v>
      </c>
      <c r="J80" s="6">
        <v>12931</v>
      </c>
      <c r="K80" s="6">
        <v>5909.1049320000002</v>
      </c>
      <c r="L80" s="6">
        <v>0</v>
      </c>
      <c r="M80" s="6">
        <v>0</v>
      </c>
      <c r="N80" s="6">
        <v>0</v>
      </c>
      <c r="O80" s="6">
        <v>0</v>
      </c>
      <c r="P80" s="6">
        <v>18</v>
      </c>
      <c r="Q80" s="4" t="s">
        <v>57</v>
      </c>
      <c r="R80" s="4">
        <v>0</v>
      </c>
      <c r="S80" s="4">
        <v>23</v>
      </c>
      <c r="T80" s="4">
        <v>0</v>
      </c>
      <c r="U80" s="4">
        <v>0</v>
      </c>
      <c r="V80" s="6">
        <f>IF(ISERROR(VLOOKUP($S$80,'TAR FIN'!$A$1:$O$100,15,0)),0,VLOOKUP($S$80,'TAR FIN'!$A$1:$O$100,15,0))</f>
        <v>18.48</v>
      </c>
      <c r="W80" s="6">
        <f>IF(ISERROR(VLOOKUP($T$80,'TAR FIN'!$A$1:$O$100,15,0)),0,VLOOKUP($T$80,'TAR FIN'!$A$1:$O$100,15,0))</f>
        <v>0</v>
      </c>
      <c r="X80" s="6">
        <f>IF(ISERROR(VLOOKUP($U$80,'TAR FIN'!$A$1:$O$100,15,0)),0,VLOOKUP($U$80,'TAR FIN'!$A$1:$O$100,15,0))</f>
        <v>0</v>
      </c>
      <c r="Y80" s="6">
        <f ca="1">('TUSD BE'!$AM$20+'TUSD BF'!$AM$20+'TUSD CVA'!$AM$20)*1</f>
        <v>17.856842567448453</v>
      </c>
      <c r="Z80" s="6"/>
      <c r="AA80" s="6"/>
      <c r="AB80" s="6">
        <f t="shared" si="8"/>
        <v>129764.62085664</v>
      </c>
      <c r="AC80" s="6">
        <f t="shared" si="9"/>
        <v>0</v>
      </c>
      <c r="AD80" s="6">
        <f t="shared" ca="1" si="10"/>
        <v>125388.87475441875</v>
      </c>
      <c r="AE80" s="6">
        <f t="shared" si="11"/>
        <v>0</v>
      </c>
      <c r="AF80" s="4" t="s">
        <v>912</v>
      </c>
    </row>
    <row r="81" spans="1:32" ht="11.25" customHeight="1" x14ac:dyDescent="0.25">
      <c r="A81" s="4" t="s">
        <v>21</v>
      </c>
      <c r="B81" s="4" t="s">
        <v>39</v>
      </c>
      <c r="C81" s="4" t="s">
        <v>41</v>
      </c>
      <c r="D81" s="4" t="s">
        <v>38</v>
      </c>
      <c r="E81" s="4" t="s">
        <v>25</v>
      </c>
      <c r="F81" s="4" t="s">
        <v>58</v>
      </c>
      <c r="G81" s="4" t="s">
        <v>25</v>
      </c>
      <c r="H81" s="4" t="s">
        <v>25</v>
      </c>
      <c r="I81" s="5">
        <v>44440</v>
      </c>
      <c r="J81" s="6">
        <v>13298</v>
      </c>
      <c r="K81" s="6">
        <v>5922.5875743799998</v>
      </c>
      <c r="L81" s="6">
        <v>0</v>
      </c>
      <c r="M81" s="6">
        <v>0</v>
      </c>
      <c r="N81" s="6">
        <v>0</v>
      </c>
      <c r="O81" s="6">
        <v>0</v>
      </c>
      <c r="P81" s="6">
        <v>19</v>
      </c>
      <c r="Q81" s="4" t="s">
        <v>57</v>
      </c>
      <c r="R81" s="4">
        <v>0</v>
      </c>
      <c r="S81" s="4">
        <v>23</v>
      </c>
      <c r="T81" s="4">
        <v>0</v>
      </c>
      <c r="U81" s="4">
        <v>0</v>
      </c>
      <c r="V81" s="6">
        <f>IF(ISERROR(VLOOKUP($S$81,'TAR FIN'!$A$1:$O$100,15,0)),0,VLOOKUP($S$81,'TAR FIN'!$A$1:$O$100,15,0))</f>
        <v>18.48</v>
      </c>
      <c r="W81" s="6">
        <f>IF(ISERROR(VLOOKUP($T$81,'TAR FIN'!$A$1:$O$100,15,0)),0,VLOOKUP($T$81,'TAR FIN'!$A$1:$O$100,15,0))</f>
        <v>0</v>
      </c>
      <c r="X81" s="6">
        <f>IF(ISERROR(VLOOKUP($U$81,'TAR FIN'!$A$1:$O$100,15,0)),0,VLOOKUP($U$81,'TAR FIN'!$A$1:$O$100,15,0))</f>
        <v>0</v>
      </c>
      <c r="Y81" s="6">
        <f ca="1">('TUSD BE'!$AM$20+'TUSD BF'!$AM$20+'TUSD CVA'!$AM$20)*1</f>
        <v>17.856842567448453</v>
      </c>
      <c r="Z81" s="6"/>
      <c r="AA81" s="6"/>
      <c r="AB81" s="6">
        <f t="shared" si="8"/>
        <v>136297.6216254576</v>
      </c>
      <c r="AC81" s="6">
        <f t="shared" si="9"/>
        <v>0</v>
      </c>
      <c r="AD81" s="6">
        <f t="shared" ca="1" si="10"/>
        <v>131701.57855429946</v>
      </c>
      <c r="AE81" s="6">
        <f t="shared" si="11"/>
        <v>0</v>
      </c>
      <c r="AF81" s="4" t="s">
        <v>912</v>
      </c>
    </row>
    <row r="82" spans="1:32" ht="11.25" customHeight="1" x14ac:dyDescent="0.25">
      <c r="A82" s="4" t="s">
        <v>21</v>
      </c>
      <c r="B82" s="4" t="s">
        <v>39</v>
      </c>
      <c r="C82" s="4" t="s">
        <v>41</v>
      </c>
      <c r="D82" s="4" t="s">
        <v>38</v>
      </c>
      <c r="E82" s="4" t="s">
        <v>25</v>
      </c>
      <c r="F82" s="4" t="s">
        <v>58</v>
      </c>
      <c r="G82" s="4" t="s">
        <v>25</v>
      </c>
      <c r="H82" s="4" t="s">
        <v>25</v>
      </c>
      <c r="I82" s="5">
        <v>44470</v>
      </c>
      <c r="J82" s="6">
        <v>14086</v>
      </c>
      <c r="K82" s="6">
        <v>7714.3517191199999</v>
      </c>
      <c r="L82" s="6">
        <v>0</v>
      </c>
      <c r="M82" s="6">
        <v>0</v>
      </c>
      <c r="N82" s="6">
        <v>0</v>
      </c>
      <c r="O82" s="6">
        <v>0</v>
      </c>
      <c r="P82" s="6">
        <v>21</v>
      </c>
      <c r="Q82" s="4" t="s">
        <v>57</v>
      </c>
      <c r="R82" s="4">
        <v>0</v>
      </c>
      <c r="S82" s="4">
        <v>23</v>
      </c>
      <c r="T82" s="4">
        <v>0</v>
      </c>
      <c r="U82" s="4">
        <v>0</v>
      </c>
      <c r="V82" s="6">
        <f>IF(ISERROR(VLOOKUP($S$82,'TAR FIN'!$A$1:$O$100,15,0)),0,VLOOKUP($S$82,'TAR FIN'!$A$1:$O$100,15,0))</f>
        <v>18.48</v>
      </c>
      <c r="W82" s="6">
        <f>IF(ISERROR(VLOOKUP($T$82,'TAR FIN'!$A$1:$O$100,15,0)),0,VLOOKUP($T$82,'TAR FIN'!$A$1:$O$100,15,0))</f>
        <v>0</v>
      </c>
      <c r="X82" s="6">
        <f>IF(ISERROR(VLOOKUP($U$82,'TAR FIN'!$A$1:$O$100,15,0)),0,VLOOKUP($U$82,'TAR FIN'!$A$1:$O$100,15,0))</f>
        <v>0</v>
      </c>
      <c r="Y82" s="6">
        <f ca="1">('TUSD BE'!$AM$20+'TUSD BF'!$AM$20+'TUSD CVA'!$AM$20)*1</f>
        <v>17.856842567448453</v>
      </c>
      <c r="Z82" s="6"/>
      <c r="AA82" s="6"/>
      <c r="AB82" s="6">
        <f t="shared" si="8"/>
        <v>117748.06023066241</v>
      </c>
      <c r="AC82" s="6">
        <f t="shared" si="9"/>
        <v>0</v>
      </c>
      <c r="AD82" s="6">
        <f t="shared" ca="1" si="10"/>
        <v>113777.52024682774</v>
      </c>
      <c r="AE82" s="6">
        <f t="shared" si="11"/>
        <v>0</v>
      </c>
      <c r="AF82" s="4" t="s">
        <v>912</v>
      </c>
    </row>
    <row r="83" spans="1:32" ht="11.25" customHeight="1" x14ac:dyDescent="0.25">
      <c r="A83" s="4" t="s">
        <v>21</v>
      </c>
      <c r="B83" s="4" t="s">
        <v>39</v>
      </c>
      <c r="C83" s="4" t="s">
        <v>41</v>
      </c>
      <c r="D83" s="4" t="s">
        <v>38</v>
      </c>
      <c r="E83" s="4" t="s">
        <v>25</v>
      </c>
      <c r="F83" s="4" t="s">
        <v>58</v>
      </c>
      <c r="G83" s="4" t="s">
        <v>25</v>
      </c>
      <c r="H83" s="4" t="s">
        <v>25</v>
      </c>
      <c r="I83" s="5">
        <v>44501</v>
      </c>
      <c r="J83" s="6">
        <v>14029</v>
      </c>
      <c r="K83" s="6">
        <v>5351.5402182999997</v>
      </c>
      <c r="L83" s="6">
        <v>0</v>
      </c>
      <c r="M83" s="6">
        <v>0</v>
      </c>
      <c r="N83" s="6">
        <v>0</v>
      </c>
      <c r="O83" s="6">
        <v>0</v>
      </c>
      <c r="P83" s="6">
        <v>21</v>
      </c>
      <c r="Q83" s="4" t="s">
        <v>57</v>
      </c>
      <c r="R83" s="4">
        <v>0</v>
      </c>
      <c r="S83" s="4">
        <v>23</v>
      </c>
      <c r="T83" s="4">
        <v>0</v>
      </c>
      <c r="U83" s="4">
        <v>0</v>
      </c>
      <c r="V83" s="6">
        <f>IF(ISERROR(VLOOKUP($S$83,'TAR FIN'!$A$1:$O$100,15,0)),0,VLOOKUP($S$83,'TAR FIN'!$A$1:$O$100,15,0))</f>
        <v>18.48</v>
      </c>
      <c r="W83" s="6">
        <f>IF(ISERROR(VLOOKUP($T$83,'TAR FIN'!$A$1:$O$100,15,0)),0,VLOOKUP($T$83,'TAR FIN'!$A$1:$O$100,15,0))</f>
        <v>0</v>
      </c>
      <c r="X83" s="6">
        <f>IF(ISERROR(VLOOKUP($U$83,'TAR FIN'!$A$1:$O$100,15,0)),0,VLOOKUP($U$83,'TAR FIN'!$A$1:$O$100,15,0))</f>
        <v>0</v>
      </c>
      <c r="Y83" s="6">
        <f ca="1">('TUSD BE'!$AM$20+'TUSD BF'!$AM$20+'TUSD CVA'!$AM$20)*1</f>
        <v>17.856842567448453</v>
      </c>
      <c r="Z83" s="6"/>
      <c r="AA83" s="6"/>
      <c r="AB83" s="6">
        <f t="shared" si="8"/>
        <v>160359.45676581599</v>
      </c>
      <c r="AC83" s="6">
        <f t="shared" si="9"/>
        <v>0</v>
      </c>
      <c r="AD83" s="6">
        <f t="shared" ca="1" si="10"/>
        <v>154952.03320718251</v>
      </c>
      <c r="AE83" s="6">
        <f t="shared" si="11"/>
        <v>0</v>
      </c>
      <c r="AF83" s="4" t="s">
        <v>912</v>
      </c>
    </row>
    <row r="84" spans="1:32" ht="11.25" customHeight="1" x14ac:dyDescent="0.25">
      <c r="A84" s="4" t="s">
        <v>21</v>
      </c>
      <c r="B84" s="4" t="s">
        <v>39</v>
      </c>
      <c r="C84" s="4" t="s">
        <v>41</v>
      </c>
      <c r="D84" s="4" t="s">
        <v>38</v>
      </c>
      <c r="E84" s="4" t="s">
        <v>25</v>
      </c>
      <c r="F84" s="4" t="s">
        <v>58</v>
      </c>
      <c r="G84" s="4" t="s">
        <v>25</v>
      </c>
      <c r="H84" s="4" t="s">
        <v>25</v>
      </c>
      <c r="I84" s="5">
        <v>44531</v>
      </c>
      <c r="J84" s="6">
        <v>14125</v>
      </c>
      <c r="K84" s="6">
        <v>6051.2837637499997</v>
      </c>
      <c r="L84" s="6">
        <v>0</v>
      </c>
      <c r="M84" s="6">
        <v>0</v>
      </c>
      <c r="N84" s="6">
        <v>0</v>
      </c>
      <c r="O84" s="6">
        <v>0</v>
      </c>
      <c r="P84" s="6">
        <v>22</v>
      </c>
      <c r="Q84" s="4" t="s">
        <v>57</v>
      </c>
      <c r="R84" s="4">
        <v>0</v>
      </c>
      <c r="S84" s="4">
        <v>23</v>
      </c>
      <c r="T84" s="4">
        <v>0</v>
      </c>
      <c r="U84" s="4">
        <v>0</v>
      </c>
      <c r="V84" s="6">
        <f>IF(ISERROR(VLOOKUP($S$84,'TAR FIN'!$A$1:$O$100,15,0)),0,VLOOKUP($S$84,'TAR FIN'!$A$1:$O$100,15,0))</f>
        <v>18.48</v>
      </c>
      <c r="W84" s="6">
        <f>IF(ISERROR(VLOOKUP($T$84,'TAR FIN'!$A$1:$O$100,15,0)),0,VLOOKUP($T$84,'TAR FIN'!$A$1:$O$100,15,0))</f>
        <v>0</v>
      </c>
      <c r="X84" s="6">
        <f>IF(ISERROR(VLOOKUP($U$84,'TAR FIN'!$A$1:$O$100,15,0)),0,VLOOKUP($U$84,'TAR FIN'!$A$1:$O$100,15,0))</f>
        <v>0</v>
      </c>
      <c r="Y84" s="6">
        <f ca="1">('TUSD BE'!$AM$20+'TUSD BF'!$AM$20+'TUSD CVA'!$AM$20)*1</f>
        <v>17.856842567448453</v>
      </c>
      <c r="Z84" s="6"/>
      <c r="AA84" s="6"/>
      <c r="AB84" s="6">
        <f t="shared" si="8"/>
        <v>149202.27604590001</v>
      </c>
      <c r="AC84" s="6">
        <f t="shared" si="9"/>
        <v>0</v>
      </c>
      <c r="AD84" s="6">
        <f t="shared" ca="1" si="10"/>
        <v>144171.07976496872</v>
      </c>
      <c r="AE84" s="6">
        <f t="shared" si="11"/>
        <v>0</v>
      </c>
      <c r="AF84" s="4" t="s">
        <v>912</v>
      </c>
    </row>
    <row r="85" spans="1:32" ht="11.25" customHeight="1" x14ac:dyDescent="0.25">
      <c r="A85" s="4" t="s">
        <v>55</v>
      </c>
      <c r="B85" s="4" t="s">
        <v>39</v>
      </c>
      <c r="C85" s="4" t="s">
        <v>41</v>
      </c>
      <c r="D85" s="4" t="s">
        <v>38</v>
      </c>
      <c r="E85" s="4" t="s">
        <v>25</v>
      </c>
      <c r="F85" s="4" t="s">
        <v>58</v>
      </c>
      <c r="G85" s="4" t="s">
        <v>25</v>
      </c>
      <c r="H85" s="4" t="s">
        <v>25</v>
      </c>
      <c r="I85" s="5">
        <v>44562</v>
      </c>
      <c r="J85" s="6">
        <v>14125</v>
      </c>
      <c r="K85" s="6">
        <v>6051.2837637499997</v>
      </c>
      <c r="L85" s="6">
        <v>0</v>
      </c>
      <c r="M85" s="6">
        <v>0</v>
      </c>
      <c r="N85" s="6">
        <v>0</v>
      </c>
      <c r="O85" s="6">
        <v>0</v>
      </c>
      <c r="P85" s="6">
        <v>22</v>
      </c>
      <c r="Q85" s="4" t="s">
        <v>57</v>
      </c>
      <c r="R85" s="4">
        <v>0</v>
      </c>
      <c r="S85" s="4">
        <v>23</v>
      </c>
      <c r="T85" s="4">
        <v>0</v>
      </c>
      <c r="U85" s="4">
        <v>0</v>
      </c>
      <c r="V85" s="6">
        <f>IF(ISERROR(VLOOKUP($S$85,'TAR FIN'!$A$1:$O$100,15,0)),0,VLOOKUP($S$85,'TAR FIN'!$A$1:$O$100,15,0))</f>
        <v>18.48</v>
      </c>
      <c r="W85" s="6">
        <f>IF(ISERROR(VLOOKUP($T$85,'TAR FIN'!$A$1:$O$100,15,0)),0,VLOOKUP($T$85,'TAR FIN'!$A$1:$O$100,15,0))</f>
        <v>0</v>
      </c>
      <c r="X85" s="6">
        <f>IF(ISERROR(VLOOKUP($U$85,'TAR FIN'!$A$1:$O$100,15,0)),0,VLOOKUP($U$85,'TAR FIN'!$A$1:$O$100,15,0))</f>
        <v>0</v>
      </c>
      <c r="Y85" s="6">
        <f ca="1">('TUSD BE'!$AM$20+'TUSD BF'!$AM$20+'TUSD CVA'!$AM$20)*1</f>
        <v>17.856842567448453</v>
      </c>
      <c r="Z85" s="6"/>
      <c r="AA85" s="6"/>
      <c r="AB85" s="6">
        <f t="shared" si="8"/>
        <v>149202.27604590001</v>
      </c>
      <c r="AC85" s="6">
        <f t="shared" si="9"/>
        <v>0</v>
      </c>
      <c r="AD85" s="6">
        <f t="shared" ca="1" si="10"/>
        <v>144171.07976496872</v>
      </c>
      <c r="AE85" s="6">
        <f t="shared" si="11"/>
        <v>0</v>
      </c>
      <c r="AF85" s="4" t="s">
        <v>912</v>
      </c>
    </row>
    <row r="86" spans="1:32" ht="11.25" customHeight="1" x14ac:dyDescent="0.25">
      <c r="A86" s="4" t="s">
        <v>21</v>
      </c>
      <c r="B86" s="4" t="s">
        <v>39</v>
      </c>
      <c r="C86" s="4" t="s">
        <v>41</v>
      </c>
      <c r="D86" s="4" t="s">
        <v>38</v>
      </c>
      <c r="E86" s="4" t="s">
        <v>25</v>
      </c>
      <c r="F86" s="4" t="s">
        <v>58</v>
      </c>
      <c r="G86" s="4" t="s">
        <v>25</v>
      </c>
      <c r="H86" s="4" t="s">
        <v>34</v>
      </c>
      <c r="I86" s="5">
        <v>44228</v>
      </c>
      <c r="J86" s="6">
        <v>0</v>
      </c>
      <c r="K86" s="6">
        <v>0</v>
      </c>
      <c r="L86" s="6">
        <v>319.24799999999999</v>
      </c>
      <c r="M86" s="6">
        <v>162.45768675023999</v>
      </c>
      <c r="N86" s="6">
        <v>0</v>
      </c>
      <c r="O86" s="6">
        <v>0</v>
      </c>
      <c r="P86" s="6">
        <v>0</v>
      </c>
      <c r="Q86" s="4" t="s">
        <v>57</v>
      </c>
      <c r="R86" s="4">
        <v>0</v>
      </c>
      <c r="S86" s="4">
        <v>0</v>
      </c>
      <c r="T86" s="4">
        <v>24</v>
      </c>
      <c r="U86" s="4">
        <v>0</v>
      </c>
      <c r="V86" s="6">
        <f>IF(ISERROR(VLOOKUP($S$86,'TAR FIN'!$A$1:$O$100,15,0)),0,VLOOKUP($S$86,'TAR FIN'!$A$1:$O$100,15,0))</f>
        <v>0</v>
      </c>
      <c r="W86" s="6">
        <f>IF(ISERROR(VLOOKUP($T$86,'TAR FIN'!$A$1:$O$100,15,0)),0,VLOOKUP($T$86,'TAR FIN'!$A$1:$O$100,15,0))</f>
        <v>943.81</v>
      </c>
      <c r="X86" s="6">
        <f>IF(ISERROR(VLOOKUP($U$86,'TAR FIN'!$A$1:$O$100,15,0)),0,VLOOKUP($U$86,'TAR FIN'!$A$1:$O$100,15,0))</f>
        <v>0</v>
      </c>
      <c r="Y86" s="6"/>
      <c r="Z86" s="6">
        <f ca="1">('TUSD BE'!$AM$21+'TUSD BF'!$AM$21+'TUSD CVA'!$AM$21)*1</f>
        <v>928.87102242938545</v>
      </c>
      <c r="AA86" s="6"/>
      <c r="AB86" s="6">
        <f t="shared" si="8"/>
        <v>0</v>
      </c>
      <c r="AC86" s="6">
        <f t="shared" si="9"/>
        <v>147980.26554825599</v>
      </c>
      <c r="AD86" s="6">
        <f t="shared" si="10"/>
        <v>0</v>
      </c>
      <c r="AE86" s="6">
        <f t="shared" ca="1" si="11"/>
        <v>145637.97857532819</v>
      </c>
      <c r="AF86" s="4" t="s">
        <v>912</v>
      </c>
    </row>
    <row r="87" spans="1:32" ht="11.25" customHeight="1" x14ac:dyDescent="0.25">
      <c r="A87" s="4" t="s">
        <v>21</v>
      </c>
      <c r="B87" s="4" t="s">
        <v>39</v>
      </c>
      <c r="C87" s="4" t="s">
        <v>41</v>
      </c>
      <c r="D87" s="4" t="s">
        <v>38</v>
      </c>
      <c r="E87" s="4" t="s">
        <v>25</v>
      </c>
      <c r="F87" s="4" t="s">
        <v>58</v>
      </c>
      <c r="G87" s="4" t="s">
        <v>25</v>
      </c>
      <c r="H87" s="4" t="s">
        <v>34</v>
      </c>
      <c r="I87" s="5">
        <v>44256</v>
      </c>
      <c r="J87" s="6">
        <v>0</v>
      </c>
      <c r="K87" s="6">
        <v>0</v>
      </c>
      <c r="L87" s="6">
        <v>246.649</v>
      </c>
      <c r="M87" s="6">
        <v>126.17443300188999</v>
      </c>
      <c r="N87" s="6">
        <v>0</v>
      </c>
      <c r="O87" s="6">
        <v>0</v>
      </c>
      <c r="P87" s="6">
        <v>0</v>
      </c>
      <c r="Q87" s="4" t="s">
        <v>57</v>
      </c>
      <c r="R87" s="4">
        <v>0</v>
      </c>
      <c r="S87" s="4">
        <v>0</v>
      </c>
      <c r="T87" s="4">
        <v>24</v>
      </c>
      <c r="U87" s="4">
        <v>0</v>
      </c>
      <c r="V87" s="6">
        <f>IF(ISERROR(VLOOKUP($S$87,'TAR FIN'!$A$1:$O$100,15,0)),0,VLOOKUP($S$87,'TAR FIN'!$A$1:$O$100,15,0))</f>
        <v>0</v>
      </c>
      <c r="W87" s="6">
        <f>IF(ISERROR(VLOOKUP($T$87,'TAR FIN'!$A$1:$O$100,15,0)),0,VLOOKUP($T$87,'TAR FIN'!$A$1:$O$100,15,0))</f>
        <v>943.81</v>
      </c>
      <c r="X87" s="6">
        <f>IF(ISERROR(VLOOKUP($U$87,'TAR FIN'!$A$1:$O$100,15,0)),0,VLOOKUP($U$87,'TAR FIN'!$A$1:$O$100,15,0))</f>
        <v>0</v>
      </c>
      <c r="Y87" s="6"/>
      <c r="Z87" s="6">
        <f ca="1">('TUSD BE'!$AM$21+'TUSD BF'!$AM$21+'TUSD CVA'!$AM$21)*1</f>
        <v>928.87102242938545</v>
      </c>
      <c r="AA87" s="6"/>
      <c r="AB87" s="6">
        <f t="shared" si="8"/>
        <v>0</v>
      </c>
      <c r="AC87" s="6">
        <f t="shared" si="9"/>
        <v>113705.1010784862</v>
      </c>
      <c r="AD87" s="6">
        <f t="shared" si="10"/>
        <v>0</v>
      </c>
      <c r="AE87" s="6">
        <f t="shared" ca="1" si="11"/>
        <v>111905.33422427194</v>
      </c>
      <c r="AF87" s="4" t="s">
        <v>912</v>
      </c>
    </row>
    <row r="88" spans="1:32" ht="11.25" customHeight="1" x14ac:dyDescent="0.25">
      <c r="A88" s="4" t="s">
        <v>21</v>
      </c>
      <c r="B88" s="4" t="s">
        <v>39</v>
      </c>
      <c r="C88" s="4" t="s">
        <v>41</v>
      </c>
      <c r="D88" s="4" t="s">
        <v>38</v>
      </c>
      <c r="E88" s="4" t="s">
        <v>25</v>
      </c>
      <c r="F88" s="4" t="s">
        <v>58</v>
      </c>
      <c r="G88" s="4" t="s">
        <v>25</v>
      </c>
      <c r="H88" s="4" t="s">
        <v>34</v>
      </c>
      <c r="I88" s="5">
        <v>44287</v>
      </c>
      <c r="J88" s="6">
        <v>0</v>
      </c>
      <c r="K88" s="6">
        <v>0</v>
      </c>
      <c r="L88" s="6">
        <v>307.983</v>
      </c>
      <c r="M88" s="6">
        <v>155.59023667317001</v>
      </c>
      <c r="N88" s="6">
        <v>0</v>
      </c>
      <c r="O88" s="6">
        <v>0</v>
      </c>
      <c r="P88" s="6">
        <v>0</v>
      </c>
      <c r="Q88" s="4" t="s">
        <v>57</v>
      </c>
      <c r="R88" s="4">
        <v>0</v>
      </c>
      <c r="S88" s="4">
        <v>0</v>
      </c>
      <c r="T88" s="4">
        <v>24</v>
      </c>
      <c r="U88" s="4">
        <v>0</v>
      </c>
      <c r="V88" s="6">
        <f>IF(ISERROR(VLOOKUP($S$88,'TAR FIN'!$A$1:$O$100,15,0)),0,VLOOKUP($S$88,'TAR FIN'!$A$1:$O$100,15,0))</f>
        <v>0</v>
      </c>
      <c r="W88" s="6">
        <f>IF(ISERROR(VLOOKUP($T$88,'TAR FIN'!$A$1:$O$100,15,0)),0,VLOOKUP($T$88,'TAR FIN'!$A$1:$O$100,15,0))</f>
        <v>943.81</v>
      </c>
      <c r="X88" s="6">
        <f>IF(ISERROR(VLOOKUP($U$88,'TAR FIN'!$A$1:$O$100,15,0)),0,VLOOKUP($U$88,'TAR FIN'!$A$1:$O$100,15,0))</f>
        <v>0</v>
      </c>
      <c r="Y88" s="6"/>
      <c r="Z88" s="6">
        <f ca="1">('TUSD BE'!$AM$21+'TUSD BF'!$AM$21+'TUSD CVA'!$AM$21)*1</f>
        <v>928.87102242938545</v>
      </c>
      <c r="AA88" s="6"/>
      <c r="AB88" s="6">
        <f t="shared" si="8"/>
        <v>0</v>
      </c>
      <c r="AC88" s="6">
        <f t="shared" si="9"/>
        <v>143829.8139554954</v>
      </c>
      <c r="AD88" s="6">
        <f t="shared" si="10"/>
        <v>0</v>
      </c>
      <c r="AE88" s="6">
        <f t="shared" ca="1" si="11"/>
        <v>141553.22188223194</v>
      </c>
      <c r="AF88" s="4" t="s">
        <v>912</v>
      </c>
    </row>
    <row r="89" spans="1:32" ht="11.25" customHeight="1" x14ac:dyDescent="0.25">
      <c r="A89" s="4" t="s">
        <v>21</v>
      </c>
      <c r="B89" s="4" t="s">
        <v>39</v>
      </c>
      <c r="C89" s="4" t="s">
        <v>41</v>
      </c>
      <c r="D89" s="4" t="s">
        <v>38</v>
      </c>
      <c r="E89" s="4" t="s">
        <v>25</v>
      </c>
      <c r="F89" s="4" t="s">
        <v>58</v>
      </c>
      <c r="G89" s="4" t="s">
        <v>25</v>
      </c>
      <c r="H89" s="4" t="s">
        <v>34</v>
      </c>
      <c r="I89" s="5">
        <v>44317</v>
      </c>
      <c r="J89" s="6">
        <v>0</v>
      </c>
      <c r="K89" s="6">
        <v>0</v>
      </c>
      <c r="L89" s="6">
        <v>282.05099999999999</v>
      </c>
      <c r="M89" s="6">
        <v>141.56884586691001</v>
      </c>
      <c r="N89" s="6">
        <v>0</v>
      </c>
      <c r="O89" s="6">
        <v>0</v>
      </c>
      <c r="P89" s="6">
        <v>0</v>
      </c>
      <c r="Q89" s="4" t="s">
        <v>57</v>
      </c>
      <c r="R89" s="4">
        <v>0</v>
      </c>
      <c r="S89" s="4">
        <v>0</v>
      </c>
      <c r="T89" s="4">
        <v>24</v>
      </c>
      <c r="U89" s="4">
        <v>0</v>
      </c>
      <c r="V89" s="6">
        <f>IF(ISERROR(VLOOKUP($S$89,'TAR FIN'!$A$1:$O$100,15,0)),0,VLOOKUP($S$89,'TAR FIN'!$A$1:$O$100,15,0))</f>
        <v>0</v>
      </c>
      <c r="W89" s="6">
        <f>IF(ISERROR(VLOOKUP($T$89,'TAR FIN'!$A$1:$O$100,15,0)),0,VLOOKUP($T$89,'TAR FIN'!$A$1:$O$100,15,0))</f>
        <v>943.81</v>
      </c>
      <c r="X89" s="6">
        <f>IF(ISERROR(VLOOKUP($U$89,'TAR FIN'!$A$1:$O$100,15,0)),0,VLOOKUP($U$89,'TAR FIN'!$A$1:$O$100,15,0))</f>
        <v>0</v>
      </c>
      <c r="Y89" s="6"/>
      <c r="Z89" s="6">
        <f ca="1">('TUSD BE'!$AM$21+'TUSD BF'!$AM$21+'TUSD CVA'!$AM$21)*1</f>
        <v>928.87102242938545</v>
      </c>
      <c r="AA89" s="6"/>
      <c r="AB89" s="6">
        <f t="shared" si="8"/>
        <v>0</v>
      </c>
      <c r="AC89" s="6">
        <f t="shared" si="9"/>
        <v>132588.46189235165</v>
      </c>
      <c r="AD89" s="6">
        <f t="shared" si="10"/>
        <v>0</v>
      </c>
      <c r="AE89" s="6">
        <f t="shared" ca="1" si="11"/>
        <v>130489.8021426858</v>
      </c>
      <c r="AF89" s="4" t="s">
        <v>912</v>
      </c>
    </row>
    <row r="90" spans="1:32" ht="11.25" customHeight="1" x14ac:dyDescent="0.25">
      <c r="A90" s="4" t="s">
        <v>21</v>
      </c>
      <c r="B90" s="4" t="s">
        <v>39</v>
      </c>
      <c r="C90" s="4" t="s">
        <v>41</v>
      </c>
      <c r="D90" s="4" t="s">
        <v>38</v>
      </c>
      <c r="E90" s="4" t="s">
        <v>25</v>
      </c>
      <c r="F90" s="4" t="s">
        <v>58</v>
      </c>
      <c r="G90" s="4" t="s">
        <v>25</v>
      </c>
      <c r="H90" s="4" t="s">
        <v>34</v>
      </c>
      <c r="I90" s="5">
        <v>44348</v>
      </c>
      <c r="J90" s="6">
        <v>0</v>
      </c>
      <c r="K90" s="6">
        <v>0</v>
      </c>
      <c r="L90" s="6">
        <v>295.66399999999999</v>
      </c>
      <c r="M90" s="6">
        <v>146.53186782288</v>
      </c>
      <c r="N90" s="6">
        <v>0</v>
      </c>
      <c r="O90" s="6">
        <v>0</v>
      </c>
      <c r="P90" s="6">
        <v>0</v>
      </c>
      <c r="Q90" s="4" t="s">
        <v>57</v>
      </c>
      <c r="R90" s="4">
        <v>0</v>
      </c>
      <c r="S90" s="4">
        <v>0</v>
      </c>
      <c r="T90" s="4">
        <v>24</v>
      </c>
      <c r="U90" s="4">
        <v>0</v>
      </c>
      <c r="V90" s="6">
        <f>IF(ISERROR(VLOOKUP($S$90,'TAR FIN'!$A$1:$O$100,15,0)),0,VLOOKUP($S$90,'TAR FIN'!$A$1:$O$100,15,0))</f>
        <v>0</v>
      </c>
      <c r="W90" s="6">
        <f>IF(ISERROR(VLOOKUP($T$90,'TAR FIN'!$A$1:$O$100,15,0)),0,VLOOKUP($T$90,'TAR FIN'!$A$1:$O$100,15,0))</f>
        <v>943.81</v>
      </c>
      <c r="X90" s="6">
        <f>IF(ISERROR(VLOOKUP($U$90,'TAR FIN'!$A$1:$O$100,15,0)),0,VLOOKUP($U$90,'TAR FIN'!$A$1:$O$100,15,0))</f>
        <v>0</v>
      </c>
      <c r="Y90" s="6"/>
      <c r="Z90" s="6">
        <f ca="1">('TUSD BE'!$AM$21+'TUSD BF'!$AM$21+'TUSD CVA'!$AM$21)*1</f>
        <v>928.87102242938545</v>
      </c>
      <c r="AA90" s="6"/>
      <c r="AB90" s="6">
        <f t="shared" si="8"/>
        <v>0</v>
      </c>
      <c r="AC90" s="6">
        <f t="shared" si="9"/>
        <v>140752.39767008761</v>
      </c>
      <c r="AD90" s="6">
        <f t="shared" si="10"/>
        <v>0</v>
      </c>
      <c r="AE90" s="6">
        <f t="shared" ca="1" si="11"/>
        <v>138524.51609243569</v>
      </c>
      <c r="AF90" s="4" t="s">
        <v>912</v>
      </c>
    </row>
    <row r="91" spans="1:32" ht="11.25" customHeight="1" x14ac:dyDescent="0.25">
      <c r="A91" s="4" t="s">
        <v>21</v>
      </c>
      <c r="B91" s="4" t="s">
        <v>39</v>
      </c>
      <c r="C91" s="4" t="s">
        <v>41</v>
      </c>
      <c r="D91" s="4" t="s">
        <v>38</v>
      </c>
      <c r="E91" s="4" t="s">
        <v>25</v>
      </c>
      <c r="F91" s="4" t="s">
        <v>58</v>
      </c>
      <c r="G91" s="4" t="s">
        <v>25</v>
      </c>
      <c r="H91" s="4" t="s">
        <v>34</v>
      </c>
      <c r="I91" s="5">
        <v>44378</v>
      </c>
      <c r="J91" s="6">
        <v>0</v>
      </c>
      <c r="K91" s="6">
        <v>0</v>
      </c>
      <c r="L91" s="6">
        <v>314.65300000000002</v>
      </c>
      <c r="M91" s="6">
        <v>158.83230968986001</v>
      </c>
      <c r="N91" s="6">
        <v>0</v>
      </c>
      <c r="O91" s="6">
        <v>0</v>
      </c>
      <c r="P91" s="6">
        <v>0</v>
      </c>
      <c r="Q91" s="4" t="s">
        <v>57</v>
      </c>
      <c r="R91" s="4">
        <v>0</v>
      </c>
      <c r="S91" s="4">
        <v>0</v>
      </c>
      <c r="T91" s="4">
        <v>24</v>
      </c>
      <c r="U91" s="4">
        <v>0</v>
      </c>
      <c r="V91" s="6">
        <f>IF(ISERROR(VLOOKUP($S$91,'TAR FIN'!$A$1:$O$100,15,0)),0,VLOOKUP($S$91,'TAR FIN'!$A$1:$O$100,15,0))</f>
        <v>0</v>
      </c>
      <c r="W91" s="6">
        <f>IF(ISERROR(VLOOKUP($T$91,'TAR FIN'!$A$1:$O$100,15,0)),0,VLOOKUP($T$91,'TAR FIN'!$A$1:$O$100,15,0))</f>
        <v>943.81</v>
      </c>
      <c r="X91" s="6">
        <f>IF(ISERROR(VLOOKUP($U$91,'TAR FIN'!$A$1:$O$100,15,0)),0,VLOOKUP($U$91,'TAR FIN'!$A$1:$O$100,15,0))</f>
        <v>0</v>
      </c>
      <c r="Y91" s="6"/>
      <c r="Z91" s="6">
        <f ca="1">('TUSD BE'!$AM$21+'TUSD BF'!$AM$21+'TUSD CVA'!$AM$21)*1</f>
        <v>928.87102242938545</v>
      </c>
      <c r="AA91" s="6"/>
      <c r="AB91" s="6">
        <f t="shared" si="8"/>
        <v>0</v>
      </c>
      <c r="AC91" s="6">
        <f t="shared" si="9"/>
        <v>147065.12572161324</v>
      </c>
      <c r="AD91" s="6">
        <f t="shared" si="10"/>
        <v>0</v>
      </c>
      <c r="AE91" s="6">
        <f t="shared" ca="1" si="11"/>
        <v>144737.32392403239</v>
      </c>
      <c r="AF91" s="4" t="s">
        <v>912</v>
      </c>
    </row>
    <row r="92" spans="1:32" ht="11.25" customHeight="1" x14ac:dyDescent="0.25">
      <c r="A92" s="4" t="s">
        <v>21</v>
      </c>
      <c r="B92" s="4" t="s">
        <v>39</v>
      </c>
      <c r="C92" s="4" t="s">
        <v>41</v>
      </c>
      <c r="D92" s="4" t="s">
        <v>38</v>
      </c>
      <c r="E92" s="4" t="s">
        <v>25</v>
      </c>
      <c r="F92" s="4" t="s">
        <v>58</v>
      </c>
      <c r="G92" s="4" t="s">
        <v>25</v>
      </c>
      <c r="H92" s="4" t="s">
        <v>34</v>
      </c>
      <c r="I92" s="5">
        <v>44409</v>
      </c>
      <c r="J92" s="6">
        <v>0</v>
      </c>
      <c r="K92" s="6">
        <v>0</v>
      </c>
      <c r="L92" s="6">
        <v>320.17700000000002</v>
      </c>
      <c r="M92" s="6">
        <v>161.80249392879</v>
      </c>
      <c r="N92" s="6">
        <v>0</v>
      </c>
      <c r="O92" s="6">
        <v>0</v>
      </c>
      <c r="P92" s="6">
        <v>0</v>
      </c>
      <c r="Q92" s="4" t="s">
        <v>57</v>
      </c>
      <c r="R92" s="4">
        <v>0</v>
      </c>
      <c r="S92" s="4">
        <v>0</v>
      </c>
      <c r="T92" s="4">
        <v>24</v>
      </c>
      <c r="U92" s="4">
        <v>0</v>
      </c>
      <c r="V92" s="6">
        <f>IF(ISERROR(VLOOKUP($S$92,'TAR FIN'!$A$1:$O$100,15,0)),0,VLOOKUP($S$92,'TAR FIN'!$A$1:$O$100,15,0))</f>
        <v>0</v>
      </c>
      <c r="W92" s="6">
        <f>IF(ISERROR(VLOOKUP($T$92,'TAR FIN'!$A$1:$O$100,15,0)),0,VLOOKUP($T$92,'TAR FIN'!$A$1:$O$100,15,0))</f>
        <v>943.81</v>
      </c>
      <c r="X92" s="6">
        <f>IF(ISERROR(VLOOKUP($U$92,'TAR FIN'!$A$1:$O$100,15,0)),0,VLOOKUP($U$92,'TAR FIN'!$A$1:$O$100,15,0))</f>
        <v>0</v>
      </c>
      <c r="Y92" s="6"/>
      <c r="Z92" s="6">
        <f ca="1">('TUSD BE'!$AM$21+'TUSD BF'!$AM$21+'TUSD CVA'!$AM$21)*1</f>
        <v>928.87102242938545</v>
      </c>
      <c r="AA92" s="6"/>
      <c r="AB92" s="6">
        <f t="shared" si="8"/>
        <v>0</v>
      </c>
      <c r="AC92" s="6">
        <f t="shared" si="9"/>
        <v>149475.44257506871</v>
      </c>
      <c r="AD92" s="6">
        <f t="shared" si="10"/>
        <v>0</v>
      </c>
      <c r="AE92" s="6">
        <f t="shared" ca="1" si="11"/>
        <v>147109.48938111376</v>
      </c>
      <c r="AF92" s="4" t="s">
        <v>912</v>
      </c>
    </row>
    <row r="93" spans="1:32" ht="11.25" customHeight="1" x14ac:dyDescent="0.25">
      <c r="A93" s="4" t="s">
        <v>21</v>
      </c>
      <c r="B93" s="4" t="s">
        <v>39</v>
      </c>
      <c r="C93" s="4" t="s">
        <v>41</v>
      </c>
      <c r="D93" s="4" t="s">
        <v>38</v>
      </c>
      <c r="E93" s="4" t="s">
        <v>25</v>
      </c>
      <c r="F93" s="4" t="s">
        <v>58</v>
      </c>
      <c r="G93" s="4" t="s">
        <v>25</v>
      </c>
      <c r="H93" s="4" t="s">
        <v>34</v>
      </c>
      <c r="I93" s="5">
        <v>44440</v>
      </c>
      <c r="J93" s="6">
        <v>0</v>
      </c>
      <c r="K93" s="6">
        <v>0</v>
      </c>
      <c r="L93" s="6">
        <v>336.60399999999998</v>
      </c>
      <c r="M93" s="6">
        <v>170.07936000308001</v>
      </c>
      <c r="N93" s="6">
        <v>0</v>
      </c>
      <c r="O93" s="6">
        <v>0</v>
      </c>
      <c r="P93" s="6">
        <v>0</v>
      </c>
      <c r="Q93" s="4" t="s">
        <v>57</v>
      </c>
      <c r="R93" s="4">
        <v>0</v>
      </c>
      <c r="S93" s="4">
        <v>0</v>
      </c>
      <c r="T93" s="4">
        <v>24</v>
      </c>
      <c r="U93" s="4">
        <v>0</v>
      </c>
      <c r="V93" s="6">
        <f>IF(ISERROR(VLOOKUP($S$93,'TAR FIN'!$A$1:$O$100,15,0)),0,VLOOKUP($S$93,'TAR FIN'!$A$1:$O$100,15,0))</f>
        <v>0</v>
      </c>
      <c r="W93" s="6">
        <f>IF(ISERROR(VLOOKUP($T$93,'TAR FIN'!$A$1:$O$100,15,0)),0,VLOOKUP($T$93,'TAR FIN'!$A$1:$O$100,15,0))</f>
        <v>943.81</v>
      </c>
      <c r="X93" s="6">
        <f>IF(ISERROR(VLOOKUP($U$93,'TAR FIN'!$A$1:$O$100,15,0)),0,VLOOKUP($U$93,'TAR FIN'!$A$1:$O$100,15,0))</f>
        <v>0</v>
      </c>
      <c r="Y93" s="6"/>
      <c r="Z93" s="6">
        <f ca="1">('TUSD BE'!$AM$21+'TUSD BF'!$AM$21+'TUSD CVA'!$AM$21)*1</f>
        <v>928.87102242938545</v>
      </c>
      <c r="AA93" s="6"/>
      <c r="AB93" s="6">
        <f t="shared" si="8"/>
        <v>0</v>
      </c>
      <c r="AC93" s="6">
        <f t="shared" si="9"/>
        <v>157167.62047549302</v>
      </c>
      <c r="AD93" s="6">
        <f t="shared" si="10"/>
        <v>0</v>
      </c>
      <c r="AE93" s="6">
        <f t="shared" ca="1" si="11"/>
        <v>154679.91261362439</v>
      </c>
      <c r="AF93" s="4" t="s">
        <v>912</v>
      </c>
    </row>
    <row r="94" spans="1:32" ht="11.25" customHeight="1" x14ac:dyDescent="0.25">
      <c r="A94" s="4" t="s">
        <v>21</v>
      </c>
      <c r="B94" s="4" t="s">
        <v>39</v>
      </c>
      <c r="C94" s="4" t="s">
        <v>41</v>
      </c>
      <c r="D94" s="4" t="s">
        <v>38</v>
      </c>
      <c r="E94" s="4" t="s">
        <v>25</v>
      </c>
      <c r="F94" s="4" t="s">
        <v>58</v>
      </c>
      <c r="G94" s="4" t="s">
        <v>25</v>
      </c>
      <c r="H94" s="4" t="s">
        <v>34</v>
      </c>
      <c r="I94" s="5">
        <v>44470</v>
      </c>
      <c r="J94" s="6">
        <v>0</v>
      </c>
      <c r="K94" s="6">
        <v>0</v>
      </c>
      <c r="L94" s="6">
        <v>364.46199999999999</v>
      </c>
      <c r="M94" s="6">
        <v>217.80432808847999</v>
      </c>
      <c r="N94" s="6">
        <v>0</v>
      </c>
      <c r="O94" s="6">
        <v>0</v>
      </c>
      <c r="P94" s="6">
        <v>0</v>
      </c>
      <c r="Q94" s="4" t="s">
        <v>57</v>
      </c>
      <c r="R94" s="4">
        <v>0</v>
      </c>
      <c r="S94" s="4">
        <v>0</v>
      </c>
      <c r="T94" s="4">
        <v>24</v>
      </c>
      <c r="U94" s="4">
        <v>0</v>
      </c>
      <c r="V94" s="6">
        <f>IF(ISERROR(VLOOKUP($S$94,'TAR FIN'!$A$1:$O$100,15,0)),0,VLOOKUP($S$94,'TAR FIN'!$A$1:$O$100,15,0))</f>
        <v>0</v>
      </c>
      <c r="W94" s="6">
        <f>IF(ISERROR(VLOOKUP($T$94,'TAR FIN'!$A$1:$O$100,15,0)),0,VLOOKUP($T$94,'TAR FIN'!$A$1:$O$100,15,0))</f>
        <v>943.81</v>
      </c>
      <c r="X94" s="6">
        <f>IF(ISERROR(VLOOKUP($U$94,'TAR FIN'!$A$1:$O$100,15,0)),0,VLOOKUP($U$94,'TAR FIN'!$A$1:$O$100,15,0))</f>
        <v>0</v>
      </c>
      <c r="Y94" s="6"/>
      <c r="Z94" s="6">
        <f ca="1">('TUSD BE'!$AM$21+'TUSD BF'!$AM$21+'TUSD CVA'!$AM$21)*1</f>
        <v>928.87102242938545</v>
      </c>
      <c r="AA94" s="6"/>
      <c r="AB94" s="6">
        <f t="shared" si="8"/>
        <v>0</v>
      </c>
      <c r="AC94" s="6">
        <f t="shared" si="9"/>
        <v>138416.97732681167</v>
      </c>
      <c r="AD94" s="6">
        <f t="shared" si="10"/>
        <v>0</v>
      </c>
      <c r="AE94" s="6">
        <f t="shared" ca="1" si="11"/>
        <v>136226.06165556694</v>
      </c>
      <c r="AF94" s="4" t="s">
        <v>912</v>
      </c>
    </row>
    <row r="95" spans="1:32" ht="11.25" customHeight="1" x14ac:dyDescent="0.25">
      <c r="A95" s="4" t="s">
        <v>21</v>
      </c>
      <c r="B95" s="4" t="s">
        <v>39</v>
      </c>
      <c r="C95" s="4" t="s">
        <v>41</v>
      </c>
      <c r="D95" s="4" t="s">
        <v>38</v>
      </c>
      <c r="E95" s="4" t="s">
        <v>25</v>
      </c>
      <c r="F95" s="4" t="s">
        <v>58</v>
      </c>
      <c r="G95" s="4" t="s">
        <v>25</v>
      </c>
      <c r="H95" s="4" t="s">
        <v>34</v>
      </c>
      <c r="I95" s="5">
        <v>44501</v>
      </c>
      <c r="J95" s="6">
        <v>0</v>
      </c>
      <c r="K95" s="6">
        <v>0</v>
      </c>
      <c r="L95" s="6">
        <v>369.31900000000002</v>
      </c>
      <c r="M95" s="6">
        <v>160.29784858651001</v>
      </c>
      <c r="N95" s="6">
        <v>0</v>
      </c>
      <c r="O95" s="6">
        <v>0</v>
      </c>
      <c r="P95" s="6">
        <v>0</v>
      </c>
      <c r="Q95" s="4" t="s">
        <v>57</v>
      </c>
      <c r="R95" s="4">
        <v>0</v>
      </c>
      <c r="S95" s="4">
        <v>0</v>
      </c>
      <c r="T95" s="4">
        <v>24</v>
      </c>
      <c r="U95" s="4">
        <v>0</v>
      </c>
      <c r="V95" s="6">
        <f>IF(ISERROR(VLOOKUP($S$95,'TAR FIN'!$A$1:$O$100,15,0)),0,VLOOKUP($S$95,'TAR FIN'!$A$1:$O$100,15,0))</f>
        <v>0</v>
      </c>
      <c r="W95" s="6">
        <f>IF(ISERROR(VLOOKUP($T$95,'TAR FIN'!$A$1:$O$100,15,0)),0,VLOOKUP($T$95,'TAR FIN'!$A$1:$O$100,15,0))</f>
        <v>943.81</v>
      </c>
      <c r="X95" s="6">
        <f>IF(ISERROR(VLOOKUP($U$95,'TAR FIN'!$A$1:$O$100,15,0)),0,VLOOKUP($U$95,'TAR FIN'!$A$1:$O$100,15,0))</f>
        <v>0</v>
      </c>
      <c r="Y95" s="6"/>
      <c r="Z95" s="6">
        <f ca="1">('TUSD BE'!$AM$21+'TUSD BF'!$AM$21+'TUSD CVA'!$AM$21)*1</f>
        <v>928.87102242938545</v>
      </c>
      <c r="AA95" s="6"/>
      <c r="AB95" s="6">
        <f t="shared" si="8"/>
        <v>0</v>
      </c>
      <c r="AC95" s="6">
        <f t="shared" si="9"/>
        <v>197276.252915566</v>
      </c>
      <c r="AD95" s="6">
        <f t="shared" si="10"/>
        <v>0</v>
      </c>
      <c r="AE95" s="6">
        <f t="shared" ca="1" si="11"/>
        <v>194153.69062281583</v>
      </c>
      <c r="AF95" s="4" t="s">
        <v>912</v>
      </c>
    </row>
    <row r="96" spans="1:32" ht="11.25" customHeight="1" x14ac:dyDescent="0.25">
      <c r="A96" s="4" t="s">
        <v>21</v>
      </c>
      <c r="B96" s="4" t="s">
        <v>39</v>
      </c>
      <c r="C96" s="4" t="s">
        <v>41</v>
      </c>
      <c r="D96" s="4" t="s">
        <v>38</v>
      </c>
      <c r="E96" s="4" t="s">
        <v>25</v>
      </c>
      <c r="F96" s="4" t="s">
        <v>58</v>
      </c>
      <c r="G96" s="4" t="s">
        <v>25</v>
      </c>
      <c r="H96" s="4" t="s">
        <v>34</v>
      </c>
      <c r="I96" s="5">
        <v>44531</v>
      </c>
      <c r="J96" s="6">
        <v>0</v>
      </c>
      <c r="K96" s="6">
        <v>0</v>
      </c>
      <c r="L96" s="6">
        <v>404.59399999999999</v>
      </c>
      <c r="M96" s="6">
        <v>198.21775786786</v>
      </c>
      <c r="N96" s="6">
        <v>0</v>
      </c>
      <c r="O96" s="6">
        <v>0</v>
      </c>
      <c r="P96" s="6">
        <v>0</v>
      </c>
      <c r="Q96" s="4" t="s">
        <v>57</v>
      </c>
      <c r="R96" s="4">
        <v>0</v>
      </c>
      <c r="S96" s="4">
        <v>0</v>
      </c>
      <c r="T96" s="4">
        <v>24</v>
      </c>
      <c r="U96" s="4">
        <v>0</v>
      </c>
      <c r="V96" s="6">
        <f>IF(ISERROR(VLOOKUP($S$96,'TAR FIN'!$A$1:$O$100,15,0)),0,VLOOKUP($S$96,'TAR FIN'!$A$1:$O$100,15,0))</f>
        <v>0</v>
      </c>
      <c r="W96" s="6">
        <f>IF(ISERROR(VLOOKUP($T$96,'TAR FIN'!$A$1:$O$100,15,0)),0,VLOOKUP($T$96,'TAR FIN'!$A$1:$O$100,15,0))</f>
        <v>943.81</v>
      </c>
      <c r="X96" s="6">
        <f>IF(ISERROR(VLOOKUP($U$96,'TAR FIN'!$A$1:$O$100,15,0)),0,VLOOKUP($U$96,'TAR FIN'!$A$1:$O$100,15,0))</f>
        <v>0</v>
      </c>
      <c r="Y96" s="6"/>
      <c r="Z96" s="6">
        <f ca="1">('TUSD BE'!$AM$21+'TUSD BF'!$AM$21+'TUSD CVA'!$AM$21)*1</f>
        <v>928.87102242938545</v>
      </c>
      <c r="AA96" s="6"/>
      <c r="AB96" s="6">
        <f t="shared" si="8"/>
        <v>0</v>
      </c>
      <c r="AC96" s="6">
        <f t="shared" si="9"/>
        <v>194779.96108673504</v>
      </c>
      <c r="AD96" s="6">
        <f t="shared" si="10"/>
        <v>0</v>
      </c>
      <c r="AE96" s="6">
        <f t="shared" ca="1" si="11"/>
        <v>191696.9110344153</v>
      </c>
      <c r="AF96" s="4" t="s">
        <v>912</v>
      </c>
    </row>
    <row r="97" spans="1:32" ht="11.25" customHeight="1" x14ac:dyDescent="0.25">
      <c r="A97" s="4" t="s">
        <v>55</v>
      </c>
      <c r="B97" s="4" t="s">
        <v>39</v>
      </c>
      <c r="C97" s="4" t="s">
        <v>41</v>
      </c>
      <c r="D97" s="4" t="s">
        <v>38</v>
      </c>
      <c r="E97" s="4" t="s">
        <v>25</v>
      </c>
      <c r="F97" s="4" t="s">
        <v>58</v>
      </c>
      <c r="G97" s="4" t="s">
        <v>25</v>
      </c>
      <c r="H97" s="4" t="s">
        <v>34</v>
      </c>
      <c r="I97" s="5">
        <v>44562</v>
      </c>
      <c r="J97" s="6">
        <v>0</v>
      </c>
      <c r="K97" s="6">
        <v>0</v>
      </c>
      <c r="L97" s="6">
        <v>404.59399999999999</v>
      </c>
      <c r="M97" s="6">
        <v>198.21775786786</v>
      </c>
      <c r="N97" s="6">
        <v>0</v>
      </c>
      <c r="O97" s="6">
        <v>0</v>
      </c>
      <c r="P97" s="6">
        <v>0</v>
      </c>
      <c r="Q97" s="4" t="s">
        <v>57</v>
      </c>
      <c r="R97" s="4">
        <v>0</v>
      </c>
      <c r="S97" s="4">
        <v>0</v>
      </c>
      <c r="T97" s="4">
        <v>24</v>
      </c>
      <c r="U97" s="4">
        <v>0</v>
      </c>
      <c r="V97" s="6">
        <f>IF(ISERROR(VLOOKUP($S$97,'TAR FIN'!$A$1:$O$100,15,0)),0,VLOOKUP($S$97,'TAR FIN'!$A$1:$O$100,15,0))</f>
        <v>0</v>
      </c>
      <c r="W97" s="6">
        <f>IF(ISERROR(VLOOKUP($T$97,'TAR FIN'!$A$1:$O$100,15,0)),0,VLOOKUP($T$97,'TAR FIN'!$A$1:$O$100,15,0))</f>
        <v>943.81</v>
      </c>
      <c r="X97" s="6">
        <f>IF(ISERROR(VLOOKUP($U$97,'TAR FIN'!$A$1:$O$100,15,0)),0,VLOOKUP($U$97,'TAR FIN'!$A$1:$O$100,15,0))</f>
        <v>0</v>
      </c>
      <c r="Y97" s="6"/>
      <c r="Z97" s="6">
        <f ca="1">('TUSD BE'!$AM$21+'TUSD BF'!$AM$21+'TUSD CVA'!$AM$21)*1</f>
        <v>928.87102242938545</v>
      </c>
      <c r="AA97" s="6"/>
      <c r="AB97" s="6">
        <f t="shared" si="8"/>
        <v>0</v>
      </c>
      <c r="AC97" s="6">
        <f t="shared" si="9"/>
        <v>194779.96108673504</v>
      </c>
      <c r="AD97" s="6">
        <f t="shared" si="10"/>
        <v>0</v>
      </c>
      <c r="AE97" s="6">
        <f t="shared" ca="1" si="11"/>
        <v>191696.9110344153</v>
      </c>
      <c r="AF97" s="4" t="s">
        <v>912</v>
      </c>
    </row>
    <row r="98" spans="1:32" ht="11.25" customHeight="1" x14ac:dyDescent="0.25">
      <c r="A98" s="4" t="s">
        <v>21</v>
      </c>
      <c r="B98" s="4" t="s">
        <v>39</v>
      </c>
      <c r="C98" s="4" t="s">
        <v>41</v>
      </c>
      <c r="D98" s="4" t="s">
        <v>44</v>
      </c>
      <c r="E98" s="4" t="s">
        <v>25</v>
      </c>
      <c r="F98" s="4" t="s">
        <v>25</v>
      </c>
      <c r="G98" s="4" t="s">
        <v>25</v>
      </c>
      <c r="H98" s="4" t="s">
        <v>35</v>
      </c>
      <c r="I98" s="5">
        <v>44228</v>
      </c>
      <c r="J98" s="6">
        <v>0</v>
      </c>
      <c r="K98" s="43">
        <v>0</v>
      </c>
      <c r="L98" s="6">
        <v>98.512</v>
      </c>
      <c r="M98" s="43">
        <v>98.512</v>
      </c>
      <c r="N98" s="6">
        <v>98.512</v>
      </c>
      <c r="O98" s="43">
        <v>98.512</v>
      </c>
      <c r="P98" s="6">
        <v>0</v>
      </c>
      <c r="Q98" s="4" t="s">
        <v>26</v>
      </c>
      <c r="R98" s="4">
        <v>0</v>
      </c>
      <c r="S98" s="4">
        <v>0</v>
      </c>
      <c r="T98" s="4">
        <v>25</v>
      </c>
      <c r="U98" s="4">
        <v>68</v>
      </c>
      <c r="V98" s="43">
        <f>IF(ISERROR(VLOOKUP($S$98,'TAR FIN'!$A$1:$O$100,15,0)),0,VLOOKUP($S$98,'TAR FIN'!$A$1:$O$100,15,0))</f>
        <v>0</v>
      </c>
      <c r="W98" s="43">
        <f>IF(ISERROR(VLOOKUP($T$98,'TAR FIN'!$A$1:$O$100,15,0)),0,VLOOKUP($T$98,'TAR FIN'!$A$1:$O$100,15,0))*(1-0.04)</f>
        <v>41.903999999999996</v>
      </c>
      <c r="X98" s="43">
        <f>IF(ISERROR(VLOOKUP($U$98,'TAR FIN'!$A$1:$O$100,15,0)),0,VLOOKUP($U$98,'TAR FIN'!$A$1:$O$100,15,0))*(1-0.04)</f>
        <v>210.2688</v>
      </c>
      <c r="Y98" s="43"/>
      <c r="Z98" s="43">
        <f ca="1">('TUSD BE'!$AM$22+'TUSD BF'!$AM$22+'TUSD CVA'!$AM$22)*1*(1-0.02)</f>
        <v>48.791300201419645</v>
      </c>
      <c r="AA98" s="43">
        <f>('TE BE'!$AA$8+'TE BF'!$AA$8+'TE CVA'!$AA$8)*1*(1-0.02)</f>
        <v>233.77976332555176</v>
      </c>
      <c r="AB98" s="43">
        <f>(SUBSIDIO!$J$98*SUBSIDIO!$V$98)*(0.04)/(1-0.04)</f>
        <v>0</v>
      </c>
      <c r="AC98" s="43">
        <f>((SUBSIDIO!$L$98*SUBSIDIO!$W$98)+(SUBSIDIO!$N$98*SUBSIDIO!$X$98))*(0.04)/(1-0.04)</f>
        <v>1035.0852863999999</v>
      </c>
      <c r="AD98" s="43">
        <f>(SUBSIDIO!$J$98*SUBSIDIO!$Y$98)*(0.02)/(1-0.02)</f>
        <v>0</v>
      </c>
      <c r="AE98" s="43">
        <f ca="1">((SUBSIDIO!$L$98*SUBSIDIO!$Z$98)+(SUBSIDIO!$N$98*SUBSIDIO!$AA$98))*(0.02)/(1-0.02)</f>
        <v>568.09470632997977</v>
      </c>
      <c r="AF98" s="4" t="s">
        <v>914</v>
      </c>
    </row>
    <row r="99" spans="1:32" ht="11.25" customHeight="1" x14ac:dyDescent="0.25">
      <c r="A99" s="4" t="s">
        <v>21</v>
      </c>
      <c r="B99" s="4" t="s">
        <v>39</v>
      </c>
      <c r="C99" s="4" t="s">
        <v>41</v>
      </c>
      <c r="D99" s="4" t="s">
        <v>44</v>
      </c>
      <c r="E99" s="4" t="s">
        <v>25</v>
      </c>
      <c r="F99" s="4" t="s">
        <v>25</v>
      </c>
      <c r="G99" s="4" t="s">
        <v>25</v>
      </c>
      <c r="H99" s="4" t="s">
        <v>35</v>
      </c>
      <c r="I99" s="5">
        <v>44256</v>
      </c>
      <c r="J99" s="6">
        <v>0</v>
      </c>
      <c r="K99" s="43">
        <v>0</v>
      </c>
      <c r="L99" s="6">
        <v>109.238</v>
      </c>
      <c r="M99" s="43">
        <v>109.238</v>
      </c>
      <c r="N99" s="6">
        <v>109.238</v>
      </c>
      <c r="O99" s="43">
        <v>109.238</v>
      </c>
      <c r="P99" s="6">
        <v>0</v>
      </c>
      <c r="Q99" s="4" t="s">
        <v>26</v>
      </c>
      <c r="R99" s="4">
        <v>0</v>
      </c>
      <c r="S99" s="4">
        <v>0</v>
      </c>
      <c r="T99" s="4">
        <v>25</v>
      </c>
      <c r="U99" s="4">
        <v>68</v>
      </c>
      <c r="V99" s="43">
        <f>IF(ISERROR(VLOOKUP($S$99,'TAR FIN'!$A$1:$O$100,15,0)),0,VLOOKUP($S$99,'TAR FIN'!$A$1:$O$100,15,0))</f>
        <v>0</v>
      </c>
      <c r="W99" s="43">
        <f>IF(ISERROR(VLOOKUP($T$99,'TAR FIN'!$A$1:$O$100,15,0)),0,VLOOKUP($T$99,'TAR FIN'!$A$1:$O$100,15,0))*(1-0.04)</f>
        <v>41.903999999999996</v>
      </c>
      <c r="X99" s="43">
        <f>IF(ISERROR(VLOOKUP($U$99,'TAR FIN'!$A$1:$O$100,15,0)),0,VLOOKUP($U$99,'TAR FIN'!$A$1:$O$100,15,0))*(1-0.04)</f>
        <v>210.2688</v>
      </c>
      <c r="Y99" s="43"/>
      <c r="Z99" s="43">
        <f ca="1">('TUSD BE'!$AM$22+'TUSD BF'!$AM$22+'TUSD CVA'!$AM$22)*1*(1-0.02)</f>
        <v>48.791300201419645</v>
      </c>
      <c r="AA99" s="43">
        <f>('TE BE'!$AA$8+'TE BF'!$AA$8+'TE CVA'!$AA$8)*1*(1-0.02)</f>
        <v>233.77976332555176</v>
      </c>
      <c r="AB99" s="43">
        <f>(SUBSIDIO!$J$99*SUBSIDIO!$V$99)*(0.04)/(1-0.04)</f>
        <v>0</v>
      </c>
      <c r="AC99" s="43">
        <f>((SUBSIDIO!$L$99*SUBSIDIO!$W$99)+(SUBSIDIO!$N$99*SUBSIDIO!$X$99))*(0.04)/(1-0.04)</f>
        <v>1147.7855136000001</v>
      </c>
      <c r="AD99" s="43">
        <f>(SUBSIDIO!$J$99*SUBSIDIO!$Y$99)*(0.02)/(1-0.02)</f>
        <v>0</v>
      </c>
      <c r="AE99" s="43">
        <f ca="1">((SUBSIDIO!$L$99*SUBSIDIO!$Z$99)+(SUBSIDIO!$N$99*SUBSIDIO!$AA$99))*(0.02)/(1-0.02)</f>
        <v>629.94893546039395</v>
      </c>
      <c r="AF99" s="4" t="s">
        <v>914</v>
      </c>
    </row>
    <row r="100" spans="1:32" ht="11.25" customHeight="1" x14ac:dyDescent="0.25">
      <c r="A100" s="4" t="s">
        <v>21</v>
      </c>
      <c r="B100" s="4" t="s">
        <v>39</v>
      </c>
      <c r="C100" s="4" t="s">
        <v>41</v>
      </c>
      <c r="D100" s="4" t="s">
        <v>44</v>
      </c>
      <c r="E100" s="4" t="s">
        <v>25</v>
      </c>
      <c r="F100" s="4" t="s">
        <v>25</v>
      </c>
      <c r="G100" s="4" t="s">
        <v>25</v>
      </c>
      <c r="H100" s="4" t="s">
        <v>35</v>
      </c>
      <c r="I100" s="5">
        <v>44287</v>
      </c>
      <c r="J100" s="6">
        <v>0</v>
      </c>
      <c r="K100" s="43">
        <v>0</v>
      </c>
      <c r="L100" s="6">
        <v>116.056</v>
      </c>
      <c r="M100" s="43">
        <v>116.056</v>
      </c>
      <c r="N100" s="6">
        <v>116.056</v>
      </c>
      <c r="O100" s="43">
        <v>116.056</v>
      </c>
      <c r="P100" s="6">
        <v>0</v>
      </c>
      <c r="Q100" s="4" t="s">
        <v>26</v>
      </c>
      <c r="R100" s="4">
        <v>0</v>
      </c>
      <c r="S100" s="4">
        <v>0</v>
      </c>
      <c r="T100" s="4">
        <v>25</v>
      </c>
      <c r="U100" s="4">
        <v>68</v>
      </c>
      <c r="V100" s="43">
        <f>IF(ISERROR(VLOOKUP($S$100,'TAR FIN'!$A$1:$O$100,15,0)),0,VLOOKUP($S$100,'TAR FIN'!$A$1:$O$100,15,0))</f>
        <v>0</v>
      </c>
      <c r="W100" s="43">
        <f>IF(ISERROR(VLOOKUP($T$100,'TAR FIN'!$A$1:$O$100,15,0)),0,VLOOKUP($T$100,'TAR FIN'!$A$1:$O$100,15,0))*(1-0.04)</f>
        <v>41.903999999999996</v>
      </c>
      <c r="X100" s="43">
        <f>IF(ISERROR(VLOOKUP($U$100,'TAR FIN'!$A$1:$O$100,15,0)),0,VLOOKUP($U$100,'TAR FIN'!$A$1:$O$100,15,0))*(1-0.04)</f>
        <v>210.2688</v>
      </c>
      <c r="Y100" s="43"/>
      <c r="Z100" s="43">
        <f ca="1">('TUSD BE'!$AM$22+'TUSD BF'!$AM$22+'TUSD CVA'!$AM$22)*1*(1-0.02)</f>
        <v>48.791300201419645</v>
      </c>
      <c r="AA100" s="43">
        <f>('TE BE'!$AA$8+'TE BF'!$AA$8+'TE CVA'!$AA$8)*1*(1-0.02)</f>
        <v>233.77976332555176</v>
      </c>
      <c r="AB100" s="43">
        <f>(SUBSIDIO!$J$100*SUBSIDIO!$V$100)*(0.04)/(1-0.04)</f>
        <v>0</v>
      </c>
      <c r="AC100" s="43">
        <f>((SUBSIDIO!$L$100*SUBSIDIO!$W$100)+(SUBSIDIO!$N$100*SUBSIDIO!$X$100))*(0.04)/(1-0.04)</f>
        <v>1219.4236031999999</v>
      </c>
      <c r="AD100" s="43">
        <f>(SUBSIDIO!$J$100*SUBSIDIO!$Y$100)*(0.02)/(1-0.02)</f>
        <v>0</v>
      </c>
      <c r="AE100" s="43">
        <f ca="1">((SUBSIDIO!$L$100*SUBSIDIO!$Z$100)+(SUBSIDIO!$N$100*SUBSIDIO!$AA$100))*(0.02)/(1-0.02)</f>
        <v>669.2666805854326</v>
      </c>
      <c r="AF100" s="4" t="s">
        <v>914</v>
      </c>
    </row>
    <row r="101" spans="1:32" ht="11.25" customHeight="1" x14ac:dyDescent="0.25">
      <c r="A101" s="4" t="s">
        <v>21</v>
      </c>
      <c r="B101" s="4" t="s">
        <v>39</v>
      </c>
      <c r="C101" s="4" t="s">
        <v>41</v>
      </c>
      <c r="D101" s="4" t="s">
        <v>44</v>
      </c>
      <c r="E101" s="4" t="s">
        <v>25</v>
      </c>
      <c r="F101" s="4" t="s">
        <v>25</v>
      </c>
      <c r="G101" s="4" t="s">
        <v>25</v>
      </c>
      <c r="H101" s="4" t="s">
        <v>35</v>
      </c>
      <c r="I101" s="5">
        <v>44317</v>
      </c>
      <c r="J101" s="6">
        <v>0</v>
      </c>
      <c r="K101" s="43">
        <v>0</v>
      </c>
      <c r="L101" s="6">
        <v>109.06</v>
      </c>
      <c r="M101" s="43">
        <v>109.06</v>
      </c>
      <c r="N101" s="6">
        <v>109.06</v>
      </c>
      <c r="O101" s="43">
        <v>109.06</v>
      </c>
      <c r="P101" s="6">
        <v>0</v>
      </c>
      <c r="Q101" s="4" t="s">
        <v>26</v>
      </c>
      <c r="R101" s="4">
        <v>0</v>
      </c>
      <c r="S101" s="4">
        <v>0</v>
      </c>
      <c r="T101" s="4">
        <v>25</v>
      </c>
      <c r="U101" s="4">
        <v>68</v>
      </c>
      <c r="V101" s="43">
        <f>IF(ISERROR(VLOOKUP($S$101,'TAR FIN'!$A$1:$O$100,15,0)),0,VLOOKUP($S$101,'TAR FIN'!$A$1:$O$100,15,0))</f>
        <v>0</v>
      </c>
      <c r="W101" s="43">
        <f>IF(ISERROR(VLOOKUP($T$101,'TAR FIN'!$A$1:$O$100,15,0)),0,VLOOKUP($T$101,'TAR FIN'!$A$1:$O$100,15,0))*(1-0.04)</f>
        <v>41.903999999999996</v>
      </c>
      <c r="X101" s="43">
        <f>IF(ISERROR(VLOOKUP($U$101,'TAR FIN'!$A$1:$O$100,15,0)),0,VLOOKUP($U$101,'TAR FIN'!$A$1:$O$100,15,0))*(1-0.04)</f>
        <v>210.2688</v>
      </c>
      <c r="Y101" s="43"/>
      <c r="Z101" s="43">
        <f ca="1">('TUSD BE'!$AM$22+'TUSD BF'!$AM$22+'TUSD CVA'!$AM$22)*1*(1-0.02)</f>
        <v>48.791300201419645</v>
      </c>
      <c r="AA101" s="43">
        <f>('TE BE'!$AA$8+'TE BF'!$AA$8+'TE CVA'!$AA$8)*1*(1-0.02)</f>
        <v>233.77976332555176</v>
      </c>
      <c r="AB101" s="43">
        <f>(SUBSIDIO!$J$101*SUBSIDIO!$V$101)*(0.04)/(1-0.04)</f>
        <v>0</v>
      </c>
      <c r="AC101" s="43">
        <f>((SUBSIDIO!$L$101*SUBSIDIO!$W$101)+(SUBSIDIO!$N$101*SUBSIDIO!$X$101))*(0.04)/(1-0.04)</f>
        <v>1145.9152320000001</v>
      </c>
      <c r="AD101" s="43">
        <f>(SUBSIDIO!$J$101*SUBSIDIO!$Y$101)*(0.02)/(1-0.02)</f>
        <v>0</v>
      </c>
      <c r="AE101" s="43">
        <f ca="1">((SUBSIDIO!$L$101*SUBSIDIO!$Z$101)+(SUBSIDIO!$N$101*SUBSIDIO!$AA$101))*(0.02)/(1-0.02)</f>
        <v>628.92245282145927</v>
      </c>
      <c r="AF101" s="4" t="s">
        <v>914</v>
      </c>
    </row>
    <row r="102" spans="1:32" ht="11.25" customHeight="1" x14ac:dyDescent="0.25">
      <c r="A102" s="4" t="s">
        <v>21</v>
      </c>
      <c r="B102" s="4" t="s">
        <v>39</v>
      </c>
      <c r="C102" s="4" t="s">
        <v>41</v>
      </c>
      <c r="D102" s="4" t="s">
        <v>44</v>
      </c>
      <c r="E102" s="4" t="s">
        <v>25</v>
      </c>
      <c r="F102" s="4" t="s">
        <v>25</v>
      </c>
      <c r="G102" s="4" t="s">
        <v>25</v>
      </c>
      <c r="H102" s="4" t="s">
        <v>35</v>
      </c>
      <c r="I102" s="5">
        <v>44348</v>
      </c>
      <c r="J102" s="6">
        <v>0</v>
      </c>
      <c r="K102" s="43">
        <v>0</v>
      </c>
      <c r="L102" s="6">
        <v>105.22799999999999</v>
      </c>
      <c r="M102" s="43">
        <v>105.22799999999999</v>
      </c>
      <c r="N102" s="6">
        <v>105.22799999999999</v>
      </c>
      <c r="O102" s="43">
        <v>105.22799999999999</v>
      </c>
      <c r="P102" s="6">
        <v>0</v>
      </c>
      <c r="Q102" s="4" t="s">
        <v>26</v>
      </c>
      <c r="R102" s="4">
        <v>0</v>
      </c>
      <c r="S102" s="4">
        <v>0</v>
      </c>
      <c r="T102" s="4">
        <v>25</v>
      </c>
      <c r="U102" s="4">
        <v>68</v>
      </c>
      <c r="V102" s="43">
        <f>IF(ISERROR(VLOOKUP($S$102,'TAR FIN'!$A$1:$O$100,15,0)),0,VLOOKUP($S$102,'TAR FIN'!$A$1:$O$100,15,0))</f>
        <v>0</v>
      </c>
      <c r="W102" s="43">
        <f>IF(ISERROR(VLOOKUP($T$102,'TAR FIN'!$A$1:$O$100,15,0)),0,VLOOKUP($T$102,'TAR FIN'!$A$1:$O$100,15,0))*(1-0.04)</f>
        <v>41.903999999999996</v>
      </c>
      <c r="X102" s="43">
        <f>IF(ISERROR(VLOOKUP($U$102,'TAR FIN'!$A$1:$O$100,15,0)),0,VLOOKUP($U$102,'TAR FIN'!$A$1:$O$100,15,0))*(1-0.04)</f>
        <v>210.2688</v>
      </c>
      <c r="Y102" s="43"/>
      <c r="Z102" s="43">
        <f ca="1">('TUSD BE'!$AM$22+'TUSD BF'!$AM$22+'TUSD CVA'!$AM$22)*1*(1-0.02)</f>
        <v>48.791300201419645</v>
      </c>
      <c r="AA102" s="43">
        <f>('TE BE'!$AA$8+'TE BF'!$AA$8+'TE CVA'!$AA$8)*1*(1-0.02)</f>
        <v>233.77976332555176</v>
      </c>
      <c r="AB102" s="43">
        <f>(SUBSIDIO!$J$102*SUBSIDIO!$V$102)*(0.04)/(1-0.04)</f>
        <v>0</v>
      </c>
      <c r="AC102" s="43">
        <f>((SUBSIDIO!$L$102*SUBSIDIO!$W$102)+(SUBSIDIO!$N$102*SUBSIDIO!$X$102))*(0.04)/(1-0.04)</f>
        <v>1105.6516415999999</v>
      </c>
      <c r="AD102" s="43">
        <f>(SUBSIDIO!$J$102*SUBSIDIO!$Y$102)*(0.02)/(1-0.02)</f>
        <v>0</v>
      </c>
      <c r="AE102" s="43">
        <f ca="1">((SUBSIDIO!$L$102*SUBSIDIO!$Z$102)+(SUBSIDIO!$N$102*SUBSIDIO!$AA$102))*(0.02)/(1-0.02)</f>
        <v>606.82424230237029</v>
      </c>
      <c r="AF102" s="4" t="s">
        <v>914</v>
      </c>
    </row>
    <row r="103" spans="1:32" ht="11.25" customHeight="1" x14ac:dyDescent="0.25">
      <c r="A103" s="4" t="s">
        <v>21</v>
      </c>
      <c r="B103" s="4" t="s">
        <v>39</v>
      </c>
      <c r="C103" s="4" t="s">
        <v>41</v>
      </c>
      <c r="D103" s="4" t="s">
        <v>44</v>
      </c>
      <c r="E103" s="4" t="s">
        <v>25</v>
      </c>
      <c r="F103" s="4" t="s">
        <v>25</v>
      </c>
      <c r="G103" s="4" t="s">
        <v>25</v>
      </c>
      <c r="H103" s="4" t="s">
        <v>35</v>
      </c>
      <c r="I103" s="5">
        <v>44378</v>
      </c>
      <c r="J103" s="6">
        <v>0</v>
      </c>
      <c r="K103" s="43">
        <v>0</v>
      </c>
      <c r="L103" s="6">
        <v>110.968</v>
      </c>
      <c r="M103" s="43">
        <v>110.968</v>
      </c>
      <c r="N103" s="6">
        <v>110.968</v>
      </c>
      <c r="O103" s="43">
        <v>110.968</v>
      </c>
      <c r="P103" s="6">
        <v>0</v>
      </c>
      <c r="Q103" s="4" t="s">
        <v>26</v>
      </c>
      <c r="R103" s="4">
        <v>0</v>
      </c>
      <c r="S103" s="4">
        <v>0</v>
      </c>
      <c r="T103" s="4">
        <v>25</v>
      </c>
      <c r="U103" s="4">
        <v>68</v>
      </c>
      <c r="V103" s="43">
        <f>IF(ISERROR(VLOOKUP($S$103,'TAR FIN'!$A$1:$O$100,15,0)),0,VLOOKUP($S$103,'TAR FIN'!$A$1:$O$100,15,0))</f>
        <v>0</v>
      </c>
      <c r="W103" s="43">
        <f>IF(ISERROR(VLOOKUP($T$103,'TAR FIN'!$A$1:$O$100,15,0)),0,VLOOKUP($T$103,'TAR FIN'!$A$1:$O$100,15,0))*(1-0.04)</f>
        <v>41.903999999999996</v>
      </c>
      <c r="X103" s="43">
        <f>IF(ISERROR(VLOOKUP($U$103,'TAR FIN'!$A$1:$O$100,15,0)),0,VLOOKUP($U$103,'TAR FIN'!$A$1:$O$100,15,0))*(1-0.04)</f>
        <v>210.2688</v>
      </c>
      <c r="Y103" s="43"/>
      <c r="Z103" s="43">
        <f ca="1">('TUSD BE'!$AM$22+'TUSD BF'!$AM$22+'TUSD CVA'!$AM$22)*1*(1-0.02)</f>
        <v>48.791300201419645</v>
      </c>
      <c r="AA103" s="43">
        <f>('TE BE'!$AA$8+'TE BF'!$AA$8+'TE CVA'!$AA$8)*1*(1-0.02)</f>
        <v>233.77976332555176</v>
      </c>
      <c r="AB103" s="43">
        <f>(SUBSIDIO!$J$103*SUBSIDIO!$V$103)*(0.04)/(1-0.04)</f>
        <v>0</v>
      </c>
      <c r="AC103" s="43">
        <f>((SUBSIDIO!$L$103*SUBSIDIO!$W$103)+(SUBSIDIO!$N$103*SUBSIDIO!$X$103))*(0.04)/(1-0.04)</f>
        <v>1165.9629696000002</v>
      </c>
      <c r="AD103" s="43">
        <f>(SUBSIDIO!$J$103*SUBSIDIO!$Y$103)*(0.02)/(1-0.02)</f>
        <v>0</v>
      </c>
      <c r="AE103" s="43">
        <f ca="1">((SUBSIDIO!$L$103*SUBSIDIO!$Z$103)+(SUBSIDIO!$N$103*SUBSIDIO!$AA$103))*(0.02)/(1-0.02)</f>
        <v>639.92542402981553</v>
      </c>
      <c r="AF103" s="4" t="s">
        <v>914</v>
      </c>
    </row>
    <row r="104" spans="1:32" ht="11.25" customHeight="1" x14ac:dyDescent="0.25">
      <c r="A104" s="4" t="s">
        <v>21</v>
      </c>
      <c r="B104" s="4" t="s">
        <v>39</v>
      </c>
      <c r="C104" s="4" t="s">
        <v>41</v>
      </c>
      <c r="D104" s="4" t="s">
        <v>44</v>
      </c>
      <c r="E104" s="4" t="s">
        <v>25</v>
      </c>
      <c r="F104" s="4" t="s">
        <v>25</v>
      </c>
      <c r="G104" s="4" t="s">
        <v>25</v>
      </c>
      <c r="H104" s="4" t="s">
        <v>35</v>
      </c>
      <c r="I104" s="5">
        <v>44409</v>
      </c>
      <c r="J104" s="6">
        <v>0</v>
      </c>
      <c r="K104" s="43">
        <v>0</v>
      </c>
      <c r="L104" s="6">
        <v>107.146</v>
      </c>
      <c r="M104" s="43">
        <v>107.146</v>
      </c>
      <c r="N104" s="6">
        <v>107.146</v>
      </c>
      <c r="O104" s="43">
        <v>107.146</v>
      </c>
      <c r="P104" s="6">
        <v>0</v>
      </c>
      <c r="Q104" s="4" t="s">
        <v>26</v>
      </c>
      <c r="R104" s="4">
        <v>0</v>
      </c>
      <c r="S104" s="4">
        <v>0</v>
      </c>
      <c r="T104" s="4">
        <v>25</v>
      </c>
      <c r="U104" s="4">
        <v>68</v>
      </c>
      <c r="V104" s="43">
        <f>IF(ISERROR(VLOOKUP($S$104,'TAR FIN'!$A$1:$O$100,15,0)),0,VLOOKUP($S$104,'TAR FIN'!$A$1:$O$100,15,0))</f>
        <v>0</v>
      </c>
      <c r="W104" s="43">
        <f>IF(ISERROR(VLOOKUP($T$104,'TAR FIN'!$A$1:$O$100,15,0)),0,VLOOKUP($T$104,'TAR FIN'!$A$1:$O$100,15,0))*(1-0.04)</f>
        <v>41.903999999999996</v>
      </c>
      <c r="X104" s="43">
        <f>IF(ISERROR(VLOOKUP($U$104,'TAR FIN'!$A$1:$O$100,15,0)),0,VLOOKUP($U$104,'TAR FIN'!$A$1:$O$100,15,0))*(1-0.04)</f>
        <v>210.2688</v>
      </c>
      <c r="Y104" s="43"/>
      <c r="Z104" s="43">
        <f ca="1">('TUSD BE'!$AM$22+'TUSD BF'!$AM$22+'TUSD CVA'!$AM$22)*1*(1-0.02)</f>
        <v>48.791300201419645</v>
      </c>
      <c r="AA104" s="43">
        <f>('TE BE'!$AA$8+'TE BF'!$AA$8+'TE CVA'!$AA$8)*1*(1-0.02)</f>
        <v>233.77976332555176</v>
      </c>
      <c r="AB104" s="43">
        <f>(SUBSIDIO!$J$104*SUBSIDIO!$V$104)*(0.04)/(1-0.04)</f>
        <v>0</v>
      </c>
      <c r="AC104" s="43">
        <f>((SUBSIDIO!$L$104*SUBSIDIO!$W$104)+(SUBSIDIO!$N$104*SUBSIDIO!$X$104))*(0.04)/(1-0.04)</f>
        <v>1125.8044512000001</v>
      </c>
      <c r="AD104" s="43">
        <f>(SUBSIDIO!$J$104*SUBSIDIO!$Y$104)*(0.02)/(1-0.02)</f>
        <v>0</v>
      </c>
      <c r="AE104" s="43">
        <f ca="1">((SUBSIDIO!$L$104*SUBSIDIO!$Z$104)+(SUBSIDIO!$N$104*SUBSIDIO!$AA$104))*(0.02)/(1-0.02)</f>
        <v>617.88488107471187</v>
      </c>
      <c r="AF104" s="4" t="s">
        <v>914</v>
      </c>
    </row>
    <row r="105" spans="1:32" ht="11.25" customHeight="1" x14ac:dyDescent="0.25">
      <c r="A105" s="4" t="s">
        <v>21</v>
      </c>
      <c r="B105" s="4" t="s">
        <v>39</v>
      </c>
      <c r="C105" s="4" t="s">
        <v>41</v>
      </c>
      <c r="D105" s="4" t="s">
        <v>44</v>
      </c>
      <c r="E105" s="4" t="s">
        <v>25</v>
      </c>
      <c r="F105" s="4" t="s">
        <v>25</v>
      </c>
      <c r="G105" s="4" t="s">
        <v>25</v>
      </c>
      <c r="H105" s="4" t="s">
        <v>35</v>
      </c>
      <c r="I105" s="5">
        <v>44440</v>
      </c>
      <c r="J105" s="6">
        <v>0</v>
      </c>
      <c r="K105" s="43">
        <v>0</v>
      </c>
      <c r="L105" s="6">
        <v>105.88</v>
      </c>
      <c r="M105" s="43">
        <v>105.88</v>
      </c>
      <c r="N105" s="6">
        <v>105.88</v>
      </c>
      <c r="O105" s="43">
        <v>105.88</v>
      </c>
      <c r="P105" s="6">
        <v>0</v>
      </c>
      <c r="Q105" s="4" t="s">
        <v>26</v>
      </c>
      <c r="R105" s="4">
        <v>0</v>
      </c>
      <c r="S105" s="4">
        <v>0</v>
      </c>
      <c r="T105" s="4">
        <v>25</v>
      </c>
      <c r="U105" s="4">
        <v>68</v>
      </c>
      <c r="V105" s="43">
        <f>IF(ISERROR(VLOOKUP($S$105,'TAR FIN'!$A$1:$O$100,15,0)),0,VLOOKUP($S$105,'TAR FIN'!$A$1:$O$100,15,0))</f>
        <v>0</v>
      </c>
      <c r="W105" s="43">
        <f>IF(ISERROR(VLOOKUP($T$105,'TAR FIN'!$A$1:$O$100,15,0)),0,VLOOKUP($T$105,'TAR FIN'!$A$1:$O$100,15,0))*(1-0.04)</f>
        <v>41.903999999999996</v>
      </c>
      <c r="X105" s="43">
        <f>IF(ISERROR(VLOOKUP($U$105,'TAR FIN'!$A$1:$O$100,15,0)),0,VLOOKUP($U$105,'TAR FIN'!$A$1:$O$100,15,0))*(1-0.04)</f>
        <v>210.2688</v>
      </c>
      <c r="Y105" s="43"/>
      <c r="Z105" s="43">
        <f ca="1">('TUSD BE'!$AM$22+'TUSD BF'!$AM$22+'TUSD CVA'!$AM$22)*1*(1-0.02)</f>
        <v>48.791300201419645</v>
      </c>
      <c r="AA105" s="43">
        <f>('TE BE'!$AA$8+'TE BF'!$AA$8+'TE CVA'!$AA$8)*1*(1-0.02)</f>
        <v>233.77976332555176</v>
      </c>
      <c r="AB105" s="43">
        <f>(SUBSIDIO!$J$105*SUBSIDIO!$V$105)*(0.04)/(1-0.04)</f>
        <v>0</v>
      </c>
      <c r="AC105" s="43">
        <f>((SUBSIDIO!$L$105*SUBSIDIO!$W$105)+(SUBSIDIO!$N$105*SUBSIDIO!$X$105))*(0.04)/(1-0.04)</f>
        <v>1112.502336</v>
      </c>
      <c r="AD105" s="43">
        <f>(SUBSIDIO!$J$105*SUBSIDIO!$Y$105)*(0.02)/(1-0.02)</f>
        <v>0</v>
      </c>
      <c r="AE105" s="43">
        <f ca="1">((SUBSIDIO!$L$105*SUBSIDIO!$Z$105)+(SUBSIDIO!$N$105*SUBSIDIO!$AA$105))*(0.02)/(1-0.02)</f>
        <v>610.58416747419869</v>
      </c>
      <c r="AF105" s="4" t="s">
        <v>914</v>
      </c>
    </row>
    <row r="106" spans="1:32" ht="11.25" customHeight="1" x14ac:dyDescent="0.25">
      <c r="A106" s="4" t="s">
        <v>21</v>
      </c>
      <c r="B106" s="4" t="s">
        <v>39</v>
      </c>
      <c r="C106" s="4" t="s">
        <v>41</v>
      </c>
      <c r="D106" s="4" t="s">
        <v>44</v>
      </c>
      <c r="E106" s="4" t="s">
        <v>25</v>
      </c>
      <c r="F106" s="4" t="s">
        <v>25</v>
      </c>
      <c r="G106" s="4" t="s">
        <v>25</v>
      </c>
      <c r="H106" s="4" t="s">
        <v>35</v>
      </c>
      <c r="I106" s="5">
        <v>44470</v>
      </c>
      <c r="J106" s="6">
        <v>0</v>
      </c>
      <c r="K106" s="43">
        <v>0</v>
      </c>
      <c r="L106" s="6">
        <v>101.968</v>
      </c>
      <c r="M106" s="43">
        <v>101.968</v>
      </c>
      <c r="N106" s="6">
        <v>101.968</v>
      </c>
      <c r="O106" s="43">
        <v>101.968</v>
      </c>
      <c r="P106" s="6">
        <v>0</v>
      </c>
      <c r="Q106" s="4" t="s">
        <v>26</v>
      </c>
      <c r="R106" s="4">
        <v>0</v>
      </c>
      <c r="S106" s="4">
        <v>0</v>
      </c>
      <c r="T106" s="4">
        <v>25</v>
      </c>
      <c r="U106" s="4">
        <v>68</v>
      </c>
      <c r="V106" s="43">
        <f>IF(ISERROR(VLOOKUP($S$106,'TAR FIN'!$A$1:$O$100,15,0)),0,VLOOKUP($S$106,'TAR FIN'!$A$1:$O$100,15,0))</f>
        <v>0</v>
      </c>
      <c r="W106" s="43">
        <f>IF(ISERROR(VLOOKUP($T$106,'TAR FIN'!$A$1:$O$100,15,0)),0,VLOOKUP($T$106,'TAR FIN'!$A$1:$O$100,15,0))*(1-0.04)</f>
        <v>41.903999999999996</v>
      </c>
      <c r="X106" s="43">
        <f>IF(ISERROR(VLOOKUP($U$106,'TAR FIN'!$A$1:$O$100,15,0)),0,VLOOKUP($U$106,'TAR FIN'!$A$1:$O$100,15,0))*(1-0.04)</f>
        <v>210.2688</v>
      </c>
      <c r="Y106" s="43"/>
      <c r="Z106" s="43">
        <f ca="1">('TUSD BE'!$AM$22+'TUSD BF'!$AM$22+'TUSD CVA'!$AM$22)*1*(1-0.02)</f>
        <v>48.791300201419645</v>
      </c>
      <c r="AA106" s="43">
        <f>('TE BE'!$AA$8+'TE BF'!$AA$8+'TE CVA'!$AA$8)*1*(1-0.02)</f>
        <v>233.77976332555176</v>
      </c>
      <c r="AB106" s="43">
        <f>(SUBSIDIO!$J$106*SUBSIDIO!$V$106)*(0.04)/(1-0.04)</f>
        <v>0</v>
      </c>
      <c r="AC106" s="43">
        <f>((SUBSIDIO!$L$106*SUBSIDIO!$W$106)+(SUBSIDIO!$N$106*SUBSIDIO!$X$106))*(0.04)/(1-0.04)</f>
        <v>1071.3981696000001</v>
      </c>
      <c r="AD106" s="43">
        <f>(SUBSIDIO!$J$106*SUBSIDIO!$Y$106)*(0.02)/(1-0.02)</f>
        <v>0</v>
      </c>
      <c r="AE106" s="43">
        <f ca="1">((SUBSIDIO!$L$106*SUBSIDIO!$Z$106)+(SUBSIDIO!$N$106*SUBSIDIO!$AA$106))*(0.02)/(1-0.02)</f>
        <v>588.02461644322909</v>
      </c>
      <c r="AF106" s="4" t="s">
        <v>914</v>
      </c>
    </row>
    <row r="107" spans="1:32" ht="11.25" customHeight="1" x14ac:dyDescent="0.25">
      <c r="A107" s="4" t="s">
        <v>21</v>
      </c>
      <c r="B107" s="4" t="s">
        <v>39</v>
      </c>
      <c r="C107" s="4" t="s">
        <v>41</v>
      </c>
      <c r="D107" s="4" t="s">
        <v>44</v>
      </c>
      <c r="E107" s="4" t="s">
        <v>25</v>
      </c>
      <c r="F107" s="4" t="s">
        <v>25</v>
      </c>
      <c r="G107" s="4" t="s">
        <v>25</v>
      </c>
      <c r="H107" s="4" t="s">
        <v>35</v>
      </c>
      <c r="I107" s="5">
        <v>44501</v>
      </c>
      <c r="J107" s="6">
        <v>0</v>
      </c>
      <c r="K107" s="43">
        <v>0</v>
      </c>
      <c r="L107" s="6">
        <v>98.575999999999993</v>
      </c>
      <c r="M107" s="43">
        <v>98.575999999999993</v>
      </c>
      <c r="N107" s="6">
        <v>98.575999999999993</v>
      </c>
      <c r="O107" s="43">
        <v>98.575999999999993</v>
      </c>
      <c r="P107" s="6">
        <v>0</v>
      </c>
      <c r="Q107" s="4" t="s">
        <v>26</v>
      </c>
      <c r="R107" s="4">
        <v>0</v>
      </c>
      <c r="S107" s="4">
        <v>0</v>
      </c>
      <c r="T107" s="4">
        <v>25</v>
      </c>
      <c r="U107" s="4">
        <v>68</v>
      </c>
      <c r="V107" s="43">
        <f>IF(ISERROR(VLOOKUP($S$107,'TAR FIN'!$A$1:$O$100,15,0)),0,VLOOKUP($S$107,'TAR FIN'!$A$1:$O$100,15,0))</f>
        <v>0</v>
      </c>
      <c r="W107" s="43">
        <f>IF(ISERROR(VLOOKUP($T$107,'TAR FIN'!$A$1:$O$100,15,0)),0,VLOOKUP($T$107,'TAR FIN'!$A$1:$O$100,15,0))*(1-0.04)</f>
        <v>41.903999999999996</v>
      </c>
      <c r="X107" s="43">
        <f>IF(ISERROR(VLOOKUP($U$107,'TAR FIN'!$A$1:$O$100,15,0)),0,VLOOKUP($U$107,'TAR FIN'!$A$1:$O$100,15,0))*(1-0.04)</f>
        <v>210.2688</v>
      </c>
      <c r="Y107" s="43"/>
      <c r="Z107" s="43">
        <f ca="1">('TUSD BE'!$AM$22+'TUSD BF'!$AM$22+'TUSD CVA'!$AM$22)*1*(1-0.02)</f>
        <v>48.791300201419645</v>
      </c>
      <c r="AA107" s="43">
        <f>('TE BE'!$AA$8+'TE BF'!$AA$8+'TE CVA'!$AA$8)*1*(1-0.02)</f>
        <v>233.77976332555176</v>
      </c>
      <c r="AB107" s="43">
        <f>(SUBSIDIO!$J$107*SUBSIDIO!$V$107)*(0.04)/(1-0.04)</f>
        <v>0</v>
      </c>
      <c r="AC107" s="43">
        <f>((SUBSIDIO!$L$107*SUBSIDIO!$W$107)+(SUBSIDIO!$N$107*SUBSIDIO!$X$107))*(0.04)/(1-0.04)</f>
        <v>1035.7577472</v>
      </c>
      <c r="AD107" s="43">
        <f>(SUBSIDIO!$J$107*SUBSIDIO!$Y$107)*(0.02)/(1-0.02)</f>
        <v>0</v>
      </c>
      <c r="AE107" s="43">
        <f ca="1">((SUBSIDIO!$L$107*SUBSIDIO!$Z$107)+(SUBSIDIO!$N$107*SUBSIDIO!$AA$107))*(0.02)/(1-0.02)</f>
        <v>568.46377873948427</v>
      </c>
      <c r="AF107" s="4" t="s">
        <v>914</v>
      </c>
    </row>
    <row r="108" spans="1:32" ht="11.25" customHeight="1" x14ac:dyDescent="0.25">
      <c r="A108" s="4" t="s">
        <v>21</v>
      </c>
      <c r="B108" s="4" t="s">
        <v>39</v>
      </c>
      <c r="C108" s="4" t="s">
        <v>41</v>
      </c>
      <c r="D108" s="4" t="s">
        <v>44</v>
      </c>
      <c r="E108" s="4" t="s">
        <v>25</v>
      </c>
      <c r="F108" s="4" t="s">
        <v>25</v>
      </c>
      <c r="G108" s="4" t="s">
        <v>25</v>
      </c>
      <c r="H108" s="4" t="s">
        <v>35</v>
      </c>
      <c r="I108" s="5">
        <v>44531</v>
      </c>
      <c r="J108" s="6">
        <v>0</v>
      </c>
      <c r="K108" s="43">
        <v>0</v>
      </c>
      <c r="L108" s="6">
        <v>113.104</v>
      </c>
      <c r="M108" s="43">
        <v>113.104</v>
      </c>
      <c r="N108" s="6">
        <v>113.104</v>
      </c>
      <c r="O108" s="43">
        <v>113.104</v>
      </c>
      <c r="P108" s="6">
        <v>0</v>
      </c>
      <c r="Q108" s="4" t="s">
        <v>26</v>
      </c>
      <c r="R108" s="4">
        <v>0</v>
      </c>
      <c r="S108" s="4">
        <v>0</v>
      </c>
      <c r="T108" s="4">
        <v>25</v>
      </c>
      <c r="U108" s="4">
        <v>68</v>
      </c>
      <c r="V108" s="43">
        <f>IF(ISERROR(VLOOKUP($S$108,'TAR FIN'!$A$1:$O$100,15,0)),0,VLOOKUP($S$108,'TAR FIN'!$A$1:$O$100,15,0))</f>
        <v>0</v>
      </c>
      <c r="W108" s="43">
        <f>IF(ISERROR(VLOOKUP($T$108,'TAR FIN'!$A$1:$O$100,15,0)),0,VLOOKUP($T$108,'TAR FIN'!$A$1:$O$100,15,0))*(1-0.04)</f>
        <v>41.903999999999996</v>
      </c>
      <c r="X108" s="43">
        <f>IF(ISERROR(VLOOKUP($U$108,'TAR FIN'!$A$1:$O$100,15,0)),0,VLOOKUP($U$108,'TAR FIN'!$A$1:$O$100,15,0))*(1-0.04)</f>
        <v>210.2688</v>
      </c>
      <c r="Y108" s="43"/>
      <c r="Z108" s="43">
        <f ca="1">('TUSD BE'!$AM$22+'TUSD BF'!$AM$22+'TUSD CVA'!$AM$22)*1*(1-0.02)</f>
        <v>48.791300201419645</v>
      </c>
      <c r="AA108" s="43">
        <f>('TE BE'!$AA$8+'TE BF'!$AA$8+'TE CVA'!$AA$8)*1*(1-0.02)</f>
        <v>233.77976332555176</v>
      </c>
      <c r="AB108" s="43">
        <f>(SUBSIDIO!$J$108*SUBSIDIO!$V$108)*(0.04)/(1-0.04)</f>
        <v>0</v>
      </c>
      <c r="AC108" s="43">
        <f>((SUBSIDIO!$L$108*SUBSIDIO!$W$108)+(SUBSIDIO!$N$108*SUBSIDIO!$X$108))*(0.04)/(1-0.04)</f>
        <v>1188.4063488000002</v>
      </c>
      <c r="AD108" s="43">
        <f>(SUBSIDIO!$J$108*SUBSIDIO!$Y$108)*(0.02)/(1-0.02)</f>
        <v>0</v>
      </c>
      <c r="AE108" s="43">
        <f ca="1">((SUBSIDIO!$L$108*SUBSIDIO!$Z$108)+(SUBSIDIO!$N$108*SUBSIDIO!$AA$108))*(0.02)/(1-0.02)</f>
        <v>652.24321569703227</v>
      </c>
      <c r="AF108" s="4" t="s">
        <v>914</v>
      </c>
    </row>
    <row r="109" spans="1:32" ht="11.25" customHeight="1" x14ac:dyDescent="0.25">
      <c r="A109" s="4" t="s">
        <v>55</v>
      </c>
      <c r="B109" s="4" t="s">
        <v>39</v>
      </c>
      <c r="C109" s="4" t="s">
        <v>41</v>
      </c>
      <c r="D109" s="4" t="s">
        <v>44</v>
      </c>
      <c r="E109" s="4" t="s">
        <v>25</v>
      </c>
      <c r="F109" s="4" t="s">
        <v>25</v>
      </c>
      <c r="G109" s="4" t="s">
        <v>25</v>
      </c>
      <c r="H109" s="4" t="s">
        <v>35</v>
      </c>
      <c r="I109" s="5">
        <v>44562</v>
      </c>
      <c r="J109" s="6">
        <v>0</v>
      </c>
      <c r="K109" s="43">
        <v>0</v>
      </c>
      <c r="L109" s="6">
        <v>113.104</v>
      </c>
      <c r="M109" s="43">
        <v>113.104</v>
      </c>
      <c r="N109" s="6">
        <v>113.104</v>
      </c>
      <c r="O109" s="43">
        <v>113.104</v>
      </c>
      <c r="P109" s="6">
        <v>0</v>
      </c>
      <c r="Q109" s="4" t="s">
        <v>26</v>
      </c>
      <c r="R109" s="4">
        <v>0</v>
      </c>
      <c r="S109" s="4">
        <v>0</v>
      </c>
      <c r="T109" s="4">
        <v>25</v>
      </c>
      <c r="U109" s="4">
        <v>68</v>
      </c>
      <c r="V109" s="43">
        <f>IF(ISERROR(VLOOKUP($S$109,'TAR FIN'!$A$1:$O$100,15,0)),0,VLOOKUP($S$109,'TAR FIN'!$A$1:$O$100,15,0))</f>
        <v>0</v>
      </c>
      <c r="W109" s="43">
        <f>IF(ISERROR(VLOOKUP($T$109,'TAR FIN'!$A$1:$O$100,15,0)),0,VLOOKUP($T$109,'TAR FIN'!$A$1:$O$100,15,0))*(1-0.04)</f>
        <v>41.903999999999996</v>
      </c>
      <c r="X109" s="43">
        <f>IF(ISERROR(VLOOKUP($U$109,'TAR FIN'!$A$1:$O$100,15,0)),0,VLOOKUP($U$109,'TAR FIN'!$A$1:$O$100,15,0))*(1-0.04)</f>
        <v>210.2688</v>
      </c>
      <c r="Y109" s="43"/>
      <c r="Z109" s="43">
        <f ca="1">('TUSD BE'!$AM$22+'TUSD BF'!$AM$22+'TUSD CVA'!$AM$22)*1*(1-0.02)</f>
        <v>48.791300201419645</v>
      </c>
      <c r="AA109" s="43">
        <f>('TE BE'!$AA$8+'TE BF'!$AA$8+'TE CVA'!$AA$8)*1*(1-0.02)</f>
        <v>233.77976332555176</v>
      </c>
      <c r="AB109" s="43">
        <f>(SUBSIDIO!$J$109*SUBSIDIO!$V$109)*(0.04)/(1-0.04)</f>
        <v>0</v>
      </c>
      <c r="AC109" s="43">
        <f>((SUBSIDIO!$L$109*SUBSIDIO!$W$109)+(SUBSIDIO!$N$109*SUBSIDIO!$X$109))*(0.04)/(1-0.04)</f>
        <v>1188.4063488000002</v>
      </c>
      <c r="AD109" s="43">
        <f>(SUBSIDIO!$J$109*SUBSIDIO!$Y$109)*(0.02)/(1-0.02)</f>
        <v>0</v>
      </c>
      <c r="AE109" s="43">
        <f ca="1">((SUBSIDIO!$L$109*SUBSIDIO!$Z$109)+(SUBSIDIO!$N$109*SUBSIDIO!$AA$109))*(0.02)/(1-0.02)</f>
        <v>652.24321569703227</v>
      </c>
      <c r="AF109" s="4" t="s">
        <v>914</v>
      </c>
    </row>
    <row r="110" spans="1:32" ht="11.25" customHeight="1" x14ac:dyDescent="0.25">
      <c r="A110" s="4" t="s">
        <v>21</v>
      </c>
      <c r="B110" s="4" t="s">
        <v>39</v>
      </c>
      <c r="C110" s="4" t="s">
        <v>41</v>
      </c>
      <c r="D110" s="4" t="s">
        <v>44</v>
      </c>
      <c r="E110" s="4" t="s">
        <v>25</v>
      </c>
      <c r="F110" s="4" t="s">
        <v>25</v>
      </c>
      <c r="G110" s="4" t="s">
        <v>25</v>
      </c>
      <c r="H110" s="4" t="s">
        <v>25</v>
      </c>
      <c r="I110" s="5">
        <v>44228</v>
      </c>
      <c r="J110" s="6">
        <v>374</v>
      </c>
      <c r="K110" s="43">
        <v>374</v>
      </c>
      <c r="L110" s="6">
        <v>0</v>
      </c>
      <c r="M110" s="43">
        <v>0</v>
      </c>
      <c r="N110" s="6">
        <v>0</v>
      </c>
      <c r="O110" s="43">
        <v>0</v>
      </c>
      <c r="P110" s="6">
        <v>3</v>
      </c>
      <c r="Q110" s="4" t="s">
        <v>26</v>
      </c>
      <c r="R110" s="4">
        <v>0</v>
      </c>
      <c r="S110" s="4">
        <v>23</v>
      </c>
      <c r="T110" s="4">
        <v>0</v>
      </c>
      <c r="U110" s="4">
        <v>0</v>
      </c>
      <c r="V110" s="43">
        <f>IF(ISERROR(VLOOKUP($S$110,'TAR FIN'!$A$1:$O$100,15,0)),0,VLOOKUP($S$110,'TAR FIN'!$A$1:$O$100,15,0))*(1-0.04)</f>
        <v>17.7408</v>
      </c>
      <c r="W110" s="43">
        <f>IF(ISERROR(VLOOKUP($T$110,'TAR FIN'!$A$1:$O$100,15,0)),0,VLOOKUP($T$110,'TAR FIN'!$A$1:$O$100,15,0))</f>
        <v>0</v>
      </c>
      <c r="X110" s="43">
        <f>IF(ISERROR(VLOOKUP($U$110,'TAR FIN'!$A$1:$O$100,15,0)),0,VLOOKUP($U$110,'TAR FIN'!$A$1:$O$100,15,0))</f>
        <v>0</v>
      </c>
      <c r="Y110" s="43">
        <f ca="1">('TUSD BE'!$AM$20+'TUSD BF'!$AM$20+'TUSD CVA'!$AM$20)*1*(1-0.02)</f>
        <v>17.499705716099484</v>
      </c>
      <c r="Z110" s="43"/>
      <c r="AA110" s="43"/>
      <c r="AB110" s="43">
        <f>(SUBSIDIO!$J$110*SUBSIDIO!$V$110)*(0.04)/(1-0.04)</f>
        <v>276.46079999999995</v>
      </c>
      <c r="AC110" s="43">
        <f>((SUBSIDIO!$L$110*SUBSIDIO!$W$110)+(SUBSIDIO!$N$110*SUBSIDIO!$X$110))*(0.04)/(1-0.04)</f>
        <v>0</v>
      </c>
      <c r="AD110" s="43">
        <f ca="1">(SUBSIDIO!$J$110*SUBSIDIO!$Y$110)*(0.02)/(1-0.02)</f>
        <v>133.56918240451444</v>
      </c>
      <c r="AE110" s="43">
        <f>((SUBSIDIO!$L$110*SUBSIDIO!$Z$110)+(SUBSIDIO!$N$110*SUBSIDIO!$AA$110))*(0.02)/(1-0.02)</f>
        <v>0</v>
      </c>
      <c r="AF110" s="4" t="s">
        <v>914</v>
      </c>
    </row>
    <row r="111" spans="1:32" ht="11.25" customHeight="1" x14ac:dyDescent="0.25">
      <c r="A111" s="4" t="s">
        <v>21</v>
      </c>
      <c r="B111" s="4" t="s">
        <v>39</v>
      </c>
      <c r="C111" s="4" t="s">
        <v>41</v>
      </c>
      <c r="D111" s="4" t="s">
        <v>44</v>
      </c>
      <c r="E111" s="4" t="s">
        <v>25</v>
      </c>
      <c r="F111" s="4" t="s">
        <v>25</v>
      </c>
      <c r="G111" s="4" t="s">
        <v>25</v>
      </c>
      <c r="H111" s="4" t="s">
        <v>25</v>
      </c>
      <c r="I111" s="5">
        <v>44256</v>
      </c>
      <c r="J111" s="6">
        <v>367</v>
      </c>
      <c r="K111" s="43">
        <v>367</v>
      </c>
      <c r="L111" s="6">
        <v>0</v>
      </c>
      <c r="M111" s="43">
        <v>0</v>
      </c>
      <c r="N111" s="6">
        <v>0</v>
      </c>
      <c r="O111" s="43">
        <v>0</v>
      </c>
      <c r="P111" s="6">
        <v>3</v>
      </c>
      <c r="Q111" s="4" t="s">
        <v>26</v>
      </c>
      <c r="R111" s="4">
        <v>0</v>
      </c>
      <c r="S111" s="4">
        <v>23</v>
      </c>
      <c r="T111" s="4">
        <v>0</v>
      </c>
      <c r="U111" s="4">
        <v>0</v>
      </c>
      <c r="V111" s="43">
        <f>IF(ISERROR(VLOOKUP($S$111,'TAR FIN'!$A$1:$O$100,15,0)),0,VLOOKUP($S$111,'TAR FIN'!$A$1:$O$100,15,0))*(1-0.04)</f>
        <v>17.7408</v>
      </c>
      <c r="W111" s="43">
        <f>IF(ISERROR(VLOOKUP($T$111,'TAR FIN'!$A$1:$O$100,15,0)),0,VLOOKUP($T$111,'TAR FIN'!$A$1:$O$100,15,0))</f>
        <v>0</v>
      </c>
      <c r="X111" s="43">
        <f>IF(ISERROR(VLOOKUP($U$111,'TAR FIN'!$A$1:$O$100,15,0)),0,VLOOKUP($U$111,'TAR FIN'!$A$1:$O$100,15,0))</f>
        <v>0</v>
      </c>
      <c r="Y111" s="43">
        <f ca="1">('TUSD BE'!$AM$20+'TUSD BF'!$AM$20+'TUSD CVA'!$AM$20)*1*(1-0.02)</f>
        <v>17.499705716099484</v>
      </c>
      <c r="Z111" s="43"/>
      <c r="AA111" s="43"/>
      <c r="AB111" s="43">
        <f>(SUBSIDIO!$J$111*SUBSIDIO!$V$111)*(0.04)/(1-0.04)</f>
        <v>271.28639999999996</v>
      </c>
      <c r="AC111" s="43">
        <f>((SUBSIDIO!$L$111*SUBSIDIO!$W$111)+(SUBSIDIO!$N$111*SUBSIDIO!$X$111))*(0.04)/(1-0.04)</f>
        <v>0</v>
      </c>
      <c r="AD111" s="43">
        <f ca="1">(SUBSIDIO!$J$111*SUBSIDIO!$Y$111)*(0.02)/(1-0.02)</f>
        <v>131.06922444507165</v>
      </c>
      <c r="AE111" s="43">
        <f>((SUBSIDIO!$L$111*SUBSIDIO!$Z$111)+(SUBSIDIO!$N$111*SUBSIDIO!$AA$111))*(0.02)/(1-0.02)</f>
        <v>0</v>
      </c>
      <c r="AF111" s="4" t="s">
        <v>914</v>
      </c>
    </row>
    <row r="112" spans="1:32" ht="11.25" customHeight="1" x14ac:dyDescent="0.25">
      <c r="A112" s="4" t="s">
        <v>21</v>
      </c>
      <c r="B112" s="4" t="s">
        <v>39</v>
      </c>
      <c r="C112" s="4" t="s">
        <v>41</v>
      </c>
      <c r="D112" s="4" t="s">
        <v>44</v>
      </c>
      <c r="E112" s="4" t="s">
        <v>25</v>
      </c>
      <c r="F112" s="4" t="s">
        <v>25</v>
      </c>
      <c r="G112" s="4" t="s">
        <v>25</v>
      </c>
      <c r="H112" s="4" t="s">
        <v>25</v>
      </c>
      <c r="I112" s="5">
        <v>44287</v>
      </c>
      <c r="J112" s="6">
        <v>402</v>
      </c>
      <c r="K112" s="43">
        <v>402</v>
      </c>
      <c r="L112" s="6">
        <v>0</v>
      </c>
      <c r="M112" s="43">
        <v>0</v>
      </c>
      <c r="N112" s="6">
        <v>0</v>
      </c>
      <c r="O112" s="43">
        <v>0</v>
      </c>
      <c r="P112" s="6">
        <v>3</v>
      </c>
      <c r="Q112" s="4" t="s">
        <v>26</v>
      </c>
      <c r="R112" s="4">
        <v>0</v>
      </c>
      <c r="S112" s="4">
        <v>23</v>
      </c>
      <c r="T112" s="4">
        <v>0</v>
      </c>
      <c r="U112" s="4">
        <v>0</v>
      </c>
      <c r="V112" s="43">
        <f>IF(ISERROR(VLOOKUP($S$112,'TAR FIN'!$A$1:$O$100,15,0)),0,VLOOKUP($S$112,'TAR FIN'!$A$1:$O$100,15,0))*(1-0.04)</f>
        <v>17.7408</v>
      </c>
      <c r="W112" s="43">
        <f>IF(ISERROR(VLOOKUP($T$112,'TAR FIN'!$A$1:$O$100,15,0)),0,VLOOKUP($T$112,'TAR FIN'!$A$1:$O$100,15,0))</f>
        <v>0</v>
      </c>
      <c r="X112" s="43">
        <f>IF(ISERROR(VLOOKUP($U$112,'TAR FIN'!$A$1:$O$100,15,0)),0,VLOOKUP($U$112,'TAR FIN'!$A$1:$O$100,15,0))</f>
        <v>0</v>
      </c>
      <c r="Y112" s="43">
        <f ca="1">('TUSD BE'!$AM$20+'TUSD BF'!$AM$20+'TUSD CVA'!$AM$20)*1*(1-0.02)</f>
        <v>17.499705716099484</v>
      </c>
      <c r="Z112" s="43"/>
      <c r="AA112" s="43"/>
      <c r="AB112" s="43">
        <f>(SUBSIDIO!$J$112*SUBSIDIO!$V$112)*(0.04)/(1-0.04)</f>
        <v>297.15840000000003</v>
      </c>
      <c r="AC112" s="43">
        <f>((SUBSIDIO!$L$112*SUBSIDIO!$W$112)+(SUBSIDIO!$N$112*SUBSIDIO!$X$112))*(0.04)/(1-0.04)</f>
        <v>0</v>
      </c>
      <c r="AD112" s="43">
        <f ca="1">(SUBSIDIO!$J$112*SUBSIDIO!$Y$112)*(0.02)/(1-0.02)</f>
        <v>143.56901424228556</v>
      </c>
      <c r="AE112" s="43">
        <f>((SUBSIDIO!$L$112*SUBSIDIO!$Z$112)+(SUBSIDIO!$N$112*SUBSIDIO!$AA$112))*(0.02)/(1-0.02)</f>
        <v>0</v>
      </c>
      <c r="AF112" s="4" t="s">
        <v>914</v>
      </c>
    </row>
    <row r="113" spans="1:32" ht="11.25" customHeight="1" x14ac:dyDescent="0.25">
      <c r="A113" s="4" t="s">
        <v>21</v>
      </c>
      <c r="B113" s="4" t="s">
        <v>39</v>
      </c>
      <c r="C113" s="4" t="s">
        <v>41</v>
      </c>
      <c r="D113" s="4" t="s">
        <v>44</v>
      </c>
      <c r="E113" s="4" t="s">
        <v>25</v>
      </c>
      <c r="F113" s="4" t="s">
        <v>25</v>
      </c>
      <c r="G113" s="4" t="s">
        <v>25</v>
      </c>
      <c r="H113" s="4" t="s">
        <v>25</v>
      </c>
      <c r="I113" s="5">
        <v>44317</v>
      </c>
      <c r="J113" s="6">
        <v>371</v>
      </c>
      <c r="K113" s="43">
        <v>371</v>
      </c>
      <c r="L113" s="6">
        <v>0</v>
      </c>
      <c r="M113" s="43">
        <v>0</v>
      </c>
      <c r="N113" s="6">
        <v>0</v>
      </c>
      <c r="O113" s="43">
        <v>0</v>
      </c>
      <c r="P113" s="6">
        <v>3</v>
      </c>
      <c r="Q113" s="4" t="s">
        <v>26</v>
      </c>
      <c r="R113" s="4">
        <v>0</v>
      </c>
      <c r="S113" s="4">
        <v>23</v>
      </c>
      <c r="T113" s="4">
        <v>0</v>
      </c>
      <c r="U113" s="4">
        <v>0</v>
      </c>
      <c r="V113" s="43">
        <f>IF(ISERROR(VLOOKUP($S$113,'TAR FIN'!$A$1:$O$100,15,0)),0,VLOOKUP($S$113,'TAR FIN'!$A$1:$O$100,15,0))*(1-0.04)</f>
        <v>17.7408</v>
      </c>
      <c r="W113" s="43">
        <f>IF(ISERROR(VLOOKUP($T$113,'TAR FIN'!$A$1:$O$100,15,0)),0,VLOOKUP($T$113,'TAR FIN'!$A$1:$O$100,15,0))</f>
        <v>0</v>
      </c>
      <c r="X113" s="43">
        <f>IF(ISERROR(VLOOKUP($U$113,'TAR FIN'!$A$1:$O$100,15,0)),0,VLOOKUP($U$113,'TAR FIN'!$A$1:$O$100,15,0))</f>
        <v>0</v>
      </c>
      <c r="Y113" s="43">
        <f ca="1">('TUSD BE'!$AM$20+'TUSD BF'!$AM$20+'TUSD CVA'!$AM$20)*1*(1-0.02)</f>
        <v>17.499705716099484</v>
      </c>
      <c r="Z113" s="43"/>
      <c r="AA113" s="43"/>
      <c r="AB113" s="43">
        <f>(SUBSIDIO!$J$113*SUBSIDIO!$V$113)*(0.04)/(1-0.04)</f>
        <v>274.24320000000006</v>
      </c>
      <c r="AC113" s="43">
        <f>((SUBSIDIO!$L$113*SUBSIDIO!$W$113)+(SUBSIDIO!$N$113*SUBSIDIO!$X$113))*(0.04)/(1-0.04)</f>
        <v>0</v>
      </c>
      <c r="AD113" s="43">
        <f ca="1">(SUBSIDIO!$J$113*SUBSIDIO!$Y$113)*(0.02)/(1-0.02)</f>
        <v>132.4977718504675</v>
      </c>
      <c r="AE113" s="43">
        <f>((SUBSIDIO!$L$113*SUBSIDIO!$Z$113)+(SUBSIDIO!$N$113*SUBSIDIO!$AA$113))*(0.02)/(1-0.02)</f>
        <v>0</v>
      </c>
      <c r="AF113" s="4" t="s">
        <v>914</v>
      </c>
    </row>
    <row r="114" spans="1:32" ht="11.25" customHeight="1" x14ac:dyDescent="0.25">
      <c r="A114" s="4" t="s">
        <v>21</v>
      </c>
      <c r="B114" s="4" t="s">
        <v>39</v>
      </c>
      <c r="C114" s="4" t="s">
        <v>41</v>
      </c>
      <c r="D114" s="4" t="s">
        <v>44</v>
      </c>
      <c r="E114" s="4" t="s">
        <v>25</v>
      </c>
      <c r="F114" s="4" t="s">
        <v>25</v>
      </c>
      <c r="G114" s="4" t="s">
        <v>25</v>
      </c>
      <c r="H114" s="4" t="s">
        <v>25</v>
      </c>
      <c r="I114" s="5">
        <v>44348</v>
      </c>
      <c r="J114" s="6">
        <v>367</v>
      </c>
      <c r="K114" s="43">
        <v>367</v>
      </c>
      <c r="L114" s="6">
        <v>0</v>
      </c>
      <c r="M114" s="43">
        <v>0</v>
      </c>
      <c r="N114" s="6">
        <v>0</v>
      </c>
      <c r="O114" s="43">
        <v>0</v>
      </c>
      <c r="P114" s="6">
        <v>3</v>
      </c>
      <c r="Q114" s="4" t="s">
        <v>26</v>
      </c>
      <c r="R114" s="4">
        <v>0</v>
      </c>
      <c r="S114" s="4">
        <v>23</v>
      </c>
      <c r="T114" s="4">
        <v>0</v>
      </c>
      <c r="U114" s="4">
        <v>0</v>
      </c>
      <c r="V114" s="43">
        <f>IF(ISERROR(VLOOKUP($S$114,'TAR FIN'!$A$1:$O$100,15,0)),0,VLOOKUP($S$114,'TAR FIN'!$A$1:$O$100,15,0))*(1-0.04)</f>
        <v>17.7408</v>
      </c>
      <c r="W114" s="43">
        <f>IF(ISERROR(VLOOKUP($T$114,'TAR FIN'!$A$1:$O$100,15,0)),0,VLOOKUP($T$114,'TAR FIN'!$A$1:$O$100,15,0))</f>
        <v>0</v>
      </c>
      <c r="X114" s="43">
        <f>IF(ISERROR(VLOOKUP($U$114,'TAR FIN'!$A$1:$O$100,15,0)),0,VLOOKUP($U$114,'TAR FIN'!$A$1:$O$100,15,0))</f>
        <v>0</v>
      </c>
      <c r="Y114" s="43">
        <f ca="1">('TUSD BE'!$AM$20+'TUSD BF'!$AM$20+'TUSD CVA'!$AM$20)*1*(1-0.02)</f>
        <v>17.499705716099484</v>
      </c>
      <c r="Z114" s="43"/>
      <c r="AA114" s="43"/>
      <c r="AB114" s="43">
        <f>(SUBSIDIO!$J$114*SUBSIDIO!$V$114)*(0.04)/(1-0.04)</f>
        <v>271.28639999999996</v>
      </c>
      <c r="AC114" s="43">
        <f>((SUBSIDIO!$L$114*SUBSIDIO!$W$114)+(SUBSIDIO!$N$114*SUBSIDIO!$X$114))*(0.04)/(1-0.04)</f>
        <v>0</v>
      </c>
      <c r="AD114" s="43">
        <f ca="1">(SUBSIDIO!$J$114*SUBSIDIO!$Y$114)*(0.02)/(1-0.02)</f>
        <v>131.06922444507165</v>
      </c>
      <c r="AE114" s="43">
        <f>((SUBSIDIO!$L$114*SUBSIDIO!$Z$114)+(SUBSIDIO!$N$114*SUBSIDIO!$AA$114))*(0.02)/(1-0.02)</f>
        <v>0</v>
      </c>
      <c r="AF114" s="4" t="s">
        <v>914</v>
      </c>
    </row>
    <row r="115" spans="1:32" ht="11.25" customHeight="1" x14ac:dyDescent="0.25">
      <c r="A115" s="4" t="s">
        <v>21</v>
      </c>
      <c r="B115" s="4" t="s">
        <v>39</v>
      </c>
      <c r="C115" s="4" t="s">
        <v>41</v>
      </c>
      <c r="D115" s="4" t="s">
        <v>44</v>
      </c>
      <c r="E115" s="4" t="s">
        <v>25</v>
      </c>
      <c r="F115" s="4" t="s">
        <v>25</v>
      </c>
      <c r="G115" s="4" t="s">
        <v>25</v>
      </c>
      <c r="H115" s="4" t="s">
        <v>25</v>
      </c>
      <c r="I115" s="5">
        <v>44378</v>
      </c>
      <c r="J115" s="6">
        <v>377</v>
      </c>
      <c r="K115" s="43">
        <v>377</v>
      </c>
      <c r="L115" s="6">
        <v>0</v>
      </c>
      <c r="M115" s="43">
        <v>0</v>
      </c>
      <c r="N115" s="6">
        <v>0</v>
      </c>
      <c r="O115" s="43">
        <v>0</v>
      </c>
      <c r="P115" s="6">
        <v>3</v>
      </c>
      <c r="Q115" s="4" t="s">
        <v>26</v>
      </c>
      <c r="R115" s="4">
        <v>0</v>
      </c>
      <c r="S115" s="4">
        <v>23</v>
      </c>
      <c r="T115" s="4">
        <v>0</v>
      </c>
      <c r="U115" s="4">
        <v>0</v>
      </c>
      <c r="V115" s="43">
        <f>IF(ISERROR(VLOOKUP($S$115,'TAR FIN'!$A$1:$O$100,15,0)),0,VLOOKUP($S$115,'TAR FIN'!$A$1:$O$100,15,0))*(1-0.04)</f>
        <v>17.7408</v>
      </c>
      <c r="W115" s="43">
        <f>IF(ISERROR(VLOOKUP($T$115,'TAR FIN'!$A$1:$O$100,15,0)),0,VLOOKUP($T$115,'TAR FIN'!$A$1:$O$100,15,0))</f>
        <v>0</v>
      </c>
      <c r="X115" s="43">
        <f>IF(ISERROR(VLOOKUP($U$115,'TAR FIN'!$A$1:$O$100,15,0)),0,VLOOKUP($U$115,'TAR FIN'!$A$1:$O$100,15,0))</f>
        <v>0</v>
      </c>
      <c r="Y115" s="43">
        <f ca="1">('TUSD BE'!$AM$20+'TUSD BF'!$AM$20+'TUSD CVA'!$AM$20)*1*(1-0.02)</f>
        <v>17.499705716099484</v>
      </c>
      <c r="Z115" s="43"/>
      <c r="AA115" s="43"/>
      <c r="AB115" s="43">
        <f>(SUBSIDIO!$J$115*SUBSIDIO!$V$115)*(0.04)/(1-0.04)</f>
        <v>278.67840000000001</v>
      </c>
      <c r="AC115" s="43">
        <f>((SUBSIDIO!$L$115*SUBSIDIO!$W$115)+(SUBSIDIO!$N$115*SUBSIDIO!$X$115))*(0.04)/(1-0.04)</f>
        <v>0</v>
      </c>
      <c r="AD115" s="43">
        <f ca="1">(SUBSIDIO!$J$115*SUBSIDIO!$Y$115)*(0.02)/(1-0.02)</f>
        <v>134.64059295856134</v>
      </c>
      <c r="AE115" s="43">
        <f>((SUBSIDIO!$L$115*SUBSIDIO!$Z$115)+(SUBSIDIO!$N$115*SUBSIDIO!$AA$115))*(0.02)/(1-0.02)</f>
        <v>0</v>
      </c>
      <c r="AF115" s="4" t="s">
        <v>914</v>
      </c>
    </row>
    <row r="116" spans="1:32" ht="11.25" customHeight="1" x14ac:dyDescent="0.25">
      <c r="A116" s="4" t="s">
        <v>21</v>
      </c>
      <c r="B116" s="4" t="s">
        <v>39</v>
      </c>
      <c r="C116" s="4" t="s">
        <v>41</v>
      </c>
      <c r="D116" s="4" t="s">
        <v>44</v>
      </c>
      <c r="E116" s="4" t="s">
        <v>25</v>
      </c>
      <c r="F116" s="4" t="s">
        <v>25</v>
      </c>
      <c r="G116" s="4" t="s">
        <v>25</v>
      </c>
      <c r="H116" s="4" t="s">
        <v>25</v>
      </c>
      <c r="I116" s="5">
        <v>44409</v>
      </c>
      <c r="J116" s="6">
        <v>374</v>
      </c>
      <c r="K116" s="43">
        <v>374</v>
      </c>
      <c r="L116" s="6">
        <v>0</v>
      </c>
      <c r="M116" s="43">
        <v>0</v>
      </c>
      <c r="N116" s="6">
        <v>0</v>
      </c>
      <c r="O116" s="43">
        <v>0</v>
      </c>
      <c r="P116" s="6">
        <v>3</v>
      </c>
      <c r="Q116" s="4" t="s">
        <v>26</v>
      </c>
      <c r="R116" s="4">
        <v>0</v>
      </c>
      <c r="S116" s="4">
        <v>23</v>
      </c>
      <c r="T116" s="4">
        <v>0</v>
      </c>
      <c r="U116" s="4">
        <v>0</v>
      </c>
      <c r="V116" s="43">
        <f>IF(ISERROR(VLOOKUP($S$116,'TAR FIN'!$A$1:$O$100,15,0)),0,VLOOKUP($S$116,'TAR FIN'!$A$1:$O$100,15,0))*(1-0.04)</f>
        <v>17.7408</v>
      </c>
      <c r="W116" s="43">
        <f>IF(ISERROR(VLOOKUP($T$116,'TAR FIN'!$A$1:$O$100,15,0)),0,VLOOKUP($T$116,'TAR FIN'!$A$1:$O$100,15,0))</f>
        <v>0</v>
      </c>
      <c r="X116" s="43">
        <f>IF(ISERROR(VLOOKUP($U$116,'TAR FIN'!$A$1:$O$100,15,0)),0,VLOOKUP($U$116,'TAR FIN'!$A$1:$O$100,15,0))</f>
        <v>0</v>
      </c>
      <c r="Y116" s="43">
        <f ca="1">('TUSD BE'!$AM$20+'TUSD BF'!$AM$20+'TUSD CVA'!$AM$20)*1*(1-0.02)</f>
        <v>17.499705716099484</v>
      </c>
      <c r="Z116" s="43"/>
      <c r="AA116" s="43"/>
      <c r="AB116" s="43">
        <f>(SUBSIDIO!$J$116*SUBSIDIO!$V$116)*(0.04)/(1-0.04)</f>
        <v>276.46079999999995</v>
      </c>
      <c r="AC116" s="43">
        <f>((SUBSIDIO!$L$116*SUBSIDIO!$W$116)+(SUBSIDIO!$N$116*SUBSIDIO!$X$116))*(0.04)/(1-0.04)</f>
        <v>0</v>
      </c>
      <c r="AD116" s="43">
        <f ca="1">(SUBSIDIO!$J$116*SUBSIDIO!$Y$116)*(0.02)/(1-0.02)</f>
        <v>133.56918240451444</v>
      </c>
      <c r="AE116" s="43">
        <f>((SUBSIDIO!$L$116*SUBSIDIO!$Z$116)+(SUBSIDIO!$N$116*SUBSIDIO!$AA$116))*(0.02)/(1-0.02)</f>
        <v>0</v>
      </c>
      <c r="AF116" s="4" t="s">
        <v>914</v>
      </c>
    </row>
    <row r="117" spans="1:32" ht="11.25" customHeight="1" x14ac:dyDescent="0.25">
      <c r="A117" s="4" t="s">
        <v>21</v>
      </c>
      <c r="B117" s="4" t="s">
        <v>39</v>
      </c>
      <c r="C117" s="4" t="s">
        <v>41</v>
      </c>
      <c r="D117" s="4" t="s">
        <v>44</v>
      </c>
      <c r="E117" s="4" t="s">
        <v>25</v>
      </c>
      <c r="F117" s="4" t="s">
        <v>25</v>
      </c>
      <c r="G117" s="4" t="s">
        <v>25</v>
      </c>
      <c r="H117" s="4" t="s">
        <v>25</v>
      </c>
      <c r="I117" s="5">
        <v>44440</v>
      </c>
      <c r="J117" s="6">
        <v>382</v>
      </c>
      <c r="K117" s="43">
        <v>382</v>
      </c>
      <c r="L117" s="6">
        <v>0</v>
      </c>
      <c r="M117" s="43">
        <v>0</v>
      </c>
      <c r="N117" s="6">
        <v>0</v>
      </c>
      <c r="O117" s="43">
        <v>0</v>
      </c>
      <c r="P117" s="6">
        <v>3</v>
      </c>
      <c r="Q117" s="4" t="s">
        <v>26</v>
      </c>
      <c r="R117" s="4">
        <v>0</v>
      </c>
      <c r="S117" s="4">
        <v>23</v>
      </c>
      <c r="T117" s="4">
        <v>0</v>
      </c>
      <c r="U117" s="4">
        <v>0</v>
      </c>
      <c r="V117" s="43">
        <f>IF(ISERROR(VLOOKUP($S$117,'TAR FIN'!$A$1:$O$100,15,0)),0,VLOOKUP($S$117,'TAR FIN'!$A$1:$O$100,15,0))*(1-0.04)</f>
        <v>17.7408</v>
      </c>
      <c r="W117" s="43">
        <f>IF(ISERROR(VLOOKUP($T$117,'TAR FIN'!$A$1:$O$100,15,0)),0,VLOOKUP($T$117,'TAR FIN'!$A$1:$O$100,15,0))</f>
        <v>0</v>
      </c>
      <c r="X117" s="43">
        <f>IF(ISERROR(VLOOKUP($U$117,'TAR FIN'!$A$1:$O$100,15,0)),0,VLOOKUP($U$117,'TAR FIN'!$A$1:$O$100,15,0))</f>
        <v>0</v>
      </c>
      <c r="Y117" s="43">
        <f ca="1">('TUSD BE'!$AM$20+'TUSD BF'!$AM$20+'TUSD CVA'!$AM$20)*1*(1-0.02)</f>
        <v>17.499705716099484</v>
      </c>
      <c r="Z117" s="43"/>
      <c r="AA117" s="43"/>
      <c r="AB117" s="43">
        <f>(SUBSIDIO!$J$117*SUBSIDIO!$V$117)*(0.04)/(1-0.04)</f>
        <v>282.37440000000004</v>
      </c>
      <c r="AC117" s="43">
        <f>((SUBSIDIO!$L$117*SUBSIDIO!$W$117)+(SUBSIDIO!$N$117*SUBSIDIO!$X$117))*(0.04)/(1-0.04)</f>
        <v>0</v>
      </c>
      <c r="AD117" s="43">
        <f ca="1">(SUBSIDIO!$J$117*SUBSIDIO!$Y$117)*(0.02)/(1-0.02)</f>
        <v>136.42627721530619</v>
      </c>
      <c r="AE117" s="43">
        <f>((SUBSIDIO!$L$117*SUBSIDIO!$Z$117)+(SUBSIDIO!$N$117*SUBSIDIO!$AA$117))*(0.02)/(1-0.02)</f>
        <v>0</v>
      </c>
      <c r="AF117" s="4" t="s">
        <v>914</v>
      </c>
    </row>
    <row r="118" spans="1:32" ht="11.25" customHeight="1" x14ac:dyDescent="0.25">
      <c r="A118" s="4" t="s">
        <v>21</v>
      </c>
      <c r="B118" s="4" t="s">
        <v>39</v>
      </c>
      <c r="C118" s="4" t="s">
        <v>41</v>
      </c>
      <c r="D118" s="4" t="s">
        <v>44</v>
      </c>
      <c r="E118" s="4" t="s">
        <v>25</v>
      </c>
      <c r="F118" s="4" t="s">
        <v>25</v>
      </c>
      <c r="G118" s="4" t="s">
        <v>25</v>
      </c>
      <c r="H118" s="4" t="s">
        <v>25</v>
      </c>
      <c r="I118" s="5">
        <v>44470</v>
      </c>
      <c r="J118" s="6">
        <v>426</v>
      </c>
      <c r="K118" s="43">
        <v>426</v>
      </c>
      <c r="L118" s="6">
        <v>0</v>
      </c>
      <c r="M118" s="43">
        <v>0</v>
      </c>
      <c r="N118" s="6">
        <v>0</v>
      </c>
      <c r="O118" s="43">
        <v>0</v>
      </c>
      <c r="P118" s="6">
        <v>3</v>
      </c>
      <c r="Q118" s="4" t="s">
        <v>26</v>
      </c>
      <c r="R118" s="4">
        <v>0</v>
      </c>
      <c r="S118" s="4">
        <v>23</v>
      </c>
      <c r="T118" s="4">
        <v>0</v>
      </c>
      <c r="U118" s="4">
        <v>0</v>
      </c>
      <c r="V118" s="43">
        <f>IF(ISERROR(VLOOKUP($S$118,'TAR FIN'!$A$1:$O$100,15,0)),0,VLOOKUP($S$118,'TAR FIN'!$A$1:$O$100,15,0))*(1-0.04)</f>
        <v>17.7408</v>
      </c>
      <c r="W118" s="43">
        <f>IF(ISERROR(VLOOKUP($T$118,'TAR FIN'!$A$1:$O$100,15,0)),0,VLOOKUP($T$118,'TAR FIN'!$A$1:$O$100,15,0))</f>
        <v>0</v>
      </c>
      <c r="X118" s="43">
        <f>IF(ISERROR(VLOOKUP($U$118,'TAR FIN'!$A$1:$O$100,15,0)),0,VLOOKUP($U$118,'TAR FIN'!$A$1:$O$100,15,0))</f>
        <v>0</v>
      </c>
      <c r="Y118" s="43">
        <f ca="1">('TUSD BE'!$AM$20+'TUSD BF'!$AM$20+'TUSD CVA'!$AM$20)*1*(1-0.02)</f>
        <v>17.499705716099484</v>
      </c>
      <c r="Z118" s="43"/>
      <c r="AA118" s="43"/>
      <c r="AB118" s="43">
        <f>(SUBSIDIO!$J$118*SUBSIDIO!$V$118)*(0.04)/(1-0.04)</f>
        <v>314.89920000000001</v>
      </c>
      <c r="AC118" s="43">
        <f>((SUBSIDIO!$L$118*SUBSIDIO!$W$118)+(SUBSIDIO!$N$118*SUBSIDIO!$X$118))*(0.04)/(1-0.04)</f>
        <v>0</v>
      </c>
      <c r="AD118" s="43">
        <f ca="1">(SUBSIDIO!$J$118*SUBSIDIO!$Y$118)*(0.02)/(1-0.02)</f>
        <v>152.14029867466084</v>
      </c>
      <c r="AE118" s="43">
        <f>((SUBSIDIO!$L$118*SUBSIDIO!$Z$118)+(SUBSIDIO!$N$118*SUBSIDIO!$AA$118))*(0.02)/(1-0.02)</f>
        <v>0</v>
      </c>
      <c r="AF118" s="4" t="s">
        <v>914</v>
      </c>
    </row>
    <row r="119" spans="1:32" ht="11.25" customHeight="1" x14ac:dyDescent="0.25">
      <c r="A119" s="4" t="s">
        <v>21</v>
      </c>
      <c r="B119" s="4" t="s">
        <v>39</v>
      </c>
      <c r="C119" s="4" t="s">
        <v>41</v>
      </c>
      <c r="D119" s="4" t="s">
        <v>44</v>
      </c>
      <c r="E119" s="4" t="s">
        <v>25</v>
      </c>
      <c r="F119" s="4" t="s">
        <v>25</v>
      </c>
      <c r="G119" s="4" t="s">
        <v>25</v>
      </c>
      <c r="H119" s="4" t="s">
        <v>25</v>
      </c>
      <c r="I119" s="5">
        <v>44501</v>
      </c>
      <c r="J119" s="6">
        <v>399</v>
      </c>
      <c r="K119" s="43">
        <v>399</v>
      </c>
      <c r="L119" s="6">
        <v>0</v>
      </c>
      <c r="M119" s="43">
        <v>0</v>
      </c>
      <c r="N119" s="6">
        <v>0</v>
      </c>
      <c r="O119" s="43">
        <v>0</v>
      </c>
      <c r="P119" s="6">
        <v>3</v>
      </c>
      <c r="Q119" s="4" t="s">
        <v>26</v>
      </c>
      <c r="R119" s="4">
        <v>0</v>
      </c>
      <c r="S119" s="4">
        <v>23</v>
      </c>
      <c r="T119" s="4">
        <v>0</v>
      </c>
      <c r="U119" s="4">
        <v>0</v>
      </c>
      <c r="V119" s="43">
        <f>IF(ISERROR(VLOOKUP($S$119,'TAR FIN'!$A$1:$O$100,15,0)),0,VLOOKUP($S$119,'TAR FIN'!$A$1:$O$100,15,0))*(1-0.04)</f>
        <v>17.7408</v>
      </c>
      <c r="W119" s="43">
        <f>IF(ISERROR(VLOOKUP($T$119,'TAR FIN'!$A$1:$O$100,15,0)),0,VLOOKUP($T$119,'TAR FIN'!$A$1:$O$100,15,0))</f>
        <v>0</v>
      </c>
      <c r="X119" s="43">
        <f>IF(ISERROR(VLOOKUP($U$119,'TAR FIN'!$A$1:$O$100,15,0)),0,VLOOKUP($U$119,'TAR FIN'!$A$1:$O$100,15,0))</f>
        <v>0</v>
      </c>
      <c r="Y119" s="43">
        <f ca="1">('TUSD BE'!$AM$20+'TUSD BF'!$AM$20+'TUSD CVA'!$AM$20)*1*(1-0.02)</f>
        <v>17.499705716099484</v>
      </c>
      <c r="Z119" s="43"/>
      <c r="AA119" s="43"/>
      <c r="AB119" s="43">
        <f>(SUBSIDIO!$J$119*SUBSIDIO!$V$119)*(0.04)/(1-0.04)</f>
        <v>294.94080000000002</v>
      </c>
      <c r="AC119" s="43">
        <f>((SUBSIDIO!$L$119*SUBSIDIO!$W$119)+(SUBSIDIO!$N$119*SUBSIDIO!$X$119))*(0.04)/(1-0.04)</f>
        <v>0</v>
      </c>
      <c r="AD119" s="43">
        <f ca="1">(SUBSIDIO!$J$119*SUBSIDIO!$Y$119)*(0.02)/(1-0.02)</f>
        <v>142.49760368823866</v>
      </c>
      <c r="AE119" s="43">
        <f>((SUBSIDIO!$L$119*SUBSIDIO!$Z$119)+(SUBSIDIO!$N$119*SUBSIDIO!$AA$119))*(0.02)/(1-0.02)</f>
        <v>0</v>
      </c>
      <c r="AF119" s="4" t="s">
        <v>914</v>
      </c>
    </row>
    <row r="120" spans="1:32" ht="11.25" customHeight="1" x14ac:dyDescent="0.25">
      <c r="A120" s="4" t="s">
        <v>21</v>
      </c>
      <c r="B120" s="4" t="s">
        <v>39</v>
      </c>
      <c r="C120" s="4" t="s">
        <v>41</v>
      </c>
      <c r="D120" s="4" t="s">
        <v>44</v>
      </c>
      <c r="E120" s="4" t="s">
        <v>25</v>
      </c>
      <c r="F120" s="4" t="s">
        <v>25</v>
      </c>
      <c r="G120" s="4" t="s">
        <v>25</v>
      </c>
      <c r="H120" s="4" t="s">
        <v>25</v>
      </c>
      <c r="I120" s="5">
        <v>44531</v>
      </c>
      <c r="J120" s="6">
        <v>408</v>
      </c>
      <c r="K120" s="43">
        <v>408</v>
      </c>
      <c r="L120" s="6">
        <v>0</v>
      </c>
      <c r="M120" s="43">
        <v>0</v>
      </c>
      <c r="N120" s="6">
        <v>0</v>
      </c>
      <c r="O120" s="43">
        <v>0</v>
      </c>
      <c r="P120" s="6">
        <v>3</v>
      </c>
      <c r="Q120" s="4" t="s">
        <v>26</v>
      </c>
      <c r="R120" s="4">
        <v>0</v>
      </c>
      <c r="S120" s="4">
        <v>23</v>
      </c>
      <c r="T120" s="4">
        <v>0</v>
      </c>
      <c r="U120" s="4">
        <v>0</v>
      </c>
      <c r="V120" s="43">
        <f>IF(ISERROR(VLOOKUP($S$120,'TAR FIN'!$A$1:$O$100,15,0)),0,VLOOKUP($S$120,'TAR FIN'!$A$1:$O$100,15,0))*(1-0.04)</f>
        <v>17.7408</v>
      </c>
      <c r="W120" s="43">
        <f>IF(ISERROR(VLOOKUP($T$120,'TAR FIN'!$A$1:$O$100,15,0)),0,VLOOKUP($T$120,'TAR FIN'!$A$1:$O$100,15,0))</f>
        <v>0</v>
      </c>
      <c r="X120" s="43">
        <f>IF(ISERROR(VLOOKUP($U$120,'TAR FIN'!$A$1:$O$100,15,0)),0,VLOOKUP($U$120,'TAR FIN'!$A$1:$O$100,15,0))</f>
        <v>0</v>
      </c>
      <c r="Y120" s="43">
        <f ca="1">('TUSD BE'!$AM$20+'TUSD BF'!$AM$20+'TUSD CVA'!$AM$20)*1*(1-0.02)</f>
        <v>17.499705716099484</v>
      </c>
      <c r="Z120" s="43"/>
      <c r="AA120" s="43"/>
      <c r="AB120" s="43">
        <f>(SUBSIDIO!$J$120*SUBSIDIO!$V$120)*(0.04)/(1-0.04)</f>
        <v>301.59359999999998</v>
      </c>
      <c r="AC120" s="43">
        <f>((SUBSIDIO!$L$120*SUBSIDIO!$W$120)+(SUBSIDIO!$N$120*SUBSIDIO!$X$120))*(0.04)/(1-0.04)</f>
        <v>0</v>
      </c>
      <c r="AD120" s="43">
        <f ca="1">(SUBSIDIO!$J$120*SUBSIDIO!$Y$120)*(0.02)/(1-0.02)</f>
        <v>145.7118353503794</v>
      </c>
      <c r="AE120" s="43">
        <f>((SUBSIDIO!$L$120*SUBSIDIO!$Z$120)+(SUBSIDIO!$N$120*SUBSIDIO!$AA$120))*(0.02)/(1-0.02)</f>
        <v>0</v>
      </c>
      <c r="AF120" s="4" t="s">
        <v>914</v>
      </c>
    </row>
    <row r="121" spans="1:32" ht="11.25" customHeight="1" x14ac:dyDescent="0.25">
      <c r="A121" s="4" t="s">
        <v>55</v>
      </c>
      <c r="B121" s="4" t="s">
        <v>39</v>
      </c>
      <c r="C121" s="4" t="s">
        <v>41</v>
      </c>
      <c r="D121" s="4" t="s">
        <v>44</v>
      </c>
      <c r="E121" s="4" t="s">
        <v>25</v>
      </c>
      <c r="F121" s="4" t="s">
        <v>25</v>
      </c>
      <c r="G121" s="4" t="s">
        <v>25</v>
      </c>
      <c r="H121" s="4" t="s">
        <v>25</v>
      </c>
      <c r="I121" s="5">
        <v>44562</v>
      </c>
      <c r="J121" s="6">
        <v>408</v>
      </c>
      <c r="K121" s="43">
        <v>408</v>
      </c>
      <c r="L121" s="6">
        <v>0</v>
      </c>
      <c r="M121" s="43">
        <v>0</v>
      </c>
      <c r="N121" s="6">
        <v>0</v>
      </c>
      <c r="O121" s="43">
        <v>0</v>
      </c>
      <c r="P121" s="6">
        <v>3</v>
      </c>
      <c r="Q121" s="4" t="s">
        <v>26</v>
      </c>
      <c r="R121" s="4">
        <v>0</v>
      </c>
      <c r="S121" s="4">
        <v>23</v>
      </c>
      <c r="T121" s="4">
        <v>0</v>
      </c>
      <c r="U121" s="4">
        <v>0</v>
      </c>
      <c r="V121" s="43">
        <f>IF(ISERROR(VLOOKUP($S$121,'TAR FIN'!$A$1:$O$100,15,0)),0,VLOOKUP($S$121,'TAR FIN'!$A$1:$O$100,15,0))*(1-0.04)</f>
        <v>17.7408</v>
      </c>
      <c r="W121" s="43">
        <f>IF(ISERROR(VLOOKUP($T$121,'TAR FIN'!$A$1:$O$100,15,0)),0,VLOOKUP($T$121,'TAR FIN'!$A$1:$O$100,15,0))</f>
        <v>0</v>
      </c>
      <c r="X121" s="43">
        <f>IF(ISERROR(VLOOKUP($U$121,'TAR FIN'!$A$1:$O$100,15,0)),0,VLOOKUP($U$121,'TAR FIN'!$A$1:$O$100,15,0))</f>
        <v>0</v>
      </c>
      <c r="Y121" s="43">
        <f ca="1">('TUSD BE'!$AM$20+'TUSD BF'!$AM$20+'TUSD CVA'!$AM$20)*1*(1-0.02)</f>
        <v>17.499705716099484</v>
      </c>
      <c r="Z121" s="43"/>
      <c r="AA121" s="43"/>
      <c r="AB121" s="43">
        <f>(SUBSIDIO!$J$121*SUBSIDIO!$V$121)*(0.04)/(1-0.04)</f>
        <v>301.59359999999998</v>
      </c>
      <c r="AC121" s="43">
        <f>((SUBSIDIO!$L$121*SUBSIDIO!$W$121)+(SUBSIDIO!$N$121*SUBSIDIO!$X$121))*(0.04)/(1-0.04)</f>
        <v>0</v>
      </c>
      <c r="AD121" s="43">
        <f ca="1">(SUBSIDIO!$J$121*SUBSIDIO!$Y$121)*(0.02)/(1-0.02)</f>
        <v>145.7118353503794</v>
      </c>
      <c r="AE121" s="43">
        <f>((SUBSIDIO!$L$121*SUBSIDIO!$Z$121)+(SUBSIDIO!$N$121*SUBSIDIO!$AA$121))*(0.02)/(1-0.02)</f>
        <v>0</v>
      </c>
      <c r="AF121" s="4" t="s">
        <v>914</v>
      </c>
    </row>
    <row r="122" spans="1:32" ht="11.25" customHeight="1" x14ac:dyDescent="0.25">
      <c r="A122" s="4" t="s">
        <v>21</v>
      </c>
      <c r="B122" s="4" t="s">
        <v>39</v>
      </c>
      <c r="C122" s="4" t="s">
        <v>41</v>
      </c>
      <c r="D122" s="4" t="s">
        <v>44</v>
      </c>
      <c r="E122" s="4" t="s">
        <v>25</v>
      </c>
      <c r="F122" s="4" t="s">
        <v>25</v>
      </c>
      <c r="G122" s="4" t="s">
        <v>25</v>
      </c>
      <c r="H122" s="4" t="s">
        <v>34</v>
      </c>
      <c r="I122" s="5">
        <v>44228</v>
      </c>
      <c r="J122" s="6">
        <v>0</v>
      </c>
      <c r="K122" s="43">
        <v>0</v>
      </c>
      <c r="L122" s="6">
        <v>7.9859999999999998</v>
      </c>
      <c r="M122" s="43">
        <v>7.9859999999999998</v>
      </c>
      <c r="N122" s="6">
        <v>7.9859999999999998</v>
      </c>
      <c r="O122" s="43">
        <v>7.9859999999999998</v>
      </c>
      <c r="P122" s="6">
        <v>0</v>
      </c>
      <c r="Q122" s="4" t="s">
        <v>26</v>
      </c>
      <c r="R122" s="4">
        <v>0</v>
      </c>
      <c r="S122" s="4">
        <v>0</v>
      </c>
      <c r="T122" s="4">
        <v>24</v>
      </c>
      <c r="U122" s="4">
        <v>67</v>
      </c>
      <c r="V122" s="43">
        <f>IF(ISERROR(VLOOKUP($S$122,'TAR FIN'!$A$1:$O$100,15,0)),0,VLOOKUP($S$122,'TAR FIN'!$A$1:$O$100,15,0))</f>
        <v>0</v>
      </c>
      <c r="W122" s="43">
        <f>IF(ISERROR(VLOOKUP($T$122,'TAR FIN'!$A$1:$O$100,15,0)),0,VLOOKUP($T$122,'TAR FIN'!$A$1:$O$100,15,0))*(1-0.04)</f>
        <v>906.05759999999987</v>
      </c>
      <c r="X122" s="43">
        <f>IF(ISERROR(VLOOKUP($U$122,'TAR FIN'!$A$1:$O$100,15,0)),0,VLOOKUP($U$122,'TAR FIN'!$A$1:$O$100,15,0))*(1-0.04)</f>
        <v>351.93600000000004</v>
      </c>
      <c r="Y122" s="43"/>
      <c r="Z122" s="43">
        <f ca="1">('TUSD BE'!$AM$21+'TUSD BF'!$AM$21+'TUSD CVA'!$AM$21)*1*(1-0.02)</f>
        <v>910.29360198079769</v>
      </c>
      <c r="AA122" s="43">
        <f>('TE BE'!$AA$7+'TE BF'!$AA$7+'TE CVA'!$AA$7)*1*(1-0.02)</f>
        <v>377.75625501595869</v>
      </c>
      <c r="AB122" s="43">
        <f>(SUBSIDIO!$J$122*SUBSIDIO!$V$122)*(0.04)/(1-0.04)</f>
        <v>0</v>
      </c>
      <c r="AC122" s="43">
        <f>((SUBSIDIO!$L$122*SUBSIDIO!$W$122)+(SUBSIDIO!$N$122*SUBSIDIO!$X$122))*(0.04)/(1-0.04)</f>
        <v>418.59737039999999</v>
      </c>
      <c r="AD122" s="43">
        <f>(SUBSIDIO!$J$122*SUBSIDIO!$Y$122)*(0.02)/(1-0.02)</f>
        <v>0</v>
      </c>
      <c r="AE122" s="43">
        <f ca="1">((SUBSIDIO!$L$122*SUBSIDIO!$Z$122)+(SUBSIDIO!$N$122*SUBSIDIO!$AA$122))*(0.02)/(1-0.02)</f>
        <v>209.92583995869583</v>
      </c>
      <c r="AF122" s="4" t="s">
        <v>914</v>
      </c>
    </row>
    <row r="123" spans="1:32" ht="11.25" customHeight="1" x14ac:dyDescent="0.25">
      <c r="A123" s="4" t="s">
        <v>21</v>
      </c>
      <c r="B123" s="4" t="s">
        <v>39</v>
      </c>
      <c r="C123" s="4" t="s">
        <v>41</v>
      </c>
      <c r="D123" s="4" t="s">
        <v>44</v>
      </c>
      <c r="E123" s="4" t="s">
        <v>25</v>
      </c>
      <c r="F123" s="4" t="s">
        <v>25</v>
      </c>
      <c r="G123" s="4" t="s">
        <v>25</v>
      </c>
      <c r="H123" s="4" t="s">
        <v>34</v>
      </c>
      <c r="I123" s="5">
        <v>44256</v>
      </c>
      <c r="J123" s="6">
        <v>0</v>
      </c>
      <c r="K123" s="43">
        <v>0</v>
      </c>
      <c r="L123" s="6">
        <v>9.5820000000000007</v>
      </c>
      <c r="M123" s="43">
        <v>9.5820000000000007</v>
      </c>
      <c r="N123" s="6">
        <v>9.5820000000000007</v>
      </c>
      <c r="O123" s="43">
        <v>9.5820000000000007</v>
      </c>
      <c r="P123" s="6">
        <v>0</v>
      </c>
      <c r="Q123" s="4" t="s">
        <v>26</v>
      </c>
      <c r="R123" s="4">
        <v>0</v>
      </c>
      <c r="S123" s="4">
        <v>0</v>
      </c>
      <c r="T123" s="4">
        <v>24</v>
      </c>
      <c r="U123" s="4">
        <v>67</v>
      </c>
      <c r="V123" s="43">
        <f>IF(ISERROR(VLOOKUP($S$123,'TAR FIN'!$A$1:$O$100,15,0)),0,VLOOKUP($S$123,'TAR FIN'!$A$1:$O$100,15,0))</f>
        <v>0</v>
      </c>
      <c r="W123" s="43">
        <f>IF(ISERROR(VLOOKUP($T$123,'TAR FIN'!$A$1:$O$100,15,0)),0,VLOOKUP($T$123,'TAR FIN'!$A$1:$O$100,15,0))*(1-0.04)</f>
        <v>906.05759999999987</v>
      </c>
      <c r="X123" s="43">
        <f>IF(ISERROR(VLOOKUP($U$123,'TAR FIN'!$A$1:$O$100,15,0)),0,VLOOKUP($U$123,'TAR FIN'!$A$1:$O$100,15,0))*(1-0.04)</f>
        <v>351.93600000000004</v>
      </c>
      <c r="Y123" s="43"/>
      <c r="Z123" s="43">
        <f ca="1">('TUSD BE'!$AM$21+'TUSD BF'!$AM$21+'TUSD CVA'!$AM$21)*1*(1-0.02)</f>
        <v>910.29360198079769</v>
      </c>
      <c r="AA123" s="43">
        <f>('TE BE'!$AA$7+'TE BF'!$AA$7+'TE CVA'!$AA$7)*1*(1-0.02)</f>
        <v>377.75625501595869</v>
      </c>
      <c r="AB123" s="43">
        <f>(SUBSIDIO!$J$123*SUBSIDIO!$V$123)*(0.04)/(1-0.04)</f>
        <v>0</v>
      </c>
      <c r="AC123" s="43">
        <f>((SUBSIDIO!$L$123*SUBSIDIO!$W$123)+(SUBSIDIO!$N$123*SUBSIDIO!$X$123))*(0.04)/(1-0.04)</f>
        <v>502.2539448</v>
      </c>
      <c r="AD123" s="43">
        <f>(SUBSIDIO!$J$123*SUBSIDIO!$Y$123)*(0.02)/(1-0.02)</f>
        <v>0</v>
      </c>
      <c r="AE123" s="43">
        <f ca="1">((SUBSIDIO!$L$123*SUBSIDIO!$Z$123)+(SUBSIDIO!$N$123*SUBSIDIO!$AA$123))*(0.02)/(1-0.02)</f>
        <v>251.87946387230451</v>
      </c>
      <c r="AF123" s="4" t="s">
        <v>914</v>
      </c>
    </row>
    <row r="124" spans="1:32" ht="11.25" customHeight="1" x14ac:dyDescent="0.25">
      <c r="A124" s="4" t="s">
        <v>21</v>
      </c>
      <c r="B124" s="4" t="s">
        <v>39</v>
      </c>
      <c r="C124" s="4" t="s">
        <v>41</v>
      </c>
      <c r="D124" s="4" t="s">
        <v>44</v>
      </c>
      <c r="E124" s="4" t="s">
        <v>25</v>
      </c>
      <c r="F124" s="4" t="s">
        <v>25</v>
      </c>
      <c r="G124" s="4" t="s">
        <v>25</v>
      </c>
      <c r="H124" s="4" t="s">
        <v>34</v>
      </c>
      <c r="I124" s="5">
        <v>44287</v>
      </c>
      <c r="J124" s="6">
        <v>0</v>
      </c>
      <c r="K124" s="43">
        <v>0</v>
      </c>
      <c r="L124" s="6">
        <v>8.8819999999999997</v>
      </c>
      <c r="M124" s="43">
        <v>8.8819999999999997</v>
      </c>
      <c r="N124" s="6">
        <v>8.8819999999999997</v>
      </c>
      <c r="O124" s="43">
        <v>8.8819999999999997</v>
      </c>
      <c r="P124" s="6">
        <v>0</v>
      </c>
      <c r="Q124" s="4" t="s">
        <v>26</v>
      </c>
      <c r="R124" s="4">
        <v>0</v>
      </c>
      <c r="S124" s="4">
        <v>0</v>
      </c>
      <c r="T124" s="4">
        <v>24</v>
      </c>
      <c r="U124" s="4">
        <v>67</v>
      </c>
      <c r="V124" s="43">
        <f>IF(ISERROR(VLOOKUP($S$124,'TAR FIN'!$A$1:$O$100,15,0)),0,VLOOKUP($S$124,'TAR FIN'!$A$1:$O$100,15,0))</f>
        <v>0</v>
      </c>
      <c r="W124" s="43">
        <f>IF(ISERROR(VLOOKUP($T$124,'TAR FIN'!$A$1:$O$100,15,0)),0,VLOOKUP($T$124,'TAR FIN'!$A$1:$O$100,15,0))*(1-0.04)</f>
        <v>906.05759999999987</v>
      </c>
      <c r="X124" s="43">
        <f>IF(ISERROR(VLOOKUP($U$124,'TAR FIN'!$A$1:$O$100,15,0)),0,VLOOKUP($U$124,'TAR FIN'!$A$1:$O$100,15,0))*(1-0.04)</f>
        <v>351.93600000000004</v>
      </c>
      <c r="Y124" s="43"/>
      <c r="Z124" s="43">
        <f ca="1">('TUSD BE'!$AM$21+'TUSD BF'!$AM$21+'TUSD CVA'!$AM$21)*1*(1-0.02)</f>
        <v>910.29360198079769</v>
      </c>
      <c r="AA124" s="43">
        <f>('TE BE'!$AA$7+'TE BF'!$AA$7+'TE CVA'!$AA$7)*1*(1-0.02)</f>
        <v>377.75625501595869</v>
      </c>
      <c r="AB124" s="43">
        <f>(SUBSIDIO!$J$124*SUBSIDIO!$V$124)*(0.04)/(1-0.04)</f>
        <v>0</v>
      </c>
      <c r="AC124" s="43">
        <f>((SUBSIDIO!$L$124*SUBSIDIO!$W$124)+(SUBSIDIO!$N$124*SUBSIDIO!$X$124))*(0.04)/(1-0.04)</f>
        <v>465.56246479999999</v>
      </c>
      <c r="AD124" s="43">
        <f>(SUBSIDIO!$J$124*SUBSIDIO!$Y$124)*(0.02)/(1-0.02)</f>
        <v>0</v>
      </c>
      <c r="AE124" s="43">
        <f ca="1">((SUBSIDIO!$L$124*SUBSIDIO!$Z$124)+(SUBSIDIO!$N$124*SUBSIDIO!$AA$124))*(0.02)/(1-0.02)</f>
        <v>233.47875162949367</v>
      </c>
      <c r="AF124" s="4" t="s">
        <v>914</v>
      </c>
    </row>
    <row r="125" spans="1:32" ht="11.25" customHeight="1" x14ac:dyDescent="0.25">
      <c r="A125" s="4" t="s">
        <v>21</v>
      </c>
      <c r="B125" s="4" t="s">
        <v>39</v>
      </c>
      <c r="C125" s="4" t="s">
        <v>41</v>
      </c>
      <c r="D125" s="4" t="s">
        <v>44</v>
      </c>
      <c r="E125" s="4" t="s">
        <v>25</v>
      </c>
      <c r="F125" s="4" t="s">
        <v>25</v>
      </c>
      <c r="G125" s="4" t="s">
        <v>25</v>
      </c>
      <c r="H125" s="4" t="s">
        <v>34</v>
      </c>
      <c r="I125" s="5">
        <v>44317</v>
      </c>
      <c r="J125" s="6">
        <v>0</v>
      </c>
      <c r="K125" s="43">
        <v>0</v>
      </c>
      <c r="L125" s="6">
        <v>8.9239999999999995</v>
      </c>
      <c r="M125" s="43">
        <v>8.9239999999999995</v>
      </c>
      <c r="N125" s="6">
        <v>8.9239999999999995</v>
      </c>
      <c r="O125" s="43">
        <v>8.9239999999999995</v>
      </c>
      <c r="P125" s="6">
        <v>0</v>
      </c>
      <c r="Q125" s="4" t="s">
        <v>26</v>
      </c>
      <c r="R125" s="4">
        <v>0</v>
      </c>
      <c r="S125" s="4">
        <v>0</v>
      </c>
      <c r="T125" s="4">
        <v>24</v>
      </c>
      <c r="U125" s="4">
        <v>67</v>
      </c>
      <c r="V125" s="43">
        <f>IF(ISERROR(VLOOKUP($S$125,'TAR FIN'!$A$1:$O$100,15,0)),0,VLOOKUP($S$125,'TAR FIN'!$A$1:$O$100,15,0))</f>
        <v>0</v>
      </c>
      <c r="W125" s="43">
        <f>IF(ISERROR(VLOOKUP($T$125,'TAR FIN'!$A$1:$O$100,15,0)),0,VLOOKUP($T$125,'TAR FIN'!$A$1:$O$100,15,0))*(1-0.04)</f>
        <v>906.05759999999987</v>
      </c>
      <c r="X125" s="43">
        <f>IF(ISERROR(VLOOKUP($U$125,'TAR FIN'!$A$1:$O$100,15,0)),0,VLOOKUP($U$125,'TAR FIN'!$A$1:$O$100,15,0))*(1-0.04)</f>
        <v>351.93600000000004</v>
      </c>
      <c r="Y125" s="43"/>
      <c r="Z125" s="43">
        <f ca="1">('TUSD BE'!$AM$21+'TUSD BF'!$AM$21+'TUSD CVA'!$AM$21)*1*(1-0.02)</f>
        <v>910.29360198079769</v>
      </c>
      <c r="AA125" s="43">
        <f>('TE BE'!$AA$7+'TE BF'!$AA$7+'TE CVA'!$AA$7)*1*(1-0.02)</f>
        <v>377.75625501595869</v>
      </c>
      <c r="AB125" s="43">
        <f>(SUBSIDIO!$J$125*SUBSIDIO!$V$125)*(0.04)/(1-0.04)</f>
        <v>0</v>
      </c>
      <c r="AC125" s="43">
        <f>((SUBSIDIO!$L$125*SUBSIDIO!$W$125)+(SUBSIDIO!$N$125*SUBSIDIO!$X$125))*(0.04)/(1-0.04)</f>
        <v>467.76395359999992</v>
      </c>
      <c r="AD125" s="43">
        <f>(SUBSIDIO!$J$125*SUBSIDIO!$Y$125)*(0.02)/(1-0.02)</f>
        <v>0</v>
      </c>
      <c r="AE125" s="43">
        <f ca="1">((SUBSIDIO!$L$125*SUBSIDIO!$Z$125)+(SUBSIDIO!$N$125*SUBSIDIO!$AA$125))*(0.02)/(1-0.02)</f>
        <v>234.58279436406232</v>
      </c>
      <c r="AF125" s="4" t="s">
        <v>914</v>
      </c>
    </row>
    <row r="126" spans="1:32" ht="11.25" customHeight="1" x14ac:dyDescent="0.25">
      <c r="A126" s="4" t="s">
        <v>21</v>
      </c>
      <c r="B126" s="4" t="s">
        <v>39</v>
      </c>
      <c r="C126" s="4" t="s">
        <v>41</v>
      </c>
      <c r="D126" s="4" t="s">
        <v>44</v>
      </c>
      <c r="E126" s="4" t="s">
        <v>25</v>
      </c>
      <c r="F126" s="4" t="s">
        <v>25</v>
      </c>
      <c r="G126" s="4" t="s">
        <v>25</v>
      </c>
      <c r="H126" s="4" t="s">
        <v>34</v>
      </c>
      <c r="I126" s="5">
        <v>44348</v>
      </c>
      <c r="J126" s="6">
        <v>0</v>
      </c>
      <c r="K126" s="43">
        <v>0</v>
      </c>
      <c r="L126" s="6">
        <v>8.3420000000000005</v>
      </c>
      <c r="M126" s="43">
        <v>8.3420000000000005</v>
      </c>
      <c r="N126" s="6">
        <v>8.3420000000000005</v>
      </c>
      <c r="O126" s="43">
        <v>8.3420000000000005</v>
      </c>
      <c r="P126" s="6">
        <v>0</v>
      </c>
      <c r="Q126" s="4" t="s">
        <v>26</v>
      </c>
      <c r="R126" s="4">
        <v>0</v>
      </c>
      <c r="S126" s="4">
        <v>0</v>
      </c>
      <c r="T126" s="4">
        <v>24</v>
      </c>
      <c r="U126" s="4">
        <v>67</v>
      </c>
      <c r="V126" s="43">
        <f>IF(ISERROR(VLOOKUP($S$126,'TAR FIN'!$A$1:$O$100,15,0)),0,VLOOKUP($S$126,'TAR FIN'!$A$1:$O$100,15,0))</f>
        <v>0</v>
      </c>
      <c r="W126" s="43">
        <f>IF(ISERROR(VLOOKUP($T$126,'TAR FIN'!$A$1:$O$100,15,0)),0,VLOOKUP($T$126,'TAR FIN'!$A$1:$O$100,15,0))*(1-0.04)</f>
        <v>906.05759999999987</v>
      </c>
      <c r="X126" s="43">
        <f>IF(ISERROR(VLOOKUP($U$126,'TAR FIN'!$A$1:$O$100,15,0)),0,VLOOKUP($U$126,'TAR FIN'!$A$1:$O$100,15,0))*(1-0.04)</f>
        <v>351.93600000000004</v>
      </c>
      <c r="Y126" s="43"/>
      <c r="Z126" s="43">
        <f ca="1">('TUSD BE'!$AM$21+'TUSD BF'!$AM$21+'TUSD CVA'!$AM$21)*1*(1-0.02)</f>
        <v>910.29360198079769</v>
      </c>
      <c r="AA126" s="43">
        <f>('TE BE'!$AA$7+'TE BF'!$AA$7+'TE CVA'!$AA$7)*1*(1-0.02)</f>
        <v>377.75625501595869</v>
      </c>
      <c r="AB126" s="43">
        <f>(SUBSIDIO!$J$126*SUBSIDIO!$V$126)*(0.04)/(1-0.04)</f>
        <v>0</v>
      </c>
      <c r="AC126" s="43">
        <f>((SUBSIDIO!$L$126*SUBSIDIO!$W$126)+(SUBSIDIO!$N$126*SUBSIDIO!$X$126))*(0.04)/(1-0.04)</f>
        <v>437.25760880000001</v>
      </c>
      <c r="AD126" s="43">
        <f>(SUBSIDIO!$J$126*SUBSIDIO!$Y$126)*(0.02)/(1-0.02)</f>
        <v>0</v>
      </c>
      <c r="AE126" s="43">
        <f ca="1">((SUBSIDIO!$L$126*SUBSIDIO!$Z$126)+(SUBSIDIO!$N$126*SUBSIDIO!$AA$126))*(0.02)/(1-0.02)</f>
        <v>219.28391647075392</v>
      </c>
      <c r="AF126" s="4" t="s">
        <v>914</v>
      </c>
    </row>
    <row r="127" spans="1:32" ht="11.25" customHeight="1" x14ac:dyDescent="0.25">
      <c r="A127" s="4" t="s">
        <v>21</v>
      </c>
      <c r="B127" s="4" t="s">
        <v>39</v>
      </c>
      <c r="C127" s="4" t="s">
        <v>41</v>
      </c>
      <c r="D127" s="4" t="s">
        <v>44</v>
      </c>
      <c r="E127" s="4" t="s">
        <v>25</v>
      </c>
      <c r="F127" s="4" t="s">
        <v>25</v>
      </c>
      <c r="G127" s="4" t="s">
        <v>25</v>
      </c>
      <c r="H127" s="4" t="s">
        <v>34</v>
      </c>
      <c r="I127" s="5">
        <v>44378</v>
      </c>
      <c r="J127" s="6">
        <v>0</v>
      </c>
      <c r="K127" s="43">
        <v>0</v>
      </c>
      <c r="L127" s="6">
        <v>8.1620000000000008</v>
      </c>
      <c r="M127" s="43">
        <v>8.1620000000000008</v>
      </c>
      <c r="N127" s="6">
        <v>8.1620000000000008</v>
      </c>
      <c r="O127" s="43">
        <v>8.1620000000000008</v>
      </c>
      <c r="P127" s="6">
        <v>0</v>
      </c>
      <c r="Q127" s="4" t="s">
        <v>26</v>
      </c>
      <c r="R127" s="4">
        <v>0</v>
      </c>
      <c r="S127" s="4">
        <v>0</v>
      </c>
      <c r="T127" s="4">
        <v>24</v>
      </c>
      <c r="U127" s="4">
        <v>67</v>
      </c>
      <c r="V127" s="43">
        <f>IF(ISERROR(VLOOKUP($S$127,'TAR FIN'!$A$1:$O$100,15,0)),0,VLOOKUP($S$127,'TAR FIN'!$A$1:$O$100,15,0))</f>
        <v>0</v>
      </c>
      <c r="W127" s="43">
        <f>IF(ISERROR(VLOOKUP($T$127,'TAR FIN'!$A$1:$O$100,15,0)),0,VLOOKUP($T$127,'TAR FIN'!$A$1:$O$100,15,0))*(1-0.04)</f>
        <v>906.05759999999987</v>
      </c>
      <c r="X127" s="43">
        <f>IF(ISERROR(VLOOKUP($U$127,'TAR FIN'!$A$1:$O$100,15,0)),0,VLOOKUP($U$127,'TAR FIN'!$A$1:$O$100,15,0))*(1-0.04)</f>
        <v>351.93600000000004</v>
      </c>
      <c r="Y127" s="43"/>
      <c r="Z127" s="43">
        <f ca="1">('TUSD BE'!$AM$21+'TUSD BF'!$AM$21+'TUSD CVA'!$AM$21)*1*(1-0.02)</f>
        <v>910.29360198079769</v>
      </c>
      <c r="AA127" s="43">
        <f>('TE BE'!$AA$7+'TE BF'!$AA$7+'TE CVA'!$AA$7)*1*(1-0.02)</f>
        <v>377.75625501595869</v>
      </c>
      <c r="AB127" s="43">
        <f>(SUBSIDIO!$J$127*SUBSIDIO!$V$127)*(0.04)/(1-0.04)</f>
        <v>0</v>
      </c>
      <c r="AC127" s="43">
        <f>((SUBSIDIO!$L$127*SUBSIDIO!$W$127)+(SUBSIDIO!$N$127*SUBSIDIO!$X$127))*(0.04)/(1-0.04)</f>
        <v>427.82265680000006</v>
      </c>
      <c r="AD127" s="43">
        <f>(SUBSIDIO!$J$127*SUBSIDIO!$Y$127)*(0.02)/(1-0.02)</f>
        <v>0</v>
      </c>
      <c r="AE127" s="43">
        <f ca="1">((SUBSIDIO!$L$127*SUBSIDIO!$Z$127)+(SUBSIDIO!$N$127*SUBSIDIO!$AA$127))*(0.02)/(1-0.02)</f>
        <v>214.55230475117403</v>
      </c>
      <c r="AF127" s="4" t="s">
        <v>914</v>
      </c>
    </row>
    <row r="128" spans="1:32" ht="11.25" customHeight="1" x14ac:dyDescent="0.25">
      <c r="A128" s="4" t="s">
        <v>21</v>
      </c>
      <c r="B128" s="4" t="s">
        <v>39</v>
      </c>
      <c r="C128" s="4" t="s">
        <v>41</v>
      </c>
      <c r="D128" s="4" t="s">
        <v>44</v>
      </c>
      <c r="E128" s="4" t="s">
        <v>25</v>
      </c>
      <c r="F128" s="4" t="s">
        <v>25</v>
      </c>
      <c r="G128" s="4" t="s">
        <v>25</v>
      </c>
      <c r="H128" s="4" t="s">
        <v>34</v>
      </c>
      <c r="I128" s="5">
        <v>44409</v>
      </c>
      <c r="J128" s="6">
        <v>0</v>
      </c>
      <c r="K128" s="43">
        <v>0</v>
      </c>
      <c r="L128" s="6">
        <v>7.782</v>
      </c>
      <c r="M128" s="43">
        <v>7.782</v>
      </c>
      <c r="N128" s="6">
        <v>7.782</v>
      </c>
      <c r="O128" s="43">
        <v>7.782</v>
      </c>
      <c r="P128" s="6">
        <v>0</v>
      </c>
      <c r="Q128" s="4" t="s">
        <v>26</v>
      </c>
      <c r="R128" s="4">
        <v>0</v>
      </c>
      <c r="S128" s="4">
        <v>0</v>
      </c>
      <c r="T128" s="4">
        <v>24</v>
      </c>
      <c r="U128" s="4">
        <v>67</v>
      </c>
      <c r="V128" s="43">
        <f>IF(ISERROR(VLOOKUP($S$128,'TAR FIN'!$A$1:$O$100,15,0)),0,VLOOKUP($S$128,'TAR FIN'!$A$1:$O$100,15,0))</f>
        <v>0</v>
      </c>
      <c r="W128" s="43">
        <f>IF(ISERROR(VLOOKUP($T$128,'TAR FIN'!$A$1:$O$100,15,0)),0,VLOOKUP($T$128,'TAR FIN'!$A$1:$O$100,15,0))*(1-0.04)</f>
        <v>906.05759999999987</v>
      </c>
      <c r="X128" s="43">
        <f>IF(ISERROR(VLOOKUP($U$128,'TAR FIN'!$A$1:$O$100,15,0)),0,VLOOKUP($U$128,'TAR FIN'!$A$1:$O$100,15,0))*(1-0.04)</f>
        <v>351.93600000000004</v>
      </c>
      <c r="Y128" s="43"/>
      <c r="Z128" s="43">
        <f ca="1">('TUSD BE'!$AM$21+'TUSD BF'!$AM$21+'TUSD CVA'!$AM$21)*1*(1-0.02)</f>
        <v>910.29360198079769</v>
      </c>
      <c r="AA128" s="43">
        <f>('TE BE'!$AA$7+'TE BF'!$AA$7+'TE CVA'!$AA$7)*1*(1-0.02)</f>
        <v>377.75625501595869</v>
      </c>
      <c r="AB128" s="43">
        <f>(SUBSIDIO!$J$128*SUBSIDIO!$V$128)*(0.04)/(1-0.04)</f>
        <v>0</v>
      </c>
      <c r="AC128" s="43">
        <f>((SUBSIDIO!$L$128*SUBSIDIO!$W$128)+(SUBSIDIO!$N$128*SUBSIDIO!$X$128))*(0.04)/(1-0.04)</f>
        <v>407.90442479999996</v>
      </c>
      <c r="AD128" s="43">
        <f>(SUBSIDIO!$J$128*SUBSIDIO!$Y$128)*(0.02)/(1-0.02)</f>
        <v>0</v>
      </c>
      <c r="AE128" s="43">
        <f ca="1">((SUBSIDIO!$L$128*SUBSIDIO!$Z$128)+(SUBSIDIO!$N$128*SUBSIDIO!$AA$128))*(0.02)/(1-0.02)</f>
        <v>204.56334667650526</v>
      </c>
      <c r="AF128" s="4" t="s">
        <v>914</v>
      </c>
    </row>
    <row r="129" spans="1:32" ht="11.25" customHeight="1" x14ac:dyDescent="0.25">
      <c r="A129" s="4" t="s">
        <v>21</v>
      </c>
      <c r="B129" s="4" t="s">
        <v>39</v>
      </c>
      <c r="C129" s="4" t="s">
        <v>41</v>
      </c>
      <c r="D129" s="4" t="s">
        <v>44</v>
      </c>
      <c r="E129" s="4" t="s">
        <v>25</v>
      </c>
      <c r="F129" s="4" t="s">
        <v>25</v>
      </c>
      <c r="G129" s="4" t="s">
        <v>25</v>
      </c>
      <c r="H129" s="4" t="s">
        <v>34</v>
      </c>
      <c r="I129" s="5">
        <v>44440</v>
      </c>
      <c r="J129" s="6">
        <v>0</v>
      </c>
      <c r="K129" s="43">
        <v>0</v>
      </c>
      <c r="L129" s="6">
        <v>8.4819999999999993</v>
      </c>
      <c r="M129" s="43">
        <v>8.4819999999999993</v>
      </c>
      <c r="N129" s="6">
        <v>8.4819999999999993</v>
      </c>
      <c r="O129" s="43">
        <v>8.4819999999999993</v>
      </c>
      <c r="P129" s="6">
        <v>0</v>
      </c>
      <c r="Q129" s="4" t="s">
        <v>26</v>
      </c>
      <c r="R129" s="4">
        <v>0</v>
      </c>
      <c r="S129" s="4">
        <v>0</v>
      </c>
      <c r="T129" s="4">
        <v>24</v>
      </c>
      <c r="U129" s="4">
        <v>67</v>
      </c>
      <c r="V129" s="43">
        <f>IF(ISERROR(VLOOKUP($S$129,'TAR FIN'!$A$1:$O$100,15,0)),0,VLOOKUP($S$129,'TAR FIN'!$A$1:$O$100,15,0))</f>
        <v>0</v>
      </c>
      <c r="W129" s="43">
        <f>IF(ISERROR(VLOOKUP($T$129,'TAR FIN'!$A$1:$O$100,15,0)),0,VLOOKUP($T$129,'TAR FIN'!$A$1:$O$100,15,0))*(1-0.04)</f>
        <v>906.05759999999987</v>
      </c>
      <c r="X129" s="43">
        <f>IF(ISERROR(VLOOKUP($U$129,'TAR FIN'!$A$1:$O$100,15,0)),0,VLOOKUP($U$129,'TAR FIN'!$A$1:$O$100,15,0))*(1-0.04)</f>
        <v>351.93600000000004</v>
      </c>
      <c r="Y129" s="43"/>
      <c r="Z129" s="43">
        <f ca="1">('TUSD BE'!$AM$21+'TUSD BF'!$AM$21+'TUSD CVA'!$AM$21)*1*(1-0.02)</f>
        <v>910.29360198079769</v>
      </c>
      <c r="AA129" s="43">
        <f>('TE BE'!$AA$7+'TE BF'!$AA$7+'TE CVA'!$AA$7)*1*(1-0.02)</f>
        <v>377.75625501595869</v>
      </c>
      <c r="AB129" s="43">
        <f>(SUBSIDIO!$J$129*SUBSIDIO!$V$129)*(0.04)/(1-0.04)</f>
        <v>0</v>
      </c>
      <c r="AC129" s="43">
        <f>((SUBSIDIO!$L$129*SUBSIDIO!$W$129)+(SUBSIDIO!$N$129*SUBSIDIO!$X$129))*(0.04)/(1-0.04)</f>
        <v>444.59590480000003</v>
      </c>
      <c r="AD129" s="43">
        <f>(SUBSIDIO!$J$129*SUBSIDIO!$Y$129)*(0.02)/(1-0.02)</f>
        <v>0</v>
      </c>
      <c r="AE129" s="43">
        <f ca="1">((SUBSIDIO!$L$129*SUBSIDIO!$Z$129)+(SUBSIDIO!$N$129*SUBSIDIO!$AA$129))*(0.02)/(1-0.02)</f>
        <v>222.96405891931605</v>
      </c>
      <c r="AF129" s="4" t="s">
        <v>914</v>
      </c>
    </row>
    <row r="130" spans="1:32" ht="11.25" customHeight="1" x14ac:dyDescent="0.25">
      <c r="A130" s="4" t="s">
        <v>21</v>
      </c>
      <c r="B130" s="4" t="s">
        <v>39</v>
      </c>
      <c r="C130" s="4" t="s">
        <v>41</v>
      </c>
      <c r="D130" s="4" t="s">
        <v>44</v>
      </c>
      <c r="E130" s="4" t="s">
        <v>25</v>
      </c>
      <c r="F130" s="4" t="s">
        <v>25</v>
      </c>
      <c r="G130" s="4" t="s">
        <v>25</v>
      </c>
      <c r="H130" s="4" t="s">
        <v>34</v>
      </c>
      <c r="I130" s="5">
        <v>44470</v>
      </c>
      <c r="J130" s="6">
        <v>0</v>
      </c>
      <c r="K130" s="43">
        <v>0</v>
      </c>
      <c r="L130" s="6">
        <v>7.4420000000000002</v>
      </c>
      <c r="M130" s="43">
        <v>7.4420000000000002</v>
      </c>
      <c r="N130" s="6">
        <v>7.4420000000000002</v>
      </c>
      <c r="O130" s="43">
        <v>7.4420000000000002</v>
      </c>
      <c r="P130" s="6">
        <v>0</v>
      </c>
      <c r="Q130" s="4" t="s">
        <v>26</v>
      </c>
      <c r="R130" s="4">
        <v>0</v>
      </c>
      <c r="S130" s="4">
        <v>0</v>
      </c>
      <c r="T130" s="4">
        <v>24</v>
      </c>
      <c r="U130" s="4">
        <v>67</v>
      </c>
      <c r="V130" s="43">
        <f>IF(ISERROR(VLOOKUP($S$130,'TAR FIN'!$A$1:$O$100,15,0)),0,VLOOKUP($S$130,'TAR FIN'!$A$1:$O$100,15,0))</f>
        <v>0</v>
      </c>
      <c r="W130" s="43">
        <f>IF(ISERROR(VLOOKUP($T$130,'TAR FIN'!$A$1:$O$100,15,0)),0,VLOOKUP($T$130,'TAR FIN'!$A$1:$O$100,15,0))*(1-0.04)</f>
        <v>906.05759999999987</v>
      </c>
      <c r="X130" s="43">
        <f>IF(ISERROR(VLOOKUP($U$130,'TAR FIN'!$A$1:$O$100,15,0)),0,VLOOKUP($U$130,'TAR FIN'!$A$1:$O$100,15,0))*(1-0.04)</f>
        <v>351.93600000000004</v>
      </c>
      <c r="Y130" s="43"/>
      <c r="Z130" s="43">
        <f ca="1">('TUSD BE'!$AM$21+'TUSD BF'!$AM$21+'TUSD CVA'!$AM$21)*1*(1-0.02)</f>
        <v>910.29360198079769</v>
      </c>
      <c r="AA130" s="43">
        <f>('TE BE'!$AA$7+'TE BF'!$AA$7+'TE CVA'!$AA$7)*1*(1-0.02)</f>
        <v>377.75625501595869</v>
      </c>
      <c r="AB130" s="43">
        <f>(SUBSIDIO!$J$130*SUBSIDIO!$V$130)*(0.04)/(1-0.04)</f>
        <v>0</v>
      </c>
      <c r="AC130" s="43">
        <f>((SUBSIDIO!$L$130*SUBSIDIO!$W$130)+(SUBSIDIO!$N$130*SUBSIDIO!$X$130))*(0.04)/(1-0.04)</f>
        <v>390.08284879999997</v>
      </c>
      <c r="AD130" s="43">
        <f>(SUBSIDIO!$J$130*SUBSIDIO!$Y$130)*(0.02)/(1-0.02)</f>
        <v>0</v>
      </c>
      <c r="AE130" s="43">
        <f ca="1">((SUBSIDIO!$L$130*SUBSIDIO!$Z$130)+(SUBSIDIO!$N$130*SUBSIDIO!$AA$130))*(0.02)/(1-0.02)</f>
        <v>195.62585787285431</v>
      </c>
      <c r="AF130" s="4" t="s">
        <v>914</v>
      </c>
    </row>
    <row r="131" spans="1:32" ht="11.25" customHeight="1" x14ac:dyDescent="0.25">
      <c r="A131" s="4" t="s">
        <v>21</v>
      </c>
      <c r="B131" s="4" t="s">
        <v>39</v>
      </c>
      <c r="C131" s="4" t="s">
        <v>41</v>
      </c>
      <c r="D131" s="4" t="s">
        <v>44</v>
      </c>
      <c r="E131" s="4" t="s">
        <v>25</v>
      </c>
      <c r="F131" s="4" t="s">
        <v>25</v>
      </c>
      <c r="G131" s="4" t="s">
        <v>25</v>
      </c>
      <c r="H131" s="4" t="s">
        <v>34</v>
      </c>
      <c r="I131" s="5">
        <v>44501</v>
      </c>
      <c r="J131" s="6">
        <v>0</v>
      </c>
      <c r="K131" s="43">
        <v>0</v>
      </c>
      <c r="L131" s="6">
        <v>6.782</v>
      </c>
      <c r="M131" s="43">
        <v>6.782</v>
      </c>
      <c r="N131" s="6">
        <v>6.782</v>
      </c>
      <c r="O131" s="43">
        <v>6.782</v>
      </c>
      <c r="P131" s="6">
        <v>0</v>
      </c>
      <c r="Q131" s="4" t="s">
        <v>26</v>
      </c>
      <c r="R131" s="4">
        <v>0</v>
      </c>
      <c r="S131" s="4">
        <v>0</v>
      </c>
      <c r="T131" s="4">
        <v>24</v>
      </c>
      <c r="U131" s="4">
        <v>67</v>
      </c>
      <c r="V131" s="43">
        <f>IF(ISERROR(VLOOKUP($S$131,'TAR FIN'!$A$1:$O$100,15,0)),0,VLOOKUP($S$131,'TAR FIN'!$A$1:$O$100,15,0))</f>
        <v>0</v>
      </c>
      <c r="W131" s="43">
        <f>IF(ISERROR(VLOOKUP($T$131,'TAR FIN'!$A$1:$O$100,15,0)),0,VLOOKUP($T$131,'TAR FIN'!$A$1:$O$100,15,0))*(1-0.04)</f>
        <v>906.05759999999987</v>
      </c>
      <c r="X131" s="43">
        <f>IF(ISERROR(VLOOKUP($U$131,'TAR FIN'!$A$1:$O$100,15,0)),0,VLOOKUP($U$131,'TAR FIN'!$A$1:$O$100,15,0))*(1-0.04)</f>
        <v>351.93600000000004</v>
      </c>
      <c r="Y131" s="43"/>
      <c r="Z131" s="43">
        <f ca="1">('TUSD BE'!$AM$21+'TUSD BF'!$AM$21+'TUSD CVA'!$AM$21)*1*(1-0.02)</f>
        <v>910.29360198079769</v>
      </c>
      <c r="AA131" s="43">
        <f>('TE BE'!$AA$7+'TE BF'!$AA$7+'TE CVA'!$AA$7)*1*(1-0.02)</f>
        <v>377.75625501595869</v>
      </c>
      <c r="AB131" s="43">
        <f>(SUBSIDIO!$J$131*SUBSIDIO!$V$131)*(0.04)/(1-0.04)</f>
        <v>0</v>
      </c>
      <c r="AC131" s="43">
        <f>((SUBSIDIO!$L$131*SUBSIDIO!$W$131)+(SUBSIDIO!$N$131*SUBSIDIO!$X$131))*(0.04)/(1-0.04)</f>
        <v>355.48802479999995</v>
      </c>
      <c r="AD131" s="43">
        <f>(SUBSIDIO!$J$131*SUBSIDIO!$Y$131)*(0.02)/(1-0.02)</f>
        <v>0</v>
      </c>
      <c r="AE131" s="43">
        <f ca="1">((SUBSIDIO!$L$131*SUBSIDIO!$Z$131)+(SUBSIDIO!$N$131*SUBSIDIO!$AA$131))*(0.02)/(1-0.02)</f>
        <v>178.27661490106127</v>
      </c>
      <c r="AF131" s="4" t="s">
        <v>914</v>
      </c>
    </row>
    <row r="132" spans="1:32" ht="11.25" customHeight="1" x14ac:dyDescent="0.25">
      <c r="A132" s="4" t="s">
        <v>21</v>
      </c>
      <c r="B132" s="4" t="s">
        <v>39</v>
      </c>
      <c r="C132" s="4" t="s">
        <v>41</v>
      </c>
      <c r="D132" s="4" t="s">
        <v>44</v>
      </c>
      <c r="E132" s="4" t="s">
        <v>25</v>
      </c>
      <c r="F132" s="4" t="s">
        <v>25</v>
      </c>
      <c r="G132" s="4" t="s">
        <v>25</v>
      </c>
      <c r="H132" s="4" t="s">
        <v>34</v>
      </c>
      <c r="I132" s="5">
        <v>44531</v>
      </c>
      <c r="J132" s="6">
        <v>0</v>
      </c>
      <c r="K132" s="43">
        <v>0</v>
      </c>
      <c r="L132" s="6">
        <v>9.6020000000000003</v>
      </c>
      <c r="M132" s="43">
        <v>9.6020000000000003</v>
      </c>
      <c r="N132" s="6">
        <v>9.6020000000000003</v>
      </c>
      <c r="O132" s="43">
        <v>9.6020000000000003</v>
      </c>
      <c r="P132" s="6">
        <v>0</v>
      </c>
      <c r="Q132" s="4" t="s">
        <v>26</v>
      </c>
      <c r="R132" s="4">
        <v>0</v>
      </c>
      <c r="S132" s="4">
        <v>0</v>
      </c>
      <c r="T132" s="4">
        <v>24</v>
      </c>
      <c r="U132" s="4">
        <v>67</v>
      </c>
      <c r="V132" s="43">
        <f>IF(ISERROR(VLOOKUP($S$132,'TAR FIN'!$A$1:$O$100,15,0)),0,VLOOKUP($S$132,'TAR FIN'!$A$1:$O$100,15,0))</f>
        <v>0</v>
      </c>
      <c r="W132" s="43">
        <f>IF(ISERROR(VLOOKUP($T$132,'TAR FIN'!$A$1:$O$100,15,0)),0,VLOOKUP($T$132,'TAR FIN'!$A$1:$O$100,15,0))*(1-0.04)</f>
        <v>906.05759999999987</v>
      </c>
      <c r="X132" s="43">
        <f>IF(ISERROR(VLOOKUP($U$132,'TAR FIN'!$A$1:$O$100,15,0)),0,VLOOKUP($U$132,'TAR FIN'!$A$1:$O$100,15,0))*(1-0.04)</f>
        <v>351.93600000000004</v>
      </c>
      <c r="Y132" s="43"/>
      <c r="Z132" s="43">
        <f ca="1">('TUSD BE'!$AM$21+'TUSD BF'!$AM$21+'TUSD CVA'!$AM$21)*1*(1-0.02)</f>
        <v>910.29360198079769</v>
      </c>
      <c r="AA132" s="43">
        <f>('TE BE'!$AA$7+'TE BF'!$AA$7+'TE CVA'!$AA$7)*1*(1-0.02)</f>
        <v>377.75625501595869</v>
      </c>
      <c r="AB132" s="43">
        <f>(SUBSIDIO!$J$132*SUBSIDIO!$V$132)*(0.04)/(1-0.04)</f>
        <v>0</v>
      </c>
      <c r="AC132" s="43">
        <f>((SUBSIDIO!$L$132*SUBSIDIO!$W$132)+(SUBSIDIO!$N$132*SUBSIDIO!$X$132))*(0.04)/(1-0.04)</f>
        <v>503.30227280000003</v>
      </c>
      <c r="AD132" s="43">
        <f>(SUBSIDIO!$J$132*SUBSIDIO!$Y$132)*(0.02)/(1-0.02)</f>
        <v>0</v>
      </c>
      <c r="AE132" s="43">
        <f ca="1">((SUBSIDIO!$L$132*SUBSIDIO!$Z$132)+(SUBSIDIO!$N$132*SUBSIDIO!$AA$132))*(0.02)/(1-0.02)</f>
        <v>252.40519850781337</v>
      </c>
      <c r="AF132" s="4" t="s">
        <v>914</v>
      </c>
    </row>
    <row r="133" spans="1:32" ht="11.25" customHeight="1" x14ac:dyDescent="0.25">
      <c r="A133" s="4" t="s">
        <v>55</v>
      </c>
      <c r="B133" s="4" t="s">
        <v>39</v>
      </c>
      <c r="C133" s="4" t="s">
        <v>41</v>
      </c>
      <c r="D133" s="4" t="s">
        <v>44</v>
      </c>
      <c r="E133" s="4" t="s">
        <v>25</v>
      </c>
      <c r="F133" s="4" t="s">
        <v>25</v>
      </c>
      <c r="G133" s="4" t="s">
        <v>25</v>
      </c>
      <c r="H133" s="4" t="s">
        <v>34</v>
      </c>
      <c r="I133" s="5">
        <v>44562</v>
      </c>
      <c r="J133" s="6">
        <v>0</v>
      </c>
      <c r="K133" s="43">
        <v>0</v>
      </c>
      <c r="L133" s="6">
        <v>9.6020000000000003</v>
      </c>
      <c r="M133" s="43">
        <v>9.6020000000000003</v>
      </c>
      <c r="N133" s="6">
        <v>9.6020000000000003</v>
      </c>
      <c r="O133" s="43">
        <v>9.6020000000000003</v>
      </c>
      <c r="P133" s="6">
        <v>0</v>
      </c>
      <c r="Q133" s="4" t="s">
        <v>26</v>
      </c>
      <c r="R133" s="4">
        <v>0</v>
      </c>
      <c r="S133" s="4">
        <v>0</v>
      </c>
      <c r="T133" s="4">
        <v>24</v>
      </c>
      <c r="U133" s="4">
        <v>67</v>
      </c>
      <c r="V133" s="43">
        <f>IF(ISERROR(VLOOKUP($S$133,'TAR FIN'!$A$1:$O$100,15,0)),0,VLOOKUP($S$133,'TAR FIN'!$A$1:$O$100,15,0))</f>
        <v>0</v>
      </c>
      <c r="W133" s="43">
        <f>IF(ISERROR(VLOOKUP($T$133,'TAR FIN'!$A$1:$O$100,15,0)),0,VLOOKUP($T$133,'TAR FIN'!$A$1:$O$100,15,0))*(1-0.04)</f>
        <v>906.05759999999987</v>
      </c>
      <c r="X133" s="43">
        <f>IF(ISERROR(VLOOKUP($U$133,'TAR FIN'!$A$1:$O$100,15,0)),0,VLOOKUP($U$133,'TAR FIN'!$A$1:$O$100,15,0))*(1-0.04)</f>
        <v>351.93600000000004</v>
      </c>
      <c r="Y133" s="43"/>
      <c r="Z133" s="43">
        <f ca="1">('TUSD BE'!$AM$21+'TUSD BF'!$AM$21+'TUSD CVA'!$AM$21)*1*(1-0.02)</f>
        <v>910.29360198079769</v>
      </c>
      <c r="AA133" s="43">
        <f>('TE BE'!$AA$7+'TE BF'!$AA$7+'TE CVA'!$AA$7)*1*(1-0.02)</f>
        <v>377.75625501595869</v>
      </c>
      <c r="AB133" s="43">
        <f>(SUBSIDIO!$J$133*SUBSIDIO!$V$133)*(0.04)/(1-0.04)</f>
        <v>0</v>
      </c>
      <c r="AC133" s="43">
        <f>((SUBSIDIO!$L$133*SUBSIDIO!$W$133)+(SUBSIDIO!$N$133*SUBSIDIO!$X$133))*(0.04)/(1-0.04)</f>
        <v>503.30227280000003</v>
      </c>
      <c r="AD133" s="43">
        <f>(SUBSIDIO!$J$133*SUBSIDIO!$Y$133)*(0.02)/(1-0.02)</f>
        <v>0</v>
      </c>
      <c r="AE133" s="43">
        <f ca="1">((SUBSIDIO!$L$133*SUBSIDIO!$Z$133)+(SUBSIDIO!$N$133*SUBSIDIO!$AA$133))*(0.02)/(1-0.02)</f>
        <v>252.40519850781337</v>
      </c>
      <c r="AF133" s="4" t="s">
        <v>914</v>
      </c>
    </row>
    <row r="134" spans="1:32" ht="11.25" customHeight="1" x14ac:dyDescent="0.25">
      <c r="A134" s="4" t="s">
        <v>21</v>
      </c>
      <c r="B134" s="4" t="s">
        <v>39</v>
      </c>
      <c r="C134" s="4" t="s">
        <v>41</v>
      </c>
      <c r="D134" s="4" t="s">
        <v>49</v>
      </c>
      <c r="E134" s="4" t="s">
        <v>50</v>
      </c>
      <c r="F134" s="4" t="s">
        <v>25</v>
      </c>
      <c r="G134" s="4" t="s">
        <v>25</v>
      </c>
      <c r="H134" s="4" t="s">
        <v>35</v>
      </c>
      <c r="I134" s="5">
        <v>44228</v>
      </c>
      <c r="J134" s="6">
        <v>0</v>
      </c>
      <c r="K134" s="43">
        <v>0</v>
      </c>
      <c r="L134" s="6">
        <v>165.36600000000001</v>
      </c>
      <c r="M134" s="43">
        <v>165.36600000000001</v>
      </c>
      <c r="N134" s="6">
        <v>165.36600000000001</v>
      </c>
      <c r="O134" s="43">
        <v>165.36600000000001</v>
      </c>
      <c r="P134" s="6">
        <v>0</v>
      </c>
      <c r="Q134" s="4" t="s">
        <v>26</v>
      </c>
      <c r="R134" s="4">
        <v>0</v>
      </c>
      <c r="S134" s="4">
        <v>0</v>
      </c>
      <c r="T134" s="4">
        <v>25</v>
      </c>
      <c r="U134" s="4">
        <v>68</v>
      </c>
      <c r="V134" s="43">
        <f>IF(ISERROR(VLOOKUP($S$134,'TAR FIN'!$A$1:$O$100,15,0)),0,VLOOKUP($S$134,'TAR FIN'!$A$1:$O$100,15,0))</f>
        <v>0</v>
      </c>
      <c r="W134" s="43">
        <f>IF(ISERROR(VLOOKUP($T$134,'TAR FIN'!$A$1:$O$100,15,0)),0,VLOOKUP($T$134,'TAR FIN'!$A$1:$O$100,15,0))*(1-0.06)</f>
        <v>41.030999999999999</v>
      </c>
      <c r="X134" s="43">
        <f>IF(ISERROR(VLOOKUP($U$134,'TAR FIN'!$A$1:$O$100,15,0)),0,VLOOKUP($U$134,'TAR FIN'!$A$1:$O$100,15,0))*(1-0.06)</f>
        <v>205.88819999999998</v>
      </c>
      <c r="Y134" s="43"/>
      <c r="Z134" s="43">
        <f ca="1">('TUSD BE'!$AM$22+'TUSD BF'!$AM$22+'TUSD CVA'!$AM$22)*1*(1-0.03)</f>
        <v>48.293429791201078</v>
      </c>
      <c r="AA134" s="43">
        <f>('TE BE'!$AA$8+'TE BF'!$AA$8+'TE CVA'!$AA$8)*1*(1-0.03)</f>
        <v>231.39425553651549</v>
      </c>
      <c r="AB134" s="43">
        <f>(SUBSIDIO!$J$134*SUBSIDIO!$V$134)*(0.06)/(1-0.06)</f>
        <v>0</v>
      </c>
      <c r="AC134" s="43">
        <f>((SUBSIDIO!$L$134*SUBSIDIO!$W$134)+(SUBSIDIO!$N$134*SUBSIDIO!$X$134))*(0.06)/(1-0.06)</f>
        <v>2606.3004528000001</v>
      </c>
      <c r="AD134" s="43">
        <f>(SUBSIDIO!$J$134*SUBSIDIO!$Y$134)*(0.03)/(1-0.03)</f>
        <v>0</v>
      </c>
      <c r="AE134" s="43">
        <f ca="1">((SUBSIDIO!$L$134*SUBSIDIO!$Z$134)+(SUBSIDIO!$N$134*SUBSIDIO!$AA$134))*(0.03)/(1-0.03)</f>
        <v>1430.4381578939126</v>
      </c>
      <c r="AF134" s="4" t="s">
        <v>913</v>
      </c>
    </row>
    <row r="135" spans="1:32" ht="11.25" customHeight="1" x14ac:dyDescent="0.25">
      <c r="A135" s="4" t="s">
        <v>21</v>
      </c>
      <c r="B135" s="4" t="s">
        <v>39</v>
      </c>
      <c r="C135" s="4" t="s">
        <v>41</v>
      </c>
      <c r="D135" s="4" t="s">
        <v>49</v>
      </c>
      <c r="E135" s="4" t="s">
        <v>50</v>
      </c>
      <c r="F135" s="4" t="s">
        <v>25</v>
      </c>
      <c r="G135" s="4" t="s">
        <v>25</v>
      </c>
      <c r="H135" s="4" t="s">
        <v>35</v>
      </c>
      <c r="I135" s="5">
        <v>44256</v>
      </c>
      <c r="J135" s="6">
        <v>0</v>
      </c>
      <c r="K135" s="43">
        <v>0</v>
      </c>
      <c r="L135" s="6">
        <v>182.43700000000001</v>
      </c>
      <c r="M135" s="43">
        <v>182.43700000000001</v>
      </c>
      <c r="N135" s="6">
        <v>182.43700000000001</v>
      </c>
      <c r="O135" s="43">
        <v>182.43700000000001</v>
      </c>
      <c r="P135" s="6">
        <v>0</v>
      </c>
      <c r="Q135" s="4" t="s">
        <v>26</v>
      </c>
      <c r="R135" s="4">
        <v>0</v>
      </c>
      <c r="S135" s="4">
        <v>0</v>
      </c>
      <c r="T135" s="4">
        <v>25</v>
      </c>
      <c r="U135" s="4">
        <v>68</v>
      </c>
      <c r="V135" s="43">
        <f>IF(ISERROR(VLOOKUP($S$135,'TAR FIN'!$A$1:$O$100,15,0)),0,VLOOKUP($S$135,'TAR FIN'!$A$1:$O$100,15,0))</f>
        <v>0</v>
      </c>
      <c r="W135" s="43">
        <f>IF(ISERROR(VLOOKUP($T$135,'TAR FIN'!$A$1:$O$100,15,0)),0,VLOOKUP($T$135,'TAR FIN'!$A$1:$O$100,15,0))*(1-0.06)</f>
        <v>41.030999999999999</v>
      </c>
      <c r="X135" s="43">
        <f>IF(ISERROR(VLOOKUP($U$135,'TAR FIN'!$A$1:$O$100,15,0)),0,VLOOKUP($U$135,'TAR FIN'!$A$1:$O$100,15,0))*(1-0.06)</f>
        <v>205.88819999999998</v>
      </c>
      <c r="Y135" s="43"/>
      <c r="Z135" s="43">
        <f ca="1">('TUSD BE'!$AM$22+'TUSD BF'!$AM$22+'TUSD CVA'!$AM$22)*1*(1-0.03)</f>
        <v>48.293429791201078</v>
      </c>
      <c r="AA135" s="43">
        <f>('TE BE'!$AA$8+'TE BF'!$AA$8+'TE CVA'!$AA$8)*1*(1-0.03)</f>
        <v>231.39425553651549</v>
      </c>
      <c r="AB135" s="43">
        <f>(SUBSIDIO!$J$135*SUBSIDIO!$V$135)*(0.06)/(1-0.06)</f>
        <v>0</v>
      </c>
      <c r="AC135" s="43">
        <f>((SUBSIDIO!$L$135*SUBSIDIO!$W$135)+(SUBSIDIO!$N$135*SUBSIDIO!$X$135))*(0.06)/(1-0.06)</f>
        <v>2875.3530696000003</v>
      </c>
      <c r="AD135" s="43">
        <f>(SUBSIDIO!$J$135*SUBSIDIO!$Y$135)*(0.03)/(1-0.03)</f>
        <v>0</v>
      </c>
      <c r="AE135" s="43">
        <f ca="1">((SUBSIDIO!$L$135*SUBSIDIO!$Z$135)+(SUBSIDIO!$N$135*SUBSIDIO!$AA$135))*(0.03)/(1-0.03)</f>
        <v>1578.1046056123496</v>
      </c>
      <c r="AF135" s="4" t="s">
        <v>913</v>
      </c>
    </row>
    <row r="136" spans="1:32" ht="11.25" customHeight="1" x14ac:dyDescent="0.25">
      <c r="A136" s="4" t="s">
        <v>21</v>
      </c>
      <c r="B136" s="4" t="s">
        <v>39</v>
      </c>
      <c r="C136" s="4" t="s">
        <v>41</v>
      </c>
      <c r="D136" s="4" t="s">
        <v>49</v>
      </c>
      <c r="E136" s="4" t="s">
        <v>50</v>
      </c>
      <c r="F136" s="4" t="s">
        <v>25</v>
      </c>
      <c r="G136" s="4" t="s">
        <v>25</v>
      </c>
      <c r="H136" s="4" t="s">
        <v>35</v>
      </c>
      <c r="I136" s="5">
        <v>44287</v>
      </c>
      <c r="J136" s="6">
        <v>0</v>
      </c>
      <c r="K136" s="43">
        <v>0</v>
      </c>
      <c r="L136" s="6">
        <v>187.5</v>
      </c>
      <c r="M136" s="43">
        <v>187.5</v>
      </c>
      <c r="N136" s="6">
        <v>187.5</v>
      </c>
      <c r="O136" s="43">
        <v>187.5</v>
      </c>
      <c r="P136" s="6">
        <v>0</v>
      </c>
      <c r="Q136" s="4" t="s">
        <v>26</v>
      </c>
      <c r="R136" s="4">
        <v>0</v>
      </c>
      <c r="S136" s="4">
        <v>0</v>
      </c>
      <c r="T136" s="4">
        <v>25</v>
      </c>
      <c r="U136" s="4">
        <v>68</v>
      </c>
      <c r="V136" s="43">
        <f>IF(ISERROR(VLOOKUP($S$136,'TAR FIN'!$A$1:$O$100,15,0)),0,VLOOKUP($S$136,'TAR FIN'!$A$1:$O$100,15,0))</f>
        <v>0</v>
      </c>
      <c r="W136" s="43">
        <f>IF(ISERROR(VLOOKUP($T$136,'TAR FIN'!$A$1:$O$100,15,0)),0,VLOOKUP($T$136,'TAR FIN'!$A$1:$O$100,15,0))*(1-0.06)</f>
        <v>41.030999999999999</v>
      </c>
      <c r="X136" s="43">
        <f>IF(ISERROR(VLOOKUP($U$136,'TAR FIN'!$A$1:$O$100,15,0)),0,VLOOKUP($U$136,'TAR FIN'!$A$1:$O$100,15,0))*(1-0.06)</f>
        <v>205.88819999999998</v>
      </c>
      <c r="Y136" s="43"/>
      <c r="Z136" s="43">
        <f ca="1">('TUSD BE'!$AM$22+'TUSD BF'!$AM$22+'TUSD CVA'!$AM$22)*1*(1-0.03)</f>
        <v>48.293429791201078</v>
      </c>
      <c r="AA136" s="43">
        <f>('TE BE'!$AA$8+'TE BF'!$AA$8+'TE CVA'!$AA$8)*1*(1-0.03)</f>
        <v>231.39425553651549</v>
      </c>
      <c r="AB136" s="43">
        <f>(SUBSIDIO!$J$136*SUBSIDIO!$V$136)*(0.06)/(1-0.06)</f>
        <v>0</v>
      </c>
      <c r="AC136" s="43">
        <f>((SUBSIDIO!$L$136*SUBSIDIO!$W$136)+(SUBSIDIO!$N$136*SUBSIDIO!$X$136))*(0.06)/(1-0.06)</f>
        <v>2955.15</v>
      </c>
      <c r="AD136" s="43">
        <f>(SUBSIDIO!$J$136*SUBSIDIO!$Y$136)*(0.03)/(1-0.03)</f>
        <v>0</v>
      </c>
      <c r="AE136" s="43">
        <f ca="1">((SUBSIDIO!$L$136*SUBSIDIO!$Z$136)+(SUBSIDIO!$N$136*SUBSIDIO!$AA$136))*(0.03)/(1-0.03)</f>
        <v>1621.9002370808305</v>
      </c>
      <c r="AF136" s="4" t="s">
        <v>913</v>
      </c>
    </row>
    <row r="137" spans="1:32" ht="11.25" customHeight="1" x14ac:dyDescent="0.25">
      <c r="A137" s="4" t="s">
        <v>21</v>
      </c>
      <c r="B137" s="4" t="s">
        <v>39</v>
      </c>
      <c r="C137" s="4" t="s">
        <v>41</v>
      </c>
      <c r="D137" s="4" t="s">
        <v>49</v>
      </c>
      <c r="E137" s="4" t="s">
        <v>50</v>
      </c>
      <c r="F137" s="4" t="s">
        <v>25</v>
      </c>
      <c r="G137" s="4" t="s">
        <v>25</v>
      </c>
      <c r="H137" s="4" t="s">
        <v>35</v>
      </c>
      <c r="I137" s="5">
        <v>44317</v>
      </c>
      <c r="J137" s="6">
        <v>0</v>
      </c>
      <c r="K137" s="43">
        <v>0</v>
      </c>
      <c r="L137" s="6">
        <v>178.53899999999999</v>
      </c>
      <c r="M137" s="43">
        <v>178.53899999999999</v>
      </c>
      <c r="N137" s="6">
        <v>178.53899999999999</v>
      </c>
      <c r="O137" s="43">
        <v>178.53899999999999</v>
      </c>
      <c r="P137" s="6">
        <v>0</v>
      </c>
      <c r="Q137" s="4" t="s">
        <v>26</v>
      </c>
      <c r="R137" s="4">
        <v>0</v>
      </c>
      <c r="S137" s="4">
        <v>0</v>
      </c>
      <c r="T137" s="4">
        <v>25</v>
      </c>
      <c r="U137" s="4">
        <v>68</v>
      </c>
      <c r="V137" s="43">
        <f>IF(ISERROR(VLOOKUP($S$137,'TAR FIN'!$A$1:$O$100,15,0)),0,VLOOKUP($S$137,'TAR FIN'!$A$1:$O$100,15,0))</f>
        <v>0</v>
      </c>
      <c r="W137" s="43">
        <f>IF(ISERROR(VLOOKUP($T$137,'TAR FIN'!$A$1:$O$100,15,0)),0,VLOOKUP($T$137,'TAR FIN'!$A$1:$O$100,15,0))*(1-0.06)</f>
        <v>41.030999999999999</v>
      </c>
      <c r="X137" s="43">
        <f>IF(ISERROR(VLOOKUP($U$137,'TAR FIN'!$A$1:$O$100,15,0)),0,VLOOKUP($U$137,'TAR FIN'!$A$1:$O$100,15,0))*(1-0.06)</f>
        <v>205.88819999999998</v>
      </c>
      <c r="Y137" s="43"/>
      <c r="Z137" s="43">
        <f ca="1">('TUSD BE'!$AM$22+'TUSD BF'!$AM$22+'TUSD CVA'!$AM$22)*1*(1-0.03)</f>
        <v>48.293429791201078</v>
      </c>
      <c r="AA137" s="43">
        <f>('TE BE'!$AA$8+'TE BF'!$AA$8+'TE CVA'!$AA$8)*1*(1-0.03)</f>
        <v>231.39425553651549</v>
      </c>
      <c r="AB137" s="43">
        <f>(SUBSIDIO!$J$137*SUBSIDIO!$V$137)*(0.06)/(1-0.06)</f>
        <v>0</v>
      </c>
      <c r="AC137" s="43">
        <f>((SUBSIDIO!$L$137*SUBSIDIO!$W$137)+(SUBSIDIO!$N$137*SUBSIDIO!$X$137))*(0.06)/(1-0.06)</f>
        <v>2813.9174711999999</v>
      </c>
      <c r="AD137" s="43">
        <f>(SUBSIDIO!$J$137*SUBSIDIO!$Y$137)*(0.03)/(1-0.03)</f>
        <v>0</v>
      </c>
      <c r="AE137" s="43">
        <f ca="1">((SUBSIDIO!$L$137*SUBSIDIO!$Z$137)+(SUBSIDIO!$N$137*SUBSIDIO!$AA$137))*(0.03)/(1-0.03)</f>
        <v>1544.3863809502634</v>
      </c>
      <c r="AF137" s="4" t="s">
        <v>913</v>
      </c>
    </row>
    <row r="138" spans="1:32" ht="11.25" customHeight="1" x14ac:dyDescent="0.25">
      <c r="A138" s="4" t="s">
        <v>21</v>
      </c>
      <c r="B138" s="4" t="s">
        <v>39</v>
      </c>
      <c r="C138" s="4" t="s">
        <v>41</v>
      </c>
      <c r="D138" s="4" t="s">
        <v>49</v>
      </c>
      <c r="E138" s="4" t="s">
        <v>50</v>
      </c>
      <c r="F138" s="4" t="s">
        <v>25</v>
      </c>
      <c r="G138" s="4" t="s">
        <v>25</v>
      </c>
      <c r="H138" s="4" t="s">
        <v>35</v>
      </c>
      <c r="I138" s="5">
        <v>44348</v>
      </c>
      <c r="J138" s="6">
        <v>0</v>
      </c>
      <c r="K138" s="43">
        <v>0</v>
      </c>
      <c r="L138" s="6">
        <v>155.35400000000001</v>
      </c>
      <c r="M138" s="43">
        <v>155.35400000000001</v>
      </c>
      <c r="N138" s="6">
        <v>155.35400000000001</v>
      </c>
      <c r="O138" s="43">
        <v>155.35400000000001</v>
      </c>
      <c r="P138" s="6">
        <v>0</v>
      </c>
      <c r="Q138" s="4" t="s">
        <v>26</v>
      </c>
      <c r="R138" s="4">
        <v>0</v>
      </c>
      <c r="S138" s="4">
        <v>0</v>
      </c>
      <c r="T138" s="4">
        <v>25</v>
      </c>
      <c r="U138" s="4">
        <v>68</v>
      </c>
      <c r="V138" s="43">
        <f>IF(ISERROR(VLOOKUP($S$138,'TAR FIN'!$A$1:$O$100,15,0)),0,VLOOKUP($S$138,'TAR FIN'!$A$1:$O$100,15,0))</f>
        <v>0</v>
      </c>
      <c r="W138" s="43">
        <f>IF(ISERROR(VLOOKUP($T$138,'TAR FIN'!$A$1:$O$100,15,0)),0,VLOOKUP($T$138,'TAR FIN'!$A$1:$O$100,15,0))*(1-0.06)</f>
        <v>41.030999999999999</v>
      </c>
      <c r="X138" s="43">
        <f>IF(ISERROR(VLOOKUP($U$138,'TAR FIN'!$A$1:$O$100,15,0)),0,VLOOKUP($U$138,'TAR FIN'!$A$1:$O$100,15,0))*(1-0.06)</f>
        <v>205.88819999999998</v>
      </c>
      <c r="Y138" s="43"/>
      <c r="Z138" s="43">
        <f ca="1">('TUSD BE'!$AM$22+'TUSD BF'!$AM$22+'TUSD CVA'!$AM$22)*1*(1-0.03)</f>
        <v>48.293429791201078</v>
      </c>
      <c r="AA138" s="43">
        <f>('TE BE'!$AA$8+'TE BF'!$AA$8+'TE CVA'!$AA$8)*1*(1-0.03)</f>
        <v>231.39425553651549</v>
      </c>
      <c r="AB138" s="43">
        <f>(SUBSIDIO!$J$138*SUBSIDIO!$V$138)*(0.06)/(1-0.06)</f>
        <v>0</v>
      </c>
      <c r="AC138" s="43">
        <f>((SUBSIDIO!$L$138*SUBSIDIO!$W$138)+(SUBSIDIO!$N$138*SUBSIDIO!$X$138))*(0.06)/(1-0.06)</f>
        <v>2448.5033232000005</v>
      </c>
      <c r="AD138" s="43">
        <f>(SUBSIDIO!$J$138*SUBSIDIO!$Y$138)*(0.03)/(1-0.03)</f>
        <v>0</v>
      </c>
      <c r="AE138" s="43">
        <f ca="1">((SUBSIDIO!$L$138*SUBSIDIO!$Z$138)+(SUBSIDIO!$N$138*SUBSIDIO!$AA$138))*(0.03)/(1-0.03)</f>
        <v>1343.8330103010953</v>
      </c>
      <c r="AF138" s="4" t="s">
        <v>913</v>
      </c>
    </row>
    <row r="139" spans="1:32" ht="11.25" customHeight="1" x14ac:dyDescent="0.25">
      <c r="A139" s="4" t="s">
        <v>21</v>
      </c>
      <c r="B139" s="4" t="s">
        <v>39</v>
      </c>
      <c r="C139" s="4" t="s">
        <v>41</v>
      </c>
      <c r="D139" s="4" t="s">
        <v>49</v>
      </c>
      <c r="E139" s="4" t="s">
        <v>50</v>
      </c>
      <c r="F139" s="4" t="s">
        <v>25</v>
      </c>
      <c r="G139" s="4" t="s">
        <v>25</v>
      </c>
      <c r="H139" s="4" t="s">
        <v>35</v>
      </c>
      <c r="I139" s="5">
        <v>44378</v>
      </c>
      <c r="J139" s="6">
        <v>0</v>
      </c>
      <c r="K139" s="43">
        <v>0</v>
      </c>
      <c r="L139" s="6">
        <v>177.529</v>
      </c>
      <c r="M139" s="43">
        <v>177.529</v>
      </c>
      <c r="N139" s="6">
        <v>177.529</v>
      </c>
      <c r="O139" s="43">
        <v>177.529</v>
      </c>
      <c r="P139" s="6">
        <v>0</v>
      </c>
      <c r="Q139" s="4" t="s">
        <v>26</v>
      </c>
      <c r="R139" s="4">
        <v>0</v>
      </c>
      <c r="S139" s="4">
        <v>0</v>
      </c>
      <c r="T139" s="4">
        <v>25</v>
      </c>
      <c r="U139" s="4">
        <v>68</v>
      </c>
      <c r="V139" s="43">
        <f>IF(ISERROR(VLOOKUP($S$139,'TAR FIN'!$A$1:$O$100,15,0)),0,VLOOKUP($S$139,'TAR FIN'!$A$1:$O$100,15,0))</f>
        <v>0</v>
      </c>
      <c r="W139" s="43">
        <f>IF(ISERROR(VLOOKUP($T$139,'TAR FIN'!$A$1:$O$100,15,0)),0,VLOOKUP($T$139,'TAR FIN'!$A$1:$O$100,15,0))*(1-0.06)</f>
        <v>41.030999999999999</v>
      </c>
      <c r="X139" s="43">
        <f>IF(ISERROR(VLOOKUP($U$139,'TAR FIN'!$A$1:$O$100,15,0)),0,VLOOKUP($U$139,'TAR FIN'!$A$1:$O$100,15,0))*(1-0.06)</f>
        <v>205.88819999999998</v>
      </c>
      <c r="Y139" s="43"/>
      <c r="Z139" s="43">
        <f ca="1">('TUSD BE'!$AM$22+'TUSD BF'!$AM$22+'TUSD CVA'!$AM$22)*1*(1-0.03)</f>
        <v>48.293429791201078</v>
      </c>
      <c r="AA139" s="43">
        <f>('TE BE'!$AA$8+'TE BF'!$AA$8+'TE CVA'!$AA$8)*1*(1-0.03)</f>
        <v>231.39425553651549</v>
      </c>
      <c r="AB139" s="43">
        <f>(SUBSIDIO!$J$139*SUBSIDIO!$V$139)*(0.06)/(1-0.06)</f>
        <v>0</v>
      </c>
      <c r="AC139" s="43">
        <f>((SUBSIDIO!$L$139*SUBSIDIO!$W$139)+(SUBSIDIO!$N$139*SUBSIDIO!$X$139))*(0.06)/(1-0.06)</f>
        <v>2797.9990631999999</v>
      </c>
      <c r="AD139" s="43">
        <f>(SUBSIDIO!$J$139*SUBSIDIO!$Y$139)*(0.03)/(1-0.03)</f>
        <v>0</v>
      </c>
      <c r="AE139" s="43">
        <f ca="1">((SUBSIDIO!$L$139*SUBSIDIO!$Z$139)+(SUBSIDIO!$N$139*SUBSIDIO!$AA$139))*(0.03)/(1-0.03)</f>
        <v>1535.6497450065215</v>
      </c>
      <c r="AF139" s="4" t="s">
        <v>913</v>
      </c>
    </row>
    <row r="140" spans="1:32" ht="11.25" customHeight="1" x14ac:dyDescent="0.25">
      <c r="A140" s="4" t="s">
        <v>21</v>
      </c>
      <c r="B140" s="4" t="s">
        <v>39</v>
      </c>
      <c r="C140" s="4" t="s">
        <v>41</v>
      </c>
      <c r="D140" s="4" t="s">
        <v>49</v>
      </c>
      <c r="E140" s="4" t="s">
        <v>50</v>
      </c>
      <c r="F140" s="4" t="s">
        <v>25</v>
      </c>
      <c r="G140" s="4" t="s">
        <v>25</v>
      </c>
      <c r="H140" s="4" t="s">
        <v>35</v>
      </c>
      <c r="I140" s="5">
        <v>44409</v>
      </c>
      <c r="J140" s="6">
        <v>0</v>
      </c>
      <c r="K140" s="43">
        <v>0</v>
      </c>
      <c r="L140" s="6">
        <v>175.899</v>
      </c>
      <c r="M140" s="43">
        <v>175.899</v>
      </c>
      <c r="N140" s="6">
        <v>175.899</v>
      </c>
      <c r="O140" s="43">
        <v>175.899</v>
      </c>
      <c r="P140" s="6">
        <v>0</v>
      </c>
      <c r="Q140" s="4" t="s">
        <v>26</v>
      </c>
      <c r="R140" s="4">
        <v>0</v>
      </c>
      <c r="S140" s="4">
        <v>0</v>
      </c>
      <c r="T140" s="4">
        <v>25</v>
      </c>
      <c r="U140" s="4">
        <v>68</v>
      </c>
      <c r="V140" s="43">
        <f>IF(ISERROR(VLOOKUP($S$140,'TAR FIN'!$A$1:$O$100,15,0)),0,VLOOKUP($S$140,'TAR FIN'!$A$1:$O$100,15,0))</f>
        <v>0</v>
      </c>
      <c r="W140" s="43">
        <f>IF(ISERROR(VLOOKUP($T$140,'TAR FIN'!$A$1:$O$100,15,0)),0,VLOOKUP($T$140,'TAR FIN'!$A$1:$O$100,15,0))*(1-0.06)</f>
        <v>41.030999999999999</v>
      </c>
      <c r="X140" s="43">
        <f>IF(ISERROR(VLOOKUP($U$140,'TAR FIN'!$A$1:$O$100,15,0)),0,VLOOKUP($U$140,'TAR FIN'!$A$1:$O$100,15,0))*(1-0.06)</f>
        <v>205.88819999999998</v>
      </c>
      <c r="Y140" s="43"/>
      <c r="Z140" s="43">
        <f ca="1">('TUSD BE'!$AM$22+'TUSD BF'!$AM$22+'TUSD CVA'!$AM$22)*1*(1-0.03)</f>
        <v>48.293429791201078</v>
      </c>
      <c r="AA140" s="43">
        <f>('TE BE'!$AA$8+'TE BF'!$AA$8+'TE CVA'!$AA$8)*1*(1-0.03)</f>
        <v>231.39425553651549</v>
      </c>
      <c r="AB140" s="43">
        <f>(SUBSIDIO!$J$140*SUBSIDIO!$V$140)*(0.06)/(1-0.06)</f>
        <v>0</v>
      </c>
      <c r="AC140" s="43">
        <f>((SUBSIDIO!$L$140*SUBSIDIO!$W$140)+(SUBSIDIO!$N$140*SUBSIDIO!$X$140))*(0.06)/(1-0.06)</f>
        <v>2772.3089591999997</v>
      </c>
      <c r="AD140" s="43">
        <f>(SUBSIDIO!$J$140*SUBSIDIO!$Y$140)*(0.03)/(1-0.03)</f>
        <v>0</v>
      </c>
      <c r="AE140" s="43">
        <f ca="1">((SUBSIDIO!$L$140*SUBSIDIO!$Z$140)+(SUBSIDIO!$N$140*SUBSIDIO!$AA$140))*(0.03)/(1-0.03)</f>
        <v>1521.5500256121657</v>
      </c>
      <c r="AF140" s="4" t="s">
        <v>913</v>
      </c>
    </row>
    <row r="141" spans="1:32" ht="11.25" customHeight="1" x14ac:dyDescent="0.25">
      <c r="A141" s="4" t="s">
        <v>21</v>
      </c>
      <c r="B141" s="4" t="s">
        <v>39</v>
      </c>
      <c r="C141" s="4" t="s">
        <v>41</v>
      </c>
      <c r="D141" s="4" t="s">
        <v>49</v>
      </c>
      <c r="E141" s="4" t="s">
        <v>50</v>
      </c>
      <c r="F141" s="4" t="s">
        <v>25</v>
      </c>
      <c r="G141" s="4" t="s">
        <v>25</v>
      </c>
      <c r="H141" s="4" t="s">
        <v>35</v>
      </c>
      <c r="I141" s="5">
        <v>44440</v>
      </c>
      <c r="J141" s="6">
        <v>0</v>
      </c>
      <c r="K141" s="43">
        <v>0</v>
      </c>
      <c r="L141" s="6">
        <v>169.065</v>
      </c>
      <c r="M141" s="43">
        <v>169.065</v>
      </c>
      <c r="N141" s="6">
        <v>169.065</v>
      </c>
      <c r="O141" s="43">
        <v>169.065</v>
      </c>
      <c r="P141" s="6">
        <v>0</v>
      </c>
      <c r="Q141" s="4" t="s">
        <v>26</v>
      </c>
      <c r="R141" s="4">
        <v>0</v>
      </c>
      <c r="S141" s="4">
        <v>0</v>
      </c>
      <c r="T141" s="4">
        <v>25</v>
      </c>
      <c r="U141" s="4">
        <v>68</v>
      </c>
      <c r="V141" s="43">
        <f>IF(ISERROR(VLOOKUP($S$141,'TAR FIN'!$A$1:$O$100,15,0)),0,VLOOKUP($S$141,'TAR FIN'!$A$1:$O$100,15,0))</f>
        <v>0</v>
      </c>
      <c r="W141" s="43">
        <f>IF(ISERROR(VLOOKUP($T$141,'TAR FIN'!$A$1:$O$100,15,0)),0,VLOOKUP($T$141,'TAR FIN'!$A$1:$O$100,15,0))*(1-0.06)</f>
        <v>41.030999999999999</v>
      </c>
      <c r="X141" s="43">
        <f>IF(ISERROR(VLOOKUP($U$141,'TAR FIN'!$A$1:$O$100,15,0)),0,VLOOKUP($U$141,'TAR FIN'!$A$1:$O$100,15,0))*(1-0.06)</f>
        <v>205.88819999999998</v>
      </c>
      <c r="Y141" s="43"/>
      <c r="Z141" s="43">
        <f ca="1">('TUSD BE'!$AM$22+'TUSD BF'!$AM$22+'TUSD CVA'!$AM$22)*1*(1-0.03)</f>
        <v>48.293429791201078</v>
      </c>
      <c r="AA141" s="43">
        <f>('TE BE'!$AA$8+'TE BF'!$AA$8+'TE CVA'!$AA$8)*1*(1-0.03)</f>
        <v>231.39425553651549</v>
      </c>
      <c r="AB141" s="43">
        <f>(SUBSIDIO!$J$141*SUBSIDIO!$V$141)*(0.06)/(1-0.06)</f>
        <v>0</v>
      </c>
      <c r="AC141" s="43">
        <f>((SUBSIDIO!$L$141*SUBSIDIO!$W$141)+(SUBSIDIO!$N$141*SUBSIDIO!$X$141))*(0.06)/(1-0.06)</f>
        <v>2664.5996519999999</v>
      </c>
      <c r="AD141" s="43">
        <f>(SUBSIDIO!$J$141*SUBSIDIO!$Y$141)*(0.03)/(1-0.03)</f>
        <v>0</v>
      </c>
      <c r="AE141" s="43">
        <f ca="1">((SUBSIDIO!$L$141*SUBSIDIO!$Z$141)+(SUBSIDIO!$N$141*SUBSIDIO!$AA$141))*(0.03)/(1-0.03)</f>
        <v>1462.4350057710433</v>
      </c>
      <c r="AF141" s="4" t="s">
        <v>913</v>
      </c>
    </row>
    <row r="142" spans="1:32" ht="11.25" customHeight="1" x14ac:dyDescent="0.25">
      <c r="A142" s="4" t="s">
        <v>21</v>
      </c>
      <c r="B142" s="4" t="s">
        <v>39</v>
      </c>
      <c r="C142" s="4" t="s">
        <v>41</v>
      </c>
      <c r="D142" s="4" t="s">
        <v>49</v>
      </c>
      <c r="E142" s="4" t="s">
        <v>50</v>
      </c>
      <c r="F142" s="4" t="s">
        <v>25</v>
      </c>
      <c r="G142" s="4" t="s">
        <v>25</v>
      </c>
      <c r="H142" s="4" t="s">
        <v>35</v>
      </c>
      <c r="I142" s="5">
        <v>44470</v>
      </c>
      <c r="J142" s="6">
        <v>0</v>
      </c>
      <c r="K142" s="43">
        <v>0</v>
      </c>
      <c r="L142" s="6">
        <v>150.64099999999999</v>
      </c>
      <c r="M142" s="43">
        <v>150.64099999999999</v>
      </c>
      <c r="N142" s="6">
        <v>150.64099999999999</v>
      </c>
      <c r="O142" s="43">
        <v>150.64099999999999</v>
      </c>
      <c r="P142" s="6">
        <v>0</v>
      </c>
      <c r="Q142" s="4" t="s">
        <v>26</v>
      </c>
      <c r="R142" s="4">
        <v>0</v>
      </c>
      <c r="S142" s="4">
        <v>0</v>
      </c>
      <c r="T142" s="4">
        <v>25</v>
      </c>
      <c r="U142" s="4">
        <v>68</v>
      </c>
      <c r="V142" s="43">
        <f>IF(ISERROR(VLOOKUP($S$142,'TAR FIN'!$A$1:$O$100,15,0)),0,VLOOKUP($S$142,'TAR FIN'!$A$1:$O$100,15,0))</f>
        <v>0</v>
      </c>
      <c r="W142" s="43">
        <f>IF(ISERROR(VLOOKUP($T$142,'TAR FIN'!$A$1:$O$100,15,0)),0,VLOOKUP($T$142,'TAR FIN'!$A$1:$O$100,15,0))*(1-0.06)</f>
        <v>41.030999999999999</v>
      </c>
      <c r="X142" s="43">
        <f>IF(ISERROR(VLOOKUP($U$142,'TAR FIN'!$A$1:$O$100,15,0)),0,VLOOKUP($U$142,'TAR FIN'!$A$1:$O$100,15,0))*(1-0.06)</f>
        <v>205.88819999999998</v>
      </c>
      <c r="Y142" s="43"/>
      <c r="Z142" s="43">
        <f ca="1">('TUSD BE'!$AM$22+'TUSD BF'!$AM$22+'TUSD CVA'!$AM$22)*1*(1-0.03)</f>
        <v>48.293429791201078</v>
      </c>
      <c r="AA142" s="43">
        <f>('TE BE'!$AA$8+'TE BF'!$AA$8+'TE CVA'!$AA$8)*1*(1-0.03)</f>
        <v>231.39425553651549</v>
      </c>
      <c r="AB142" s="43">
        <f>(SUBSIDIO!$J$142*SUBSIDIO!$V$142)*(0.06)/(1-0.06)</f>
        <v>0</v>
      </c>
      <c r="AC142" s="43">
        <f>((SUBSIDIO!$L$142*SUBSIDIO!$W$142)+(SUBSIDIO!$N$142*SUBSIDIO!$X$142))*(0.06)/(1-0.06)</f>
        <v>2374.2226728000001</v>
      </c>
      <c r="AD142" s="43">
        <f>(SUBSIDIO!$J$142*SUBSIDIO!$Y$142)*(0.03)/(1-0.03)</f>
        <v>0</v>
      </c>
      <c r="AE142" s="43">
        <f ca="1">((SUBSIDIO!$L$142*SUBSIDIO!$Z$142)+(SUBSIDIO!$N$142*SUBSIDIO!$AA$142))*(0.03)/(1-0.03)</f>
        <v>1303.0649259418312</v>
      </c>
      <c r="AF142" s="4" t="s">
        <v>913</v>
      </c>
    </row>
    <row r="143" spans="1:32" ht="11.25" customHeight="1" x14ac:dyDescent="0.25">
      <c r="A143" s="4" t="s">
        <v>21</v>
      </c>
      <c r="B143" s="4" t="s">
        <v>39</v>
      </c>
      <c r="C143" s="4" t="s">
        <v>41</v>
      </c>
      <c r="D143" s="4" t="s">
        <v>49</v>
      </c>
      <c r="E143" s="4" t="s">
        <v>50</v>
      </c>
      <c r="F143" s="4" t="s">
        <v>25</v>
      </c>
      <c r="G143" s="4" t="s">
        <v>25</v>
      </c>
      <c r="H143" s="4" t="s">
        <v>35</v>
      </c>
      <c r="I143" s="5">
        <v>44501</v>
      </c>
      <c r="J143" s="6">
        <v>0</v>
      </c>
      <c r="K143" s="43">
        <v>0</v>
      </c>
      <c r="L143" s="6">
        <v>152.87100000000001</v>
      </c>
      <c r="M143" s="43">
        <v>152.87100000000001</v>
      </c>
      <c r="N143" s="6">
        <v>152.87100000000001</v>
      </c>
      <c r="O143" s="43">
        <v>152.87100000000001</v>
      </c>
      <c r="P143" s="6">
        <v>0</v>
      </c>
      <c r="Q143" s="4" t="s">
        <v>26</v>
      </c>
      <c r="R143" s="4">
        <v>0</v>
      </c>
      <c r="S143" s="4">
        <v>0</v>
      </c>
      <c r="T143" s="4">
        <v>25</v>
      </c>
      <c r="U143" s="4">
        <v>68</v>
      </c>
      <c r="V143" s="43">
        <f>IF(ISERROR(VLOOKUP($S$143,'TAR FIN'!$A$1:$O$100,15,0)),0,VLOOKUP($S$143,'TAR FIN'!$A$1:$O$100,15,0))</f>
        <v>0</v>
      </c>
      <c r="W143" s="43">
        <f>IF(ISERROR(VLOOKUP($T$143,'TAR FIN'!$A$1:$O$100,15,0)),0,VLOOKUP($T$143,'TAR FIN'!$A$1:$O$100,15,0))*(1-0.06)</f>
        <v>41.030999999999999</v>
      </c>
      <c r="X143" s="43">
        <f>IF(ISERROR(VLOOKUP($U$143,'TAR FIN'!$A$1:$O$100,15,0)),0,VLOOKUP($U$143,'TAR FIN'!$A$1:$O$100,15,0))*(1-0.06)</f>
        <v>205.88819999999998</v>
      </c>
      <c r="Y143" s="43"/>
      <c r="Z143" s="43">
        <f ca="1">('TUSD BE'!$AM$22+'TUSD BF'!$AM$22+'TUSD CVA'!$AM$22)*1*(1-0.03)</f>
        <v>48.293429791201078</v>
      </c>
      <c r="AA143" s="43">
        <f>('TE BE'!$AA$8+'TE BF'!$AA$8+'TE CVA'!$AA$8)*1*(1-0.03)</f>
        <v>231.39425553651549</v>
      </c>
      <c r="AB143" s="43">
        <f>(SUBSIDIO!$J$143*SUBSIDIO!$V$143)*(0.06)/(1-0.06)</f>
        <v>0</v>
      </c>
      <c r="AC143" s="43">
        <f>((SUBSIDIO!$L$143*SUBSIDIO!$W$143)+(SUBSIDIO!$N$143*SUBSIDIO!$X$143))*(0.06)/(1-0.06)</f>
        <v>2409.3692568000001</v>
      </c>
      <c r="AD143" s="43">
        <f>(SUBSIDIO!$J$143*SUBSIDIO!$Y$143)*(0.03)/(1-0.03)</f>
        <v>0</v>
      </c>
      <c r="AE143" s="43">
        <f ca="1">((SUBSIDIO!$L$143*SUBSIDIO!$Z$143)+(SUBSIDIO!$N$143*SUBSIDIO!$AA$143))*(0.03)/(1-0.03)</f>
        <v>1322.3547260948462</v>
      </c>
      <c r="AF143" s="4" t="s">
        <v>913</v>
      </c>
    </row>
    <row r="144" spans="1:32" ht="11.25" customHeight="1" x14ac:dyDescent="0.25">
      <c r="A144" s="4" t="s">
        <v>21</v>
      </c>
      <c r="B144" s="4" t="s">
        <v>39</v>
      </c>
      <c r="C144" s="4" t="s">
        <v>41</v>
      </c>
      <c r="D144" s="4" t="s">
        <v>49</v>
      </c>
      <c r="E144" s="4" t="s">
        <v>50</v>
      </c>
      <c r="F144" s="4" t="s">
        <v>25</v>
      </c>
      <c r="G144" s="4" t="s">
        <v>25</v>
      </c>
      <c r="H144" s="4" t="s">
        <v>35</v>
      </c>
      <c r="I144" s="5">
        <v>44531</v>
      </c>
      <c r="J144" s="6">
        <v>0</v>
      </c>
      <c r="K144" s="43">
        <v>0</v>
      </c>
      <c r="L144" s="6">
        <v>174.13800000000001</v>
      </c>
      <c r="M144" s="43">
        <v>174.13800000000001</v>
      </c>
      <c r="N144" s="6">
        <v>174.13800000000001</v>
      </c>
      <c r="O144" s="43">
        <v>174.13800000000001</v>
      </c>
      <c r="P144" s="6">
        <v>0</v>
      </c>
      <c r="Q144" s="4" t="s">
        <v>26</v>
      </c>
      <c r="R144" s="4">
        <v>0</v>
      </c>
      <c r="S144" s="4">
        <v>0</v>
      </c>
      <c r="T144" s="4">
        <v>25</v>
      </c>
      <c r="U144" s="4">
        <v>68</v>
      </c>
      <c r="V144" s="43">
        <f>IF(ISERROR(VLOOKUP($S$144,'TAR FIN'!$A$1:$O$100,15,0)),0,VLOOKUP($S$144,'TAR FIN'!$A$1:$O$100,15,0))</f>
        <v>0</v>
      </c>
      <c r="W144" s="43">
        <f>IF(ISERROR(VLOOKUP($T$144,'TAR FIN'!$A$1:$O$100,15,0)),0,VLOOKUP($T$144,'TAR FIN'!$A$1:$O$100,15,0))*(1-0.06)</f>
        <v>41.030999999999999</v>
      </c>
      <c r="X144" s="43">
        <f>IF(ISERROR(VLOOKUP($U$144,'TAR FIN'!$A$1:$O$100,15,0)),0,VLOOKUP($U$144,'TAR FIN'!$A$1:$O$100,15,0))*(1-0.06)</f>
        <v>205.88819999999998</v>
      </c>
      <c r="Y144" s="43"/>
      <c r="Z144" s="43">
        <f ca="1">('TUSD BE'!$AM$22+'TUSD BF'!$AM$22+'TUSD CVA'!$AM$22)*1*(1-0.03)</f>
        <v>48.293429791201078</v>
      </c>
      <c r="AA144" s="43">
        <f>('TE BE'!$AA$8+'TE BF'!$AA$8+'TE CVA'!$AA$8)*1*(1-0.03)</f>
        <v>231.39425553651549</v>
      </c>
      <c r="AB144" s="43">
        <f>(SUBSIDIO!$J$144*SUBSIDIO!$V$144)*(0.06)/(1-0.06)</f>
        <v>0</v>
      </c>
      <c r="AC144" s="43">
        <f>((SUBSIDIO!$L$144*SUBSIDIO!$W$144)+(SUBSIDIO!$N$144*SUBSIDIO!$X$144))*(0.06)/(1-0.06)</f>
        <v>2744.5541904000002</v>
      </c>
      <c r="AD144" s="43">
        <f>(SUBSIDIO!$J$144*SUBSIDIO!$Y$144)*(0.03)/(1-0.03)</f>
        <v>0</v>
      </c>
      <c r="AE144" s="43">
        <f ca="1">((SUBSIDIO!$L$144*SUBSIDIO!$Z$144)+(SUBSIDIO!$N$144*SUBSIDIO!$AA$144))*(0.03)/(1-0.03)</f>
        <v>1506.3171385855023</v>
      </c>
      <c r="AF144" s="4" t="s">
        <v>913</v>
      </c>
    </row>
    <row r="145" spans="1:32" ht="11.25" customHeight="1" x14ac:dyDescent="0.25">
      <c r="A145" s="4" t="s">
        <v>55</v>
      </c>
      <c r="B145" s="4" t="s">
        <v>39</v>
      </c>
      <c r="C145" s="4" t="s">
        <v>41</v>
      </c>
      <c r="D145" s="4" t="s">
        <v>49</v>
      </c>
      <c r="E145" s="4" t="s">
        <v>50</v>
      </c>
      <c r="F145" s="4" t="s">
        <v>25</v>
      </c>
      <c r="G145" s="4" t="s">
        <v>25</v>
      </c>
      <c r="H145" s="4" t="s">
        <v>35</v>
      </c>
      <c r="I145" s="5">
        <v>44562</v>
      </c>
      <c r="J145" s="6">
        <v>0</v>
      </c>
      <c r="K145" s="43">
        <v>0</v>
      </c>
      <c r="L145" s="6">
        <v>174.13800000000001</v>
      </c>
      <c r="M145" s="43">
        <v>174.13800000000001</v>
      </c>
      <c r="N145" s="6">
        <v>174.13800000000001</v>
      </c>
      <c r="O145" s="43">
        <v>174.13800000000001</v>
      </c>
      <c r="P145" s="6">
        <v>0</v>
      </c>
      <c r="Q145" s="4" t="s">
        <v>26</v>
      </c>
      <c r="R145" s="4">
        <v>0</v>
      </c>
      <c r="S145" s="4">
        <v>0</v>
      </c>
      <c r="T145" s="4">
        <v>25</v>
      </c>
      <c r="U145" s="4">
        <v>68</v>
      </c>
      <c r="V145" s="43">
        <f>IF(ISERROR(VLOOKUP($S$145,'TAR FIN'!$A$1:$O$100,15,0)),0,VLOOKUP($S$145,'TAR FIN'!$A$1:$O$100,15,0))</f>
        <v>0</v>
      </c>
      <c r="W145" s="43">
        <f>IF(ISERROR(VLOOKUP($T$145,'TAR FIN'!$A$1:$O$100,15,0)),0,VLOOKUP($T$145,'TAR FIN'!$A$1:$O$100,15,0))*(1-0.06)</f>
        <v>41.030999999999999</v>
      </c>
      <c r="X145" s="43">
        <f>IF(ISERROR(VLOOKUP($U$145,'TAR FIN'!$A$1:$O$100,15,0)),0,VLOOKUP($U$145,'TAR FIN'!$A$1:$O$100,15,0))*(1-0.06)</f>
        <v>205.88819999999998</v>
      </c>
      <c r="Y145" s="43"/>
      <c r="Z145" s="43">
        <f ca="1">('TUSD BE'!$AM$22+'TUSD BF'!$AM$22+'TUSD CVA'!$AM$22)*1*(1-0.03)</f>
        <v>48.293429791201078</v>
      </c>
      <c r="AA145" s="43">
        <f>('TE BE'!$AA$8+'TE BF'!$AA$8+'TE CVA'!$AA$8)*1*(1-0.03)</f>
        <v>231.39425553651549</v>
      </c>
      <c r="AB145" s="43">
        <f>(SUBSIDIO!$J$145*SUBSIDIO!$V$145)*(0.06)/(1-0.06)</f>
        <v>0</v>
      </c>
      <c r="AC145" s="43">
        <f>((SUBSIDIO!$L$145*SUBSIDIO!$W$145)+(SUBSIDIO!$N$145*SUBSIDIO!$X$145))*(0.06)/(1-0.06)</f>
        <v>2744.5541904000002</v>
      </c>
      <c r="AD145" s="43">
        <f>(SUBSIDIO!$J$145*SUBSIDIO!$Y$145)*(0.03)/(1-0.03)</f>
        <v>0</v>
      </c>
      <c r="AE145" s="43">
        <f ca="1">((SUBSIDIO!$L$145*SUBSIDIO!$Z$145)+(SUBSIDIO!$N$145*SUBSIDIO!$AA$145))*(0.03)/(1-0.03)</f>
        <v>1506.3171385855023</v>
      </c>
      <c r="AF145" s="4" t="s">
        <v>913</v>
      </c>
    </row>
    <row r="146" spans="1:32" ht="11.25" customHeight="1" x14ac:dyDescent="0.25">
      <c r="A146" s="4" t="s">
        <v>21</v>
      </c>
      <c r="B146" s="4" t="s">
        <v>39</v>
      </c>
      <c r="C146" s="4" t="s">
        <v>41</v>
      </c>
      <c r="D146" s="4" t="s">
        <v>49</v>
      </c>
      <c r="E146" s="4" t="s">
        <v>50</v>
      </c>
      <c r="F146" s="4" t="s">
        <v>25</v>
      </c>
      <c r="G146" s="4" t="s">
        <v>25</v>
      </c>
      <c r="H146" s="4" t="s">
        <v>25</v>
      </c>
      <c r="I146" s="5">
        <v>44228</v>
      </c>
      <c r="J146" s="6">
        <v>700</v>
      </c>
      <c r="K146" s="42">
        <v>700</v>
      </c>
      <c r="L146" s="6">
        <v>0</v>
      </c>
      <c r="M146" s="43">
        <v>0</v>
      </c>
      <c r="N146" s="6">
        <v>0</v>
      </c>
      <c r="O146" s="43">
        <v>0</v>
      </c>
      <c r="P146" s="6">
        <v>7</v>
      </c>
      <c r="Q146" s="4" t="s">
        <v>26</v>
      </c>
      <c r="R146" s="4">
        <v>0</v>
      </c>
      <c r="S146" s="4">
        <v>23</v>
      </c>
      <c r="T146" s="4">
        <v>0</v>
      </c>
      <c r="U146" s="4">
        <v>0</v>
      </c>
      <c r="V146" s="43">
        <f>IF(ISERROR(VLOOKUP($S$146,'TAR FIN'!$A$1:$O$100,15,0)),0,VLOOKUP($S$146,'TAR FIN'!$A$1:$O$100,15,0))*(1-0.06)</f>
        <v>17.371199999999998</v>
      </c>
      <c r="W146" s="43">
        <f>IF(ISERROR(VLOOKUP($T$146,'TAR FIN'!$A$1:$O$100,15,0)),0,VLOOKUP($T$146,'TAR FIN'!$A$1:$O$100,15,0))</f>
        <v>0</v>
      </c>
      <c r="X146" s="43">
        <f>IF(ISERROR(VLOOKUP($U$146,'TAR FIN'!$A$1:$O$100,15,0)),0,VLOOKUP($U$146,'TAR FIN'!$A$1:$O$100,15,0))</f>
        <v>0</v>
      </c>
      <c r="Y146" s="43">
        <f ca="1">('TUSD BE'!$AM$20+'TUSD BF'!$AM$20+'TUSD CVA'!$AM$20)*1*(1-0.03)</f>
        <v>17.321137290425</v>
      </c>
      <c r="Z146" s="43"/>
      <c r="AA146" s="43"/>
      <c r="AB146" s="43">
        <f>(SUBSIDIO!$J$146*SUBSIDIO!$V$146)*(0.06)/(1-0.06)</f>
        <v>776.15999999999985</v>
      </c>
      <c r="AC146" s="43">
        <f>((SUBSIDIO!$L$146*SUBSIDIO!$W$146)+(SUBSIDIO!$N$146*SUBSIDIO!$X$146))*(0.06)/(1-0.06)</f>
        <v>0</v>
      </c>
      <c r="AD146" s="43">
        <f ca="1">(SUBSIDIO!$J$146*SUBSIDIO!$Y$146)*(0.03)/(1-0.03)</f>
        <v>374.9936939164175</v>
      </c>
      <c r="AE146" s="43">
        <f>((SUBSIDIO!$L$146*SUBSIDIO!$Z$146)+(SUBSIDIO!$N$146*SUBSIDIO!$AA$146))*(0.03)/(1-0.03)</f>
        <v>0</v>
      </c>
      <c r="AF146" s="4" t="s">
        <v>913</v>
      </c>
    </row>
    <row r="147" spans="1:32" ht="11.25" customHeight="1" x14ac:dyDescent="0.25">
      <c r="A147" s="4" t="s">
        <v>21</v>
      </c>
      <c r="B147" s="4" t="s">
        <v>39</v>
      </c>
      <c r="C147" s="4" t="s">
        <v>41</v>
      </c>
      <c r="D147" s="4" t="s">
        <v>49</v>
      </c>
      <c r="E147" s="4" t="s">
        <v>50</v>
      </c>
      <c r="F147" s="4" t="s">
        <v>25</v>
      </c>
      <c r="G147" s="4" t="s">
        <v>25</v>
      </c>
      <c r="H147" s="4" t="s">
        <v>25</v>
      </c>
      <c r="I147" s="5">
        <v>44256</v>
      </c>
      <c r="J147" s="6">
        <v>700</v>
      </c>
      <c r="K147" s="42">
        <v>700</v>
      </c>
      <c r="L147" s="6">
        <v>0</v>
      </c>
      <c r="M147" s="43">
        <v>0</v>
      </c>
      <c r="N147" s="6">
        <v>0</v>
      </c>
      <c r="O147" s="43">
        <v>0</v>
      </c>
      <c r="P147" s="6">
        <v>7</v>
      </c>
      <c r="Q147" s="4" t="s">
        <v>26</v>
      </c>
      <c r="R147" s="4">
        <v>0</v>
      </c>
      <c r="S147" s="4">
        <v>23</v>
      </c>
      <c r="T147" s="4">
        <v>0</v>
      </c>
      <c r="U147" s="4">
        <v>0</v>
      </c>
      <c r="V147" s="43">
        <f>IF(ISERROR(VLOOKUP($S$147,'TAR FIN'!$A$1:$O$100,15,0)),0,VLOOKUP($S$147,'TAR FIN'!$A$1:$O$100,15,0))*(1-0.06)</f>
        <v>17.371199999999998</v>
      </c>
      <c r="W147" s="43">
        <f>IF(ISERROR(VLOOKUP($T$147,'TAR FIN'!$A$1:$O$100,15,0)),0,VLOOKUP($T$147,'TAR FIN'!$A$1:$O$100,15,0))</f>
        <v>0</v>
      </c>
      <c r="X147" s="43">
        <f>IF(ISERROR(VLOOKUP($U$147,'TAR FIN'!$A$1:$O$100,15,0)),0,VLOOKUP($U$147,'TAR FIN'!$A$1:$O$100,15,0))</f>
        <v>0</v>
      </c>
      <c r="Y147" s="43">
        <f ca="1">('TUSD BE'!$AM$20+'TUSD BF'!$AM$20+'TUSD CVA'!$AM$20)*1*(1-0.03)</f>
        <v>17.321137290425</v>
      </c>
      <c r="Z147" s="43"/>
      <c r="AA147" s="43"/>
      <c r="AB147" s="43">
        <f>(SUBSIDIO!$J$147*SUBSIDIO!$V$147)*(0.06)/(1-0.06)</f>
        <v>776.15999999999985</v>
      </c>
      <c r="AC147" s="43">
        <f>((SUBSIDIO!$L$147*SUBSIDIO!$W$147)+(SUBSIDIO!$N$147*SUBSIDIO!$X$147))*(0.06)/(1-0.06)</f>
        <v>0</v>
      </c>
      <c r="AD147" s="43">
        <f ca="1">(SUBSIDIO!$J$147*SUBSIDIO!$Y$147)*(0.03)/(1-0.03)</f>
        <v>374.9936939164175</v>
      </c>
      <c r="AE147" s="43">
        <f>((SUBSIDIO!$L$147*SUBSIDIO!$Z$147)+(SUBSIDIO!$N$147*SUBSIDIO!$AA$147))*(0.03)/(1-0.03)</f>
        <v>0</v>
      </c>
      <c r="AF147" s="4" t="s">
        <v>913</v>
      </c>
    </row>
    <row r="148" spans="1:32" ht="11.25" customHeight="1" x14ac:dyDescent="0.25">
      <c r="A148" s="4" t="s">
        <v>21</v>
      </c>
      <c r="B148" s="4" t="s">
        <v>39</v>
      </c>
      <c r="C148" s="4" t="s">
        <v>41</v>
      </c>
      <c r="D148" s="4" t="s">
        <v>49</v>
      </c>
      <c r="E148" s="4" t="s">
        <v>50</v>
      </c>
      <c r="F148" s="4" t="s">
        <v>25</v>
      </c>
      <c r="G148" s="4" t="s">
        <v>25</v>
      </c>
      <c r="H148" s="4" t="s">
        <v>25</v>
      </c>
      <c r="I148" s="5">
        <v>44287</v>
      </c>
      <c r="J148" s="6">
        <v>710</v>
      </c>
      <c r="K148" s="42">
        <v>710</v>
      </c>
      <c r="L148" s="6">
        <v>0</v>
      </c>
      <c r="M148" s="43">
        <v>0</v>
      </c>
      <c r="N148" s="6">
        <v>0</v>
      </c>
      <c r="O148" s="43">
        <v>0</v>
      </c>
      <c r="P148" s="6">
        <v>7</v>
      </c>
      <c r="Q148" s="4" t="s">
        <v>26</v>
      </c>
      <c r="R148" s="4">
        <v>0</v>
      </c>
      <c r="S148" s="4">
        <v>23</v>
      </c>
      <c r="T148" s="4">
        <v>0</v>
      </c>
      <c r="U148" s="4">
        <v>0</v>
      </c>
      <c r="V148" s="43">
        <f>IF(ISERROR(VLOOKUP($S$148,'TAR FIN'!$A$1:$O$100,15,0)),0,VLOOKUP($S$148,'TAR FIN'!$A$1:$O$100,15,0))*(1-0.06)</f>
        <v>17.371199999999998</v>
      </c>
      <c r="W148" s="43">
        <f>IF(ISERROR(VLOOKUP($T$148,'TAR FIN'!$A$1:$O$100,15,0)),0,VLOOKUP($T$148,'TAR FIN'!$A$1:$O$100,15,0))</f>
        <v>0</v>
      </c>
      <c r="X148" s="43">
        <f>IF(ISERROR(VLOOKUP($U$148,'TAR FIN'!$A$1:$O$100,15,0)),0,VLOOKUP($U$148,'TAR FIN'!$A$1:$O$100,15,0))</f>
        <v>0</v>
      </c>
      <c r="Y148" s="43">
        <f ca="1">('TUSD BE'!$AM$20+'TUSD BF'!$AM$20+'TUSD CVA'!$AM$20)*1*(1-0.03)</f>
        <v>17.321137290425</v>
      </c>
      <c r="Z148" s="43"/>
      <c r="AA148" s="43"/>
      <c r="AB148" s="43">
        <f>(SUBSIDIO!$J$148*SUBSIDIO!$V$148)*(0.06)/(1-0.06)</f>
        <v>787.24799999999993</v>
      </c>
      <c r="AC148" s="43">
        <f>((SUBSIDIO!$L$148*SUBSIDIO!$W$148)+(SUBSIDIO!$N$148*SUBSIDIO!$X$148))*(0.06)/(1-0.06)</f>
        <v>0</v>
      </c>
      <c r="AD148" s="43">
        <f ca="1">(SUBSIDIO!$J$148*SUBSIDIO!$Y$148)*(0.03)/(1-0.03)</f>
        <v>380.35074668665209</v>
      </c>
      <c r="AE148" s="43">
        <f>((SUBSIDIO!$L$148*SUBSIDIO!$Z$148)+(SUBSIDIO!$N$148*SUBSIDIO!$AA$148))*(0.03)/(1-0.03)</f>
        <v>0</v>
      </c>
      <c r="AF148" s="4" t="s">
        <v>913</v>
      </c>
    </row>
    <row r="149" spans="1:32" ht="11.25" customHeight="1" x14ac:dyDescent="0.25">
      <c r="A149" s="4" t="s">
        <v>21</v>
      </c>
      <c r="B149" s="4" t="s">
        <v>39</v>
      </c>
      <c r="C149" s="4" t="s">
        <v>41</v>
      </c>
      <c r="D149" s="4" t="s">
        <v>49</v>
      </c>
      <c r="E149" s="4" t="s">
        <v>50</v>
      </c>
      <c r="F149" s="4" t="s">
        <v>25</v>
      </c>
      <c r="G149" s="4" t="s">
        <v>25</v>
      </c>
      <c r="H149" s="4" t="s">
        <v>25</v>
      </c>
      <c r="I149" s="5">
        <v>44317</v>
      </c>
      <c r="J149" s="6">
        <v>703</v>
      </c>
      <c r="K149" s="42">
        <v>703</v>
      </c>
      <c r="L149" s="6">
        <v>0</v>
      </c>
      <c r="M149" s="43">
        <v>0</v>
      </c>
      <c r="N149" s="6">
        <v>0</v>
      </c>
      <c r="O149" s="43">
        <v>0</v>
      </c>
      <c r="P149" s="6">
        <v>7</v>
      </c>
      <c r="Q149" s="4" t="s">
        <v>26</v>
      </c>
      <c r="R149" s="4">
        <v>0</v>
      </c>
      <c r="S149" s="4">
        <v>23</v>
      </c>
      <c r="T149" s="4">
        <v>0</v>
      </c>
      <c r="U149" s="4">
        <v>0</v>
      </c>
      <c r="V149" s="43">
        <f>IF(ISERROR(VLOOKUP($S$149,'TAR FIN'!$A$1:$O$100,15,0)),0,VLOOKUP($S$149,'TAR FIN'!$A$1:$O$100,15,0))*(1-0.06)</f>
        <v>17.371199999999998</v>
      </c>
      <c r="W149" s="43">
        <f>IF(ISERROR(VLOOKUP($T$149,'TAR FIN'!$A$1:$O$100,15,0)),0,VLOOKUP($T$149,'TAR FIN'!$A$1:$O$100,15,0))</f>
        <v>0</v>
      </c>
      <c r="X149" s="43">
        <f>IF(ISERROR(VLOOKUP($U$149,'TAR FIN'!$A$1:$O$100,15,0)),0,VLOOKUP($U$149,'TAR FIN'!$A$1:$O$100,15,0))</f>
        <v>0</v>
      </c>
      <c r="Y149" s="43">
        <f ca="1">('TUSD BE'!$AM$20+'TUSD BF'!$AM$20+'TUSD CVA'!$AM$20)*1*(1-0.03)</f>
        <v>17.321137290425</v>
      </c>
      <c r="Z149" s="43"/>
      <c r="AA149" s="43"/>
      <c r="AB149" s="43">
        <f>(SUBSIDIO!$J$149*SUBSIDIO!$V$149)*(0.06)/(1-0.06)</f>
        <v>779.48639999999989</v>
      </c>
      <c r="AC149" s="43">
        <f>((SUBSIDIO!$L$149*SUBSIDIO!$W$149)+(SUBSIDIO!$N$149*SUBSIDIO!$X$149))*(0.06)/(1-0.06)</f>
        <v>0</v>
      </c>
      <c r="AD149" s="43">
        <f ca="1">(SUBSIDIO!$J$149*SUBSIDIO!$Y$149)*(0.03)/(1-0.03)</f>
        <v>376.60080974748786</v>
      </c>
      <c r="AE149" s="43">
        <f>((SUBSIDIO!$L$149*SUBSIDIO!$Z$149)+(SUBSIDIO!$N$149*SUBSIDIO!$AA$149))*(0.03)/(1-0.03)</f>
        <v>0</v>
      </c>
      <c r="AF149" s="4" t="s">
        <v>913</v>
      </c>
    </row>
    <row r="150" spans="1:32" ht="11.25" customHeight="1" x14ac:dyDescent="0.25">
      <c r="A150" s="4" t="s">
        <v>21</v>
      </c>
      <c r="B150" s="4" t="s">
        <v>39</v>
      </c>
      <c r="C150" s="4" t="s">
        <v>41</v>
      </c>
      <c r="D150" s="4" t="s">
        <v>49</v>
      </c>
      <c r="E150" s="4" t="s">
        <v>50</v>
      </c>
      <c r="F150" s="4" t="s">
        <v>25</v>
      </c>
      <c r="G150" s="4" t="s">
        <v>25</v>
      </c>
      <c r="H150" s="4" t="s">
        <v>25</v>
      </c>
      <c r="I150" s="5">
        <v>44348</v>
      </c>
      <c r="J150" s="6">
        <v>709</v>
      </c>
      <c r="K150" s="42">
        <v>709</v>
      </c>
      <c r="L150" s="6">
        <v>0</v>
      </c>
      <c r="M150" s="43">
        <v>0</v>
      </c>
      <c r="N150" s="6">
        <v>0</v>
      </c>
      <c r="O150" s="43">
        <v>0</v>
      </c>
      <c r="P150" s="6">
        <v>7</v>
      </c>
      <c r="Q150" s="4" t="s">
        <v>26</v>
      </c>
      <c r="R150" s="4">
        <v>0</v>
      </c>
      <c r="S150" s="4">
        <v>23</v>
      </c>
      <c r="T150" s="4">
        <v>0</v>
      </c>
      <c r="U150" s="4">
        <v>0</v>
      </c>
      <c r="V150" s="43">
        <f>IF(ISERROR(VLOOKUP($S$150,'TAR FIN'!$A$1:$O$100,15,0)),0,VLOOKUP($S$150,'TAR FIN'!$A$1:$O$100,15,0))*(1-0.06)</f>
        <v>17.371199999999998</v>
      </c>
      <c r="W150" s="43">
        <f>IF(ISERROR(VLOOKUP($T$150,'TAR FIN'!$A$1:$O$100,15,0)),0,VLOOKUP($T$150,'TAR FIN'!$A$1:$O$100,15,0))</f>
        <v>0</v>
      </c>
      <c r="X150" s="43">
        <f>IF(ISERROR(VLOOKUP($U$150,'TAR FIN'!$A$1:$O$100,15,0)),0,VLOOKUP($U$150,'TAR FIN'!$A$1:$O$100,15,0))</f>
        <v>0</v>
      </c>
      <c r="Y150" s="43">
        <f ca="1">('TUSD BE'!$AM$20+'TUSD BF'!$AM$20+'TUSD CVA'!$AM$20)*1*(1-0.03)</f>
        <v>17.321137290425</v>
      </c>
      <c r="Z150" s="43"/>
      <c r="AA150" s="43"/>
      <c r="AB150" s="43">
        <f>(SUBSIDIO!$J$150*SUBSIDIO!$V$150)*(0.06)/(1-0.06)</f>
        <v>786.13919999999985</v>
      </c>
      <c r="AC150" s="43">
        <f>((SUBSIDIO!$L$150*SUBSIDIO!$W$150)+(SUBSIDIO!$N$150*SUBSIDIO!$X$150))*(0.06)/(1-0.06)</f>
        <v>0</v>
      </c>
      <c r="AD150" s="43">
        <f ca="1">(SUBSIDIO!$J$150*SUBSIDIO!$Y$150)*(0.03)/(1-0.03)</f>
        <v>379.81504140962858</v>
      </c>
      <c r="AE150" s="43">
        <f>((SUBSIDIO!$L$150*SUBSIDIO!$Z$150)+(SUBSIDIO!$N$150*SUBSIDIO!$AA$150))*(0.03)/(1-0.03)</f>
        <v>0</v>
      </c>
      <c r="AF150" s="4" t="s">
        <v>913</v>
      </c>
    </row>
    <row r="151" spans="1:32" ht="11.25" customHeight="1" x14ac:dyDescent="0.25">
      <c r="A151" s="4" t="s">
        <v>21</v>
      </c>
      <c r="B151" s="4" t="s">
        <v>39</v>
      </c>
      <c r="C151" s="4" t="s">
        <v>41</v>
      </c>
      <c r="D151" s="4" t="s">
        <v>49</v>
      </c>
      <c r="E151" s="4" t="s">
        <v>50</v>
      </c>
      <c r="F151" s="4" t="s">
        <v>25</v>
      </c>
      <c r="G151" s="4" t="s">
        <v>25</v>
      </c>
      <c r="H151" s="4" t="s">
        <v>25</v>
      </c>
      <c r="I151" s="5">
        <v>44378</v>
      </c>
      <c r="J151" s="6">
        <v>713</v>
      </c>
      <c r="K151" s="42">
        <v>713</v>
      </c>
      <c r="L151" s="6">
        <v>0</v>
      </c>
      <c r="M151" s="43">
        <v>0</v>
      </c>
      <c r="N151" s="6">
        <v>0</v>
      </c>
      <c r="O151" s="43">
        <v>0</v>
      </c>
      <c r="P151" s="6">
        <v>7</v>
      </c>
      <c r="Q151" s="4" t="s">
        <v>26</v>
      </c>
      <c r="R151" s="4">
        <v>0</v>
      </c>
      <c r="S151" s="4">
        <v>23</v>
      </c>
      <c r="T151" s="4">
        <v>0</v>
      </c>
      <c r="U151" s="4">
        <v>0</v>
      </c>
      <c r="V151" s="43">
        <f>IF(ISERROR(VLOOKUP($S$151,'TAR FIN'!$A$1:$O$100,15,0)),0,VLOOKUP($S$151,'TAR FIN'!$A$1:$O$100,15,0))*(1-0.06)</f>
        <v>17.371199999999998</v>
      </c>
      <c r="W151" s="43">
        <f>IF(ISERROR(VLOOKUP($T$151,'TAR FIN'!$A$1:$O$100,15,0)),0,VLOOKUP($T$151,'TAR FIN'!$A$1:$O$100,15,0))</f>
        <v>0</v>
      </c>
      <c r="X151" s="43">
        <f>IF(ISERROR(VLOOKUP($U$151,'TAR FIN'!$A$1:$O$100,15,0)),0,VLOOKUP($U$151,'TAR FIN'!$A$1:$O$100,15,0))</f>
        <v>0</v>
      </c>
      <c r="Y151" s="43">
        <f ca="1">('TUSD BE'!$AM$20+'TUSD BF'!$AM$20+'TUSD CVA'!$AM$20)*1*(1-0.03)</f>
        <v>17.321137290425</v>
      </c>
      <c r="Z151" s="43"/>
      <c r="AA151" s="43"/>
      <c r="AB151" s="43">
        <f>(SUBSIDIO!$J$151*SUBSIDIO!$V$151)*(0.06)/(1-0.06)</f>
        <v>790.57439999999997</v>
      </c>
      <c r="AC151" s="43">
        <f>((SUBSIDIO!$L$151*SUBSIDIO!$W$151)+(SUBSIDIO!$N$151*SUBSIDIO!$X$151))*(0.06)/(1-0.06)</f>
        <v>0</v>
      </c>
      <c r="AD151" s="43">
        <f ca="1">(SUBSIDIO!$J$151*SUBSIDIO!$Y$151)*(0.03)/(1-0.03)</f>
        <v>381.95786251772239</v>
      </c>
      <c r="AE151" s="43">
        <f>((SUBSIDIO!$L$151*SUBSIDIO!$Z$151)+(SUBSIDIO!$N$151*SUBSIDIO!$AA$151))*(0.03)/(1-0.03)</f>
        <v>0</v>
      </c>
      <c r="AF151" s="4" t="s">
        <v>913</v>
      </c>
    </row>
    <row r="152" spans="1:32" ht="11.25" customHeight="1" x14ac:dyDescent="0.25">
      <c r="A152" s="4" t="s">
        <v>21</v>
      </c>
      <c r="B152" s="4" t="s">
        <v>39</v>
      </c>
      <c r="C152" s="4" t="s">
        <v>41</v>
      </c>
      <c r="D152" s="4" t="s">
        <v>49</v>
      </c>
      <c r="E152" s="4" t="s">
        <v>50</v>
      </c>
      <c r="F152" s="4" t="s">
        <v>25</v>
      </c>
      <c r="G152" s="4" t="s">
        <v>25</v>
      </c>
      <c r="H152" s="4" t="s">
        <v>25</v>
      </c>
      <c r="I152" s="5">
        <v>44409</v>
      </c>
      <c r="J152" s="6">
        <v>710</v>
      </c>
      <c r="K152" s="42">
        <v>710</v>
      </c>
      <c r="L152" s="6">
        <v>0</v>
      </c>
      <c r="M152" s="43">
        <v>0</v>
      </c>
      <c r="N152" s="6">
        <v>0</v>
      </c>
      <c r="O152" s="43">
        <v>0</v>
      </c>
      <c r="P152" s="6">
        <v>7</v>
      </c>
      <c r="Q152" s="4" t="s">
        <v>26</v>
      </c>
      <c r="R152" s="4">
        <v>0</v>
      </c>
      <c r="S152" s="4">
        <v>23</v>
      </c>
      <c r="T152" s="4">
        <v>0</v>
      </c>
      <c r="U152" s="4">
        <v>0</v>
      </c>
      <c r="V152" s="43">
        <f>IF(ISERROR(VLOOKUP($S$152,'TAR FIN'!$A$1:$O$100,15,0)),0,VLOOKUP($S$152,'TAR FIN'!$A$1:$O$100,15,0))*(1-0.06)</f>
        <v>17.371199999999998</v>
      </c>
      <c r="W152" s="43">
        <f>IF(ISERROR(VLOOKUP($T$152,'TAR FIN'!$A$1:$O$100,15,0)),0,VLOOKUP($T$152,'TAR FIN'!$A$1:$O$100,15,0))</f>
        <v>0</v>
      </c>
      <c r="X152" s="43">
        <f>IF(ISERROR(VLOOKUP($U$152,'TAR FIN'!$A$1:$O$100,15,0)),0,VLOOKUP($U$152,'TAR FIN'!$A$1:$O$100,15,0))</f>
        <v>0</v>
      </c>
      <c r="Y152" s="43">
        <f ca="1">('TUSD BE'!$AM$20+'TUSD BF'!$AM$20+'TUSD CVA'!$AM$20)*1*(1-0.03)</f>
        <v>17.321137290425</v>
      </c>
      <c r="Z152" s="43"/>
      <c r="AA152" s="43"/>
      <c r="AB152" s="43">
        <f>(SUBSIDIO!$J$152*SUBSIDIO!$V$152)*(0.06)/(1-0.06)</f>
        <v>787.24799999999993</v>
      </c>
      <c r="AC152" s="43">
        <f>((SUBSIDIO!$L$152*SUBSIDIO!$W$152)+(SUBSIDIO!$N$152*SUBSIDIO!$X$152))*(0.06)/(1-0.06)</f>
        <v>0</v>
      </c>
      <c r="AD152" s="43">
        <f ca="1">(SUBSIDIO!$J$152*SUBSIDIO!$Y$152)*(0.03)/(1-0.03)</f>
        <v>380.35074668665209</v>
      </c>
      <c r="AE152" s="43">
        <f>((SUBSIDIO!$L$152*SUBSIDIO!$Z$152)+(SUBSIDIO!$N$152*SUBSIDIO!$AA$152))*(0.03)/(1-0.03)</f>
        <v>0</v>
      </c>
      <c r="AF152" s="4" t="s">
        <v>913</v>
      </c>
    </row>
    <row r="153" spans="1:32" ht="11.25" customHeight="1" x14ac:dyDescent="0.25">
      <c r="A153" s="4" t="s">
        <v>21</v>
      </c>
      <c r="B153" s="4" t="s">
        <v>39</v>
      </c>
      <c r="C153" s="4" t="s">
        <v>41</v>
      </c>
      <c r="D153" s="4" t="s">
        <v>49</v>
      </c>
      <c r="E153" s="4" t="s">
        <v>50</v>
      </c>
      <c r="F153" s="4" t="s">
        <v>25</v>
      </c>
      <c r="G153" s="4" t="s">
        <v>25</v>
      </c>
      <c r="H153" s="4" t="s">
        <v>25</v>
      </c>
      <c r="I153" s="5">
        <v>44440</v>
      </c>
      <c r="J153" s="6">
        <v>771</v>
      </c>
      <c r="K153" s="42">
        <v>771</v>
      </c>
      <c r="L153" s="6">
        <v>0</v>
      </c>
      <c r="M153" s="43">
        <v>0</v>
      </c>
      <c r="N153" s="6">
        <v>0</v>
      </c>
      <c r="O153" s="43">
        <v>0</v>
      </c>
      <c r="P153" s="6">
        <v>7</v>
      </c>
      <c r="Q153" s="4" t="s">
        <v>26</v>
      </c>
      <c r="R153" s="4">
        <v>0</v>
      </c>
      <c r="S153" s="4">
        <v>23</v>
      </c>
      <c r="T153" s="4">
        <v>0</v>
      </c>
      <c r="U153" s="4">
        <v>0</v>
      </c>
      <c r="V153" s="43">
        <f>IF(ISERROR(VLOOKUP($S$153,'TAR FIN'!$A$1:$O$100,15,0)),0,VLOOKUP($S$153,'TAR FIN'!$A$1:$O$100,15,0))*(1-0.06)</f>
        <v>17.371199999999998</v>
      </c>
      <c r="W153" s="43">
        <f>IF(ISERROR(VLOOKUP($T$153,'TAR FIN'!$A$1:$O$100,15,0)),0,VLOOKUP($T$153,'TAR FIN'!$A$1:$O$100,15,0))</f>
        <v>0</v>
      </c>
      <c r="X153" s="43">
        <f>IF(ISERROR(VLOOKUP($U$153,'TAR FIN'!$A$1:$O$100,15,0)),0,VLOOKUP($U$153,'TAR FIN'!$A$1:$O$100,15,0))</f>
        <v>0</v>
      </c>
      <c r="Y153" s="43">
        <f ca="1">('TUSD BE'!$AM$20+'TUSD BF'!$AM$20+'TUSD CVA'!$AM$20)*1*(1-0.03)</f>
        <v>17.321137290425</v>
      </c>
      <c r="Z153" s="43"/>
      <c r="AA153" s="43"/>
      <c r="AB153" s="43">
        <f>(SUBSIDIO!$J$153*SUBSIDIO!$V$153)*(0.06)/(1-0.06)</f>
        <v>854.88479999999993</v>
      </c>
      <c r="AC153" s="43">
        <f>((SUBSIDIO!$L$153*SUBSIDIO!$W$153)+(SUBSIDIO!$N$153*SUBSIDIO!$X$153))*(0.06)/(1-0.06)</f>
        <v>0</v>
      </c>
      <c r="AD153" s="43">
        <f ca="1">(SUBSIDIO!$J$153*SUBSIDIO!$Y$153)*(0.03)/(1-0.03)</f>
        <v>413.02876858508273</v>
      </c>
      <c r="AE153" s="43">
        <f>((SUBSIDIO!$L$153*SUBSIDIO!$Z$153)+(SUBSIDIO!$N$153*SUBSIDIO!$AA$153))*(0.03)/(1-0.03)</f>
        <v>0</v>
      </c>
      <c r="AF153" s="4" t="s">
        <v>913</v>
      </c>
    </row>
    <row r="154" spans="1:32" ht="11.25" customHeight="1" x14ac:dyDescent="0.25">
      <c r="A154" s="4" t="s">
        <v>21</v>
      </c>
      <c r="B154" s="4" t="s">
        <v>39</v>
      </c>
      <c r="C154" s="4" t="s">
        <v>41</v>
      </c>
      <c r="D154" s="4" t="s">
        <v>49</v>
      </c>
      <c r="E154" s="4" t="s">
        <v>50</v>
      </c>
      <c r="F154" s="4" t="s">
        <v>25</v>
      </c>
      <c r="G154" s="4" t="s">
        <v>25</v>
      </c>
      <c r="H154" s="4" t="s">
        <v>25</v>
      </c>
      <c r="I154" s="5">
        <v>44470</v>
      </c>
      <c r="J154" s="6">
        <v>747</v>
      </c>
      <c r="K154" s="42">
        <v>747</v>
      </c>
      <c r="L154" s="6">
        <v>0</v>
      </c>
      <c r="M154" s="43">
        <v>0</v>
      </c>
      <c r="N154" s="6">
        <v>0</v>
      </c>
      <c r="O154" s="43">
        <v>0</v>
      </c>
      <c r="P154" s="6">
        <v>7</v>
      </c>
      <c r="Q154" s="4" t="s">
        <v>26</v>
      </c>
      <c r="R154" s="4">
        <v>0</v>
      </c>
      <c r="S154" s="4">
        <v>23</v>
      </c>
      <c r="T154" s="4">
        <v>0</v>
      </c>
      <c r="U154" s="4">
        <v>0</v>
      </c>
      <c r="V154" s="43">
        <f>IF(ISERROR(VLOOKUP($S$154,'TAR FIN'!$A$1:$O$100,15,0)),0,VLOOKUP($S$154,'TAR FIN'!$A$1:$O$100,15,0))*(1-0.06)</f>
        <v>17.371199999999998</v>
      </c>
      <c r="W154" s="43">
        <f>IF(ISERROR(VLOOKUP($T$154,'TAR FIN'!$A$1:$O$100,15,0)),0,VLOOKUP($T$154,'TAR FIN'!$A$1:$O$100,15,0))</f>
        <v>0</v>
      </c>
      <c r="X154" s="43">
        <f>IF(ISERROR(VLOOKUP($U$154,'TAR FIN'!$A$1:$O$100,15,0)),0,VLOOKUP($U$154,'TAR FIN'!$A$1:$O$100,15,0))</f>
        <v>0</v>
      </c>
      <c r="Y154" s="43">
        <f ca="1">('TUSD BE'!$AM$20+'TUSD BF'!$AM$20+'TUSD CVA'!$AM$20)*1*(1-0.03)</f>
        <v>17.321137290425</v>
      </c>
      <c r="Z154" s="43"/>
      <c r="AA154" s="43"/>
      <c r="AB154" s="43">
        <f>(SUBSIDIO!$J$154*SUBSIDIO!$V$154)*(0.06)/(1-0.06)</f>
        <v>828.27359999999987</v>
      </c>
      <c r="AC154" s="43">
        <f>((SUBSIDIO!$L$154*SUBSIDIO!$W$154)+(SUBSIDIO!$N$154*SUBSIDIO!$X$154))*(0.06)/(1-0.06)</f>
        <v>0</v>
      </c>
      <c r="AD154" s="43">
        <f ca="1">(SUBSIDIO!$J$154*SUBSIDIO!$Y$154)*(0.03)/(1-0.03)</f>
        <v>400.17184193651985</v>
      </c>
      <c r="AE154" s="43">
        <f>((SUBSIDIO!$L$154*SUBSIDIO!$Z$154)+(SUBSIDIO!$N$154*SUBSIDIO!$AA$154))*(0.03)/(1-0.03)</f>
        <v>0</v>
      </c>
      <c r="AF154" s="4" t="s">
        <v>913</v>
      </c>
    </row>
    <row r="155" spans="1:32" ht="11.25" customHeight="1" x14ac:dyDescent="0.25">
      <c r="A155" s="4" t="s">
        <v>21</v>
      </c>
      <c r="B155" s="4" t="s">
        <v>39</v>
      </c>
      <c r="C155" s="4" t="s">
        <v>41</v>
      </c>
      <c r="D155" s="4" t="s">
        <v>49</v>
      </c>
      <c r="E155" s="4" t="s">
        <v>50</v>
      </c>
      <c r="F155" s="4" t="s">
        <v>25</v>
      </c>
      <c r="G155" s="4" t="s">
        <v>25</v>
      </c>
      <c r="H155" s="4" t="s">
        <v>25</v>
      </c>
      <c r="I155" s="5">
        <v>44501</v>
      </c>
      <c r="J155" s="6">
        <v>711</v>
      </c>
      <c r="K155" s="42">
        <v>711</v>
      </c>
      <c r="L155" s="6">
        <v>0</v>
      </c>
      <c r="M155" s="43">
        <v>0</v>
      </c>
      <c r="N155" s="6">
        <v>0</v>
      </c>
      <c r="O155" s="43">
        <v>0</v>
      </c>
      <c r="P155" s="6">
        <v>7</v>
      </c>
      <c r="Q155" s="4" t="s">
        <v>26</v>
      </c>
      <c r="R155" s="4">
        <v>0</v>
      </c>
      <c r="S155" s="4">
        <v>23</v>
      </c>
      <c r="T155" s="4">
        <v>0</v>
      </c>
      <c r="U155" s="4">
        <v>0</v>
      </c>
      <c r="V155" s="43">
        <f>IF(ISERROR(VLOOKUP($S$155,'TAR FIN'!$A$1:$O$100,15,0)),0,VLOOKUP($S$155,'TAR FIN'!$A$1:$O$100,15,0))*(1-0.06)</f>
        <v>17.371199999999998</v>
      </c>
      <c r="W155" s="43">
        <f>IF(ISERROR(VLOOKUP($T$155,'TAR FIN'!$A$1:$O$100,15,0)),0,VLOOKUP($T$155,'TAR FIN'!$A$1:$O$100,15,0))</f>
        <v>0</v>
      </c>
      <c r="X155" s="43">
        <f>IF(ISERROR(VLOOKUP($U$155,'TAR FIN'!$A$1:$O$100,15,0)),0,VLOOKUP($U$155,'TAR FIN'!$A$1:$O$100,15,0))</f>
        <v>0</v>
      </c>
      <c r="Y155" s="43">
        <f ca="1">('TUSD BE'!$AM$20+'TUSD BF'!$AM$20+'TUSD CVA'!$AM$20)*1*(1-0.03)</f>
        <v>17.321137290425</v>
      </c>
      <c r="Z155" s="43"/>
      <c r="AA155" s="43"/>
      <c r="AB155" s="43">
        <f>(SUBSIDIO!$J$155*SUBSIDIO!$V$155)*(0.06)/(1-0.06)</f>
        <v>788.35680000000002</v>
      </c>
      <c r="AC155" s="43">
        <f>((SUBSIDIO!$L$155*SUBSIDIO!$W$155)+(SUBSIDIO!$N$155*SUBSIDIO!$X$155))*(0.06)/(1-0.06)</f>
        <v>0</v>
      </c>
      <c r="AD155" s="43">
        <f ca="1">(SUBSIDIO!$J$155*SUBSIDIO!$Y$155)*(0.03)/(1-0.03)</f>
        <v>380.88645196367548</v>
      </c>
      <c r="AE155" s="43">
        <f>((SUBSIDIO!$L$155*SUBSIDIO!$Z$155)+(SUBSIDIO!$N$155*SUBSIDIO!$AA$155))*(0.03)/(1-0.03)</f>
        <v>0</v>
      </c>
      <c r="AF155" s="4" t="s">
        <v>913</v>
      </c>
    </row>
    <row r="156" spans="1:32" ht="11.25" customHeight="1" x14ac:dyDescent="0.25">
      <c r="A156" s="4" t="s">
        <v>21</v>
      </c>
      <c r="B156" s="4" t="s">
        <v>39</v>
      </c>
      <c r="C156" s="4" t="s">
        <v>41</v>
      </c>
      <c r="D156" s="4" t="s">
        <v>49</v>
      </c>
      <c r="E156" s="4" t="s">
        <v>50</v>
      </c>
      <c r="F156" s="4" t="s">
        <v>25</v>
      </c>
      <c r="G156" s="4" t="s">
        <v>25</v>
      </c>
      <c r="H156" s="4" t="s">
        <v>25</v>
      </c>
      <c r="I156" s="5">
        <v>44531</v>
      </c>
      <c r="J156" s="6">
        <v>740</v>
      </c>
      <c r="K156" s="42">
        <v>740</v>
      </c>
      <c r="L156" s="6">
        <v>0</v>
      </c>
      <c r="M156" s="43">
        <v>0</v>
      </c>
      <c r="N156" s="6">
        <v>0</v>
      </c>
      <c r="O156" s="43">
        <v>0</v>
      </c>
      <c r="P156" s="6">
        <v>7</v>
      </c>
      <c r="Q156" s="4" t="s">
        <v>26</v>
      </c>
      <c r="R156" s="4">
        <v>0</v>
      </c>
      <c r="S156" s="4">
        <v>23</v>
      </c>
      <c r="T156" s="4">
        <v>0</v>
      </c>
      <c r="U156" s="4">
        <v>0</v>
      </c>
      <c r="V156" s="43">
        <f>IF(ISERROR(VLOOKUP($S$156,'TAR FIN'!$A$1:$O$100,15,0)),0,VLOOKUP($S$156,'TAR FIN'!$A$1:$O$100,15,0))*(1-0.06)</f>
        <v>17.371199999999998</v>
      </c>
      <c r="W156" s="43">
        <f>IF(ISERROR(VLOOKUP($T$156,'TAR FIN'!$A$1:$O$100,15,0)),0,VLOOKUP($T$156,'TAR FIN'!$A$1:$O$100,15,0))</f>
        <v>0</v>
      </c>
      <c r="X156" s="43">
        <f>IF(ISERROR(VLOOKUP($U$156,'TAR FIN'!$A$1:$O$100,15,0)),0,VLOOKUP($U$156,'TAR FIN'!$A$1:$O$100,15,0))</f>
        <v>0</v>
      </c>
      <c r="Y156" s="43">
        <f ca="1">('TUSD BE'!$AM$20+'TUSD BF'!$AM$20+'TUSD CVA'!$AM$20)*1*(1-0.03)</f>
        <v>17.321137290425</v>
      </c>
      <c r="Z156" s="43"/>
      <c r="AA156" s="43"/>
      <c r="AB156" s="43">
        <f>(SUBSIDIO!$J$156*SUBSIDIO!$V$156)*(0.06)/(1-0.06)</f>
        <v>820.51199999999994</v>
      </c>
      <c r="AC156" s="43">
        <f>((SUBSIDIO!$L$156*SUBSIDIO!$W$156)+(SUBSIDIO!$N$156*SUBSIDIO!$X$156))*(0.06)/(1-0.06)</f>
        <v>0</v>
      </c>
      <c r="AD156" s="43">
        <f ca="1">(SUBSIDIO!$J$156*SUBSIDIO!$Y$156)*(0.03)/(1-0.03)</f>
        <v>396.42190499735568</v>
      </c>
      <c r="AE156" s="43">
        <f>((SUBSIDIO!$L$156*SUBSIDIO!$Z$156)+(SUBSIDIO!$N$156*SUBSIDIO!$AA$156))*(0.03)/(1-0.03)</f>
        <v>0</v>
      </c>
      <c r="AF156" s="4" t="s">
        <v>913</v>
      </c>
    </row>
    <row r="157" spans="1:32" ht="11.25" customHeight="1" x14ac:dyDescent="0.25">
      <c r="A157" s="4" t="s">
        <v>55</v>
      </c>
      <c r="B157" s="4" t="s">
        <v>39</v>
      </c>
      <c r="C157" s="4" t="s">
        <v>41</v>
      </c>
      <c r="D157" s="4" t="s">
        <v>49</v>
      </c>
      <c r="E157" s="4" t="s">
        <v>50</v>
      </c>
      <c r="F157" s="4" t="s">
        <v>25</v>
      </c>
      <c r="G157" s="4" t="s">
        <v>25</v>
      </c>
      <c r="H157" s="4" t="s">
        <v>25</v>
      </c>
      <c r="I157" s="5">
        <v>44562</v>
      </c>
      <c r="J157" s="6">
        <v>740</v>
      </c>
      <c r="K157" s="42">
        <v>740</v>
      </c>
      <c r="L157" s="6">
        <v>0</v>
      </c>
      <c r="M157" s="43">
        <v>0</v>
      </c>
      <c r="N157" s="6">
        <v>0</v>
      </c>
      <c r="O157" s="43">
        <v>0</v>
      </c>
      <c r="P157" s="6">
        <v>7</v>
      </c>
      <c r="Q157" s="4" t="s">
        <v>26</v>
      </c>
      <c r="R157" s="4">
        <v>0</v>
      </c>
      <c r="S157" s="4">
        <v>23</v>
      </c>
      <c r="T157" s="4">
        <v>0</v>
      </c>
      <c r="U157" s="4">
        <v>0</v>
      </c>
      <c r="V157" s="43">
        <f>IF(ISERROR(VLOOKUP($S$157,'TAR FIN'!$A$1:$O$100,15,0)),0,VLOOKUP($S$157,'TAR FIN'!$A$1:$O$100,15,0))*(1-0.06)</f>
        <v>17.371199999999998</v>
      </c>
      <c r="W157" s="43">
        <f>IF(ISERROR(VLOOKUP($T$157,'TAR FIN'!$A$1:$O$100,15,0)),0,VLOOKUP($T$157,'TAR FIN'!$A$1:$O$100,15,0))</f>
        <v>0</v>
      </c>
      <c r="X157" s="43">
        <f>IF(ISERROR(VLOOKUP($U$157,'TAR FIN'!$A$1:$O$100,15,0)),0,VLOOKUP($U$157,'TAR FIN'!$A$1:$O$100,15,0))</f>
        <v>0</v>
      </c>
      <c r="Y157" s="43">
        <f ca="1">('TUSD BE'!$AM$20+'TUSD BF'!$AM$20+'TUSD CVA'!$AM$20)*1*(1-0.03)</f>
        <v>17.321137290425</v>
      </c>
      <c r="Z157" s="43"/>
      <c r="AA157" s="43"/>
      <c r="AB157" s="43">
        <f>(SUBSIDIO!$J$157*SUBSIDIO!$V$157)*(0.06)/(1-0.06)</f>
        <v>820.51199999999994</v>
      </c>
      <c r="AC157" s="43">
        <f>((SUBSIDIO!$L$157*SUBSIDIO!$W$157)+(SUBSIDIO!$N$157*SUBSIDIO!$X$157))*(0.06)/(1-0.06)</f>
        <v>0</v>
      </c>
      <c r="AD157" s="43">
        <f ca="1">(SUBSIDIO!$J$157*SUBSIDIO!$Y$157)*(0.03)/(1-0.03)</f>
        <v>396.42190499735568</v>
      </c>
      <c r="AE157" s="43">
        <f>((SUBSIDIO!$L$157*SUBSIDIO!$Z$157)+(SUBSIDIO!$N$157*SUBSIDIO!$AA$157))*(0.03)/(1-0.03)</f>
        <v>0</v>
      </c>
      <c r="AF157" s="4" t="s">
        <v>913</v>
      </c>
    </row>
    <row r="158" spans="1:32" ht="11.25" customHeight="1" x14ac:dyDescent="0.25">
      <c r="A158" s="4" t="s">
        <v>21</v>
      </c>
      <c r="B158" s="4" t="s">
        <v>39</v>
      </c>
      <c r="C158" s="4" t="s">
        <v>41</v>
      </c>
      <c r="D158" s="4" t="s">
        <v>49</v>
      </c>
      <c r="E158" s="4" t="s">
        <v>50</v>
      </c>
      <c r="F158" s="4" t="s">
        <v>25</v>
      </c>
      <c r="G158" s="4" t="s">
        <v>25</v>
      </c>
      <c r="H158" s="4" t="s">
        <v>34</v>
      </c>
      <c r="I158" s="5">
        <v>44228</v>
      </c>
      <c r="J158" s="6">
        <v>0</v>
      </c>
      <c r="K158" s="43">
        <v>0</v>
      </c>
      <c r="L158" s="6">
        <v>16.684999999999999</v>
      </c>
      <c r="M158" s="43">
        <v>16.684999999999999</v>
      </c>
      <c r="N158" s="6">
        <v>16.684999999999999</v>
      </c>
      <c r="O158" s="43">
        <v>16.684999999999999</v>
      </c>
      <c r="P158" s="6">
        <v>0</v>
      </c>
      <c r="Q158" s="4" t="s">
        <v>26</v>
      </c>
      <c r="R158" s="4">
        <v>0</v>
      </c>
      <c r="S158" s="4">
        <v>0</v>
      </c>
      <c r="T158" s="4">
        <v>24</v>
      </c>
      <c r="U158" s="4">
        <v>67</v>
      </c>
      <c r="V158" s="43">
        <f>IF(ISERROR(VLOOKUP($S$158,'TAR FIN'!$A$1:$O$100,15,0)),0,VLOOKUP($S$158,'TAR FIN'!$A$1:$O$100,15,0))</f>
        <v>0</v>
      </c>
      <c r="W158" s="43">
        <f>IF(ISERROR(VLOOKUP($T$158,'TAR FIN'!$A$1:$O$100,15,0)),0,VLOOKUP($T$158,'TAR FIN'!$A$1:$O$100,15,0))*(1-0.06)</f>
        <v>887.18139999999994</v>
      </c>
      <c r="X158" s="43">
        <f>IF(ISERROR(VLOOKUP($U$158,'TAR FIN'!$A$1:$O$100,15,0)),0,VLOOKUP($U$158,'TAR FIN'!$A$1:$O$100,15,0))*(1-0.06)</f>
        <v>344.60399999999998</v>
      </c>
      <c r="Y158" s="43"/>
      <c r="Z158" s="43">
        <f ca="1">('TUSD BE'!$AM$21+'TUSD BF'!$AM$21+'TUSD CVA'!$AM$21)*1*(1-0.03)</f>
        <v>901.00489175650387</v>
      </c>
      <c r="AA158" s="43">
        <f>('TE BE'!$AA$7+'TE BF'!$AA$7+'TE CVA'!$AA$7)*1*(1-0.03)</f>
        <v>373.90159935253052</v>
      </c>
      <c r="AB158" s="43">
        <f>(SUBSIDIO!$J$158*SUBSIDIO!$V$158)*(0.06)/(1-0.06)</f>
        <v>0</v>
      </c>
      <c r="AC158" s="43">
        <f>((SUBSIDIO!$L$158*SUBSIDIO!$W$158)+(SUBSIDIO!$N$158*SUBSIDIO!$X$158))*(0.06)/(1-0.06)</f>
        <v>1311.8514509999998</v>
      </c>
      <c r="AD158" s="43">
        <f>(SUBSIDIO!$J$158*SUBSIDIO!$Y$158)*(0.03)/(1-0.03)</f>
        <v>0</v>
      </c>
      <c r="AE158" s="43">
        <f ca="1">((SUBSIDIO!$L$158*SUBSIDIO!$Z$158)+(SUBSIDIO!$N$158*SUBSIDIO!$AA$158))*(0.03)/(1-0.03)</f>
        <v>657.89117950992477</v>
      </c>
      <c r="AF158" s="4" t="s">
        <v>913</v>
      </c>
    </row>
    <row r="159" spans="1:32" ht="11.25" customHeight="1" x14ac:dyDescent="0.25">
      <c r="A159" s="4" t="s">
        <v>21</v>
      </c>
      <c r="B159" s="4" t="s">
        <v>39</v>
      </c>
      <c r="C159" s="4" t="s">
        <v>41</v>
      </c>
      <c r="D159" s="4" t="s">
        <v>49</v>
      </c>
      <c r="E159" s="4" t="s">
        <v>50</v>
      </c>
      <c r="F159" s="4" t="s">
        <v>25</v>
      </c>
      <c r="G159" s="4" t="s">
        <v>25</v>
      </c>
      <c r="H159" s="4" t="s">
        <v>34</v>
      </c>
      <c r="I159" s="5">
        <v>44256</v>
      </c>
      <c r="J159" s="6">
        <v>0</v>
      </c>
      <c r="K159" s="43">
        <v>0</v>
      </c>
      <c r="L159" s="6">
        <v>18.707999999999998</v>
      </c>
      <c r="M159" s="43">
        <v>18.707999999999998</v>
      </c>
      <c r="N159" s="6">
        <v>18.707999999999998</v>
      </c>
      <c r="O159" s="43">
        <v>18.707999999999998</v>
      </c>
      <c r="P159" s="6">
        <v>0</v>
      </c>
      <c r="Q159" s="4" t="s">
        <v>26</v>
      </c>
      <c r="R159" s="4">
        <v>0</v>
      </c>
      <c r="S159" s="4">
        <v>0</v>
      </c>
      <c r="T159" s="4">
        <v>24</v>
      </c>
      <c r="U159" s="4">
        <v>67</v>
      </c>
      <c r="V159" s="43">
        <f>IF(ISERROR(VLOOKUP($S$159,'TAR FIN'!$A$1:$O$100,15,0)),0,VLOOKUP($S$159,'TAR FIN'!$A$1:$O$100,15,0))</f>
        <v>0</v>
      </c>
      <c r="W159" s="43">
        <f>IF(ISERROR(VLOOKUP($T$159,'TAR FIN'!$A$1:$O$100,15,0)),0,VLOOKUP($T$159,'TAR FIN'!$A$1:$O$100,15,0))*(1-0.06)</f>
        <v>887.18139999999994</v>
      </c>
      <c r="X159" s="43">
        <f>IF(ISERROR(VLOOKUP($U$159,'TAR FIN'!$A$1:$O$100,15,0)),0,VLOOKUP($U$159,'TAR FIN'!$A$1:$O$100,15,0))*(1-0.06)</f>
        <v>344.60399999999998</v>
      </c>
      <c r="Y159" s="43"/>
      <c r="Z159" s="43">
        <f ca="1">('TUSD BE'!$AM$21+'TUSD BF'!$AM$21+'TUSD CVA'!$AM$21)*1*(1-0.03)</f>
        <v>901.00489175650387</v>
      </c>
      <c r="AA159" s="43">
        <f>('TE BE'!$AA$7+'TE BF'!$AA$7+'TE CVA'!$AA$7)*1*(1-0.03)</f>
        <v>373.90159935253052</v>
      </c>
      <c r="AB159" s="43">
        <f>(SUBSIDIO!$J$159*SUBSIDIO!$V$159)*(0.06)/(1-0.06)</f>
        <v>0</v>
      </c>
      <c r="AC159" s="43">
        <f>((SUBSIDIO!$L$159*SUBSIDIO!$W$159)+(SUBSIDIO!$N$159*SUBSIDIO!$X$159))*(0.06)/(1-0.06)</f>
        <v>1470.9090167999998</v>
      </c>
      <c r="AD159" s="43">
        <f>(SUBSIDIO!$J$159*SUBSIDIO!$Y$159)*(0.03)/(1-0.03)</f>
        <v>0</v>
      </c>
      <c r="AE159" s="43">
        <f ca="1">((SUBSIDIO!$L$159*SUBSIDIO!$Z$159)+(SUBSIDIO!$N$159*SUBSIDIO!$AA$159))*(0.03)/(1-0.03)</f>
        <v>737.65826708250961</v>
      </c>
      <c r="AF159" s="4" t="s">
        <v>913</v>
      </c>
    </row>
    <row r="160" spans="1:32" ht="11.25" customHeight="1" x14ac:dyDescent="0.25">
      <c r="A160" s="4" t="s">
        <v>21</v>
      </c>
      <c r="B160" s="4" t="s">
        <v>39</v>
      </c>
      <c r="C160" s="4" t="s">
        <v>41</v>
      </c>
      <c r="D160" s="4" t="s">
        <v>49</v>
      </c>
      <c r="E160" s="4" t="s">
        <v>50</v>
      </c>
      <c r="F160" s="4" t="s">
        <v>25</v>
      </c>
      <c r="G160" s="4" t="s">
        <v>25</v>
      </c>
      <c r="H160" s="4" t="s">
        <v>34</v>
      </c>
      <c r="I160" s="5">
        <v>44287</v>
      </c>
      <c r="J160" s="6">
        <v>0</v>
      </c>
      <c r="K160" s="43">
        <v>0</v>
      </c>
      <c r="L160" s="6">
        <v>18.599</v>
      </c>
      <c r="M160" s="43">
        <v>18.599</v>
      </c>
      <c r="N160" s="6">
        <v>18.599</v>
      </c>
      <c r="O160" s="43">
        <v>18.599</v>
      </c>
      <c r="P160" s="6">
        <v>0</v>
      </c>
      <c r="Q160" s="4" t="s">
        <v>26</v>
      </c>
      <c r="R160" s="4">
        <v>0</v>
      </c>
      <c r="S160" s="4">
        <v>0</v>
      </c>
      <c r="T160" s="4">
        <v>24</v>
      </c>
      <c r="U160" s="4">
        <v>67</v>
      </c>
      <c r="V160" s="43">
        <f>IF(ISERROR(VLOOKUP($S$160,'TAR FIN'!$A$1:$O$100,15,0)),0,VLOOKUP($S$160,'TAR FIN'!$A$1:$O$100,15,0))</f>
        <v>0</v>
      </c>
      <c r="W160" s="43">
        <f>IF(ISERROR(VLOOKUP($T$160,'TAR FIN'!$A$1:$O$100,15,0)),0,VLOOKUP($T$160,'TAR FIN'!$A$1:$O$100,15,0))*(1-0.06)</f>
        <v>887.18139999999994</v>
      </c>
      <c r="X160" s="43">
        <f>IF(ISERROR(VLOOKUP($U$160,'TAR FIN'!$A$1:$O$100,15,0)),0,VLOOKUP($U$160,'TAR FIN'!$A$1:$O$100,15,0))*(1-0.06)</f>
        <v>344.60399999999998</v>
      </c>
      <c r="Y160" s="43"/>
      <c r="Z160" s="43">
        <f ca="1">('TUSD BE'!$AM$21+'TUSD BF'!$AM$21+'TUSD CVA'!$AM$21)*1*(1-0.03)</f>
        <v>901.00489175650387</v>
      </c>
      <c r="AA160" s="43">
        <f>('TE BE'!$AA$7+'TE BF'!$AA$7+'TE CVA'!$AA$7)*1*(1-0.03)</f>
        <v>373.90159935253052</v>
      </c>
      <c r="AB160" s="43">
        <f>(SUBSIDIO!$J$160*SUBSIDIO!$V$160)*(0.06)/(1-0.06)</f>
        <v>0</v>
      </c>
      <c r="AC160" s="43">
        <f>((SUBSIDIO!$L$160*SUBSIDIO!$W$160)+(SUBSIDIO!$N$160*SUBSIDIO!$X$160))*(0.06)/(1-0.06)</f>
        <v>1462.3389354000001</v>
      </c>
      <c r="AD160" s="43">
        <f>(SUBSIDIO!$J$160*SUBSIDIO!$Y$160)*(0.03)/(1-0.03)</f>
        <v>0</v>
      </c>
      <c r="AE160" s="43">
        <f ca="1">((SUBSIDIO!$L$160*SUBSIDIO!$Z$160)+(SUBSIDIO!$N$160*SUBSIDIO!$AA$160))*(0.03)/(1-0.03)</f>
        <v>733.36038643722463</v>
      </c>
      <c r="AF160" s="4" t="s">
        <v>913</v>
      </c>
    </row>
    <row r="161" spans="1:32" ht="11.25" customHeight="1" x14ac:dyDescent="0.25">
      <c r="A161" s="4" t="s">
        <v>21</v>
      </c>
      <c r="B161" s="4" t="s">
        <v>39</v>
      </c>
      <c r="C161" s="4" t="s">
        <v>41</v>
      </c>
      <c r="D161" s="4" t="s">
        <v>49</v>
      </c>
      <c r="E161" s="4" t="s">
        <v>50</v>
      </c>
      <c r="F161" s="4" t="s">
        <v>25</v>
      </c>
      <c r="G161" s="4" t="s">
        <v>25</v>
      </c>
      <c r="H161" s="4" t="s">
        <v>34</v>
      </c>
      <c r="I161" s="5">
        <v>44317</v>
      </c>
      <c r="J161" s="6">
        <v>0</v>
      </c>
      <c r="K161" s="43">
        <v>0</v>
      </c>
      <c r="L161" s="6">
        <v>18.626000000000001</v>
      </c>
      <c r="M161" s="43">
        <v>18.626000000000001</v>
      </c>
      <c r="N161" s="6">
        <v>18.626000000000001</v>
      </c>
      <c r="O161" s="43">
        <v>18.626000000000001</v>
      </c>
      <c r="P161" s="6">
        <v>0</v>
      </c>
      <c r="Q161" s="4" t="s">
        <v>26</v>
      </c>
      <c r="R161" s="4">
        <v>0</v>
      </c>
      <c r="S161" s="4">
        <v>0</v>
      </c>
      <c r="T161" s="4">
        <v>24</v>
      </c>
      <c r="U161" s="4">
        <v>67</v>
      </c>
      <c r="V161" s="43">
        <f>IF(ISERROR(VLOOKUP($S$161,'TAR FIN'!$A$1:$O$100,15,0)),0,VLOOKUP($S$161,'TAR FIN'!$A$1:$O$100,15,0))</f>
        <v>0</v>
      </c>
      <c r="W161" s="43">
        <f>IF(ISERROR(VLOOKUP($T$161,'TAR FIN'!$A$1:$O$100,15,0)),0,VLOOKUP($T$161,'TAR FIN'!$A$1:$O$100,15,0))*(1-0.06)</f>
        <v>887.18139999999994</v>
      </c>
      <c r="X161" s="43">
        <f>IF(ISERROR(VLOOKUP($U$161,'TAR FIN'!$A$1:$O$100,15,0)),0,VLOOKUP($U$161,'TAR FIN'!$A$1:$O$100,15,0))*(1-0.06)</f>
        <v>344.60399999999998</v>
      </c>
      <c r="Y161" s="43"/>
      <c r="Z161" s="43">
        <f ca="1">('TUSD BE'!$AM$21+'TUSD BF'!$AM$21+'TUSD CVA'!$AM$21)*1*(1-0.03)</f>
        <v>901.00489175650387</v>
      </c>
      <c r="AA161" s="43">
        <f>('TE BE'!$AA$7+'TE BF'!$AA$7+'TE CVA'!$AA$7)*1*(1-0.03)</f>
        <v>373.90159935253052</v>
      </c>
      <c r="AB161" s="43">
        <f>(SUBSIDIO!$J$161*SUBSIDIO!$V$161)*(0.06)/(1-0.06)</f>
        <v>0</v>
      </c>
      <c r="AC161" s="43">
        <f>((SUBSIDIO!$L$161*SUBSIDIO!$W$161)+(SUBSIDIO!$N$161*SUBSIDIO!$X$161))*(0.06)/(1-0.06)</f>
        <v>1464.4617995999999</v>
      </c>
      <c r="AD161" s="43">
        <f>(SUBSIDIO!$J$161*SUBSIDIO!$Y$161)*(0.03)/(1-0.03)</f>
        <v>0</v>
      </c>
      <c r="AE161" s="43">
        <f ca="1">((SUBSIDIO!$L$161*SUBSIDIO!$Z$161)+(SUBSIDIO!$N$161*SUBSIDIO!$AA$161))*(0.03)/(1-0.03)</f>
        <v>734.42499907413026</v>
      </c>
      <c r="AF161" s="4" t="s">
        <v>913</v>
      </c>
    </row>
    <row r="162" spans="1:32" ht="11.25" customHeight="1" x14ac:dyDescent="0.25">
      <c r="A162" s="4" t="s">
        <v>21</v>
      </c>
      <c r="B162" s="4" t="s">
        <v>39</v>
      </c>
      <c r="C162" s="4" t="s">
        <v>41</v>
      </c>
      <c r="D162" s="4" t="s">
        <v>49</v>
      </c>
      <c r="E162" s="4" t="s">
        <v>50</v>
      </c>
      <c r="F162" s="4" t="s">
        <v>25</v>
      </c>
      <c r="G162" s="4" t="s">
        <v>25</v>
      </c>
      <c r="H162" s="4" t="s">
        <v>34</v>
      </c>
      <c r="I162" s="5">
        <v>44348</v>
      </c>
      <c r="J162" s="6">
        <v>0</v>
      </c>
      <c r="K162" s="43">
        <v>0</v>
      </c>
      <c r="L162" s="6">
        <v>18.396000000000001</v>
      </c>
      <c r="M162" s="43">
        <v>18.396000000000001</v>
      </c>
      <c r="N162" s="6">
        <v>18.396000000000001</v>
      </c>
      <c r="O162" s="43">
        <v>18.396000000000001</v>
      </c>
      <c r="P162" s="6">
        <v>0</v>
      </c>
      <c r="Q162" s="4" t="s">
        <v>26</v>
      </c>
      <c r="R162" s="4">
        <v>0</v>
      </c>
      <c r="S162" s="4">
        <v>0</v>
      </c>
      <c r="T162" s="4">
        <v>24</v>
      </c>
      <c r="U162" s="4">
        <v>67</v>
      </c>
      <c r="V162" s="43">
        <f>IF(ISERROR(VLOOKUP($S$162,'TAR FIN'!$A$1:$O$100,15,0)),0,VLOOKUP($S$162,'TAR FIN'!$A$1:$O$100,15,0))</f>
        <v>0</v>
      </c>
      <c r="W162" s="43">
        <f>IF(ISERROR(VLOOKUP($T$162,'TAR FIN'!$A$1:$O$100,15,0)),0,VLOOKUP($T$162,'TAR FIN'!$A$1:$O$100,15,0))*(1-0.06)</f>
        <v>887.18139999999994</v>
      </c>
      <c r="X162" s="43">
        <f>IF(ISERROR(VLOOKUP($U$162,'TAR FIN'!$A$1:$O$100,15,0)),0,VLOOKUP($U$162,'TAR FIN'!$A$1:$O$100,15,0))*(1-0.06)</f>
        <v>344.60399999999998</v>
      </c>
      <c r="Y162" s="43"/>
      <c r="Z162" s="43">
        <f ca="1">('TUSD BE'!$AM$21+'TUSD BF'!$AM$21+'TUSD CVA'!$AM$21)*1*(1-0.03)</f>
        <v>901.00489175650387</v>
      </c>
      <c r="AA162" s="43">
        <f>('TE BE'!$AA$7+'TE BF'!$AA$7+'TE CVA'!$AA$7)*1*(1-0.03)</f>
        <v>373.90159935253052</v>
      </c>
      <c r="AB162" s="43">
        <f>(SUBSIDIO!$J$162*SUBSIDIO!$V$162)*(0.06)/(1-0.06)</f>
        <v>0</v>
      </c>
      <c r="AC162" s="43">
        <f>((SUBSIDIO!$L$162*SUBSIDIO!$W$162)+(SUBSIDIO!$N$162*SUBSIDIO!$X$162))*(0.06)/(1-0.06)</f>
        <v>1446.3781415999999</v>
      </c>
      <c r="AD162" s="43">
        <f>(SUBSIDIO!$J$162*SUBSIDIO!$Y$162)*(0.03)/(1-0.03)</f>
        <v>0</v>
      </c>
      <c r="AE162" s="43">
        <f ca="1">((SUBSIDIO!$L$162*SUBSIDIO!$Z$162)+(SUBSIDIO!$N$162*SUBSIDIO!$AA$162))*(0.03)/(1-0.03)</f>
        <v>725.35607661160202</v>
      </c>
      <c r="AF162" s="4" t="s">
        <v>913</v>
      </c>
    </row>
    <row r="163" spans="1:32" ht="11.25" customHeight="1" x14ac:dyDescent="0.25">
      <c r="A163" s="4" t="s">
        <v>21</v>
      </c>
      <c r="B163" s="4" t="s">
        <v>39</v>
      </c>
      <c r="C163" s="4" t="s">
        <v>41</v>
      </c>
      <c r="D163" s="4" t="s">
        <v>49</v>
      </c>
      <c r="E163" s="4" t="s">
        <v>50</v>
      </c>
      <c r="F163" s="4" t="s">
        <v>25</v>
      </c>
      <c r="G163" s="4" t="s">
        <v>25</v>
      </c>
      <c r="H163" s="4" t="s">
        <v>34</v>
      </c>
      <c r="I163" s="5">
        <v>44378</v>
      </c>
      <c r="J163" s="6">
        <v>0</v>
      </c>
      <c r="K163" s="43">
        <v>0</v>
      </c>
      <c r="L163" s="6">
        <v>18.393999999999998</v>
      </c>
      <c r="M163" s="43">
        <v>18.393999999999998</v>
      </c>
      <c r="N163" s="6">
        <v>18.393999999999998</v>
      </c>
      <c r="O163" s="43">
        <v>18.393999999999998</v>
      </c>
      <c r="P163" s="6">
        <v>0</v>
      </c>
      <c r="Q163" s="4" t="s">
        <v>26</v>
      </c>
      <c r="R163" s="4">
        <v>0</v>
      </c>
      <c r="S163" s="4">
        <v>0</v>
      </c>
      <c r="T163" s="4">
        <v>24</v>
      </c>
      <c r="U163" s="4">
        <v>67</v>
      </c>
      <c r="V163" s="43">
        <f>IF(ISERROR(VLOOKUP($S$163,'TAR FIN'!$A$1:$O$100,15,0)),0,VLOOKUP($S$163,'TAR FIN'!$A$1:$O$100,15,0))</f>
        <v>0</v>
      </c>
      <c r="W163" s="43">
        <f>IF(ISERROR(VLOOKUP($T$163,'TAR FIN'!$A$1:$O$100,15,0)),0,VLOOKUP($T$163,'TAR FIN'!$A$1:$O$100,15,0))*(1-0.06)</f>
        <v>887.18139999999994</v>
      </c>
      <c r="X163" s="43">
        <f>IF(ISERROR(VLOOKUP($U$163,'TAR FIN'!$A$1:$O$100,15,0)),0,VLOOKUP($U$163,'TAR FIN'!$A$1:$O$100,15,0))*(1-0.06)</f>
        <v>344.60399999999998</v>
      </c>
      <c r="Y163" s="43"/>
      <c r="Z163" s="43">
        <f ca="1">('TUSD BE'!$AM$21+'TUSD BF'!$AM$21+'TUSD CVA'!$AM$21)*1*(1-0.03)</f>
        <v>901.00489175650387</v>
      </c>
      <c r="AA163" s="43">
        <f>('TE BE'!$AA$7+'TE BF'!$AA$7+'TE CVA'!$AA$7)*1*(1-0.03)</f>
        <v>373.90159935253052</v>
      </c>
      <c r="AB163" s="43">
        <f>(SUBSIDIO!$J$163*SUBSIDIO!$V$163)*(0.06)/(1-0.06)</f>
        <v>0</v>
      </c>
      <c r="AC163" s="43">
        <f>((SUBSIDIO!$L$163*SUBSIDIO!$W$163)+(SUBSIDIO!$N$163*SUBSIDIO!$X$163))*(0.06)/(1-0.06)</f>
        <v>1446.2208923999997</v>
      </c>
      <c r="AD163" s="43">
        <f>(SUBSIDIO!$J$163*SUBSIDIO!$Y$163)*(0.03)/(1-0.03)</f>
        <v>0</v>
      </c>
      <c r="AE163" s="43">
        <f ca="1">((SUBSIDIO!$L$163*SUBSIDIO!$Z$163)+(SUBSIDIO!$N$163*SUBSIDIO!$AA$163))*(0.03)/(1-0.03)</f>
        <v>725.27721641627545</v>
      </c>
      <c r="AF163" s="4" t="s">
        <v>913</v>
      </c>
    </row>
    <row r="164" spans="1:32" ht="11.25" customHeight="1" x14ac:dyDescent="0.25">
      <c r="A164" s="4" t="s">
        <v>21</v>
      </c>
      <c r="B164" s="4" t="s">
        <v>39</v>
      </c>
      <c r="C164" s="4" t="s">
        <v>41</v>
      </c>
      <c r="D164" s="4" t="s">
        <v>49</v>
      </c>
      <c r="E164" s="4" t="s">
        <v>50</v>
      </c>
      <c r="F164" s="4" t="s">
        <v>25</v>
      </c>
      <c r="G164" s="4" t="s">
        <v>25</v>
      </c>
      <c r="H164" s="4" t="s">
        <v>34</v>
      </c>
      <c r="I164" s="5">
        <v>44409</v>
      </c>
      <c r="J164" s="6">
        <v>0</v>
      </c>
      <c r="K164" s="43">
        <v>0</v>
      </c>
      <c r="L164" s="6">
        <v>19.405999999999999</v>
      </c>
      <c r="M164" s="43">
        <v>19.405999999999999</v>
      </c>
      <c r="N164" s="6">
        <v>19.405999999999999</v>
      </c>
      <c r="O164" s="43">
        <v>19.405999999999999</v>
      </c>
      <c r="P164" s="6">
        <v>0</v>
      </c>
      <c r="Q164" s="4" t="s">
        <v>26</v>
      </c>
      <c r="R164" s="4">
        <v>0</v>
      </c>
      <c r="S164" s="4">
        <v>0</v>
      </c>
      <c r="T164" s="4">
        <v>24</v>
      </c>
      <c r="U164" s="4">
        <v>67</v>
      </c>
      <c r="V164" s="43">
        <f>IF(ISERROR(VLOOKUP($S$164,'TAR FIN'!$A$1:$O$100,15,0)),0,VLOOKUP($S$164,'TAR FIN'!$A$1:$O$100,15,0))</f>
        <v>0</v>
      </c>
      <c r="W164" s="43">
        <f>IF(ISERROR(VLOOKUP($T$164,'TAR FIN'!$A$1:$O$100,15,0)),0,VLOOKUP($T$164,'TAR FIN'!$A$1:$O$100,15,0))*(1-0.06)</f>
        <v>887.18139999999994</v>
      </c>
      <c r="X164" s="43">
        <f>IF(ISERROR(VLOOKUP($U$164,'TAR FIN'!$A$1:$O$100,15,0)),0,VLOOKUP($U$164,'TAR FIN'!$A$1:$O$100,15,0))*(1-0.06)</f>
        <v>344.60399999999998</v>
      </c>
      <c r="Y164" s="43"/>
      <c r="Z164" s="43">
        <f ca="1">('TUSD BE'!$AM$21+'TUSD BF'!$AM$21+'TUSD CVA'!$AM$21)*1*(1-0.03)</f>
        <v>901.00489175650387</v>
      </c>
      <c r="AA164" s="43">
        <f>('TE BE'!$AA$7+'TE BF'!$AA$7+'TE CVA'!$AA$7)*1*(1-0.03)</f>
        <v>373.90159935253052</v>
      </c>
      <c r="AB164" s="43">
        <f>(SUBSIDIO!$J$164*SUBSIDIO!$V$164)*(0.06)/(1-0.06)</f>
        <v>0</v>
      </c>
      <c r="AC164" s="43">
        <f>((SUBSIDIO!$L$164*SUBSIDIO!$W$164)+(SUBSIDIO!$N$164*SUBSIDIO!$X$164))*(0.06)/(1-0.06)</f>
        <v>1525.7889875999997</v>
      </c>
      <c r="AD164" s="43">
        <f>(SUBSIDIO!$J$164*SUBSIDIO!$Y$164)*(0.03)/(1-0.03)</f>
        <v>0</v>
      </c>
      <c r="AE164" s="43">
        <f ca="1">((SUBSIDIO!$L$164*SUBSIDIO!$Z$164)+(SUBSIDIO!$N$164*SUBSIDIO!$AA$164))*(0.03)/(1-0.03)</f>
        <v>765.18047525139957</v>
      </c>
      <c r="AF164" s="4" t="s">
        <v>913</v>
      </c>
    </row>
    <row r="165" spans="1:32" ht="11.25" customHeight="1" x14ac:dyDescent="0.25">
      <c r="A165" s="4" t="s">
        <v>21</v>
      </c>
      <c r="B165" s="4" t="s">
        <v>39</v>
      </c>
      <c r="C165" s="4" t="s">
        <v>41</v>
      </c>
      <c r="D165" s="4" t="s">
        <v>49</v>
      </c>
      <c r="E165" s="4" t="s">
        <v>50</v>
      </c>
      <c r="F165" s="4" t="s">
        <v>25</v>
      </c>
      <c r="G165" s="4" t="s">
        <v>25</v>
      </c>
      <c r="H165" s="4" t="s">
        <v>34</v>
      </c>
      <c r="I165" s="5">
        <v>44440</v>
      </c>
      <c r="J165" s="6">
        <v>0</v>
      </c>
      <c r="K165" s="43">
        <v>0</v>
      </c>
      <c r="L165" s="6">
        <v>18.053999999999998</v>
      </c>
      <c r="M165" s="43">
        <v>18.053999999999998</v>
      </c>
      <c r="N165" s="6">
        <v>18.053999999999998</v>
      </c>
      <c r="O165" s="43">
        <v>18.053999999999998</v>
      </c>
      <c r="P165" s="6">
        <v>0</v>
      </c>
      <c r="Q165" s="4" t="s">
        <v>26</v>
      </c>
      <c r="R165" s="4">
        <v>0</v>
      </c>
      <c r="S165" s="4">
        <v>0</v>
      </c>
      <c r="T165" s="4">
        <v>24</v>
      </c>
      <c r="U165" s="4">
        <v>67</v>
      </c>
      <c r="V165" s="43">
        <f>IF(ISERROR(VLOOKUP($S$165,'TAR FIN'!$A$1:$O$100,15,0)),0,VLOOKUP($S$165,'TAR FIN'!$A$1:$O$100,15,0))</f>
        <v>0</v>
      </c>
      <c r="W165" s="43">
        <f>IF(ISERROR(VLOOKUP($T$165,'TAR FIN'!$A$1:$O$100,15,0)),0,VLOOKUP($T$165,'TAR FIN'!$A$1:$O$100,15,0))*(1-0.06)</f>
        <v>887.18139999999994</v>
      </c>
      <c r="X165" s="43">
        <f>IF(ISERROR(VLOOKUP($U$165,'TAR FIN'!$A$1:$O$100,15,0)),0,VLOOKUP($U$165,'TAR FIN'!$A$1:$O$100,15,0))*(1-0.06)</f>
        <v>344.60399999999998</v>
      </c>
      <c r="Y165" s="43"/>
      <c r="Z165" s="43">
        <f ca="1">('TUSD BE'!$AM$21+'TUSD BF'!$AM$21+'TUSD CVA'!$AM$21)*1*(1-0.03)</f>
        <v>901.00489175650387</v>
      </c>
      <c r="AA165" s="43">
        <f>('TE BE'!$AA$7+'TE BF'!$AA$7+'TE CVA'!$AA$7)*1*(1-0.03)</f>
        <v>373.90159935253052</v>
      </c>
      <c r="AB165" s="43">
        <f>(SUBSIDIO!$J$165*SUBSIDIO!$V$165)*(0.06)/(1-0.06)</f>
        <v>0</v>
      </c>
      <c r="AC165" s="43">
        <f>((SUBSIDIO!$L$165*SUBSIDIO!$W$165)+(SUBSIDIO!$N$165*SUBSIDIO!$X$165))*(0.06)/(1-0.06)</f>
        <v>1419.4885284</v>
      </c>
      <c r="AD165" s="43">
        <f>(SUBSIDIO!$J$165*SUBSIDIO!$Y$165)*(0.03)/(1-0.03)</f>
        <v>0</v>
      </c>
      <c r="AE165" s="43">
        <f ca="1">((SUBSIDIO!$L$165*SUBSIDIO!$Z$165)+(SUBSIDIO!$N$165*SUBSIDIO!$AA$165))*(0.03)/(1-0.03)</f>
        <v>711.87098321079907</v>
      </c>
      <c r="AF165" s="4" t="s">
        <v>913</v>
      </c>
    </row>
    <row r="166" spans="1:32" ht="11.25" customHeight="1" x14ac:dyDescent="0.25">
      <c r="A166" s="4" t="s">
        <v>21</v>
      </c>
      <c r="B166" s="4" t="s">
        <v>39</v>
      </c>
      <c r="C166" s="4" t="s">
        <v>41</v>
      </c>
      <c r="D166" s="4" t="s">
        <v>49</v>
      </c>
      <c r="E166" s="4" t="s">
        <v>50</v>
      </c>
      <c r="F166" s="4" t="s">
        <v>25</v>
      </c>
      <c r="G166" s="4" t="s">
        <v>25</v>
      </c>
      <c r="H166" s="4" t="s">
        <v>34</v>
      </c>
      <c r="I166" s="5">
        <v>44470</v>
      </c>
      <c r="J166" s="6">
        <v>0</v>
      </c>
      <c r="K166" s="43">
        <v>0</v>
      </c>
      <c r="L166" s="6">
        <v>14.632999999999999</v>
      </c>
      <c r="M166" s="43">
        <v>14.632999999999999</v>
      </c>
      <c r="N166" s="6">
        <v>14.632999999999999</v>
      </c>
      <c r="O166" s="43">
        <v>14.632999999999999</v>
      </c>
      <c r="P166" s="6">
        <v>0</v>
      </c>
      <c r="Q166" s="4" t="s">
        <v>26</v>
      </c>
      <c r="R166" s="4">
        <v>0</v>
      </c>
      <c r="S166" s="4">
        <v>0</v>
      </c>
      <c r="T166" s="4">
        <v>24</v>
      </c>
      <c r="U166" s="4">
        <v>67</v>
      </c>
      <c r="V166" s="43">
        <f>IF(ISERROR(VLOOKUP($S$166,'TAR FIN'!$A$1:$O$100,15,0)),0,VLOOKUP($S$166,'TAR FIN'!$A$1:$O$100,15,0))</f>
        <v>0</v>
      </c>
      <c r="W166" s="43">
        <f>IF(ISERROR(VLOOKUP($T$166,'TAR FIN'!$A$1:$O$100,15,0)),0,VLOOKUP($T$166,'TAR FIN'!$A$1:$O$100,15,0))*(1-0.06)</f>
        <v>887.18139999999994</v>
      </c>
      <c r="X166" s="43">
        <f>IF(ISERROR(VLOOKUP($U$166,'TAR FIN'!$A$1:$O$100,15,0)),0,VLOOKUP($U$166,'TAR FIN'!$A$1:$O$100,15,0))*(1-0.06)</f>
        <v>344.60399999999998</v>
      </c>
      <c r="Y166" s="43"/>
      <c r="Z166" s="43">
        <f ca="1">('TUSD BE'!$AM$21+'TUSD BF'!$AM$21+'TUSD CVA'!$AM$21)*1*(1-0.03)</f>
        <v>901.00489175650387</v>
      </c>
      <c r="AA166" s="43">
        <f>('TE BE'!$AA$7+'TE BF'!$AA$7+'TE CVA'!$AA$7)*1*(1-0.03)</f>
        <v>373.90159935253052</v>
      </c>
      <c r="AB166" s="43">
        <f>(SUBSIDIO!$J$166*SUBSIDIO!$V$166)*(0.06)/(1-0.06)</f>
        <v>0</v>
      </c>
      <c r="AC166" s="43">
        <f>((SUBSIDIO!$L$166*SUBSIDIO!$W$166)+(SUBSIDIO!$N$166*SUBSIDIO!$X$166))*(0.06)/(1-0.06)</f>
        <v>1150.5137718000001</v>
      </c>
      <c r="AD166" s="43">
        <f>(SUBSIDIO!$J$166*SUBSIDIO!$Y$166)*(0.03)/(1-0.03)</f>
        <v>0</v>
      </c>
      <c r="AE166" s="43">
        <f ca="1">((SUBSIDIO!$L$166*SUBSIDIO!$Z$166)+(SUBSIDIO!$N$166*SUBSIDIO!$AA$166))*(0.03)/(1-0.03)</f>
        <v>576.9806191051083</v>
      </c>
      <c r="AF166" s="4" t="s">
        <v>913</v>
      </c>
    </row>
    <row r="167" spans="1:32" ht="11.25" customHeight="1" x14ac:dyDescent="0.25">
      <c r="A167" s="4" t="s">
        <v>21</v>
      </c>
      <c r="B167" s="4" t="s">
        <v>39</v>
      </c>
      <c r="C167" s="4" t="s">
        <v>41</v>
      </c>
      <c r="D167" s="4" t="s">
        <v>49</v>
      </c>
      <c r="E167" s="4" t="s">
        <v>50</v>
      </c>
      <c r="F167" s="4" t="s">
        <v>25</v>
      </c>
      <c r="G167" s="4" t="s">
        <v>25</v>
      </c>
      <c r="H167" s="4" t="s">
        <v>34</v>
      </c>
      <c r="I167" s="5">
        <v>44501</v>
      </c>
      <c r="J167" s="6">
        <v>0</v>
      </c>
      <c r="K167" s="43">
        <v>0</v>
      </c>
      <c r="L167" s="6">
        <v>14.364000000000001</v>
      </c>
      <c r="M167" s="43">
        <v>14.364000000000001</v>
      </c>
      <c r="N167" s="6">
        <v>14.364000000000001</v>
      </c>
      <c r="O167" s="43">
        <v>14.364000000000001</v>
      </c>
      <c r="P167" s="6">
        <v>0</v>
      </c>
      <c r="Q167" s="4" t="s">
        <v>26</v>
      </c>
      <c r="R167" s="4">
        <v>0</v>
      </c>
      <c r="S167" s="4">
        <v>0</v>
      </c>
      <c r="T167" s="4">
        <v>24</v>
      </c>
      <c r="U167" s="4">
        <v>67</v>
      </c>
      <c r="V167" s="43">
        <f>IF(ISERROR(VLOOKUP($S$167,'TAR FIN'!$A$1:$O$100,15,0)),0,VLOOKUP($S$167,'TAR FIN'!$A$1:$O$100,15,0))</f>
        <v>0</v>
      </c>
      <c r="W167" s="43">
        <f>IF(ISERROR(VLOOKUP($T$167,'TAR FIN'!$A$1:$O$100,15,0)),0,VLOOKUP($T$167,'TAR FIN'!$A$1:$O$100,15,0))*(1-0.06)</f>
        <v>887.18139999999994</v>
      </c>
      <c r="X167" s="43">
        <f>IF(ISERROR(VLOOKUP($U$167,'TAR FIN'!$A$1:$O$100,15,0)),0,VLOOKUP($U$167,'TAR FIN'!$A$1:$O$100,15,0))*(1-0.06)</f>
        <v>344.60399999999998</v>
      </c>
      <c r="Y167" s="43"/>
      <c r="Z167" s="43">
        <f ca="1">('TUSD BE'!$AM$21+'TUSD BF'!$AM$21+'TUSD CVA'!$AM$21)*1*(1-0.03)</f>
        <v>901.00489175650387</v>
      </c>
      <c r="AA167" s="43">
        <f>('TE BE'!$AA$7+'TE BF'!$AA$7+'TE CVA'!$AA$7)*1*(1-0.03)</f>
        <v>373.90159935253052</v>
      </c>
      <c r="AB167" s="43">
        <f>(SUBSIDIO!$J$167*SUBSIDIO!$V$167)*(0.06)/(1-0.06)</f>
        <v>0</v>
      </c>
      <c r="AC167" s="43">
        <f>((SUBSIDIO!$L$167*SUBSIDIO!$W$167)+(SUBSIDIO!$N$167*SUBSIDIO!$X$167))*(0.06)/(1-0.06)</f>
        <v>1129.3637543999998</v>
      </c>
      <c r="AD167" s="43">
        <f>(SUBSIDIO!$J$167*SUBSIDIO!$Y$167)*(0.03)/(1-0.03)</f>
        <v>0</v>
      </c>
      <c r="AE167" s="43">
        <f ca="1">((SUBSIDIO!$L$167*SUBSIDIO!$Z$167)+(SUBSIDIO!$N$167*SUBSIDIO!$AA$167))*(0.03)/(1-0.03)</f>
        <v>566.37392283371673</v>
      </c>
      <c r="AF167" s="4" t="s">
        <v>913</v>
      </c>
    </row>
    <row r="168" spans="1:32" ht="11.25" customHeight="1" x14ac:dyDescent="0.25">
      <c r="A168" s="4" t="s">
        <v>21</v>
      </c>
      <c r="B168" s="4" t="s">
        <v>39</v>
      </c>
      <c r="C168" s="4" t="s">
        <v>41</v>
      </c>
      <c r="D168" s="4" t="s">
        <v>49</v>
      </c>
      <c r="E168" s="4" t="s">
        <v>50</v>
      </c>
      <c r="F168" s="4" t="s">
        <v>25</v>
      </c>
      <c r="G168" s="4" t="s">
        <v>25</v>
      </c>
      <c r="H168" s="4" t="s">
        <v>34</v>
      </c>
      <c r="I168" s="5">
        <v>44531</v>
      </c>
      <c r="J168" s="6">
        <v>0</v>
      </c>
      <c r="K168" s="43">
        <v>0</v>
      </c>
      <c r="L168" s="6">
        <v>19.558</v>
      </c>
      <c r="M168" s="43">
        <v>19.558</v>
      </c>
      <c r="N168" s="6">
        <v>19.558</v>
      </c>
      <c r="O168" s="43">
        <v>19.558</v>
      </c>
      <c r="P168" s="6">
        <v>0</v>
      </c>
      <c r="Q168" s="4" t="s">
        <v>26</v>
      </c>
      <c r="R168" s="4">
        <v>0</v>
      </c>
      <c r="S168" s="4">
        <v>0</v>
      </c>
      <c r="T168" s="4">
        <v>24</v>
      </c>
      <c r="U168" s="4">
        <v>67</v>
      </c>
      <c r="V168" s="43">
        <f>IF(ISERROR(VLOOKUP($S$168,'TAR FIN'!$A$1:$O$100,15,0)),0,VLOOKUP($S$168,'TAR FIN'!$A$1:$O$100,15,0))</f>
        <v>0</v>
      </c>
      <c r="W168" s="43">
        <f>IF(ISERROR(VLOOKUP($T$168,'TAR FIN'!$A$1:$O$100,15,0)),0,VLOOKUP($T$168,'TAR FIN'!$A$1:$O$100,15,0))*(1-0.06)</f>
        <v>887.18139999999994</v>
      </c>
      <c r="X168" s="43">
        <f>IF(ISERROR(VLOOKUP($U$168,'TAR FIN'!$A$1:$O$100,15,0)),0,VLOOKUP($U$168,'TAR FIN'!$A$1:$O$100,15,0))*(1-0.06)</f>
        <v>344.60399999999998</v>
      </c>
      <c r="Y168" s="43"/>
      <c r="Z168" s="43">
        <f ca="1">('TUSD BE'!$AM$21+'TUSD BF'!$AM$21+'TUSD CVA'!$AM$21)*1*(1-0.03)</f>
        <v>901.00489175650387</v>
      </c>
      <c r="AA168" s="43">
        <f>('TE BE'!$AA$7+'TE BF'!$AA$7+'TE CVA'!$AA$7)*1*(1-0.03)</f>
        <v>373.90159935253052</v>
      </c>
      <c r="AB168" s="43">
        <f>(SUBSIDIO!$J$168*SUBSIDIO!$V$168)*(0.06)/(1-0.06)</f>
        <v>0</v>
      </c>
      <c r="AC168" s="43">
        <f>((SUBSIDIO!$L$168*SUBSIDIO!$W$168)+(SUBSIDIO!$N$168*SUBSIDIO!$X$168))*(0.06)/(1-0.06)</f>
        <v>1537.7399267999999</v>
      </c>
      <c r="AD168" s="43">
        <f>(SUBSIDIO!$J$168*SUBSIDIO!$Y$168)*(0.03)/(1-0.03)</f>
        <v>0</v>
      </c>
      <c r="AE168" s="43">
        <f ca="1">((SUBSIDIO!$L$168*SUBSIDIO!$Z$168)+(SUBSIDIO!$N$168*SUBSIDIO!$AA$168))*(0.03)/(1-0.03)</f>
        <v>771.17385009620079</v>
      </c>
      <c r="AF168" s="4" t="s">
        <v>913</v>
      </c>
    </row>
    <row r="169" spans="1:32" ht="11.25" customHeight="1" x14ac:dyDescent="0.25">
      <c r="A169" s="4" t="s">
        <v>55</v>
      </c>
      <c r="B169" s="4" t="s">
        <v>39</v>
      </c>
      <c r="C169" s="4" t="s">
        <v>41</v>
      </c>
      <c r="D169" s="4" t="s">
        <v>49</v>
      </c>
      <c r="E169" s="4" t="s">
        <v>50</v>
      </c>
      <c r="F169" s="4" t="s">
        <v>25</v>
      </c>
      <c r="G169" s="4" t="s">
        <v>25</v>
      </c>
      <c r="H169" s="4" t="s">
        <v>34</v>
      </c>
      <c r="I169" s="5">
        <v>44562</v>
      </c>
      <c r="J169" s="6">
        <v>0</v>
      </c>
      <c r="K169" s="43">
        <v>0</v>
      </c>
      <c r="L169" s="6">
        <v>19.558</v>
      </c>
      <c r="M169" s="43">
        <v>19.558</v>
      </c>
      <c r="N169" s="6">
        <v>19.558</v>
      </c>
      <c r="O169" s="43">
        <v>19.558</v>
      </c>
      <c r="P169" s="6">
        <v>0</v>
      </c>
      <c r="Q169" s="4" t="s">
        <v>26</v>
      </c>
      <c r="R169" s="4">
        <v>0</v>
      </c>
      <c r="S169" s="4">
        <v>0</v>
      </c>
      <c r="T169" s="4">
        <v>24</v>
      </c>
      <c r="U169" s="4">
        <v>67</v>
      </c>
      <c r="V169" s="43">
        <f>IF(ISERROR(VLOOKUP($S$169,'TAR FIN'!$A$1:$O$100,15,0)),0,VLOOKUP($S$169,'TAR FIN'!$A$1:$O$100,15,0))</f>
        <v>0</v>
      </c>
      <c r="W169" s="43">
        <f>IF(ISERROR(VLOOKUP($T$169,'TAR FIN'!$A$1:$O$100,15,0)),0,VLOOKUP($T$169,'TAR FIN'!$A$1:$O$100,15,0))*(1-0.06)</f>
        <v>887.18139999999994</v>
      </c>
      <c r="X169" s="43">
        <f>IF(ISERROR(VLOOKUP($U$169,'TAR FIN'!$A$1:$O$100,15,0)),0,VLOOKUP($U$169,'TAR FIN'!$A$1:$O$100,15,0))*(1-0.06)</f>
        <v>344.60399999999998</v>
      </c>
      <c r="Y169" s="43"/>
      <c r="Z169" s="43">
        <f ca="1">('TUSD BE'!$AM$21+'TUSD BF'!$AM$21+'TUSD CVA'!$AM$21)*1*(1-0.03)</f>
        <v>901.00489175650387</v>
      </c>
      <c r="AA169" s="43">
        <f>('TE BE'!$AA$7+'TE BF'!$AA$7+'TE CVA'!$AA$7)*1*(1-0.03)</f>
        <v>373.90159935253052</v>
      </c>
      <c r="AB169" s="43">
        <f>(SUBSIDIO!$J$169*SUBSIDIO!$V$169)*(0.06)/(1-0.06)</f>
        <v>0</v>
      </c>
      <c r="AC169" s="43">
        <f>((SUBSIDIO!$L$169*SUBSIDIO!$W$169)+(SUBSIDIO!$N$169*SUBSIDIO!$X$169))*(0.06)/(1-0.06)</f>
        <v>1537.7399267999999</v>
      </c>
      <c r="AD169" s="43">
        <f>(SUBSIDIO!$J$169*SUBSIDIO!$Y$169)*(0.03)/(1-0.03)</f>
        <v>0</v>
      </c>
      <c r="AE169" s="43">
        <f ca="1">((SUBSIDIO!$L$169*SUBSIDIO!$Z$169)+(SUBSIDIO!$N$169*SUBSIDIO!$AA$169))*(0.03)/(1-0.03)</f>
        <v>771.17385009620079</v>
      </c>
      <c r="AF169" s="4" t="s">
        <v>913</v>
      </c>
    </row>
    <row r="170" spans="1:32" ht="11.25" customHeight="1" x14ac:dyDescent="0.25">
      <c r="A170" s="4" t="s">
        <v>21</v>
      </c>
      <c r="B170" s="4" t="s">
        <v>22</v>
      </c>
      <c r="C170" s="4" t="s">
        <v>23</v>
      </c>
      <c r="D170" s="4" t="s">
        <v>24</v>
      </c>
      <c r="E170" s="4" t="s">
        <v>24</v>
      </c>
      <c r="F170" s="4" t="s">
        <v>25</v>
      </c>
      <c r="G170" s="4" t="s">
        <v>25</v>
      </c>
      <c r="H170" s="4" t="s">
        <v>25</v>
      </c>
      <c r="I170" s="5">
        <v>44228</v>
      </c>
      <c r="J170" s="6">
        <v>0</v>
      </c>
      <c r="K170" s="6">
        <v>0</v>
      </c>
      <c r="L170" s="6">
        <v>17718.171999999999</v>
      </c>
      <c r="M170" s="6">
        <v>17718.171999999999</v>
      </c>
      <c r="N170" s="6">
        <v>17718.171999999999</v>
      </c>
      <c r="O170" s="6">
        <v>17718.171999999999</v>
      </c>
      <c r="P170" s="6">
        <v>136517</v>
      </c>
      <c r="Q170" s="4" t="s">
        <v>26</v>
      </c>
      <c r="R170" s="4">
        <v>0</v>
      </c>
      <c r="S170" s="4">
        <v>0</v>
      </c>
      <c r="T170" s="4">
        <v>17</v>
      </c>
      <c r="U170" s="4">
        <v>73</v>
      </c>
      <c r="V170" s="6">
        <f>IF(ISERROR(VLOOKUP($S$170,'TAR FIN'!$A$1:$O$100,15,0)),0,VLOOKUP($S$170,'TAR FIN'!$A$1:$O$100,15,0))</f>
        <v>0</v>
      </c>
      <c r="W170" s="6">
        <f>IF(ISERROR(VLOOKUP($T$170,'TAR FIN'!$A$1:$O$100,15,0)),0,VLOOKUP($T$170,'TAR FIN'!$A$1:$O$100,15,0))</f>
        <v>285.75</v>
      </c>
      <c r="X170" s="6">
        <f>IF(ISERROR(VLOOKUP($U$170,'TAR FIN'!$A$1:$O$100,15,0)),0,VLOOKUP($U$170,'TAR FIN'!$A$1:$O$100,15,0))</f>
        <v>231.33</v>
      </c>
      <c r="Y170" s="6"/>
      <c r="Z170" s="6">
        <f ca="1">('TUSD BE'!$AM$30+'TUSD BF'!$AM$30+'TUSD CVA'!$AM$30)*1</f>
        <v>285.64503648725872</v>
      </c>
      <c r="AA170" s="6">
        <f>('TE BE'!$AA$13+'TE BF'!$AA$13+'TE CVA'!$AA$13)*1</f>
        <v>250.79367785689016</v>
      </c>
      <c r="AB170" s="6">
        <f t="shared" ref="AB170:AB193" si="12">(J170-K170)*V170</f>
        <v>0</v>
      </c>
      <c r="AC170" s="6">
        <f t="shared" ref="AC170" si="13">(L170-M170)*W170+(N170-O170)*X170</f>
        <v>0</v>
      </c>
      <c r="AD170" s="6">
        <f t="shared" ref="AD170:AD193" si="14">(J170-K170)*Y170</f>
        <v>0</v>
      </c>
      <c r="AE170" s="6">
        <f t="shared" ref="AE170" ca="1" si="15">(L170-M170)*Z170+(N170-O170)*AA170</f>
        <v>0</v>
      </c>
    </row>
    <row r="171" spans="1:32" ht="11.25" customHeight="1" x14ac:dyDescent="0.25">
      <c r="A171" s="4" t="s">
        <v>21</v>
      </c>
      <c r="B171" s="4" t="s">
        <v>22</v>
      </c>
      <c r="C171" s="4" t="s">
        <v>23</v>
      </c>
      <c r="D171" s="4" t="s">
        <v>24</v>
      </c>
      <c r="E171" s="4" t="s">
        <v>29</v>
      </c>
      <c r="F171" s="4" t="s">
        <v>25</v>
      </c>
      <c r="G171" s="4" t="s">
        <v>25</v>
      </c>
      <c r="H171" s="4" t="s">
        <v>25</v>
      </c>
      <c r="I171" s="5">
        <v>44228</v>
      </c>
      <c r="J171" s="6">
        <v>0</v>
      </c>
      <c r="K171" s="6">
        <v>0</v>
      </c>
      <c r="L171" s="6">
        <v>1664.172</v>
      </c>
      <c r="M171" s="6">
        <v>1664.172</v>
      </c>
      <c r="N171" s="6">
        <v>1664.172</v>
      </c>
      <c r="O171" s="6">
        <v>1664.172</v>
      </c>
      <c r="P171" s="6">
        <v>5102</v>
      </c>
      <c r="Q171" s="4" t="s">
        <v>26</v>
      </c>
      <c r="R171" s="4">
        <v>0</v>
      </c>
      <c r="S171" s="4">
        <v>0</v>
      </c>
      <c r="T171" s="4">
        <v>34</v>
      </c>
      <c r="U171" s="4">
        <v>74</v>
      </c>
      <c r="V171" s="6">
        <f>IF(ISERROR(VLOOKUP($S$171,'TAR FIN'!$A$1:$O$100,15,0)),0,VLOOKUP($S$171,'TAR FIN'!$A$1:$O$100,15,0))</f>
        <v>0</v>
      </c>
      <c r="W171" s="6">
        <f>IF(ISERROR(VLOOKUP($T$171,'TAR FIN'!$A$1:$O$100,15,0)),0,VLOOKUP($T$171,'TAR FIN'!$A$1:$O$100,15,0))</f>
        <v>86.27</v>
      </c>
      <c r="X171" s="6">
        <f>IF(ISERROR(VLOOKUP($U$171,'TAR FIN'!$A$1:$O$100,15,0)),0,VLOOKUP($U$171,'TAR FIN'!$A$1:$O$100,15,0))</f>
        <v>80.959999999999994</v>
      </c>
      <c r="Y171" s="6"/>
      <c r="Z17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1" s="6">
        <f>('TE BE'!$AA$14+'TE BF'!$AA$14+'TE CVA'!$AA$14)*(1-CUSTOS!$M$34)</f>
        <v>87.777787249911555</v>
      </c>
      <c r="AB171" s="6">
        <f t="shared" si="12"/>
        <v>0</v>
      </c>
      <c r="AC171" s="6">
        <f>(L171-M171)*(W171+X171)+($W$276+$X$276-$W$171-$X$171)*(L171)</f>
        <v>516891.82320000016</v>
      </c>
      <c r="AD171" s="6">
        <f t="shared" si="14"/>
        <v>0</v>
      </c>
      <c r="AE171" s="6">
        <f ca="1">(L171-M171)*(Z171+AA171)+($Z$276+$AA$276-$Z$171-$AA$171)*(L171)</f>
        <v>529506.13332949893</v>
      </c>
      <c r="AF171" s="4" t="s">
        <v>915</v>
      </c>
    </row>
    <row r="172" spans="1:32" ht="11.25" customHeight="1" x14ac:dyDescent="0.25">
      <c r="A172" s="4" t="s">
        <v>28</v>
      </c>
      <c r="B172" s="4" t="s">
        <v>22</v>
      </c>
      <c r="C172" s="4" t="s">
        <v>23</v>
      </c>
      <c r="D172" s="4" t="s">
        <v>24</v>
      </c>
      <c r="E172" s="4" t="s">
        <v>29</v>
      </c>
      <c r="F172" s="4" t="s">
        <v>25</v>
      </c>
      <c r="G172" s="4" t="s">
        <v>25</v>
      </c>
      <c r="H172" s="4" t="s">
        <v>25</v>
      </c>
      <c r="I172" s="5">
        <v>44228</v>
      </c>
      <c r="J172" s="6">
        <v>0</v>
      </c>
      <c r="K172" s="6">
        <v>0</v>
      </c>
      <c r="L172" s="6">
        <v>0.42</v>
      </c>
      <c r="M172" s="6">
        <v>0.42</v>
      </c>
      <c r="N172" s="6">
        <v>0.42</v>
      </c>
      <c r="O172" s="6">
        <v>0.42</v>
      </c>
      <c r="P172" s="6">
        <v>1</v>
      </c>
      <c r="Q172" s="4" t="s">
        <v>26</v>
      </c>
      <c r="R172" s="4">
        <v>0</v>
      </c>
      <c r="S172" s="4">
        <v>0</v>
      </c>
      <c r="T172" s="4">
        <v>34</v>
      </c>
      <c r="U172" s="4">
        <v>74</v>
      </c>
      <c r="V172" s="6">
        <f>IF(ISERROR(VLOOKUP($S$172,'TAR FIN'!$A$1:$O$100,15,0)),0,VLOOKUP($S$172,'TAR FIN'!$A$1:$O$100,15,0))</f>
        <v>0</v>
      </c>
      <c r="W172" s="6">
        <f>IF(ISERROR(VLOOKUP($T$172,'TAR FIN'!$A$1:$O$100,15,0)),0,VLOOKUP($T$172,'TAR FIN'!$A$1:$O$100,15,0))</f>
        <v>86.27</v>
      </c>
      <c r="X172" s="6">
        <f>IF(ISERROR(VLOOKUP($U$172,'TAR FIN'!$A$1:$O$100,15,0)),0,VLOOKUP($U$172,'TAR FIN'!$A$1:$O$100,15,0))</f>
        <v>80.959999999999994</v>
      </c>
      <c r="Y172" s="6"/>
      <c r="Z17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2" s="6">
        <f>('TE BE'!$AA$14+'TE BF'!$AA$14+'TE CVA'!$AA$14)*(1-CUSTOS!$M$34)</f>
        <v>87.777787249911555</v>
      </c>
      <c r="AB172" s="6">
        <f t="shared" si="12"/>
        <v>0</v>
      </c>
      <c r="AC172" s="6">
        <f>(L172-M172)*(W172+X172)+($W$276+$X$276-$W$172-$X$172)*(L172)</f>
        <v>130.45200000000003</v>
      </c>
      <c r="AD172" s="6">
        <f t="shared" si="14"/>
        <v>0</v>
      </c>
      <c r="AE172" s="6">
        <f ca="1">(L172-M172)*(Z172+AA172)+($Z$276+$AA$276-$Z$172-$AA$172)*(L172)</f>
        <v>133.63557132218875</v>
      </c>
      <c r="AF172" s="4" t="s">
        <v>915</v>
      </c>
    </row>
    <row r="173" spans="1:32" ht="11.25" customHeight="1" x14ac:dyDescent="0.25">
      <c r="A173" s="4" t="s">
        <v>21</v>
      </c>
      <c r="B173" s="4" t="s">
        <v>22</v>
      </c>
      <c r="C173" s="4" t="s">
        <v>23</v>
      </c>
      <c r="D173" s="4" t="s">
        <v>24</v>
      </c>
      <c r="E173" s="4" t="s">
        <v>29</v>
      </c>
      <c r="F173" s="4" t="s">
        <v>25</v>
      </c>
      <c r="G173" s="4" t="s">
        <v>25</v>
      </c>
      <c r="H173" s="4" t="s">
        <v>25</v>
      </c>
      <c r="I173" s="5">
        <v>44256</v>
      </c>
      <c r="J173" s="6">
        <v>0</v>
      </c>
      <c r="K173" s="6">
        <v>0</v>
      </c>
      <c r="L173" s="6">
        <v>1672.7059999999999</v>
      </c>
      <c r="M173" s="6">
        <v>1672.7059999999999</v>
      </c>
      <c r="N173" s="6">
        <v>1672.7059999999999</v>
      </c>
      <c r="O173" s="6">
        <v>1672.7059999999999</v>
      </c>
      <c r="P173" s="6">
        <v>4873</v>
      </c>
      <c r="Q173" s="4" t="s">
        <v>26</v>
      </c>
      <c r="R173" s="4">
        <v>0</v>
      </c>
      <c r="S173" s="4">
        <v>0</v>
      </c>
      <c r="T173" s="4">
        <v>34</v>
      </c>
      <c r="U173" s="4">
        <v>74</v>
      </c>
      <c r="V173" s="6">
        <f>IF(ISERROR(VLOOKUP($S$173,'TAR FIN'!$A$1:$O$100,15,0)),0,VLOOKUP($S$173,'TAR FIN'!$A$1:$O$100,15,0))</f>
        <v>0</v>
      </c>
      <c r="W173" s="6">
        <f>IF(ISERROR(VLOOKUP($T$173,'TAR FIN'!$A$1:$O$100,15,0)),0,VLOOKUP($T$173,'TAR FIN'!$A$1:$O$100,15,0))</f>
        <v>86.27</v>
      </c>
      <c r="X173" s="6">
        <f>IF(ISERROR(VLOOKUP($U$173,'TAR FIN'!$A$1:$O$100,15,0)),0,VLOOKUP($U$173,'TAR FIN'!$A$1:$O$100,15,0))</f>
        <v>80.959999999999994</v>
      </c>
      <c r="Y173" s="6"/>
      <c r="Z17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3" s="6">
        <f>('TE BE'!$AA$14+'TE BF'!$AA$14+'TE CVA'!$AA$14)*(1-CUSTOS!$M$34)</f>
        <v>87.777787249911555</v>
      </c>
      <c r="AB173" s="6">
        <f t="shared" si="12"/>
        <v>0</v>
      </c>
      <c r="AC173" s="6">
        <f>(L173-M173)*(W173+X173)+($W$276+$X$276-$W$173-$X$173)*(L173)</f>
        <v>519542.48360000009</v>
      </c>
      <c r="AD173" s="6">
        <f t="shared" si="14"/>
        <v>0</v>
      </c>
      <c r="AE173" s="6">
        <f ca="1">(L173-M173)*(Z173+AA173)+($Z$276+$AA$276-$Z$173-$AA$173)*(L173)</f>
        <v>532221.48086679308</v>
      </c>
      <c r="AF173" s="4" t="s">
        <v>915</v>
      </c>
    </row>
    <row r="174" spans="1:32" ht="11.25" customHeight="1" x14ac:dyDescent="0.25">
      <c r="A174" s="4" t="s">
        <v>27</v>
      </c>
      <c r="B174" s="4" t="s">
        <v>22</v>
      </c>
      <c r="C174" s="4" t="s">
        <v>23</v>
      </c>
      <c r="D174" s="4" t="s">
        <v>24</v>
      </c>
      <c r="E174" s="4" t="s">
        <v>29</v>
      </c>
      <c r="F174" s="4" t="s">
        <v>25</v>
      </c>
      <c r="G174" s="4" t="s">
        <v>25</v>
      </c>
      <c r="H174" s="4" t="s">
        <v>25</v>
      </c>
      <c r="I174" s="5">
        <v>44256</v>
      </c>
      <c r="J174" s="6">
        <v>0</v>
      </c>
      <c r="K174" s="6">
        <v>0</v>
      </c>
      <c r="L174" s="6">
        <v>0.56599999999999995</v>
      </c>
      <c r="M174" s="6">
        <v>0.56599999999999995</v>
      </c>
      <c r="N174" s="6">
        <v>0.56599999999999995</v>
      </c>
      <c r="O174" s="6">
        <v>0.56599999999999995</v>
      </c>
      <c r="P174" s="6">
        <v>10</v>
      </c>
      <c r="Q174" s="4" t="s">
        <v>26</v>
      </c>
      <c r="R174" s="4">
        <v>0</v>
      </c>
      <c r="S174" s="4">
        <v>0</v>
      </c>
      <c r="T174" s="4">
        <v>34</v>
      </c>
      <c r="U174" s="4">
        <v>74</v>
      </c>
      <c r="V174" s="6">
        <f>IF(ISERROR(VLOOKUP($S$174,'TAR FIN'!$A$1:$O$100,15,0)),0,VLOOKUP($S$174,'TAR FIN'!$A$1:$O$100,15,0))</f>
        <v>0</v>
      </c>
      <c r="W174" s="6">
        <f>IF(ISERROR(VLOOKUP($T$174,'TAR FIN'!$A$1:$O$100,15,0)),0,VLOOKUP($T$174,'TAR FIN'!$A$1:$O$100,15,0))</f>
        <v>86.27</v>
      </c>
      <c r="X174" s="6">
        <f>IF(ISERROR(VLOOKUP($U$174,'TAR FIN'!$A$1:$O$100,15,0)),0,VLOOKUP($U$174,'TAR FIN'!$A$1:$O$100,15,0))</f>
        <v>80.959999999999994</v>
      </c>
      <c r="Y174" s="6"/>
      <c r="Z17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4" s="6">
        <f>('TE BE'!$AA$14+'TE BF'!$AA$14+'TE CVA'!$AA$14)*(1-CUSTOS!$M$34)</f>
        <v>87.777787249911555</v>
      </c>
      <c r="AB174" s="6">
        <f t="shared" si="12"/>
        <v>0</v>
      </c>
      <c r="AC174" s="6">
        <f>(L174-M174)*(W174+X174)+($W$276+$X$276-$W$174-$X$174)*(L174)</f>
        <v>175.79960000000003</v>
      </c>
      <c r="AD174" s="6">
        <f t="shared" si="14"/>
        <v>0</v>
      </c>
      <c r="AE174" s="6">
        <f ca="1">(L174-M174)*(Z174+AA174)+($Z$276+$AA$276-$Z$174-$AA$174)*(L174)</f>
        <v>180.08984135323533</v>
      </c>
      <c r="AF174" s="4" t="s">
        <v>915</v>
      </c>
    </row>
    <row r="175" spans="1:32" ht="11.25" customHeight="1" x14ac:dyDescent="0.25">
      <c r="A175" s="4" t="s">
        <v>28</v>
      </c>
      <c r="B175" s="4" t="s">
        <v>22</v>
      </c>
      <c r="C175" s="4" t="s">
        <v>23</v>
      </c>
      <c r="D175" s="4" t="s">
        <v>24</v>
      </c>
      <c r="E175" s="4" t="s">
        <v>29</v>
      </c>
      <c r="F175" s="4" t="s">
        <v>25</v>
      </c>
      <c r="G175" s="4" t="s">
        <v>25</v>
      </c>
      <c r="H175" s="4" t="s">
        <v>25</v>
      </c>
      <c r="I175" s="5">
        <v>44256</v>
      </c>
      <c r="J175" s="6">
        <v>0</v>
      </c>
      <c r="K175" s="6">
        <v>0</v>
      </c>
      <c r="L175" s="6">
        <v>0.45</v>
      </c>
      <c r="M175" s="6">
        <v>0.45</v>
      </c>
      <c r="N175" s="6">
        <v>0.45</v>
      </c>
      <c r="O175" s="6">
        <v>0.45</v>
      </c>
      <c r="P175" s="6">
        <v>0</v>
      </c>
      <c r="Q175" s="4" t="s">
        <v>26</v>
      </c>
      <c r="R175" s="4">
        <v>0</v>
      </c>
      <c r="S175" s="4">
        <v>0</v>
      </c>
      <c r="T175" s="4">
        <v>34</v>
      </c>
      <c r="U175" s="4">
        <v>74</v>
      </c>
      <c r="V175" s="6">
        <f>IF(ISERROR(VLOOKUP($S$175,'TAR FIN'!$A$1:$O$100,15,0)),0,VLOOKUP($S$175,'TAR FIN'!$A$1:$O$100,15,0))</f>
        <v>0</v>
      </c>
      <c r="W175" s="6">
        <f>IF(ISERROR(VLOOKUP($T$175,'TAR FIN'!$A$1:$O$100,15,0)),0,VLOOKUP($T$175,'TAR FIN'!$A$1:$O$100,15,0))</f>
        <v>86.27</v>
      </c>
      <c r="X175" s="6">
        <f>IF(ISERROR(VLOOKUP($U$175,'TAR FIN'!$A$1:$O$100,15,0)),0,VLOOKUP($U$175,'TAR FIN'!$A$1:$O$100,15,0))</f>
        <v>80.959999999999994</v>
      </c>
      <c r="Y175" s="6"/>
      <c r="Z17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5" s="6">
        <f>('TE BE'!$AA$14+'TE BF'!$AA$14+'TE CVA'!$AA$14)*(1-CUSTOS!$M$34)</f>
        <v>87.777787249911555</v>
      </c>
      <c r="AB175" s="6">
        <f t="shared" si="12"/>
        <v>0</v>
      </c>
      <c r="AC175" s="6">
        <f>(L175-M175)*(W175+X175)+($W$276+$X$276-$W$175-$X$175)*(L175)</f>
        <v>139.77000000000004</v>
      </c>
      <c r="AD175" s="6">
        <f t="shared" si="14"/>
        <v>0</v>
      </c>
      <c r="AE175" s="6">
        <f ca="1">(L175-M175)*(Z175+AA175)+($Z$276+$AA$276-$Z$175-$AA$175)*(L175)</f>
        <v>143.18096927377368</v>
      </c>
      <c r="AF175" s="4" t="s">
        <v>915</v>
      </c>
    </row>
    <row r="176" spans="1:32" ht="11.25" customHeight="1" x14ac:dyDescent="0.25">
      <c r="A176" s="4" t="s">
        <v>21</v>
      </c>
      <c r="B176" s="4" t="s">
        <v>22</v>
      </c>
      <c r="C176" s="4" t="s">
        <v>23</v>
      </c>
      <c r="D176" s="4" t="s">
        <v>24</v>
      </c>
      <c r="E176" s="4" t="s">
        <v>29</v>
      </c>
      <c r="F176" s="4" t="s">
        <v>25</v>
      </c>
      <c r="G176" s="4" t="s">
        <v>25</v>
      </c>
      <c r="H176" s="4" t="s">
        <v>25</v>
      </c>
      <c r="I176" s="5">
        <v>44287</v>
      </c>
      <c r="J176" s="6">
        <v>0</v>
      </c>
      <c r="K176" s="6">
        <v>0</v>
      </c>
      <c r="L176" s="6">
        <v>1672.297</v>
      </c>
      <c r="M176" s="6">
        <v>1672.297</v>
      </c>
      <c r="N176" s="6">
        <v>1672.297</v>
      </c>
      <c r="O176" s="6">
        <v>1672.297</v>
      </c>
      <c r="P176" s="6">
        <v>4813</v>
      </c>
      <c r="Q176" s="4" t="s">
        <v>26</v>
      </c>
      <c r="R176" s="4">
        <v>0</v>
      </c>
      <c r="S176" s="4">
        <v>0</v>
      </c>
      <c r="T176" s="4">
        <v>34</v>
      </c>
      <c r="U176" s="4">
        <v>74</v>
      </c>
      <c r="V176" s="6">
        <f>IF(ISERROR(VLOOKUP($S$176,'TAR FIN'!$A$1:$O$100,15,0)),0,VLOOKUP($S$176,'TAR FIN'!$A$1:$O$100,15,0))</f>
        <v>0</v>
      </c>
      <c r="W176" s="6">
        <f>IF(ISERROR(VLOOKUP($T$176,'TAR FIN'!$A$1:$O$100,15,0)),0,VLOOKUP($T$176,'TAR FIN'!$A$1:$O$100,15,0))</f>
        <v>86.27</v>
      </c>
      <c r="X176" s="6">
        <f>IF(ISERROR(VLOOKUP($U$176,'TAR FIN'!$A$1:$O$100,15,0)),0,VLOOKUP($U$176,'TAR FIN'!$A$1:$O$100,15,0))</f>
        <v>80.959999999999994</v>
      </c>
      <c r="Y176" s="6"/>
      <c r="Z176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6" s="6">
        <f>('TE BE'!$AA$14+'TE BF'!$AA$14+'TE CVA'!$AA$14)*(1-CUSTOS!$M$34)</f>
        <v>87.777787249911555</v>
      </c>
      <c r="AB176" s="6">
        <f t="shared" si="12"/>
        <v>0</v>
      </c>
      <c r="AC176" s="6">
        <f>(L176-M176)*(W176+X176)+($W$276+$X$276-$W$176-$X$176)*(L176)</f>
        <v>519415.44820000016</v>
      </c>
      <c r="AD176" s="6">
        <f t="shared" si="14"/>
        <v>0</v>
      </c>
      <c r="AE176" s="6">
        <f ca="1">(L176-M176)*(Z176+AA176)+($Z$276+$AA$276-$Z$176-$AA$176)*(L176)</f>
        <v>532091.34527471976</v>
      </c>
      <c r="AF176" s="4" t="s">
        <v>915</v>
      </c>
    </row>
    <row r="177" spans="1:32" ht="11.25" customHeight="1" x14ac:dyDescent="0.25">
      <c r="A177" s="4" t="s">
        <v>27</v>
      </c>
      <c r="B177" s="4" t="s">
        <v>22</v>
      </c>
      <c r="C177" s="4" t="s">
        <v>23</v>
      </c>
      <c r="D177" s="4" t="s">
        <v>24</v>
      </c>
      <c r="E177" s="4" t="s">
        <v>29</v>
      </c>
      <c r="F177" s="4" t="s">
        <v>25</v>
      </c>
      <c r="G177" s="4" t="s">
        <v>25</v>
      </c>
      <c r="H177" s="4" t="s">
        <v>25</v>
      </c>
      <c r="I177" s="5">
        <v>44287</v>
      </c>
      <c r="J177" s="6">
        <v>0</v>
      </c>
      <c r="K177" s="6">
        <v>0</v>
      </c>
      <c r="L177" s="6">
        <v>3.3000000000000002E-2</v>
      </c>
      <c r="M177" s="6">
        <v>3.3000000000000002E-2</v>
      </c>
      <c r="N177" s="6">
        <v>3.3000000000000002E-2</v>
      </c>
      <c r="O177" s="6">
        <v>3.3000000000000002E-2</v>
      </c>
      <c r="P177" s="6">
        <v>1</v>
      </c>
      <c r="Q177" s="4" t="s">
        <v>26</v>
      </c>
      <c r="R177" s="4">
        <v>0</v>
      </c>
      <c r="S177" s="4">
        <v>0</v>
      </c>
      <c r="T177" s="4">
        <v>34</v>
      </c>
      <c r="U177" s="4">
        <v>74</v>
      </c>
      <c r="V177" s="6">
        <f>IF(ISERROR(VLOOKUP($S$177,'TAR FIN'!$A$1:$O$100,15,0)),0,VLOOKUP($S$177,'TAR FIN'!$A$1:$O$100,15,0))</f>
        <v>0</v>
      </c>
      <c r="W177" s="6">
        <f>IF(ISERROR(VLOOKUP($T$177,'TAR FIN'!$A$1:$O$100,15,0)),0,VLOOKUP($T$177,'TAR FIN'!$A$1:$O$100,15,0))</f>
        <v>86.27</v>
      </c>
      <c r="X177" s="6">
        <f>IF(ISERROR(VLOOKUP($U$177,'TAR FIN'!$A$1:$O$100,15,0)),0,VLOOKUP($U$177,'TAR FIN'!$A$1:$O$100,15,0))</f>
        <v>80.959999999999994</v>
      </c>
      <c r="Y177" s="6"/>
      <c r="Z177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7" s="6">
        <f>('TE BE'!$AA$14+'TE BF'!$AA$14+'TE CVA'!$AA$14)*(1-CUSTOS!$M$34)</f>
        <v>87.777787249911555</v>
      </c>
      <c r="AB177" s="6">
        <f t="shared" si="12"/>
        <v>0</v>
      </c>
      <c r="AC177" s="6">
        <f>(L177-M177)*(W177+X177)+($W$276+$X$276-$W$177-$X$177)*(L177)</f>
        <v>10.249800000000002</v>
      </c>
      <c r="AD177" s="6">
        <f t="shared" si="14"/>
        <v>0</v>
      </c>
      <c r="AE177" s="6">
        <f ca="1">(L177-M177)*(Z177+AA177)+($Z$276+$AA$276-$Z$177-$AA$177)*(L177)</f>
        <v>10.499937746743404</v>
      </c>
      <c r="AF177" s="4" t="s">
        <v>915</v>
      </c>
    </row>
    <row r="178" spans="1:32" ht="11.25" customHeight="1" x14ac:dyDescent="0.25">
      <c r="A178" s="4" t="s">
        <v>28</v>
      </c>
      <c r="B178" s="4" t="s">
        <v>22</v>
      </c>
      <c r="C178" s="4" t="s">
        <v>23</v>
      </c>
      <c r="D178" s="4" t="s">
        <v>24</v>
      </c>
      <c r="E178" s="4" t="s">
        <v>29</v>
      </c>
      <c r="F178" s="4" t="s">
        <v>25</v>
      </c>
      <c r="G178" s="4" t="s">
        <v>25</v>
      </c>
      <c r="H178" s="4" t="s">
        <v>25</v>
      </c>
      <c r="I178" s="5">
        <v>44287</v>
      </c>
      <c r="J178" s="6">
        <v>0</v>
      </c>
      <c r="K178" s="6">
        <v>0</v>
      </c>
      <c r="L178" s="6">
        <v>0.45</v>
      </c>
      <c r="M178" s="6">
        <v>0.45</v>
      </c>
      <c r="N178" s="6">
        <v>0.45</v>
      </c>
      <c r="O178" s="6">
        <v>0.45</v>
      </c>
      <c r="P178" s="6">
        <v>0</v>
      </c>
      <c r="Q178" s="4" t="s">
        <v>26</v>
      </c>
      <c r="R178" s="4">
        <v>0</v>
      </c>
      <c r="S178" s="4">
        <v>0</v>
      </c>
      <c r="T178" s="4">
        <v>34</v>
      </c>
      <c r="U178" s="4">
        <v>74</v>
      </c>
      <c r="V178" s="6">
        <f>IF(ISERROR(VLOOKUP($S$178,'TAR FIN'!$A$1:$O$100,15,0)),0,VLOOKUP($S$178,'TAR FIN'!$A$1:$O$100,15,0))</f>
        <v>0</v>
      </c>
      <c r="W178" s="6">
        <f>IF(ISERROR(VLOOKUP($T$178,'TAR FIN'!$A$1:$O$100,15,0)),0,VLOOKUP($T$178,'TAR FIN'!$A$1:$O$100,15,0))</f>
        <v>86.27</v>
      </c>
      <c r="X178" s="6">
        <f>IF(ISERROR(VLOOKUP($U$178,'TAR FIN'!$A$1:$O$100,15,0)),0,VLOOKUP($U$178,'TAR FIN'!$A$1:$O$100,15,0))</f>
        <v>80.959999999999994</v>
      </c>
      <c r="Y178" s="6"/>
      <c r="Z17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8" s="6">
        <f>('TE BE'!$AA$14+'TE BF'!$AA$14+'TE CVA'!$AA$14)*(1-CUSTOS!$M$34)</f>
        <v>87.777787249911555</v>
      </c>
      <c r="AB178" s="6">
        <f t="shared" si="12"/>
        <v>0</v>
      </c>
      <c r="AC178" s="6">
        <f>(L178-M178)*(W178+X178)+($W$276+$X$276-$W$178-$X$178)*(L178)</f>
        <v>139.77000000000004</v>
      </c>
      <c r="AD178" s="6">
        <f t="shared" si="14"/>
        <v>0</v>
      </c>
      <c r="AE178" s="6">
        <f ca="1">(L178-M178)*(Z178+AA178)+($Z$276+$AA$276-$Z$178-$AA$178)*(L178)</f>
        <v>143.18096927377368</v>
      </c>
      <c r="AF178" s="4" t="s">
        <v>915</v>
      </c>
    </row>
    <row r="179" spans="1:32" ht="11.25" customHeight="1" x14ac:dyDescent="0.25">
      <c r="A179" s="4" t="s">
        <v>21</v>
      </c>
      <c r="B179" s="4" t="s">
        <v>22</v>
      </c>
      <c r="C179" s="4" t="s">
        <v>23</v>
      </c>
      <c r="D179" s="4" t="s">
        <v>24</v>
      </c>
      <c r="E179" s="4" t="s">
        <v>29</v>
      </c>
      <c r="F179" s="4" t="s">
        <v>25</v>
      </c>
      <c r="G179" s="4" t="s">
        <v>25</v>
      </c>
      <c r="H179" s="4" t="s">
        <v>25</v>
      </c>
      <c r="I179" s="5">
        <v>44317</v>
      </c>
      <c r="J179" s="6">
        <v>0</v>
      </c>
      <c r="K179" s="6">
        <v>0</v>
      </c>
      <c r="L179" s="6">
        <v>1676.741</v>
      </c>
      <c r="M179" s="6">
        <v>1676.741</v>
      </c>
      <c r="N179" s="6">
        <v>1676.741</v>
      </c>
      <c r="O179" s="6">
        <v>1676.741</v>
      </c>
      <c r="P179" s="6">
        <v>5077</v>
      </c>
      <c r="Q179" s="4" t="s">
        <v>26</v>
      </c>
      <c r="R179" s="4">
        <v>0</v>
      </c>
      <c r="S179" s="4">
        <v>0</v>
      </c>
      <c r="T179" s="4">
        <v>34</v>
      </c>
      <c r="U179" s="4">
        <v>74</v>
      </c>
      <c r="V179" s="6">
        <f>IF(ISERROR(VLOOKUP($S$179,'TAR FIN'!$A$1:$O$100,15,0)),0,VLOOKUP($S$179,'TAR FIN'!$A$1:$O$100,15,0))</f>
        <v>0</v>
      </c>
      <c r="W179" s="6">
        <f>IF(ISERROR(VLOOKUP($T$179,'TAR FIN'!$A$1:$O$100,15,0)),0,VLOOKUP($T$179,'TAR FIN'!$A$1:$O$100,15,0))</f>
        <v>86.27</v>
      </c>
      <c r="X179" s="6">
        <f>IF(ISERROR(VLOOKUP($U$179,'TAR FIN'!$A$1:$O$100,15,0)),0,VLOOKUP($U$179,'TAR FIN'!$A$1:$O$100,15,0))</f>
        <v>80.959999999999994</v>
      </c>
      <c r="Y179" s="6"/>
      <c r="Z17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79" s="6">
        <f>('TE BE'!$AA$14+'TE BF'!$AA$14+'TE CVA'!$AA$14)*(1-CUSTOS!$M$34)</f>
        <v>87.777787249911555</v>
      </c>
      <c r="AB179" s="6">
        <f t="shared" si="12"/>
        <v>0</v>
      </c>
      <c r="AC179" s="6">
        <f>(L179-M179)*(W179+X179)+($W$276+$X$276-$W$179-$X$179)*(L179)</f>
        <v>520795.7546000001</v>
      </c>
      <c r="AD179" s="6">
        <f t="shared" si="14"/>
        <v>0</v>
      </c>
      <c r="AE179" s="6">
        <f ca="1">(L179-M179)*(Z179+AA179)+($Z$276+$AA$276-$Z$179-$AA$179)*(L179)</f>
        <v>533505.33689128119</v>
      </c>
      <c r="AF179" s="4" t="s">
        <v>915</v>
      </c>
    </row>
    <row r="180" spans="1:32" ht="11.25" customHeight="1" x14ac:dyDescent="0.25">
      <c r="A180" s="4" t="s">
        <v>27</v>
      </c>
      <c r="B180" s="4" t="s">
        <v>22</v>
      </c>
      <c r="C180" s="4" t="s">
        <v>23</v>
      </c>
      <c r="D180" s="4" t="s">
        <v>24</v>
      </c>
      <c r="E180" s="4" t="s">
        <v>29</v>
      </c>
      <c r="F180" s="4" t="s">
        <v>25</v>
      </c>
      <c r="G180" s="4" t="s">
        <v>25</v>
      </c>
      <c r="H180" s="4" t="s">
        <v>25</v>
      </c>
      <c r="I180" s="5">
        <v>44317</v>
      </c>
      <c r="J180" s="6">
        <v>0</v>
      </c>
      <c r="K180" s="6">
        <v>0</v>
      </c>
      <c r="L180" s="6">
        <v>4.2000000000000003E-2</v>
      </c>
      <c r="M180" s="6">
        <v>4.2000000000000003E-2</v>
      </c>
      <c r="N180" s="6">
        <v>4.2000000000000003E-2</v>
      </c>
      <c r="O180" s="6">
        <v>4.2000000000000003E-2</v>
      </c>
      <c r="P180" s="6">
        <v>3</v>
      </c>
      <c r="Q180" s="4" t="s">
        <v>26</v>
      </c>
      <c r="R180" s="4">
        <v>0</v>
      </c>
      <c r="S180" s="4">
        <v>0</v>
      </c>
      <c r="T180" s="4">
        <v>34</v>
      </c>
      <c r="U180" s="4">
        <v>74</v>
      </c>
      <c r="V180" s="6">
        <f>IF(ISERROR(VLOOKUP($S$180,'TAR FIN'!$A$1:$O$100,15,0)),0,VLOOKUP($S$180,'TAR FIN'!$A$1:$O$100,15,0))</f>
        <v>0</v>
      </c>
      <c r="W180" s="6">
        <f>IF(ISERROR(VLOOKUP($T$180,'TAR FIN'!$A$1:$O$100,15,0)),0,VLOOKUP($T$180,'TAR FIN'!$A$1:$O$100,15,0))</f>
        <v>86.27</v>
      </c>
      <c r="X180" s="6">
        <f>IF(ISERROR(VLOOKUP($U$180,'TAR FIN'!$A$1:$O$100,15,0)),0,VLOOKUP($U$180,'TAR FIN'!$A$1:$O$100,15,0))</f>
        <v>80.959999999999994</v>
      </c>
      <c r="Y180" s="6"/>
      <c r="Z18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0" s="6">
        <f>('TE BE'!$AA$14+'TE BF'!$AA$14+'TE CVA'!$AA$14)*(1-CUSTOS!$M$34)</f>
        <v>87.777787249911555</v>
      </c>
      <c r="AB180" s="6">
        <f t="shared" si="12"/>
        <v>0</v>
      </c>
      <c r="AC180" s="6">
        <f>(L180-M180)*(W180+X180)+($W$276+$X$276-$W$180-$X$180)*(L180)</f>
        <v>13.045200000000005</v>
      </c>
      <c r="AD180" s="6">
        <f t="shared" si="14"/>
        <v>0</v>
      </c>
      <c r="AE180" s="6">
        <f ca="1">(L180-M180)*(Z180+AA180)+($Z$276+$AA$276-$Z$180-$AA$180)*(L180)</f>
        <v>13.363557132218878</v>
      </c>
      <c r="AF180" s="4" t="s">
        <v>915</v>
      </c>
    </row>
    <row r="181" spans="1:32" ht="11.25" customHeight="1" x14ac:dyDescent="0.25">
      <c r="A181" s="4" t="s">
        <v>28</v>
      </c>
      <c r="B181" s="4" t="s">
        <v>22</v>
      </c>
      <c r="C181" s="4" t="s">
        <v>23</v>
      </c>
      <c r="D181" s="4" t="s">
        <v>24</v>
      </c>
      <c r="E181" s="4" t="s">
        <v>29</v>
      </c>
      <c r="F181" s="4" t="s">
        <v>25</v>
      </c>
      <c r="G181" s="4" t="s">
        <v>25</v>
      </c>
      <c r="H181" s="4" t="s">
        <v>25</v>
      </c>
      <c r="I181" s="5">
        <v>44317</v>
      </c>
      <c r="J181" s="6">
        <v>0</v>
      </c>
      <c r="K181" s="6">
        <v>0</v>
      </c>
      <c r="L181" s="6">
        <v>0.48</v>
      </c>
      <c r="M181" s="6">
        <v>0.48</v>
      </c>
      <c r="N181" s="6">
        <v>0.48</v>
      </c>
      <c r="O181" s="6">
        <v>0.48</v>
      </c>
      <c r="P181" s="6">
        <v>1</v>
      </c>
      <c r="Q181" s="4" t="s">
        <v>26</v>
      </c>
      <c r="R181" s="4">
        <v>0</v>
      </c>
      <c r="S181" s="4">
        <v>0</v>
      </c>
      <c r="T181" s="4">
        <v>34</v>
      </c>
      <c r="U181" s="4">
        <v>74</v>
      </c>
      <c r="V181" s="6">
        <f>IF(ISERROR(VLOOKUP($S$181,'TAR FIN'!$A$1:$O$100,15,0)),0,VLOOKUP($S$181,'TAR FIN'!$A$1:$O$100,15,0))</f>
        <v>0</v>
      </c>
      <c r="W181" s="6">
        <f>IF(ISERROR(VLOOKUP($T$181,'TAR FIN'!$A$1:$O$100,15,0)),0,VLOOKUP($T$181,'TAR FIN'!$A$1:$O$100,15,0))</f>
        <v>86.27</v>
      </c>
      <c r="X181" s="6">
        <f>IF(ISERROR(VLOOKUP($U$181,'TAR FIN'!$A$1:$O$100,15,0)),0,VLOOKUP($U$181,'TAR FIN'!$A$1:$O$100,15,0))</f>
        <v>80.959999999999994</v>
      </c>
      <c r="Y181" s="6"/>
      <c r="Z18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1" s="6">
        <f>('TE BE'!$AA$14+'TE BF'!$AA$14+'TE CVA'!$AA$14)*(1-CUSTOS!$M$34)</f>
        <v>87.777787249911555</v>
      </c>
      <c r="AB181" s="6">
        <f t="shared" si="12"/>
        <v>0</v>
      </c>
      <c r="AC181" s="6">
        <f>(L181-M181)*(W181+X181)+($W$276+$X$276-$W$181-$X$181)*(L181)</f>
        <v>149.08800000000002</v>
      </c>
      <c r="AD181" s="6">
        <f t="shared" si="14"/>
        <v>0</v>
      </c>
      <c r="AE181" s="6">
        <f ca="1">(L181-M181)*(Z181+AA181)+($Z$276+$AA$276-$Z$181-$AA$181)*(L181)</f>
        <v>152.72636722535859</v>
      </c>
      <c r="AF181" s="4" t="s">
        <v>915</v>
      </c>
    </row>
    <row r="182" spans="1:32" ht="11.25" customHeight="1" x14ac:dyDescent="0.25">
      <c r="A182" s="4" t="s">
        <v>21</v>
      </c>
      <c r="B182" s="4" t="s">
        <v>22</v>
      </c>
      <c r="C182" s="4" t="s">
        <v>23</v>
      </c>
      <c r="D182" s="4" t="s">
        <v>24</v>
      </c>
      <c r="E182" s="4" t="s">
        <v>29</v>
      </c>
      <c r="F182" s="4" t="s">
        <v>25</v>
      </c>
      <c r="G182" s="4" t="s">
        <v>25</v>
      </c>
      <c r="H182" s="4" t="s">
        <v>25</v>
      </c>
      <c r="I182" s="5">
        <v>44348</v>
      </c>
      <c r="J182" s="6">
        <v>0</v>
      </c>
      <c r="K182" s="6">
        <v>0</v>
      </c>
      <c r="L182" s="6">
        <v>1685.271</v>
      </c>
      <c r="M182" s="6">
        <v>1685.271</v>
      </c>
      <c r="N182" s="6">
        <v>1685.271</v>
      </c>
      <c r="O182" s="6">
        <v>1685.271</v>
      </c>
      <c r="P182" s="6">
        <v>5372</v>
      </c>
      <c r="Q182" s="4" t="s">
        <v>26</v>
      </c>
      <c r="R182" s="4">
        <v>0</v>
      </c>
      <c r="S182" s="4">
        <v>0</v>
      </c>
      <c r="T182" s="4">
        <v>34</v>
      </c>
      <c r="U182" s="4">
        <v>74</v>
      </c>
      <c r="V182" s="6">
        <f>IF(ISERROR(VLOOKUP($S$182,'TAR FIN'!$A$1:$O$100,15,0)),0,VLOOKUP($S$182,'TAR FIN'!$A$1:$O$100,15,0))</f>
        <v>0</v>
      </c>
      <c r="W182" s="6">
        <f>IF(ISERROR(VLOOKUP($T$182,'TAR FIN'!$A$1:$O$100,15,0)),0,VLOOKUP($T$182,'TAR FIN'!$A$1:$O$100,15,0))</f>
        <v>86.27</v>
      </c>
      <c r="X182" s="6">
        <f>IF(ISERROR(VLOOKUP($U$182,'TAR FIN'!$A$1:$O$100,15,0)),0,VLOOKUP($U$182,'TAR FIN'!$A$1:$O$100,15,0))</f>
        <v>80.959999999999994</v>
      </c>
      <c r="Y182" s="6"/>
      <c r="Z18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2" s="6">
        <f>('TE BE'!$AA$14+'TE BF'!$AA$14+'TE CVA'!$AA$14)*(1-CUSTOS!$M$34)</f>
        <v>87.777787249911555</v>
      </c>
      <c r="AB182" s="6">
        <f t="shared" si="12"/>
        <v>0</v>
      </c>
      <c r="AC182" s="6">
        <f>(L182-M182)*(W182+X182)+($W$276+$X$276-$W$182-$X$182)*(L182)</f>
        <v>523445.17260000011</v>
      </c>
      <c r="AD182" s="6">
        <f t="shared" si="14"/>
        <v>0</v>
      </c>
      <c r="AE182" s="6">
        <f ca="1">(L182-M182)*(Z182+AA182)+($Z$276+$AA$276-$Z$182-$AA$182)*(L182)</f>
        <v>536219.41170884855</v>
      </c>
      <c r="AF182" s="4" t="s">
        <v>915</v>
      </c>
    </row>
    <row r="183" spans="1:32" ht="11.25" customHeight="1" x14ac:dyDescent="0.25">
      <c r="A183" s="4" t="s">
        <v>27</v>
      </c>
      <c r="B183" s="4" t="s">
        <v>22</v>
      </c>
      <c r="C183" s="4" t="s">
        <v>23</v>
      </c>
      <c r="D183" s="4" t="s">
        <v>24</v>
      </c>
      <c r="E183" s="4" t="s">
        <v>29</v>
      </c>
      <c r="F183" s="4" t="s">
        <v>25</v>
      </c>
      <c r="G183" s="4" t="s">
        <v>25</v>
      </c>
      <c r="H183" s="4" t="s">
        <v>25</v>
      </c>
      <c r="I183" s="5">
        <v>44348</v>
      </c>
      <c r="J183" s="6">
        <v>0</v>
      </c>
      <c r="K183" s="6">
        <v>0</v>
      </c>
      <c r="L183" s="6">
        <v>0.70599999999999996</v>
      </c>
      <c r="M183" s="6">
        <v>0.70599999999999996</v>
      </c>
      <c r="N183" s="6">
        <v>0.70599999999999996</v>
      </c>
      <c r="O183" s="6">
        <v>0.70599999999999996</v>
      </c>
      <c r="P183" s="6">
        <v>6</v>
      </c>
      <c r="Q183" s="4" t="s">
        <v>26</v>
      </c>
      <c r="R183" s="4">
        <v>0</v>
      </c>
      <c r="S183" s="4">
        <v>0</v>
      </c>
      <c r="T183" s="4">
        <v>34</v>
      </c>
      <c r="U183" s="4">
        <v>74</v>
      </c>
      <c r="V183" s="6">
        <f>IF(ISERROR(VLOOKUP($S$183,'TAR FIN'!$A$1:$O$100,15,0)),0,VLOOKUP($S$183,'TAR FIN'!$A$1:$O$100,15,0))</f>
        <v>0</v>
      </c>
      <c r="W183" s="6">
        <f>IF(ISERROR(VLOOKUP($T$183,'TAR FIN'!$A$1:$O$100,15,0)),0,VLOOKUP($T$183,'TAR FIN'!$A$1:$O$100,15,0))</f>
        <v>86.27</v>
      </c>
      <c r="X183" s="6">
        <f>IF(ISERROR(VLOOKUP($U$183,'TAR FIN'!$A$1:$O$100,15,0)),0,VLOOKUP($U$183,'TAR FIN'!$A$1:$O$100,15,0))</f>
        <v>80.959999999999994</v>
      </c>
      <c r="Y183" s="6"/>
      <c r="Z18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3" s="6">
        <f>('TE BE'!$AA$14+'TE BF'!$AA$14+'TE CVA'!$AA$14)*(1-CUSTOS!$M$34)</f>
        <v>87.777787249911555</v>
      </c>
      <c r="AB183" s="6">
        <f t="shared" si="12"/>
        <v>0</v>
      </c>
      <c r="AC183" s="6">
        <f>(L183-M183)*(W183+X183)+($W$276+$X$276-$W$183-$X$183)*(L183)</f>
        <v>219.28360000000004</v>
      </c>
      <c r="AD183" s="6">
        <f t="shared" si="14"/>
        <v>0</v>
      </c>
      <c r="AE183" s="6">
        <f ca="1">(L183-M183)*(Z183+AA183)+($Z$276+$AA$276-$Z$183-$AA$183)*(L183)</f>
        <v>224.63503179396491</v>
      </c>
      <c r="AF183" s="4" t="s">
        <v>915</v>
      </c>
    </row>
    <row r="184" spans="1:32" ht="11.25" customHeight="1" x14ac:dyDescent="0.25">
      <c r="A184" s="4" t="s">
        <v>28</v>
      </c>
      <c r="B184" s="4" t="s">
        <v>22</v>
      </c>
      <c r="C184" s="4" t="s">
        <v>23</v>
      </c>
      <c r="D184" s="4" t="s">
        <v>24</v>
      </c>
      <c r="E184" s="4" t="s">
        <v>29</v>
      </c>
      <c r="F184" s="4" t="s">
        <v>25</v>
      </c>
      <c r="G184" s="4" t="s">
        <v>25</v>
      </c>
      <c r="H184" s="4" t="s">
        <v>25</v>
      </c>
      <c r="I184" s="5">
        <v>44348</v>
      </c>
      <c r="J184" s="6">
        <v>0</v>
      </c>
      <c r="K184" s="6">
        <v>0</v>
      </c>
      <c r="L184" s="6">
        <v>0.54</v>
      </c>
      <c r="M184" s="6">
        <v>0.54</v>
      </c>
      <c r="N184" s="6">
        <v>0.54</v>
      </c>
      <c r="O184" s="6">
        <v>0.54</v>
      </c>
      <c r="P184" s="6">
        <v>1</v>
      </c>
      <c r="Q184" s="4" t="s">
        <v>26</v>
      </c>
      <c r="R184" s="4">
        <v>0</v>
      </c>
      <c r="S184" s="4">
        <v>0</v>
      </c>
      <c r="T184" s="4">
        <v>34</v>
      </c>
      <c r="U184" s="4">
        <v>74</v>
      </c>
      <c r="V184" s="6">
        <f>IF(ISERROR(VLOOKUP($S$184,'TAR FIN'!$A$1:$O$100,15,0)),0,VLOOKUP($S$184,'TAR FIN'!$A$1:$O$100,15,0))</f>
        <v>0</v>
      </c>
      <c r="W184" s="6">
        <f>IF(ISERROR(VLOOKUP($T$184,'TAR FIN'!$A$1:$O$100,15,0)),0,VLOOKUP($T$184,'TAR FIN'!$A$1:$O$100,15,0))</f>
        <v>86.27</v>
      </c>
      <c r="X184" s="6">
        <f>IF(ISERROR(VLOOKUP($U$184,'TAR FIN'!$A$1:$O$100,15,0)),0,VLOOKUP($U$184,'TAR FIN'!$A$1:$O$100,15,0))</f>
        <v>80.959999999999994</v>
      </c>
      <c r="Y184" s="6"/>
      <c r="Z18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4" s="6">
        <f>('TE BE'!$AA$14+'TE BF'!$AA$14+'TE CVA'!$AA$14)*(1-CUSTOS!$M$34)</f>
        <v>87.777787249911555</v>
      </c>
      <c r="AB184" s="6">
        <f t="shared" si="12"/>
        <v>0</v>
      </c>
      <c r="AC184" s="6">
        <f>(L184-M184)*(W184+X184)+($W$276+$X$276-$W$184-$X$184)*(L184)</f>
        <v>167.72400000000005</v>
      </c>
      <c r="AD184" s="6">
        <f t="shared" si="14"/>
        <v>0</v>
      </c>
      <c r="AE184" s="6">
        <f ca="1">(L184-M184)*(Z184+AA184)+($Z$276+$AA$276-$Z$184-$AA$184)*(L184)</f>
        <v>171.81716312852842</v>
      </c>
      <c r="AF184" s="4" t="s">
        <v>915</v>
      </c>
    </row>
    <row r="185" spans="1:32" ht="11.25" customHeight="1" x14ac:dyDescent="0.25">
      <c r="A185" s="4" t="s">
        <v>21</v>
      </c>
      <c r="B185" s="4" t="s">
        <v>22</v>
      </c>
      <c r="C185" s="4" t="s">
        <v>23</v>
      </c>
      <c r="D185" s="4" t="s">
        <v>24</v>
      </c>
      <c r="E185" s="4" t="s">
        <v>29</v>
      </c>
      <c r="F185" s="4" t="s">
        <v>25</v>
      </c>
      <c r="G185" s="4" t="s">
        <v>25</v>
      </c>
      <c r="H185" s="4" t="s">
        <v>25</v>
      </c>
      <c r="I185" s="5">
        <v>44378</v>
      </c>
      <c r="J185" s="6">
        <v>0</v>
      </c>
      <c r="K185" s="6">
        <v>0</v>
      </c>
      <c r="L185" s="6">
        <v>1704.3109999999999</v>
      </c>
      <c r="M185" s="6">
        <v>1704.3109999999999</v>
      </c>
      <c r="N185" s="6">
        <v>1704.3109999999999</v>
      </c>
      <c r="O185" s="6">
        <v>1704.3109999999999</v>
      </c>
      <c r="P185" s="6">
        <v>5324</v>
      </c>
      <c r="Q185" s="4" t="s">
        <v>26</v>
      </c>
      <c r="R185" s="4">
        <v>0</v>
      </c>
      <c r="S185" s="4">
        <v>0</v>
      </c>
      <c r="T185" s="4">
        <v>34</v>
      </c>
      <c r="U185" s="4">
        <v>74</v>
      </c>
      <c r="V185" s="6">
        <f>IF(ISERROR(VLOOKUP($S$185,'TAR FIN'!$A$1:$O$100,15,0)),0,VLOOKUP($S$185,'TAR FIN'!$A$1:$O$100,15,0))</f>
        <v>0</v>
      </c>
      <c r="W185" s="6">
        <f>IF(ISERROR(VLOOKUP($T$185,'TAR FIN'!$A$1:$O$100,15,0)),0,VLOOKUP($T$185,'TAR FIN'!$A$1:$O$100,15,0))</f>
        <v>86.27</v>
      </c>
      <c r="X185" s="6">
        <f>IF(ISERROR(VLOOKUP($U$185,'TAR FIN'!$A$1:$O$100,15,0)),0,VLOOKUP($U$185,'TAR FIN'!$A$1:$O$100,15,0))</f>
        <v>80.959999999999994</v>
      </c>
      <c r="Y185" s="6"/>
      <c r="Z18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5" s="6">
        <f>('TE BE'!$AA$14+'TE BF'!$AA$14+'TE CVA'!$AA$14)*(1-CUSTOS!$M$34)</f>
        <v>87.777787249911555</v>
      </c>
      <c r="AB185" s="6">
        <f t="shared" si="12"/>
        <v>0</v>
      </c>
      <c r="AC185" s="6">
        <f>(L185-M185)*(W185+X185)+($W$276+$X$276-$W$185-$X$185)*(L185)</f>
        <v>529358.99660000007</v>
      </c>
      <c r="AD185" s="6">
        <f t="shared" si="14"/>
        <v>0</v>
      </c>
      <c r="AE185" s="6">
        <f ca="1">(L185-M185)*(Z185+AA185)+($Z$276+$AA$276-$Z$185-$AA$185)*(L185)</f>
        <v>542277.55760878779</v>
      </c>
      <c r="AF185" s="4" t="s">
        <v>915</v>
      </c>
    </row>
    <row r="186" spans="1:32" ht="11.25" customHeight="1" x14ac:dyDescent="0.25">
      <c r="A186" s="4" t="s">
        <v>27</v>
      </c>
      <c r="B186" s="4" t="s">
        <v>22</v>
      </c>
      <c r="C186" s="4" t="s">
        <v>23</v>
      </c>
      <c r="D186" s="4" t="s">
        <v>24</v>
      </c>
      <c r="E186" s="4" t="s">
        <v>29</v>
      </c>
      <c r="F186" s="4" t="s">
        <v>25</v>
      </c>
      <c r="G186" s="4" t="s">
        <v>25</v>
      </c>
      <c r="H186" s="4" t="s">
        <v>25</v>
      </c>
      <c r="I186" s="5">
        <v>44378</v>
      </c>
      <c r="J186" s="6">
        <v>0</v>
      </c>
      <c r="K186" s="6">
        <v>0</v>
      </c>
      <c r="L186" s="6">
        <v>0.877</v>
      </c>
      <c r="M186" s="6">
        <v>0.877</v>
      </c>
      <c r="N186" s="6">
        <v>0.877</v>
      </c>
      <c r="O186" s="6">
        <v>0.877</v>
      </c>
      <c r="P186" s="6">
        <v>15</v>
      </c>
      <c r="Q186" s="4" t="s">
        <v>26</v>
      </c>
      <c r="R186" s="4">
        <v>0</v>
      </c>
      <c r="S186" s="4">
        <v>0</v>
      </c>
      <c r="T186" s="4">
        <v>34</v>
      </c>
      <c r="U186" s="4">
        <v>74</v>
      </c>
      <c r="V186" s="6">
        <f>IF(ISERROR(VLOOKUP($S$186,'TAR FIN'!$A$1:$O$100,15,0)),0,VLOOKUP($S$186,'TAR FIN'!$A$1:$O$100,15,0))</f>
        <v>0</v>
      </c>
      <c r="W186" s="6">
        <f>IF(ISERROR(VLOOKUP($T$186,'TAR FIN'!$A$1:$O$100,15,0)),0,VLOOKUP($T$186,'TAR FIN'!$A$1:$O$100,15,0))</f>
        <v>86.27</v>
      </c>
      <c r="X186" s="6">
        <f>IF(ISERROR(VLOOKUP($U$186,'TAR FIN'!$A$1:$O$100,15,0)),0,VLOOKUP($U$186,'TAR FIN'!$A$1:$O$100,15,0))</f>
        <v>80.959999999999994</v>
      </c>
      <c r="Y186" s="6"/>
      <c r="Z186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6" s="6">
        <f>('TE BE'!$AA$14+'TE BF'!$AA$14+'TE CVA'!$AA$14)*(1-CUSTOS!$M$34)</f>
        <v>87.777787249911555</v>
      </c>
      <c r="AB186" s="6">
        <f t="shared" si="12"/>
        <v>0</v>
      </c>
      <c r="AC186" s="6">
        <f>(L186-M186)*(W186+X186)+($W$276+$X$276-$W$186-$X$186)*(L186)</f>
        <v>272.39620000000008</v>
      </c>
      <c r="AD186" s="6">
        <f t="shared" si="14"/>
        <v>0</v>
      </c>
      <c r="AE186" s="6">
        <f ca="1">(L186-M186)*(Z186+AA186)+($Z$276+$AA$276-$Z$186-$AA$186)*(L186)</f>
        <v>279.0438001179989</v>
      </c>
      <c r="AF186" s="4" t="s">
        <v>915</v>
      </c>
    </row>
    <row r="187" spans="1:32" ht="11.25" customHeight="1" x14ac:dyDescent="0.25">
      <c r="A187" s="4" t="s">
        <v>28</v>
      </c>
      <c r="B187" s="4" t="s">
        <v>22</v>
      </c>
      <c r="C187" s="4" t="s">
        <v>23</v>
      </c>
      <c r="D187" s="4" t="s">
        <v>24</v>
      </c>
      <c r="E187" s="4" t="s">
        <v>29</v>
      </c>
      <c r="F187" s="4" t="s">
        <v>25</v>
      </c>
      <c r="G187" s="4" t="s">
        <v>25</v>
      </c>
      <c r="H187" s="4" t="s">
        <v>25</v>
      </c>
      <c r="I187" s="5">
        <v>44378</v>
      </c>
      <c r="J187" s="6">
        <v>0</v>
      </c>
      <c r="K187" s="6">
        <v>0</v>
      </c>
      <c r="L187" s="6">
        <v>0.75</v>
      </c>
      <c r="M187" s="6">
        <v>0.75</v>
      </c>
      <c r="N187" s="6">
        <v>0.75</v>
      </c>
      <c r="O187" s="6">
        <v>0.75</v>
      </c>
      <c r="P187" s="6">
        <v>1</v>
      </c>
      <c r="Q187" s="4" t="s">
        <v>26</v>
      </c>
      <c r="R187" s="4">
        <v>0</v>
      </c>
      <c r="S187" s="4">
        <v>0</v>
      </c>
      <c r="T187" s="4">
        <v>34</v>
      </c>
      <c r="U187" s="4">
        <v>74</v>
      </c>
      <c r="V187" s="6">
        <f>IF(ISERROR(VLOOKUP($S$187,'TAR FIN'!$A$1:$O$100,15,0)),0,VLOOKUP($S$187,'TAR FIN'!$A$1:$O$100,15,0))</f>
        <v>0</v>
      </c>
      <c r="W187" s="6">
        <f>IF(ISERROR(VLOOKUP($T$187,'TAR FIN'!$A$1:$O$100,15,0)),0,VLOOKUP($T$187,'TAR FIN'!$A$1:$O$100,15,0))</f>
        <v>86.27</v>
      </c>
      <c r="X187" s="6">
        <f>IF(ISERROR(VLOOKUP($U$187,'TAR FIN'!$A$1:$O$100,15,0)),0,VLOOKUP($U$187,'TAR FIN'!$A$1:$O$100,15,0))</f>
        <v>80.959999999999994</v>
      </c>
      <c r="Y187" s="6"/>
      <c r="Z187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7" s="6">
        <f>('TE BE'!$AA$14+'TE BF'!$AA$14+'TE CVA'!$AA$14)*(1-CUSTOS!$M$34)</f>
        <v>87.777787249911555</v>
      </c>
      <c r="AB187" s="6">
        <f t="shared" si="12"/>
        <v>0</v>
      </c>
      <c r="AC187" s="6">
        <f>(L187-M187)*(W187+X187)+($W$276+$X$276-$W$187-$X$187)*(L187)</f>
        <v>232.95000000000005</v>
      </c>
      <c r="AD187" s="6">
        <f t="shared" si="14"/>
        <v>0</v>
      </c>
      <c r="AE187" s="6">
        <f ca="1">(L187-M187)*(Z187+AA187)+($Z$276+$AA$276-$Z$187-$AA$187)*(L187)</f>
        <v>238.6349487896228</v>
      </c>
      <c r="AF187" s="4" t="s">
        <v>915</v>
      </c>
    </row>
    <row r="188" spans="1:32" ht="11.25" customHeight="1" x14ac:dyDescent="0.25">
      <c r="A188" s="4" t="s">
        <v>21</v>
      </c>
      <c r="B188" s="4" t="s">
        <v>22</v>
      </c>
      <c r="C188" s="4" t="s">
        <v>23</v>
      </c>
      <c r="D188" s="4" t="s">
        <v>24</v>
      </c>
      <c r="E188" s="4" t="s">
        <v>29</v>
      </c>
      <c r="F188" s="4" t="s">
        <v>25</v>
      </c>
      <c r="G188" s="4" t="s">
        <v>25</v>
      </c>
      <c r="H188" s="4" t="s">
        <v>25</v>
      </c>
      <c r="I188" s="5">
        <v>44409</v>
      </c>
      <c r="J188" s="6">
        <v>0</v>
      </c>
      <c r="K188" s="6">
        <v>0</v>
      </c>
      <c r="L188" s="6">
        <v>1720.7809999999999</v>
      </c>
      <c r="M188" s="6">
        <v>1720.7809999999999</v>
      </c>
      <c r="N188" s="6">
        <v>1720.7809999999999</v>
      </c>
      <c r="O188" s="6">
        <v>1720.7809999999999</v>
      </c>
      <c r="P188" s="6">
        <v>5751</v>
      </c>
      <c r="Q188" s="4" t="s">
        <v>26</v>
      </c>
      <c r="R188" s="4">
        <v>0</v>
      </c>
      <c r="S188" s="4">
        <v>0</v>
      </c>
      <c r="T188" s="4">
        <v>34</v>
      </c>
      <c r="U188" s="4">
        <v>74</v>
      </c>
      <c r="V188" s="6">
        <f>IF(ISERROR(VLOOKUP($S$188,'TAR FIN'!$A$1:$O$100,15,0)),0,VLOOKUP($S$188,'TAR FIN'!$A$1:$O$100,15,0))</f>
        <v>0</v>
      </c>
      <c r="W188" s="6">
        <f>IF(ISERROR(VLOOKUP($T$188,'TAR FIN'!$A$1:$O$100,15,0)),0,VLOOKUP($T$188,'TAR FIN'!$A$1:$O$100,15,0))</f>
        <v>86.27</v>
      </c>
      <c r="X188" s="6">
        <f>IF(ISERROR(VLOOKUP($U$188,'TAR FIN'!$A$1:$O$100,15,0)),0,VLOOKUP($U$188,'TAR FIN'!$A$1:$O$100,15,0))</f>
        <v>80.959999999999994</v>
      </c>
      <c r="Y188" s="6"/>
      <c r="Z18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8" s="6">
        <f>('TE BE'!$AA$14+'TE BF'!$AA$14+'TE CVA'!$AA$14)*(1-CUSTOS!$M$34)</f>
        <v>87.777787249911555</v>
      </c>
      <c r="AB188" s="6">
        <f t="shared" si="12"/>
        <v>0</v>
      </c>
      <c r="AC188" s="6">
        <f>(L188-M188)*(W188+X188)+($W$276+$X$276-$W$188-$X$188)*(L188)</f>
        <v>534474.57860000012</v>
      </c>
      <c r="AD188" s="6">
        <f t="shared" si="14"/>
        <v>0</v>
      </c>
      <c r="AE188" s="6">
        <f ca="1">(L188-M188)*(Z188+AA188)+($Z$276+$AA$276-$Z$188-$AA$188)*(L188)</f>
        <v>547517.98108420789</v>
      </c>
      <c r="AF188" s="4" t="s">
        <v>915</v>
      </c>
    </row>
    <row r="189" spans="1:32" ht="11.25" customHeight="1" x14ac:dyDescent="0.25">
      <c r="A189" s="4" t="s">
        <v>27</v>
      </c>
      <c r="B189" s="4" t="s">
        <v>22</v>
      </c>
      <c r="C189" s="4" t="s">
        <v>23</v>
      </c>
      <c r="D189" s="4" t="s">
        <v>24</v>
      </c>
      <c r="E189" s="4" t="s">
        <v>29</v>
      </c>
      <c r="F189" s="4" t="s">
        <v>25</v>
      </c>
      <c r="G189" s="4" t="s">
        <v>25</v>
      </c>
      <c r="H189" s="4" t="s">
        <v>25</v>
      </c>
      <c r="I189" s="5">
        <v>44409</v>
      </c>
      <c r="J189" s="6">
        <v>0</v>
      </c>
      <c r="K189" s="6">
        <v>0</v>
      </c>
      <c r="L189" s="6">
        <v>0.33500000000000002</v>
      </c>
      <c r="M189" s="6">
        <v>0.33500000000000002</v>
      </c>
      <c r="N189" s="6">
        <v>0.33500000000000002</v>
      </c>
      <c r="O189" s="6">
        <v>0.33500000000000002</v>
      </c>
      <c r="P189" s="6">
        <v>8</v>
      </c>
      <c r="Q189" s="4" t="s">
        <v>26</v>
      </c>
      <c r="R189" s="4">
        <v>0</v>
      </c>
      <c r="S189" s="4">
        <v>0</v>
      </c>
      <c r="T189" s="4">
        <v>34</v>
      </c>
      <c r="U189" s="4">
        <v>74</v>
      </c>
      <c r="V189" s="6">
        <f>IF(ISERROR(VLOOKUP($S$189,'TAR FIN'!$A$1:$O$100,15,0)),0,VLOOKUP($S$189,'TAR FIN'!$A$1:$O$100,15,0))</f>
        <v>0</v>
      </c>
      <c r="W189" s="6">
        <f>IF(ISERROR(VLOOKUP($T$189,'TAR FIN'!$A$1:$O$100,15,0)),0,VLOOKUP($T$189,'TAR FIN'!$A$1:$O$100,15,0))</f>
        <v>86.27</v>
      </c>
      <c r="X189" s="6">
        <f>IF(ISERROR(VLOOKUP($U$189,'TAR FIN'!$A$1:$O$100,15,0)),0,VLOOKUP($U$189,'TAR FIN'!$A$1:$O$100,15,0))</f>
        <v>80.959999999999994</v>
      </c>
      <c r="Y189" s="6"/>
      <c r="Z18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89" s="6">
        <f>('TE BE'!$AA$14+'TE BF'!$AA$14+'TE CVA'!$AA$14)*(1-CUSTOS!$M$34)</f>
        <v>87.777787249911555</v>
      </c>
      <c r="AB189" s="6">
        <f t="shared" si="12"/>
        <v>0</v>
      </c>
      <c r="AC189" s="6">
        <f>(L189-M189)*(W189+X189)+($W$276+$X$276-$W$189-$X$189)*(L189)</f>
        <v>104.05100000000003</v>
      </c>
      <c r="AD189" s="6">
        <f t="shared" si="14"/>
        <v>0</v>
      </c>
      <c r="AE189" s="6">
        <f ca="1">(L189-M189)*(Z189+AA189)+($Z$276+$AA$276-$Z$189-$AA$189)*(L189)</f>
        <v>106.59027712603152</v>
      </c>
      <c r="AF189" s="4" t="s">
        <v>915</v>
      </c>
    </row>
    <row r="190" spans="1:32" ht="11.25" customHeight="1" x14ac:dyDescent="0.25">
      <c r="A190" s="4" t="s">
        <v>28</v>
      </c>
      <c r="B190" s="4" t="s">
        <v>22</v>
      </c>
      <c r="C190" s="4" t="s">
        <v>23</v>
      </c>
      <c r="D190" s="4" t="s">
        <v>24</v>
      </c>
      <c r="E190" s="4" t="s">
        <v>29</v>
      </c>
      <c r="F190" s="4" t="s">
        <v>25</v>
      </c>
      <c r="G190" s="4" t="s">
        <v>25</v>
      </c>
      <c r="H190" s="4" t="s">
        <v>25</v>
      </c>
      <c r="I190" s="5">
        <v>44409</v>
      </c>
      <c r="J190" s="6">
        <v>0</v>
      </c>
      <c r="K190" s="6">
        <v>0</v>
      </c>
      <c r="L190" s="6">
        <v>0.87</v>
      </c>
      <c r="M190" s="6">
        <v>0.87</v>
      </c>
      <c r="N190" s="6">
        <v>0.87</v>
      </c>
      <c r="O190" s="6">
        <v>0.87</v>
      </c>
      <c r="P190" s="6">
        <v>2</v>
      </c>
      <c r="Q190" s="4" t="s">
        <v>26</v>
      </c>
      <c r="R190" s="4">
        <v>0</v>
      </c>
      <c r="S190" s="4">
        <v>0</v>
      </c>
      <c r="T190" s="4">
        <v>34</v>
      </c>
      <c r="U190" s="4">
        <v>74</v>
      </c>
      <c r="V190" s="6">
        <f>IF(ISERROR(VLOOKUP($S$190,'TAR FIN'!$A$1:$O$100,15,0)),0,VLOOKUP($S$190,'TAR FIN'!$A$1:$O$100,15,0))</f>
        <v>0</v>
      </c>
      <c r="W190" s="6">
        <f>IF(ISERROR(VLOOKUP($T$190,'TAR FIN'!$A$1:$O$100,15,0)),0,VLOOKUP($T$190,'TAR FIN'!$A$1:$O$100,15,0))</f>
        <v>86.27</v>
      </c>
      <c r="X190" s="6">
        <f>IF(ISERROR(VLOOKUP($U$190,'TAR FIN'!$A$1:$O$100,15,0)),0,VLOOKUP($U$190,'TAR FIN'!$A$1:$O$100,15,0))</f>
        <v>80.959999999999994</v>
      </c>
      <c r="Y190" s="6"/>
      <c r="Z19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0" s="6">
        <f>('TE BE'!$AA$14+'TE BF'!$AA$14+'TE CVA'!$AA$14)*(1-CUSTOS!$M$34)</f>
        <v>87.777787249911555</v>
      </c>
      <c r="AB190" s="6">
        <f t="shared" si="12"/>
        <v>0</v>
      </c>
      <c r="AC190" s="6">
        <f>(L190-M190)*(W190+X190)+($W$276+$X$276-$W$190-$X$190)*(L190)</f>
        <v>270.22200000000009</v>
      </c>
      <c r="AD190" s="6">
        <f t="shared" si="14"/>
        <v>0</v>
      </c>
      <c r="AE190" s="6">
        <f ca="1">(L190-M190)*(Z190+AA190)+($Z$276+$AA$276-$Z$190-$AA$190)*(L190)</f>
        <v>276.81654059596246</v>
      </c>
      <c r="AF190" s="4" t="s">
        <v>915</v>
      </c>
    </row>
    <row r="191" spans="1:32" ht="11.25" customHeight="1" x14ac:dyDescent="0.25">
      <c r="A191" s="4" t="s">
        <v>28</v>
      </c>
      <c r="B191" s="4" t="s">
        <v>22</v>
      </c>
      <c r="C191" s="4" t="s">
        <v>23</v>
      </c>
      <c r="D191" s="4" t="s">
        <v>24</v>
      </c>
      <c r="E191" s="4" t="s">
        <v>29</v>
      </c>
      <c r="F191" s="4" t="s">
        <v>25</v>
      </c>
      <c r="G191" s="4" t="s">
        <v>25</v>
      </c>
      <c r="H191" s="4" t="s">
        <v>25</v>
      </c>
      <c r="I191" s="5">
        <v>44409</v>
      </c>
      <c r="J191" s="6">
        <v>0</v>
      </c>
      <c r="K191" s="6">
        <v>0</v>
      </c>
      <c r="L191" s="6">
        <v>6.9000000000000006E-2</v>
      </c>
      <c r="M191" s="6">
        <v>6.9000000000000006E-2</v>
      </c>
      <c r="N191" s="6">
        <v>6.9000000000000006E-2</v>
      </c>
      <c r="O191" s="6">
        <v>6.9000000000000006E-2</v>
      </c>
      <c r="P191" s="6">
        <v>1</v>
      </c>
      <c r="Q191" s="4" t="s">
        <v>26</v>
      </c>
      <c r="R191" s="4">
        <v>0</v>
      </c>
      <c r="S191" s="4">
        <v>0</v>
      </c>
      <c r="T191" s="4">
        <v>34</v>
      </c>
      <c r="U191" s="4">
        <v>74</v>
      </c>
      <c r="V191" s="6">
        <f>IF(ISERROR(VLOOKUP($S$191,'TAR FIN'!$A$1:$O$100,15,0)),0,VLOOKUP($S$191,'TAR FIN'!$A$1:$O$100,15,0))</f>
        <v>0</v>
      </c>
      <c r="W191" s="6">
        <f>IF(ISERROR(VLOOKUP($T$191,'TAR FIN'!$A$1:$O$100,15,0)),0,VLOOKUP($T$191,'TAR FIN'!$A$1:$O$100,15,0))</f>
        <v>86.27</v>
      </c>
      <c r="X191" s="6">
        <f>IF(ISERROR(VLOOKUP($U$191,'TAR FIN'!$A$1:$O$100,15,0)),0,VLOOKUP($U$191,'TAR FIN'!$A$1:$O$100,15,0))</f>
        <v>80.959999999999994</v>
      </c>
      <c r="Y191" s="6"/>
      <c r="Z19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1" s="6">
        <f>('TE BE'!$AA$14+'TE BF'!$AA$14+'TE CVA'!$AA$14)*(1-CUSTOS!$M$34)</f>
        <v>87.777787249911555</v>
      </c>
      <c r="AB191" s="6">
        <f t="shared" si="12"/>
        <v>0</v>
      </c>
      <c r="AC191" s="6">
        <f>(L191-M191)*(W191+X191)+($W$276+$X$276-$W$191-$X$191)*(L191)</f>
        <v>21.431400000000007</v>
      </c>
      <c r="AD191" s="6">
        <f t="shared" si="14"/>
        <v>0</v>
      </c>
      <c r="AE191" s="6">
        <f ca="1">(L191-M191)*(Z191+AA191)+($Z$276+$AA$276-$Z$191-$AA$191)*(L191)</f>
        <v>21.954415288645301</v>
      </c>
      <c r="AF191" s="4" t="s">
        <v>915</v>
      </c>
    </row>
    <row r="192" spans="1:32" ht="11.25" customHeight="1" x14ac:dyDescent="0.25">
      <c r="A192" s="4" t="s">
        <v>21</v>
      </c>
      <c r="B192" s="4" t="s">
        <v>22</v>
      </c>
      <c r="C192" s="4" t="s">
        <v>23</v>
      </c>
      <c r="D192" s="4" t="s">
        <v>24</v>
      </c>
      <c r="E192" s="4" t="s">
        <v>29</v>
      </c>
      <c r="F192" s="4" t="s">
        <v>25</v>
      </c>
      <c r="G192" s="4" t="s">
        <v>25</v>
      </c>
      <c r="H192" s="4" t="s">
        <v>25</v>
      </c>
      <c r="I192" s="5">
        <v>44440</v>
      </c>
      <c r="J192" s="6">
        <v>0</v>
      </c>
      <c r="K192" s="6">
        <v>0</v>
      </c>
      <c r="L192" s="6">
        <v>1696.527</v>
      </c>
      <c r="M192" s="6">
        <v>1696.527</v>
      </c>
      <c r="N192" s="6">
        <v>1696.527</v>
      </c>
      <c r="O192" s="6">
        <v>1696.527</v>
      </c>
      <c r="P192" s="6">
        <v>5382</v>
      </c>
      <c r="Q192" s="4" t="s">
        <v>26</v>
      </c>
      <c r="R192" s="4">
        <v>0</v>
      </c>
      <c r="S192" s="4">
        <v>0</v>
      </c>
      <c r="T192" s="4">
        <v>34</v>
      </c>
      <c r="U192" s="4">
        <v>74</v>
      </c>
      <c r="V192" s="6">
        <f>IF(ISERROR(VLOOKUP($S$192,'TAR FIN'!$A$1:$O$100,15,0)),0,VLOOKUP($S$192,'TAR FIN'!$A$1:$O$100,15,0))</f>
        <v>0</v>
      </c>
      <c r="W192" s="6">
        <f>IF(ISERROR(VLOOKUP($T$192,'TAR FIN'!$A$1:$O$100,15,0)),0,VLOOKUP($T$192,'TAR FIN'!$A$1:$O$100,15,0))</f>
        <v>86.27</v>
      </c>
      <c r="X192" s="6">
        <f>IF(ISERROR(VLOOKUP($U$192,'TAR FIN'!$A$1:$O$100,15,0)),0,VLOOKUP($U$192,'TAR FIN'!$A$1:$O$100,15,0))</f>
        <v>80.959999999999994</v>
      </c>
      <c r="Y192" s="6"/>
      <c r="Z19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2" s="6">
        <f>('TE BE'!$AA$14+'TE BF'!$AA$14+'TE CVA'!$AA$14)*(1-CUSTOS!$M$34)</f>
        <v>87.777787249911555</v>
      </c>
      <c r="AB192" s="6">
        <f t="shared" si="12"/>
        <v>0</v>
      </c>
      <c r="AC192" s="6">
        <f>(L192-M192)*(W192+X192)+($W$276+$X$276-$W$192-$X$192)*(L192)</f>
        <v>526941.28620000021</v>
      </c>
      <c r="AD192" s="6">
        <f t="shared" si="14"/>
        <v>0</v>
      </c>
      <c r="AE192" s="6">
        <f ca="1">(L192-M192)*(Z192+AA192)+($Z$276+$AA$276-$Z$192-$AA$192)*(L192)</f>
        <v>539800.84502028325</v>
      </c>
      <c r="AF192" s="4" t="s">
        <v>915</v>
      </c>
    </row>
    <row r="193" spans="1:32" ht="11.25" customHeight="1" x14ac:dyDescent="0.25">
      <c r="A193" s="4" t="s">
        <v>27</v>
      </c>
      <c r="B193" s="4" t="s">
        <v>22</v>
      </c>
      <c r="C193" s="4" t="s">
        <v>23</v>
      </c>
      <c r="D193" s="4" t="s">
        <v>24</v>
      </c>
      <c r="E193" s="4" t="s">
        <v>29</v>
      </c>
      <c r="F193" s="4" t="s">
        <v>25</v>
      </c>
      <c r="G193" s="4" t="s">
        <v>25</v>
      </c>
      <c r="H193" s="4" t="s">
        <v>25</v>
      </c>
      <c r="I193" s="5">
        <v>44440</v>
      </c>
      <c r="J193" s="6">
        <v>0</v>
      </c>
      <c r="K193" s="6">
        <v>0</v>
      </c>
      <c r="L193" s="6">
        <v>2.5000000000000001E-2</v>
      </c>
      <c r="M193" s="6">
        <v>2.5000000000000001E-2</v>
      </c>
      <c r="N193" s="6">
        <v>2.5000000000000001E-2</v>
      </c>
      <c r="O193" s="6">
        <v>2.5000000000000001E-2</v>
      </c>
      <c r="P193" s="6">
        <v>2</v>
      </c>
      <c r="Q193" s="4" t="s">
        <v>26</v>
      </c>
      <c r="R193" s="4">
        <v>0</v>
      </c>
      <c r="S193" s="4">
        <v>0</v>
      </c>
      <c r="T193" s="4">
        <v>34</v>
      </c>
      <c r="U193" s="4">
        <v>74</v>
      </c>
      <c r="V193" s="6">
        <f>IF(ISERROR(VLOOKUP($S$193,'TAR FIN'!$A$1:$O$100,15,0)),0,VLOOKUP($S$193,'TAR FIN'!$A$1:$O$100,15,0))</f>
        <v>0</v>
      </c>
      <c r="W193" s="6">
        <f>IF(ISERROR(VLOOKUP($T$193,'TAR FIN'!$A$1:$O$100,15,0)),0,VLOOKUP($T$193,'TAR FIN'!$A$1:$O$100,15,0))</f>
        <v>86.27</v>
      </c>
      <c r="X193" s="6">
        <f>IF(ISERROR(VLOOKUP($U$193,'TAR FIN'!$A$1:$O$100,15,0)),0,VLOOKUP($U$193,'TAR FIN'!$A$1:$O$100,15,0))</f>
        <v>80.959999999999994</v>
      </c>
      <c r="Y193" s="6"/>
      <c r="Z19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3" s="6">
        <f>('TE BE'!$AA$14+'TE BF'!$AA$14+'TE CVA'!$AA$14)*(1-CUSTOS!$M$34)</f>
        <v>87.777787249911555</v>
      </c>
      <c r="AB193" s="6">
        <f t="shared" si="12"/>
        <v>0</v>
      </c>
      <c r="AC193" s="6">
        <f>(L193-M193)*(W193+X193)+($W$276+$X$276-$W$193-$X$193)*(L193)</f>
        <v>7.7650000000000023</v>
      </c>
      <c r="AD193" s="6">
        <f t="shared" si="14"/>
        <v>0</v>
      </c>
      <c r="AE193" s="6">
        <f ca="1">(L193-M193)*(Z193+AA193)+($Z$276+$AA$276-$Z$193-$AA$193)*(L193)</f>
        <v>7.9544982929874273</v>
      </c>
      <c r="AF193" s="4" t="s">
        <v>915</v>
      </c>
    </row>
    <row r="194" spans="1:32" ht="11.25" customHeight="1" x14ac:dyDescent="0.25">
      <c r="A194" s="4" t="s">
        <v>28</v>
      </c>
      <c r="B194" s="4" t="s">
        <v>22</v>
      </c>
      <c r="C194" s="4" t="s">
        <v>23</v>
      </c>
      <c r="D194" s="4" t="s">
        <v>24</v>
      </c>
      <c r="E194" s="4" t="s">
        <v>29</v>
      </c>
      <c r="F194" s="4" t="s">
        <v>25</v>
      </c>
      <c r="G194" s="4" t="s">
        <v>25</v>
      </c>
      <c r="H194" s="4" t="s">
        <v>25</v>
      </c>
      <c r="I194" s="5">
        <v>44440</v>
      </c>
      <c r="J194" s="6">
        <v>0</v>
      </c>
      <c r="K194" s="6">
        <v>0</v>
      </c>
      <c r="L194" s="6">
        <v>0.96</v>
      </c>
      <c r="M194" s="6">
        <v>0.96</v>
      </c>
      <c r="N194" s="6">
        <v>0.96</v>
      </c>
      <c r="O194" s="6">
        <v>0.96</v>
      </c>
      <c r="P194" s="6">
        <v>6</v>
      </c>
      <c r="Q194" s="4" t="s">
        <v>26</v>
      </c>
      <c r="R194" s="4">
        <v>0</v>
      </c>
      <c r="S194" s="4">
        <v>0</v>
      </c>
      <c r="T194" s="4">
        <v>34</v>
      </c>
      <c r="U194" s="4">
        <v>74</v>
      </c>
      <c r="V194" s="6">
        <f>IF(ISERROR(VLOOKUP($S$194,'TAR FIN'!$A$1:$O$100,15,0)),0,VLOOKUP($S$194,'TAR FIN'!$A$1:$O$100,15,0))</f>
        <v>0</v>
      </c>
      <c r="W194" s="6">
        <f>IF(ISERROR(VLOOKUP($T$194,'TAR FIN'!$A$1:$O$100,15,0)),0,VLOOKUP($T$194,'TAR FIN'!$A$1:$O$100,15,0))</f>
        <v>86.27</v>
      </c>
      <c r="X194" s="6">
        <f>IF(ISERROR(VLOOKUP($U$194,'TAR FIN'!$A$1:$O$100,15,0)),0,VLOOKUP($U$194,'TAR FIN'!$A$1:$O$100,15,0))</f>
        <v>80.959999999999994</v>
      </c>
      <c r="Y194" s="6"/>
      <c r="Z19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4" s="6">
        <f>('TE BE'!$AA$14+'TE BF'!$AA$14+'TE CVA'!$AA$14)*(1-CUSTOS!$M$34)</f>
        <v>87.777787249911555</v>
      </c>
      <c r="AB194" s="6">
        <f t="shared" ref="AB194:AB257" si="16">(J194-K194)*V194</f>
        <v>0</v>
      </c>
      <c r="AC194" s="6">
        <f>(L194-M194)*(W194+X194)+($W$276+$X$276-$W$194-$X$194)*(L194)</f>
        <v>298.17600000000004</v>
      </c>
      <c r="AD194" s="6">
        <f t="shared" ref="AD194:AD257" si="17">(J194-K194)*Y194</f>
        <v>0</v>
      </c>
      <c r="AE194" s="6">
        <f ca="1">(L194-M194)*(Z194+AA194)+($Z$276+$AA$276-$Z$194-$AA$194)*(L194)</f>
        <v>305.45273445071717</v>
      </c>
      <c r="AF194" s="4" t="s">
        <v>915</v>
      </c>
    </row>
    <row r="195" spans="1:32" ht="11.25" customHeight="1" x14ac:dyDescent="0.25">
      <c r="A195" s="4" t="s">
        <v>21</v>
      </c>
      <c r="B195" s="4" t="s">
        <v>22</v>
      </c>
      <c r="C195" s="4" t="s">
        <v>23</v>
      </c>
      <c r="D195" s="4" t="s">
        <v>24</v>
      </c>
      <c r="E195" s="4" t="s">
        <v>29</v>
      </c>
      <c r="F195" s="4" t="s">
        <v>25</v>
      </c>
      <c r="G195" s="4" t="s">
        <v>25</v>
      </c>
      <c r="H195" s="4" t="s">
        <v>25</v>
      </c>
      <c r="I195" s="5">
        <v>44470</v>
      </c>
      <c r="J195" s="6">
        <v>0</v>
      </c>
      <c r="K195" s="6">
        <v>0</v>
      </c>
      <c r="L195" s="6">
        <v>1721.364</v>
      </c>
      <c r="M195" s="6">
        <v>1721.364</v>
      </c>
      <c r="N195" s="6">
        <v>1721.364</v>
      </c>
      <c r="O195" s="6">
        <v>1721.364</v>
      </c>
      <c r="P195" s="6">
        <v>5232</v>
      </c>
      <c r="Q195" s="4" t="s">
        <v>26</v>
      </c>
      <c r="R195" s="4">
        <v>0</v>
      </c>
      <c r="S195" s="4">
        <v>0</v>
      </c>
      <c r="T195" s="4">
        <v>34</v>
      </c>
      <c r="U195" s="4">
        <v>74</v>
      </c>
      <c r="V195" s="6">
        <f>IF(ISERROR(VLOOKUP($S$195,'TAR FIN'!$A$1:$O$100,15,0)),0,VLOOKUP($S$195,'TAR FIN'!$A$1:$O$100,15,0))</f>
        <v>0</v>
      </c>
      <c r="W195" s="6">
        <f>IF(ISERROR(VLOOKUP($T$195,'TAR FIN'!$A$1:$O$100,15,0)),0,VLOOKUP($T$195,'TAR FIN'!$A$1:$O$100,15,0))</f>
        <v>86.27</v>
      </c>
      <c r="X195" s="6">
        <f>IF(ISERROR(VLOOKUP($U$195,'TAR FIN'!$A$1:$O$100,15,0)),0,VLOOKUP($U$195,'TAR FIN'!$A$1:$O$100,15,0))</f>
        <v>80.959999999999994</v>
      </c>
      <c r="Y195" s="6"/>
      <c r="Z19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5" s="6">
        <f>('TE BE'!$AA$14+'TE BF'!$AA$14+'TE CVA'!$AA$14)*(1-CUSTOS!$M$34)</f>
        <v>87.777787249911555</v>
      </c>
      <c r="AB195" s="6">
        <f t="shared" si="16"/>
        <v>0</v>
      </c>
      <c r="AC195" s="6">
        <f>(L195-M195)*(W195+X195)+($W$276+$X$276-$W$195-$X$195)*(L195)</f>
        <v>534655.65840000019</v>
      </c>
      <c r="AD195" s="6">
        <f t="shared" si="17"/>
        <v>0</v>
      </c>
      <c r="AE195" s="6">
        <f ca="1">(L195-M195)*(Z195+AA195)+($Z$276+$AA$276-$Z$195-$AA$195)*(L195)</f>
        <v>547703.47998440033</v>
      </c>
      <c r="AF195" s="4" t="s">
        <v>915</v>
      </c>
    </row>
    <row r="196" spans="1:32" ht="11.25" customHeight="1" x14ac:dyDescent="0.25">
      <c r="A196" s="4" t="s">
        <v>28</v>
      </c>
      <c r="B196" s="4" t="s">
        <v>22</v>
      </c>
      <c r="C196" s="4" t="s">
        <v>23</v>
      </c>
      <c r="D196" s="4" t="s">
        <v>24</v>
      </c>
      <c r="E196" s="4" t="s">
        <v>29</v>
      </c>
      <c r="F196" s="4" t="s">
        <v>25</v>
      </c>
      <c r="G196" s="4" t="s">
        <v>25</v>
      </c>
      <c r="H196" s="4" t="s">
        <v>25</v>
      </c>
      <c r="I196" s="5">
        <v>44470</v>
      </c>
      <c r="J196" s="6">
        <v>0</v>
      </c>
      <c r="K196" s="6">
        <v>0</v>
      </c>
      <c r="L196" s="6">
        <v>1.08</v>
      </c>
      <c r="M196" s="6">
        <v>1.08</v>
      </c>
      <c r="N196" s="6">
        <v>1.08</v>
      </c>
      <c r="O196" s="6">
        <v>1.08</v>
      </c>
      <c r="P196" s="6">
        <v>2</v>
      </c>
      <c r="Q196" s="4" t="s">
        <v>26</v>
      </c>
      <c r="R196" s="4">
        <v>0</v>
      </c>
      <c r="S196" s="4">
        <v>0</v>
      </c>
      <c r="T196" s="4">
        <v>34</v>
      </c>
      <c r="U196" s="4">
        <v>74</v>
      </c>
      <c r="V196" s="6">
        <f>IF(ISERROR(VLOOKUP($S$196,'TAR FIN'!$A$1:$O$100,15,0)),0,VLOOKUP($S$196,'TAR FIN'!$A$1:$O$100,15,0))</f>
        <v>0</v>
      </c>
      <c r="W196" s="6">
        <f>IF(ISERROR(VLOOKUP($T$196,'TAR FIN'!$A$1:$O$100,15,0)),0,VLOOKUP($T$196,'TAR FIN'!$A$1:$O$100,15,0))</f>
        <v>86.27</v>
      </c>
      <c r="X196" s="6">
        <f>IF(ISERROR(VLOOKUP($U$196,'TAR FIN'!$A$1:$O$100,15,0)),0,VLOOKUP($U$196,'TAR FIN'!$A$1:$O$100,15,0))</f>
        <v>80.959999999999994</v>
      </c>
      <c r="Y196" s="6"/>
      <c r="Z196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6" s="6">
        <f>('TE BE'!$AA$14+'TE BF'!$AA$14+'TE CVA'!$AA$14)*(1-CUSTOS!$M$34)</f>
        <v>87.777787249911555</v>
      </c>
      <c r="AB196" s="6">
        <f t="shared" si="16"/>
        <v>0</v>
      </c>
      <c r="AC196" s="6">
        <f>(L196-M196)*(W196+X196)+($W$276+$X$276-$W$196-$X$196)*(L196)</f>
        <v>335.44800000000009</v>
      </c>
      <c r="AD196" s="6">
        <f t="shared" si="17"/>
        <v>0</v>
      </c>
      <c r="AE196" s="6">
        <f ca="1">(L196-M196)*(Z196+AA196)+($Z$276+$AA$276-$Z$196-$AA$196)*(L196)</f>
        <v>343.63432625705684</v>
      </c>
      <c r="AF196" s="4" t="s">
        <v>915</v>
      </c>
    </row>
    <row r="197" spans="1:32" ht="11.25" customHeight="1" x14ac:dyDescent="0.25">
      <c r="A197" s="4" t="s">
        <v>21</v>
      </c>
      <c r="B197" s="4" t="s">
        <v>22</v>
      </c>
      <c r="C197" s="4" t="s">
        <v>23</v>
      </c>
      <c r="D197" s="4" t="s">
        <v>24</v>
      </c>
      <c r="E197" s="4" t="s">
        <v>29</v>
      </c>
      <c r="F197" s="4" t="s">
        <v>25</v>
      </c>
      <c r="G197" s="4" t="s">
        <v>25</v>
      </c>
      <c r="H197" s="4" t="s">
        <v>25</v>
      </c>
      <c r="I197" s="5">
        <v>44501</v>
      </c>
      <c r="J197" s="6">
        <v>0</v>
      </c>
      <c r="K197" s="6">
        <v>0</v>
      </c>
      <c r="L197" s="6">
        <v>1726.7349999999999</v>
      </c>
      <c r="M197" s="6">
        <v>1726.7349999999999</v>
      </c>
      <c r="N197" s="6">
        <v>1726.7349999999999</v>
      </c>
      <c r="O197" s="6">
        <v>1726.7349999999999</v>
      </c>
      <c r="P197" s="6">
        <v>5311</v>
      </c>
      <c r="Q197" s="4" t="s">
        <v>26</v>
      </c>
      <c r="R197" s="4">
        <v>0</v>
      </c>
      <c r="S197" s="4">
        <v>0</v>
      </c>
      <c r="T197" s="4">
        <v>34</v>
      </c>
      <c r="U197" s="4">
        <v>74</v>
      </c>
      <c r="V197" s="6">
        <f>IF(ISERROR(VLOOKUP($S$197,'TAR FIN'!$A$1:$O$100,15,0)),0,VLOOKUP($S$197,'TAR FIN'!$A$1:$O$100,15,0))</f>
        <v>0</v>
      </c>
      <c r="W197" s="6">
        <f>IF(ISERROR(VLOOKUP($T$197,'TAR FIN'!$A$1:$O$100,15,0)),0,VLOOKUP($T$197,'TAR FIN'!$A$1:$O$100,15,0))</f>
        <v>86.27</v>
      </c>
      <c r="X197" s="6">
        <f>IF(ISERROR(VLOOKUP($U$197,'TAR FIN'!$A$1:$O$100,15,0)),0,VLOOKUP($U$197,'TAR FIN'!$A$1:$O$100,15,0))</f>
        <v>80.959999999999994</v>
      </c>
      <c r="Y197" s="6"/>
      <c r="Z197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7" s="6">
        <f>('TE BE'!$AA$14+'TE BF'!$AA$14+'TE CVA'!$AA$14)*(1-CUSTOS!$M$34)</f>
        <v>87.777787249911555</v>
      </c>
      <c r="AB197" s="6">
        <f t="shared" si="16"/>
        <v>0</v>
      </c>
      <c r="AC197" s="6">
        <f>(L197-M197)*(W197+X197)+($W$276+$X$276-$W$197-$X$197)*(L197)</f>
        <v>536323.89100000006</v>
      </c>
      <c r="AD197" s="6">
        <f t="shared" si="17"/>
        <v>0</v>
      </c>
      <c r="AE197" s="6">
        <f ca="1">(L197-M197)*(Z197+AA197)+($Z$276+$AA$276-$Z$197-$AA$197)*(L197)</f>
        <v>549412.42439766577</v>
      </c>
      <c r="AF197" s="4" t="s">
        <v>915</v>
      </c>
    </row>
    <row r="198" spans="1:32" ht="11.25" customHeight="1" x14ac:dyDescent="0.25">
      <c r="A198" s="4" t="s">
        <v>27</v>
      </c>
      <c r="B198" s="4" t="s">
        <v>22</v>
      </c>
      <c r="C198" s="4" t="s">
        <v>23</v>
      </c>
      <c r="D198" s="4" t="s">
        <v>24</v>
      </c>
      <c r="E198" s="4" t="s">
        <v>29</v>
      </c>
      <c r="F198" s="4" t="s">
        <v>25</v>
      </c>
      <c r="G198" s="4" t="s">
        <v>25</v>
      </c>
      <c r="H198" s="4" t="s">
        <v>25</v>
      </c>
      <c r="I198" s="5">
        <v>44501</v>
      </c>
      <c r="J198" s="6">
        <v>0</v>
      </c>
      <c r="K198" s="6">
        <v>0</v>
      </c>
      <c r="L198" s="6">
        <v>0.46300000000000002</v>
      </c>
      <c r="M198" s="6">
        <v>0.46300000000000002</v>
      </c>
      <c r="N198" s="6">
        <v>0.46300000000000002</v>
      </c>
      <c r="O198" s="6">
        <v>0.46300000000000002</v>
      </c>
      <c r="P198" s="6">
        <v>4</v>
      </c>
      <c r="Q198" s="4" t="s">
        <v>26</v>
      </c>
      <c r="R198" s="4">
        <v>0</v>
      </c>
      <c r="S198" s="4">
        <v>0</v>
      </c>
      <c r="T198" s="4">
        <v>34</v>
      </c>
      <c r="U198" s="4">
        <v>74</v>
      </c>
      <c r="V198" s="6">
        <f>IF(ISERROR(VLOOKUP($S$198,'TAR FIN'!$A$1:$O$100,15,0)),0,VLOOKUP($S$198,'TAR FIN'!$A$1:$O$100,15,0))</f>
        <v>0</v>
      </c>
      <c r="W198" s="6">
        <f>IF(ISERROR(VLOOKUP($T$198,'TAR FIN'!$A$1:$O$100,15,0)),0,VLOOKUP($T$198,'TAR FIN'!$A$1:$O$100,15,0))</f>
        <v>86.27</v>
      </c>
      <c r="X198" s="6">
        <f>IF(ISERROR(VLOOKUP($U$198,'TAR FIN'!$A$1:$O$100,15,0)),0,VLOOKUP($U$198,'TAR FIN'!$A$1:$O$100,15,0))</f>
        <v>80.959999999999994</v>
      </c>
      <c r="Y198" s="6"/>
      <c r="Z198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8" s="6">
        <f>('TE BE'!$AA$14+'TE BF'!$AA$14+'TE CVA'!$AA$14)*(1-CUSTOS!$M$34)</f>
        <v>87.777787249911555</v>
      </c>
      <c r="AB198" s="6">
        <f t="shared" si="16"/>
        <v>0</v>
      </c>
      <c r="AC198" s="6">
        <f>(L198-M198)*(W198+X198)+($W$276+$X$276-$W$198-$X$198)*(L198)</f>
        <v>143.80780000000004</v>
      </c>
      <c r="AD198" s="6">
        <f t="shared" si="17"/>
        <v>0</v>
      </c>
      <c r="AE198" s="6">
        <f ca="1">(L198-M198)*(Z198+AA198)+($Z$276+$AA$276-$Z$198-$AA$198)*(L198)</f>
        <v>147.31730838612714</v>
      </c>
      <c r="AF198" s="4" t="s">
        <v>915</v>
      </c>
    </row>
    <row r="199" spans="1:32" ht="11.25" customHeight="1" x14ac:dyDescent="0.25">
      <c r="A199" s="4" t="s">
        <v>28</v>
      </c>
      <c r="B199" s="4" t="s">
        <v>22</v>
      </c>
      <c r="C199" s="4" t="s">
        <v>23</v>
      </c>
      <c r="D199" s="4" t="s">
        <v>24</v>
      </c>
      <c r="E199" s="4" t="s">
        <v>29</v>
      </c>
      <c r="F199" s="4" t="s">
        <v>25</v>
      </c>
      <c r="G199" s="4" t="s">
        <v>25</v>
      </c>
      <c r="H199" s="4" t="s">
        <v>25</v>
      </c>
      <c r="I199" s="5">
        <v>44501</v>
      </c>
      <c r="J199" s="6">
        <v>0</v>
      </c>
      <c r="K199" s="6">
        <v>0</v>
      </c>
      <c r="L199" s="6">
        <v>1.2</v>
      </c>
      <c r="M199" s="6">
        <v>1.2</v>
      </c>
      <c r="N199" s="6">
        <v>1.2</v>
      </c>
      <c r="O199" s="6">
        <v>1.2</v>
      </c>
      <c r="P199" s="6">
        <v>3</v>
      </c>
      <c r="Q199" s="4" t="s">
        <v>26</v>
      </c>
      <c r="R199" s="4">
        <v>0</v>
      </c>
      <c r="S199" s="4">
        <v>0</v>
      </c>
      <c r="T199" s="4">
        <v>34</v>
      </c>
      <c r="U199" s="4">
        <v>74</v>
      </c>
      <c r="V199" s="6">
        <f>IF(ISERROR(VLOOKUP($S$199,'TAR FIN'!$A$1:$O$100,15,0)),0,VLOOKUP($S$199,'TAR FIN'!$A$1:$O$100,15,0))</f>
        <v>0</v>
      </c>
      <c r="W199" s="6">
        <f>IF(ISERROR(VLOOKUP($T$199,'TAR FIN'!$A$1:$O$100,15,0)),0,VLOOKUP($T$199,'TAR FIN'!$A$1:$O$100,15,0))</f>
        <v>86.27</v>
      </c>
      <c r="X199" s="6">
        <f>IF(ISERROR(VLOOKUP($U$199,'TAR FIN'!$A$1:$O$100,15,0)),0,VLOOKUP($U$199,'TAR FIN'!$A$1:$O$100,15,0))</f>
        <v>80.959999999999994</v>
      </c>
      <c r="Y199" s="6"/>
      <c r="Z199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199" s="6">
        <f>('TE BE'!$AA$14+'TE BF'!$AA$14+'TE CVA'!$AA$14)*(1-CUSTOS!$M$34)</f>
        <v>87.777787249911555</v>
      </c>
      <c r="AB199" s="6">
        <f t="shared" si="16"/>
        <v>0</v>
      </c>
      <c r="AC199" s="6">
        <f>(L199-M199)*(W199+X199)+($W$276+$X$276-$W$199-$X$199)*(L199)</f>
        <v>372.72000000000008</v>
      </c>
      <c r="AD199" s="6">
        <f t="shared" si="17"/>
        <v>0</v>
      </c>
      <c r="AE199" s="6">
        <f ca="1">(L199-M199)*(Z199+AA199)+($Z$276+$AA$276-$Z$199-$AA$199)*(L199)</f>
        <v>381.81591806339645</v>
      </c>
      <c r="AF199" s="4" t="s">
        <v>915</v>
      </c>
    </row>
    <row r="200" spans="1:32" ht="11.25" customHeight="1" x14ac:dyDescent="0.25">
      <c r="A200" s="4" t="s">
        <v>21</v>
      </c>
      <c r="B200" s="4" t="s">
        <v>22</v>
      </c>
      <c r="C200" s="4" t="s">
        <v>23</v>
      </c>
      <c r="D200" s="4" t="s">
        <v>24</v>
      </c>
      <c r="E200" s="4" t="s">
        <v>29</v>
      </c>
      <c r="F200" s="4" t="s">
        <v>25</v>
      </c>
      <c r="G200" s="4" t="s">
        <v>25</v>
      </c>
      <c r="H200" s="4" t="s">
        <v>25</v>
      </c>
      <c r="I200" s="5">
        <v>44531</v>
      </c>
      <c r="J200" s="6">
        <v>0</v>
      </c>
      <c r="K200" s="6">
        <v>0</v>
      </c>
      <c r="L200" s="6">
        <v>1723.4369999999999</v>
      </c>
      <c r="M200" s="6">
        <v>1723.4369999999999</v>
      </c>
      <c r="N200" s="6">
        <v>1723.4369999999999</v>
      </c>
      <c r="O200" s="6">
        <v>1723.4369999999999</v>
      </c>
      <c r="P200" s="6">
        <v>5075</v>
      </c>
      <c r="Q200" s="4" t="s">
        <v>26</v>
      </c>
      <c r="R200" s="4">
        <v>0</v>
      </c>
      <c r="S200" s="4">
        <v>0</v>
      </c>
      <c r="T200" s="4">
        <v>34</v>
      </c>
      <c r="U200" s="4">
        <v>74</v>
      </c>
      <c r="V200" s="6">
        <f>IF(ISERROR(VLOOKUP($S$200,'TAR FIN'!$A$1:$O$100,15,0)),0,VLOOKUP($S$200,'TAR FIN'!$A$1:$O$100,15,0))</f>
        <v>0</v>
      </c>
      <c r="W200" s="6">
        <f>IF(ISERROR(VLOOKUP($T$200,'TAR FIN'!$A$1:$O$100,15,0)),0,VLOOKUP($T$200,'TAR FIN'!$A$1:$O$100,15,0))</f>
        <v>86.27</v>
      </c>
      <c r="X200" s="6">
        <f>IF(ISERROR(VLOOKUP($U$200,'TAR FIN'!$A$1:$O$100,15,0)),0,VLOOKUP($U$200,'TAR FIN'!$A$1:$O$100,15,0))</f>
        <v>80.959999999999994</v>
      </c>
      <c r="Y200" s="6"/>
      <c r="Z200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200" s="6">
        <f>('TE BE'!$AA$14+'TE BF'!$AA$14+'TE CVA'!$AA$14)*(1-CUSTOS!$M$34)</f>
        <v>87.777787249911555</v>
      </c>
      <c r="AB200" s="6">
        <f t="shared" si="16"/>
        <v>0</v>
      </c>
      <c r="AC200" s="6">
        <f>(L200-M200)*(W200+X200)+($W$276+$X$276-$W$200-$X$200)*(L200)</f>
        <v>535299.53220000013</v>
      </c>
      <c r="AD200" s="6">
        <f t="shared" si="17"/>
        <v>0</v>
      </c>
      <c r="AE200" s="6">
        <f ca="1">(L200-M200)*(Z200+AA200)+($Z$276+$AA$276-$Z$200-$AA$200)*(L200)</f>
        <v>548363.06698285486</v>
      </c>
      <c r="AF200" s="4" t="s">
        <v>915</v>
      </c>
    </row>
    <row r="201" spans="1:32" ht="11.25" customHeight="1" x14ac:dyDescent="0.25">
      <c r="A201" s="4" t="s">
        <v>27</v>
      </c>
      <c r="B201" s="4" t="s">
        <v>22</v>
      </c>
      <c r="C201" s="4" t="s">
        <v>23</v>
      </c>
      <c r="D201" s="4" t="s">
        <v>24</v>
      </c>
      <c r="E201" s="4" t="s">
        <v>29</v>
      </c>
      <c r="F201" s="4" t="s">
        <v>25</v>
      </c>
      <c r="G201" s="4" t="s">
        <v>25</v>
      </c>
      <c r="H201" s="4" t="s">
        <v>25</v>
      </c>
      <c r="I201" s="5">
        <v>44531</v>
      </c>
      <c r="J201" s="6">
        <v>0</v>
      </c>
      <c r="K201" s="6">
        <v>0</v>
      </c>
      <c r="L201" s="6">
        <v>0.56299999999999994</v>
      </c>
      <c r="M201" s="6">
        <v>0.56299999999999994</v>
      </c>
      <c r="N201" s="6">
        <v>0.56299999999999994</v>
      </c>
      <c r="O201" s="6">
        <v>0.56299999999999994</v>
      </c>
      <c r="P201" s="6">
        <v>6</v>
      </c>
      <c r="Q201" s="4" t="s">
        <v>26</v>
      </c>
      <c r="R201" s="4">
        <v>0</v>
      </c>
      <c r="S201" s="4">
        <v>0</v>
      </c>
      <c r="T201" s="4">
        <v>34</v>
      </c>
      <c r="U201" s="4">
        <v>74</v>
      </c>
      <c r="V201" s="6">
        <f>IF(ISERROR(VLOOKUP($S$201,'TAR FIN'!$A$1:$O$100,15,0)),0,VLOOKUP($S$201,'TAR FIN'!$A$1:$O$100,15,0))</f>
        <v>0</v>
      </c>
      <c r="W201" s="6">
        <f>IF(ISERROR(VLOOKUP($T$201,'TAR FIN'!$A$1:$O$100,15,0)),0,VLOOKUP($T$201,'TAR FIN'!$A$1:$O$100,15,0))</f>
        <v>86.27</v>
      </c>
      <c r="X201" s="6">
        <f>IF(ISERROR(VLOOKUP($U$201,'TAR FIN'!$A$1:$O$100,15,0)),0,VLOOKUP($U$201,'TAR FIN'!$A$1:$O$100,15,0))</f>
        <v>80.959999999999994</v>
      </c>
      <c r="Y201" s="6"/>
      <c r="Z201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201" s="6">
        <f>('TE BE'!$AA$14+'TE BF'!$AA$14+'TE CVA'!$AA$14)*(1-CUSTOS!$M$34)</f>
        <v>87.777787249911555</v>
      </c>
      <c r="AB201" s="6">
        <f t="shared" si="16"/>
        <v>0</v>
      </c>
      <c r="AC201" s="6">
        <f>(L201-M201)*(W201+X201)+($W$276+$X$276-$W$201-$X$201)*(L201)</f>
        <v>174.86780000000002</v>
      </c>
      <c r="AD201" s="6">
        <f t="shared" si="17"/>
        <v>0</v>
      </c>
      <c r="AE201" s="6">
        <f ca="1">(L201-M201)*(Z201+AA201)+($Z$276+$AA$276-$Z$201-$AA$201)*(L201)</f>
        <v>179.13530155807683</v>
      </c>
      <c r="AF201" s="4" t="s">
        <v>915</v>
      </c>
    </row>
    <row r="202" spans="1:32" ht="11.25" customHeight="1" x14ac:dyDescent="0.25">
      <c r="A202" s="4" t="s">
        <v>28</v>
      </c>
      <c r="B202" s="4" t="s">
        <v>22</v>
      </c>
      <c r="C202" s="4" t="s">
        <v>23</v>
      </c>
      <c r="D202" s="4" t="s">
        <v>24</v>
      </c>
      <c r="E202" s="4" t="s">
        <v>29</v>
      </c>
      <c r="F202" s="4" t="s">
        <v>25</v>
      </c>
      <c r="G202" s="4" t="s">
        <v>25</v>
      </c>
      <c r="H202" s="4" t="s">
        <v>25</v>
      </c>
      <c r="I202" s="5">
        <v>44531</v>
      </c>
      <c r="J202" s="6">
        <v>0</v>
      </c>
      <c r="K202" s="6">
        <v>0</v>
      </c>
      <c r="L202" s="6">
        <v>1.38</v>
      </c>
      <c r="M202" s="6">
        <v>1.38</v>
      </c>
      <c r="N202" s="6">
        <v>1.38</v>
      </c>
      <c r="O202" s="6">
        <v>1.38</v>
      </c>
      <c r="P202" s="6">
        <v>7</v>
      </c>
      <c r="Q202" s="4" t="s">
        <v>26</v>
      </c>
      <c r="R202" s="4">
        <v>0</v>
      </c>
      <c r="S202" s="4">
        <v>0</v>
      </c>
      <c r="T202" s="4">
        <v>34</v>
      </c>
      <c r="U202" s="4">
        <v>74</v>
      </c>
      <c r="V202" s="6">
        <f>IF(ISERROR(VLOOKUP($S$202,'TAR FIN'!$A$1:$O$100,15,0)),0,VLOOKUP($S$202,'TAR FIN'!$A$1:$O$100,15,0))</f>
        <v>0</v>
      </c>
      <c r="W202" s="6">
        <f>IF(ISERROR(VLOOKUP($T$202,'TAR FIN'!$A$1:$O$100,15,0)),0,VLOOKUP($T$202,'TAR FIN'!$A$1:$O$100,15,0))</f>
        <v>86.27</v>
      </c>
      <c r="X202" s="6">
        <f>IF(ISERROR(VLOOKUP($U$202,'TAR FIN'!$A$1:$O$100,15,0)),0,VLOOKUP($U$202,'TAR FIN'!$A$1:$O$100,15,0))</f>
        <v>80.959999999999994</v>
      </c>
      <c r="Y202" s="6"/>
      <c r="Z202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202" s="6">
        <f>('TE BE'!$AA$14+'TE BF'!$AA$14+'TE CVA'!$AA$14)*(1-CUSTOS!$M$34)</f>
        <v>87.777787249911555</v>
      </c>
      <c r="AB202" s="6">
        <f t="shared" si="16"/>
        <v>0</v>
      </c>
      <c r="AC202" s="6">
        <f>(L202-M202)*(W202+X202)+($W$276+$X$276-$W$202-$X$202)*(L202)</f>
        <v>428.6280000000001</v>
      </c>
      <c r="AD202" s="6">
        <f t="shared" si="17"/>
        <v>0</v>
      </c>
      <c r="AE202" s="6">
        <f ca="1">(L202-M202)*(Z202+AA202)+($Z$276+$AA$276-$Z$202-$AA$202)*(L202)</f>
        <v>439.08830577290593</v>
      </c>
      <c r="AF202" s="4" t="s">
        <v>915</v>
      </c>
    </row>
    <row r="203" spans="1:32" ht="11.25" customHeight="1" x14ac:dyDescent="0.25">
      <c r="A203" s="4" t="s">
        <v>55</v>
      </c>
      <c r="B203" s="4" t="s">
        <v>22</v>
      </c>
      <c r="C203" s="4" t="s">
        <v>23</v>
      </c>
      <c r="D203" s="4" t="s">
        <v>24</v>
      </c>
      <c r="E203" s="4" t="s">
        <v>29</v>
      </c>
      <c r="F203" s="4" t="s">
        <v>25</v>
      </c>
      <c r="G203" s="4" t="s">
        <v>25</v>
      </c>
      <c r="H203" s="4" t="s">
        <v>25</v>
      </c>
      <c r="I203" s="5">
        <v>44562</v>
      </c>
      <c r="J203" s="6">
        <v>0</v>
      </c>
      <c r="K203" s="6">
        <v>0</v>
      </c>
      <c r="L203" s="6">
        <v>1723.4369999999999</v>
      </c>
      <c r="M203" s="6">
        <v>1723.4369999999999</v>
      </c>
      <c r="N203" s="6">
        <v>1723.4369999999999</v>
      </c>
      <c r="O203" s="6">
        <v>1723.4369999999999</v>
      </c>
      <c r="P203" s="6">
        <v>5075</v>
      </c>
      <c r="Q203" s="4" t="s">
        <v>26</v>
      </c>
      <c r="R203" s="4">
        <v>0</v>
      </c>
      <c r="S203" s="4">
        <v>0</v>
      </c>
      <c r="T203" s="4">
        <v>34</v>
      </c>
      <c r="U203" s="4">
        <v>74</v>
      </c>
      <c r="V203" s="6">
        <f>IF(ISERROR(VLOOKUP($S$203,'TAR FIN'!$A$1:$O$100,15,0)),0,VLOOKUP($S$203,'TAR FIN'!$A$1:$O$100,15,0))</f>
        <v>0</v>
      </c>
      <c r="W203" s="6">
        <f>IF(ISERROR(VLOOKUP($T$203,'TAR FIN'!$A$1:$O$100,15,0)),0,VLOOKUP($T$203,'TAR FIN'!$A$1:$O$100,15,0))</f>
        <v>86.27</v>
      </c>
      <c r="X203" s="6">
        <f>IF(ISERROR(VLOOKUP($U$203,'TAR FIN'!$A$1:$O$100,15,0)),0,VLOOKUP($U$203,'TAR FIN'!$A$1:$O$100,15,0))</f>
        <v>80.959999999999994</v>
      </c>
      <c r="Y203" s="6"/>
      <c r="Z203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203" s="6">
        <f>('TE BE'!$AA$14+'TE BF'!$AA$14+'TE CVA'!$AA$14)*(1-CUSTOS!$M$34)</f>
        <v>87.777787249911555</v>
      </c>
      <c r="AB203" s="6">
        <f t="shared" si="16"/>
        <v>0</v>
      </c>
      <c r="AC203" s="6">
        <f>(L203-M203)*(W203+X203)+($W$276+$X$276-$W$203-$X$203)*(L203)</f>
        <v>535299.53220000013</v>
      </c>
      <c r="AD203" s="6">
        <f t="shared" si="17"/>
        <v>0</v>
      </c>
      <c r="AE203" s="6">
        <f ca="1">(L203-M203)*(Z203+AA203)+($Z$276+$AA$276-$Z$203-$AA$203)*(L203)</f>
        <v>548363.06698285486</v>
      </c>
      <c r="AF203" s="4" t="s">
        <v>915</v>
      </c>
    </row>
    <row r="204" spans="1:32" ht="11.25" customHeight="1" x14ac:dyDescent="0.25">
      <c r="A204" s="4" t="s">
        <v>55</v>
      </c>
      <c r="B204" s="4" t="s">
        <v>22</v>
      </c>
      <c r="C204" s="4" t="s">
        <v>23</v>
      </c>
      <c r="D204" s="4" t="s">
        <v>24</v>
      </c>
      <c r="E204" s="4" t="s">
        <v>29</v>
      </c>
      <c r="F204" s="4" t="s">
        <v>25</v>
      </c>
      <c r="G204" s="4" t="s">
        <v>25</v>
      </c>
      <c r="H204" s="4" t="s">
        <v>25</v>
      </c>
      <c r="I204" s="5">
        <v>44562</v>
      </c>
      <c r="J204" s="6">
        <v>0</v>
      </c>
      <c r="K204" s="6">
        <v>0</v>
      </c>
      <c r="L204" s="6">
        <v>0.56299999999999994</v>
      </c>
      <c r="M204" s="6">
        <v>0.56299999999999994</v>
      </c>
      <c r="N204" s="6">
        <v>0.56299999999999994</v>
      </c>
      <c r="O204" s="6">
        <v>0.56299999999999994</v>
      </c>
      <c r="P204" s="6">
        <v>6</v>
      </c>
      <c r="Q204" s="4" t="s">
        <v>26</v>
      </c>
      <c r="R204" s="4">
        <v>0</v>
      </c>
      <c r="S204" s="4">
        <v>0</v>
      </c>
      <c r="T204" s="4">
        <v>34</v>
      </c>
      <c r="U204" s="4">
        <v>74</v>
      </c>
      <c r="V204" s="6">
        <f>IF(ISERROR(VLOOKUP($S$204,'TAR FIN'!$A$1:$O$100,15,0)),0,VLOOKUP($S$204,'TAR FIN'!$A$1:$O$100,15,0))</f>
        <v>0</v>
      </c>
      <c r="W204" s="6">
        <f>IF(ISERROR(VLOOKUP($T$204,'TAR FIN'!$A$1:$O$100,15,0)),0,VLOOKUP($T$204,'TAR FIN'!$A$1:$O$100,15,0))</f>
        <v>86.27</v>
      </c>
      <c r="X204" s="6">
        <f>IF(ISERROR(VLOOKUP($U$204,'TAR FIN'!$A$1:$O$100,15,0)),0,VLOOKUP($U$204,'TAR FIN'!$A$1:$O$100,15,0))</f>
        <v>80.959999999999994</v>
      </c>
      <c r="Y204" s="6"/>
      <c r="Z204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204" s="6">
        <f>('TE BE'!$AA$14+'TE BF'!$AA$14+'TE CVA'!$AA$14)*(1-CUSTOS!$M$34)</f>
        <v>87.777787249911555</v>
      </c>
      <c r="AB204" s="6">
        <f t="shared" si="16"/>
        <v>0</v>
      </c>
      <c r="AC204" s="6">
        <f>(L204-M204)*(W204+X204)+($W$276+$X$276-$W$204-$X$204)*(L204)</f>
        <v>174.86780000000002</v>
      </c>
      <c r="AD204" s="6">
        <f t="shared" si="17"/>
        <v>0</v>
      </c>
      <c r="AE204" s="6">
        <f ca="1">(L204-M204)*(Z204+AA204)+($Z$276+$AA$276-$Z$204-$AA$204)*(L204)</f>
        <v>179.13530155807683</v>
      </c>
      <c r="AF204" s="4" t="s">
        <v>915</v>
      </c>
    </row>
    <row r="205" spans="1:32" ht="11.25" customHeight="1" x14ac:dyDescent="0.25">
      <c r="A205" s="4" t="s">
        <v>55</v>
      </c>
      <c r="B205" s="4" t="s">
        <v>22</v>
      </c>
      <c r="C205" s="4" t="s">
        <v>23</v>
      </c>
      <c r="D205" s="4" t="s">
        <v>24</v>
      </c>
      <c r="E205" s="4" t="s">
        <v>29</v>
      </c>
      <c r="F205" s="4" t="s">
        <v>25</v>
      </c>
      <c r="G205" s="4" t="s">
        <v>25</v>
      </c>
      <c r="H205" s="4" t="s">
        <v>25</v>
      </c>
      <c r="I205" s="5">
        <v>44562</v>
      </c>
      <c r="J205" s="6">
        <v>0</v>
      </c>
      <c r="K205" s="6">
        <v>0</v>
      </c>
      <c r="L205" s="6">
        <v>1.38</v>
      </c>
      <c r="M205" s="6">
        <v>1.38</v>
      </c>
      <c r="N205" s="6">
        <v>1.38</v>
      </c>
      <c r="O205" s="6">
        <v>1.38</v>
      </c>
      <c r="P205" s="6">
        <v>7</v>
      </c>
      <c r="Q205" s="4" t="s">
        <v>26</v>
      </c>
      <c r="R205" s="4">
        <v>0</v>
      </c>
      <c r="S205" s="4">
        <v>0</v>
      </c>
      <c r="T205" s="4">
        <v>34</v>
      </c>
      <c r="U205" s="4">
        <v>74</v>
      </c>
      <c r="V205" s="6">
        <f>IF(ISERROR(VLOOKUP($S$205,'TAR FIN'!$A$1:$O$100,15,0)),0,VLOOKUP($S$205,'TAR FIN'!$A$1:$O$100,15,0))</f>
        <v>0</v>
      </c>
      <c r="W205" s="6">
        <f>IF(ISERROR(VLOOKUP($T$205,'TAR FIN'!$A$1:$O$100,15,0)),0,VLOOKUP($T$205,'TAR FIN'!$A$1:$O$100,15,0))</f>
        <v>86.27</v>
      </c>
      <c r="X205" s="6">
        <f>IF(ISERROR(VLOOKUP($U$205,'TAR FIN'!$A$1:$O$100,15,0)),0,VLOOKUP($U$205,'TAR FIN'!$A$1:$O$100,15,0))</f>
        <v>80.959999999999994</v>
      </c>
      <c r="Y205" s="6"/>
      <c r="Z205" s="6">
        <f ca="1">('TUSD BE'!$AM$31+'TUSD BF'!$AM$31+'TUSD CVA'!$AM$31-('TUSD BE'!$P$31+'TUSD BF'!$P$31+'TUSD CVA'!$P$31)-('TUSD BE'!$Q$31+'TUSD BF'!$Q$31+'TUSD CVA'!$Q$31)-('TUSD BE'!$R$31+'TUSD BF'!$R$31+'TUSD CVA'!$R$31))*(1-CUSTOS!$M$34)</f>
        <v>83.549868291356077</v>
      </c>
      <c r="AA205" s="6">
        <f>('TE BE'!$AA$14+'TE BF'!$AA$14+'TE CVA'!$AA$14)*(1-CUSTOS!$M$34)</f>
        <v>87.777787249911555</v>
      </c>
      <c r="AB205" s="6">
        <f t="shared" si="16"/>
        <v>0</v>
      </c>
      <c r="AC205" s="6">
        <f>(L205-M205)*(W205+X205)+($W$276+$X$276-$W$205-$X$205)*(L205)</f>
        <v>428.6280000000001</v>
      </c>
      <c r="AD205" s="6">
        <f t="shared" si="17"/>
        <v>0</v>
      </c>
      <c r="AE205" s="6">
        <f ca="1">(L205-M205)*(Z205+AA205)+($Z$276+$AA$276-$Z$205-$AA$205)*(L205)</f>
        <v>439.08830577290593</v>
      </c>
      <c r="AF205" s="4" t="s">
        <v>915</v>
      </c>
    </row>
    <row r="206" spans="1:32" ht="11.25" customHeight="1" x14ac:dyDescent="0.25">
      <c r="A206" s="4" t="s">
        <v>21</v>
      </c>
      <c r="B206" s="4" t="s">
        <v>22</v>
      </c>
      <c r="C206" s="4" t="s">
        <v>23</v>
      </c>
      <c r="D206" s="4" t="s">
        <v>24</v>
      </c>
      <c r="E206" s="4" t="s">
        <v>30</v>
      </c>
      <c r="F206" s="4" t="s">
        <v>25</v>
      </c>
      <c r="G206" s="4" t="s">
        <v>25</v>
      </c>
      <c r="H206" s="4" t="s">
        <v>25</v>
      </c>
      <c r="I206" s="5">
        <v>44228</v>
      </c>
      <c r="J206" s="6">
        <v>0</v>
      </c>
      <c r="K206" s="6">
        <v>0</v>
      </c>
      <c r="L206" s="6">
        <v>2680.0149999999999</v>
      </c>
      <c r="M206" s="6">
        <v>2680.0149999999999</v>
      </c>
      <c r="N206" s="6">
        <v>2680.0149999999999</v>
      </c>
      <c r="O206" s="6">
        <v>2680.0149999999999</v>
      </c>
      <c r="P206" s="6">
        <v>28218</v>
      </c>
      <c r="Q206" s="4" t="s">
        <v>26</v>
      </c>
      <c r="R206" s="4">
        <v>0</v>
      </c>
      <c r="S206" s="4">
        <v>0</v>
      </c>
      <c r="T206" s="4">
        <v>35</v>
      </c>
      <c r="U206" s="4">
        <v>75</v>
      </c>
      <c r="V206" s="6">
        <f>IF(ISERROR(VLOOKUP($S$206,'TAR FIN'!$A$1:$O$100,15,0)),0,VLOOKUP($S$206,'TAR FIN'!$A$1:$O$100,15,0))</f>
        <v>0</v>
      </c>
      <c r="W206" s="6">
        <f>IF(ISERROR(VLOOKUP($T$206,'TAR FIN'!$A$1:$O$100,15,0)),0,VLOOKUP($T$206,'TAR FIN'!$A$1:$O$100,15,0))</f>
        <v>147.9</v>
      </c>
      <c r="X206" s="6">
        <f>IF(ISERROR(VLOOKUP($U$206,'TAR FIN'!$A$1:$O$100,15,0)),0,VLOOKUP($U$206,'TAR FIN'!$A$1:$O$100,15,0))</f>
        <v>138.80000000000001</v>
      </c>
      <c r="Y206" s="6"/>
      <c r="Z20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06" s="6">
        <f>('TE BE'!$AA$15+'TE BF'!$AA$15+'TE CVA'!$AA$15)*(1-CUSTOS!$M$35)</f>
        <v>150.47620671413409</v>
      </c>
      <c r="AB206" s="6">
        <f t="shared" si="16"/>
        <v>0</v>
      </c>
      <c r="AC206" s="6">
        <f>(L206-M206)*(W206+X206)+($W$276+$X$276-$W$206-$X$206)*(L206)</f>
        <v>512231.26695000014</v>
      </c>
      <c r="AD206" s="6">
        <f t="shared" si="17"/>
        <v>0</v>
      </c>
      <c r="AE206" s="6">
        <f ca="1">(L206-M206)*(Z206+AA206)+($Z$276+$AA$276-$Z$206-$AA$206)*(L206)</f>
        <v>524755.07058906334</v>
      </c>
      <c r="AF206" s="4" t="s">
        <v>915</v>
      </c>
    </row>
    <row r="207" spans="1:32" ht="11.25" customHeight="1" x14ac:dyDescent="0.25">
      <c r="A207" s="4" t="s">
        <v>27</v>
      </c>
      <c r="B207" s="4" t="s">
        <v>22</v>
      </c>
      <c r="C207" s="4" t="s">
        <v>23</v>
      </c>
      <c r="D207" s="4" t="s">
        <v>24</v>
      </c>
      <c r="E207" s="4" t="s">
        <v>30</v>
      </c>
      <c r="F207" s="4" t="s">
        <v>25</v>
      </c>
      <c r="G207" s="4" t="s">
        <v>25</v>
      </c>
      <c r="H207" s="4" t="s">
        <v>25</v>
      </c>
      <c r="I207" s="5">
        <v>44228</v>
      </c>
      <c r="J207" s="6">
        <v>0</v>
      </c>
      <c r="K207" s="6">
        <v>0</v>
      </c>
      <c r="L207" s="6">
        <v>-0.19600000000000001</v>
      </c>
      <c r="M207" s="6">
        <v>-0.19600000000000001</v>
      </c>
      <c r="N207" s="6">
        <v>-0.19600000000000001</v>
      </c>
      <c r="O207" s="6">
        <v>-0.19600000000000001</v>
      </c>
      <c r="P207" s="6">
        <v>-2</v>
      </c>
      <c r="Q207" s="4" t="s">
        <v>26</v>
      </c>
      <c r="R207" s="4">
        <v>0</v>
      </c>
      <c r="S207" s="4">
        <v>0</v>
      </c>
      <c r="T207" s="4">
        <v>35</v>
      </c>
      <c r="U207" s="4">
        <v>75</v>
      </c>
      <c r="V207" s="6">
        <f>IF(ISERROR(VLOOKUP($S$207,'TAR FIN'!$A$1:$O$100,15,0)),0,VLOOKUP($S$207,'TAR FIN'!$A$1:$O$100,15,0))</f>
        <v>0</v>
      </c>
      <c r="W207" s="6">
        <f>IF(ISERROR(VLOOKUP($T$207,'TAR FIN'!$A$1:$O$100,15,0)),0,VLOOKUP($T$207,'TAR FIN'!$A$1:$O$100,15,0))</f>
        <v>147.9</v>
      </c>
      <c r="X207" s="6">
        <f>IF(ISERROR(VLOOKUP($U$207,'TAR FIN'!$A$1:$O$100,15,0)),0,VLOOKUP($U$207,'TAR FIN'!$A$1:$O$100,15,0))</f>
        <v>138.80000000000001</v>
      </c>
      <c r="Y207" s="6"/>
      <c r="Z20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07" s="6">
        <f>('TE BE'!$AA$15+'TE BF'!$AA$15+'TE CVA'!$AA$15)*(1-CUSTOS!$M$35)</f>
        <v>150.47620671413409</v>
      </c>
      <c r="AB207" s="6">
        <f t="shared" si="16"/>
        <v>0</v>
      </c>
      <c r="AC207" s="6">
        <f>(L207-M207)*(W207+X207)+($W$276+$X$276-$W$207-$X$207)*(L207)</f>
        <v>-37.461480000000009</v>
      </c>
      <c r="AD207" s="6">
        <f t="shared" si="17"/>
        <v>0</v>
      </c>
      <c r="AE207" s="6">
        <f ca="1">(L207-M207)*(Z207+AA207)+($Z$276+$AA$276-$Z$207-$AA$207)*(L207)</f>
        <v>-38.377394841243955</v>
      </c>
      <c r="AF207" s="4" t="s">
        <v>915</v>
      </c>
    </row>
    <row r="208" spans="1:32" ht="11.25" customHeight="1" x14ac:dyDescent="0.25">
      <c r="A208" s="4" t="s">
        <v>28</v>
      </c>
      <c r="B208" s="4" t="s">
        <v>22</v>
      </c>
      <c r="C208" s="4" t="s">
        <v>23</v>
      </c>
      <c r="D208" s="4" t="s">
        <v>24</v>
      </c>
      <c r="E208" s="4" t="s">
        <v>30</v>
      </c>
      <c r="F208" s="4" t="s">
        <v>25</v>
      </c>
      <c r="G208" s="4" t="s">
        <v>25</v>
      </c>
      <c r="H208" s="4" t="s">
        <v>25</v>
      </c>
      <c r="I208" s="5">
        <v>44228</v>
      </c>
      <c r="J208" s="6">
        <v>0</v>
      </c>
      <c r="K208" s="6">
        <v>0</v>
      </c>
      <c r="L208" s="6">
        <v>0.55200000000000005</v>
      </c>
      <c r="M208" s="6">
        <v>0.55200000000000005</v>
      </c>
      <c r="N208" s="6">
        <v>0.55200000000000005</v>
      </c>
      <c r="O208" s="6">
        <v>0.55200000000000005</v>
      </c>
      <c r="P208" s="6">
        <v>2</v>
      </c>
      <c r="Q208" s="4" t="s">
        <v>26</v>
      </c>
      <c r="R208" s="4">
        <v>0</v>
      </c>
      <c r="S208" s="4">
        <v>0</v>
      </c>
      <c r="T208" s="4">
        <v>35</v>
      </c>
      <c r="U208" s="4">
        <v>75</v>
      </c>
      <c r="V208" s="6">
        <f>IF(ISERROR(VLOOKUP($S$208,'TAR FIN'!$A$1:$O$100,15,0)),0,VLOOKUP($S$208,'TAR FIN'!$A$1:$O$100,15,0))</f>
        <v>0</v>
      </c>
      <c r="W208" s="6">
        <f>IF(ISERROR(VLOOKUP($T$208,'TAR FIN'!$A$1:$O$100,15,0)),0,VLOOKUP($T$208,'TAR FIN'!$A$1:$O$100,15,0))</f>
        <v>147.9</v>
      </c>
      <c r="X208" s="6">
        <f>IF(ISERROR(VLOOKUP($U$208,'TAR FIN'!$A$1:$O$100,15,0)),0,VLOOKUP($U$208,'TAR FIN'!$A$1:$O$100,15,0))</f>
        <v>138.80000000000001</v>
      </c>
      <c r="Y208" s="6"/>
      <c r="Z20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08" s="6">
        <f>('TE BE'!$AA$15+'TE BF'!$AA$15+'TE CVA'!$AA$15)*(1-CUSTOS!$M$35)</f>
        <v>150.47620671413409</v>
      </c>
      <c r="AB208" s="6">
        <f t="shared" si="16"/>
        <v>0</v>
      </c>
      <c r="AC208" s="6">
        <f>(L208-M208)*(W208+X208)+($W$276+$X$276-$W$208-$X$208)*(L208)</f>
        <v>105.50376000000004</v>
      </c>
      <c r="AD208" s="6">
        <f t="shared" si="17"/>
        <v>0</v>
      </c>
      <c r="AE208" s="6">
        <f ca="1">(L208-M208)*(Z208+AA208)+($Z$276+$AA$276-$Z$208-$AA$208)*(L208)</f>
        <v>108.08327526717686</v>
      </c>
      <c r="AF208" s="4" t="s">
        <v>915</v>
      </c>
    </row>
    <row r="209" spans="1:32" ht="11.25" customHeight="1" x14ac:dyDescent="0.25">
      <c r="A209" s="4" t="s">
        <v>21</v>
      </c>
      <c r="B209" s="4" t="s">
        <v>22</v>
      </c>
      <c r="C209" s="4" t="s">
        <v>23</v>
      </c>
      <c r="D209" s="4" t="s">
        <v>24</v>
      </c>
      <c r="E209" s="4" t="s">
        <v>30</v>
      </c>
      <c r="F209" s="4" t="s">
        <v>25</v>
      </c>
      <c r="G209" s="4" t="s">
        <v>25</v>
      </c>
      <c r="H209" s="4" t="s">
        <v>25</v>
      </c>
      <c r="I209" s="5">
        <v>44256</v>
      </c>
      <c r="J209" s="6">
        <v>0</v>
      </c>
      <c r="K209" s="6">
        <v>0</v>
      </c>
      <c r="L209" s="6">
        <v>2801.6529999999998</v>
      </c>
      <c r="M209" s="6">
        <v>2801.6529999999998</v>
      </c>
      <c r="N209" s="6">
        <v>2801.6529999999998</v>
      </c>
      <c r="O209" s="6">
        <v>2801.6529999999998</v>
      </c>
      <c r="P209" s="6">
        <v>26252</v>
      </c>
      <c r="Q209" s="4" t="s">
        <v>26</v>
      </c>
      <c r="R209" s="4">
        <v>0</v>
      </c>
      <c r="S209" s="4">
        <v>0</v>
      </c>
      <c r="T209" s="4">
        <v>35</v>
      </c>
      <c r="U209" s="4">
        <v>75</v>
      </c>
      <c r="V209" s="6">
        <f>IF(ISERROR(VLOOKUP($S$209,'TAR FIN'!$A$1:$O$100,15,0)),0,VLOOKUP($S$209,'TAR FIN'!$A$1:$O$100,15,0))</f>
        <v>0</v>
      </c>
      <c r="W209" s="6">
        <f>IF(ISERROR(VLOOKUP($T$209,'TAR FIN'!$A$1:$O$100,15,0)),0,VLOOKUP($T$209,'TAR FIN'!$A$1:$O$100,15,0))</f>
        <v>147.9</v>
      </c>
      <c r="X209" s="6">
        <f>IF(ISERROR(VLOOKUP($U$209,'TAR FIN'!$A$1:$O$100,15,0)),0,VLOOKUP($U$209,'TAR FIN'!$A$1:$O$100,15,0))</f>
        <v>138.80000000000001</v>
      </c>
      <c r="Y209" s="6"/>
      <c r="Z20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09" s="6">
        <f>('TE BE'!$AA$15+'TE BF'!$AA$15+'TE CVA'!$AA$15)*(1-CUSTOS!$M$35)</f>
        <v>150.47620671413409</v>
      </c>
      <c r="AB209" s="6">
        <f t="shared" si="16"/>
        <v>0</v>
      </c>
      <c r="AC209" s="6">
        <f>(L209-M209)*(W209+X209)+($W$276+$X$276-$W$209-$X$209)*(L209)</f>
        <v>535479.93789000006</v>
      </c>
      <c r="AD209" s="6">
        <f t="shared" si="17"/>
        <v>0</v>
      </c>
      <c r="AE209" s="6">
        <f ca="1">(L209-M209)*(Z209+AA209)+($Z$276+$AA$276-$Z$209-$AA$209)*(L209)</f>
        <v>548572.16014875332</v>
      </c>
      <c r="AF209" s="4" t="s">
        <v>915</v>
      </c>
    </row>
    <row r="210" spans="1:32" ht="11.25" customHeight="1" x14ac:dyDescent="0.25">
      <c r="A210" s="4" t="s">
        <v>27</v>
      </c>
      <c r="B210" s="4" t="s">
        <v>22</v>
      </c>
      <c r="C210" s="4" t="s">
        <v>23</v>
      </c>
      <c r="D210" s="4" t="s">
        <v>24</v>
      </c>
      <c r="E210" s="4" t="s">
        <v>30</v>
      </c>
      <c r="F210" s="4" t="s">
        <v>25</v>
      </c>
      <c r="G210" s="4" t="s">
        <v>25</v>
      </c>
      <c r="H210" s="4" t="s">
        <v>25</v>
      </c>
      <c r="I210" s="5">
        <v>44256</v>
      </c>
      <c r="J210" s="6">
        <v>0</v>
      </c>
      <c r="K210" s="6">
        <v>0</v>
      </c>
      <c r="L210" s="6">
        <v>-0.52700000000000002</v>
      </c>
      <c r="M210" s="6">
        <v>-0.52700000000000002</v>
      </c>
      <c r="N210" s="6">
        <v>-0.52700000000000002</v>
      </c>
      <c r="O210" s="6">
        <v>-0.52700000000000002</v>
      </c>
      <c r="P210" s="6">
        <v>-4</v>
      </c>
      <c r="Q210" s="4" t="s">
        <v>26</v>
      </c>
      <c r="R210" s="4">
        <v>0</v>
      </c>
      <c r="S210" s="4">
        <v>0</v>
      </c>
      <c r="T210" s="4">
        <v>35</v>
      </c>
      <c r="U210" s="4">
        <v>75</v>
      </c>
      <c r="V210" s="6">
        <f>IF(ISERROR(VLOOKUP($S$210,'TAR FIN'!$A$1:$O$100,15,0)),0,VLOOKUP($S$210,'TAR FIN'!$A$1:$O$100,15,0))</f>
        <v>0</v>
      </c>
      <c r="W210" s="6">
        <f>IF(ISERROR(VLOOKUP($T$210,'TAR FIN'!$A$1:$O$100,15,0)),0,VLOOKUP($T$210,'TAR FIN'!$A$1:$O$100,15,0))</f>
        <v>147.9</v>
      </c>
      <c r="X210" s="6">
        <f>IF(ISERROR(VLOOKUP($U$210,'TAR FIN'!$A$1:$O$100,15,0)),0,VLOOKUP($U$210,'TAR FIN'!$A$1:$O$100,15,0))</f>
        <v>138.80000000000001</v>
      </c>
      <c r="Y210" s="6"/>
      <c r="Z21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0" s="6">
        <f>('TE BE'!$AA$15+'TE BF'!$AA$15+'TE CVA'!$AA$15)*(1-CUSTOS!$M$35)</f>
        <v>150.47620671413409</v>
      </c>
      <c r="AB210" s="6">
        <f t="shared" si="16"/>
        <v>0</v>
      </c>
      <c r="AC210" s="6">
        <f>(L210-M210)*(W210+X210)+($W$276+$X$276-$W$210-$X$210)*(L210)</f>
        <v>-100.72551000000003</v>
      </c>
      <c r="AD210" s="6">
        <f t="shared" si="17"/>
        <v>0</v>
      </c>
      <c r="AE210" s="6">
        <f ca="1">(L210-M210)*(Z210+AA210)+($Z$276+$AA$276-$Z$210-$AA$210)*(L210)</f>
        <v>-103.18819939456921</v>
      </c>
      <c r="AF210" s="4" t="s">
        <v>915</v>
      </c>
    </row>
    <row r="211" spans="1:32" ht="11.25" customHeight="1" x14ac:dyDescent="0.25">
      <c r="A211" s="4" t="s">
        <v>28</v>
      </c>
      <c r="B211" s="4" t="s">
        <v>22</v>
      </c>
      <c r="C211" s="4" t="s">
        <v>23</v>
      </c>
      <c r="D211" s="4" t="s">
        <v>24</v>
      </c>
      <c r="E211" s="4" t="s">
        <v>30</v>
      </c>
      <c r="F211" s="4" t="s">
        <v>25</v>
      </c>
      <c r="G211" s="4" t="s">
        <v>25</v>
      </c>
      <c r="H211" s="4" t="s">
        <v>25</v>
      </c>
      <c r="I211" s="5">
        <v>44256</v>
      </c>
      <c r="J211" s="6">
        <v>0</v>
      </c>
      <c r="K211" s="6">
        <v>0</v>
      </c>
      <c r="L211" s="6">
        <v>0.35399999999999998</v>
      </c>
      <c r="M211" s="6">
        <v>0.35399999999999998</v>
      </c>
      <c r="N211" s="6">
        <v>0.35399999999999998</v>
      </c>
      <c r="O211" s="6">
        <v>0.35399999999999998</v>
      </c>
      <c r="P211" s="6">
        <v>1</v>
      </c>
      <c r="Q211" s="4" t="s">
        <v>26</v>
      </c>
      <c r="R211" s="4">
        <v>0</v>
      </c>
      <c r="S211" s="4">
        <v>0</v>
      </c>
      <c r="T211" s="4">
        <v>35</v>
      </c>
      <c r="U211" s="4">
        <v>75</v>
      </c>
      <c r="V211" s="6">
        <f>IF(ISERROR(VLOOKUP($S$211,'TAR FIN'!$A$1:$O$100,15,0)),0,VLOOKUP($S$211,'TAR FIN'!$A$1:$O$100,15,0))</f>
        <v>0</v>
      </c>
      <c r="W211" s="6">
        <f>IF(ISERROR(VLOOKUP($T$211,'TAR FIN'!$A$1:$O$100,15,0)),0,VLOOKUP($T$211,'TAR FIN'!$A$1:$O$100,15,0))</f>
        <v>147.9</v>
      </c>
      <c r="X211" s="6">
        <f>IF(ISERROR(VLOOKUP($U$211,'TAR FIN'!$A$1:$O$100,15,0)),0,VLOOKUP($U$211,'TAR FIN'!$A$1:$O$100,15,0))</f>
        <v>138.80000000000001</v>
      </c>
      <c r="Y211" s="6"/>
      <c r="Z211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1" s="6">
        <f>('TE BE'!$AA$15+'TE BF'!$AA$15+'TE CVA'!$AA$15)*(1-CUSTOS!$M$35)</f>
        <v>150.47620671413409</v>
      </c>
      <c r="AB211" s="6">
        <f t="shared" si="16"/>
        <v>0</v>
      </c>
      <c r="AC211" s="6">
        <f>(L211-M211)*(W211+X211)+($W$276+$X$276-$W$211-$X$211)*(L211)</f>
        <v>67.660020000000017</v>
      </c>
      <c r="AD211" s="6">
        <f t="shared" si="17"/>
        <v>0</v>
      </c>
      <c r="AE211" s="6">
        <f ca="1">(L211-M211)*(Z211+AA211)+($Z$276+$AA$276-$Z$211-$AA$211)*(L211)</f>
        <v>69.314274356124287</v>
      </c>
      <c r="AF211" s="4" t="s">
        <v>915</v>
      </c>
    </row>
    <row r="212" spans="1:32" ht="11.25" customHeight="1" x14ac:dyDescent="0.25">
      <c r="A212" s="4" t="s">
        <v>21</v>
      </c>
      <c r="B212" s="4" t="s">
        <v>22</v>
      </c>
      <c r="C212" s="4" t="s">
        <v>23</v>
      </c>
      <c r="D212" s="4" t="s">
        <v>24</v>
      </c>
      <c r="E212" s="4" t="s">
        <v>30</v>
      </c>
      <c r="F212" s="4" t="s">
        <v>25</v>
      </c>
      <c r="G212" s="4" t="s">
        <v>25</v>
      </c>
      <c r="H212" s="4" t="s">
        <v>25</v>
      </c>
      <c r="I212" s="5">
        <v>44287</v>
      </c>
      <c r="J212" s="6">
        <v>0</v>
      </c>
      <c r="K212" s="6">
        <v>0</v>
      </c>
      <c r="L212" s="6">
        <v>2819.8029999999999</v>
      </c>
      <c r="M212" s="6">
        <v>2819.8029999999999</v>
      </c>
      <c r="N212" s="6">
        <v>2819.8029999999999</v>
      </c>
      <c r="O212" s="6">
        <v>2819.8029999999999</v>
      </c>
      <c r="P212" s="6">
        <v>25869</v>
      </c>
      <c r="Q212" s="4" t="s">
        <v>26</v>
      </c>
      <c r="R212" s="4">
        <v>0</v>
      </c>
      <c r="S212" s="4">
        <v>0</v>
      </c>
      <c r="T212" s="4">
        <v>35</v>
      </c>
      <c r="U212" s="4">
        <v>75</v>
      </c>
      <c r="V212" s="6">
        <f>IF(ISERROR(VLOOKUP($S$212,'TAR FIN'!$A$1:$O$100,15,0)),0,VLOOKUP($S$212,'TAR FIN'!$A$1:$O$100,15,0))</f>
        <v>0</v>
      </c>
      <c r="W212" s="6">
        <f>IF(ISERROR(VLOOKUP($T$212,'TAR FIN'!$A$1:$O$100,15,0)),0,VLOOKUP($T$212,'TAR FIN'!$A$1:$O$100,15,0))</f>
        <v>147.9</v>
      </c>
      <c r="X212" s="6">
        <f>IF(ISERROR(VLOOKUP($U$212,'TAR FIN'!$A$1:$O$100,15,0)),0,VLOOKUP($U$212,'TAR FIN'!$A$1:$O$100,15,0))</f>
        <v>138.80000000000001</v>
      </c>
      <c r="Y212" s="6"/>
      <c r="Z212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2" s="6">
        <f>('TE BE'!$AA$15+'TE BF'!$AA$15+'TE CVA'!$AA$15)*(1-CUSTOS!$M$35)</f>
        <v>150.47620671413409</v>
      </c>
      <c r="AB212" s="6">
        <f t="shared" si="16"/>
        <v>0</v>
      </c>
      <c r="AC212" s="6">
        <f>(L212-M212)*(W212+X212)+($W$276+$X$276-$W$212-$X$212)*(L212)</f>
        <v>538948.9473900001</v>
      </c>
      <c r="AD212" s="6">
        <f t="shared" si="17"/>
        <v>0</v>
      </c>
      <c r="AE212" s="6">
        <f ca="1">(L212-M212)*(Z212+AA212)+($Z$276+$AA$276-$Z$212-$AA$212)*(L212)</f>
        <v>552125.98523226648</v>
      </c>
      <c r="AF212" s="4" t="s">
        <v>915</v>
      </c>
    </row>
    <row r="213" spans="1:32" ht="11.25" customHeight="1" x14ac:dyDescent="0.25">
      <c r="A213" s="4" t="s">
        <v>27</v>
      </c>
      <c r="B213" s="4" t="s">
        <v>22</v>
      </c>
      <c r="C213" s="4" t="s">
        <v>23</v>
      </c>
      <c r="D213" s="4" t="s">
        <v>24</v>
      </c>
      <c r="E213" s="4" t="s">
        <v>30</v>
      </c>
      <c r="F213" s="4" t="s">
        <v>25</v>
      </c>
      <c r="G213" s="4" t="s">
        <v>25</v>
      </c>
      <c r="H213" s="4" t="s">
        <v>25</v>
      </c>
      <c r="I213" s="5">
        <v>44287</v>
      </c>
      <c r="J213" s="6">
        <v>0</v>
      </c>
      <c r="K213" s="6">
        <v>0</v>
      </c>
      <c r="L213" s="6">
        <v>-7.0000000000000007E-2</v>
      </c>
      <c r="M213" s="6">
        <v>-7.0000000000000007E-2</v>
      </c>
      <c r="N213" s="6">
        <v>-7.0000000000000007E-2</v>
      </c>
      <c r="O213" s="6">
        <v>-7.0000000000000007E-2</v>
      </c>
      <c r="P213" s="6">
        <v>0</v>
      </c>
      <c r="Q213" s="4" t="s">
        <v>26</v>
      </c>
      <c r="R213" s="4">
        <v>0</v>
      </c>
      <c r="S213" s="4">
        <v>0</v>
      </c>
      <c r="T213" s="4">
        <v>35</v>
      </c>
      <c r="U213" s="4">
        <v>75</v>
      </c>
      <c r="V213" s="6">
        <f>IF(ISERROR(VLOOKUP($S$213,'TAR FIN'!$A$1:$O$100,15,0)),0,VLOOKUP($S$213,'TAR FIN'!$A$1:$O$100,15,0))</f>
        <v>0</v>
      </c>
      <c r="W213" s="6">
        <f>IF(ISERROR(VLOOKUP($T$213,'TAR FIN'!$A$1:$O$100,15,0)),0,VLOOKUP($T$213,'TAR FIN'!$A$1:$O$100,15,0))</f>
        <v>147.9</v>
      </c>
      <c r="X213" s="6">
        <f>IF(ISERROR(VLOOKUP($U$213,'TAR FIN'!$A$1:$O$100,15,0)),0,VLOOKUP($U$213,'TAR FIN'!$A$1:$O$100,15,0))</f>
        <v>138.80000000000001</v>
      </c>
      <c r="Y213" s="6"/>
      <c r="Z21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3" s="6">
        <f>('TE BE'!$AA$15+'TE BF'!$AA$15+'TE CVA'!$AA$15)*(1-CUSTOS!$M$35)</f>
        <v>150.47620671413409</v>
      </c>
      <c r="AB213" s="6">
        <f t="shared" si="16"/>
        <v>0</v>
      </c>
      <c r="AC213" s="6">
        <f>(L213-M213)*(W213+X213)+($W$276+$X$276-$W$213-$X$213)*(L213)</f>
        <v>-13.379100000000005</v>
      </c>
      <c r="AD213" s="6">
        <f t="shared" si="17"/>
        <v>0</v>
      </c>
      <c r="AE213" s="6">
        <f ca="1">(L213-M213)*(Z213+AA213)+($Z$276+$AA$276-$Z$213-$AA$213)*(L213)</f>
        <v>-13.706212443301414</v>
      </c>
      <c r="AF213" s="4" t="s">
        <v>915</v>
      </c>
    </row>
    <row r="214" spans="1:32" ht="11.25" customHeight="1" x14ac:dyDescent="0.25">
      <c r="A214" s="4" t="s">
        <v>28</v>
      </c>
      <c r="B214" s="4" t="s">
        <v>22</v>
      </c>
      <c r="C214" s="4" t="s">
        <v>23</v>
      </c>
      <c r="D214" s="4" t="s">
        <v>24</v>
      </c>
      <c r="E214" s="4" t="s">
        <v>30</v>
      </c>
      <c r="F214" s="4" t="s">
        <v>25</v>
      </c>
      <c r="G214" s="4" t="s">
        <v>25</v>
      </c>
      <c r="H214" s="4" t="s">
        <v>25</v>
      </c>
      <c r="I214" s="5">
        <v>44287</v>
      </c>
      <c r="J214" s="6">
        <v>0</v>
      </c>
      <c r="K214" s="6">
        <v>0</v>
      </c>
      <c r="L214" s="6">
        <v>0.35</v>
      </c>
      <c r="M214" s="6">
        <v>0.35</v>
      </c>
      <c r="N214" s="6">
        <v>0.35</v>
      </c>
      <c r="O214" s="6">
        <v>0.35</v>
      </c>
      <c r="P214" s="6">
        <v>1</v>
      </c>
      <c r="Q214" s="4" t="s">
        <v>26</v>
      </c>
      <c r="R214" s="4">
        <v>0</v>
      </c>
      <c r="S214" s="4">
        <v>0</v>
      </c>
      <c r="T214" s="4">
        <v>35</v>
      </c>
      <c r="U214" s="4">
        <v>75</v>
      </c>
      <c r="V214" s="6">
        <f>IF(ISERROR(VLOOKUP($S$214,'TAR FIN'!$A$1:$O$100,15,0)),0,VLOOKUP($S$214,'TAR FIN'!$A$1:$O$100,15,0))</f>
        <v>0</v>
      </c>
      <c r="W214" s="6">
        <f>IF(ISERROR(VLOOKUP($T$214,'TAR FIN'!$A$1:$O$100,15,0)),0,VLOOKUP($T$214,'TAR FIN'!$A$1:$O$100,15,0))</f>
        <v>147.9</v>
      </c>
      <c r="X214" s="6">
        <f>IF(ISERROR(VLOOKUP($U$214,'TAR FIN'!$A$1:$O$100,15,0)),0,VLOOKUP($U$214,'TAR FIN'!$A$1:$O$100,15,0))</f>
        <v>138.80000000000001</v>
      </c>
      <c r="Y214" s="6"/>
      <c r="Z21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4" s="6">
        <f>('TE BE'!$AA$15+'TE BF'!$AA$15+'TE CVA'!$AA$15)*(1-CUSTOS!$M$35)</f>
        <v>150.47620671413409</v>
      </c>
      <c r="AB214" s="6">
        <f t="shared" si="16"/>
        <v>0</v>
      </c>
      <c r="AC214" s="6">
        <f>(L214-M214)*(W214+X214)+($W$276+$X$276-$W$214-$X$214)*(L214)</f>
        <v>66.895500000000013</v>
      </c>
      <c r="AD214" s="6">
        <f t="shared" si="17"/>
        <v>0</v>
      </c>
      <c r="AE214" s="6">
        <f ca="1">(L214-M214)*(Z214+AA214)+($Z$276+$AA$276-$Z$214-$AA$214)*(L214)</f>
        <v>68.531062216507053</v>
      </c>
      <c r="AF214" s="4" t="s">
        <v>915</v>
      </c>
    </row>
    <row r="215" spans="1:32" ht="11.25" customHeight="1" x14ac:dyDescent="0.25">
      <c r="A215" s="4" t="s">
        <v>21</v>
      </c>
      <c r="B215" s="4" t="s">
        <v>22</v>
      </c>
      <c r="C215" s="4" t="s">
        <v>23</v>
      </c>
      <c r="D215" s="4" t="s">
        <v>24</v>
      </c>
      <c r="E215" s="4" t="s">
        <v>30</v>
      </c>
      <c r="F215" s="4" t="s">
        <v>25</v>
      </c>
      <c r="G215" s="4" t="s">
        <v>25</v>
      </c>
      <c r="H215" s="4" t="s">
        <v>25</v>
      </c>
      <c r="I215" s="5">
        <v>44317</v>
      </c>
      <c r="J215" s="6">
        <v>0</v>
      </c>
      <c r="K215" s="6">
        <v>0</v>
      </c>
      <c r="L215" s="6">
        <v>2696.9549999999999</v>
      </c>
      <c r="M215" s="6">
        <v>2696.9549999999999</v>
      </c>
      <c r="N215" s="6">
        <v>2696.9549999999999</v>
      </c>
      <c r="O215" s="6">
        <v>2696.9549999999999</v>
      </c>
      <c r="P215" s="6">
        <v>28492</v>
      </c>
      <c r="Q215" s="4" t="s">
        <v>26</v>
      </c>
      <c r="R215" s="4">
        <v>0</v>
      </c>
      <c r="S215" s="4">
        <v>0</v>
      </c>
      <c r="T215" s="4">
        <v>35</v>
      </c>
      <c r="U215" s="4">
        <v>75</v>
      </c>
      <c r="V215" s="6">
        <f>IF(ISERROR(VLOOKUP($S$215,'TAR FIN'!$A$1:$O$100,15,0)),0,VLOOKUP($S$215,'TAR FIN'!$A$1:$O$100,15,0))</f>
        <v>0</v>
      </c>
      <c r="W215" s="6">
        <f>IF(ISERROR(VLOOKUP($T$215,'TAR FIN'!$A$1:$O$100,15,0)),0,VLOOKUP($T$215,'TAR FIN'!$A$1:$O$100,15,0))</f>
        <v>147.9</v>
      </c>
      <c r="X215" s="6">
        <f>IF(ISERROR(VLOOKUP($U$215,'TAR FIN'!$A$1:$O$100,15,0)),0,VLOOKUP($U$215,'TAR FIN'!$A$1:$O$100,15,0))</f>
        <v>138.80000000000001</v>
      </c>
      <c r="Y215" s="6"/>
      <c r="Z21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5" s="6">
        <f>('TE BE'!$AA$15+'TE BF'!$AA$15+'TE CVA'!$AA$15)*(1-CUSTOS!$M$35)</f>
        <v>150.47620671413409</v>
      </c>
      <c r="AB215" s="6">
        <f t="shared" si="16"/>
        <v>0</v>
      </c>
      <c r="AC215" s="6">
        <f>(L215-M215)*(W215+X215)+($W$276+$X$276-$W$215-$X$215)*(L215)</f>
        <v>515469.00915000011</v>
      </c>
      <c r="AD215" s="6">
        <f t="shared" si="17"/>
        <v>0</v>
      </c>
      <c r="AE215" s="6">
        <f ca="1">(L215-M215)*(Z215+AA215)+($Z$276+$AA$276-$Z$215-$AA$215)*(L215)</f>
        <v>528071.97400034231</v>
      </c>
      <c r="AF215" s="4" t="s">
        <v>915</v>
      </c>
    </row>
    <row r="216" spans="1:32" ht="11.25" customHeight="1" x14ac:dyDescent="0.25">
      <c r="A216" s="4" t="s">
        <v>27</v>
      </c>
      <c r="B216" s="4" t="s">
        <v>22</v>
      </c>
      <c r="C216" s="4" t="s">
        <v>23</v>
      </c>
      <c r="D216" s="4" t="s">
        <v>24</v>
      </c>
      <c r="E216" s="4" t="s">
        <v>30</v>
      </c>
      <c r="F216" s="4" t="s">
        <v>25</v>
      </c>
      <c r="G216" s="4" t="s">
        <v>25</v>
      </c>
      <c r="H216" s="4" t="s">
        <v>25</v>
      </c>
      <c r="I216" s="5">
        <v>44317</v>
      </c>
      <c r="J216" s="6">
        <v>0</v>
      </c>
      <c r="K216" s="6">
        <v>0</v>
      </c>
      <c r="L216" s="6">
        <v>-0.21</v>
      </c>
      <c r="M216" s="6">
        <v>-0.21</v>
      </c>
      <c r="N216" s="6">
        <v>-0.21</v>
      </c>
      <c r="O216" s="6">
        <v>-0.21</v>
      </c>
      <c r="P216" s="6">
        <v>0</v>
      </c>
      <c r="Q216" s="4" t="s">
        <v>26</v>
      </c>
      <c r="R216" s="4">
        <v>0</v>
      </c>
      <c r="S216" s="4">
        <v>0</v>
      </c>
      <c r="T216" s="4">
        <v>35</v>
      </c>
      <c r="U216" s="4">
        <v>75</v>
      </c>
      <c r="V216" s="6">
        <f>IF(ISERROR(VLOOKUP($S$216,'TAR FIN'!$A$1:$O$100,15,0)),0,VLOOKUP($S$216,'TAR FIN'!$A$1:$O$100,15,0))</f>
        <v>0</v>
      </c>
      <c r="W216" s="6">
        <f>IF(ISERROR(VLOOKUP($T$216,'TAR FIN'!$A$1:$O$100,15,0)),0,VLOOKUP($T$216,'TAR FIN'!$A$1:$O$100,15,0))</f>
        <v>147.9</v>
      </c>
      <c r="X216" s="6">
        <f>IF(ISERROR(VLOOKUP($U$216,'TAR FIN'!$A$1:$O$100,15,0)),0,VLOOKUP($U$216,'TAR FIN'!$A$1:$O$100,15,0))</f>
        <v>138.80000000000001</v>
      </c>
      <c r="Y216" s="6"/>
      <c r="Z21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6" s="6">
        <f>('TE BE'!$AA$15+'TE BF'!$AA$15+'TE CVA'!$AA$15)*(1-CUSTOS!$M$35)</f>
        <v>150.47620671413409</v>
      </c>
      <c r="AB216" s="6">
        <f t="shared" si="16"/>
        <v>0</v>
      </c>
      <c r="AC216" s="6">
        <f>(L216-M216)*(W216+X216)+($W$276+$X$276-$W$216-$X$216)*(L216)</f>
        <v>-40.13730000000001</v>
      </c>
      <c r="AD216" s="6">
        <f t="shared" si="17"/>
        <v>0</v>
      </c>
      <c r="AE216" s="6">
        <f ca="1">(L216-M216)*(Z216+AA216)+($Z$276+$AA$276-$Z$216-$AA$216)*(L216)</f>
        <v>-41.118637329904239</v>
      </c>
      <c r="AF216" s="4" t="s">
        <v>915</v>
      </c>
    </row>
    <row r="217" spans="1:32" ht="11.25" customHeight="1" x14ac:dyDescent="0.25">
      <c r="A217" s="4" t="s">
        <v>28</v>
      </c>
      <c r="B217" s="4" t="s">
        <v>22</v>
      </c>
      <c r="C217" s="4" t="s">
        <v>23</v>
      </c>
      <c r="D217" s="4" t="s">
        <v>24</v>
      </c>
      <c r="E217" s="4" t="s">
        <v>30</v>
      </c>
      <c r="F217" s="4" t="s">
        <v>25</v>
      </c>
      <c r="G217" s="4" t="s">
        <v>25</v>
      </c>
      <c r="H217" s="4" t="s">
        <v>25</v>
      </c>
      <c r="I217" s="5">
        <v>44317</v>
      </c>
      <c r="J217" s="6">
        <v>0</v>
      </c>
      <c r="K217" s="6">
        <v>0</v>
      </c>
      <c r="L217" s="6">
        <v>0.42399999999999999</v>
      </c>
      <c r="M217" s="6">
        <v>0.42399999999999999</v>
      </c>
      <c r="N217" s="6">
        <v>0.42399999999999999</v>
      </c>
      <c r="O217" s="6">
        <v>0.42399999999999999</v>
      </c>
      <c r="P217" s="6">
        <v>1</v>
      </c>
      <c r="Q217" s="4" t="s">
        <v>26</v>
      </c>
      <c r="R217" s="4">
        <v>0</v>
      </c>
      <c r="S217" s="4">
        <v>0</v>
      </c>
      <c r="T217" s="4">
        <v>35</v>
      </c>
      <c r="U217" s="4">
        <v>75</v>
      </c>
      <c r="V217" s="6">
        <f>IF(ISERROR(VLOOKUP($S$217,'TAR FIN'!$A$1:$O$100,15,0)),0,VLOOKUP($S$217,'TAR FIN'!$A$1:$O$100,15,0))</f>
        <v>0</v>
      </c>
      <c r="W217" s="6">
        <f>IF(ISERROR(VLOOKUP($T$217,'TAR FIN'!$A$1:$O$100,15,0)),0,VLOOKUP($T$217,'TAR FIN'!$A$1:$O$100,15,0))</f>
        <v>147.9</v>
      </c>
      <c r="X217" s="6">
        <f>IF(ISERROR(VLOOKUP($U$217,'TAR FIN'!$A$1:$O$100,15,0)),0,VLOOKUP($U$217,'TAR FIN'!$A$1:$O$100,15,0))</f>
        <v>138.80000000000001</v>
      </c>
      <c r="Y217" s="6"/>
      <c r="Z21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7" s="6">
        <f>('TE BE'!$AA$15+'TE BF'!$AA$15+'TE CVA'!$AA$15)*(1-CUSTOS!$M$35)</f>
        <v>150.47620671413409</v>
      </c>
      <c r="AB217" s="6">
        <f t="shared" si="16"/>
        <v>0</v>
      </c>
      <c r="AC217" s="6">
        <f>(L217-M217)*(W217+X217)+($W$276+$X$276-$W$217-$X$217)*(L217)</f>
        <v>81.039120000000025</v>
      </c>
      <c r="AD217" s="6">
        <f t="shared" si="17"/>
        <v>0</v>
      </c>
      <c r="AE217" s="6">
        <f ca="1">(L217-M217)*(Z217+AA217)+($Z$276+$AA$276-$Z$217-$AA$217)*(L217)</f>
        <v>83.020486799425697</v>
      </c>
      <c r="AF217" s="4" t="s">
        <v>915</v>
      </c>
    </row>
    <row r="218" spans="1:32" ht="11.25" customHeight="1" x14ac:dyDescent="0.25">
      <c r="A218" s="4" t="s">
        <v>21</v>
      </c>
      <c r="B218" s="4" t="s">
        <v>22</v>
      </c>
      <c r="C218" s="4" t="s">
        <v>23</v>
      </c>
      <c r="D218" s="4" t="s">
        <v>24</v>
      </c>
      <c r="E218" s="4" t="s">
        <v>30</v>
      </c>
      <c r="F218" s="4" t="s">
        <v>25</v>
      </c>
      <c r="G218" s="4" t="s">
        <v>25</v>
      </c>
      <c r="H218" s="4" t="s">
        <v>25</v>
      </c>
      <c r="I218" s="5">
        <v>44348</v>
      </c>
      <c r="J218" s="6">
        <v>0</v>
      </c>
      <c r="K218" s="6">
        <v>0</v>
      </c>
      <c r="L218" s="6">
        <v>2604.1880000000001</v>
      </c>
      <c r="M218" s="6">
        <v>2604.1880000000001</v>
      </c>
      <c r="N218" s="6">
        <v>2604.1880000000001</v>
      </c>
      <c r="O218" s="6">
        <v>2604.1880000000001</v>
      </c>
      <c r="P218" s="6">
        <v>30535</v>
      </c>
      <c r="Q218" s="4" t="s">
        <v>26</v>
      </c>
      <c r="R218" s="4">
        <v>0</v>
      </c>
      <c r="S218" s="4">
        <v>0</v>
      </c>
      <c r="T218" s="4">
        <v>35</v>
      </c>
      <c r="U218" s="4">
        <v>75</v>
      </c>
      <c r="V218" s="6">
        <f>IF(ISERROR(VLOOKUP($S$218,'TAR FIN'!$A$1:$O$100,15,0)),0,VLOOKUP($S$218,'TAR FIN'!$A$1:$O$100,15,0))</f>
        <v>0</v>
      </c>
      <c r="W218" s="6">
        <f>IF(ISERROR(VLOOKUP($T$218,'TAR FIN'!$A$1:$O$100,15,0)),0,VLOOKUP($T$218,'TAR FIN'!$A$1:$O$100,15,0))</f>
        <v>147.9</v>
      </c>
      <c r="X218" s="6">
        <f>IF(ISERROR(VLOOKUP($U$218,'TAR FIN'!$A$1:$O$100,15,0)),0,VLOOKUP($U$218,'TAR FIN'!$A$1:$O$100,15,0))</f>
        <v>138.80000000000001</v>
      </c>
      <c r="Y218" s="6"/>
      <c r="Z21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8" s="6">
        <f>('TE BE'!$AA$15+'TE BF'!$AA$15+'TE CVA'!$AA$15)*(1-CUSTOS!$M$35)</f>
        <v>150.47620671413409</v>
      </c>
      <c r="AB218" s="6">
        <f t="shared" si="16"/>
        <v>0</v>
      </c>
      <c r="AC218" s="6">
        <f>(L218-M218)*(W218+X218)+($W$276+$X$276-$W$218-$X$218)*(L218)</f>
        <v>497738.45244000014</v>
      </c>
      <c r="AD218" s="6">
        <f t="shared" si="17"/>
        <v>0</v>
      </c>
      <c r="AE218" s="6">
        <f ca="1">(L218-M218)*(Z218+AA218)+($Z$276+$AA$276-$Z$218-$AA$218)*(L218)</f>
        <v>509907.91386137455</v>
      </c>
      <c r="AF218" s="4" t="s">
        <v>915</v>
      </c>
    </row>
    <row r="219" spans="1:32" ht="11.25" customHeight="1" x14ac:dyDescent="0.25">
      <c r="A219" s="4" t="s">
        <v>27</v>
      </c>
      <c r="B219" s="4" t="s">
        <v>22</v>
      </c>
      <c r="C219" s="4" t="s">
        <v>23</v>
      </c>
      <c r="D219" s="4" t="s">
        <v>24</v>
      </c>
      <c r="E219" s="4" t="s">
        <v>30</v>
      </c>
      <c r="F219" s="4" t="s">
        <v>25</v>
      </c>
      <c r="G219" s="4" t="s">
        <v>25</v>
      </c>
      <c r="H219" s="4" t="s">
        <v>25</v>
      </c>
      <c r="I219" s="5">
        <v>44348</v>
      </c>
      <c r="J219" s="6">
        <v>0</v>
      </c>
      <c r="K219" s="6">
        <v>0</v>
      </c>
      <c r="L219" s="6">
        <v>-0.42</v>
      </c>
      <c r="M219" s="6">
        <v>-0.42</v>
      </c>
      <c r="N219" s="6">
        <v>-0.42</v>
      </c>
      <c r="O219" s="6">
        <v>-0.42</v>
      </c>
      <c r="P219" s="6">
        <v>0</v>
      </c>
      <c r="Q219" s="4" t="s">
        <v>26</v>
      </c>
      <c r="R219" s="4">
        <v>0</v>
      </c>
      <c r="S219" s="4">
        <v>0</v>
      </c>
      <c r="T219" s="4">
        <v>35</v>
      </c>
      <c r="U219" s="4">
        <v>75</v>
      </c>
      <c r="V219" s="6">
        <f>IF(ISERROR(VLOOKUP($S$219,'TAR FIN'!$A$1:$O$100,15,0)),0,VLOOKUP($S$219,'TAR FIN'!$A$1:$O$100,15,0))</f>
        <v>0</v>
      </c>
      <c r="W219" s="6">
        <f>IF(ISERROR(VLOOKUP($T$219,'TAR FIN'!$A$1:$O$100,15,0)),0,VLOOKUP($T$219,'TAR FIN'!$A$1:$O$100,15,0))</f>
        <v>147.9</v>
      </c>
      <c r="X219" s="6">
        <f>IF(ISERROR(VLOOKUP($U$219,'TAR FIN'!$A$1:$O$100,15,0)),0,VLOOKUP($U$219,'TAR FIN'!$A$1:$O$100,15,0))</f>
        <v>138.80000000000001</v>
      </c>
      <c r="Y219" s="6"/>
      <c r="Z21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19" s="6">
        <f>('TE BE'!$AA$15+'TE BF'!$AA$15+'TE CVA'!$AA$15)*(1-CUSTOS!$M$35)</f>
        <v>150.47620671413409</v>
      </c>
      <c r="AB219" s="6">
        <f t="shared" si="16"/>
        <v>0</v>
      </c>
      <c r="AC219" s="6">
        <f>(L219-M219)*(W219+X219)+($W$276+$X$276-$W$219-$X$219)*(L219)</f>
        <v>-80.274600000000021</v>
      </c>
      <c r="AD219" s="6">
        <f t="shared" si="17"/>
        <v>0</v>
      </c>
      <c r="AE219" s="6">
        <f ca="1">(L219-M219)*(Z219+AA219)+($Z$276+$AA$276-$Z$219-$AA$219)*(L219)</f>
        <v>-82.237274659808477</v>
      </c>
      <c r="AF219" s="4" t="s">
        <v>915</v>
      </c>
    </row>
    <row r="220" spans="1:32" ht="11.25" customHeight="1" x14ac:dyDescent="0.25">
      <c r="A220" s="4" t="s">
        <v>28</v>
      </c>
      <c r="B220" s="4" t="s">
        <v>22</v>
      </c>
      <c r="C220" s="4" t="s">
        <v>23</v>
      </c>
      <c r="D220" s="4" t="s">
        <v>24</v>
      </c>
      <c r="E220" s="4" t="s">
        <v>30</v>
      </c>
      <c r="F220" s="4" t="s">
        <v>25</v>
      </c>
      <c r="G220" s="4" t="s">
        <v>25</v>
      </c>
      <c r="H220" s="4" t="s">
        <v>25</v>
      </c>
      <c r="I220" s="5">
        <v>44348</v>
      </c>
      <c r="J220" s="6">
        <v>0</v>
      </c>
      <c r="K220" s="6">
        <v>0</v>
      </c>
      <c r="L220" s="6">
        <v>0.56000000000000005</v>
      </c>
      <c r="M220" s="6">
        <v>0.56000000000000005</v>
      </c>
      <c r="N220" s="6">
        <v>0.56000000000000005</v>
      </c>
      <c r="O220" s="6">
        <v>0.56000000000000005</v>
      </c>
      <c r="P220" s="6">
        <v>2</v>
      </c>
      <c r="Q220" s="4" t="s">
        <v>26</v>
      </c>
      <c r="R220" s="4">
        <v>0</v>
      </c>
      <c r="S220" s="4">
        <v>0</v>
      </c>
      <c r="T220" s="4">
        <v>35</v>
      </c>
      <c r="U220" s="4">
        <v>75</v>
      </c>
      <c r="V220" s="6">
        <f>IF(ISERROR(VLOOKUP($S$220,'TAR FIN'!$A$1:$O$100,15,0)),0,VLOOKUP($S$220,'TAR FIN'!$A$1:$O$100,15,0))</f>
        <v>0</v>
      </c>
      <c r="W220" s="6">
        <f>IF(ISERROR(VLOOKUP($T$220,'TAR FIN'!$A$1:$O$100,15,0)),0,VLOOKUP($T$220,'TAR FIN'!$A$1:$O$100,15,0))</f>
        <v>147.9</v>
      </c>
      <c r="X220" s="6">
        <f>IF(ISERROR(VLOOKUP($U$220,'TAR FIN'!$A$1:$O$100,15,0)),0,VLOOKUP($U$220,'TAR FIN'!$A$1:$O$100,15,0))</f>
        <v>138.80000000000001</v>
      </c>
      <c r="Y220" s="6"/>
      <c r="Z22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0" s="6">
        <f>('TE BE'!$AA$15+'TE BF'!$AA$15+'TE CVA'!$AA$15)*(1-CUSTOS!$M$35)</f>
        <v>150.47620671413409</v>
      </c>
      <c r="AB220" s="6">
        <f t="shared" si="16"/>
        <v>0</v>
      </c>
      <c r="AC220" s="6">
        <f>(L220-M220)*(W220+X220)+($W$276+$X$276-$W$220-$X$220)*(L220)</f>
        <v>107.03280000000004</v>
      </c>
      <c r="AD220" s="6">
        <f t="shared" si="17"/>
        <v>0</v>
      </c>
      <c r="AE220" s="6">
        <f ca="1">(L220-M220)*(Z220+AA220)+($Z$276+$AA$276-$Z$220-$AA$220)*(L220)</f>
        <v>109.64969954641131</v>
      </c>
      <c r="AF220" s="4" t="s">
        <v>915</v>
      </c>
    </row>
    <row r="221" spans="1:32" ht="11.25" customHeight="1" x14ac:dyDescent="0.25">
      <c r="A221" s="4" t="s">
        <v>21</v>
      </c>
      <c r="B221" s="4" t="s">
        <v>22</v>
      </c>
      <c r="C221" s="4" t="s">
        <v>23</v>
      </c>
      <c r="D221" s="4" t="s">
        <v>24</v>
      </c>
      <c r="E221" s="4" t="s">
        <v>30</v>
      </c>
      <c r="F221" s="4" t="s">
        <v>25</v>
      </c>
      <c r="G221" s="4" t="s">
        <v>25</v>
      </c>
      <c r="H221" s="4" t="s">
        <v>25</v>
      </c>
      <c r="I221" s="5">
        <v>44378</v>
      </c>
      <c r="J221" s="6">
        <v>0</v>
      </c>
      <c r="K221" s="6">
        <v>0</v>
      </c>
      <c r="L221" s="6">
        <v>2703.8040000000001</v>
      </c>
      <c r="M221" s="6">
        <v>2703.8040000000001</v>
      </c>
      <c r="N221" s="6">
        <v>2703.8040000000001</v>
      </c>
      <c r="O221" s="6">
        <v>2703.8040000000001</v>
      </c>
      <c r="P221" s="6">
        <v>29593</v>
      </c>
      <c r="Q221" s="4" t="s">
        <v>26</v>
      </c>
      <c r="R221" s="4">
        <v>0</v>
      </c>
      <c r="S221" s="4">
        <v>0</v>
      </c>
      <c r="T221" s="4">
        <v>35</v>
      </c>
      <c r="U221" s="4">
        <v>75</v>
      </c>
      <c r="V221" s="6">
        <f>IF(ISERROR(VLOOKUP($S$221,'TAR FIN'!$A$1:$O$100,15,0)),0,VLOOKUP($S$221,'TAR FIN'!$A$1:$O$100,15,0))</f>
        <v>0</v>
      </c>
      <c r="W221" s="6">
        <f>IF(ISERROR(VLOOKUP($T$221,'TAR FIN'!$A$1:$O$100,15,0)),0,VLOOKUP($T$221,'TAR FIN'!$A$1:$O$100,15,0))</f>
        <v>147.9</v>
      </c>
      <c r="X221" s="6">
        <f>IF(ISERROR(VLOOKUP($U$221,'TAR FIN'!$A$1:$O$100,15,0)),0,VLOOKUP($U$221,'TAR FIN'!$A$1:$O$100,15,0))</f>
        <v>138.80000000000001</v>
      </c>
      <c r="Y221" s="6"/>
      <c r="Z221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1" s="6">
        <f>('TE BE'!$AA$15+'TE BF'!$AA$15+'TE CVA'!$AA$15)*(1-CUSTOS!$M$35)</f>
        <v>150.47620671413409</v>
      </c>
      <c r="AB221" s="6">
        <f t="shared" si="16"/>
        <v>0</v>
      </c>
      <c r="AC221" s="6">
        <f>(L221-M221)*(W221+X221)+($W$276+$X$276-$W$221-$X$221)*(L221)</f>
        <v>516778.05852000014</v>
      </c>
      <c r="AD221" s="6">
        <f t="shared" si="17"/>
        <v>0</v>
      </c>
      <c r="AE221" s="6">
        <f ca="1">(L221-M221)*(Z221+AA221)+($Z$276+$AA$276-$Z$221-$AA$221)*(L221)</f>
        <v>529413.02898640186</v>
      </c>
      <c r="AF221" s="4" t="s">
        <v>915</v>
      </c>
    </row>
    <row r="222" spans="1:32" ht="11.25" customHeight="1" x14ac:dyDescent="0.25">
      <c r="A222" s="4" t="s">
        <v>27</v>
      </c>
      <c r="B222" s="4" t="s">
        <v>22</v>
      </c>
      <c r="C222" s="4" t="s">
        <v>23</v>
      </c>
      <c r="D222" s="4" t="s">
        <v>24</v>
      </c>
      <c r="E222" s="4" t="s">
        <v>30</v>
      </c>
      <c r="F222" s="4" t="s">
        <v>25</v>
      </c>
      <c r="G222" s="4" t="s">
        <v>25</v>
      </c>
      <c r="H222" s="4" t="s">
        <v>25</v>
      </c>
      <c r="I222" s="5">
        <v>44378</v>
      </c>
      <c r="J222" s="6">
        <v>0</v>
      </c>
      <c r="K222" s="6">
        <v>0</v>
      </c>
      <c r="L222" s="6">
        <v>-1.1200000000000001</v>
      </c>
      <c r="M222" s="6">
        <v>-1.1200000000000001</v>
      </c>
      <c r="N222" s="6">
        <v>-1.1200000000000001</v>
      </c>
      <c r="O222" s="6">
        <v>-1.1200000000000001</v>
      </c>
      <c r="P222" s="6">
        <v>0</v>
      </c>
      <c r="Q222" s="4" t="s">
        <v>26</v>
      </c>
      <c r="R222" s="4">
        <v>0</v>
      </c>
      <c r="S222" s="4">
        <v>0</v>
      </c>
      <c r="T222" s="4">
        <v>35</v>
      </c>
      <c r="U222" s="4">
        <v>75</v>
      </c>
      <c r="V222" s="6">
        <f>IF(ISERROR(VLOOKUP($S$222,'TAR FIN'!$A$1:$O$100,15,0)),0,VLOOKUP($S$222,'TAR FIN'!$A$1:$O$100,15,0))</f>
        <v>0</v>
      </c>
      <c r="W222" s="6">
        <f>IF(ISERROR(VLOOKUP($T$222,'TAR FIN'!$A$1:$O$100,15,0)),0,VLOOKUP($T$222,'TAR FIN'!$A$1:$O$100,15,0))</f>
        <v>147.9</v>
      </c>
      <c r="X222" s="6">
        <f>IF(ISERROR(VLOOKUP($U$222,'TAR FIN'!$A$1:$O$100,15,0)),0,VLOOKUP($U$222,'TAR FIN'!$A$1:$O$100,15,0))</f>
        <v>138.80000000000001</v>
      </c>
      <c r="Y222" s="6"/>
      <c r="Z222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2" s="6">
        <f>('TE BE'!$AA$15+'TE BF'!$AA$15+'TE CVA'!$AA$15)*(1-CUSTOS!$M$35)</f>
        <v>150.47620671413409</v>
      </c>
      <c r="AB222" s="6">
        <f t="shared" si="16"/>
        <v>0</v>
      </c>
      <c r="AC222" s="6">
        <f>(L222-M222)*(W222+X222)+($W$276+$X$276-$W$222-$X$222)*(L222)</f>
        <v>-214.06560000000007</v>
      </c>
      <c r="AD222" s="6">
        <f t="shared" si="17"/>
        <v>0</v>
      </c>
      <c r="AE222" s="6">
        <f ca="1">(L222-M222)*(Z222+AA222)+($Z$276+$AA$276-$Z$222-$AA$222)*(L222)</f>
        <v>-219.29939909282263</v>
      </c>
      <c r="AF222" s="4" t="s">
        <v>915</v>
      </c>
    </row>
    <row r="223" spans="1:32" ht="11.25" customHeight="1" x14ac:dyDescent="0.25">
      <c r="A223" s="4" t="s">
        <v>28</v>
      </c>
      <c r="B223" s="4" t="s">
        <v>22</v>
      </c>
      <c r="C223" s="4" t="s">
        <v>23</v>
      </c>
      <c r="D223" s="4" t="s">
        <v>24</v>
      </c>
      <c r="E223" s="4" t="s">
        <v>30</v>
      </c>
      <c r="F223" s="4" t="s">
        <v>25</v>
      </c>
      <c r="G223" s="4" t="s">
        <v>25</v>
      </c>
      <c r="H223" s="4" t="s">
        <v>25</v>
      </c>
      <c r="I223" s="5">
        <v>44378</v>
      </c>
      <c r="J223" s="6">
        <v>0</v>
      </c>
      <c r="K223" s="6">
        <v>0</v>
      </c>
      <c r="L223" s="6">
        <v>1.0329999999999999</v>
      </c>
      <c r="M223" s="6">
        <v>1.0329999999999999</v>
      </c>
      <c r="N223" s="6">
        <v>1.0329999999999999</v>
      </c>
      <c r="O223" s="6">
        <v>1.0329999999999999</v>
      </c>
      <c r="P223" s="6">
        <v>4</v>
      </c>
      <c r="Q223" s="4" t="s">
        <v>26</v>
      </c>
      <c r="R223" s="4">
        <v>0</v>
      </c>
      <c r="S223" s="4">
        <v>0</v>
      </c>
      <c r="T223" s="4">
        <v>35</v>
      </c>
      <c r="U223" s="4">
        <v>75</v>
      </c>
      <c r="V223" s="6">
        <f>IF(ISERROR(VLOOKUP($S$223,'TAR FIN'!$A$1:$O$100,15,0)),0,VLOOKUP($S$223,'TAR FIN'!$A$1:$O$100,15,0))</f>
        <v>0</v>
      </c>
      <c r="W223" s="6">
        <f>IF(ISERROR(VLOOKUP($T$223,'TAR FIN'!$A$1:$O$100,15,0)),0,VLOOKUP($T$223,'TAR FIN'!$A$1:$O$100,15,0))</f>
        <v>147.9</v>
      </c>
      <c r="X223" s="6">
        <f>IF(ISERROR(VLOOKUP($U$223,'TAR FIN'!$A$1:$O$100,15,0)),0,VLOOKUP($U$223,'TAR FIN'!$A$1:$O$100,15,0))</f>
        <v>138.80000000000001</v>
      </c>
      <c r="Y223" s="6"/>
      <c r="Z22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3" s="6">
        <f>('TE BE'!$AA$15+'TE BF'!$AA$15+'TE CVA'!$AA$15)*(1-CUSTOS!$M$35)</f>
        <v>150.47620671413409</v>
      </c>
      <c r="AB223" s="6">
        <f t="shared" si="16"/>
        <v>0</v>
      </c>
      <c r="AC223" s="6">
        <f>(L223-M223)*(W223+X223)+($W$276+$X$276-$W$223-$X$223)*(L223)</f>
        <v>197.43729000000005</v>
      </c>
      <c r="AD223" s="6">
        <f t="shared" si="17"/>
        <v>0</v>
      </c>
      <c r="AE223" s="6">
        <f ca="1">(L223-M223)*(Z223+AA223)+($Z$276+$AA$276-$Z$223-$AA$223)*(L223)</f>
        <v>202.26453505614796</v>
      </c>
      <c r="AF223" s="4" t="s">
        <v>915</v>
      </c>
    </row>
    <row r="224" spans="1:32" ht="11.25" customHeight="1" x14ac:dyDescent="0.25">
      <c r="A224" s="4" t="s">
        <v>21</v>
      </c>
      <c r="B224" s="4" t="s">
        <v>22</v>
      </c>
      <c r="C224" s="4" t="s">
        <v>23</v>
      </c>
      <c r="D224" s="4" t="s">
        <v>24</v>
      </c>
      <c r="E224" s="4" t="s">
        <v>30</v>
      </c>
      <c r="F224" s="4" t="s">
        <v>25</v>
      </c>
      <c r="G224" s="4" t="s">
        <v>25</v>
      </c>
      <c r="H224" s="4" t="s">
        <v>25</v>
      </c>
      <c r="I224" s="5">
        <v>44409</v>
      </c>
      <c r="J224" s="6">
        <v>0</v>
      </c>
      <c r="K224" s="6">
        <v>0</v>
      </c>
      <c r="L224" s="6">
        <v>2601.038</v>
      </c>
      <c r="M224" s="6">
        <v>2601.038</v>
      </c>
      <c r="N224" s="6">
        <v>2601.038</v>
      </c>
      <c r="O224" s="6">
        <v>2601.038</v>
      </c>
      <c r="P224" s="6">
        <v>31913</v>
      </c>
      <c r="Q224" s="4" t="s">
        <v>26</v>
      </c>
      <c r="R224" s="4">
        <v>0</v>
      </c>
      <c r="S224" s="4">
        <v>0</v>
      </c>
      <c r="T224" s="4">
        <v>35</v>
      </c>
      <c r="U224" s="4">
        <v>75</v>
      </c>
      <c r="V224" s="6">
        <f>IF(ISERROR(VLOOKUP($S$224,'TAR FIN'!$A$1:$O$100,15,0)),0,VLOOKUP($S$224,'TAR FIN'!$A$1:$O$100,15,0))</f>
        <v>0</v>
      </c>
      <c r="W224" s="6">
        <f>IF(ISERROR(VLOOKUP($T$224,'TAR FIN'!$A$1:$O$100,15,0)),0,VLOOKUP($T$224,'TAR FIN'!$A$1:$O$100,15,0))</f>
        <v>147.9</v>
      </c>
      <c r="X224" s="6">
        <f>IF(ISERROR(VLOOKUP($U$224,'TAR FIN'!$A$1:$O$100,15,0)),0,VLOOKUP($U$224,'TAR FIN'!$A$1:$O$100,15,0))</f>
        <v>138.80000000000001</v>
      </c>
      <c r="Y224" s="6"/>
      <c r="Z22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4" s="6">
        <f>('TE BE'!$AA$15+'TE BF'!$AA$15+'TE CVA'!$AA$15)*(1-CUSTOS!$M$35)</f>
        <v>150.47620671413409</v>
      </c>
      <c r="AB224" s="6">
        <f t="shared" si="16"/>
        <v>0</v>
      </c>
      <c r="AC224" s="6">
        <f>(L224-M224)*(W224+X224)+($W$276+$X$276-$W$224-$X$224)*(L224)</f>
        <v>497136.39294000017</v>
      </c>
      <c r="AD224" s="6">
        <f t="shared" si="17"/>
        <v>0</v>
      </c>
      <c r="AE224" s="6">
        <f ca="1">(L224-M224)*(Z224+AA224)+($Z$276+$AA$276-$Z$224-$AA$224)*(L224)</f>
        <v>509291.13430142601</v>
      </c>
      <c r="AF224" s="4" t="s">
        <v>915</v>
      </c>
    </row>
    <row r="225" spans="1:32" ht="11.25" customHeight="1" x14ac:dyDescent="0.25">
      <c r="A225" s="4" t="s">
        <v>27</v>
      </c>
      <c r="B225" s="4" t="s">
        <v>22</v>
      </c>
      <c r="C225" s="4" t="s">
        <v>23</v>
      </c>
      <c r="D225" s="4" t="s">
        <v>24</v>
      </c>
      <c r="E225" s="4" t="s">
        <v>30</v>
      </c>
      <c r="F225" s="4" t="s">
        <v>25</v>
      </c>
      <c r="G225" s="4" t="s">
        <v>25</v>
      </c>
      <c r="H225" s="4" t="s">
        <v>25</v>
      </c>
      <c r="I225" s="5">
        <v>44409</v>
      </c>
      <c r="J225" s="6">
        <v>0</v>
      </c>
      <c r="K225" s="6">
        <v>0</v>
      </c>
      <c r="L225" s="6">
        <v>-0.55600000000000005</v>
      </c>
      <c r="M225" s="6">
        <v>-0.55600000000000005</v>
      </c>
      <c r="N225" s="6">
        <v>-0.55600000000000005</v>
      </c>
      <c r="O225" s="6">
        <v>-0.55600000000000005</v>
      </c>
      <c r="P225" s="6">
        <v>-2</v>
      </c>
      <c r="Q225" s="4" t="s">
        <v>26</v>
      </c>
      <c r="R225" s="4">
        <v>0</v>
      </c>
      <c r="S225" s="4">
        <v>0</v>
      </c>
      <c r="T225" s="4">
        <v>35</v>
      </c>
      <c r="U225" s="4">
        <v>75</v>
      </c>
      <c r="V225" s="6">
        <f>IF(ISERROR(VLOOKUP($S$225,'TAR FIN'!$A$1:$O$100,15,0)),0,VLOOKUP($S$225,'TAR FIN'!$A$1:$O$100,15,0))</f>
        <v>0</v>
      </c>
      <c r="W225" s="6">
        <f>IF(ISERROR(VLOOKUP($T$225,'TAR FIN'!$A$1:$O$100,15,0)),0,VLOOKUP($T$225,'TAR FIN'!$A$1:$O$100,15,0))</f>
        <v>147.9</v>
      </c>
      <c r="X225" s="6">
        <f>IF(ISERROR(VLOOKUP($U$225,'TAR FIN'!$A$1:$O$100,15,0)),0,VLOOKUP($U$225,'TAR FIN'!$A$1:$O$100,15,0))</f>
        <v>138.80000000000001</v>
      </c>
      <c r="Y225" s="6"/>
      <c r="Z22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5" s="6">
        <f>('TE BE'!$AA$15+'TE BF'!$AA$15+'TE CVA'!$AA$15)*(1-CUSTOS!$M$35)</f>
        <v>150.47620671413409</v>
      </c>
      <c r="AB225" s="6">
        <f t="shared" si="16"/>
        <v>0</v>
      </c>
      <c r="AC225" s="6">
        <f>(L225-M225)*(W225+X225)+($W$276+$X$276-$W$225-$X$225)*(L225)</f>
        <v>-106.26828000000003</v>
      </c>
      <c r="AD225" s="6">
        <f t="shared" si="17"/>
        <v>0</v>
      </c>
      <c r="AE225" s="6">
        <f ca="1">(L225-M225)*(Z225+AA225)+($Z$276+$AA$276-$Z$225-$AA$225)*(L225)</f>
        <v>-108.86648740679408</v>
      </c>
      <c r="AF225" s="4" t="s">
        <v>915</v>
      </c>
    </row>
    <row r="226" spans="1:32" ht="11.25" customHeight="1" x14ac:dyDescent="0.25">
      <c r="A226" s="4" t="s">
        <v>28</v>
      </c>
      <c r="B226" s="4" t="s">
        <v>22</v>
      </c>
      <c r="C226" s="4" t="s">
        <v>23</v>
      </c>
      <c r="D226" s="4" t="s">
        <v>24</v>
      </c>
      <c r="E226" s="4" t="s">
        <v>30</v>
      </c>
      <c r="F226" s="4" t="s">
        <v>25</v>
      </c>
      <c r="G226" s="4" t="s">
        <v>25</v>
      </c>
      <c r="H226" s="4" t="s">
        <v>25</v>
      </c>
      <c r="I226" s="5">
        <v>44409</v>
      </c>
      <c r="J226" s="6">
        <v>0</v>
      </c>
      <c r="K226" s="6">
        <v>0</v>
      </c>
      <c r="L226" s="6">
        <v>0.94599999999999995</v>
      </c>
      <c r="M226" s="6">
        <v>0.94599999999999995</v>
      </c>
      <c r="N226" s="6">
        <v>0.94599999999999995</v>
      </c>
      <c r="O226" s="6">
        <v>0.94599999999999995</v>
      </c>
      <c r="P226" s="6">
        <v>7</v>
      </c>
      <c r="Q226" s="4" t="s">
        <v>26</v>
      </c>
      <c r="R226" s="4">
        <v>0</v>
      </c>
      <c r="S226" s="4">
        <v>0</v>
      </c>
      <c r="T226" s="4">
        <v>35</v>
      </c>
      <c r="U226" s="4">
        <v>75</v>
      </c>
      <c r="V226" s="6">
        <f>IF(ISERROR(VLOOKUP($S$226,'TAR FIN'!$A$1:$O$100,15,0)),0,VLOOKUP($S$226,'TAR FIN'!$A$1:$O$100,15,0))</f>
        <v>0</v>
      </c>
      <c r="W226" s="6">
        <f>IF(ISERROR(VLOOKUP($T$226,'TAR FIN'!$A$1:$O$100,15,0)),0,VLOOKUP($T$226,'TAR FIN'!$A$1:$O$100,15,0))</f>
        <v>147.9</v>
      </c>
      <c r="X226" s="6">
        <f>IF(ISERROR(VLOOKUP($U$226,'TAR FIN'!$A$1:$O$100,15,0)),0,VLOOKUP($U$226,'TAR FIN'!$A$1:$O$100,15,0))</f>
        <v>138.80000000000001</v>
      </c>
      <c r="Y226" s="6"/>
      <c r="Z22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6" s="6">
        <f>('TE BE'!$AA$15+'TE BF'!$AA$15+'TE CVA'!$AA$15)*(1-CUSTOS!$M$35)</f>
        <v>150.47620671413409</v>
      </c>
      <c r="AB226" s="6">
        <f t="shared" si="16"/>
        <v>0</v>
      </c>
      <c r="AC226" s="6">
        <f>(L226-M226)*(W226+X226)+($W$276+$X$276-$W$226-$X$226)*(L226)</f>
        <v>180.80898000000005</v>
      </c>
      <c r="AD226" s="6">
        <f t="shared" si="17"/>
        <v>0</v>
      </c>
      <c r="AE226" s="6">
        <f ca="1">(L226-M226)*(Z226+AA226)+($Z$276+$AA$276-$Z$226-$AA$226)*(L226)</f>
        <v>185.22967101947336</v>
      </c>
      <c r="AF226" s="4" t="s">
        <v>915</v>
      </c>
    </row>
    <row r="227" spans="1:32" ht="11.25" customHeight="1" x14ac:dyDescent="0.25">
      <c r="A227" s="4" t="s">
        <v>21</v>
      </c>
      <c r="B227" s="4" t="s">
        <v>22</v>
      </c>
      <c r="C227" s="4" t="s">
        <v>23</v>
      </c>
      <c r="D227" s="4" t="s">
        <v>24</v>
      </c>
      <c r="E227" s="4" t="s">
        <v>30</v>
      </c>
      <c r="F227" s="4" t="s">
        <v>25</v>
      </c>
      <c r="G227" s="4" t="s">
        <v>25</v>
      </c>
      <c r="H227" s="4" t="s">
        <v>25</v>
      </c>
      <c r="I227" s="5">
        <v>44440</v>
      </c>
      <c r="J227" s="6">
        <v>0</v>
      </c>
      <c r="K227" s="6">
        <v>0</v>
      </c>
      <c r="L227" s="6">
        <v>2602.3040000000001</v>
      </c>
      <c r="M227" s="6">
        <v>2602.3040000000001</v>
      </c>
      <c r="N227" s="6">
        <v>2602.3040000000001</v>
      </c>
      <c r="O227" s="6">
        <v>2602.3040000000001</v>
      </c>
      <c r="P227" s="6">
        <v>31308</v>
      </c>
      <c r="Q227" s="4" t="s">
        <v>26</v>
      </c>
      <c r="R227" s="4">
        <v>0</v>
      </c>
      <c r="S227" s="4">
        <v>0</v>
      </c>
      <c r="T227" s="4">
        <v>35</v>
      </c>
      <c r="U227" s="4">
        <v>75</v>
      </c>
      <c r="V227" s="6">
        <f>IF(ISERROR(VLOOKUP($S$227,'TAR FIN'!$A$1:$O$100,15,0)),0,VLOOKUP($S$227,'TAR FIN'!$A$1:$O$100,15,0))</f>
        <v>0</v>
      </c>
      <c r="W227" s="6">
        <f>IF(ISERROR(VLOOKUP($T$227,'TAR FIN'!$A$1:$O$100,15,0)),0,VLOOKUP($T$227,'TAR FIN'!$A$1:$O$100,15,0))</f>
        <v>147.9</v>
      </c>
      <c r="X227" s="6">
        <f>IF(ISERROR(VLOOKUP($U$227,'TAR FIN'!$A$1:$O$100,15,0)),0,VLOOKUP($U$227,'TAR FIN'!$A$1:$O$100,15,0))</f>
        <v>138.80000000000001</v>
      </c>
      <c r="Y227" s="6"/>
      <c r="Z22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7" s="6">
        <f>('TE BE'!$AA$15+'TE BF'!$AA$15+'TE CVA'!$AA$15)*(1-CUSTOS!$M$35)</f>
        <v>150.47620671413409</v>
      </c>
      <c r="AB227" s="6">
        <f t="shared" si="16"/>
        <v>0</v>
      </c>
      <c r="AC227" s="6">
        <f>(L227-M227)*(W227+X227)+($W$276+$X$276-$W$227-$X$227)*(L227)</f>
        <v>497378.36352000013</v>
      </c>
      <c r="AD227" s="6">
        <f t="shared" si="17"/>
        <v>0</v>
      </c>
      <c r="AE227" s="6">
        <f ca="1">(L227-M227)*(Z227+AA227)+($Z$276+$AA$276-$Z$227-$AA$227)*(L227)</f>
        <v>509539.02094361483</v>
      </c>
      <c r="AF227" s="4" t="s">
        <v>915</v>
      </c>
    </row>
    <row r="228" spans="1:32" ht="11.25" customHeight="1" x14ac:dyDescent="0.25">
      <c r="A228" s="4" t="s">
        <v>27</v>
      </c>
      <c r="B228" s="4" t="s">
        <v>22</v>
      </c>
      <c r="C228" s="4" t="s">
        <v>23</v>
      </c>
      <c r="D228" s="4" t="s">
        <v>24</v>
      </c>
      <c r="E228" s="4" t="s">
        <v>30</v>
      </c>
      <c r="F228" s="4" t="s">
        <v>25</v>
      </c>
      <c r="G228" s="4" t="s">
        <v>25</v>
      </c>
      <c r="H228" s="4" t="s">
        <v>25</v>
      </c>
      <c r="I228" s="5">
        <v>44440</v>
      </c>
      <c r="J228" s="6">
        <v>0</v>
      </c>
      <c r="K228" s="6">
        <v>0</v>
      </c>
      <c r="L228" s="6">
        <v>-9.5000000000000001E-2</v>
      </c>
      <c r="M228" s="6">
        <v>-9.5000000000000001E-2</v>
      </c>
      <c r="N228" s="6">
        <v>-9.5000000000000001E-2</v>
      </c>
      <c r="O228" s="6">
        <v>-9.5000000000000001E-2</v>
      </c>
      <c r="P228" s="6">
        <v>-1</v>
      </c>
      <c r="Q228" s="4" t="s">
        <v>26</v>
      </c>
      <c r="R228" s="4">
        <v>0</v>
      </c>
      <c r="S228" s="4">
        <v>0</v>
      </c>
      <c r="T228" s="4">
        <v>35</v>
      </c>
      <c r="U228" s="4">
        <v>75</v>
      </c>
      <c r="V228" s="6">
        <f>IF(ISERROR(VLOOKUP($S$228,'TAR FIN'!$A$1:$O$100,15,0)),0,VLOOKUP($S$228,'TAR FIN'!$A$1:$O$100,15,0))</f>
        <v>0</v>
      </c>
      <c r="W228" s="6">
        <f>IF(ISERROR(VLOOKUP($T$228,'TAR FIN'!$A$1:$O$100,15,0)),0,VLOOKUP($T$228,'TAR FIN'!$A$1:$O$100,15,0))</f>
        <v>147.9</v>
      </c>
      <c r="X228" s="6">
        <f>IF(ISERROR(VLOOKUP($U$228,'TAR FIN'!$A$1:$O$100,15,0)),0,VLOOKUP($U$228,'TAR FIN'!$A$1:$O$100,15,0))</f>
        <v>138.80000000000001</v>
      </c>
      <c r="Y228" s="6"/>
      <c r="Z22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8" s="6">
        <f>('TE BE'!$AA$15+'TE BF'!$AA$15+'TE CVA'!$AA$15)*(1-CUSTOS!$M$35)</f>
        <v>150.47620671413409</v>
      </c>
      <c r="AB228" s="6">
        <f t="shared" si="16"/>
        <v>0</v>
      </c>
      <c r="AC228" s="6">
        <f>(L228-M228)*(W228+X228)+($W$276+$X$276-$W$228-$X$228)*(L228)</f>
        <v>-18.157350000000005</v>
      </c>
      <c r="AD228" s="6">
        <f t="shared" si="17"/>
        <v>0</v>
      </c>
      <c r="AE228" s="6">
        <f ca="1">(L228-M228)*(Z228+AA228)+($Z$276+$AA$276-$Z$228-$AA$228)*(L228)</f>
        <v>-18.601288315909059</v>
      </c>
      <c r="AF228" s="4" t="s">
        <v>915</v>
      </c>
    </row>
    <row r="229" spans="1:32" ht="11.25" customHeight="1" x14ac:dyDescent="0.25">
      <c r="A229" s="4" t="s">
        <v>28</v>
      </c>
      <c r="B229" s="4" t="s">
        <v>22</v>
      </c>
      <c r="C229" s="4" t="s">
        <v>23</v>
      </c>
      <c r="D229" s="4" t="s">
        <v>24</v>
      </c>
      <c r="E229" s="4" t="s">
        <v>30</v>
      </c>
      <c r="F229" s="4" t="s">
        <v>25</v>
      </c>
      <c r="G229" s="4" t="s">
        <v>25</v>
      </c>
      <c r="H229" s="4" t="s">
        <v>25</v>
      </c>
      <c r="I229" s="5">
        <v>44440</v>
      </c>
      <c r="J229" s="6">
        <v>0</v>
      </c>
      <c r="K229" s="6">
        <v>0</v>
      </c>
      <c r="L229" s="6">
        <v>1.323</v>
      </c>
      <c r="M229" s="6">
        <v>1.323</v>
      </c>
      <c r="N229" s="6">
        <v>1.323</v>
      </c>
      <c r="O229" s="6">
        <v>1.323</v>
      </c>
      <c r="P229" s="6">
        <v>12</v>
      </c>
      <c r="Q229" s="4" t="s">
        <v>26</v>
      </c>
      <c r="R229" s="4">
        <v>0</v>
      </c>
      <c r="S229" s="4">
        <v>0</v>
      </c>
      <c r="T229" s="4">
        <v>35</v>
      </c>
      <c r="U229" s="4">
        <v>75</v>
      </c>
      <c r="V229" s="6">
        <f>IF(ISERROR(VLOOKUP($S$229,'TAR FIN'!$A$1:$O$100,15,0)),0,VLOOKUP($S$229,'TAR FIN'!$A$1:$O$100,15,0))</f>
        <v>0</v>
      </c>
      <c r="W229" s="6">
        <f>IF(ISERROR(VLOOKUP($T$229,'TAR FIN'!$A$1:$O$100,15,0)),0,VLOOKUP($T$229,'TAR FIN'!$A$1:$O$100,15,0))</f>
        <v>147.9</v>
      </c>
      <c r="X229" s="6">
        <f>IF(ISERROR(VLOOKUP($U$229,'TAR FIN'!$A$1:$O$100,15,0)),0,VLOOKUP($U$229,'TAR FIN'!$A$1:$O$100,15,0))</f>
        <v>138.80000000000001</v>
      </c>
      <c r="Y229" s="6"/>
      <c r="Z22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29" s="6">
        <f>('TE BE'!$AA$15+'TE BF'!$AA$15+'TE CVA'!$AA$15)*(1-CUSTOS!$M$35)</f>
        <v>150.47620671413409</v>
      </c>
      <c r="AB229" s="6">
        <f t="shared" si="16"/>
        <v>0</v>
      </c>
      <c r="AC229" s="6">
        <f>(L229-M229)*(W229+X229)+($W$276+$X$276-$W$229-$X$229)*(L229)</f>
        <v>252.86499000000006</v>
      </c>
      <c r="AD229" s="6">
        <f t="shared" si="17"/>
        <v>0</v>
      </c>
      <c r="AE229" s="6">
        <f ca="1">(L229-M229)*(Z229+AA229)+($Z$276+$AA$276-$Z$229-$AA$229)*(L229)</f>
        <v>259.0474151783967</v>
      </c>
      <c r="AF229" s="4" t="s">
        <v>915</v>
      </c>
    </row>
    <row r="230" spans="1:32" ht="11.25" customHeight="1" x14ac:dyDescent="0.25">
      <c r="A230" s="4" t="s">
        <v>21</v>
      </c>
      <c r="B230" s="4" t="s">
        <v>22</v>
      </c>
      <c r="C230" s="4" t="s">
        <v>23</v>
      </c>
      <c r="D230" s="4" t="s">
        <v>24</v>
      </c>
      <c r="E230" s="4" t="s">
        <v>30</v>
      </c>
      <c r="F230" s="4" t="s">
        <v>25</v>
      </c>
      <c r="G230" s="4" t="s">
        <v>25</v>
      </c>
      <c r="H230" s="4" t="s">
        <v>25</v>
      </c>
      <c r="I230" s="5">
        <v>44470</v>
      </c>
      <c r="J230" s="6">
        <v>0</v>
      </c>
      <c r="K230" s="6">
        <v>0</v>
      </c>
      <c r="L230" s="6">
        <v>2749.038</v>
      </c>
      <c r="M230" s="6">
        <v>2749.038</v>
      </c>
      <c r="N230" s="6">
        <v>2749.038</v>
      </c>
      <c r="O230" s="6">
        <v>2749.038</v>
      </c>
      <c r="P230" s="6">
        <v>29929</v>
      </c>
      <c r="Q230" s="4" t="s">
        <v>26</v>
      </c>
      <c r="R230" s="4">
        <v>0</v>
      </c>
      <c r="S230" s="4">
        <v>0</v>
      </c>
      <c r="T230" s="4">
        <v>35</v>
      </c>
      <c r="U230" s="4">
        <v>75</v>
      </c>
      <c r="V230" s="6">
        <f>IF(ISERROR(VLOOKUP($S$230,'TAR FIN'!$A$1:$O$100,15,0)),0,VLOOKUP($S$230,'TAR FIN'!$A$1:$O$100,15,0))</f>
        <v>0</v>
      </c>
      <c r="W230" s="6">
        <f>IF(ISERROR(VLOOKUP($T$230,'TAR FIN'!$A$1:$O$100,15,0)),0,VLOOKUP($T$230,'TAR FIN'!$A$1:$O$100,15,0))</f>
        <v>147.9</v>
      </c>
      <c r="X230" s="6">
        <f>IF(ISERROR(VLOOKUP($U$230,'TAR FIN'!$A$1:$O$100,15,0)),0,VLOOKUP($U$230,'TAR FIN'!$A$1:$O$100,15,0))</f>
        <v>138.80000000000001</v>
      </c>
      <c r="Y230" s="6"/>
      <c r="Z23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0" s="6">
        <f>('TE BE'!$AA$15+'TE BF'!$AA$15+'TE CVA'!$AA$15)*(1-CUSTOS!$M$35)</f>
        <v>150.47620671413409</v>
      </c>
      <c r="AB230" s="6">
        <f t="shared" si="16"/>
        <v>0</v>
      </c>
      <c r="AC230" s="6">
        <f>(L230-M230)*(W230+X230)+($W$276+$X$276-$W$230-$X$230)*(L230)</f>
        <v>525423.63294000016</v>
      </c>
      <c r="AD230" s="6">
        <f t="shared" si="17"/>
        <v>0</v>
      </c>
      <c r="AE230" s="6">
        <f ca="1">(L230-M230)*(Z230+AA230)+($Z$276+$AA$276-$Z$230-$AA$230)*(L230)</f>
        <v>538269.98346726329</v>
      </c>
      <c r="AF230" s="4" t="s">
        <v>915</v>
      </c>
    </row>
    <row r="231" spans="1:32" ht="11.25" customHeight="1" x14ac:dyDescent="0.25">
      <c r="A231" s="4" t="s">
        <v>28</v>
      </c>
      <c r="B231" s="4" t="s">
        <v>22</v>
      </c>
      <c r="C231" s="4" t="s">
        <v>23</v>
      </c>
      <c r="D231" s="4" t="s">
        <v>24</v>
      </c>
      <c r="E231" s="4" t="s">
        <v>30</v>
      </c>
      <c r="F231" s="4" t="s">
        <v>25</v>
      </c>
      <c r="G231" s="4" t="s">
        <v>25</v>
      </c>
      <c r="H231" s="4" t="s">
        <v>25</v>
      </c>
      <c r="I231" s="5">
        <v>44470</v>
      </c>
      <c r="J231" s="6">
        <v>0</v>
      </c>
      <c r="K231" s="6">
        <v>0</v>
      </c>
      <c r="L231" s="6">
        <v>1.3640000000000001</v>
      </c>
      <c r="M231" s="6">
        <v>1.3640000000000001</v>
      </c>
      <c r="N231" s="6">
        <v>1.3640000000000001</v>
      </c>
      <c r="O231" s="6">
        <v>1.3640000000000001</v>
      </c>
      <c r="P231" s="6">
        <v>11</v>
      </c>
      <c r="Q231" s="4" t="s">
        <v>26</v>
      </c>
      <c r="R231" s="4">
        <v>0</v>
      </c>
      <c r="S231" s="4">
        <v>0</v>
      </c>
      <c r="T231" s="4">
        <v>35</v>
      </c>
      <c r="U231" s="4">
        <v>75</v>
      </c>
      <c r="V231" s="6">
        <f>IF(ISERROR(VLOOKUP($S$231,'TAR FIN'!$A$1:$O$100,15,0)),0,VLOOKUP($S$231,'TAR FIN'!$A$1:$O$100,15,0))</f>
        <v>0</v>
      </c>
      <c r="W231" s="6">
        <f>IF(ISERROR(VLOOKUP($T$231,'TAR FIN'!$A$1:$O$100,15,0)),0,VLOOKUP($T$231,'TAR FIN'!$A$1:$O$100,15,0))</f>
        <v>147.9</v>
      </c>
      <c r="X231" s="6">
        <f>IF(ISERROR(VLOOKUP($U$231,'TAR FIN'!$A$1:$O$100,15,0)),0,VLOOKUP($U$231,'TAR FIN'!$A$1:$O$100,15,0))</f>
        <v>138.80000000000001</v>
      </c>
      <c r="Y231" s="6"/>
      <c r="Z231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1" s="6">
        <f>('TE BE'!$AA$15+'TE BF'!$AA$15+'TE CVA'!$AA$15)*(1-CUSTOS!$M$35)</f>
        <v>150.47620671413409</v>
      </c>
      <c r="AB231" s="6">
        <f t="shared" si="16"/>
        <v>0</v>
      </c>
      <c r="AC231" s="6">
        <f>(L231-M231)*(W231+X231)+($W$276+$X$276-$W$231-$X$231)*(L231)</f>
        <v>260.70132000000007</v>
      </c>
      <c r="AD231" s="6">
        <f t="shared" si="17"/>
        <v>0</v>
      </c>
      <c r="AE231" s="6">
        <f ca="1">(L231-M231)*(Z231+AA231)+($Z$276+$AA$276-$Z$231-$AA$231)*(L231)</f>
        <v>267.07533960947325</v>
      </c>
      <c r="AF231" s="4" t="s">
        <v>915</v>
      </c>
    </row>
    <row r="232" spans="1:32" ht="11.25" customHeight="1" x14ac:dyDescent="0.25">
      <c r="A232" s="4" t="s">
        <v>21</v>
      </c>
      <c r="B232" s="4" t="s">
        <v>22</v>
      </c>
      <c r="C232" s="4" t="s">
        <v>23</v>
      </c>
      <c r="D232" s="4" t="s">
        <v>24</v>
      </c>
      <c r="E232" s="4" t="s">
        <v>30</v>
      </c>
      <c r="F232" s="4" t="s">
        <v>25</v>
      </c>
      <c r="G232" s="4" t="s">
        <v>25</v>
      </c>
      <c r="H232" s="4" t="s">
        <v>25</v>
      </c>
      <c r="I232" s="5">
        <v>44501</v>
      </c>
      <c r="J232" s="6">
        <v>0</v>
      </c>
      <c r="K232" s="6">
        <v>0</v>
      </c>
      <c r="L232" s="6">
        <v>2769.5880000000002</v>
      </c>
      <c r="M232" s="6">
        <v>2769.5880000000002</v>
      </c>
      <c r="N232" s="6">
        <v>2769.5880000000002</v>
      </c>
      <c r="O232" s="6">
        <v>2769.5880000000002</v>
      </c>
      <c r="P232" s="6">
        <v>29731</v>
      </c>
      <c r="Q232" s="4" t="s">
        <v>26</v>
      </c>
      <c r="R232" s="4">
        <v>0</v>
      </c>
      <c r="S232" s="4">
        <v>0</v>
      </c>
      <c r="T232" s="4">
        <v>35</v>
      </c>
      <c r="U232" s="4">
        <v>75</v>
      </c>
      <c r="V232" s="6">
        <f>IF(ISERROR(VLOOKUP($S$232,'TAR FIN'!$A$1:$O$100,15,0)),0,VLOOKUP($S$232,'TAR FIN'!$A$1:$O$100,15,0))</f>
        <v>0</v>
      </c>
      <c r="W232" s="6">
        <f>IF(ISERROR(VLOOKUP($T$232,'TAR FIN'!$A$1:$O$100,15,0)),0,VLOOKUP($T$232,'TAR FIN'!$A$1:$O$100,15,0))</f>
        <v>147.9</v>
      </c>
      <c r="X232" s="6">
        <f>IF(ISERROR(VLOOKUP($U$232,'TAR FIN'!$A$1:$O$100,15,0)),0,VLOOKUP($U$232,'TAR FIN'!$A$1:$O$100,15,0))</f>
        <v>138.80000000000001</v>
      </c>
      <c r="Y232" s="6"/>
      <c r="Z232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2" s="6">
        <f>('TE BE'!$AA$15+'TE BF'!$AA$15+'TE CVA'!$AA$15)*(1-CUSTOS!$M$35)</f>
        <v>150.47620671413409</v>
      </c>
      <c r="AB232" s="6">
        <f t="shared" si="16"/>
        <v>0</v>
      </c>
      <c r="AC232" s="6">
        <f>(L232-M232)*(W232+X232)+($W$276+$X$276-$W$232-$X$232)*(L232)</f>
        <v>529351.35444000014</v>
      </c>
      <c r="AD232" s="6">
        <f t="shared" si="17"/>
        <v>0</v>
      </c>
      <c r="AE232" s="6">
        <f ca="1">(L232-M232)*(Z232+AA232)+($Z$276+$AA$276-$Z$232-$AA$232)*(L232)</f>
        <v>542293.73583454674</v>
      </c>
      <c r="AF232" s="4" t="s">
        <v>915</v>
      </c>
    </row>
    <row r="233" spans="1:32" ht="11.25" customHeight="1" x14ac:dyDescent="0.25">
      <c r="A233" s="4" t="s">
        <v>27</v>
      </c>
      <c r="B233" s="4" t="s">
        <v>22</v>
      </c>
      <c r="C233" s="4" t="s">
        <v>23</v>
      </c>
      <c r="D233" s="4" t="s">
        <v>24</v>
      </c>
      <c r="E233" s="4" t="s">
        <v>30</v>
      </c>
      <c r="F233" s="4" t="s">
        <v>25</v>
      </c>
      <c r="G233" s="4" t="s">
        <v>25</v>
      </c>
      <c r="H233" s="4" t="s">
        <v>25</v>
      </c>
      <c r="I233" s="5">
        <v>44501</v>
      </c>
      <c r="J233" s="6">
        <v>0</v>
      </c>
      <c r="K233" s="6">
        <v>0</v>
      </c>
      <c r="L233" s="6">
        <v>-0.33100000000000002</v>
      </c>
      <c r="M233" s="6">
        <v>-0.33100000000000002</v>
      </c>
      <c r="N233" s="6">
        <v>-0.33100000000000002</v>
      </c>
      <c r="O233" s="6">
        <v>-0.33100000000000002</v>
      </c>
      <c r="P233" s="6">
        <v>-1</v>
      </c>
      <c r="Q233" s="4" t="s">
        <v>26</v>
      </c>
      <c r="R233" s="4">
        <v>0</v>
      </c>
      <c r="S233" s="4">
        <v>0</v>
      </c>
      <c r="T233" s="4">
        <v>35</v>
      </c>
      <c r="U233" s="4">
        <v>75</v>
      </c>
      <c r="V233" s="6">
        <f>IF(ISERROR(VLOOKUP($S$233,'TAR FIN'!$A$1:$O$100,15,0)),0,VLOOKUP($S$233,'TAR FIN'!$A$1:$O$100,15,0))</f>
        <v>0</v>
      </c>
      <c r="W233" s="6">
        <f>IF(ISERROR(VLOOKUP($T$233,'TAR FIN'!$A$1:$O$100,15,0)),0,VLOOKUP($T$233,'TAR FIN'!$A$1:$O$100,15,0))</f>
        <v>147.9</v>
      </c>
      <c r="X233" s="6">
        <f>IF(ISERROR(VLOOKUP($U$233,'TAR FIN'!$A$1:$O$100,15,0)),0,VLOOKUP($U$233,'TAR FIN'!$A$1:$O$100,15,0))</f>
        <v>138.80000000000001</v>
      </c>
      <c r="Y233" s="6"/>
      <c r="Z233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3" s="6">
        <f>('TE BE'!$AA$15+'TE BF'!$AA$15+'TE CVA'!$AA$15)*(1-CUSTOS!$M$35)</f>
        <v>150.47620671413409</v>
      </c>
      <c r="AB233" s="6">
        <f t="shared" si="16"/>
        <v>0</v>
      </c>
      <c r="AC233" s="6">
        <f>(L233-M233)*(W233+X233)+($W$276+$X$276-$W$233-$X$233)*(L233)</f>
        <v>-63.26403000000002</v>
      </c>
      <c r="AD233" s="6">
        <f t="shared" si="17"/>
        <v>0</v>
      </c>
      <c r="AE233" s="6">
        <f ca="1">(L233-M233)*(Z233+AA233)+($Z$276+$AA$276-$Z$233-$AA$233)*(L233)</f>
        <v>-64.810804553325255</v>
      </c>
      <c r="AF233" s="4" t="s">
        <v>915</v>
      </c>
    </row>
    <row r="234" spans="1:32" ht="11.25" customHeight="1" x14ac:dyDescent="0.25">
      <c r="A234" s="4" t="s">
        <v>28</v>
      </c>
      <c r="B234" s="4" t="s">
        <v>22</v>
      </c>
      <c r="C234" s="4" t="s">
        <v>23</v>
      </c>
      <c r="D234" s="4" t="s">
        <v>24</v>
      </c>
      <c r="E234" s="4" t="s">
        <v>30</v>
      </c>
      <c r="F234" s="4" t="s">
        <v>25</v>
      </c>
      <c r="G234" s="4" t="s">
        <v>25</v>
      </c>
      <c r="H234" s="4" t="s">
        <v>25</v>
      </c>
      <c r="I234" s="5">
        <v>44501</v>
      </c>
      <c r="J234" s="6">
        <v>0</v>
      </c>
      <c r="K234" s="6">
        <v>0</v>
      </c>
      <c r="L234" s="6">
        <v>1.4750000000000001</v>
      </c>
      <c r="M234" s="6">
        <v>1.4750000000000001</v>
      </c>
      <c r="N234" s="6">
        <v>1.4750000000000001</v>
      </c>
      <c r="O234" s="6">
        <v>1.4750000000000001</v>
      </c>
      <c r="P234" s="6">
        <v>11</v>
      </c>
      <c r="Q234" s="4" t="s">
        <v>26</v>
      </c>
      <c r="R234" s="4">
        <v>0</v>
      </c>
      <c r="S234" s="4">
        <v>0</v>
      </c>
      <c r="T234" s="4">
        <v>35</v>
      </c>
      <c r="U234" s="4">
        <v>75</v>
      </c>
      <c r="V234" s="6">
        <f>IF(ISERROR(VLOOKUP($S$234,'TAR FIN'!$A$1:$O$100,15,0)),0,VLOOKUP($S$234,'TAR FIN'!$A$1:$O$100,15,0))</f>
        <v>0</v>
      </c>
      <c r="W234" s="6">
        <f>IF(ISERROR(VLOOKUP($T$234,'TAR FIN'!$A$1:$O$100,15,0)),0,VLOOKUP($T$234,'TAR FIN'!$A$1:$O$100,15,0))</f>
        <v>147.9</v>
      </c>
      <c r="X234" s="6">
        <f>IF(ISERROR(VLOOKUP($U$234,'TAR FIN'!$A$1:$O$100,15,0)),0,VLOOKUP($U$234,'TAR FIN'!$A$1:$O$100,15,0))</f>
        <v>138.80000000000001</v>
      </c>
      <c r="Y234" s="6"/>
      <c r="Z234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4" s="6">
        <f>('TE BE'!$AA$15+'TE BF'!$AA$15+'TE CVA'!$AA$15)*(1-CUSTOS!$M$35)</f>
        <v>150.47620671413409</v>
      </c>
      <c r="AB234" s="6">
        <f t="shared" si="16"/>
        <v>0</v>
      </c>
      <c r="AC234" s="6">
        <f>(L234-M234)*(W234+X234)+($W$276+$X$276-$W$234-$X$234)*(L234)</f>
        <v>281.91675000000009</v>
      </c>
      <c r="AD234" s="6">
        <f t="shared" si="17"/>
        <v>0</v>
      </c>
      <c r="AE234" s="6">
        <f ca="1">(L234-M234)*(Z234+AA234)+($Z$276+$AA$276-$Z$234-$AA$234)*(L234)</f>
        <v>288.8094764838512</v>
      </c>
      <c r="AF234" s="4" t="s">
        <v>915</v>
      </c>
    </row>
    <row r="235" spans="1:32" ht="11.25" customHeight="1" x14ac:dyDescent="0.25">
      <c r="A235" s="4" t="s">
        <v>21</v>
      </c>
      <c r="B235" s="4" t="s">
        <v>22</v>
      </c>
      <c r="C235" s="4" t="s">
        <v>23</v>
      </c>
      <c r="D235" s="4" t="s">
        <v>24</v>
      </c>
      <c r="E235" s="4" t="s">
        <v>30</v>
      </c>
      <c r="F235" s="4" t="s">
        <v>25</v>
      </c>
      <c r="G235" s="4" t="s">
        <v>25</v>
      </c>
      <c r="H235" s="4" t="s">
        <v>25</v>
      </c>
      <c r="I235" s="5">
        <v>44531</v>
      </c>
      <c r="J235" s="6">
        <v>0</v>
      </c>
      <c r="K235" s="6">
        <v>0</v>
      </c>
      <c r="L235" s="6">
        <v>2835.3240000000001</v>
      </c>
      <c r="M235" s="6">
        <v>2835.3240000000001</v>
      </c>
      <c r="N235" s="6">
        <v>2835.3240000000001</v>
      </c>
      <c r="O235" s="6">
        <v>2835.3240000000001</v>
      </c>
      <c r="P235" s="6">
        <v>28527</v>
      </c>
      <c r="Q235" s="4" t="s">
        <v>26</v>
      </c>
      <c r="R235" s="4">
        <v>0</v>
      </c>
      <c r="S235" s="4">
        <v>0</v>
      </c>
      <c r="T235" s="4">
        <v>35</v>
      </c>
      <c r="U235" s="4">
        <v>75</v>
      </c>
      <c r="V235" s="6">
        <f>IF(ISERROR(VLOOKUP($S$235,'TAR FIN'!$A$1:$O$100,15,0)),0,VLOOKUP($S$235,'TAR FIN'!$A$1:$O$100,15,0))</f>
        <v>0</v>
      </c>
      <c r="W235" s="6">
        <f>IF(ISERROR(VLOOKUP($T$235,'TAR FIN'!$A$1:$O$100,15,0)),0,VLOOKUP($T$235,'TAR FIN'!$A$1:$O$100,15,0))</f>
        <v>147.9</v>
      </c>
      <c r="X235" s="6">
        <f>IF(ISERROR(VLOOKUP($U$235,'TAR FIN'!$A$1:$O$100,15,0)),0,VLOOKUP($U$235,'TAR FIN'!$A$1:$O$100,15,0))</f>
        <v>138.80000000000001</v>
      </c>
      <c r="Y235" s="6"/>
      <c r="Z235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5" s="6">
        <f>('TE BE'!$AA$15+'TE BF'!$AA$15+'TE CVA'!$AA$15)*(1-CUSTOS!$M$35)</f>
        <v>150.47620671413409</v>
      </c>
      <c r="AB235" s="6">
        <f t="shared" si="16"/>
        <v>0</v>
      </c>
      <c r="AC235" s="6">
        <f>(L235-M235)*(W235+X235)+($W$276+$X$276-$W$235-$X$235)*(L235)</f>
        <v>541915.47612000012</v>
      </c>
      <c r="AD235" s="6">
        <f t="shared" si="17"/>
        <v>0</v>
      </c>
      <c r="AE235" s="6">
        <f ca="1">(L235-M235)*(Z235+AA235)+($Z$276+$AA$276-$Z$235-$AA$235)*(L235)</f>
        <v>555165.04413701617</v>
      </c>
      <c r="AF235" s="4" t="s">
        <v>915</v>
      </c>
    </row>
    <row r="236" spans="1:32" ht="11.25" customHeight="1" x14ac:dyDescent="0.25">
      <c r="A236" s="4" t="s">
        <v>27</v>
      </c>
      <c r="B236" s="4" t="s">
        <v>22</v>
      </c>
      <c r="C236" s="4" t="s">
        <v>23</v>
      </c>
      <c r="D236" s="4" t="s">
        <v>24</v>
      </c>
      <c r="E236" s="4" t="s">
        <v>30</v>
      </c>
      <c r="F236" s="4" t="s">
        <v>25</v>
      </c>
      <c r="G236" s="4" t="s">
        <v>25</v>
      </c>
      <c r="H236" s="4" t="s">
        <v>25</v>
      </c>
      <c r="I236" s="5">
        <v>44531</v>
      </c>
      <c r="J236" s="6">
        <v>0</v>
      </c>
      <c r="K236" s="6">
        <v>0</v>
      </c>
      <c r="L236" s="6">
        <v>-0.27100000000000002</v>
      </c>
      <c r="M236" s="6">
        <v>-0.27100000000000002</v>
      </c>
      <c r="N236" s="6">
        <v>-0.27100000000000002</v>
      </c>
      <c r="O236" s="6">
        <v>-0.27100000000000002</v>
      </c>
      <c r="P236" s="6">
        <v>-4</v>
      </c>
      <c r="Q236" s="4" t="s">
        <v>26</v>
      </c>
      <c r="R236" s="4">
        <v>0</v>
      </c>
      <c r="S236" s="4">
        <v>0</v>
      </c>
      <c r="T236" s="4">
        <v>35</v>
      </c>
      <c r="U236" s="4">
        <v>75</v>
      </c>
      <c r="V236" s="6">
        <f>IF(ISERROR(VLOOKUP($S$236,'TAR FIN'!$A$1:$O$100,15,0)),0,VLOOKUP($S$236,'TAR FIN'!$A$1:$O$100,15,0))</f>
        <v>0</v>
      </c>
      <c r="W236" s="6">
        <f>IF(ISERROR(VLOOKUP($T$236,'TAR FIN'!$A$1:$O$100,15,0)),0,VLOOKUP($T$236,'TAR FIN'!$A$1:$O$100,15,0))</f>
        <v>147.9</v>
      </c>
      <c r="X236" s="6">
        <f>IF(ISERROR(VLOOKUP($U$236,'TAR FIN'!$A$1:$O$100,15,0)),0,VLOOKUP($U$236,'TAR FIN'!$A$1:$O$100,15,0))</f>
        <v>138.80000000000001</v>
      </c>
      <c r="Y236" s="6"/>
      <c r="Z236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6" s="6">
        <f>('TE BE'!$AA$15+'TE BF'!$AA$15+'TE CVA'!$AA$15)*(1-CUSTOS!$M$35)</f>
        <v>150.47620671413409</v>
      </c>
      <c r="AB236" s="6">
        <f t="shared" si="16"/>
        <v>0</v>
      </c>
      <c r="AC236" s="6">
        <f>(L236-M236)*(W236+X236)+($W$276+$X$276-$W$236-$X$236)*(L236)</f>
        <v>-51.796230000000016</v>
      </c>
      <c r="AD236" s="6">
        <f t="shared" si="17"/>
        <v>0</v>
      </c>
      <c r="AE236" s="6">
        <f ca="1">(L236-M236)*(Z236+AA236)+($Z$276+$AA$276-$Z$236-$AA$236)*(L236)</f>
        <v>-53.062622459066901</v>
      </c>
      <c r="AF236" s="4" t="s">
        <v>915</v>
      </c>
    </row>
    <row r="237" spans="1:32" ht="11.25" customHeight="1" x14ac:dyDescent="0.25">
      <c r="A237" s="4" t="s">
        <v>28</v>
      </c>
      <c r="B237" s="4" t="s">
        <v>22</v>
      </c>
      <c r="C237" s="4" t="s">
        <v>23</v>
      </c>
      <c r="D237" s="4" t="s">
        <v>24</v>
      </c>
      <c r="E237" s="4" t="s">
        <v>30</v>
      </c>
      <c r="F237" s="4" t="s">
        <v>25</v>
      </c>
      <c r="G237" s="4" t="s">
        <v>25</v>
      </c>
      <c r="H237" s="4" t="s">
        <v>25</v>
      </c>
      <c r="I237" s="5">
        <v>44531</v>
      </c>
      <c r="J237" s="6">
        <v>0</v>
      </c>
      <c r="K237" s="6">
        <v>0</v>
      </c>
      <c r="L237" s="6">
        <v>1.7030000000000001</v>
      </c>
      <c r="M237" s="6">
        <v>1.7030000000000001</v>
      </c>
      <c r="N237" s="6">
        <v>1.7030000000000001</v>
      </c>
      <c r="O237" s="6">
        <v>1.7030000000000001</v>
      </c>
      <c r="P237" s="6">
        <v>8</v>
      </c>
      <c r="Q237" s="4" t="s">
        <v>26</v>
      </c>
      <c r="R237" s="4">
        <v>0</v>
      </c>
      <c r="S237" s="4">
        <v>0</v>
      </c>
      <c r="T237" s="4">
        <v>35</v>
      </c>
      <c r="U237" s="4">
        <v>75</v>
      </c>
      <c r="V237" s="6">
        <f>IF(ISERROR(VLOOKUP($S$237,'TAR FIN'!$A$1:$O$100,15,0)),0,VLOOKUP($S$237,'TAR FIN'!$A$1:$O$100,15,0))</f>
        <v>0</v>
      </c>
      <c r="W237" s="6">
        <f>IF(ISERROR(VLOOKUP($T$237,'TAR FIN'!$A$1:$O$100,15,0)),0,VLOOKUP($T$237,'TAR FIN'!$A$1:$O$100,15,0))</f>
        <v>147.9</v>
      </c>
      <c r="X237" s="6">
        <f>IF(ISERROR(VLOOKUP($U$237,'TAR FIN'!$A$1:$O$100,15,0)),0,VLOOKUP($U$237,'TAR FIN'!$A$1:$O$100,15,0))</f>
        <v>138.80000000000001</v>
      </c>
      <c r="Y237" s="6"/>
      <c r="Z237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7" s="6">
        <f>('TE BE'!$AA$15+'TE BF'!$AA$15+'TE CVA'!$AA$15)*(1-CUSTOS!$M$35)</f>
        <v>150.47620671413409</v>
      </c>
      <c r="AB237" s="6">
        <f t="shared" si="16"/>
        <v>0</v>
      </c>
      <c r="AC237" s="6">
        <f>(L237-M237)*(W237+X237)+($W$276+$X$276-$W$237-$X$237)*(L237)</f>
        <v>325.49439000000012</v>
      </c>
      <c r="AD237" s="6">
        <f t="shared" si="17"/>
        <v>0</v>
      </c>
      <c r="AE237" s="6">
        <f ca="1">(L237-M237)*(Z237+AA237)+($Z$276+$AA$276-$Z$237-$AA$237)*(L237)</f>
        <v>333.45256844203294</v>
      </c>
      <c r="AF237" s="4" t="s">
        <v>915</v>
      </c>
    </row>
    <row r="238" spans="1:32" ht="11.25" customHeight="1" x14ac:dyDescent="0.25">
      <c r="A238" s="4" t="s">
        <v>55</v>
      </c>
      <c r="B238" s="4" t="s">
        <v>22</v>
      </c>
      <c r="C238" s="4" t="s">
        <v>23</v>
      </c>
      <c r="D238" s="4" t="s">
        <v>24</v>
      </c>
      <c r="E238" s="4" t="s">
        <v>30</v>
      </c>
      <c r="F238" s="4" t="s">
        <v>25</v>
      </c>
      <c r="G238" s="4" t="s">
        <v>25</v>
      </c>
      <c r="H238" s="4" t="s">
        <v>25</v>
      </c>
      <c r="I238" s="5">
        <v>44562</v>
      </c>
      <c r="J238" s="6">
        <v>0</v>
      </c>
      <c r="K238" s="6">
        <v>0</v>
      </c>
      <c r="L238" s="6">
        <v>2835.3240000000001</v>
      </c>
      <c r="M238" s="6">
        <v>2835.3240000000001</v>
      </c>
      <c r="N238" s="6">
        <v>2835.3240000000001</v>
      </c>
      <c r="O238" s="6">
        <v>2835.3240000000001</v>
      </c>
      <c r="P238" s="6">
        <v>28527</v>
      </c>
      <c r="Q238" s="4" t="s">
        <v>26</v>
      </c>
      <c r="R238" s="4">
        <v>0</v>
      </c>
      <c r="S238" s="4">
        <v>0</v>
      </c>
      <c r="T238" s="4">
        <v>35</v>
      </c>
      <c r="U238" s="4">
        <v>75</v>
      </c>
      <c r="V238" s="6">
        <f>IF(ISERROR(VLOOKUP($S$238,'TAR FIN'!$A$1:$O$100,15,0)),0,VLOOKUP($S$238,'TAR FIN'!$A$1:$O$100,15,0))</f>
        <v>0</v>
      </c>
      <c r="W238" s="6">
        <f>IF(ISERROR(VLOOKUP($T$238,'TAR FIN'!$A$1:$O$100,15,0)),0,VLOOKUP($T$238,'TAR FIN'!$A$1:$O$100,15,0))</f>
        <v>147.9</v>
      </c>
      <c r="X238" s="6">
        <f>IF(ISERROR(VLOOKUP($U$238,'TAR FIN'!$A$1:$O$100,15,0)),0,VLOOKUP($U$238,'TAR FIN'!$A$1:$O$100,15,0))</f>
        <v>138.80000000000001</v>
      </c>
      <c r="Y238" s="6"/>
      <c r="Z238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8" s="6">
        <f>('TE BE'!$AA$15+'TE BF'!$AA$15+'TE CVA'!$AA$15)*(1-CUSTOS!$M$35)</f>
        <v>150.47620671413409</v>
      </c>
      <c r="AB238" s="6">
        <f t="shared" si="16"/>
        <v>0</v>
      </c>
      <c r="AC238" s="6">
        <f>(L238-M238)*(W238+X238)+($W$276+$X$276-$W$238-$X$238)*(L238)</f>
        <v>541915.47612000012</v>
      </c>
      <c r="AD238" s="6">
        <f t="shared" si="17"/>
        <v>0</v>
      </c>
      <c r="AE238" s="6">
        <f ca="1">(L238-M238)*(Z238+AA238)+($Z$276+$AA$276-$Z$238-$AA$238)*(L238)</f>
        <v>555165.04413701617</v>
      </c>
      <c r="AF238" s="4" t="s">
        <v>915</v>
      </c>
    </row>
    <row r="239" spans="1:32" ht="11.25" customHeight="1" x14ac:dyDescent="0.25">
      <c r="A239" s="4" t="s">
        <v>55</v>
      </c>
      <c r="B239" s="4" t="s">
        <v>22</v>
      </c>
      <c r="C239" s="4" t="s">
        <v>23</v>
      </c>
      <c r="D239" s="4" t="s">
        <v>24</v>
      </c>
      <c r="E239" s="4" t="s">
        <v>30</v>
      </c>
      <c r="F239" s="4" t="s">
        <v>25</v>
      </c>
      <c r="G239" s="4" t="s">
        <v>25</v>
      </c>
      <c r="H239" s="4" t="s">
        <v>25</v>
      </c>
      <c r="I239" s="5">
        <v>44562</v>
      </c>
      <c r="J239" s="6">
        <v>0</v>
      </c>
      <c r="K239" s="6">
        <v>0</v>
      </c>
      <c r="L239" s="6">
        <v>-0.27100000000000002</v>
      </c>
      <c r="M239" s="6">
        <v>-0.27100000000000002</v>
      </c>
      <c r="N239" s="6">
        <v>-0.27100000000000002</v>
      </c>
      <c r="O239" s="6">
        <v>-0.27100000000000002</v>
      </c>
      <c r="P239" s="6">
        <v>-4</v>
      </c>
      <c r="Q239" s="4" t="s">
        <v>26</v>
      </c>
      <c r="R239" s="4">
        <v>0</v>
      </c>
      <c r="S239" s="4">
        <v>0</v>
      </c>
      <c r="T239" s="4">
        <v>35</v>
      </c>
      <c r="U239" s="4">
        <v>75</v>
      </c>
      <c r="V239" s="6">
        <f>IF(ISERROR(VLOOKUP($S$239,'TAR FIN'!$A$1:$O$100,15,0)),0,VLOOKUP($S$239,'TAR FIN'!$A$1:$O$100,15,0))</f>
        <v>0</v>
      </c>
      <c r="W239" s="6">
        <f>IF(ISERROR(VLOOKUP($T$239,'TAR FIN'!$A$1:$O$100,15,0)),0,VLOOKUP($T$239,'TAR FIN'!$A$1:$O$100,15,0))</f>
        <v>147.9</v>
      </c>
      <c r="X239" s="6">
        <f>IF(ISERROR(VLOOKUP($U$239,'TAR FIN'!$A$1:$O$100,15,0)),0,VLOOKUP($U$239,'TAR FIN'!$A$1:$O$100,15,0))</f>
        <v>138.80000000000001</v>
      </c>
      <c r="Y239" s="6"/>
      <c r="Z239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39" s="6">
        <f>('TE BE'!$AA$15+'TE BF'!$AA$15+'TE CVA'!$AA$15)*(1-CUSTOS!$M$35)</f>
        <v>150.47620671413409</v>
      </c>
      <c r="AB239" s="6">
        <f t="shared" si="16"/>
        <v>0</v>
      </c>
      <c r="AC239" s="6">
        <f>(L239-M239)*(W239+X239)+($W$276+$X$276-$W$239-$X$239)*(L239)</f>
        <v>-51.796230000000016</v>
      </c>
      <c r="AD239" s="6">
        <f t="shared" si="17"/>
        <v>0</v>
      </c>
      <c r="AE239" s="6">
        <f ca="1">(L239-M239)*(Z239+AA239)+($Z$276+$AA$276-$Z$239-$AA$239)*(L239)</f>
        <v>-53.062622459066901</v>
      </c>
      <c r="AF239" s="4" t="s">
        <v>915</v>
      </c>
    </row>
    <row r="240" spans="1:32" ht="11.25" customHeight="1" x14ac:dyDescent="0.25">
      <c r="A240" s="4" t="s">
        <v>55</v>
      </c>
      <c r="B240" s="4" t="s">
        <v>22</v>
      </c>
      <c r="C240" s="4" t="s">
        <v>23</v>
      </c>
      <c r="D240" s="4" t="s">
        <v>24</v>
      </c>
      <c r="E240" s="4" t="s">
        <v>30</v>
      </c>
      <c r="F240" s="4" t="s">
        <v>25</v>
      </c>
      <c r="G240" s="4" t="s">
        <v>25</v>
      </c>
      <c r="H240" s="4" t="s">
        <v>25</v>
      </c>
      <c r="I240" s="5">
        <v>44562</v>
      </c>
      <c r="J240" s="6">
        <v>0</v>
      </c>
      <c r="K240" s="6">
        <v>0</v>
      </c>
      <c r="L240" s="6">
        <v>1.7030000000000001</v>
      </c>
      <c r="M240" s="6">
        <v>1.7030000000000001</v>
      </c>
      <c r="N240" s="6">
        <v>1.7030000000000001</v>
      </c>
      <c r="O240" s="6">
        <v>1.7030000000000001</v>
      </c>
      <c r="P240" s="6">
        <v>8</v>
      </c>
      <c r="Q240" s="4" t="s">
        <v>26</v>
      </c>
      <c r="R240" s="4">
        <v>0</v>
      </c>
      <c r="S240" s="4">
        <v>0</v>
      </c>
      <c r="T240" s="4">
        <v>35</v>
      </c>
      <c r="U240" s="4">
        <v>75</v>
      </c>
      <c r="V240" s="6">
        <f>IF(ISERROR(VLOOKUP($S$240,'TAR FIN'!$A$1:$O$100,15,0)),0,VLOOKUP($S$240,'TAR FIN'!$A$1:$O$100,15,0))</f>
        <v>0</v>
      </c>
      <c r="W240" s="6">
        <f>IF(ISERROR(VLOOKUP($T$240,'TAR FIN'!$A$1:$O$100,15,0)),0,VLOOKUP($T$240,'TAR FIN'!$A$1:$O$100,15,0))</f>
        <v>147.9</v>
      </c>
      <c r="X240" s="6">
        <f>IF(ISERROR(VLOOKUP($U$240,'TAR FIN'!$A$1:$O$100,15,0)),0,VLOOKUP($U$240,'TAR FIN'!$A$1:$O$100,15,0))</f>
        <v>138.80000000000001</v>
      </c>
      <c r="Y240" s="6"/>
      <c r="Z240" s="6">
        <f ca="1">('TUSD BE'!$AM$32+'TUSD BF'!$AM$32+'TUSD CVA'!$AM$32-('TUSD BE'!$P$32+'TUSD BF'!$P$32+'TUSD CVA'!$P$32)-('TUSD BE'!$Q$32+'TUSD BF'!$Q$32+'TUSD CVA'!$Q$32)-('TUSD BE'!$R$32+'TUSD BF'!$R$32+'TUSD CVA'!$R$32))*(1-CUSTOS!$M$35)</f>
        <v>143.22834564232471</v>
      </c>
      <c r="AA240" s="6">
        <f>('TE BE'!$AA$15+'TE BF'!$AA$15+'TE CVA'!$AA$15)*(1-CUSTOS!$M$35)</f>
        <v>150.47620671413409</v>
      </c>
      <c r="AB240" s="6">
        <f t="shared" si="16"/>
        <v>0</v>
      </c>
      <c r="AC240" s="6">
        <f>(L240-M240)*(W240+X240)+($W$276+$X$276-$W$240-$X$240)*(L240)</f>
        <v>325.49439000000012</v>
      </c>
      <c r="AD240" s="6">
        <f t="shared" si="17"/>
        <v>0</v>
      </c>
      <c r="AE240" s="6">
        <f ca="1">(L240-M240)*(Z240+AA240)+($Z$276+$AA$276-$Z$240-$AA$240)*(L240)</f>
        <v>333.45256844203294</v>
      </c>
      <c r="AF240" s="4" t="s">
        <v>915</v>
      </c>
    </row>
    <row r="241" spans="1:32" ht="11.25" customHeight="1" x14ac:dyDescent="0.25">
      <c r="A241" s="4" t="s">
        <v>21</v>
      </c>
      <c r="B241" s="4" t="s">
        <v>22</v>
      </c>
      <c r="C241" s="4" t="s">
        <v>23</v>
      </c>
      <c r="D241" s="4" t="s">
        <v>24</v>
      </c>
      <c r="E241" s="4" t="s">
        <v>31</v>
      </c>
      <c r="F241" s="4" t="s">
        <v>25</v>
      </c>
      <c r="G241" s="4" t="s">
        <v>25</v>
      </c>
      <c r="H241" s="4" t="s">
        <v>25</v>
      </c>
      <c r="I241" s="5">
        <v>44228</v>
      </c>
      <c r="J241" s="6">
        <v>0</v>
      </c>
      <c r="K241" s="6">
        <v>0</v>
      </c>
      <c r="L241" s="6">
        <v>1090.69</v>
      </c>
      <c r="M241" s="6">
        <v>1090.69</v>
      </c>
      <c r="N241" s="6">
        <v>1090.69</v>
      </c>
      <c r="O241" s="6">
        <v>1090.69</v>
      </c>
      <c r="P241" s="6">
        <v>19553</v>
      </c>
      <c r="Q241" s="4" t="s">
        <v>26</v>
      </c>
      <c r="R241" s="4">
        <v>0</v>
      </c>
      <c r="S241" s="4">
        <v>0</v>
      </c>
      <c r="T241" s="4">
        <v>36</v>
      </c>
      <c r="U241" s="4">
        <v>76</v>
      </c>
      <c r="V241" s="6">
        <f>IF(ISERROR(VLOOKUP($S$241,'TAR FIN'!$A$1:$O$100,15,0)),0,VLOOKUP($S$241,'TAR FIN'!$A$1:$O$100,15,0))</f>
        <v>0</v>
      </c>
      <c r="W241" s="6">
        <f>IF(ISERROR(VLOOKUP($T$241,'TAR FIN'!$A$1:$O$100,15,0)),0,VLOOKUP($T$241,'TAR FIN'!$A$1:$O$100,15,0))</f>
        <v>221.85</v>
      </c>
      <c r="X241" s="6">
        <f>IF(ISERROR(VLOOKUP($U$241,'TAR FIN'!$A$1:$O$100,15,0)),0,VLOOKUP($U$241,'TAR FIN'!$A$1:$O$100,15,0))</f>
        <v>208.2</v>
      </c>
      <c r="Y241" s="6"/>
      <c r="Z24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1" s="6">
        <f>('TE BE'!$AA$16+'TE BF'!$AA$16+'TE CVA'!$AA$16)*(1-CUSTOS!$M$36)</f>
        <v>225.71431007120114</v>
      </c>
      <c r="AB241" s="6">
        <f t="shared" si="16"/>
        <v>0</v>
      </c>
      <c r="AC241" s="6">
        <f>(L241-M241)*(W241+X241)+($W$276+$X$276-$W$241-$X$241)*(L241)</f>
        <v>52113.168200000066</v>
      </c>
      <c r="AD241" s="6">
        <f t="shared" si="17"/>
        <v>0</v>
      </c>
      <c r="AE241" s="6">
        <f ca="1">(L241-M241)*(Z241+AA241)+($Z$276+$AA$276-$Z$241-$AA$241)*(L241)</f>
        <v>53390.103034944368</v>
      </c>
      <c r="AF241" s="4" t="s">
        <v>915</v>
      </c>
    </row>
    <row r="242" spans="1:32" ht="11.25" customHeight="1" x14ac:dyDescent="0.25">
      <c r="A242" s="4" t="s">
        <v>27</v>
      </c>
      <c r="B242" s="4" t="s">
        <v>22</v>
      </c>
      <c r="C242" s="4" t="s">
        <v>23</v>
      </c>
      <c r="D242" s="4" t="s">
        <v>24</v>
      </c>
      <c r="E242" s="4" t="s">
        <v>31</v>
      </c>
      <c r="F242" s="4" t="s">
        <v>25</v>
      </c>
      <c r="G242" s="4" t="s">
        <v>25</v>
      </c>
      <c r="H242" s="4" t="s">
        <v>25</v>
      </c>
      <c r="I242" s="5">
        <v>44228</v>
      </c>
      <c r="J242" s="6">
        <v>0</v>
      </c>
      <c r="K242" s="6">
        <v>0</v>
      </c>
      <c r="L242" s="6">
        <v>-4.9000000000000002E-2</v>
      </c>
      <c r="M242" s="6">
        <v>-4.9000000000000002E-2</v>
      </c>
      <c r="N242" s="6">
        <v>-4.9000000000000002E-2</v>
      </c>
      <c r="O242" s="6">
        <v>-4.9000000000000002E-2</v>
      </c>
      <c r="P242" s="6">
        <v>-1</v>
      </c>
      <c r="Q242" s="4" t="s">
        <v>26</v>
      </c>
      <c r="R242" s="4">
        <v>0</v>
      </c>
      <c r="S242" s="4">
        <v>0</v>
      </c>
      <c r="T242" s="4">
        <v>36</v>
      </c>
      <c r="U242" s="4">
        <v>76</v>
      </c>
      <c r="V242" s="6">
        <f>IF(ISERROR(VLOOKUP($S$242,'TAR FIN'!$A$1:$O$100,15,0)),0,VLOOKUP($S$242,'TAR FIN'!$A$1:$O$100,15,0))</f>
        <v>0</v>
      </c>
      <c r="W242" s="6">
        <f>IF(ISERROR(VLOOKUP($T$242,'TAR FIN'!$A$1:$O$100,15,0)),0,VLOOKUP($T$242,'TAR FIN'!$A$1:$O$100,15,0))</f>
        <v>221.85</v>
      </c>
      <c r="X242" s="6">
        <f>IF(ISERROR(VLOOKUP($U$242,'TAR FIN'!$A$1:$O$100,15,0)),0,VLOOKUP($U$242,'TAR FIN'!$A$1:$O$100,15,0))</f>
        <v>208.2</v>
      </c>
      <c r="Y242" s="6"/>
      <c r="Z24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2" s="6">
        <f>('TE BE'!$AA$16+'TE BF'!$AA$16+'TE CVA'!$AA$16)*(1-CUSTOS!$M$36)</f>
        <v>225.71431007120114</v>
      </c>
      <c r="AB242" s="6">
        <f t="shared" si="16"/>
        <v>0</v>
      </c>
      <c r="AC242" s="6">
        <f>(L242-M242)*(W242+X242)+($W$276+$X$276-$W$242-$X$242)*(L242)</f>
        <v>-2.341220000000003</v>
      </c>
      <c r="AD242" s="6">
        <f t="shared" si="17"/>
        <v>0</v>
      </c>
      <c r="AE242" s="6">
        <f ca="1">(L242-M242)*(Z242+AA242)+($Z$276+$AA$276-$Z$242-$AA$242)*(L242)</f>
        <v>-2.3985871775777481</v>
      </c>
      <c r="AF242" s="4" t="s">
        <v>915</v>
      </c>
    </row>
    <row r="243" spans="1:32" ht="11.25" customHeight="1" x14ac:dyDescent="0.25">
      <c r="A243" s="4" t="s">
        <v>28</v>
      </c>
      <c r="B243" s="4" t="s">
        <v>22</v>
      </c>
      <c r="C243" s="4" t="s">
        <v>23</v>
      </c>
      <c r="D243" s="4" t="s">
        <v>24</v>
      </c>
      <c r="E243" s="4" t="s">
        <v>31</v>
      </c>
      <c r="F243" s="4" t="s">
        <v>25</v>
      </c>
      <c r="G243" s="4" t="s">
        <v>25</v>
      </c>
      <c r="H243" s="4" t="s">
        <v>25</v>
      </c>
      <c r="I243" s="5">
        <v>44228</v>
      </c>
      <c r="J243" s="6">
        <v>0</v>
      </c>
      <c r="K243" s="6">
        <v>0</v>
      </c>
      <c r="L243" s="6">
        <v>0.187</v>
      </c>
      <c r="M243" s="6">
        <v>0.187</v>
      </c>
      <c r="N243" s="6">
        <v>0.187</v>
      </c>
      <c r="O243" s="6">
        <v>0.187</v>
      </c>
      <c r="P243" s="6">
        <v>5</v>
      </c>
      <c r="Q243" s="4" t="s">
        <v>26</v>
      </c>
      <c r="R243" s="4">
        <v>0</v>
      </c>
      <c r="S243" s="4">
        <v>0</v>
      </c>
      <c r="T243" s="4">
        <v>36</v>
      </c>
      <c r="U243" s="4">
        <v>76</v>
      </c>
      <c r="V243" s="6">
        <f>IF(ISERROR(VLOOKUP($S$243,'TAR FIN'!$A$1:$O$100,15,0)),0,VLOOKUP($S$243,'TAR FIN'!$A$1:$O$100,15,0))</f>
        <v>0</v>
      </c>
      <c r="W243" s="6">
        <f>IF(ISERROR(VLOOKUP($T$243,'TAR FIN'!$A$1:$O$100,15,0)),0,VLOOKUP($T$243,'TAR FIN'!$A$1:$O$100,15,0))</f>
        <v>221.85</v>
      </c>
      <c r="X243" s="6">
        <f>IF(ISERROR(VLOOKUP($U$243,'TAR FIN'!$A$1:$O$100,15,0)),0,VLOOKUP($U$243,'TAR FIN'!$A$1:$O$100,15,0))</f>
        <v>208.2</v>
      </c>
      <c r="Y243" s="6"/>
      <c r="Z24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3" s="6">
        <f>('TE BE'!$AA$16+'TE BF'!$AA$16+'TE CVA'!$AA$16)*(1-CUSTOS!$M$36)</f>
        <v>225.71431007120114</v>
      </c>
      <c r="AB243" s="6">
        <f t="shared" si="16"/>
        <v>0</v>
      </c>
      <c r="AC243" s="6">
        <f>(L243-M243)*(W243+X243)+($W$276+$X$276-$W$243-$X$243)*(L243)</f>
        <v>8.9348600000000111</v>
      </c>
      <c r="AD243" s="6">
        <f t="shared" si="17"/>
        <v>0</v>
      </c>
      <c r="AE243" s="6">
        <f ca="1">(L243-M243)*(Z243+AA243)+($Z$276+$AA$276-$Z$243-$AA$243)*(L243)</f>
        <v>9.1537918817763035</v>
      </c>
      <c r="AF243" s="4" t="s">
        <v>915</v>
      </c>
    </row>
    <row r="244" spans="1:32" ht="11.25" customHeight="1" x14ac:dyDescent="0.25">
      <c r="A244" s="4" t="s">
        <v>21</v>
      </c>
      <c r="B244" s="4" t="s">
        <v>22</v>
      </c>
      <c r="C244" s="4" t="s">
        <v>23</v>
      </c>
      <c r="D244" s="4" t="s">
        <v>24</v>
      </c>
      <c r="E244" s="4" t="s">
        <v>31</v>
      </c>
      <c r="F244" s="4" t="s">
        <v>25</v>
      </c>
      <c r="G244" s="4" t="s">
        <v>25</v>
      </c>
      <c r="H244" s="4" t="s">
        <v>25</v>
      </c>
      <c r="I244" s="5">
        <v>44256</v>
      </c>
      <c r="J244" s="6">
        <v>0</v>
      </c>
      <c r="K244" s="6">
        <v>0</v>
      </c>
      <c r="L244" s="6">
        <v>1264.3520000000001</v>
      </c>
      <c r="M244" s="6">
        <v>1264.3520000000001</v>
      </c>
      <c r="N244" s="6">
        <v>1264.3520000000001</v>
      </c>
      <c r="O244" s="6">
        <v>1264.3520000000001</v>
      </c>
      <c r="P244" s="6">
        <v>21419</v>
      </c>
      <c r="Q244" s="4" t="s">
        <v>26</v>
      </c>
      <c r="R244" s="4">
        <v>0</v>
      </c>
      <c r="S244" s="4">
        <v>0</v>
      </c>
      <c r="T244" s="4">
        <v>36</v>
      </c>
      <c r="U244" s="4">
        <v>76</v>
      </c>
      <c r="V244" s="6">
        <f>IF(ISERROR(VLOOKUP($S$244,'TAR FIN'!$A$1:$O$100,15,0)),0,VLOOKUP($S$244,'TAR FIN'!$A$1:$O$100,15,0))</f>
        <v>0</v>
      </c>
      <c r="W244" s="6">
        <f>IF(ISERROR(VLOOKUP($T$244,'TAR FIN'!$A$1:$O$100,15,0)),0,VLOOKUP($T$244,'TAR FIN'!$A$1:$O$100,15,0))</f>
        <v>221.85</v>
      </c>
      <c r="X244" s="6">
        <f>IF(ISERROR(VLOOKUP($U$244,'TAR FIN'!$A$1:$O$100,15,0)),0,VLOOKUP($U$244,'TAR FIN'!$A$1:$O$100,15,0))</f>
        <v>208.2</v>
      </c>
      <c r="Y244" s="6"/>
      <c r="Z24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4" s="6">
        <f>('TE BE'!$AA$16+'TE BF'!$AA$16+'TE CVA'!$AA$16)*(1-CUSTOS!$M$36)</f>
        <v>225.71431007120114</v>
      </c>
      <c r="AB244" s="6">
        <f t="shared" si="16"/>
        <v>0</v>
      </c>
      <c r="AC244" s="6">
        <f>(L244-M244)*(W244+X244)+($W$276+$X$276-$W$244-$X$244)*(L244)</f>
        <v>60410.738560000078</v>
      </c>
      <c r="AD244" s="6">
        <f t="shared" si="17"/>
        <v>0</v>
      </c>
      <c r="AE244" s="6">
        <f ca="1">(L244-M244)*(Z244+AA244)+($Z$276+$AA$276-$Z$244-$AA$244)*(L244)</f>
        <v>61890.989696832265</v>
      </c>
      <c r="AF244" s="4" t="s">
        <v>915</v>
      </c>
    </row>
    <row r="245" spans="1:32" ht="11.25" customHeight="1" x14ac:dyDescent="0.25">
      <c r="A245" s="4" t="s">
        <v>27</v>
      </c>
      <c r="B245" s="4" t="s">
        <v>22</v>
      </c>
      <c r="C245" s="4" t="s">
        <v>23</v>
      </c>
      <c r="D245" s="4" t="s">
        <v>24</v>
      </c>
      <c r="E245" s="4" t="s">
        <v>31</v>
      </c>
      <c r="F245" s="4" t="s">
        <v>25</v>
      </c>
      <c r="G245" s="4" t="s">
        <v>25</v>
      </c>
      <c r="H245" s="4" t="s">
        <v>25</v>
      </c>
      <c r="I245" s="5">
        <v>44256</v>
      </c>
      <c r="J245" s="6">
        <v>0</v>
      </c>
      <c r="K245" s="6">
        <v>0</v>
      </c>
      <c r="L245" s="6">
        <v>-0.39400000000000002</v>
      </c>
      <c r="M245" s="6">
        <v>-0.39400000000000002</v>
      </c>
      <c r="N245" s="6">
        <v>-0.39400000000000002</v>
      </c>
      <c r="O245" s="6">
        <v>-0.39400000000000002</v>
      </c>
      <c r="P245" s="6">
        <v>-3</v>
      </c>
      <c r="Q245" s="4" t="s">
        <v>26</v>
      </c>
      <c r="R245" s="4">
        <v>0</v>
      </c>
      <c r="S245" s="4">
        <v>0</v>
      </c>
      <c r="T245" s="4">
        <v>36</v>
      </c>
      <c r="U245" s="4">
        <v>76</v>
      </c>
      <c r="V245" s="6">
        <f>IF(ISERROR(VLOOKUP($S$245,'TAR FIN'!$A$1:$O$100,15,0)),0,VLOOKUP($S$245,'TAR FIN'!$A$1:$O$100,15,0))</f>
        <v>0</v>
      </c>
      <c r="W245" s="6">
        <f>IF(ISERROR(VLOOKUP($T$245,'TAR FIN'!$A$1:$O$100,15,0)),0,VLOOKUP($T$245,'TAR FIN'!$A$1:$O$100,15,0))</f>
        <v>221.85</v>
      </c>
      <c r="X245" s="6">
        <f>IF(ISERROR(VLOOKUP($U$245,'TAR FIN'!$A$1:$O$100,15,0)),0,VLOOKUP($U$245,'TAR FIN'!$A$1:$O$100,15,0))</f>
        <v>208.2</v>
      </c>
      <c r="Y245" s="6"/>
      <c r="Z24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5" s="6">
        <f>('TE BE'!$AA$16+'TE BF'!$AA$16+'TE CVA'!$AA$16)*(1-CUSTOS!$M$36)</f>
        <v>225.71431007120114</v>
      </c>
      <c r="AB245" s="6">
        <f t="shared" si="16"/>
        <v>0</v>
      </c>
      <c r="AC245" s="6">
        <f>(L245-M245)*(W245+X245)+($W$276+$X$276-$W$245-$X$245)*(L245)</f>
        <v>-18.825320000000023</v>
      </c>
      <c r="AD245" s="6">
        <f t="shared" si="17"/>
        <v>0</v>
      </c>
      <c r="AE245" s="6">
        <f ca="1">(L245-M245)*(Z245+AA245)+($Z$276+$AA$276-$Z$245-$AA$245)*(L245)</f>
        <v>-19.286598938074135</v>
      </c>
      <c r="AF245" s="4" t="s">
        <v>915</v>
      </c>
    </row>
    <row r="246" spans="1:32" ht="11.25" customHeight="1" x14ac:dyDescent="0.25">
      <c r="A246" s="4" t="s">
        <v>28</v>
      </c>
      <c r="B246" s="4" t="s">
        <v>22</v>
      </c>
      <c r="C246" s="4" t="s">
        <v>23</v>
      </c>
      <c r="D246" s="4" t="s">
        <v>24</v>
      </c>
      <c r="E246" s="4" t="s">
        <v>31</v>
      </c>
      <c r="F246" s="4" t="s">
        <v>25</v>
      </c>
      <c r="G246" s="4" t="s">
        <v>25</v>
      </c>
      <c r="H246" s="4" t="s">
        <v>25</v>
      </c>
      <c r="I246" s="5">
        <v>44256</v>
      </c>
      <c r="J246" s="6">
        <v>0</v>
      </c>
      <c r="K246" s="6">
        <v>0</v>
      </c>
      <c r="L246" s="6">
        <v>7.0000000000000007E-2</v>
      </c>
      <c r="M246" s="6">
        <v>7.0000000000000007E-2</v>
      </c>
      <c r="N246" s="6">
        <v>7.0000000000000007E-2</v>
      </c>
      <c r="O246" s="6">
        <v>7.0000000000000007E-2</v>
      </c>
      <c r="P246" s="6">
        <v>8</v>
      </c>
      <c r="Q246" s="4" t="s">
        <v>26</v>
      </c>
      <c r="R246" s="4">
        <v>0</v>
      </c>
      <c r="S246" s="4">
        <v>0</v>
      </c>
      <c r="T246" s="4">
        <v>36</v>
      </c>
      <c r="U246" s="4">
        <v>76</v>
      </c>
      <c r="V246" s="6">
        <f>IF(ISERROR(VLOOKUP($S$246,'TAR FIN'!$A$1:$O$100,15,0)),0,VLOOKUP($S$246,'TAR FIN'!$A$1:$O$100,15,0))</f>
        <v>0</v>
      </c>
      <c r="W246" s="6">
        <f>IF(ISERROR(VLOOKUP($T$246,'TAR FIN'!$A$1:$O$100,15,0)),0,VLOOKUP($T$246,'TAR FIN'!$A$1:$O$100,15,0))</f>
        <v>221.85</v>
      </c>
      <c r="X246" s="6">
        <f>IF(ISERROR(VLOOKUP($U$246,'TAR FIN'!$A$1:$O$100,15,0)),0,VLOOKUP($U$246,'TAR FIN'!$A$1:$O$100,15,0))</f>
        <v>208.2</v>
      </c>
      <c r="Y246" s="6"/>
      <c r="Z246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6" s="6">
        <f>('TE BE'!$AA$16+'TE BF'!$AA$16+'TE CVA'!$AA$16)*(1-CUSTOS!$M$36)</f>
        <v>225.71431007120114</v>
      </c>
      <c r="AB246" s="6">
        <f t="shared" si="16"/>
        <v>0</v>
      </c>
      <c r="AC246" s="6">
        <f>(L246-M246)*(W246+X246)+($W$276+$X$276-$W$246-$X$246)*(L246)</f>
        <v>3.3446000000000042</v>
      </c>
      <c r="AD246" s="6">
        <f t="shared" si="17"/>
        <v>0</v>
      </c>
      <c r="AE246" s="6">
        <f ca="1">(L246-M246)*(Z246+AA246)+($Z$276+$AA$276-$Z$246-$AA$246)*(L246)</f>
        <v>3.4265531108253544</v>
      </c>
      <c r="AF246" s="4" t="s">
        <v>915</v>
      </c>
    </row>
    <row r="247" spans="1:32" ht="11.25" customHeight="1" x14ac:dyDescent="0.25">
      <c r="A247" s="4" t="s">
        <v>21</v>
      </c>
      <c r="B247" s="4" t="s">
        <v>22</v>
      </c>
      <c r="C247" s="4" t="s">
        <v>23</v>
      </c>
      <c r="D247" s="4" t="s">
        <v>24</v>
      </c>
      <c r="E247" s="4" t="s">
        <v>31</v>
      </c>
      <c r="F247" s="4" t="s">
        <v>25</v>
      </c>
      <c r="G247" s="4" t="s">
        <v>25</v>
      </c>
      <c r="H247" s="4" t="s">
        <v>25</v>
      </c>
      <c r="I247" s="5">
        <v>44287</v>
      </c>
      <c r="J247" s="6">
        <v>0</v>
      </c>
      <c r="K247" s="6">
        <v>0</v>
      </c>
      <c r="L247" s="6">
        <v>1304.2639999999999</v>
      </c>
      <c r="M247" s="6">
        <v>1304.2639999999999</v>
      </c>
      <c r="N247" s="6">
        <v>1304.2639999999999</v>
      </c>
      <c r="O247" s="6">
        <v>1304.2639999999999</v>
      </c>
      <c r="P247" s="6">
        <v>21669</v>
      </c>
      <c r="Q247" s="4" t="s">
        <v>26</v>
      </c>
      <c r="R247" s="4">
        <v>0</v>
      </c>
      <c r="S247" s="4">
        <v>0</v>
      </c>
      <c r="T247" s="4">
        <v>36</v>
      </c>
      <c r="U247" s="4">
        <v>76</v>
      </c>
      <c r="V247" s="6">
        <f>IF(ISERROR(VLOOKUP($S$247,'TAR FIN'!$A$1:$O$100,15,0)),0,VLOOKUP($S$247,'TAR FIN'!$A$1:$O$100,15,0))</f>
        <v>0</v>
      </c>
      <c r="W247" s="6">
        <f>IF(ISERROR(VLOOKUP($T$247,'TAR FIN'!$A$1:$O$100,15,0)),0,VLOOKUP($T$247,'TAR FIN'!$A$1:$O$100,15,0))</f>
        <v>221.85</v>
      </c>
      <c r="X247" s="6">
        <f>IF(ISERROR(VLOOKUP($U$247,'TAR FIN'!$A$1:$O$100,15,0)),0,VLOOKUP($U$247,'TAR FIN'!$A$1:$O$100,15,0))</f>
        <v>208.2</v>
      </c>
      <c r="Y247" s="6"/>
      <c r="Z247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7" s="6">
        <f>('TE BE'!$AA$16+'TE BF'!$AA$16+'TE CVA'!$AA$16)*(1-CUSTOS!$M$36)</f>
        <v>225.71431007120114</v>
      </c>
      <c r="AB247" s="6">
        <f t="shared" si="16"/>
        <v>0</v>
      </c>
      <c r="AC247" s="6">
        <f>(L247-M247)*(W247+X247)+($W$276+$X$276-$W$247-$X$247)*(L247)</f>
        <v>62317.733920000072</v>
      </c>
      <c r="AD247" s="6">
        <f t="shared" si="17"/>
        <v>0</v>
      </c>
      <c r="AE247" s="6">
        <f ca="1">(L247-M247)*(Z247+AA247)+($Z$276+$AA$276-$Z$247-$AA$247)*(L247)</f>
        <v>63844.712379107419</v>
      </c>
      <c r="AF247" s="4" t="s">
        <v>915</v>
      </c>
    </row>
    <row r="248" spans="1:32" ht="11.25" customHeight="1" x14ac:dyDescent="0.25">
      <c r="A248" s="4" t="s">
        <v>27</v>
      </c>
      <c r="B248" s="4" t="s">
        <v>22</v>
      </c>
      <c r="C248" s="4" t="s">
        <v>23</v>
      </c>
      <c r="D248" s="4" t="s">
        <v>24</v>
      </c>
      <c r="E248" s="4" t="s">
        <v>31</v>
      </c>
      <c r="F248" s="4" t="s">
        <v>25</v>
      </c>
      <c r="G248" s="4" t="s">
        <v>25</v>
      </c>
      <c r="H248" s="4" t="s">
        <v>25</v>
      </c>
      <c r="I248" s="5">
        <v>44287</v>
      </c>
      <c r="J248" s="6">
        <v>0</v>
      </c>
      <c r="K248" s="6">
        <v>0</v>
      </c>
      <c r="L248" s="6">
        <v>-6.8000000000000005E-2</v>
      </c>
      <c r="M248" s="6">
        <v>-6.8000000000000005E-2</v>
      </c>
      <c r="N248" s="6">
        <v>-6.8000000000000005E-2</v>
      </c>
      <c r="O248" s="6">
        <v>-6.8000000000000005E-2</v>
      </c>
      <c r="P248" s="6">
        <v>-1</v>
      </c>
      <c r="Q248" s="4" t="s">
        <v>26</v>
      </c>
      <c r="R248" s="4">
        <v>0</v>
      </c>
      <c r="S248" s="4">
        <v>0</v>
      </c>
      <c r="T248" s="4">
        <v>36</v>
      </c>
      <c r="U248" s="4">
        <v>76</v>
      </c>
      <c r="V248" s="6">
        <f>IF(ISERROR(VLOOKUP($S$248,'TAR FIN'!$A$1:$O$100,15,0)),0,VLOOKUP($S$248,'TAR FIN'!$A$1:$O$100,15,0))</f>
        <v>0</v>
      </c>
      <c r="W248" s="6">
        <f>IF(ISERROR(VLOOKUP($T$248,'TAR FIN'!$A$1:$O$100,15,0)),0,VLOOKUP($T$248,'TAR FIN'!$A$1:$O$100,15,0))</f>
        <v>221.85</v>
      </c>
      <c r="X248" s="6">
        <f>IF(ISERROR(VLOOKUP($U$248,'TAR FIN'!$A$1:$O$100,15,0)),0,VLOOKUP($U$248,'TAR FIN'!$A$1:$O$100,15,0))</f>
        <v>208.2</v>
      </c>
      <c r="Y248" s="6"/>
      <c r="Z24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8" s="6">
        <f>('TE BE'!$AA$16+'TE BF'!$AA$16+'TE CVA'!$AA$16)*(1-CUSTOS!$M$36)</f>
        <v>225.71431007120114</v>
      </c>
      <c r="AB248" s="6">
        <f t="shared" si="16"/>
        <v>0</v>
      </c>
      <c r="AC248" s="6">
        <f>(L248-M248)*(W248+X248)+($W$276+$X$276-$W$248-$X$248)*(L248)</f>
        <v>-3.2490400000000044</v>
      </c>
      <c r="AD248" s="6">
        <f t="shared" si="17"/>
        <v>0</v>
      </c>
      <c r="AE248" s="6">
        <f ca="1">(L248-M248)*(Z248+AA248)+($Z$276+$AA$276-$Z$248-$AA$248)*(L248)</f>
        <v>-3.3286515933732015</v>
      </c>
      <c r="AF248" s="4" t="s">
        <v>915</v>
      </c>
    </row>
    <row r="249" spans="1:32" ht="11.25" customHeight="1" x14ac:dyDescent="0.25">
      <c r="A249" s="4" t="s">
        <v>28</v>
      </c>
      <c r="B249" s="4" t="s">
        <v>22</v>
      </c>
      <c r="C249" s="4" t="s">
        <v>23</v>
      </c>
      <c r="D249" s="4" t="s">
        <v>24</v>
      </c>
      <c r="E249" s="4" t="s">
        <v>31</v>
      </c>
      <c r="F249" s="4" t="s">
        <v>25</v>
      </c>
      <c r="G249" s="4" t="s">
        <v>25</v>
      </c>
      <c r="H249" s="4" t="s">
        <v>25</v>
      </c>
      <c r="I249" s="5">
        <v>44287</v>
      </c>
      <c r="J249" s="6">
        <v>0</v>
      </c>
      <c r="K249" s="6">
        <v>0</v>
      </c>
      <c r="L249" s="6">
        <v>0.14199999999999999</v>
      </c>
      <c r="M249" s="6">
        <v>0.14199999999999999</v>
      </c>
      <c r="N249" s="6">
        <v>0.14199999999999999</v>
      </c>
      <c r="O249" s="6">
        <v>0.14199999999999999</v>
      </c>
      <c r="P249" s="6">
        <v>7</v>
      </c>
      <c r="Q249" s="4" t="s">
        <v>26</v>
      </c>
      <c r="R249" s="4">
        <v>0</v>
      </c>
      <c r="S249" s="4">
        <v>0</v>
      </c>
      <c r="T249" s="4">
        <v>36</v>
      </c>
      <c r="U249" s="4">
        <v>76</v>
      </c>
      <c r="V249" s="6">
        <f>IF(ISERROR(VLOOKUP($S$249,'TAR FIN'!$A$1:$O$100,15,0)),0,VLOOKUP($S$249,'TAR FIN'!$A$1:$O$100,15,0))</f>
        <v>0</v>
      </c>
      <c r="W249" s="6">
        <f>IF(ISERROR(VLOOKUP($T$249,'TAR FIN'!$A$1:$O$100,15,0)),0,VLOOKUP($T$249,'TAR FIN'!$A$1:$O$100,15,0))</f>
        <v>221.85</v>
      </c>
      <c r="X249" s="6">
        <f>IF(ISERROR(VLOOKUP($U$249,'TAR FIN'!$A$1:$O$100,15,0)),0,VLOOKUP($U$249,'TAR FIN'!$A$1:$O$100,15,0))</f>
        <v>208.2</v>
      </c>
      <c r="Y249" s="6"/>
      <c r="Z24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49" s="6">
        <f>('TE BE'!$AA$16+'TE BF'!$AA$16+'TE CVA'!$AA$16)*(1-CUSTOS!$M$36)</f>
        <v>225.71431007120114</v>
      </c>
      <c r="AB249" s="6">
        <f t="shared" si="16"/>
        <v>0</v>
      </c>
      <c r="AC249" s="6">
        <f>(L249-M249)*(W249+X249)+($W$276+$X$276-$W$249-$X$249)*(L249)</f>
        <v>6.7847600000000075</v>
      </c>
      <c r="AD249" s="6">
        <f t="shared" si="17"/>
        <v>0</v>
      </c>
      <c r="AE249" s="6">
        <f ca="1">(L249-M249)*(Z249+AA249)+($Z$276+$AA$276-$Z$249-$AA$249)*(L249)</f>
        <v>6.9510077391028604</v>
      </c>
      <c r="AF249" s="4" t="s">
        <v>915</v>
      </c>
    </row>
    <row r="250" spans="1:32" ht="11.25" customHeight="1" x14ac:dyDescent="0.25">
      <c r="A250" s="4" t="s">
        <v>21</v>
      </c>
      <c r="B250" s="4" t="s">
        <v>22</v>
      </c>
      <c r="C250" s="4" t="s">
        <v>23</v>
      </c>
      <c r="D250" s="4" t="s">
        <v>24</v>
      </c>
      <c r="E250" s="4" t="s">
        <v>31</v>
      </c>
      <c r="F250" s="4" t="s">
        <v>25</v>
      </c>
      <c r="G250" s="4" t="s">
        <v>25</v>
      </c>
      <c r="H250" s="4" t="s">
        <v>25</v>
      </c>
      <c r="I250" s="5">
        <v>44317</v>
      </c>
      <c r="J250" s="6">
        <v>0</v>
      </c>
      <c r="K250" s="6">
        <v>0</v>
      </c>
      <c r="L250" s="6">
        <v>1105.57</v>
      </c>
      <c r="M250" s="6">
        <v>1105.57</v>
      </c>
      <c r="N250" s="6">
        <v>1105.57</v>
      </c>
      <c r="O250" s="6">
        <v>1105.57</v>
      </c>
      <c r="P250" s="6">
        <v>19659</v>
      </c>
      <c r="Q250" s="4" t="s">
        <v>26</v>
      </c>
      <c r="R250" s="4">
        <v>0</v>
      </c>
      <c r="S250" s="4">
        <v>0</v>
      </c>
      <c r="T250" s="4">
        <v>36</v>
      </c>
      <c r="U250" s="4">
        <v>76</v>
      </c>
      <c r="V250" s="6">
        <f>IF(ISERROR(VLOOKUP($S$250,'TAR FIN'!$A$1:$O$100,15,0)),0,VLOOKUP($S$250,'TAR FIN'!$A$1:$O$100,15,0))</f>
        <v>0</v>
      </c>
      <c r="W250" s="6">
        <f>IF(ISERROR(VLOOKUP($T$250,'TAR FIN'!$A$1:$O$100,15,0)),0,VLOOKUP($T$250,'TAR FIN'!$A$1:$O$100,15,0))</f>
        <v>221.85</v>
      </c>
      <c r="X250" s="6">
        <f>IF(ISERROR(VLOOKUP($U$250,'TAR FIN'!$A$1:$O$100,15,0)),0,VLOOKUP($U$250,'TAR FIN'!$A$1:$O$100,15,0))</f>
        <v>208.2</v>
      </c>
      <c r="Y250" s="6"/>
      <c r="Z25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0" s="6">
        <f>('TE BE'!$AA$16+'TE BF'!$AA$16+'TE CVA'!$AA$16)*(1-CUSTOS!$M$36)</f>
        <v>225.71431007120114</v>
      </c>
      <c r="AB250" s="6">
        <f t="shared" si="16"/>
        <v>0</v>
      </c>
      <c r="AC250" s="6">
        <f>(L250-M250)*(W250+X250)+($W$276+$X$276-$W$250-$X$250)*(L250)</f>
        <v>52824.134600000063</v>
      </c>
      <c r="AD250" s="6">
        <f t="shared" si="17"/>
        <v>0</v>
      </c>
      <c r="AE250" s="6">
        <f ca="1">(L250-M250)*(Z250+AA250)+($Z$276+$AA$276-$Z$250-$AA$250)*(L250)</f>
        <v>54118.490324788378</v>
      </c>
      <c r="AF250" s="4" t="s">
        <v>915</v>
      </c>
    </row>
    <row r="251" spans="1:32" ht="11.25" customHeight="1" x14ac:dyDescent="0.25">
      <c r="A251" s="4" t="s">
        <v>27</v>
      </c>
      <c r="B251" s="4" t="s">
        <v>22</v>
      </c>
      <c r="C251" s="4" t="s">
        <v>23</v>
      </c>
      <c r="D251" s="4" t="s">
        <v>24</v>
      </c>
      <c r="E251" s="4" t="s">
        <v>31</v>
      </c>
      <c r="F251" s="4" t="s">
        <v>25</v>
      </c>
      <c r="G251" s="4" t="s">
        <v>25</v>
      </c>
      <c r="H251" s="4" t="s">
        <v>25</v>
      </c>
      <c r="I251" s="5">
        <v>44317</v>
      </c>
      <c r="J251" s="6">
        <v>0</v>
      </c>
      <c r="K251" s="6">
        <v>0</v>
      </c>
      <c r="L251" s="6">
        <v>-0.28499999999999998</v>
      </c>
      <c r="M251" s="6">
        <v>-0.28499999999999998</v>
      </c>
      <c r="N251" s="6">
        <v>-0.28499999999999998</v>
      </c>
      <c r="O251" s="6">
        <v>-0.28499999999999998</v>
      </c>
      <c r="P251" s="6">
        <v>-2</v>
      </c>
      <c r="Q251" s="4" t="s">
        <v>26</v>
      </c>
      <c r="R251" s="4">
        <v>0</v>
      </c>
      <c r="S251" s="4">
        <v>0</v>
      </c>
      <c r="T251" s="4">
        <v>36</v>
      </c>
      <c r="U251" s="4">
        <v>76</v>
      </c>
      <c r="V251" s="6">
        <f>IF(ISERROR(VLOOKUP($S$251,'TAR FIN'!$A$1:$O$100,15,0)),0,VLOOKUP($S$251,'TAR FIN'!$A$1:$O$100,15,0))</f>
        <v>0</v>
      </c>
      <c r="W251" s="6">
        <f>IF(ISERROR(VLOOKUP($T$251,'TAR FIN'!$A$1:$O$100,15,0)),0,VLOOKUP($T$251,'TAR FIN'!$A$1:$O$100,15,0))</f>
        <v>221.85</v>
      </c>
      <c r="X251" s="6">
        <f>IF(ISERROR(VLOOKUP($U$251,'TAR FIN'!$A$1:$O$100,15,0)),0,VLOOKUP($U$251,'TAR FIN'!$A$1:$O$100,15,0))</f>
        <v>208.2</v>
      </c>
      <c r="Y251" s="6"/>
      <c r="Z25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1" s="6">
        <f>('TE BE'!$AA$16+'TE BF'!$AA$16+'TE CVA'!$AA$16)*(1-CUSTOS!$M$36)</f>
        <v>225.71431007120114</v>
      </c>
      <c r="AB251" s="6">
        <f t="shared" si="16"/>
        <v>0</v>
      </c>
      <c r="AC251" s="6">
        <f>(L251-M251)*(W251+X251)+($W$276+$X$276-$W$251-$X$251)*(L251)</f>
        <v>-13.617300000000016</v>
      </c>
      <c r="AD251" s="6">
        <f t="shared" si="17"/>
        <v>0</v>
      </c>
      <c r="AE251" s="6">
        <f ca="1">(L251-M251)*(Z251+AA251)+($Z$276+$AA$276-$Z$251-$AA$251)*(L251)</f>
        <v>-13.950966236931798</v>
      </c>
      <c r="AF251" s="4" t="s">
        <v>915</v>
      </c>
    </row>
    <row r="252" spans="1:32" ht="11.25" customHeight="1" x14ac:dyDescent="0.25">
      <c r="A252" s="4" t="s">
        <v>28</v>
      </c>
      <c r="B252" s="4" t="s">
        <v>22</v>
      </c>
      <c r="C252" s="4" t="s">
        <v>23</v>
      </c>
      <c r="D252" s="4" t="s">
        <v>24</v>
      </c>
      <c r="E252" s="4" t="s">
        <v>31</v>
      </c>
      <c r="F252" s="4" t="s">
        <v>25</v>
      </c>
      <c r="G252" s="4" t="s">
        <v>25</v>
      </c>
      <c r="H252" s="4" t="s">
        <v>25</v>
      </c>
      <c r="I252" s="5">
        <v>44317</v>
      </c>
      <c r="J252" s="6">
        <v>0</v>
      </c>
      <c r="K252" s="6">
        <v>0</v>
      </c>
      <c r="L252" s="6">
        <v>0.20399999999999999</v>
      </c>
      <c r="M252" s="6">
        <v>0.20399999999999999</v>
      </c>
      <c r="N252" s="6">
        <v>0.20399999999999999</v>
      </c>
      <c r="O252" s="6">
        <v>0.20399999999999999</v>
      </c>
      <c r="P252" s="6">
        <v>8</v>
      </c>
      <c r="Q252" s="4" t="s">
        <v>26</v>
      </c>
      <c r="R252" s="4">
        <v>0</v>
      </c>
      <c r="S252" s="4">
        <v>0</v>
      </c>
      <c r="T252" s="4">
        <v>36</v>
      </c>
      <c r="U252" s="4">
        <v>76</v>
      </c>
      <c r="V252" s="6">
        <f>IF(ISERROR(VLOOKUP($S$252,'TAR FIN'!$A$1:$O$100,15,0)),0,VLOOKUP($S$252,'TAR FIN'!$A$1:$O$100,15,0))</f>
        <v>0</v>
      </c>
      <c r="W252" s="6">
        <f>IF(ISERROR(VLOOKUP($T$252,'TAR FIN'!$A$1:$O$100,15,0)),0,VLOOKUP($T$252,'TAR FIN'!$A$1:$O$100,15,0))</f>
        <v>221.85</v>
      </c>
      <c r="X252" s="6">
        <f>IF(ISERROR(VLOOKUP($U$252,'TAR FIN'!$A$1:$O$100,15,0)),0,VLOOKUP($U$252,'TAR FIN'!$A$1:$O$100,15,0))</f>
        <v>208.2</v>
      </c>
      <c r="Y252" s="6"/>
      <c r="Z25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2" s="6">
        <f>('TE BE'!$AA$16+'TE BF'!$AA$16+'TE CVA'!$AA$16)*(1-CUSTOS!$M$36)</f>
        <v>225.71431007120114</v>
      </c>
      <c r="AB252" s="6">
        <f t="shared" si="16"/>
        <v>0</v>
      </c>
      <c r="AC252" s="6">
        <f>(L252-M252)*(W252+X252)+($W$276+$X$276-$W$252-$X$252)*(L252)</f>
        <v>9.7471200000000113</v>
      </c>
      <c r="AD252" s="6">
        <f t="shared" si="17"/>
        <v>0</v>
      </c>
      <c r="AE252" s="6">
        <f ca="1">(L252-M252)*(Z252+AA252)+($Z$276+$AA$276-$Z$252-$AA$252)*(L252)</f>
        <v>9.9859547801196022</v>
      </c>
      <c r="AF252" s="4" t="s">
        <v>915</v>
      </c>
    </row>
    <row r="253" spans="1:32" ht="11.25" customHeight="1" x14ac:dyDescent="0.25">
      <c r="A253" s="4" t="s">
        <v>21</v>
      </c>
      <c r="B253" s="4" t="s">
        <v>22</v>
      </c>
      <c r="C253" s="4" t="s">
        <v>23</v>
      </c>
      <c r="D253" s="4" t="s">
        <v>24</v>
      </c>
      <c r="E253" s="4" t="s">
        <v>31</v>
      </c>
      <c r="F253" s="4" t="s">
        <v>25</v>
      </c>
      <c r="G253" s="4" t="s">
        <v>25</v>
      </c>
      <c r="H253" s="4" t="s">
        <v>25</v>
      </c>
      <c r="I253" s="5">
        <v>44348</v>
      </c>
      <c r="J253" s="6">
        <v>0</v>
      </c>
      <c r="K253" s="6">
        <v>0</v>
      </c>
      <c r="L253" s="6">
        <v>966.56200000000001</v>
      </c>
      <c r="M253" s="6">
        <v>966.56200000000001</v>
      </c>
      <c r="N253" s="6">
        <v>966.56200000000001</v>
      </c>
      <c r="O253" s="6">
        <v>966.56200000000001</v>
      </c>
      <c r="P253" s="6">
        <v>18081</v>
      </c>
      <c r="Q253" s="4" t="s">
        <v>26</v>
      </c>
      <c r="R253" s="4">
        <v>0</v>
      </c>
      <c r="S253" s="4">
        <v>0</v>
      </c>
      <c r="T253" s="4">
        <v>36</v>
      </c>
      <c r="U253" s="4">
        <v>76</v>
      </c>
      <c r="V253" s="6">
        <f>IF(ISERROR(VLOOKUP($S$253,'TAR FIN'!$A$1:$O$100,15,0)),0,VLOOKUP($S$253,'TAR FIN'!$A$1:$O$100,15,0))</f>
        <v>0</v>
      </c>
      <c r="W253" s="6">
        <f>IF(ISERROR(VLOOKUP($T$253,'TAR FIN'!$A$1:$O$100,15,0)),0,VLOOKUP($T$253,'TAR FIN'!$A$1:$O$100,15,0))</f>
        <v>221.85</v>
      </c>
      <c r="X253" s="6">
        <f>IF(ISERROR(VLOOKUP($U$253,'TAR FIN'!$A$1:$O$100,15,0)),0,VLOOKUP($U$253,'TAR FIN'!$A$1:$O$100,15,0))</f>
        <v>208.2</v>
      </c>
      <c r="Y253" s="6"/>
      <c r="Z25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3" s="6">
        <f>('TE BE'!$AA$16+'TE BF'!$AA$16+'TE CVA'!$AA$16)*(1-CUSTOS!$M$36)</f>
        <v>225.71431007120114</v>
      </c>
      <c r="AB253" s="6">
        <f t="shared" si="16"/>
        <v>0</v>
      </c>
      <c r="AC253" s="6">
        <f>(L253-M253)*(W253+X253)+($W$276+$X$276-$W$253-$X$253)*(L253)</f>
        <v>46182.332360000059</v>
      </c>
      <c r="AD253" s="6">
        <f t="shared" si="17"/>
        <v>0</v>
      </c>
      <c r="AE253" s="6">
        <f ca="1">(L253-M253)*(Z253+AA253)+($Z$276+$AA$276-$Z$253-$AA$253)*(L253)</f>
        <v>47313.943255793944</v>
      </c>
      <c r="AF253" s="4" t="s">
        <v>915</v>
      </c>
    </row>
    <row r="254" spans="1:32" ht="11.25" customHeight="1" x14ac:dyDescent="0.25">
      <c r="A254" s="4" t="s">
        <v>27</v>
      </c>
      <c r="B254" s="4" t="s">
        <v>22</v>
      </c>
      <c r="C254" s="4" t="s">
        <v>23</v>
      </c>
      <c r="D254" s="4" t="s">
        <v>24</v>
      </c>
      <c r="E254" s="4" t="s">
        <v>31</v>
      </c>
      <c r="F254" s="4" t="s">
        <v>25</v>
      </c>
      <c r="G254" s="4" t="s">
        <v>25</v>
      </c>
      <c r="H254" s="4" t="s">
        <v>25</v>
      </c>
      <c r="I254" s="5">
        <v>44348</v>
      </c>
      <c r="J254" s="6">
        <v>0</v>
      </c>
      <c r="K254" s="6">
        <v>0</v>
      </c>
      <c r="L254" s="6">
        <v>-0.505</v>
      </c>
      <c r="M254" s="6">
        <v>-0.505</v>
      </c>
      <c r="N254" s="6">
        <v>-0.505</v>
      </c>
      <c r="O254" s="6">
        <v>-0.505</v>
      </c>
      <c r="P254" s="6">
        <v>-2</v>
      </c>
      <c r="Q254" s="4" t="s">
        <v>26</v>
      </c>
      <c r="R254" s="4">
        <v>0</v>
      </c>
      <c r="S254" s="4">
        <v>0</v>
      </c>
      <c r="T254" s="4">
        <v>36</v>
      </c>
      <c r="U254" s="4">
        <v>76</v>
      </c>
      <c r="V254" s="6">
        <f>IF(ISERROR(VLOOKUP($S$254,'TAR FIN'!$A$1:$O$100,15,0)),0,VLOOKUP($S$254,'TAR FIN'!$A$1:$O$100,15,0))</f>
        <v>0</v>
      </c>
      <c r="W254" s="6">
        <f>IF(ISERROR(VLOOKUP($T$254,'TAR FIN'!$A$1:$O$100,15,0)),0,VLOOKUP($T$254,'TAR FIN'!$A$1:$O$100,15,0))</f>
        <v>221.85</v>
      </c>
      <c r="X254" s="6">
        <f>IF(ISERROR(VLOOKUP($U$254,'TAR FIN'!$A$1:$O$100,15,0)),0,VLOOKUP($U$254,'TAR FIN'!$A$1:$O$100,15,0))</f>
        <v>208.2</v>
      </c>
      <c r="Y254" s="6"/>
      <c r="Z25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4" s="6">
        <f>('TE BE'!$AA$16+'TE BF'!$AA$16+'TE CVA'!$AA$16)*(1-CUSTOS!$M$36)</f>
        <v>225.71431007120114</v>
      </c>
      <c r="AB254" s="6">
        <f t="shared" si="16"/>
        <v>0</v>
      </c>
      <c r="AC254" s="6">
        <f>(L254-M254)*(W254+X254)+($W$276+$X$276-$W$254-$X$254)*(L254)</f>
        <v>-24.12890000000003</v>
      </c>
      <c r="AD254" s="6">
        <f t="shared" si="17"/>
        <v>0</v>
      </c>
      <c r="AE254" s="6">
        <f ca="1">(L254-M254)*(Z254+AA254)+($Z$276+$AA$276-$Z$254-$AA$254)*(L254)</f>
        <v>-24.720133156668627</v>
      </c>
      <c r="AF254" s="4" t="s">
        <v>915</v>
      </c>
    </row>
    <row r="255" spans="1:32" ht="11.25" customHeight="1" x14ac:dyDescent="0.25">
      <c r="A255" s="4" t="s">
        <v>28</v>
      </c>
      <c r="B255" s="4" t="s">
        <v>22</v>
      </c>
      <c r="C255" s="4" t="s">
        <v>23</v>
      </c>
      <c r="D255" s="4" t="s">
        <v>24</v>
      </c>
      <c r="E255" s="4" t="s">
        <v>31</v>
      </c>
      <c r="F255" s="4" t="s">
        <v>25</v>
      </c>
      <c r="G255" s="4" t="s">
        <v>25</v>
      </c>
      <c r="H255" s="4" t="s">
        <v>25</v>
      </c>
      <c r="I255" s="5">
        <v>44348</v>
      </c>
      <c r="J255" s="6">
        <v>0</v>
      </c>
      <c r="K255" s="6">
        <v>0</v>
      </c>
      <c r="L255" s="6">
        <v>0.34200000000000003</v>
      </c>
      <c r="M255" s="6">
        <v>0.34200000000000003</v>
      </c>
      <c r="N255" s="6">
        <v>0.34200000000000003</v>
      </c>
      <c r="O255" s="6">
        <v>0.34200000000000003</v>
      </c>
      <c r="P255" s="6">
        <v>8</v>
      </c>
      <c r="Q255" s="4" t="s">
        <v>26</v>
      </c>
      <c r="R255" s="4">
        <v>0</v>
      </c>
      <c r="S255" s="4">
        <v>0</v>
      </c>
      <c r="T255" s="4">
        <v>36</v>
      </c>
      <c r="U255" s="4">
        <v>76</v>
      </c>
      <c r="V255" s="6">
        <f>IF(ISERROR(VLOOKUP($S$255,'TAR FIN'!$A$1:$O$100,15,0)),0,VLOOKUP($S$255,'TAR FIN'!$A$1:$O$100,15,0))</f>
        <v>0</v>
      </c>
      <c r="W255" s="6">
        <f>IF(ISERROR(VLOOKUP($T$255,'TAR FIN'!$A$1:$O$100,15,0)),0,VLOOKUP($T$255,'TAR FIN'!$A$1:$O$100,15,0))</f>
        <v>221.85</v>
      </c>
      <c r="X255" s="6">
        <f>IF(ISERROR(VLOOKUP($U$255,'TAR FIN'!$A$1:$O$100,15,0)),0,VLOOKUP($U$255,'TAR FIN'!$A$1:$O$100,15,0))</f>
        <v>208.2</v>
      </c>
      <c r="Y255" s="6"/>
      <c r="Z25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5" s="6">
        <f>('TE BE'!$AA$16+'TE BF'!$AA$16+'TE CVA'!$AA$16)*(1-CUSTOS!$M$36)</f>
        <v>225.71431007120114</v>
      </c>
      <c r="AB255" s="6">
        <f t="shared" si="16"/>
        <v>0</v>
      </c>
      <c r="AC255" s="6">
        <f>(L255-M255)*(W255+X255)+($W$276+$X$276-$W$255-$X$255)*(L255)</f>
        <v>16.340760000000021</v>
      </c>
      <c r="AD255" s="6">
        <f t="shared" si="17"/>
        <v>0</v>
      </c>
      <c r="AE255" s="6">
        <f ca="1">(L255-M255)*(Z255+AA255)+($Z$276+$AA$276-$Z$255-$AA$255)*(L255)</f>
        <v>16.74115948431816</v>
      </c>
      <c r="AF255" s="4" t="s">
        <v>915</v>
      </c>
    </row>
    <row r="256" spans="1:32" ht="11.25" customHeight="1" x14ac:dyDescent="0.25">
      <c r="A256" s="4" t="s">
        <v>21</v>
      </c>
      <c r="B256" s="4" t="s">
        <v>22</v>
      </c>
      <c r="C256" s="4" t="s">
        <v>23</v>
      </c>
      <c r="D256" s="4" t="s">
        <v>24</v>
      </c>
      <c r="E256" s="4" t="s">
        <v>31</v>
      </c>
      <c r="F256" s="4" t="s">
        <v>25</v>
      </c>
      <c r="G256" s="4" t="s">
        <v>25</v>
      </c>
      <c r="H256" s="4" t="s">
        <v>25</v>
      </c>
      <c r="I256" s="5">
        <v>44378</v>
      </c>
      <c r="J256" s="6">
        <v>0</v>
      </c>
      <c r="K256" s="6">
        <v>0</v>
      </c>
      <c r="L256" s="6">
        <v>1072.556</v>
      </c>
      <c r="M256" s="6">
        <v>1072.556</v>
      </c>
      <c r="N256" s="6">
        <v>1072.556</v>
      </c>
      <c r="O256" s="6">
        <v>1072.556</v>
      </c>
      <c r="P256" s="6">
        <v>19325</v>
      </c>
      <c r="Q256" s="4" t="s">
        <v>26</v>
      </c>
      <c r="R256" s="4">
        <v>0</v>
      </c>
      <c r="S256" s="4">
        <v>0</v>
      </c>
      <c r="T256" s="4">
        <v>36</v>
      </c>
      <c r="U256" s="4">
        <v>76</v>
      </c>
      <c r="V256" s="6">
        <f>IF(ISERROR(VLOOKUP($S$256,'TAR FIN'!$A$1:$O$100,15,0)),0,VLOOKUP($S$256,'TAR FIN'!$A$1:$O$100,15,0))</f>
        <v>0</v>
      </c>
      <c r="W256" s="6">
        <f>IF(ISERROR(VLOOKUP($T$256,'TAR FIN'!$A$1:$O$100,15,0)),0,VLOOKUP($T$256,'TAR FIN'!$A$1:$O$100,15,0))</f>
        <v>221.85</v>
      </c>
      <c r="X256" s="6">
        <f>IF(ISERROR(VLOOKUP($U$256,'TAR FIN'!$A$1:$O$100,15,0)),0,VLOOKUP($U$256,'TAR FIN'!$A$1:$O$100,15,0))</f>
        <v>208.2</v>
      </c>
      <c r="Y256" s="6"/>
      <c r="Z256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6" s="6">
        <f>('TE BE'!$AA$16+'TE BF'!$AA$16+'TE CVA'!$AA$16)*(1-CUSTOS!$M$36)</f>
        <v>225.71431007120114</v>
      </c>
      <c r="AB256" s="6">
        <f t="shared" si="16"/>
        <v>0</v>
      </c>
      <c r="AC256" s="6">
        <f>(L256-M256)*(W256+X256)+($W$276+$X$276-$W$256-$X$256)*(L256)</f>
        <v>51246.725680000061</v>
      </c>
      <c r="AD256" s="6">
        <f t="shared" si="17"/>
        <v>0</v>
      </c>
      <c r="AE256" s="6">
        <f ca="1">(L256-M256)*(Z256+AA256)+($Z$276+$AA$276-$Z$256-$AA$256)*(L256)</f>
        <v>52502.429976205691</v>
      </c>
      <c r="AF256" s="4" t="s">
        <v>915</v>
      </c>
    </row>
    <row r="257" spans="1:32" ht="11.25" customHeight="1" x14ac:dyDescent="0.25">
      <c r="A257" s="4" t="s">
        <v>27</v>
      </c>
      <c r="B257" s="4" t="s">
        <v>22</v>
      </c>
      <c r="C257" s="4" t="s">
        <v>23</v>
      </c>
      <c r="D257" s="4" t="s">
        <v>24</v>
      </c>
      <c r="E257" s="4" t="s">
        <v>31</v>
      </c>
      <c r="F257" s="4" t="s">
        <v>25</v>
      </c>
      <c r="G257" s="4" t="s">
        <v>25</v>
      </c>
      <c r="H257" s="4" t="s">
        <v>25</v>
      </c>
      <c r="I257" s="5">
        <v>44378</v>
      </c>
      <c r="J257" s="6">
        <v>0</v>
      </c>
      <c r="K257" s="6">
        <v>0</v>
      </c>
      <c r="L257" s="6">
        <v>-1.5</v>
      </c>
      <c r="M257" s="6">
        <v>-1.5</v>
      </c>
      <c r="N257" s="6">
        <v>-1.5</v>
      </c>
      <c r="O257" s="6">
        <v>-1.5</v>
      </c>
      <c r="P257" s="6">
        <v>-6</v>
      </c>
      <c r="Q257" s="4" t="s">
        <v>26</v>
      </c>
      <c r="R257" s="4">
        <v>0</v>
      </c>
      <c r="S257" s="4">
        <v>0</v>
      </c>
      <c r="T257" s="4">
        <v>36</v>
      </c>
      <c r="U257" s="4">
        <v>76</v>
      </c>
      <c r="V257" s="6">
        <f>IF(ISERROR(VLOOKUP($S$257,'TAR FIN'!$A$1:$O$100,15,0)),0,VLOOKUP($S$257,'TAR FIN'!$A$1:$O$100,15,0))</f>
        <v>0</v>
      </c>
      <c r="W257" s="6">
        <f>IF(ISERROR(VLOOKUP($T$257,'TAR FIN'!$A$1:$O$100,15,0)),0,VLOOKUP($T$257,'TAR FIN'!$A$1:$O$100,15,0))</f>
        <v>221.85</v>
      </c>
      <c r="X257" s="6">
        <f>IF(ISERROR(VLOOKUP($U$257,'TAR FIN'!$A$1:$O$100,15,0)),0,VLOOKUP($U$257,'TAR FIN'!$A$1:$O$100,15,0))</f>
        <v>208.2</v>
      </c>
      <c r="Y257" s="6"/>
      <c r="Z257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7" s="6">
        <f>('TE BE'!$AA$16+'TE BF'!$AA$16+'TE CVA'!$AA$16)*(1-CUSTOS!$M$36)</f>
        <v>225.71431007120114</v>
      </c>
      <c r="AB257" s="6">
        <f t="shared" si="16"/>
        <v>0</v>
      </c>
      <c r="AC257" s="6">
        <f>(L257-M257)*(W257+X257)+($W$276+$X$276-$W$257-$X$257)*(L257)</f>
        <v>-71.670000000000087</v>
      </c>
      <c r="AD257" s="6">
        <f t="shared" si="17"/>
        <v>0</v>
      </c>
      <c r="AE257" s="6">
        <f ca="1">(L257-M257)*(Z257+AA257)+($Z$276+$AA$276-$Z$257-$AA$257)*(L257)</f>
        <v>-73.42613808911473</v>
      </c>
      <c r="AF257" s="4" t="s">
        <v>915</v>
      </c>
    </row>
    <row r="258" spans="1:32" ht="11.25" customHeight="1" x14ac:dyDescent="0.25">
      <c r="A258" s="4" t="s">
        <v>28</v>
      </c>
      <c r="B258" s="4" t="s">
        <v>22</v>
      </c>
      <c r="C258" s="4" t="s">
        <v>23</v>
      </c>
      <c r="D258" s="4" t="s">
        <v>24</v>
      </c>
      <c r="E258" s="4" t="s">
        <v>31</v>
      </c>
      <c r="F258" s="4" t="s">
        <v>25</v>
      </c>
      <c r="G258" s="4" t="s">
        <v>25</v>
      </c>
      <c r="H258" s="4" t="s">
        <v>25</v>
      </c>
      <c r="I258" s="5">
        <v>44378</v>
      </c>
      <c r="J258" s="6">
        <v>0</v>
      </c>
      <c r="K258" s="6">
        <v>0</v>
      </c>
      <c r="L258" s="6">
        <v>0.46500000000000002</v>
      </c>
      <c r="M258" s="6">
        <v>0.46500000000000002</v>
      </c>
      <c r="N258" s="6">
        <v>0.46500000000000002</v>
      </c>
      <c r="O258" s="6">
        <v>0.46500000000000002</v>
      </c>
      <c r="P258" s="6">
        <v>12</v>
      </c>
      <c r="Q258" s="4" t="s">
        <v>26</v>
      </c>
      <c r="R258" s="4">
        <v>0</v>
      </c>
      <c r="S258" s="4">
        <v>0</v>
      </c>
      <c r="T258" s="4">
        <v>36</v>
      </c>
      <c r="U258" s="4">
        <v>76</v>
      </c>
      <c r="V258" s="6">
        <f>IF(ISERROR(VLOOKUP($S$258,'TAR FIN'!$A$1:$O$100,15,0)),0,VLOOKUP($S$258,'TAR FIN'!$A$1:$O$100,15,0))</f>
        <v>0</v>
      </c>
      <c r="W258" s="6">
        <f>IF(ISERROR(VLOOKUP($T$258,'TAR FIN'!$A$1:$O$100,15,0)),0,VLOOKUP($T$258,'TAR FIN'!$A$1:$O$100,15,0))</f>
        <v>221.85</v>
      </c>
      <c r="X258" s="6">
        <f>IF(ISERROR(VLOOKUP($U$258,'TAR FIN'!$A$1:$O$100,15,0)),0,VLOOKUP($U$258,'TAR FIN'!$A$1:$O$100,15,0))</f>
        <v>208.2</v>
      </c>
      <c r="Y258" s="6"/>
      <c r="Z25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8" s="6">
        <f>('TE BE'!$AA$16+'TE BF'!$AA$16+'TE CVA'!$AA$16)*(1-CUSTOS!$M$36)</f>
        <v>225.71431007120114</v>
      </c>
      <c r="AB258" s="6">
        <f t="shared" ref="AB258:AB321" si="18">(J258-K258)*V258</f>
        <v>0</v>
      </c>
      <c r="AC258" s="6">
        <f>(L258-M258)*(W258+X258)+($W$276+$X$276-$W$258-$X$258)*(L258)</f>
        <v>22.217700000000029</v>
      </c>
      <c r="AD258" s="6">
        <f t="shared" ref="AD258:AD321" si="19">(J258-K258)*Y258</f>
        <v>0</v>
      </c>
      <c r="AE258" s="6">
        <f ca="1">(L258-M258)*(Z258+AA258)+($Z$276+$AA$276-$Z$258-$AA$258)*(L258)</f>
        <v>22.762102807625567</v>
      </c>
      <c r="AF258" s="4" t="s">
        <v>915</v>
      </c>
    </row>
    <row r="259" spans="1:32" ht="11.25" customHeight="1" x14ac:dyDescent="0.25">
      <c r="A259" s="4" t="s">
        <v>21</v>
      </c>
      <c r="B259" s="4" t="s">
        <v>22</v>
      </c>
      <c r="C259" s="4" t="s">
        <v>23</v>
      </c>
      <c r="D259" s="4" t="s">
        <v>24</v>
      </c>
      <c r="E259" s="4" t="s">
        <v>31</v>
      </c>
      <c r="F259" s="4" t="s">
        <v>25</v>
      </c>
      <c r="G259" s="4" t="s">
        <v>25</v>
      </c>
      <c r="H259" s="4" t="s">
        <v>25</v>
      </c>
      <c r="I259" s="5">
        <v>44409</v>
      </c>
      <c r="J259" s="6">
        <v>0</v>
      </c>
      <c r="K259" s="6">
        <v>0</v>
      </c>
      <c r="L259" s="6">
        <v>913.09900000000005</v>
      </c>
      <c r="M259" s="6">
        <v>913.09900000000005</v>
      </c>
      <c r="N259" s="6">
        <v>913.09900000000005</v>
      </c>
      <c r="O259" s="6">
        <v>913.09900000000005</v>
      </c>
      <c r="P259" s="6">
        <v>17686</v>
      </c>
      <c r="Q259" s="4" t="s">
        <v>26</v>
      </c>
      <c r="R259" s="4">
        <v>0</v>
      </c>
      <c r="S259" s="4">
        <v>0</v>
      </c>
      <c r="T259" s="4">
        <v>36</v>
      </c>
      <c r="U259" s="4">
        <v>76</v>
      </c>
      <c r="V259" s="6">
        <f>IF(ISERROR(VLOOKUP($S$259,'TAR FIN'!$A$1:$O$100,15,0)),0,VLOOKUP($S$259,'TAR FIN'!$A$1:$O$100,15,0))</f>
        <v>0</v>
      </c>
      <c r="W259" s="6">
        <f>IF(ISERROR(VLOOKUP($T$259,'TAR FIN'!$A$1:$O$100,15,0)),0,VLOOKUP($T$259,'TAR FIN'!$A$1:$O$100,15,0))</f>
        <v>221.85</v>
      </c>
      <c r="X259" s="6">
        <f>IF(ISERROR(VLOOKUP($U$259,'TAR FIN'!$A$1:$O$100,15,0)),0,VLOOKUP($U$259,'TAR FIN'!$A$1:$O$100,15,0))</f>
        <v>208.2</v>
      </c>
      <c r="Y259" s="6"/>
      <c r="Z25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59" s="6">
        <f>('TE BE'!$AA$16+'TE BF'!$AA$16+'TE CVA'!$AA$16)*(1-CUSTOS!$M$36)</f>
        <v>225.71431007120114</v>
      </c>
      <c r="AB259" s="6">
        <f t="shared" si="18"/>
        <v>0</v>
      </c>
      <c r="AC259" s="6">
        <f>(L259-M259)*(W259+X259)+($W$276+$X$276-$W$259-$X$259)*(L259)</f>
        <v>43627.870220000055</v>
      </c>
      <c r="AD259" s="6">
        <f t="shared" si="19"/>
        <v>0</v>
      </c>
      <c r="AE259" s="6">
        <f ca="1">(L259-M259)*(Z259+AA259)+($Z$276+$AA$276-$Z$259-$AA$259)*(L259)</f>
        <v>44696.888842021719</v>
      </c>
      <c r="AF259" s="4" t="s">
        <v>915</v>
      </c>
    </row>
    <row r="260" spans="1:32" ht="11.25" customHeight="1" x14ac:dyDescent="0.25">
      <c r="A260" s="4" t="s">
        <v>27</v>
      </c>
      <c r="B260" s="4" t="s">
        <v>22</v>
      </c>
      <c r="C260" s="4" t="s">
        <v>23</v>
      </c>
      <c r="D260" s="4" t="s">
        <v>24</v>
      </c>
      <c r="E260" s="4" t="s">
        <v>31</v>
      </c>
      <c r="F260" s="4" t="s">
        <v>25</v>
      </c>
      <c r="G260" s="4" t="s">
        <v>25</v>
      </c>
      <c r="H260" s="4" t="s">
        <v>25</v>
      </c>
      <c r="I260" s="5">
        <v>44409</v>
      </c>
      <c r="J260" s="6">
        <v>0</v>
      </c>
      <c r="K260" s="6">
        <v>0</v>
      </c>
      <c r="L260" s="6">
        <v>-0.48</v>
      </c>
      <c r="M260" s="6">
        <v>-0.48</v>
      </c>
      <c r="N260" s="6">
        <v>-0.48</v>
      </c>
      <c r="O260" s="6">
        <v>-0.48</v>
      </c>
      <c r="P260" s="6">
        <v>-3</v>
      </c>
      <c r="Q260" s="4" t="s">
        <v>26</v>
      </c>
      <c r="R260" s="4">
        <v>0</v>
      </c>
      <c r="S260" s="4">
        <v>0</v>
      </c>
      <c r="T260" s="4">
        <v>36</v>
      </c>
      <c r="U260" s="4">
        <v>76</v>
      </c>
      <c r="V260" s="6">
        <f>IF(ISERROR(VLOOKUP($S$260,'TAR FIN'!$A$1:$O$100,15,0)),0,VLOOKUP($S$260,'TAR FIN'!$A$1:$O$100,15,0))</f>
        <v>0</v>
      </c>
      <c r="W260" s="6">
        <f>IF(ISERROR(VLOOKUP($T$260,'TAR FIN'!$A$1:$O$100,15,0)),0,VLOOKUP($T$260,'TAR FIN'!$A$1:$O$100,15,0))</f>
        <v>221.85</v>
      </c>
      <c r="X260" s="6">
        <f>IF(ISERROR(VLOOKUP($U$260,'TAR FIN'!$A$1:$O$100,15,0)),0,VLOOKUP($U$260,'TAR FIN'!$A$1:$O$100,15,0))</f>
        <v>208.2</v>
      </c>
      <c r="Y260" s="6"/>
      <c r="Z26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0" s="6">
        <f>('TE BE'!$AA$16+'TE BF'!$AA$16+'TE CVA'!$AA$16)*(1-CUSTOS!$M$36)</f>
        <v>225.71431007120114</v>
      </c>
      <c r="AB260" s="6">
        <f t="shared" si="18"/>
        <v>0</v>
      </c>
      <c r="AC260" s="6">
        <f>(L260-M260)*(W260+X260)+($W$276+$X$276-$W$260-$X$260)*(L260)</f>
        <v>-22.934400000000029</v>
      </c>
      <c r="AD260" s="6">
        <f t="shared" si="19"/>
        <v>0</v>
      </c>
      <c r="AE260" s="6">
        <f ca="1">(L260-M260)*(Z260+AA260)+($Z$276+$AA$276-$Z$260-$AA$260)*(L260)</f>
        <v>-23.496364188516711</v>
      </c>
      <c r="AF260" s="4" t="s">
        <v>915</v>
      </c>
    </row>
    <row r="261" spans="1:32" ht="11.25" customHeight="1" x14ac:dyDescent="0.25">
      <c r="A261" s="4" t="s">
        <v>28</v>
      </c>
      <c r="B261" s="4" t="s">
        <v>22</v>
      </c>
      <c r="C261" s="4" t="s">
        <v>23</v>
      </c>
      <c r="D261" s="4" t="s">
        <v>24</v>
      </c>
      <c r="E261" s="4" t="s">
        <v>31</v>
      </c>
      <c r="F261" s="4" t="s">
        <v>25</v>
      </c>
      <c r="G261" s="4" t="s">
        <v>25</v>
      </c>
      <c r="H261" s="4" t="s">
        <v>25</v>
      </c>
      <c r="I261" s="5">
        <v>44409</v>
      </c>
      <c r="J261" s="6">
        <v>0</v>
      </c>
      <c r="K261" s="6">
        <v>0</v>
      </c>
      <c r="L261" s="6">
        <v>0.64700000000000002</v>
      </c>
      <c r="M261" s="6">
        <v>0.64700000000000002</v>
      </c>
      <c r="N261" s="6">
        <v>0.64700000000000002</v>
      </c>
      <c r="O261" s="6">
        <v>0.64700000000000002</v>
      </c>
      <c r="P261" s="6">
        <v>13</v>
      </c>
      <c r="Q261" s="4" t="s">
        <v>26</v>
      </c>
      <c r="R261" s="4">
        <v>0</v>
      </c>
      <c r="S261" s="4">
        <v>0</v>
      </c>
      <c r="T261" s="4">
        <v>36</v>
      </c>
      <c r="U261" s="4">
        <v>76</v>
      </c>
      <c r="V261" s="6">
        <f>IF(ISERROR(VLOOKUP($S$261,'TAR FIN'!$A$1:$O$100,15,0)),0,VLOOKUP($S$261,'TAR FIN'!$A$1:$O$100,15,0))</f>
        <v>0</v>
      </c>
      <c r="W261" s="6">
        <f>IF(ISERROR(VLOOKUP($T$261,'TAR FIN'!$A$1:$O$100,15,0)),0,VLOOKUP($T$261,'TAR FIN'!$A$1:$O$100,15,0))</f>
        <v>221.85</v>
      </c>
      <c r="X261" s="6">
        <f>IF(ISERROR(VLOOKUP($U$261,'TAR FIN'!$A$1:$O$100,15,0)),0,VLOOKUP($U$261,'TAR FIN'!$A$1:$O$100,15,0))</f>
        <v>208.2</v>
      </c>
      <c r="Y261" s="6"/>
      <c r="Z26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1" s="6">
        <f>('TE BE'!$AA$16+'TE BF'!$AA$16+'TE CVA'!$AA$16)*(1-CUSTOS!$M$36)</f>
        <v>225.71431007120114</v>
      </c>
      <c r="AB261" s="6">
        <f t="shared" si="18"/>
        <v>0</v>
      </c>
      <c r="AC261" s="6">
        <f>(L261-M261)*(W261+X261)+($W$276+$X$276-$W$261-$X$261)*(L261)</f>
        <v>30.913660000000039</v>
      </c>
      <c r="AD261" s="6">
        <f t="shared" si="19"/>
        <v>0</v>
      </c>
      <c r="AE261" s="6">
        <f ca="1">(L261-M261)*(Z261+AA261)+($Z$276+$AA$276-$Z$261-$AA$261)*(L261)</f>
        <v>31.671140895771487</v>
      </c>
      <c r="AF261" s="4" t="s">
        <v>915</v>
      </c>
    </row>
    <row r="262" spans="1:32" ht="11.25" customHeight="1" x14ac:dyDescent="0.25">
      <c r="A262" s="4" t="s">
        <v>21</v>
      </c>
      <c r="B262" s="4" t="s">
        <v>22</v>
      </c>
      <c r="C262" s="4" t="s">
        <v>23</v>
      </c>
      <c r="D262" s="4" t="s">
        <v>24</v>
      </c>
      <c r="E262" s="4" t="s">
        <v>31</v>
      </c>
      <c r="F262" s="4" t="s">
        <v>25</v>
      </c>
      <c r="G262" s="4" t="s">
        <v>25</v>
      </c>
      <c r="H262" s="4" t="s">
        <v>25</v>
      </c>
      <c r="I262" s="5">
        <v>44440</v>
      </c>
      <c r="J262" s="6">
        <v>0</v>
      </c>
      <c r="K262" s="6">
        <v>0</v>
      </c>
      <c r="L262" s="6">
        <v>929.56600000000003</v>
      </c>
      <c r="M262" s="6">
        <v>929.56600000000003</v>
      </c>
      <c r="N262" s="6">
        <v>929.56600000000003</v>
      </c>
      <c r="O262" s="6">
        <v>929.56600000000003</v>
      </c>
      <c r="P262" s="6">
        <v>17764</v>
      </c>
      <c r="Q262" s="4" t="s">
        <v>26</v>
      </c>
      <c r="R262" s="4">
        <v>0</v>
      </c>
      <c r="S262" s="4">
        <v>0</v>
      </c>
      <c r="T262" s="4">
        <v>36</v>
      </c>
      <c r="U262" s="4">
        <v>76</v>
      </c>
      <c r="V262" s="6">
        <f>IF(ISERROR(VLOOKUP($S$262,'TAR FIN'!$A$1:$O$100,15,0)),0,VLOOKUP($S$262,'TAR FIN'!$A$1:$O$100,15,0))</f>
        <v>0</v>
      </c>
      <c r="W262" s="6">
        <f>IF(ISERROR(VLOOKUP($T$262,'TAR FIN'!$A$1:$O$100,15,0)),0,VLOOKUP($T$262,'TAR FIN'!$A$1:$O$100,15,0))</f>
        <v>221.85</v>
      </c>
      <c r="X262" s="6">
        <f>IF(ISERROR(VLOOKUP($U$262,'TAR FIN'!$A$1:$O$100,15,0)),0,VLOOKUP($U$262,'TAR FIN'!$A$1:$O$100,15,0))</f>
        <v>208.2</v>
      </c>
      <c r="Y262" s="6"/>
      <c r="Z26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2" s="6">
        <f>('TE BE'!$AA$16+'TE BF'!$AA$16+'TE CVA'!$AA$16)*(1-CUSTOS!$M$36)</f>
        <v>225.71431007120114</v>
      </c>
      <c r="AB262" s="6">
        <f t="shared" si="18"/>
        <v>0</v>
      </c>
      <c r="AC262" s="6">
        <f>(L262-M262)*(W262+X262)+($W$276+$X$276-$W$262-$X$262)*(L262)</f>
        <v>44414.663480000054</v>
      </c>
      <c r="AD262" s="6">
        <f t="shared" si="19"/>
        <v>0</v>
      </c>
      <c r="AE262" s="6">
        <f ca="1">(L262-M262)*(Z262+AA262)+($Z$276+$AA$276-$Z$262-$AA$262)*(L262)</f>
        <v>45502.960985964019</v>
      </c>
      <c r="AF262" s="4" t="s">
        <v>915</v>
      </c>
    </row>
    <row r="263" spans="1:32" ht="11.25" customHeight="1" x14ac:dyDescent="0.25">
      <c r="A263" s="4" t="s">
        <v>27</v>
      </c>
      <c r="B263" s="4" t="s">
        <v>22</v>
      </c>
      <c r="C263" s="4" t="s">
        <v>23</v>
      </c>
      <c r="D263" s="4" t="s">
        <v>24</v>
      </c>
      <c r="E263" s="4" t="s">
        <v>31</v>
      </c>
      <c r="F263" s="4" t="s">
        <v>25</v>
      </c>
      <c r="G263" s="4" t="s">
        <v>25</v>
      </c>
      <c r="H263" s="4" t="s">
        <v>25</v>
      </c>
      <c r="I263" s="5">
        <v>44440</v>
      </c>
      <c r="J263" s="6">
        <v>0</v>
      </c>
      <c r="K263" s="6">
        <v>0</v>
      </c>
      <c r="L263" s="6">
        <v>-0.12</v>
      </c>
      <c r="M263" s="6">
        <v>-0.12</v>
      </c>
      <c r="N263" s="6">
        <v>-0.12</v>
      </c>
      <c r="O263" s="6">
        <v>-0.12</v>
      </c>
      <c r="P263" s="6">
        <v>0</v>
      </c>
      <c r="Q263" s="4" t="s">
        <v>26</v>
      </c>
      <c r="R263" s="4">
        <v>0</v>
      </c>
      <c r="S263" s="4">
        <v>0</v>
      </c>
      <c r="T263" s="4">
        <v>36</v>
      </c>
      <c r="U263" s="4">
        <v>76</v>
      </c>
      <c r="V263" s="6">
        <f>IF(ISERROR(VLOOKUP($S$263,'TAR FIN'!$A$1:$O$100,15,0)),0,VLOOKUP($S$263,'TAR FIN'!$A$1:$O$100,15,0))</f>
        <v>0</v>
      </c>
      <c r="W263" s="6">
        <f>IF(ISERROR(VLOOKUP($T$263,'TAR FIN'!$A$1:$O$100,15,0)),0,VLOOKUP($T$263,'TAR FIN'!$A$1:$O$100,15,0))</f>
        <v>221.85</v>
      </c>
      <c r="X263" s="6">
        <f>IF(ISERROR(VLOOKUP($U$263,'TAR FIN'!$A$1:$O$100,15,0)),0,VLOOKUP($U$263,'TAR FIN'!$A$1:$O$100,15,0))</f>
        <v>208.2</v>
      </c>
      <c r="Y263" s="6"/>
      <c r="Z26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3" s="6">
        <f>('TE BE'!$AA$16+'TE BF'!$AA$16+'TE CVA'!$AA$16)*(1-CUSTOS!$M$36)</f>
        <v>225.71431007120114</v>
      </c>
      <c r="AB263" s="6">
        <f t="shared" si="18"/>
        <v>0</v>
      </c>
      <c r="AC263" s="6">
        <f>(L263-M263)*(W263+X263)+($W$276+$X$276-$W$263-$X$263)*(L263)</f>
        <v>-5.7336000000000071</v>
      </c>
      <c r="AD263" s="6">
        <f t="shared" si="19"/>
        <v>0</v>
      </c>
      <c r="AE263" s="6">
        <f ca="1">(L263-M263)*(Z263+AA263)+($Z$276+$AA$276-$Z$263-$AA$263)*(L263)</f>
        <v>-5.8740910471291778</v>
      </c>
      <c r="AF263" s="4" t="s">
        <v>915</v>
      </c>
    </row>
    <row r="264" spans="1:32" ht="11.25" customHeight="1" x14ac:dyDescent="0.25">
      <c r="A264" s="4" t="s">
        <v>28</v>
      </c>
      <c r="B264" s="4" t="s">
        <v>22</v>
      </c>
      <c r="C264" s="4" t="s">
        <v>23</v>
      </c>
      <c r="D264" s="4" t="s">
        <v>24</v>
      </c>
      <c r="E264" s="4" t="s">
        <v>31</v>
      </c>
      <c r="F264" s="4" t="s">
        <v>25</v>
      </c>
      <c r="G264" s="4" t="s">
        <v>25</v>
      </c>
      <c r="H264" s="4" t="s">
        <v>25</v>
      </c>
      <c r="I264" s="5">
        <v>44440</v>
      </c>
      <c r="J264" s="6">
        <v>0</v>
      </c>
      <c r="K264" s="6">
        <v>0</v>
      </c>
      <c r="L264" s="6">
        <v>0.47599999999999998</v>
      </c>
      <c r="M264" s="6">
        <v>0.47599999999999998</v>
      </c>
      <c r="N264" s="6">
        <v>0.47599999999999998</v>
      </c>
      <c r="O264" s="6">
        <v>0.47599999999999998</v>
      </c>
      <c r="P264" s="6">
        <v>8</v>
      </c>
      <c r="Q264" s="4" t="s">
        <v>26</v>
      </c>
      <c r="R264" s="4">
        <v>0</v>
      </c>
      <c r="S264" s="4">
        <v>0</v>
      </c>
      <c r="T264" s="4">
        <v>36</v>
      </c>
      <c r="U264" s="4">
        <v>76</v>
      </c>
      <c r="V264" s="6">
        <f>IF(ISERROR(VLOOKUP($S$264,'TAR FIN'!$A$1:$O$100,15,0)),0,VLOOKUP($S$264,'TAR FIN'!$A$1:$O$100,15,0))</f>
        <v>0</v>
      </c>
      <c r="W264" s="6">
        <f>IF(ISERROR(VLOOKUP($T$264,'TAR FIN'!$A$1:$O$100,15,0)),0,VLOOKUP($T$264,'TAR FIN'!$A$1:$O$100,15,0))</f>
        <v>221.85</v>
      </c>
      <c r="X264" s="6">
        <f>IF(ISERROR(VLOOKUP($U$264,'TAR FIN'!$A$1:$O$100,15,0)),0,VLOOKUP($U$264,'TAR FIN'!$A$1:$O$100,15,0))</f>
        <v>208.2</v>
      </c>
      <c r="Y264" s="6"/>
      <c r="Z26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4" s="6">
        <f>('TE BE'!$AA$16+'TE BF'!$AA$16+'TE CVA'!$AA$16)*(1-CUSTOS!$M$36)</f>
        <v>225.71431007120114</v>
      </c>
      <c r="AB264" s="6">
        <f t="shared" si="18"/>
        <v>0</v>
      </c>
      <c r="AC264" s="6">
        <f>(L264-M264)*(W264+X264)+($W$276+$X$276-$W$264-$X$264)*(L264)</f>
        <v>22.743280000000027</v>
      </c>
      <c r="AD264" s="6">
        <f t="shared" si="19"/>
        <v>0</v>
      </c>
      <c r="AE264" s="6">
        <f ca="1">(L264-M264)*(Z264+AA264)+($Z$276+$AA$276-$Z$264-$AA$264)*(L264)</f>
        <v>23.300561153612406</v>
      </c>
      <c r="AF264" s="4" t="s">
        <v>915</v>
      </c>
    </row>
    <row r="265" spans="1:32" ht="11.25" customHeight="1" x14ac:dyDescent="0.25">
      <c r="A265" s="4" t="s">
        <v>21</v>
      </c>
      <c r="B265" s="4" t="s">
        <v>22</v>
      </c>
      <c r="C265" s="4" t="s">
        <v>23</v>
      </c>
      <c r="D265" s="4" t="s">
        <v>24</v>
      </c>
      <c r="E265" s="4" t="s">
        <v>31</v>
      </c>
      <c r="F265" s="4" t="s">
        <v>25</v>
      </c>
      <c r="G265" s="4" t="s">
        <v>25</v>
      </c>
      <c r="H265" s="4" t="s">
        <v>25</v>
      </c>
      <c r="I265" s="5">
        <v>44470</v>
      </c>
      <c r="J265" s="6">
        <v>0</v>
      </c>
      <c r="K265" s="6">
        <v>0</v>
      </c>
      <c r="L265" s="6">
        <v>1069.4159999999999</v>
      </c>
      <c r="M265" s="6">
        <v>1069.4159999999999</v>
      </c>
      <c r="N265" s="6">
        <v>1069.4159999999999</v>
      </c>
      <c r="O265" s="6">
        <v>1069.4159999999999</v>
      </c>
      <c r="P265" s="6">
        <v>19709</v>
      </c>
      <c r="Q265" s="4" t="s">
        <v>26</v>
      </c>
      <c r="R265" s="4">
        <v>0</v>
      </c>
      <c r="S265" s="4">
        <v>0</v>
      </c>
      <c r="T265" s="4">
        <v>36</v>
      </c>
      <c r="U265" s="4">
        <v>76</v>
      </c>
      <c r="V265" s="6">
        <f>IF(ISERROR(VLOOKUP($S$265,'TAR FIN'!$A$1:$O$100,15,0)),0,VLOOKUP($S$265,'TAR FIN'!$A$1:$O$100,15,0))</f>
        <v>0</v>
      </c>
      <c r="W265" s="6">
        <f>IF(ISERROR(VLOOKUP($T$265,'TAR FIN'!$A$1:$O$100,15,0)),0,VLOOKUP($T$265,'TAR FIN'!$A$1:$O$100,15,0))</f>
        <v>221.85</v>
      </c>
      <c r="X265" s="6">
        <f>IF(ISERROR(VLOOKUP($U$265,'TAR FIN'!$A$1:$O$100,15,0)),0,VLOOKUP($U$265,'TAR FIN'!$A$1:$O$100,15,0))</f>
        <v>208.2</v>
      </c>
      <c r="Y265" s="6"/>
      <c r="Z26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5" s="6">
        <f>('TE BE'!$AA$16+'TE BF'!$AA$16+'TE CVA'!$AA$16)*(1-CUSTOS!$M$36)</f>
        <v>225.71431007120114</v>
      </c>
      <c r="AB265" s="6">
        <f t="shared" si="18"/>
        <v>0</v>
      </c>
      <c r="AC265" s="6">
        <f>(L265-M265)*(W265+X265)+($W$276+$X$276-$W$265-$X$265)*(L265)</f>
        <v>51096.696480000057</v>
      </c>
      <c r="AD265" s="6">
        <f t="shared" si="19"/>
        <v>0</v>
      </c>
      <c r="AE265" s="6">
        <f ca="1">(L265-M265)*(Z265+AA265)+($Z$276+$AA$276-$Z$265-$AA$265)*(L265)</f>
        <v>52348.724593805811</v>
      </c>
      <c r="AF265" s="4" t="s">
        <v>915</v>
      </c>
    </row>
    <row r="266" spans="1:32" ht="11.25" customHeight="1" x14ac:dyDescent="0.25">
      <c r="A266" s="4" t="s">
        <v>28</v>
      </c>
      <c r="B266" s="4" t="s">
        <v>22</v>
      </c>
      <c r="C266" s="4" t="s">
        <v>23</v>
      </c>
      <c r="D266" s="4" t="s">
        <v>24</v>
      </c>
      <c r="E266" s="4" t="s">
        <v>31</v>
      </c>
      <c r="F266" s="4" t="s">
        <v>25</v>
      </c>
      <c r="G266" s="4" t="s">
        <v>25</v>
      </c>
      <c r="H266" s="4" t="s">
        <v>25</v>
      </c>
      <c r="I266" s="5">
        <v>44470</v>
      </c>
      <c r="J266" s="6">
        <v>0</v>
      </c>
      <c r="K266" s="6">
        <v>0</v>
      </c>
      <c r="L266" s="6">
        <v>0.67600000000000005</v>
      </c>
      <c r="M266" s="6">
        <v>0.67600000000000005</v>
      </c>
      <c r="N266" s="6">
        <v>0.67600000000000005</v>
      </c>
      <c r="O266" s="6">
        <v>0.67600000000000005</v>
      </c>
      <c r="P266" s="6">
        <v>14</v>
      </c>
      <c r="Q266" s="4" t="s">
        <v>26</v>
      </c>
      <c r="R266" s="4">
        <v>0</v>
      </c>
      <c r="S266" s="4">
        <v>0</v>
      </c>
      <c r="T266" s="4">
        <v>36</v>
      </c>
      <c r="U266" s="4">
        <v>76</v>
      </c>
      <c r="V266" s="6">
        <f>IF(ISERROR(VLOOKUP($S$266,'TAR FIN'!$A$1:$O$100,15,0)),0,VLOOKUP($S$266,'TAR FIN'!$A$1:$O$100,15,0))</f>
        <v>0</v>
      </c>
      <c r="W266" s="6">
        <f>IF(ISERROR(VLOOKUP($T$266,'TAR FIN'!$A$1:$O$100,15,0)),0,VLOOKUP($T$266,'TAR FIN'!$A$1:$O$100,15,0))</f>
        <v>221.85</v>
      </c>
      <c r="X266" s="6">
        <f>IF(ISERROR(VLOOKUP($U$266,'TAR FIN'!$A$1:$O$100,15,0)),0,VLOOKUP($U$266,'TAR FIN'!$A$1:$O$100,15,0))</f>
        <v>208.2</v>
      </c>
      <c r="Y266" s="6"/>
      <c r="Z266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6" s="6">
        <f>('TE BE'!$AA$16+'TE BF'!$AA$16+'TE CVA'!$AA$16)*(1-CUSTOS!$M$36)</f>
        <v>225.71431007120114</v>
      </c>
      <c r="AB266" s="6">
        <f t="shared" si="18"/>
        <v>0</v>
      </c>
      <c r="AC266" s="6">
        <f>(L266-M266)*(W266+X266)+($W$276+$X$276-$W$266-$X$266)*(L266)</f>
        <v>32.299280000000039</v>
      </c>
      <c r="AD266" s="6">
        <f t="shared" si="19"/>
        <v>0</v>
      </c>
      <c r="AE266" s="6">
        <f ca="1">(L266-M266)*(Z266+AA266)+($Z$276+$AA$276-$Z$266-$AA$266)*(L266)</f>
        <v>33.090712898827704</v>
      </c>
      <c r="AF266" s="4" t="s">
        <v>915</v>
      </c>
    </row>
    <row r="267" spans="1:32" ht="11.25" customHeight="1" x14ac:dyDescent="0.25">
      <c r="A267" s="4" t="s">
        <v>21</v>
      </c>
      <c r="B267" s="4" t="s">
        <v>22</v>
      </c>
      <c r="C267" s="4" t="s">
        <v>23</v>
      </c>
      <c r="D267" s="4" t="s">
        <v>24</v>
      </c>
      <c r="E267" s="4" t="s">
        <v>31</v>
      </c>
      <c r="F267" s="4" t="s">
        <v>25</v>
      </c>
      <c r="G267" s="4" t="s">
        <v>25</v>
      </c>
      <c r="H267" s="4" t="s">
        <v>25</v>
      </c>
      <c r="I267" s="5">
        <v>44501</v>
      </c>
      <c r="J267" s="6">
        <v>0</v>
      </c>
      <c r="K267" s="6">
        <v>0</v>
      </c>
      <c r="L267" s="6">
        <v>1095.4280000000001</v>
      </c>
      <c r="M267" s="6">
        <v>1095.4280000000001</v>
      </c>
      <c r="N267" s="6">
        <v>1095.4280000000001</v>
      </c>
      <c r="O267" s="6">
        <v>1095.4280000000001</v>
      </c>
      <c r="P267" s="6">
        <v>19840</v>
      </c>
      <c r="Q267" s="4" t="s">
        <v>26</v>
      </c>
      <c r="R267" s="4">
        <v>0</v>
      </c>
      <c r="S267" s="4">
        <v>0</v>
      </c>
      <c r="T267" s="4">
        <v>36</v>
      </c>
      <c r="U267" s="4">
        <v>76</v>
      </c>
      <c r="V267" s="6">
        <f>IF(ISERROR(VLOOKUP($S$267,'TAR FIN'!$A$1:$O$100,15,0)),0,VLOOKUP($S$267,'TAR FIN'!$A$1:$O$100,15,0))</f>
        <v>0</v>
      </c>
      <c r="W267" s="6">
        <f>IF(ISERROR(VLOOKUP($T$267,'TAR FIN'!$A$1:$O$100,15,0)),0,VLOOKUP($T$267,'TAR FIN'!$A$1:$O$100,15,0))</f>
        <v>221.85</v>
      </c>
      <c r="X267" s="6">
        <f>IF(ISERROR(VLOOKUP($U$267,'TAR FIN'!$A$1:$O$100,15,0)),0,VLOOKUP($U$267,'TAR FIN'!$A$1:$O$100,15,0))</f>
        <v>208.2</v>
      </c>
      <c r="Y267" s="6"/>
      <c r="Z267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7" s="6">
        <f>('TE BE'!$AA$16+'TE BF'!$AA$16+'TE CVA'!$AA$16)*(1-CUSTOS!$M$36)</f>
        <v>225.71431007120114</v>
      </c>
      <c r="AB267" s="6">
        <f t="shared" si="18"/>
        <v>0</v>
      </c>
      <c r="AC267" s="6">
        <f>(L267-M267)*(W267+X267)+($W$276+$X$276-$W$267-$X$267)*(L267)</f>
        <v>52339.549840000072</v>
      </c>
      <c r="AD267" s="6">
        <f t="shared" si="19"/>
        <v>0</v>
      </c>
      <c r="AE267" s="6">
        <f ca="1">(L267-M267)*(Z267+AA267)+($Z$276+$AA$276-$Z$267-$AA$267)*(L267)</f>
        <v>53622.031729788519</v>
      </c>
      <c r="AF267" s="4" t="s">
        <v>915</v>
      </c>
    </row>
    <row r="268" spans="1:32" ht="11.25" customHeight="1" x14ac:dyDescent="0.25">
      <c r="A268" s="4" t="s">
        <v>27</v>
      </c>
      <c r="B268" s="4" t="s">
        <v>22</v>
      </c>
      <c r="C268" s="4" t="s">
        <v>23</v>
      </c>
      <c r="D268" s="4" t="s">
        <v>24</v>
      </c>
      <c r="E268" s="4" t="s">
        <v>31</v>
      </c>
      <c r="F268" s="4" t="s">
        <v>25</v>
      </c>
      <c r="G268" s="4" t="s">
        <v>25</v>
      </c>
      <c r="H268" s="4" t="s">
        <v>25</v>
      </c>
      <c r="I268" s="5">
        <v>44501</v>
      </c>
      <c r="J268" s="6">
        <v>0</v>
      </c>
      <c r="K268" s="6">
        <v>0</v>
      </c>
      <c r="L268" s="6">
        <v>-0.33200000000000002</v>
      </c>
      <c r="M268" s="6">
        <v>-0.33200000000000002</v>
      </c>
      <c r="N268" s="6">
        <v>-0.33200000000000002</v>
      </c>
      <c r="O268" s="6">
        <v>-0.33200000000000002</v>
      </c>
      <c r="P268" s="6">
        <v>-3</v>
      </c>
      <c r="Q268" s="4" t="s">
        <v>26</v>
      </c>
      <c r="R268" s="4">
        <v>0</v>
      </c>
      <c r="S268" s="4">
        <v>0</v>
      </c>
      <c r="T268" s="4">
        <v>36</v>
      </c>
      <c r="U268" s="4">
        <v>76</v>
      </c>
      <c r="V268" s="6">
        <f>IF(ISERROR(VLOOKUP($S$268,'TAR FIN'!$A$1:$O$100,15,0)),0,VLOOKUP($S$268,'TAR FIN'!$A$1:$O$100,15,0))</f>
        <v>0</v>
      </c>
      <c r="W268" s="6">
        <f>IF(ISERROR(VLOOKUP($T$268,'TAR FIN'!$A$1:$O$100,15,0)),0,VLOOKUP($T$268,'TAR FIN'!$A$1:$O$100,15,0))</f>
        <v>221.85</v>
      </c>
      <c r="X268" s="6">
        <f>IF(ISERROR(VLOOKUP($U$268,'TAR FIN'!$A$1:$O$100,15,0)),0,VLOOKUP($U$268,'TAR FIN'!$A$1:$O$100,15,0))</f>
        <v>208.2</v>
      </c>
      <c r="Y268" s="6"/>
      <c r="Z268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8" s="6">
        <f>('TE BE'!$AA$16+'TE BF'!$AA$16+'TE CVA'!$AA$16)*(1-CUSTOS!$M$36)</f>
        <v>225.71431007120114</v>
      </c>
      <c r="AB268" s="6">
        <f t="shared" si="18"/>
        <v>0</v>
      </c>
      <c r="AC268" s="6">
        <f>(L268-M268)*(W268+X268)+($W$276+$X$276-$W$268-$X$268)*(L268)</f>
        <v>-15.862960000000021</v>
      </c>
      <c r="AD268" s="6">
        <f t="shared" si="19"/>
        <v>0</v>
      </c>
      <c r="AE268" s="6">
        <f ca="1">(L268-M268)*(Z268+AA268)+($Z$276+$AA$276-$Z$268-$AA$268)*(L268)</f>
        <v>-16.251651897057393</v>
      </c>
      <c r="AF268" s="4" t="s">
        <v>915</v>
      </c>
    </row>
    <row r="269" spans="1:32" ht="11.25" customHeight="1" x14ac:dyDescent="0.25">
      <c r="A269" s="4" t="s">
        <v>28</v>
      </c>
      <c r="B269" s="4" t="s">
        <v>22</v>
      </c>
      <c r="C269" s="4" t="s">
        <v>23</v>
      </c>
      <c r="D269" s="4" t="s">
        <v>24</v>
      </c>
      <c r="E269" s="4" t="s">
        <v>31</v>
      </c>
      <c r="F269" s="4" t="s">
        <v>25</v>
      </c>
      <c r="G269" s="4" t="s">
        <v>25</v>
      </c>
      <c r="H269" s="4" t="s">
        <v>25</v>
      </c>
      <c r="I269" s="5">
        <v>44501</v>
      </c>
      <c r="J269" s="6">
        <v>0</v>
      </c>
      <c r="K269" s="6">
        <v>0</v>
      </c>
      <c r="L269" s="6">
        <v>1.2170000000000001</v>
      </c>
      <c r="M269" s="6">
        <v>1.2170000000000001</v>
      </c>
      <c r="N269" s="6">
        <v>1.2170000000000001</v>
      </c>
      <c r="O269" s="6">
        <v>1.2170000000000001</v>
      </c>
      <c r="P269" s="6">
        <v>14</v>
      </c>
      <c r="Q269" s="4" t="s">
        <v>26</v>
      </c>
      <c r="R269" s="4">
        <v>0</v>
      </c>
      <c r="S269" s="4">
        <v>0</v>
      </c>
      <c r="T269" s="4">
        <v>36</v>
      </c>
      <c r="U269" s="4">
        <v>76</v>
      </c>
      <c r="V269" s="6">
        <f>IF(ISERROR(VLOOKUP($S$269,'TAR FIN'!$A$1:$O$100,15,0)),0,VLOOKUP($S$269,'TAR FIN'!$A$1:$O$100,15,0))</f>
        <v>0</v>
      </c>
      <c r="W269" s="6">
        <f>IF(ISERROR(VLOOKUP($T$269,'TAR FIN'!$A$1:$O$100,15,0)),0,VLOOKUP($T$269,'TAR FIN'!$A$1:$O$100,15,0))</f>
        <v>221.85</v>
      </c>
      <c r="X269" s="6">
        <f>IF(ISERROR(VLOOKUP($U$269,'TAR FIN'!$A$1:$O$100,15,0)),0,VLOOKUP($U$269,'TAR FIN'!$A$1:$O$100,15,0))</f>
        <v>208.2</v>
      </c>
      <c r="Y269" s="6"/>
      <c r="Z269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69" s="6">
        <f>('TE BE'!$AA$16+'TE BF'!$AA$16+'TE CVA'!$AA$16)*(1-CUSTOS!$M$36)</f>
        <v>225.71431007120114</v>
      </c>
      <c r="AB269" s="6">
        <f t="shared" si="18"/>
        <v>0</v>
      </c>
      <c r="AC269" s="6">
        <f>(L269-M269)*(W269+X269)+($W$276+$X$276-$W$269-$X$269)*(L269)</f>
        <v>58.148260000000072</v>
      </c>
      <c r="AD269" s="6">
        <f t="shared" si="19"/>
        <v>0</v>
      </c>
      <c r="AE269" s="6">
        <f ca="1">(L269-M269)*(Z269+AA269)+($Z$276+$AA$276-$Z$269-$AA$269)*(L269)</f>
        <v>59.57307336963509</v>
      </c>
      <c r="AF269" s="4" t="s">
        <v>915</v>
      </c>
    </row>
    <row r="270" spans="1:32" ht="11.25" customHeight="1" x14ac:dyDescent="0.25">
      <c r="A270" s="4" t="s">
        <v>21</v>
      </c>
      <c r="B270" s="4" t="s">
        <v>22</v>
      </c>
      <c r="C270" s="4" t="s">
        <v>23</v>
      </c>
      <c r="D270" s="4" t="s">
        <v>24</v>
      </c>
      <c r="E270" s="4" t="s">
        <v>31</v>
      </c>
      <c r="F270" s="4" t="s">
        <v>25</v>
      </c>
      <c r="G270" s="4" t="s">
        <v>25</v>
      </c>
      <c r="H270" s="4" t="s">
        <v>25</v>
      </c>
      <c r="I270" s="5">
        <v>44531</v>
      </c>
      <c r="J270" s="6">
        <v>0</v>
      </c>
      <c r="K270" s="6">
        <v>0</v>
      </c>
      <c r="L270" s="6">
        <v>1199.095</v>
      </c>
      <c r="M270" s="6">
        <v>1199.095</v>
      </c>
      <c r="N270" s="6">
        <v>1199.095</v>
      </c>
      <c r="O270" s="6">
        <v>1199.095</v>
      </c>
      <c r="P270" s="6">
        <v>20824</v>
      </c>
      <c r="Q270" s="4" t="s">
        <v>26</v>
      </c>
      <c r="R270" s="4">
        <v>0</v>
      </c>
      <c r="S270" s="4">
        <v>0</v>
      </c>
      <c r="T270" s="4">
        <v>36</v>
      </c>
      <c r="U270" s="4">
        <v>76</v>
      </c>
      <c r="V270" s="6">
        <f>IF(ISERROR(VLOOKUP($S$270,'TAR FIN'!$A$1:$O$100,15,0)),0,VLOOKUP($S$270,'TAR FIN'!$A$1:$O$100,15,0))</f>
        <v>0</v>
      </c>
      <c r="W270" s="6">
        <f>IF(ISERROR(VLOOKUP($T$270,'TAR FIN'!$A$1:$O$100,15,0)),0,VLOOKUP($T$270,'TAR FIN'!$A$1:$O$100,15,0))</f>
        <v>221.85</v>
      </c>
      <c r="X270" s="6">
        <f>IF(ISERROR(VLOOKUP($U$270,'TAR FIN'!$A$1:$O$100,15,0)),0,VLOOKUP($U$270,'TAR FIN'!$A$1:$O$100,15,0))</f>
        <v>208.2</v>
      </c>
      <c r="Y270" s="6"/>
      <c r="Z270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70" s="6">
        <f>('TE BE'!$AA$16+'TE BF'!$AA$16+'TE CVA'!$AA$16)*(1-CUSTOS!$M$36)</f>
        <v>225.71431007120114</v>
      </c>
      <c r="AB270" s="6">
        <f t="shared" si="18"/>
        <v>0</v>
      </c>
      <c r="AC270" s="6">
        <f>(L270-M270)*(W270+X270)+($W$276+$X$276-$W$270-$X$270)*(L270)</f>
        <v>57292.759100000068</v>
      </c>
      <c r="AD270" s="6">
        <f t="shared" si="19"/>
        <v>0</v>
      </c>
      <c r="AE270" s="6">
        <f ca="1">(L270-M270)*(Z270+AA270)+($Z$276+$AA$276-$Z$270-$AA$270)*(L270)</f>
        <v>58696.610034644684</v>
      </c>
      <c r="AF270" s="4" t="s">
        <v>915</v>
      </c>
    </row>
    <row r="271" spans="1:32" ht="11.25" customHeight="1" x14ac:dyDescent="0.25">
      <c r="A271" s="4" t="s">
        <v>27</v>
      </c>
      <c r="B271" s="4" t="s">
        <v>22</v>
      </c>
      <c r="C271" s="4" t="s">
        <v>23</v>
      </c>
      <c r="D271" s="4" t="s">
        <v>24</v>
      </c>
      <c r="E271" s="4" t="s">
        <v>31</v>
      </c>
      <c r="F271" s="4" t="s">
        <v>25</v>
      </c>
      <c r="G271" s="4" t="s">
        <v>25</v>
      </c>
      <c r="H271" s="4" t="s">
        <v>25</v>
      </c>
      <c r="I271" s="5">
        <v>44531</v>
      </c>
      <c r="J271" s="6">
        <v>0</v>
      </c>
      <c r="K271" s="6">
        <v>0</v>
      </c>
      <c r="L271" s="6">
        <v>-0.155</v>
      </c>
      <c r="M271" s="6">
        <v>-0.155</v>
      </c>
      <c r="N271" s="6">
        <v>-0.155</v>
      </c>
      <c r="O271" s="6">
        <v>-0.155</v>
      </c>
      <c r="P271" s="6">
        <v>-1</v>
      </c>
      <c r="Q271" s="4" t="s">
        <v>26</v>
      </c>
      <c r="R271" s="4">
        <v>0</v>
      </c>
      <c r="S271" s="4">
        <v>0</v>
      </c>
      <c r="T271" s="4">
        <v>36</v>
      </c>
      <c r="U271" s="4">
        <v>76</v>
      </c>
      <c r="V271" s="6">
        <f>IF(ISERROR(VLOOKUP($S$271,'TAR FIN'!$A$1:$O$100,15,0)),0,VLOOKUP($S$271,'TAR FIN'!$A$1:$O$100,15,0))</f>
        <v>0</v>
      </c>
      <c r="W271" s="6">
        <f>IF(ISERROR(VLOOKUP($T$271,'TAR FIN'!$A$1:$O$100,15,0)),0,VLOOKUP($T$271,'TAR FIN'!$A$1:$O$100,15,0))</f>
        <v>221.85</v>
      </c>
      <c r="X271" s="6">
        <f>IF(ISERROR(VLOOKUP($U$271,'TAR FIN'!$A$1:$O$100,15,0)),0,VLOOKUP($U$271,'TAR FIN'!$A$1:$O$100,15,0))</f>
        <v>208.2</v>
      </c>
      <c r="Y271" s="6"/>
      <c r="Z271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71" s="6">
        <f>('TE BE'!$AA$16+'TE BF'!$AA$16+'TE CVA'!$AA$16)*(1-CUSTOS!$M$36)</f>
        <v>225.71431007120114</v>
      </c>
      <c r="AB271" s="6">
        <f t="shared" si="18"/>
        <v>0</v>
      </c>
      <c r="AC271" s="6">
        <f>(L271-M271)*(W271+X271)+($W$276+$X$276-$W$271-$X$271)*(L271)</f>
        <v>-7.4059000000000088</v>
      </c>
      <c r="AD271" s="6">
        <f t="shared" si="19"/>
        <v>0</v>
      </c>
      <c r="AE271" s="6">
        <f ca="1">(L271-M271)*(Z271+AA271)+($Z$276+$AA$276-$Z$271-$AA$271)*(L271)</f>
        <v>-7.587367602541855</v>
      </c>
      <c r="AF271" s="4" t="s">
        <v>915</v>
      </c>
    </row>
    <row r="272" spans="1:32" ht="11.25" customHeight="1" x14ac:dyDescent="0.25">
      <c r="A272" s="4" t="s">
        <v>28</v>
      </c>
      <c r="B272" s="4" t="s">
        <v>22</v>
      </c>
      <c r="C272" s="4" t="s">
        <v>23</v>
      </c>
      <c r="D272" s="4" t="s">
        <v>24</v>
      </c>
      <c r="E272" s="4" t="s">
        <v>31</v>
      </c>
      <c r="F272" s="4" t="s">
        <v>25</v>
      </c>
      <c r="G272" s="4" t="s">
        <v>25</v>
      </c>
      <c r="H272" s="4" t="s">
        <v>25</v>
      </c>
      <c r="I272" s="5">
        <v>44531</v>
      </c>
      <c r="J272" s="6">
        <v>0</v>
      </c>
      <c r="K272" s="6">
        <v>0</v>
      </c>
      <c r="L272" s="6">
        <v>1.5429999999999999</v>
      </c>
      <c r="M272" s="6">
        <v>1.5429999999999999</v>
      </c>
      <c r="N272" s="6">
        <v>1.5429999999999999</v>
      </c>
      <c r="O272" s="6">
        <v>1.5429999999999999</v>
      </c>
      <c r="P272" s="6">
        <v>16</v>
      </c>
      <c r="Q272" s="4" t="s">
        <v>26</v>
      </c>
      <c r="R272" s="4">
        <v>0</v>
      </c>
      <c r="S272" s="4">
        <v>0</v>
      </c>
      <c r="T272" s="4">
        <v>36</v>
      </c>
      <c r="U272" s="4">
        <v>76</v>
      </c>
      <c r="V272" s="6">
        <f>IF(ISERROR(VLOOKUP($S$272,'TAR FIN'!$A$1:$O$100,15,0)),0,VLOOKUP($S$272,'TAR FIN'!$A$1:$O$100,15,0))</f>
        <v>0</v>
      </c>
      <c r="W272" s="6">
        <f>IF(ISERROR(VLOOKUP($T$272,'TAR FIN'!$A$1:$O$100,15,0)),0,VLOOKUP($T$272,'TAR FIN'!$A$1:$O$100,15,0))</f>
        <v>221.85</v>
      </c>
      <c r="X272" s="6">
        <f>IF(ISERROR(VLOOKUP($U$272,'TAR FIN'!$A$1:$O$100,15,0)),0,VLOOKUP($U$272,'TAR FIN'!$A$1:$O$100,15,0))</f>
        <v>208.2</v>
      </c>
      <c r="Y272" s="6"/>
      <c r="Z272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72" s="6">
        <f>('TE BE'!$AA$16+'TE BF'!$AA$16+'TE CVA'!$AA$16)*(1-CUSTOS!$M$36)</f>
        <v>225.71431007120114</v>
      </c>
      <c r="AB272" s="6">
        <f t="shared" si="18"/>
        <v>0</v>
      </c>
      <c r="AC272" s="6">
        <f>(L272-M272)*(W272+X272)+($W$276+$X$276-$W$272-$X$272)*(L272)</f>
        <v>73.72454000000009</v>
      </c>
      <c r="AD272" s="6">
        <f t="shared" si="19"/>
        <v>0</v>
      </c>
      <c r="AE272" s="6">
        <f ca="1">(L272-M272)*(Z272+AA272)+($Z$276+$AA$276-$Z$272-$AA$272)*(L272)</f>
        <v>75.531020714336009</v>
      </c>
      <c r="AF272" s="4" t="s">
        <v>915</v>
      </c>
    </row>
    <row r="273" spans="1:32" ht="11.25" customHeight="1" x14ac:dyDescent="0.25">
      <c r="A273" s="4" t="s">
        <v>55</v>
      </c>
      <c r="B273" s="4" t="s">
        <v>22</v>
      </c>
      <c r="C273" s="4" t="s">
        <v>23</v>
      </c>
      <c r="D273" s="4" t="s">
        <v>24</v>
      </c>
      <c r="E273" s="4" t="s">
        <v>31</v>
      </c>
      <c r="F273" s="4" t="s">
        <v>25</v>
      </c>
      <c r="G273" s="4" t="s">
        <v>25</v>
      </c>
      <c r="H273" s="4" t="s">
        <v>25</v>
      </c>
      <c r="I273" s="5">
        <v>44562</v>
      </c>
      <c r="J273" s="6">
        <v>0</v>
      </c>
      <c r="K273" s="6">
        <v>0</v>
      </c>
      <c r="L273" s="6">
        <v>1199.095</v>
      </c>
      <c r="M273" s="6">
        <v>1199.095</v>
      </c>
      <c r="N273" s="6">
        <v>1199.095</v>
      </c>
      <c r="O273" s="6">
        <v>1199.095</v>
      </c>
      <c r="P273" s="6">
        <v>20824</v>
      </c>
      <c r="Q273" s="4" t="s">
        <v>26</v>
      </c>
      <c r="R273" s="4">
        <v>0</v>
      </c>
      <c r="S273" s="4">
        <v>0</v>
      </c>
      <c r="T273" s="4">
        <v>36</v>
      </c>
      <c r="U273" s="4">
        <v>76</v>
      </c>
      <c r="V273" s="6">
        <f>IF(ISERROR(VLOOKUP($S$273,'TAR FIN'!$A$1:$O$100,15,0)),0,VLOOKUP($S$273,'TAR FIN'!$A$1:$O$100,15,0))</f>
        <v>0</v>
      </c>
      <c r="W273" s="6">
        <f>IF(ISERROR(VLOOKUP($T$273,'TAR FIN'!$A$1:$O$100,15,0)),0,VLOOKUP($T$273,'TAR FIN'!$A$1:$O$100,15,0))</f>
        <v>221.85</v>
      </c>
      <c r="X273" s="6">
        <f>IF(ISERROR(VLOOKUP($U$273,'TAR FIN'!$A$1:$O$100,15,0)),0,VLOOKUP($U$273,'TAR FIN'!$A$1:$O$100,15,0))</f>
        <v>208.2</v>
      </c>
      <c r="Y273" s="6"/>
      <c r="Z273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73" s="6">
        <f>('TE BE'!$AA$16+'TE BF'!$AA$16+'TE CVA'!$AA$16)*(1-CUSTOS!$M$36)</f>
        <v>225.71431007120114</v>
      </c>
      <c r="AB273" s="6">
        <f t="shared" si="18"/>
        <v>0</v>
      </c>
      <c r="AC273" s="6">
        <f>(L273-M273)*(W273+X273)+($W$276+$X$276-$W$273-$X$273)*(L273)</f>
        <v>57292.759100000068</v>
      </c>
      <c r="AD273" s="6">
        <f t="shared" si="19"/>
        <v>0</v>
      </c>
      <c r="AE273" s="6">
        <f ca="1">(L273-M273)*(Z273+AA273)+($Z$276+$AA$276-$Z$273-$AA$273)*(L273)</f>
        <v>58696.610034644684</v>
      </c>
      <c r="AF273" s="4" t="s">
        <v>915</v>
      </c>
    </row>
    <row r="274" spans="1:32" ht="11.25" customHeight="1" x14ac:dyDescent="0.25">
      <c r="A274" s="4" t="s">
        <v>55</v>
      </c>
      <c r="B274" s="4" t="s">
        <v>22</v>
      </c>
      <c r="C274" s="4" t="s">
        <v>23</v>
      </c>
      <c r="D274" s="4" t="s">
        <v>24</v>
      </c>
      <c r="E274" s="4" t="s">
        <v>31</v>
      </c>
      <c r="F274" s="4" t="s">
        <v>25</v>
      </c>
      <c r="G274" s="4" t="s">
        <v>25</v>
      </c>
      <c r="H274" s="4" t="s">
        <v>25</v>
      </c>
      <c r="I274" s="5">
        <v>44562</v>
      </c>
      <c r="J274" s="6">
        <v>0</v>
      </c>
      <c r="K274" s="6">
        <v>0</v>
      </c>
      <c r="L274" s="6">
        <v>-0.155</v>
      </c>
      <c r="M274" s="6">
        <v>-0.155</v>
      </c>
      <c r="N274" s="6">
        <v>-0.155</v>
      </c>
      <c r="O274" s="6">
        <v>-0.155</v>
      </c>
      <c r="P274" s="6">
        <v>-1</v>
      </c>
      <c r="Q274" s="4" t="s">
        <v>26</v>
      </c>
      <c r="R274" s="4">
        <v>0</v>
      </c>
      <c r="S274" s="4">
        <v>0</v>
      </c>
      <c r="T274" s="4">
        <v>36</v>
      </c>
      <c r="U274" s="4">
        <v>76</v>
      </c>
      <c r="V274" s="6">
        <f>IF(ISERROR(VLOOKUP($S$274,'TAR FIN'!$A$1:$O$100,15,0)),0,VLOOKUP($S$274,'TAR FIN'!$A$1:$O$100,15,0))</f>
        <v>0</v>
      </c>
      <c r="W274" s="6">
        <f>IF(ISERROR(VLOOKUP($T$274,'TAR FIN'!$A$1:$O$100,15,0)),0,VLOOKUP($T$274,'TAR FIN'!$A$1:$O$100,15,0))</f>
        <v>221.85</v>
      </c>
      <c r="X274" s="6">
        <f>IF(ISERROR(VLOOKUP($U$274,'TAR FIN'!$A$1:$O$100,15,0)),0,VLOOKUP($U$274,'TAR FIN'!$A$1:$O$100,15,0))</f>
        <v>208.2</v>
      </c>
      <c r="Y274" s="6"/>
      <c r="Z274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74" s="6">
        <f>('TE BE'!$AA$16+'TE BF'!$AA$16+'TE CVA'!$AA$16)*(1-CUSTOS!$M$36)</f>
        <v>225.71431007120114</v>
      </c>
      <c r="AB274" s="6">
        <f t="shared" si="18"/>
        <v>0</v>
      </c>
      <c r="AC274" s="6">
        <f>(L274-M274)*(W274+X274)+($W$276+$X$276-$W$274-$X$274)*(L274)</f>
        <v>-7.4059000000000088</v>
      </c>
      <c r="AD274" s="6">
        <f t="shared" si="19"/>
        <v>0</v>
      </c>
      <c r="AE274" s="6">
        <f ca="1">(L274-M274)*(Z274+AA274)+($Z$276+$AA$276-$Z$274-$AA$274)*(L274)</f>
        <v>-7.587367602541855</v>
      </c>
      <c r="AF274" s="4" t="s">
        <v>915</v>
      </c>
    </row>
    <row r="275" spans="1:32" ht="11.25" customHeight="1" x14ac:dyDescent="0.25">
      <c r="A275" s="4" t="s">
        <v>55</v>
      </c>
      <c r="B275" s="4" t="s">
        <v>22</v>
      </c>
      <c r="C275" s="4" t="s">
        <v>23</v>
      </c>
      <c r="D275" s="4" t="s">
        <v>24</v>
      </c>
      <c r="E275" s="4" t="s">
        <v>31</v>
      </c>
      <c r="F275" s="4" t="s">
        <v>25</v>
      </c>
      <c r="G275" s="4" t="s">
        <v>25</v>
      </c>
      <c r="H275" s="4" t="s">
        <v>25</v>
      </c>
      <c r="I275" s="5">
        <v>44562</v>
      </c>
      <c r="J275" s="6">
        <v>0</v>
      </c>
      <c r="K275" s="6">
        <v>0</v>
      </c>
      <c r="L275" s="6">
        <v>1.5429999999999999</v>
      </c>
      <c r="M275" s="6">
        <v>1.5429999999999999</v>
      </c>
      <c r="N275" s="6">
        <v>1.5429999999999999</v>
      </c>
      <c r="O275" s="6">
        <v>1.5429999999999999</v>
      </c>
      <c r="P275" s="6">
        <v>16</v>
      </c>
      <c r="Q275" s="4" t="s">
        <v>26</v>
      </c>
      <c r="R275" s="4">
        <v>0</v>
      </c>
      <c r="S275" s="4">
        <v>0</v>
      </c>
      <c r="T275" s="4">
        <v>36</v>
      </c>
      <c r="U275" s="4">
        <v>76</v>
      </c>
      <c r="V275" s="6">
        <f>IF(ISERROR(VLOOKUP($S$275,'TAR FIN'!$A$1:$O$100,15,0)),0,VLOOKUP($S$275,'TAR FIN'!$A$1:$O$100,15,0))</f>
        <v>0</v>
      </c>
      <c r="W275" s="6">
        <f>IF(ISERROR(VLOOKUP($T$275,'TAR FIN'!$A$1:$O$100,15,0)),0,VLOOKUP($T$275,'TAR FIN'!$A$1:$O$100,15,0))</f>
        <v>221.85</v>
      </c>
      <c r="X275" s="6">
        <f>IF(ISERROR(VLOOKUP($U$275,'TAR FIN'!$A$1:$O$100,15,0)),0,VLOOKUP($U$275,'TAR FIN'!$A$1:$O$100,15,0))</f>
        <v>208.2</v>
      </c>
      <c r="Y275" s="6"/>
      <c r="Z275" s="6">
        <f ca="1">('TUSD BE'!$AM$33+'TUSD BF'!$AM$33+'TUSD CVA'!$AM$33-('TUSD BE'!$P$33+'TUSD BF'!$P$33+'TUSD CVA'!$P$33)-('TUSD BE'!$Q$33+'TUSD BF'!$Q$33+'TUSD CVA'!$Q$33)-('TUSD BE'!$R$33+'TUSD BF'!$R$33+'TUSD CVA'!$R$33))*(1-CUSTOS!$M$36)</f>
        <v>214.84251846348707</v>
      </c>
      <c r="AA275" s="6">
        <f>('TE BE'!$AA$16+'TE BF'!$AA$16+'TE CVA'!$AA$16)*(1-CUSTOS!$M$36)</f>
        <v>225.71431007120114</v>
      </c>
      <c r="AB275" s="6">
        <f t="shared" si="18"/>
        <v>0</v>
      </c>
      <c r="AC275" s="6">
        <f>(L275-M275)*(W275+X275)+($W$276+$X$276-$W$275-$X$275)*(L275)</f>
        <v>73.72454000000009</v>
      </c>
      <c r="AD275" s="6">
        <f t="shared" si="19"/>
        <v>0</v>
      </c>
      <c r="AE275" s="6">
        <f ca="1">(L275-M275)*(Z275+AA275)+($Z$276+$AA$276-$Z$275-$AA$275)*(L275)</f>
        <v>75.531020714336009</v>
      </c>
      <c r="AF275" s="4" t="s">
        <v>915</v>
      </c>
    </row>
    <row r="276" spans="1:32" ht="11.25" customHeight="1" x14ac:dyDescent="0.25">
      <c r="A276" s="4" t="s">
        <v>21</v>
      </c>
      <c r="B276" s="4" t="s">
        <v>22</v>
      </c>
      <c r="C276" s="4" t="s">
        <v>23</v>
      </c>
      <c r="D276" s="4" t="s">
        <v>24</v>
      </c>
      <c r="E276" s="4" t="s">
        <v>32</v>
      </c>
      <c r="F276" s="4" t="s">
        <v>25</v>
      </c>
      <c r="G276" s="4" t="s">
        <v>25</v>
      </c>
      <c r="H276" s="4" t="s">
        <v>25</v>
      </c>
      <c r="I276" s="5">
        <v>44228</v>
      </c>
      <c r="J276" s="6">
        <v>0</v>
      </c>
      <c r="K276" s="6">
        <v>0</v>
      </c>
      <c r="L276" s="6">
        <v>229.078</v>
      </c>
      <c r="M276" s="6">
        <v>229.078</v>
      </c>
      <c r="N276" s="6">
        <v>229.078</v>
      </c>
      <c r="O276" s="6">
        <v>229.078</v>
      </c>
      <c r="P276" s="6">
        <v>2614</v>
      </c>
      <c r="Q276" s="4" t="s">
        <v>26</v>
      </c>
      <c r="R276" s="4">
        <v>0</v>
      </c>
      <c r="S276" s="4">
        <v>0</v>
      </c>
      <c r="T276" s="4">
        <v>37</v>
      </c>
      <c r="U276" s="4">
        <v>77</v>
      </c>
      <c r="V276" s="6">
        <f>IF(ISERROR(VLOOKUP($S$276,'TAR FIN'!$A$1:$O$100,15,0)),0,VLOOKUP($S$276,'TAR FIN'!$A$1:$O$100,15,0))</f>
        <v>0</v>
      </c>
      <c r="W276" s="6">
        <f>IF(ISERROR(VLOOKUP($T$276,'TAR FIN'!$A$1:$O$100,15,0)),0,VLOOKUP($T$276,'TAR FIN'!$A$1:$O$100,15,0))</f>
        <v>246.5</v>
      </c>
      <c r="X276" s="6">
        <f>IF(ISERROR(VLOOKUP($U$276,'TAR FIN'!$A$1:$O$100,15,0)),0,VLOOKUP($U$276,'TAR FIN'!$A$1:$O$100,15,0))</f>
        <v>231.33</v>
      </c>
      <c r="Y276" s="6"/>
      <c r="Z27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76" s="6">
        <f>('TE BE'!$AA$17+'TE BF'!$AA$17+'TE CVA'!$AA$17)*(1-CUSTOS!$M$37)</f>
        <v>250.79367785689016</v>
      </c>
      <c r="AB276" s="6">
        <f t="shared" si="18"/>
        <v>0</v>
      </c>
      <c r="AC276" s="6">
        <f>(L276-M276)*(W276+X276)+($W$276+$X$276-$W$276-$X$276)*(L276)</f>
        <v>6.5107883528980893E-12</v>
      </c>
      <c r="AD276" s="6">
        <f t="shared" si="19"/>
        <v>0</v>
      </c>
      <c r="AE276" s="6">
        <f ca="1">(L276-M276)*(Z276+AA276)+($Z$276+$AA$276-$Z$276-$AA$276)*(L276)</f>
        <v>6.5107883528980893E-12</v>
      </c>
      <c r="AF276" s="4" t="s">
        <v>915</v>
      </c>
    </row>
    <row r="277" spans="1:32" ht="11.25" customHeight="1" x14ac:dyDescent="0.25">
      <c r="A277" s="4" t="s">
        <v>28</v>
      </c>
      <c r="B277" s="4" t="s">
        <v>22</v>
      </c>
      <c r="C277" s="4" t="s">
        <v>23</v>
      </c>
      <c r="D277" s="4" t="s">
        <v>24</v>
      </c>
      <c r="E277" s="4" t="s">
        <v>32</v>
      </c>
      <c r="F277" s="4" t="s">
        <v>25</v>
      </c>
      <c r="G277" s="4" t="s">
        <v>25</v>
      </c>
      <c r="H277" s="4" t="s">
        <v>25</v>
      </c>
      <c r="I277" s="5">
        <v>44228</v>
      </c>
      <c r="J277" s="6">
        <v>0</v>
      </c>
      <c r="K277" s="6">
        <v>0</v>
      </c>
      <c r="L277" s="6">
        <v>1.423</v>
      </c>
      <c r="M277" s="6">
        <v>1.423</v>
      </c>
      <c r="N277" s="6">
        <v>1.423</v>
      </c>
      <c r="O277" s="6">
        <v>1.423</v>
      </c>
      <c r="P277" s="6">
        <v>6</v>
      </c>
      <c r="Q277" s="4" t="s">
        <v>26</v>
      </c>
      <c r="R277" s="4">
        <v>0</v>
      </c>
      <c r="S277" s="4">
        <v>0</v>
      </c>
      <c r="T277" s="4">
        <v>37</v>
      </c>
      <c r="U277" s="4">
        <v>77</v>
      </c>
      <c r="V277" s="6">
        <f>IF(ISERROR(VLOOKUP($S$277,'TAR FIN'!$A$1:$O$100,15,0)),0,VLOOKUP($S$277,'TAR FIN'!$A$1:$O$100,15,0))</f>
        <v>0</v>
      </c>
      <c r="W277" s="6">
        <f>IF(ISERROR(VLOOKUP($T$277,'TAR FIN'!$A$1:$O$100,15,0)),0,VLOOKUP($T$277,'TAR FIN'!$A$1:$O$100,15,0))</f>
        <v>246.5</v>
      </c>
      <c r="X277" s="6">
        <f>IF(ISERROR(VLOOKUP($U$277,'TAR FIN'!$A$1:$O$100,15,0)),0,VLOOKUP($U$277,'TAR FIN'!$A$1:$O$100,15,0))</f>
        <v>231.33</v>
      </c>
      <c r="Y277" s="6"/>
      <c r="Z27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77" s="6">
        <f>('TE BE'!$AA$17+'TE BF'!$AA$17+'TE CVA'!$AA$17)*(1-CUSTOS!$M$37)</f>
        <v>250.79367785689016</v>
      </c>
      <c r="AB277" s="6">
        <f t="shared" si="18"/>
        <v>0</v>
      </c>
      <c r="AC277" s="6">
        <f>(L277-M277)*(W277+X277)+($W$276+$X$276-$W$277-$X$277)*(L277)</f>
        <v>4.0444092519464904E-14</v>
      </c>
      <c r="AD277" s="6">
        <f t="shared" si="19"/>
        <v>0</v>
      </c>
      <c r="AE277" s="6">
        <f ca="1">(L277-M277)*(Z277+AA277)+($Z$276+$AA$276-$Z$277-$AA$277)*(L277)</f>
        <v>4.0444092519464904E-14</v>
      </c>
      <c r="AF277" s="4" t="s">
        <v>915</v>
      </c>
    </row>
    <row r="278" spans="1:32" ht="11.25" customHeight="1" x14ac:dyDescent="0.25">
      <c r="A278" s="4" t="s">
        <v>21</v>
      </c>
      <c r="B278" s="4" t="s">
        <v>22</v>
      </c>
      <c r="C278" s="4" t="s">
        <v>23</v>
      </c>
      <c r="D278" s="4" t="s">
        <v>24</v>
      </c>
      <c r="E278" s="4" t="s">
        <v>32</v>
      </c>
      <c r="F278" s="4" t="s">
        <v>25</v>
      </c>
      <c r="G278" s="4" t="s">
        <v>25</v>
      </c>
      <c r="H278" s="4" t="s">
        <v>25</v>
      </c>
      <c r="I278" s="5">
        <v>44256</v>
      </c>
      <c r="J278" s="6">
        <v>0</v>
      </c>
      <c r="K278" s="6">
        <v>0</v>
      </c>
      <c r="L278" s="6">
        <v>288.39699999999999</v>
      </c>
      <c r="M278" s="6">
        <v>288.39699999999999</v>
      </c>
      <c r="N278" s="6">
        <v>288.39699999999999</v>
      </c>
      <c r="O278" s="6">
        <v>288.39699999999999</v>
      </c>
      <c r="P278" s="6">
        <v>3227</v>
      </c>
      <c r="Q278" s="4" t="s">
        <v>26</v>
      </c>
      <c r="R278" s="4">
        <v>0</v>
      </c>
      <c r="S278" s="4">
        <v>0</v>
      </c>
      <c r="T278" s="4">
        <v>37</v>
      </c>
      <c r="U278" s="4">
        <v>77</v>
      </c>
      <c r="V278" s="6">
        <f>IF(ISERROR(VLOOKUP($S$278,'TAR FIN'!$A$1:$O$100,15,0)),0,VLOOKUP($S$278,'TAR FIN'!$A$1:$O$100,15,0))</f>
        <v>0</v>
      </c>
      <c r="W278" s="6">
        <f>IF(ISERROR(VLOOKUP($T$278,'TAR FIN'!$A$1:$O$100,15,0)),0,VLOOKUP($T$278,'TAR FIN'!$A$1:$O$100,15,0))</f>
        <v>246.5</v>
      </c>
      <c r="X278" s="6">
        <f>IF(ISERROR(VLOOKUP($U$278,'TAR FIN'!$A$1:$O$100,15,0)),0,VLOOKUP($U$278,'TAR FIN'!$A$1:$O$100,15,0))</f>
        <v>231.33</v>
      </c>
      <c r="Y278" s="6"/>
      <c r="Z27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78" s="6">
        <f>('TE BE'!$AA$17+'TE BF'!$AA$17+'TE CVA'!$AA$17)*(1-CUSTOS!$M$37)</f>
        <v>250.79367785689016</v>
      </c>
      <c r="AB278" s="6">
        <f t="shared" si="18"/>
        <v>0</v>
      </c>
      <c r="AC278" s="6">
        <f>(L278-M278)*(W278+X278)+($W$276+$X$276-$W$278-$X$278)*(L278)</f>
        <v>8.1967357346002243E-12</v>
      </c>
      <c r="AD278" s="6">
        <f t="shared" si="19"/>
        <v>0</v>
      </c>
      <c r="AE278" s="6">
        <f ca="1">(L278-M278)*(Z278+AA278)+($Z$276+$AA$276-$Z$278-$AA$278)*(L278)</f>
        <v>8.1967357346002243E-12</v>
      </c>
      <c r="AF278" s="4" t="s">
        <v>915</v>
      </c>
    </row>
    <row r="279" spans="1:32" ht="11.25" customHeight="1" x14ac:dyDescent="0.25">
      <c r="A279" s="4" t="s">
        <v>27</v>
      </c>
      <c r="B279" s="4" t="s">
        <v>22</v>
      </c>
      <c r="C279" s="4" t="s">
        <v>23</v>
      </c>
      <c r="D279" s="4" t="s">
        <v>24</v>
      </c>
      <c r="E279" s="4" t="s">
        <v>32</v>
      </c>
      <c r="F279" s="4" t="s">
        <v>25</v>
      </c>
      <c r="G279" s="4" t="s">
        <v>25</v>
      </c>
      <c r="H279" s="4" t="s">
        <v>25</v>
      </c>
      <c r="I279" s="5">
        <v>44256</v>
      </c>
      <c r="J279" s="6">
        <v>0</v>
      </c>
      <c r="K279" s="6">
        <v>0</v>
      </c>
      <c r="L279" s="6">
        <v>-0.627</v>
      </c>
      <c r="M279" s="6">
        <v>-0.627</v>
      </c>
      <c r="N279" s="6">
        <v>-0.627</v>
      </c>
      <c r="O279" s="6">
        <v>-0.627</v>
      </c>
      <c r="P279" s="6">
        <v>-3</v>
      </c>
      <c r="Q279" s="4" t="s">
        <v>26</v>
      </c>
      <c r="R279" s="4">
        <v>0</v>
      </c>
      <c r="S279" s="4">
        <v>0</v>
      </c>
      <c r="T279" s="4">
        <v>37</v>
      </c>
      <c r="U279" s="4">
        <v>77</v>
      </c>
      <c r="V279" s="6">
        <f>IF(ISERROR(VLOOKUP($S$279,'TAR FIN'!$A$1:$O$100,15,0)),0,VLOOKUP($S$279,'TAR FIN'!$A$1:$O$100,15,0))</f>
        <v>0</v>
      </c>
      <c r="W279" s="6">
        <f>IF(ISERROR(VLOOKUP($T$279,'TAR FIN'!$A$1:$O$100,15,0)),0,VLOOKUP($T$279,'TAR FIN'!$A$1:$O$100,15,0))</f>
        <v>246.5</v>
      </c>
      <c r="X279" s="6">
        <f>IF(ISERROR(VLOOKUP($U$279,'TAR FIN'!$A$1:$O$100,15,0)),0,VLOOKUP($U$279,'TAR FIN'!$A$1:$O$100,15,0))</f>
        <v>231.33</v>
      </c>
      <c r="Y279" s="6"/>
      <c r="Z279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79" s="6">
        <f>('TE BE'!$AA$17+'TE BF'!$AA$17+'TE CVA'!$AA$17)*(1-CUSTOS!$M$37)</f>
        <v>250.79367785689016</v>
      </c>
      <c r="AB279" s="6">
        <f t="shared" si="18"/>
        <v>0</v>
      </c>
      <c r="AC279" s="6">
        <f>(L279-M279)*(W279+X279)+($W$276+$X$276-$W$279-$X$279)*(L279)</f>
        <v>-1.7820411812863313E-14</v>
      </c>
      <c r="AD279" s="6">
        <f t="shared" si="19"/>
        <v>0</v>
      </c>
      <c r="AE279" s="6">
        <f ca="1">(L279-M279)*(Z279+AA279)+($Z$276+$AA$276-$Z$279-$AA$279)*(L279)</f>
        <v>-1.7820411812863313E-14</v>
      </c>
      <c r="AF279" s="4" t="s">
        <v>915</v>
      </c>
    </row>
    <row r="280" spans="1:32" ht="11.25" customHeight="1" x14ac:dyDescent="0.25">
      <c r="A280" s="4" t="s">
        <v>28</v>
      </c>
      <c r="B280" s="4" t="s">
        <v>22</v>
      </c>
      <c r="C280" s="4" t="s">
        <v>23</v>
      </c>
      <c r="D280" s="4" t="s">
        <v>24</v>
      </c>
      <c r="E280" s="4" t="s">
        <v>32</v>
      </c>
      <c r="F280" s="4" t="s">
        <v>25</v>
      </c>
      <c r="G280" s="4" t="s">
        <v>25</v>
      </c>
      <c r="H280" s="4" t="s">
        <v>25</v>
      </c>
      <c r="I280" s="5">
        <v>44256</v>
      </c>
      <c r="J280" s="6">
        <v>0</v>
      </c>
      <c r="K280" s="6">
        <v>0</v>
      </c>
      <c r="L280" s="6">
        <v>1.5620000000000001</v>
      </c>
      <c r="M280" s="6">
        <v>1.5620000000000001</v>
      </c>
      <c r="N280" s="6">
        <v>1.5620000000000001</v>
      </c>
      <c r="O280" s="6">
        <v>1.5620000000000001</v>
      </c>
      <c r="P280" s="6">
        <v>6</v>
      </c>
      <c r="Q280" s="4" t="s">
        <v>26</v>
      </c>
      <c r="R280" s="4">
        <v>0</v>
      </c>
      <c r="S280" s="4">
        <v>0</v>
      </c>
      <c r="T280" s="4">
        <v>37</v>
      </c>
      <c r="U280" s="4">
        <v>77</v>
      </c>
      <c r="V280" s="6">
        <f>IF(ISERROR(VLOOKUP($S$280,'TAR FIN'!$A$1:$O$100,15,0)),0,VLOOKUP($S$280,'TAR FIN'!$A$1:$O$100,15,0))</f>
        <v>0</v>
      </c>
      <c r="W280" s="6">
        <f>IF(ISERROR(VLOOKUP($T$280,'TAR FIN'!$A$1:$O$100,15,0)),0,VLOOKUP($T$280,'TAR FIN'!$A$1:$O$100,15,0))</f>
        <v>246.5</v>
      </c>
      <c r="X280" s="6">
        <f>IF(ISERROR(VLOOKUP($U$280,'TAR FIN'!$A$1:$O$100,15,0)),0,VLOOKUP($U$280,'TAR FIN'!$A$1:$O$100,15,0))</f>
        <v>231.33</v>
      </c>
      <c r="Y280" s="6"/>
      <c r="Z280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0" s="6">
        <f>('TE BE'!$AA$17+'TE BF'!$AA$17+'TE CVA'!$AA$17)*(1-CUSTOS!$M$37)</f>
        <v>250.79367785689016</v>
      </c>
      <c r="AB280" s="6">
        <f t="shared" si="18"/>
        <v>0</v>
      </c>
      <c r="AC280" s="6">
        <f>(L280-M280)*(W280+X280)+($W$276+$X$276-$W$280-$X$280)*(L280)</f>
        <v>4.4394710130291061E-14</v>
      </c>
      <c r="AD280" s="6">
        <f t="shared" si="19"/>
        <v>0</v>
      </c>
      <c r="AE280" s="6">
        <f ca="1">(L280-M280)*(Z280+AA280)+($Z$276+$AA$276-$Z$280-$AA$280)*(L280)</f>
        <v>4.4394710130291061E-14</v>
      </c>
      <c r="AF280" s="4" t="s">
        <v>915</v>
      </c>
    </row>
    <row r="281" spans="1:32" ht="11.25" customHeight="1" x14ac:dyDescent="0.25">
      <c r="A281" s="4" t="s">
        <v>21</v>
      </c>
      <c r="B281" s="4" t="s">
        <v>22</v>
      </c>
      <c r="C281" s="4" t="s">
        <v>23</v>
      </c>
      <c r="D281" s="4" t="s">
        <v>24</v>
      </c>
      <c r="E281" s="4" t="s">
        <v>32</v>
      </c>
      <c r="F281" s="4" t="s">
        <v>25</v>
      </c>
      <c r="G281" s="4" t="s">
        <v>25</v>
      </c>
      <c r="H281" s="4" t="s">
        <v>25</v>
      </c>
      <c r="I281" s="5">
        <v>44287</v>
      </c>
      <c r="J281" s="6">
        <v>0</v>
      </c>
      <c r="K281" s="6">
        <v>0</v>
      </c>
      <c r="L281" s="6">
        <v>290.33600000000001</v>
      </c>
      <c r="M281" s="6">
        <v>290.33600000000001</v>
      </c>
      <c r="N281" s="6">
        <v>290.33600000000001</v>
      </c>
      <c r="O281" s="6">
        <v>290.33600000000001</v>
      </c>
      <c r="P281" s="6">
        <v>3403</v>
      </c>
      <c r="Q281" s="4" t="s">
        <v>26</v>
      </c>
      <c r="R281" s="4">
        <v>0</v>
      </c>
      <c r="S281" s="4">
        <v>0</v>
      </c>
      <c r="T281" s="4">
        <v>37</v>
      </c>
      <c r="U281" s="4">
        <v>77</v>
      </c>
      <c r="V281" s="6">
        <f>IF(ISERROR(VLOOKUP($S$281,'TAR FIN'!$A$1:$O$100,15,0)),0,VLOOKUP($S$281,'TAR FIN'!$A$1:$O$100,15,0))</f>
        <v>0</v>
      </c>
      <c r="W281" s="6">
        <f>IF(ISERROR(VLOOKUP($T$281,'TAR FIN'!$A$1:$O$100,15,0)),0,VLOOKUP($T$281,'TAR FIN'!$A$1:$O$100,15,0))</f>
        <v>246.5</v>
      </c>
      <c r="X281" s="6">
        <f>IF(ISERROR(VLOOKUP($U$281,'TAR FIN'!$A$1:$O$100,15,0)),0,VLOOKUP($U$281,'TAR FIN'!$A$1:$O$100,15,0))</f>
        <v>231.33</v>
      </c>
      <c r="Y281" s="6"/>
      <c r="Z281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1" s="6">
        <f>('TE BE'!$AA$17+'TE BF'!$AA$17+'TE CVA'!$AA$17)*(1-CUSTOS!$M$37)</f>
        <v>250.79367785689016</v>
      </c>
      <c r="AB281" s="6">
        <f t="shared" si="18"/>
        <v>0</v>
      </c>
      <c r="AC281" s="6">
        <f>(L281-M281)*(W281+X281)+($W$276+$X$276-$W$281-$X$281)*(L281)</f>
        <v>8.2518454291857783E-12</v>
      </c>
      <c r="AD281" s="6">
        <f t="shared" si="19"/>
        <v>0</v>
      </c>
      <c r="AE281" s="6">
        <f ca="1">(L281-M281)*(Z281+AA281)+($Z$276+$AA$276-$Z$281-$AA$281)*(L281)</f>
        <v>8.2518454291857783E-12</v>
      </c>
      <c r="AF281" s="4" t="s">
        <v>915</v>
      </c>
    </row>
    <row r="282" spans="1:32" ht="11.25" customHeight="1" x14ac:dyDescent="0.25">
      <c r="A282" s="4" t="s">
        <v>28</v>
      </c>
      <c r="B282" s="4" t="s">
        <v>22</v>
      </c>
      <c r="C282" s="4" t="s">
        <v>23</v>
      </c>
      <c r="D282" s="4" t="s">
        <v>24</v>
      </c>
      <c r="E282" s="4" t="s">
        <v>32</v>
      </c>
      <c r="F282" s="4" t="s">
        <v>25</v>
      </c>
      <c r="G282" s="4" t="s">
        <v>25</v>
      </c>
      <c r="H282" s="4" t="s">
        <v>25</v>
      </c>
      <c r="I282" s="5">
        <v>44287</v>
      </c>
      <c r="J282" s="6">
        <v>0</v>
      </c>
      <c r="K282" s="6">
        <v>0</v>
      </c>
      <c r="L282" s="6">
        <v>1.69</v>
      </c>
      <c r="M282" s="6">
        <v>1.69</v>
      </c>
      <c r="N282" s="6">
        <v>1.69</v>
      </c>
      <c r="O282" s="6">
        <v>1.69</v>
      </c>
      <c r="P282" s="6">
        <v>7</v>
      </c>
      <c r="Q282" s="4" t="s">
        <v>26</v>
      </c>
      <c r="R282" s="4">
        <v>0</v>
      </c>
      <c r="S282" s="4">
        <v>0</v>
      </c>
      <c r="T282" s="4">
        <v>37</v>
      </c>
      <c r="U282" s="4">
        <v>77</v>
      </c>
      <c r="V282" s="6">
        <f>IF(ISERROR(VLOOKUP($S$282,'TAR FIN'!$A$1:$O$100,15,0)),0,VLOOKUP($S$282,'TAR FIN'!$A$1:$O$100,15,0))</f>
        <v>0</v>
      </c>
      <c r="W282" s="6">
        <f>IF(ISERROR(VLOOKUP($T$282,'TAR FIN'!$A$1:$O$100,15,0)),0,VLOOKUP($T$282,'TAR FIN'!$A$1:$O$100,15,0))</f>
        <v>246.5</v>
      </c>
      <c r="X282" s="6">
        <f>IF(ISERROR(VLOOKUP($U$282,'TAR FIN'!$A$1:$O$100,15,0)),0,VLOOKUP($U$282,'TAR FIN'!$A$1:$O$100,15,0))</f>
        <v>231.33</v>
      </c>
      <c r="Y282" s="6"/>
      <c r="Z282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2" s="6">
        <f>('TE BE'!$AA$17+'TE BF'!$AA$17+'TE CVA'!$AA$17)*(1-CUSTOS!$M$37)</f>
        <v>250.79367785689016</v>
      </c>
      <c r="AB282" s="6">
        <f t="shared" si="18"/>
        <v>0</v>
      </c>
      <c r="AC282" s="6">
        <f>(L282-M282)*(W282+X282)+($W$276+$X$276-$W$282-$X$282)*(L282)</f>
        <v>4.8032688937382771E-14</v>
      </c>
      <c r="AD282" s="6">
        <f t="shared" si="19"/>
        <v>0</v>
      </c>
      <c r="AE282" s="6">
        <f ca="1">(L282-M282)*(Z282+AA282)+($Z$276+$AA$276-$Z$282-$AA$282)*(L282)</f>
        <v>4.8032688937382771E-14</v>
      </c>
      <c r="AF282" s="4" t="s">
        <v>915</v>
      </c>
    </row>
    <row r="283" spans="1:32" ht="11.25" customHeight="1" x14ac:dyDescent="0.25">
      <c r="A283" s="4" t="s">
        <v>21</v>
      </c>
      <c r="B283" s="4" t="s">
        <v>22</v>
      </c>
      <c r="C283" s="4" t="s">
        <v>23</v>
      </c>
      <c r="D283" s="4" t="s">
        <v>24</v>
      </c>
      <c r="E283" s="4" t="s">
        <v>32</v>
      </c>
      <c r="F283" s="4" t="s">
        <v>25</v>
      </c>
      <c r="G283" s="4" t="s">
        <v>25</v>
      </c>
      <c r="H283" s="4" t="s">
        <v>25</v>
      </c>
      <c r="I283" s="5">
        <v>44317</v>
      </c>
      <c r="J283" s="6">
        <v>0</v>
      </c>
      <c r="K283" s="6">
        <v>0</v>
      </c>
      <c r="L283" s="6">
        <v>239.893</v>
      </c>
      <c r="M283" s="6">
        <v>239.893</v>
      </c>
      <c r="N283" s="6">
        <v>239.893</v>
      </c>
      <c r="O283" s="6">
        <v>239.893</v>
      </c>
      <c r="P283" s="6">
        <v>2683</v>
      </c>
      <c r="Q283" s="4" t="s">
        <v>26</v>
      </c>
      <c r="R283" s="4">
        <v>0</v>
      </c>
      <c r="S283" s="4">
        <v>0</v>
      </c>
      <c r="T283" s="4">
        <v>37</v>
      </c>
      <c r="U283" s="4">
        <v>77</v>
      </c>
      <c r="V283" s="6">
        <f>IF(ISERROR(VLOOKUP($S$283,'TAR FIN'!$A$1:$O$100,15,0)),0,VLOOKUP($S$283,'TAR FIN'!$A$1:$O$100,15,0))</f>
        <v>0</v>
      </c>
      <c r="W283" s="6">
        <f>IF(ISERROR(VLOOKUP($T$283,'TAR FIN'!$A$1:$O$100,15,0)),0,VLOOKUP($T$283,'TAR FIN'!$A$1:$O$100,15,0))</f>
        <v>246.5</v>
      </c>
      <c r="X283" s="6">
        <f>IF(ISERROR(VLOOKUP($U$283,'TAR FIN'!$A$1:$O$100,15,0)),0,VLOOKUP($U$283,'TAR FIN'!$A$1:$O$100,15,0))</f>
        <v>231.33</v>
      </c>
      <c r="Y283" s="6"/>
      <c r="Z28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3" s="6">
        <f>('TE BE'!$AA$17+'TE BF'!$AA$17+'TE CVA'!$AA$17)*(1-CUSTOS!$M$37)</f>
        <v>250.79367785689016</v>
      </c>
      <c r="AB283" s="6">
        <f t="shared" si="18"/>
        <v>0</v>
      </c>
      <c r="AC283" s="6">
        <f>(L283-M283)*(W283+X283)+($W$276+$X$276-$W$283-$X$283)*(L283)</f>
        <v>6.8181691403879086E-12</v>
      </c>
      <c r="AD283" s="6">
        <f t="shared" si="19"/>
        <v>0</v>
      </c>
      <c r="AE283" s="6">
        <f ca="1">(L283-M283)*(Z283+AA283)+($Z$276+$AA$276-$Z$283-$AA$283)*(L283)</f>
        <v>6.8181691403879086E-12</v>
      </c>
      <c r="AF283" s="4" t="s">
        <v>915</v>
      </c>
    </row>
    <row r="284" spans="1:32" ht="11.25" customHeight="1" x14ac:dyDescent="0.25">
      <c r="A284" s="4" t="s">
        <v>27</v>
      </c>
      <c r="B284" s="4" t="s">
        <v>22</v>
      </c>
      <c r="C284" s="4" t="s">
        <v>23</v>
      </c>
      <c r="D284" s="4" t="s">
        <v>24</v>
      </c>
      <c r="E284" s="4" t="s">
        <v>32</v>
      </c>
      <c r="F284" s="4" t="s">
        <v>25</v>
      </c>
      <c r="G284" s="4" t="s">
        <v>25</v>
      </c>
      <c r="H284" s="4" t="s">
        <v>25</v>
      </c>
      <c r="I284" s="5">
        <v>44317</v>
      </c>
      <c r="J284" s="6">
        <v>0</v>
      </c>
      <c r="K284" s="6">
        <v>0</v>
      </c>
      <c r="L284" s="6">
        <v>-7.0000000000000001E-3</v>
      </c>
      <c r="M284" s="6">
        <v>-7.0000000000000001E-3</v>
      </c>
      <c r="N284" s="6">
        <v>-7.0000000000000001E-3</v>
      </c>
      <c r="O284" s="6">
        <v>-7.0000000000000001E-3</v>
      </c>
      <c r="P284" s="6">
        <v>-1</v>
      </c>
      <c r="Q284" s="4" t="s">
        <v>26</v>
      </c>
      <c r="R284" s="4">
        <v>0</v>
      </c>
      <c r="S284" s="4">
        <v>0</v>
      </c>
      <c r="T284" s="4">
        <v>37</v>
      </c>
      <c r="U284" s="4">
        <v>77</v>
      </c>
      <c r="V284" s="6">
        <f>IF(ISERROR(VLOOKUP($S$284,'TAR FIN'!$A$1:$O$100,15,0)),0,VLOOKUP($S$284,'TAR FIN'!$A$1:$O$100,15,0))</f>
        <v>0</v>
      </c>
      <c r="W284" s="6">
        <f>IF(ISERROR(VLOOKUP($T$284,'TAR FIN'!$A$1:$O$100,15,0)),0,VLOOKUP($T$284,'TAR FIN'!$A$1:$O$100,15,0))</f>
        <v>246.5</v>
      </c>
      <c r="X284" s="6">
        <f>IF(ISERROR(VLOOKUP($U$284,'TAR FIN'!$A$1:$O$100,15,0)),0,VLOOKUP($U$284,'TAR FIN'!$A$1:$O$100,15,0))</f>
        <v>231.33</v>
      </c>
      <c r="Y284" s="6"/>
      <c r="Z28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4" s="6">
        <f>('TE BE'!$AA$17+'TE BF'!$AA$17+'TE CVA'!$AA$17)*(1-CUSTOS!$M$37)</f>
        <v>250.79367785689016</v>
      </c>
      <c r="AB284" s="6">
        <f t="shared" si="18"/>
        <v>0</v>
      </c>
      <c r="AC284" s="6">
        <f>(L284-M284)*(W284+X284)+($W$276+$X$276-$W$284-$X$284)*(L284)</f>
        <v>-1.9895196601282806E-16</v>
      </c>
      <c r="AD284" s="6">
        <f t="shared" si="19"/>
        <v>0</v>
      </c>
      <c r="AE284" s="6">
        <f ca="1">(L284-M284)*(Z284+AA284)+($Z$276+$AA$276-$Z$284-$AA$284)*(L284)</f>
        <v>-1.9895196601282806E-16</v>
      </c>
      <c r="AF284" s="4" t="s">
        <v>915</v>
      </c>
    </row>
    <row r="285" spans="1:32" ht="11.25" customHeight="1" x14ac:dyDescent="0.25">
      <c r="A285" s="4" t="s">
        <v>28</v>
      </c>
      <c r="B285" s="4" t="s">
        <v>22</v>
      </c>
      <c r="C285" s="4" t="s">
        <v>23</v>
      </c>
      <c r="D285" s="4" t="s">
        <v>24</v>
      </c>
      <c r="E285" s="4" t="s">
        <v>32</v>
      </c>
      <c r="F285" s="4" t="s">
        <v>25</v>
      </c>
      <c r="G285" s="4" t="s">
        <v>25</v>
      </c>
      <c r="H285" s="4" t="s">
        <v>25</v>
      </c>
      <c r="I285" s="5">
        <v>44317</v>
      </c>
      <c r="J285" s="6">
        <v>0</v>
      </c>
      <c r="K285" s="6">
        <v>0</v>
      </c>
      <c r="L285" s="6">
        <v>1.52</v>
      </c>
      <c r="M285" s="6">
        <v>1.52</v>
      </c>
      <c r="N285" s="6">
        <v>1.52</v>
      </c>
      <c r="O285" s="6">
        <v>1.52</v>
      </c>
      <c r="P285" s="6">
        <v>6</v>
      </c>
      <c r="Q285" s="4" t="s">
        <v>26</v>
      </c>
      <c r="R285" s="4">
        <v>0</v>
      </c>
      <c r="S285" s="4">
        <v>0</v>
      </c>
      <c r="T285" s="4">
        <v>37</v>
      </c>
      <c r="U285" s="4">
        <v>77</v>
      </c>
      <c r="V285" s="6">
        <f>IF(ISERROR(VLOOKUP($S$285,'TAR FIN'!$A$1:$O$100,15,0)),0,VLOOKUP($S$285,'TAR FIN'!$A$1:$O$100,15,0))</f>
        <v>0</v>
      </c>
      <c r="W285" s="6">
        <f>IF(ISERROR(VLOOKUP($T$285,'TAR FIN'!$A$1:$O$100,15,0)),0,VLOOKUP($T$285,'TAR FIN'!$A$1:$O$100,15,0))</f>
        <v>246.5</v>
      </c>
      <c r="X285" s="6">
        <f>IF(ISERROR(VLOOKUP($U$285,'TAR FIN'!$A$1:$O$100,15,0)),0,VLOOKUP($U$285,'TAR FIN'!$A$1:$O$100,15,0))</f>
        <v>231.33</v>
      </c>
      <c r="Y285" s="6"/>
      <c r="Z28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5" s="6">
        <f>('TE BE'!$AA$17+'TE BF'!$AA$17+'TE CVA'!$AA$17)*(1-CUSTOS!$M$37)</f>
        <v>250.79367785689016</v>
      </c>
      <c r="AB285" s="6">
        <f t="shared" si="18"/>
        <v>0</v>
      </c>
      <c r="AC285" s="6">
        <f>(L285-M285)*(W285+X285)+($W$276+$X$276-$W$285-$X$285)*(L285)</f>
        <v>4.3200998334214092E-14</v>
      </c>
      <c r="AD285" s="6">
        <f t="shared" si="19"/>
        <v>0</v>
      </c>
      <c r="AE285" s="6">
        <f ca="1">(L285-M285)*(Z285+AA285)+($Z$276+$AA$276-$Z$285-$AA$285)*(L285)</f>
        <v>4.3200998334214092E-14</v>
      </c>
      <c r="AF285" s="4" t="s">
        <v>915</v>
      </c>
    </row>
    <row r="286" spans="1:32" ht="11.25" customHeight="1" x14ac:dyDescent="0.25">
      <c r="A286" s="4" t="s">
        <v>21</v>
      </c>
      <c r="B286" s="4" t="s">
        <v>22</v>
      </c>
      <c r="C286" s="4" t="s">
        <v>23</v>
      </c>
      <c r="D286" s="4" t="s">
        <v>24</v>
      </c>
      <c r="E286" s="4" t="s">
        <v>32</v>
      </c>
      <c r="F286" s="4" t="s">
        <v>25</v>
      </c>
      <c r="G286" s="4" t="s">
        <v>25</v>
      </c>
      <c r="H286" s="4" t="s">
        <v>25</v>
      </c>
      <c r="I286" s="5">
        <v>44348</v>
      </c>
      <c r="J286" s="6">
        <v>0</v>
      </c>
      <c r="K286" s="6">
        <v>0</v>
      </c>
      <c r="L286" s="6">
        <v>202.10900000000001</v>
      </c>
      <c r="M286" s="6">
        <v>202.10900000000001</v>
      </c>
      <c r="N286" s="6">
        <v>202.10900000000001</v>
      </c>
      <c r="O286" s="6">
        <v>202.10900000000001</v>
      </c>
      <c r="P286" s="6">
        <v>2204</v>
      </c>
      <c r="Q286" s="4" t="s">
        <v>26</v>
      </c>
      <c r="R286" s="4">
        <v>0</v>
      </c>
      <c r="S286" s="4">
        <v>0</v>
      </c>
      <c r="T286" s="4">
        <v>37</v>
      </c>
      <c r="U286" s="4">
        <v>77</v>
      </c>
      <c r="V286" s="6">
        <f>IF(ISERROR(VLOOKUP($S$286,'TAR FIN'!$A$1:$O$100,15,0)),0,VLOOKUP($S$286,'TAR FIN'!$A$1:$O$100,15,0))</f>
        <v>0</v>
      </c>
      <c r="W286" s="6">
        <f>IF(ISERROR(VLOOKUP($T$286,'TAR FIN'!$A$1:$O$100,15,0)),0,VLOOKUP($T$286,'TAR FIN'!$A$1:$O$100,15,0))</f>
        <v>246.5</v>
      </c>
      <c r="X286" s="6">
        <f>IF(ISERROR(VLOOKUP($U$286,'TAR FIN'!$A$1:$O$100,15,0)),0,VLOOKUP($U$286,'TAR FIN'!$A$1:$O$100,15,0))</f>
        <v>231.33</v>
      </c>
      <c r="Y286" s="6"/>
      <c r="Z28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6" s="6">
        <f>('TE BE'!$AA$17+'TE BF'!$AA$17+'TE CVA'!$AA$17)*(1-CUSTOS!$M$37)</f>
        <v>250.79367785689016</v>
      </c>
      <c r="AB286" s="6">
        <f t="shared" si="18"/>
        <v>0</v>
      </c>
      <c r="AC286" s="6">
        <f>(L286-M286)*(W286+X286)+($W$276+$X$276-$W$286-$X$286)*(L286)</f>
        <v>5.7442832712695238E-12</v>
      </c>
      <c r="AD286" s="6">
        <f t="shared" si="19"/>
        <v>0</v>
      </c>
      <c r="AE286" s="6">
        <f ca="1">(L286-M286)*(Z286+AA286)+($Z$276+$AA$276-$Z$286-$AA$286)*(L286)</f>
        <v>5.7442832712695238E-12</v>
      </c>
      <c r="AF286" s="4" t="s">
        <v>915</v>
      </c>
    </row>
    <row r="287" spans="1:32" ht="11.25" customHeight="1" x14ac:dyDescent="0.25">
      <c r="A287" s="4" t="s">
        <v>27</v>
      </c>
      <c r="B287" s="4" t="s">
        <v>22</v>
      </c>
      <c r="C287" s="4" t="s">
        <v>23</v>
      </c>
      <c r="D287" s="4" t="s">
        <v>24</v>
      </c>
      <c r="E287" s="4" t="s">
        <v>32</v>
      </c>
      <c r="F287" s="4" t="s">
        <v>25</v>
      </c>
      <c r="G287" s="4" t="s">
        <v>25</v>
      </c>
      <c r="H287" s="4" t="s">
        <v>25</v>
      </c>
      <c r="I287" s="5">
        <v>44348</v>
      </c>
      <c r="J287" s="6">
        <v>0</v>
      </c>
      <c r="K287" s="6">
        <v>0</v>
      </c>
      <c r="L287" s="6">
        <v>-2.0379999999999998</v>
      </c>
      <c r="M287" s="6">
        <v>-2.0379999999999998</v>
      </c>
      <c r="N287" s="6">
        <v>-2.0379999999999998</v>
      </c>
      <c r="O287" s="6">
        <v>-2.0379999999999998</v>
      </c>
      <c r="P287" s="6">
        <v>-4</v>
      </c>
      <c r="Q287" s="4" t="s">
        <v>26</v>
      </c>
      <c r="R287" s="4">
        <v>0</v>
      </c>
      <c r="S287" s="4">
        <v>0</v>
      </c>
      <c r="T287" s="4">
        <v>37</v>
      </c>
      <c r="U287" s="4">
        <v>77</v>
      </c>
      <c r="V287" s="6">
        <f>IF(ISERROR(VLOOKUP($S$287,'TAR FIN'!$A$1:$O$100,15,0)),0,VLOOKUP($S$287,'TAR FIN'!$A$1:$O$100,15,0))</f>
        <v>0</v>
      </c>
      <c r="W287" s="6">
        <f>IF(ISERROR(VLOOKUP($T$287,'TAR FIN'!$A$1:$O$100,15,0)),0,VLOOKUP($T$287,'TAR FIN'!$A$1:$O$100,15,0))</f>
        <v>246.5</v>
      </c>
      <c r="X287" s="6">
        <f>IF(ISERROR(VLOOKUP($U$287,'TAR FIN'!$A$1:$O$100,15,0)),0,VLOOKUP($U$287,'TAR FIN'!$A$1:$O$100,15,0))</f>
        <v>231.33</v>
      </c>
      <c r="Y287" s="6"/>
      <c r="Z28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7" s="6">
        <f>('TE BE'!$AA$17+'TE BF'!$AA$17+'TE CVA'!$AA$17)*(1-CUSTOS!$M$37)</f>
        <v>250.79367785689016</v>
      </c>
      <c r="AB287" s="6">
        <f t="shared" si="18"/>
        <v>0</v>
      </c>
      <c r="AC287" s="6">
        <f>(L287-M287)*(W287+X287)+($W$276+$X$276-$W$287-$X$287)*(L287)</f>
        <v>-5.7923443819163362E-14</v>
      </c>
      <c r="AD287" s="6">
        <f t="shared" si="19"/>
        <v>0</v>
      </c>
      <c r="AE287" s="6">
        <f ca="1">(L287-M287)*(Z287+AA287)+($Z$276+$AA$276-$Z$287-$AA$287)*(L287)</f>
        <v>-5.7923443819163362E-14</v>
      </c>
      <c r="AF287" s="4" t="s">
        <v>915</v>
      </c>
    </row>
    <row r="288" spans="1:32" ht="11.25" customHeight="1" x14ac:dyDescent="0.25">
      <c r="A288" s="4" t="s">
        <v>28</v>
      </c>
      <c r="B288" s="4" t="s">
        <v>22</v>
      </c>
      <c r="C288" s="4" t="s">
        <v>23</v>
      </c>
      <c r="D288" s="4" t="s">
        <v>24</v>
      </c>
      <c r="E288" s="4" t="s">
        <v>32</v>
      </c>
      <c r="F288" s="4" t="s">
        <v>25</v>
      </c>
      <c r="G288" s="4" t="s">
        <v>25</v>
      </c>
      <c r="H288" s="4" t="s">
        <v>25</v>
      </c>
      <c r="I288" s="5">
        <v>44348</v>
      </c>
      <c r="J288" s="6">
        <v>0</v>
      </c>
      <c r="K288" s="6">
        <v>0</v>
      </c>
      <c r="L288" s="6">
        <v>1.4</v>
      </c>
      <c r="M288" s="6">
        <v>1.4</v>
      </c>
      <c r="N288" s="6">
        <v>1.4</v>
      </c>
      <c r="O288" s="6">
        <v>1.4</v>
      </c>
      <c r="P288" s="6">
        <v>7</v>
      </c>
      <c r="Q288" s="4" t="s">
        <v>26</v>
      </c>
      <c r="R288" s="4">
        <v>0</v>
      </c>
      <c r="S288" s="4">
        <v>0</v>
      </c>
      <c r="T288" s="4">
        <v>37</v>
      </c>
      <c r="U288" s="4">
        <v>77</v>
      </c>
      <c r="V288" s="6">
        <f>IF(ISERROR(VLOOKUP($S$288,'TAR FIN'!$A$1:$O$100,15,0)),0,VLOOKUP($S$288,'TAR FIN'!$A$1:$O$100,15,0))</f>
        <v>0</v>
      </c>
      <c r="W288" s="6">
        <f>IF(ISERROR(VLOOKUP($T$288,'TAR FIN'!$A$1:$O$100,15,0)),0,VLOOKUP($T$288,'TAR FIN'!$A$1:$O$100,15,0))</f>
        <v>246.5</v>
      </c>
      <c r="X288" s="6">
        <f>IF(ISERROR(VLOOKUP($U$288,'TAR FIN'!$A$1:$O$100,15,0)),0,VLOOKUP($U$288,'TAR FIN'!$A$1:$O$100,15,0))</f>
        <v>231.33</v>
      </c>
      <c r="Y288" s="6"/>
      <c r="Z28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8" s="6">
        <f>('TE BE'!$AA$17+'TE BF'!$AA$17+'TE CVA'!$AA$17)*(1-CUSTOS!$M$37)</f>
        <v>250.79367785689016</v>
      </c>
      <c r="AB288" s="6">
        <f t="shared" si="18"/>
        <v>0</v>
      </c>
      <c r="AC288" s="6">
        <f>(L288-M288)*(W288+X288)+($W$276+$X$276-$W$288-$X$288)*(L288)</f>
        <v>3.9790393202565608E-14</v>
      </c>
      <c r="AD288" s="6">
        <f t="shared" si="19"/>
        <v>0</v>
      </c>
      <c r="AE288" s="6">
        <f ca="1">(L288-M288)*(Z288+AA288)+($Z$276+$AA$276-$Z$288-$AA$288)*(L288)</f>
        <v>3.9790393202565608E-14</v>
      </c>
      <c r="AF288" s="4" t="s">
        <v>915</v>
      </c>
    </row>
    <row r="289" spans="1:32" ht="11.25" customHeight="1" x14ac:dyDescent="0.25">
      <c r="A289" s="4" t="s">
        <v>21</v>
      </c>
      <c r="B289" s="4" t="s">
        <v>22</v>
      </c>
      <c r="C289" s="4" t="s">
        <v>23</v>
      </c>
      <c r="D289" s="4" t="s">
        <v>24</v>
      </c>
      <c r="E289" s="4" t="s">
        <v>32</v>
      </c>
      <c r="F289" s="4" t="s">
        <v>25</v>
      </c>
      <c r="G289" s="4" t="s">
        <v>25</v>
      </c>
      <c r="H289" s="4" t="s">
        <v>25</v>
      </c>
      <c r="I289" s="5">
        <v>44378</v>
      </c>
      <c r="J289" s="6">
        <v>0</v>
      </c>
      <c r="K289" s="6">
        <v>0</v>
      </c>
      <c r="L289" s="6">
        <v>232.24299999999999</v>
      </c>
      <c r="M289" s="6">
        <v>232.24299999999999</v>
      </c>
      <c r="N289" s="6">
        <v>232.24299999999999</v>
      </c>
      <c r="O289" s="6">
        <v>232.24299999999999</v>
      </c>
      <c r="P289" s="6">
        <v>2584</v>
      </c>
      <c r="Q289" s="4" t="s">
        <v>26</v>
      </c>
      <c r="R289" s="4">
        <v>0</v>
      </c>
      <c r="S289" s="4">
        <v>0</v>
      </c>
      <c r="T289" s="4">
        <v>37</v>
      </c>
      <c r="U289" s="4">
        <v>77</v>
      </c>
      <c r="V289" s="6">
        <f>IF(ISERROR(VLOOKUP($S$289,'TAR FIN'!$A$1:$O$100,15,0)),0,VLOOKUP($S$289,'TAR FIN'!$A$1:$O$100,15,0))</f>
        <v>0</v>
      </c>
      <c r="W289" s="6">
        <f>IF(ISERROR(VLOOKUP($T$289,'TAR FIN'!$A$1:$O$100,15,0)),0,VLOOKUP($T$289,'TAR FIN'!$A$1:$O$100,15,0))</f>
        <v>246.5</v>
      </c>
      <c r="X289" s="6">
        <f>IF(ISERROR(VLOOKUP($U$289,'TAR FIN'!$A$1:$O$100,15,0)),0,VLOOKUP($U$289,'TAR FIN'!$A$1:$O$100,15,0))</f>
        <v>231.33</v>
      </c>
      <c r="Y289" s="6"/>
      <c r="Z289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89" s="6">
        <f>('TE BE'!$AA$17+'TE BF'!$AA$17+'TE CVA'!$AA$17)*(1-CUSTOS!$M$37)</f>
        <v>250.79367785689016</v>
      </c>
      <c r="AB289" s="6">
        <f t="shared" si="18"/>
        <v>0</v>
      </c>
      <c r="AC289" s="6">
        <f>(L289-M289)*(W289+X289)+($W$276+$X$276-$W$289-$X$289)*(L289)</f>
        <v>6.6007430632453178E-12</v>
      </c>
      <c r="AD289" s="6">
        <f t="shared" si="19"/>
        <v>0</v>
      </c>
      <c r="AE289" s="6">
        <f ca="1">(L289-M289)*(Z289+AA289)+($Z$276+$AA$276-$Z$289-$AA$289)*(L289)</f>
        <v>6.6007430632453178E-12</v>
      </c>
      <c r="AF289" s="4" t="s">
        <v>915</v>
      </c>
    </row>
    <row r="290" spans="1:32" ht="11.25" customHeight="1" x14ac:dyDescent="0.25">
      <c r="A290" s="4" t="s">
        <v>27</v>
      </c>
      <c r="B290" s="4" t="s">
        <v>22</v>
      </c>
      <c r="C290" s="4" t="s">
        <v>23</v>
      </c>
      <c r="D290" s="4" t="s">
        <v>24</v>
      </c>
      <c r="E290" s="4" t="s">
        <v>32</v>
      </c>
      <c r="F290" s="4" t="s">
        <v>25</v>
      </c>
      <c r="G290" s="4" t="s">
        <v>25</v>
      </c>
      <c r="H290" s="4" t="s">
        <v>25</v>
      </c>
      <c r="I290" s="5">
        <v>44378</v>
      </c>
      <c r="J290" s="6">
        <v>0</v>
      </c>
      <c r="K290" s="6">
        <v>0</v>
      </c>
      <c r="L290" s="6">
        <v>-18.689</v>
      </c>
      <c r="M290" s="6">
        <v>-18.689</v>
      </c>
      <c r="N290" s="6">
        <v>-18.689</v>
      </c>
      <c r="O290" s="6">
        <v>-18.689</v>
      </c>
      <c r="P290" s="6">
        <v>-10</v>
      </c>
      <c r="Q290" s="4" t="s">
        <v>26</v>
      </c>
      <c r="R290" s="4">
        <v>0</v>
      </c>
      <c r="S290" s="4">
        <v>0</v>
      </c>
      <c r="T290" s="4">
        <v>37</v>
      </c>
      <c r="U290" s="4">
        <v>77</v>
      </c>
      <c r="V290" s="6">
        <f>IF(ISERROR(VLOOKUP($S$290,'TAR FIN'!$A$1:$O$100,15,0)),0,VLOOKUP($S$290,'TAR FIN'!$A$1:$O$100,15,0))</f>
        <v>0</v>
      </c>
      <c r="W290" s="6">
        <f>IF(ISERROR(VLOOKUP($T$290,'TAR FIN'!$A$1:$O$100,15,0)),0,VLOOKUP($T$290,'TAR FIN'!$A$1:$O$100,15,0))</f>
        <v>246.5</v>
      </c>
      <c r="X290" s="6">
        <f>IF(ISERROR(VLOOKUP($U$290,'TAR FIN'!$A$1:$O$100,15,0)),0,VLOOKUP($U$290,'TAR FIN'!$A$1:$O$100,15,0))</f>
        <v>231.33</v>
      </c>
      <c r="Y290" s="6"/>
      <c r="Z290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0" s="6">
        <f>('TE BE'!$AA$17+'TE BF'!$AA$17+'TE CVA'!$AA$17)*(1-CUSTOS!$M$37)</f>
        <v>250.79367785689016</v>
      </c>
      <c r="AB290" s="6">
        <f t="shared" si="18"/>
        <v>0</v>
      </c>
      <c r="AC290" s="6">
        <f>(L290-M290)*(W290+X290)+($W$276+$X$276-$W$290-$X$290)*(L290)</f>
        <v>-5.311733275448205E-13</v>
      </c>
      <c r="AD290" s="6">
        <f t="shared" si="19"/>
        <v>0</v>
      </c>
      <c r="AE290" s="6">
        <f ca="1">(L290-M290)*(Z290+AA290)+($Z$276+$AA$276-$Z$290-$AA$290)*(L290)</f>
        <v>-5.311733275448205E-13</v>
      </c>
      <c r="AF290" s="4" t="s">
        <v>915</v>
      </c>
    </row>
    <row r="291" spans="1:32" ht="11.25" customHeight="1" x14ac:dyDescent="0.25">
      <c r="A291" s="4" t="s">
        <v>28</v>
      </c>
      <c r="B291" s="4" t="s">
        <v>22</v>
      </c>
      <c r="C291" s="4" t="s">
        <v>23</v>
      </c>
      <c r="D291" s="4" t="s">
        <v>24</v>
      </c>
      <c r="E291" s="4" t="s">
        <v>32</v>
      </c>
      <c r="F291" s="4" t="s">
        <v>25</v>
      </c>
      <c r="G291" s="4" t="s">
        <v>25</v>
      </c>
      <c r="H291" s="4" t="s">
        <v>25</v>
      </c>
      <c r="I291" s="5">
        <v>44378</v>
      </c>
      <c r="J291" s="6">
        <v>0</v>
      </c>
      <c r="K291" s="6">
        <v>0</v>
      </c>
      <c r="L291" s="6">
        <v>1.3320000000000001</v>
      </c>
      <c r="M291" s="6">
        <v>1.3320000000000001</v>
      </c>
      <c r="N291" s="6">
        <v>1.3320000000000001</v>
      </c>
      <c r="O291" s="6">
        <v>1.3320000000000001</v>
      </c>
      <c r="P291" s="6">
        <v>8</v>
      </c>
      <c r="Q291" s="4" t="s">
        <v>26</v>
      </c>
      <c r="R291" s="4">
        <v>0</v>
      </c>
      <c r="S291" s="4">
        <v>0</v>
      </c>
      <c r="T291" s="4">
        <v>37</v>
      </c>
      <c r="U291" s="4">
        <v>77</v>
      </c>
      <c r="V291" s="6">
        <f>IF(ISERROR(VLOOKUP($S$291,'TAR FIN'!$A$1:$O$100,15,0)),0,VLOOKUP($S$291,'TAR FIN'!$A$1:$O$100,15,0))</f>
        <v>0</v>
      </c>
      <c r="W291" s="6">
        <f>IF(ISERROR(VLOOKUP($T$291,'TAR FIN'!$A$1:$O$100,15,0)),0,VLOOKUP($T$291,'TAR FIN'!$A$1:$O$100,15,0))</f>
        <v>246.5</v>
      </c>
      <c r="X291" s="6">
        <f>IF(ISERROR(VLOOKUP($U$291,'TAR FIN'!$A$1:$O$100,15,0)),0,VLOOKUP($U$291,'TAR FIN'!$A$1:$O$100,15,0))</f>
        <v>231.33</v>
      </c>
      <c r="Y291" s="6"/>
      <c r="Z291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1" s="6">
        <f>('TE BE'!$AA$17+'TE BF'!$AA$17+'TE CVA'!$AA$17)*(1-CUSTOS!$M$37)</f>
        <v>250.79367785689016</v>
      </c>
      <c r="AB291" s="6">
        <f t="shared" si="18"/>
        <v>0</v>
      </c>
      <c r="AC291" s="6">
        <f>(L291-M291)*(W291+X291)+($W$276+$X$276-$W$291-$X$291)*(L291)</f>
        <v>3.785771696129814E-14</v>
      </c>
      <c r="AD291" s="6">
        <f t="shared" si="19"/>
        <v>0</v>
      </c>
      <c r="AE291" s="6">
        <f ca="1">(L291-M291)*(Z291+AA291)+($Z$276+$AA$276-$Z$291-$AA$291)*(L291)</f>
        <v>3.785771696129814E-14</v>
      </c>
      <c r="AF291" s="4" t="s">
        <v>915</v>
      </c>
    </row>
    <row r="292" spans="1:32" ht="11.25" customHeight="1" x14ac:dyDescent="0.25">
      <c r="A292" s="4" t="s">
        <v>21</v>
      </c>
      <c r="B292" s="4" t="s">
        <v>22</v>
      </c>
      <c r="C292" s="4" t="s">
        <v>23</v>
      </c>
      <c r="D292" s="4" t="s">
        <v>24</v>
      </c>
      <c r="E292" s="4" t="s">
        <v>32</v>
      </c>
      <c r="F292" s="4" t="s">
        <v>25</v>
      </c>
      <c r="G292" s="4" t="s">
        <v>25</v>
      </c>
      <c r="H292" s="4" t="s">
        <v>25</v>
      </c>
      <c r="I292" s="5">
        <v>44409</v>
      </c>
      <c r="J292" s="6">
        <v>0</v>
      </c>
      <c r="K292" s="6">
        <v>0</v>
      </c>
      <c r="L292" s="6">
        <v>186.70699999999999</v>
      </c>
      <c r="M292" s="6">
        <v>186.70699999999999</v>
      </c>
      <c r="N292" s="6">
        <v>186.70699999999999</v>
      </c>
      <c r="O292" s="6">
        <v>186.70699999999999</v>
      </c>
      <c r="P292" s="6">
        <v>2019</v>
      </c>
      <c r="Q292" s="4" t="s">
        <v>26</v>
      </c>
      <c r="R292" s="4">
        <v>0</v>
      </c>
      <c r="S292" s="4">
        <v>0</v>
      </c>
      <c r="T292" s="4">
        <v>37</v>
      </c>
      <c r="U292" s="4">
        <v>77</v>
      </c>
      <c r="V292" s="6">
        <f>IF(ISERROR(VLOOKUP($S$292,'TAR FIN'!$A$1:$O$100,15,0)),0,VLOOKUP($S$292,'TAR FIN'!$A$1:$O$100,15,0))</f>
        <v>0</v>
      </c>
      <c r="W292" s="6">
        <f>IF(ISERROR(VLOOKUP($T$292,'TAR FIN'!$A$1:$O$100,15,0)),0,VLOOKUP($T$292,'TAR FIN'!$A$1:$O$100,15,0))</f>
        <v>246.5</v>
      </c>
      <c r="X292" s="6">
        <f>IF(ISERROR(VLOOKUP($U$292,'TAR FIN'!$A$1:$O$100,15,0)),0,VLOOKUP($U$292,'TAR FIN'!$A$1:$O$100,15,0))</f>
        <v>231.33</v>
      </c>
      <c r="Y292" s="6"/>
      <c r="Z292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2" s="6">
        <f>('TE BE'!$AA$17+'TE BF'!$AA$17+'TE CVA'!$AA$17)*(1-CUSTOS!$M$37)</f>
        <v>250.79367785689016</v>
      </c>
      <c r="AB292" s="6">
        <f t="shared" si="18"/>
        <v>0</v>
      </c>
      <c r="AC292" s="6">
        <f>(L292-M292)*(W292+X292)+($W$276+$X$276-$W$292-$X$292)*(L292)</f>
        <v>5.3065321026224408E-12</v>
      </c>
      <c r="AD292" s="6">
        <f t="shared" si="19"/>
        <v>0</v>
      </c>
      <c r="AE292" s="6">
        <f ca="1">(L292-M292)*(Z292+AA292)+($Z$276+$AA$276-$Z$292-$AA$292)*(L292)</f>
        <v>5.3065321026224408E-12</v>
      </c>
      <c r="AF292" s="4" t="s">
        <v>915</v>
      </c>
    </row>
    <row r="293" spans="1:32" ht="11.25" customHeight="1" x14ac:dyDescent="0.25">
      <c r="A293" s="4" t="s">
        <v>27</v>
      </c>
      <c r="B293" s="4" t="s">
        <v>22</v>
      </c>
      <c r="C293" s="4" t="s">
        <v>23</v>
      </c>
      <c r="D293" s="4" t="s">
        <v>24</v>
      </c>
      <c r="E293" s="4" t="s">
        <v>32</v>
      </c>
      <c r="F293" s="4" t="s">
        <v>25</v>
      </c>
      <c r="G293" s="4" t="s">
        <v>25</v>
      </c>
      <c r="H293" s="4" t="s">
        <v>25</v>
      </c>
      <c r="I293" s="5">
        <v>44409</v>
      </c>
      <c r="J293" s="6">
        <v>0</v>
      </c>
      <c r="K293" s="6">
        <v>0</v>
      </c>
      <c r="L293" s="6">
        <v>-0.22600000000000001</v>
      </c>
      <c r="M293" s="6">
        <v>-0.22600000000000001</v>
      </c>
      <c r="N293" s="6">
        <v>-0.22600000000000001</v>
      </c>
      <c r="O293" s="6">
        <v>-0.22600000000000001</v>
      </c>
      <c r="P293" s="6">
        <v>-3</v>
      </c>
      <c r="Q293" s="4" t="s">
        <v>26</v>
      </c>
      <c r="R293" s="4">
        <v>0</v>
      </c>
      <c r="S293" s="4">
        <v>0</v>
      </c>
      <c r="T293" s="4">
        <v>37</v>
      </c>
      <c r="U293" s="4">
        <v>77</v>
      </c>
      <c r="V293" s="6">
        <f>IF(ISERROR(VLOOKUP($S$293,'TAR FIN'!$A$1:$O$100,15,0)),0,VLOOKUP($S$293,'TAR FIN'!$A$1:$O$100,15,0))</f>
        <v>0</v>
      </c>
      <c r="W293" s="6">
        <f>IF(ISERROR(VLOOKUP($T$293,'TAR FIN'!$A$1:$O$100,15,0)),0,VLOOKUP($T$293,'TAR FIN'!$A$1:$O$100,15,0))</f>
        <v>246.5</v>
      </c>
      <c r="X293" s="6">
        <f>IF(ISERROR(VLOOKUP($U$293,'TAR FIN'!$A$1:$O$100,15,0)),0,VLOOKUP($U$293,'TAR FIN'!$A$1:$O$100,15,0))</f>
        <v>231.33</v>
      </c>
      <c r="Y293" s="6"/>
      <c r="Z29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3" s="6">
        <f>('TE BE'!$AA$17+'TE BF'!$AA$17+'TE CVA'!$AA$17)*(1-CUSTOS!$M$37)</f>
        <v>250.79367785689016</v>
      </c>
      <c r="AB293" s="6">
        <f t="shared" si="18"/>
        <v>0</v>
      </c>
      <c r="AC293" s="6">
        <f>(L293-M293)*(W293+X293)+($W$276+$X$276-$W$293-$X$293)*(L293)</f>
        <v>-6.4233063312713059E-15</v>
      </c>
      <c r="AD293" s="6">
        <f t="shared" si="19"/>
        <v>0</v>
      </c>
      <c r="AE293" s="6">
        <f ca="1">(L293-M293)*(Z293+AA293)+($Z$276+$AA$276-$Z$293-$AA$293)*(L293)</f>
        <v>-6.4233063312713059E-15</v>
      </c>
      <c r="AF293" s="4" t="s">
        <v>915</v>
      </c>
    </row>
    <row r="294" spans="1:32" ht="11.25" customHeight="1" x14ac:dyDescent="0.25">
      <c r="A294" s="4" t="s">
        <v>28</v>
      </c>
      <c r="B294" s="4" t="s">
        <v>22</v>
      </c>
      <c r="C294" s="4" t="s">
        <v>23</v>
      </c>
      <c r="D294" s="4" t="s">
        <v>24</v>
      </c>
      <c r="E294" s="4" t="s">
        <v>32</v>
      </c>
      <c r="F294" s="4" t="s">
        <v>25</v>
      </c>
      <c r="G294" s="4" t="s">
        <v>25</v>
      </c>
      <c r="H294" s="4" t="s">
        <v>25</v>
      </c>
      <c r="I294" s="5">
        <v>44409</v>
      </c>
      <c r="J294" s="6">
        <v>0</v>
      </c>
      <c r="K294" s="6">
        <v>0</v>
      </c>
      <c r="L294" s="6">
        <v>1.0740000000000001</v>
      </c>
      <c r="M294" s="6">
        <v>1.0740000000000001</v>
      </c>
      <c r="N294" s="6">
        <v>1.0740000000000001</v>
      </c>
      <c r="O294" s="6">
        <v>1.0740000000000001</v>
      </c>
      <c r="P294" s="6">
        <v>7</v>
      </c>
      <c r="Q294" s="4" t="s">
        <v>26</v>
      </c>
      <c r="R294" s="4">
        <v>0</v>
      </c>
      <c r="S294" s="4">
        <v>0</v>
      </c>
      <c r="T294" s="4">
        <v>37</v>
      </c>
      <c r="U294" s="4">
        <v>77</v>
      </c>
      <c r="V294" s="6">
        <f>IF(ISERROR(VLOOKUP($S$294,'TAR FIN'!$A$1:$O$100,15,0)),0,VLOOKUP($S$294,'TAR FIN'!$A$1:$O$100,15,0))</f>
        <v>0</v>
      </c>
      <c r="W294" s="6">
        <f>IF(ISERROR(VLOOKUP($T$294,'TAR FIN'!$A$1:$O$100,15,0)),0,VLOOKUP($T$294,'TAR FIN'!$A$1:$O$100,15,0))</f>
        <v>246.5</v>
      </c>
      <c r="X294" s="6">
        <f>IF(ISERROR(VLOOKUP($U$294,'TAR FIN'!$A$1:$O$100,15,0)),0,VLOOKUP($U$294,'TAR FIN'!$A$1:$O$100,15,0))</f>
        <v>231.33</v>
      </c>
      <c r="Y294" s="6"/>
      <c r="Z29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4" s="6">
        <f>('TE BE'!$AA$17+'TE BF'!$AA$17+'TE CVA'!$AA$17)*(1-CUSTOS!$M$37)</f>
        <v>250.79367785689016</v>
      </c>
      <c r="AB294" s="6">
        <f t="shared" si="18"/>
        <v>0</v>
      </c>
      <c r="AC294" s="6">
        <f>(L294-M294)*(W294+X294)+($W$276+$X$276-$W$294-$X$294)*(L294)</f>
        <v>3.0524915928253906E-14</v>
      </c>
      <c r="AD294" s="6">
        <f t="shared" si="19"/>
        <v>0</v>
      </c>
      <c r="AE294" s="6">
        <f ca="1">(L294-M294)*(Z294+AA294)+($Z$276+$AA$276-$Z$294-$AA$294)*(L294)</f>
        <v>3.0524915928253906E-14</v>
      </c>
      <c r="AF294" s="4" t="s">
        <v>915</v>
      </c>
    </row>
    <row r="295" spans="1:32" ht="11.25" customHeight="1" x14ac:dyDescent="0.25">
      <c r="A295" s="4" t="s">
        <v>21</v>
      </c>
      <c r="B295" s="4" t="s">
        <v>22</v>
      </c>
      <c r="C295" s="4" t="s">
        <v>23</v>
      </c>
      <c r="D295" s="4" t="s">
        <v>24</v>
      </c>
      <c r="E295" s="4" t="s">
        <v>32</v>
      </c>
      <c r="F295" s="4" t="s">
        <v>25</v>
      </c>
      <c r="G295" s="4" t="s">
        <v>25</v>
      </c>
      <c r="H295" s="4" t="s">
        <v>25</v>
      </c>
      <c r="I295" s="5">
        <v>44440</v>
      </c>
      <c r="J295" s="6">
        <v>0</v>
      </c>
      <c r="K295" s="6">
        <v>0</v>
      </c>
      <c r="L295" s="6">
        <v>198.922</v>
      </c>
      <c r="M295" s="6">
        <v>198.922</v>
      </c>
      <c r="N295" s="6">
        <v>198.922</v>
      </c>
      <c r="O295" s="6">
        <v>198.922</v>
      </c>
      <c r="P295" s="6">
        <v>2109</v>
      </c>
      <c r="Q295" s="4" t="s">
        <v>26</v>
      </c>
      <c r="R295" s="4">
        <v>0</v>
      </c>
      <c r="S295" s="4">
        <v>0</v>
      </c>
      <c r="T295" s="4">
        <v>37</v>
      </c>
      <c r="U295" s="4">
        <v>77</v>
      </c>
      <c r="V295" s="6">
        <f>IF(ISERROR(VLOOKUP($S$295,'TAR FIN'!$A$1:$O$100,15,0)),0,VLOOKUP($S$295,'TAR FIN'!$A$1:$O$100,15,0))</f>
        <v>0</v>
      </c>
      <c r="W295" s="6">
        <f>IF(ISERROR(VLOOKUP($T$295,'TAR FIN'!$A$1:$O$100,15,0)),0,VLOOKUP($T$295,'TAR FIN'!$A$1:$O$100,15,0))</f>
        <v>246.5</v>
      </c>
      <c r="X295" s="6">
        <f>IF(ISERROR(VLOOKUP($U$295,'TAR FIN'!$A$1:$O$100,15,0)),0,VLOOKUP($U$295,'TAR FIN'!$A$1:$O$100,15,0))</f>
        <v>231.33</v>
      </c>
      <c r="Y295" s="6"/>
      <c r="Z29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5" s="6">
        <f>('TE BE'!$AA$17+'TE BF'!$AA$17+'TE CVA'!$AA$17)*(1-CUSTOS!$M$37)</f>
        <v>250.79367785689016</v>
      </c>
      <c r="AB295" s="6">
        <f t="shared" si="18"/>
        <v>0</v>
      </c>
      <c r="AC295" s="6">
        <f>(L295-M295)*(W295+X295)+($W$276+$X$276-$W$295-$X$295)*(L295)</f>
        <v>5.6537032833148259E-12</v>
      </c>
      <c r="AD295" s="6">
        <f t="shared" si="19"/>
        <v>0</v>
      </c>
      <c r="AE295" s="6">
        <f ca="1">(L295-M295)*(Z295+AA295)+($Z$276+$AA$276-$Z$295-$AA$295)*(L295)</f>
        <v>5.6537032833148259E-12</v>
      </c>
      <c r="AF295" s="4" t="s">
        <v>915</v>
      </c>
    </row>
    <row r="296" spans="1:32" ht="11.25" customHeight="1" x14ac:dyDescent="0.25">
      <c r="A296" s="4" t="s">
        <v>27</v>
      </c>
      <c r="B296" s="4" t="s">
        <v>22</v>
      </c>
      <c r="C296" s="4" t="s">
        <v>23</v>
      </c>
      <c r="D296" s="4" t="s">
        <v>24</v>
      </c>
      <c r="E296" s="4" t="s">
        <v>32</v>
      </c>
      <c r="F296" s="4" t="s">
        <v>25</v>
      </c>
      <c r="G296" s="4" t="s">
        <v>25</v>
      </c>
      <c r="H296" s="4" t="s">
        <v>25</v>
      </c>
      <c r="I296" s="5">
        <v>44440</v>
      </c>
      <c r="J296" s="6">
        <v>0</v>
      </c>
      <c r="K296" s="6">
        <v>0</v>
      </c>
      <c r="L296" s="6">
        <v>-3.7999999999999999E-2</v>
      </c>
      <c r="M296" s="6">
        <v>-3.7999999999999999E-2</v>
      </c>
      <c r="N296" s="6">
        <v>-3.7999999999999999E-2</v>
      </c>
      <c r="O296" s="6">
        <v>-3.7999999999999999E-2</v>
      </c>
      <c r="P296" s="6">
        <v>-1</v>
      </c>
      <c r="Q296" s="4" t="s">
        <v>26</v>
      </c>
      <c r="R296" s="4">
        <v>0</v>
      </c>
      <c r="S296" s="4">
        <v>0</v>
      </c>
      <c r="T296" s="4">
        <v>37</v>
      </c>
      <c r="U296" s="4">
        <v>77</v>
      </c>
      <c r="V296" s="6">
        <f>IF(ISERROR(VLOOKUP($S$296,'TAR FIN'!$A$1:$O$100,15,0)),0,VLOOKUP($S$296,'TAR FIN'!$A$1:$O$100,15,0))</f>
        <v>0</v>
      </c>
      <c r="W296" s="6">
        <f>IF(ISERROR(VLOOKUP($T$296,'TAR FIN'!$A$1:$O$100,15,0)),0,VLOOKUP($T$296,'TAR FIN'!$A$1:$O$100,15,0))</f>
        <v>246.5</v>
      </c>
      <c r="X296" s="6">
        <f>IF(ISERROR(VLOOKUP($U$296,'TAR FIN'!$A$1:$O$100,15,0)),0,VLOOKUP($U$296,'TAR FIN'!$A$1:$O$100,15,0))</f>
        <v>231.33</v>
      </c>
      <c r="Y296" s="6"/>
      <c r="Z29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6" s="6">
        <f>('TE BE'!$AA$17+'TE BF'!$AA$17+'TE CVA'!$AA$17)*(1-CUSTOS!$M$37)</f>
        <v>250.79367785689016</v>
      </c>
      <c r="AB296" s="6">
        <f t="shared" si="18"/>
        <v>0</v>
      </c>
      <c r="AC296" s="6">
        <f>(L296-M296)*(W296+X296)+($W$276+$X$276-$W$296-$X$296)*(L296)</f>
        <v>-1.0800249583553523E-15</v>
      </c>
      <c r="AD296" s="6">
        <f t="shared" si="19"/>
        <v>0</v>
      </c>
      <c r="AE296" s="6">
        <f ca="1">(L296-M296)*(Z296+AA296)+($Z$276+$AA$276-$Z$296-$AA$296)*(L296)</f>
        <v>-1.0800249583553523E-15</v>
      </c>
      <c r="AF296" s="4" t="s">
        <v>915</v>
      </c>
    </row>
    <row r="297" spans="1:32" ht="11.25" customHeight="1" x14ac:dyDescent="0.25">
      <c r="A297" s="4" t="s">
        <v>28</v>
      </c>
      <c r="B297" s="4" t="s">
        <v>22</v>
      </c>
      <c r="C297" s="4" t="s">
        <v>23</v>
      </c>
      <c r="D297" s="4" t="s">
        <v>24</v>
      </c>
      <c r="E297" s="4" t="s">
        <v>32</v>
      </c>
      <c r="F297" s="4" t="s">
        <v>25</v>
      </c>
      <c r="G297" s="4" t="s">
        <v>25</v>
      </c>
      <c r="H297" s="4" t="s">
        <v>25</v>
      </c>
      <c r="I297" s="5">
        <v>44440</v>
      </c>
      <c r="J297" s="6">
        <v>0</v>
      </c>
      <c r="K297" s="6">
        <v>0</v>
      </c>
      <c r="L297" s="6">
        <v>2.835</v>
      </c>
      <c r="M297" s="6">
        <v>2.835</v>
      </c>
      <c r="N297" s="6">
        <v>2.835</v>
      </c>
      <c r="O297" s="6">
        <v>2.835</v>
      </c>
      <c r="P297" s="6">
        <v>6</v>
      </c>
      <c r="Q297" s="4" t="s">
        <v>26</v>
      </c>
      <c r="R297" s="4">
        <v>0</v>
      </c>
      <c r="S297" s="4">
        <v>0</v>
      </c>
      <c r="T297" s="4">
        <v>37</v>
      </c>
      <c r="U297" s="4">
        <v>77</v>
      </c>
      <c r="V297" s="6">
        <f>IF(ISERROR(VLOOKUP($S$297,'TAR FIN'!$A$1:$O$100,15,0)),0,VLOOKUP($S$297,'TAR FIN'!$A$1:$O$100,15,0))</f>
        <v>0</v>
      </c>
      <c r="W297" s="6">
        <f>IF(ISERROR(VLOOKUP($T$297,'TAR FIN'!$A$1:$O$100,15,0)),0,VLOOKUP($T$297,'TAR FIN'!$A$1:$O$100,15,0))</f>
        <v>246.5</v>
      </c>
      <c r="X297" s="6">
        <f>IF(ISERROR(VLOOKUP($U$297,'TAR FIN'!$A$1:$O$100,15,0)),0,VLOOKUP($U$297,'TAR FIN'!$A$1:$O$100,15,0))</f>
        <v>231.33</v>
      </c>
      <c r="Y297" s="6"/>
      <c r="Z29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7" s="6">
        <f>('TE BE'!$AA$17+'TE BF'!$AA$17+'TE CVA'!$AA$17)*(1-CUSTOS!$M$37)</f>
        <v>250.79367785689016</v>
      </c>
      <c r="AB297" s="6">
        <f t="shared" si="18"/>
        <v>0</v>
      </c>
      <c r="AC297" s="6">
        <f>(L297-M297)*(W297+X297)+($W$276+$X$276-$W$297-$X$297)*(L297)</f>
        <v>8.057554623519536E-14</v>
      </c>
      <c r="AD297" s="6">
        <f t="shared" si="19"/>
        <v>0</v>
      </c>
      <c r="AE297" s="6">
        <f ca="1">(L297-M297)*(Z297+AA297)+($Z$276+$AA$276-$Z$297-$AA$297)*(L297)</f>
        <v>8.057554623519536E-14</v>
      </c>
      <c r="AF297" s="4" t="s">
        <v>915</v>
      </c>
    </row>
    <row r="298" spans="1:32" ht="11.25" customHeight="1" x14ac:dyDescent="0.25">
      <c r="A298" s="4" t="s">
        <v>21</v>
      </c>
      <c r="B298" s="4" t="s">
        <v>22</v>
      </c>
      <c r="C298" s="4" t="s">
        <v>23</v>
      </c>
      <c r="D298" s="4" t="s">
        <v>24</v>
      </c>
      <c r="E298" s="4" t="s">
        <v>32</v>
      </c>
      <c r="F298" s="4" t="s">
        <v>25</v>
      </c>
      <c r="G298" s="4" t="s">
        <v>25</v>
      </c>
      <c r="H298" s="4" t="s">
        <v>25</v>
      </c>
      <c r="I298" s="5">
        <v>44470</v>
      </c>
      <c r="J298" s="6">
        <v>0</v>
      </c>
      <c r="K298" s="6">
        <v>0</v>
      </c>
      <c r="L298" s="6">
        <v>232.042</v>
      </c>
      <c r="M298" s="6">
        <v>232.042</v>
      </c>
      <c r="N298" s="6">
        <v>232.042</v>
      </c>
      <c r="O298" s="6">
        <v>232.042</v>
      </c>
      <c r="P298" s="6">
        <v>2521</v>
      </c>
      <c r="Q298" s="4" t="s">
        <v>26</v>
      </c>
      <c r="R298" s="4">
        <v>0</v>
      </c>
      <c r="S298" s="4">
        <v>0</v>
      </c>
      <c r="T298" s="4">
        <v>37</v>
      </c>
      <c r="U298" s="4">
        <v>77</v>
      </c>
      <c r="V298" s="6">
        <f>IF(ISERROR(VLOOKUP($S$298,'TAR FIN'!$A$1:$O$100,15,0)),0,VLOOKUP($S$298,'TAR FIN'!$A$1:$O$100,15,0))</f>
        <v>0</v>
      </c>
      <c r="W298" s="6">
        <f>IF(ISERROR(VLOOKUP($T$298,'TAR FIN'!$A$1:$O$100,15,0)),0,VLOOKUP($T$298,'TAR FIN'!$A$1:$O$100,15,0))</f>
        <v>246.5</v>
      </c>
      <c r="X298" s="6">
        <f>IF(ISERROR(VLOOKUP($U$298,'TAR FIN'!$A$1:$O$100,15,0)),0,VLOOKUP($U$298,'TAR FIN'!$A$1:$O$100,15,0))</f>
        <v>231.33</v>
      </c>
      <c r="Y298" s="6"/>
      <c r="Z29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8" s="6">
        <f>('TE BE'!$AA$17+'TE BF'!$AA$17+'TE CVA'!$AA$17)*(1-CUSTOS!$M$37)</f>
        <v>250.79367785689016</v>
      </c>
      <c r="AB298" s="6">
        <f t="shared" si="18"/>
        <v>0</v>
      </c>
      <c r="AC298" s="6">
        <f>(L298-M298)*(W298+X298)+($W$276+$X$276-$W$298-$X$298)*(L298)</f>
        <v>6.5950302996498067E-12</v>
      </c>
      <c r="AD298" s="6">
        <f t="shared" si="19"/>
        <v>0</v>
      </c>
      <c r="AE298" s="6">
        <f ca="1">(L298-M298)*(Z298+AA298)+($Z$276+$AA$276-$Z$298-$AA$298)*(L298)</f>
        <v>6.5950302996498067E-12</v>
      </c>
      <c r="AF298" s="4" t="s">
        <v>915</v>
      </c>
    </row>
    <row r="299" spans="1:32" ht="11.25" customHeight="1" x14ac:dyDescent="0.25">
      <c r="A299" s="4" t="s">
        <v>28</v>
      </c>
      <c r="B299" s="4" t="s">
        <v>22</v>
      </c>
      <c r="C299" s="4" t="s">
        <v>23</v>
      </c>
      <c r="D299" s="4" t="s">
        <v>24</v>
      </c>
      <c r="E299" s="4" t="s">
        <v>32</v>
      </c>
      <c r="F299" s="4" t="s">
        <v>25</v>
      </c>
      <c r="G299" s="4" t="s">
        <v>25</v>
      </c>
      <c r="H299" s="4" t="s">
        <v>25</v>
      </c>
      <c r="I299" s="5">
        <v>44470</v>
      </c>
      <c r="J299" s="6">
        <v>0</v>
      </c>
      <c r="K299" s="6">
        <v>0</v>
      </c>
      <c r="L299" s="6">
        <v>2.1280000000000001</v>
      </c>
      <c r="M299" s="6">
        <v>2.1280000000000001</v>
      </c>
      <c r="N299" s="6">
        <v>2.1280000000000001</v>
      </c>
      <c r="O299" s="6">
        <v>2.1280000000000001</v>
      </c>
      <c r="P299" s="6">
        <v>9</v>
      </c>
      <c r="Q299" s="4" t="s">
        <v>26</v>
      </c>
      <c r="R299" s="4">
        <v>0</v>
      </c>
      <c r="S299" s="4">
        <v>0</v>
      </c>
      <c r="T299" s="4">
        <v>37</v>
      </c>
      <c r="U299" s="4">
        <v>77</v>
      </c>
      <c r="V299" s="6">
        <f>IF(ISERROR(VLOOKUP($S$299,'TAR FIN'!$A$1:$O$100,15,0)),0,VLOOKUP($S$299,'TAR FIN'!$A$1:$O$100,15,0))</f>
        <v>0</v>
      </c>
      <c r="W299" s="6">
        <f>IF(ISERROR(VLOOKUP($T$299,'TAR FIN'!$A$1:$O$100,15,0)),0,VLOOKUP($T$299,'TAR FIN'!$A$1:$O$100,15,0))</f>
        <v>246.5</v>
      </c>
      <c r="X299" s="6">
        <f>IF(ISERROR(VLOOKUP($U$299,'TAR FIN'!$A$1:$O$100,15,0)),0,VLOOKUP($U$299,'TAR FIN'!$A$1:$O$100,15,0))</f>
        <v>231.33</v>
      </c>
      <c r="Y299" s="6"/>
      <c r="Z299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299" s="6">
        <f>('TE BE'!$AA$17+'TE BF'!$AA$17+'TE CVA'!$AA$17)*(1-CUSTOS!$M$37)</f>
        <v>250.79367785689016</v>
      </c>
      <c r="AB299" s="6">
        <f t="shared" si="18"/>
        <v>0</v>
      </c>
      <c r="AC299" s="6">
        <f>(L299-M299)*(W299+X299)+($W$276+$X$276-$W$299-$X$299)*(L299)</f>
        <v>6.0481397667899731E-14</v>
      </c>
      <c r="AD299" s="6">
        <f t="shared" si="19"/>
        <v>0</v>
      </c>
      <c r="AE299" s="6">
        <f ca="1">(L299-M299)*(Z299+AA299)+($Z$276+$AA$276-$Z$299-$AA$299)*(L299)</f>
        <v>6.0481397667899731E-14</v>
      </c>
      <c r="AF299" s="4" t="s">
        <v>915</v>
      </c>
    </row>
    <row r="300" spans="1:32" ht="11.25" customHeight="1" x14ac:dyDescent="0.25">
      <c r="A300" s="4" t="s">
        <v>21</v>
      </c>
      <c r="B300" s="4" t="s">
        <v>22</v>
      </c>
      <c r="C300" s="4" t="s">
        <v>23</v>
      </c>
      <c r="D300" s="4" t="s">
        <v>24</v>
      </c>
      <c r="E300" s="4" t="s">
        <v>32</v>
      </c>
      <c r="F300" s="4" t="s">
        <v>25</v>
      </c>
      <c r="G300" s="4" t="s">
        <v>25</v>
      </c>
      <c r="H300" s="4" t="s">
        <v>25</v>
      </c>
      <c r="I300" s="5">
        <v>44501</v>
      </c>
      <c r="J300" s="6">
        <v>0</v>
      </c>
      <c r="K300" s="6">
        <v>0</v>
      </c>
      <c r="L300" s="6">
        <v>246.06800000000001</v>
      </c>
      <c r="M300" s="6">
        <v>246.06800000000001</v>
      </c>
      <c r="N300" s="6">
        <v>246.06800000000001</v>
      </c>
      <c r="O300" s="6">
        <v>246.06800000000001</v>
      </c>
      <c r="P300" s="6">
        <v>2683</v>
      </c>
      <c r="Q300" s="4" t="s">
        <v>26</v>
      </c>
      <c r="R300" s="4">
        <v>0</v>
      </c>
      <c r="S300" s="4">
        <v>0</v>
      </c>
      <c r="T300" s="4">
        <v>37</v>
      </c>
      <c r="U300" s="4">
        <v>77</v>
      </c>
      <c r="V300" s="6">
        <f>IF(ISERROR(VLOOKUP($S$300,'TAR FIN'!$A$1:$O$100,15,0)),0,VLOOKUP($S$300,'TAR FIN'!$A$1:$O$100,15,0))</f>
        <v>0</v>
      </c>
      <c r="W300" s="6">
        <f>IF(ISERROR(VLOOKUP($T$300,'TAR FIN'!$A$1:$O$100,15,0)),0,VLOOKUP($T$300,'TAR FIN'!$A$1:$O$100,15,0))</f>
        <v>246.5</v>
      </c>
      <c r="X300" s="6">
        <f>IF(ISERROR(VLOOKUP($U$300,'TAR FIN'!$A$1:$O$100,15,0)),0,VLOOKUP($U$300,'TAR FIN'!$A$1:$O$100,15,0))</f>
        <v>231.33</v>
      </c>
      <c r="Y300" s="6"/>
      <c r="Z300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0" s="6">
        <f>('TE BE'!$AA$17+'TE BF'!$AA$17+'TE CVA'!$AA$17)*(1-CUSTOS!$M$37)</f>
        <v>250.79367785689016</v>
      </c>
      <c r="AB300" s="6">
        <f t="shared" si="18"/>
        <v>0</v>
      </c>
      <c r="AC300" s="6">
        <f>(L300-M300)*(W300+X300)+($W$276+$X$276-$W$300-$X$300)*(L300)</f>
        <v>6.9936731961206536E-12</v>
      </c>
      <c r="AD300" s="6">
        <f t="shared" si="19"/>
        <v>0</v>
      </c>
      <c r="AE300" s="6">
        <f ca="1">(L300-M300)*(Z300+AA300)+($Z$276+$AA$276-$Z$300-$AA$300)*(L300)</f>
        <v>6.9936731961206536E-12</v>
      </c>
      <c r="AF300" s="4" t="s">
        <v>915</v>
      </c>
    </row>
    <row r="301" spans="1:32" ht="11.25" customHeight="1" x14ac:dyDescent="0.25">
      <c r="A301" s="4" t="s">
        <v>27</v>
      </c>
      <c r="B301" s="4" t="s">
        <v>22</v>
      </c>
      <c r="C301" s="4" t="s">
        <v>23</v>
      </c>
      <c r="D301" s="4" t="s">
        <v>24</v>
      </c>
      <c r="E301" s="4" t="s">
        <v>32</v>
      </c>
      <c r="F301" s="4" t="s">
        <v>25</v>
      </c>
      <c r="G301" s="4" t="s">
        <v>25</v>
      </c>
      <c r="H301" s="4" t="s">
        <v>25</v>
      </c>
      <c r="I301" s="5">
        <v>44501</v>
      </c>
      <c r="J301" s="6">
        <v>0</v>
      </c>
      <c r="K301" s="6">
        <v>0</v>
      </c>
      <c r="L301" s="6">
        <v>-1.1659999999999999</v>
      </c>
      <c r="M301" s="6">
        <v>-1.1659999999999999</v>
      </c>
      <c r="N301" s="6">
        <v>-1.1659999999999999</v>
      </c>
      <c r="O301" s="6">
        <v>-1.1659999999999999</v>
      </c>
      <c r="P301" s="6">
        <v>-1</v>
      </c>
      <c r="Q301" s="4" t="s">
        <v>26</v>
      </c>
      <c r="R301" s="4">
        <v>0</v>
      </c>
      <c r="S301" s="4">
        <v>0</v>
      </c>
      <c r="T301" s="4">
        <v>37</v>
      </c>
      <c r="U301" s="4">
        <v>77</v>
      </c>
      <c r="V301" s="6">
        <f>IF(ISERROR(VLOOKUP($S$301,'TAR FIN'!$A$1:$O$100,15,0)),0,VLOOKUP($S$301,'TAR FIN'!$A$1:$O$100,15,0))</f>
        <v>0</v>
      </c>
      <c r="W301" s="6">
        <f>IF(ISERROR(VLOOKUP($T$301,'TAR FIN'!$A$1:$O$100,15,0)),0,VLOOKUP($T$301,'TAR FIN'!$A$1:$O$100,15,0))</f>
        <v>246.5</v>
      </c>
      <c r="X301" s="6">
        <f>IF(ISERROR(VLOOKUP($U$301,'TAR FIN'!$A$1:$O$100,15,0)),0,VLOOKUP($U$301,'TAR FIN'!$A$1:$O$100,15,0))</f>
        <v>231.33</v>
      </c>
      <c r="Y301" s="6"/>
      <c r="Z301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1" s="6">
        <f>('TE BE'!$AA$17+'TE BF'!$AA$17+'TE CVA'!$AA$17)*(1-CUSTOS!$M$37)</f>
        <v>250.79367785689016</v>
      </c>
      <c r="AB301" s="6">
        <f t="shared" si="18"/>
        <v>0</v>
      </c>
      <c r="AC301" s="6">
        <f>(L301-M301)*(W301+X301)+($W$276+$X$276-$W$301-$X$301)*(L301)</f>
        <v>-3.3139713195851071E-14</v>
      </c>
      <c r="AD301" s="6">
        <f t="shared" si="19"/>
        <v>0</v>
      </c>
      <c r="AE301" s="6">
        <f ca="1">(L301-M301)*(Z301+AA301)+($Z$276+$AA$276-$Z$301-$AA$301)*(L301)</f>
        <v>-3.3139713195851071E-14</v>
      </c>
      <c r="AF301" s="4" t="s">
        <v>915</v>
      </c>
    </row>
    <row r="302" spans="1:32" ht="11.25" customHeight="1" x14ac:dyDescent="0.25">
      <c r="A302" s="4" t="s">
        <v>28</v>
      </c>
      <c r="B302" s="4" t="s">
        <v>22</v>
      </c>
      <c r="C302" s="4" t="s">
        <v>23</v>
      </c>
      <c r="D302" s="4" t="s">
        <v>24</v>
      </c>
      <c r="E302" s="4" t="s">
        <v>32</v>
      </c>
      <c r="F302" s="4" t="s">
        <v>25</v>
      </c>
      <c r="G302" s="4" t="s">
        <v>25</v>
      </c>
      <c r="H302" s="4" t="s">
        <v>25</v>
      </c>
      <c r="I302" s="5">
        <v>44501</v>
      </c>
      <c r="J302" s="6">
        <v>0</v>
      </c>
      <c r="K302" s="6">
        <v>0</v>
      </c>
      <c r="L302" s="6">
        <v>2.665</v>
      </c>
      <c r="M302" s="6">
        <v>2.665</v>
      </c>
      <c r="N302" s="6">
        <v>2.665</v>
      </c>
      <c r="O302" s="6">
        <v>2.665</v>
      </c>
      <c r="P302" s="6">
        <v>12</v>
      </c>
      <c r="Q302" s="4" t="s">
        <v>26</v>
      </c>
      <c r="R302" s="4">
        <v>0</v>
      </c>
      <c r="S302" s="4">
        <v>0</v>
      </c>
      <c r="T302" s="4">
        <v>37</v>
      </c>
      <c r="U302" s="4">
        <v>77</v>
      </c>
      <c r="V302" s="6">
        <f>IF(ISERROR(VLOOKUP($S$302,'TAR FIN'!$A$1:$O$100,15,0)),0,VLOOKUP($S$302,'TAR FIN'!$A$1:$O$100,15,0))</f>
        <v>0</v>
      </c>
      <c r="W302" s="6">
        <f>IF(ISERROR(VLOOKUP($T$302,'TAR FIN'!$A$1:$O$100,15,0)),0,VLOOKUP($T$302,'TAR FIN'!$A$1:$O$100,15,0))</f>
        <v>246.5</v>
      </c>
      <c r="X302" s="6">
        <f>IF(ISERROR(VLOOKUP($U$302,'TAR FIN'!$A$1:$O$100,15,0)),0,VLOOKUP($U$302,'TAR FIN'!$A$1:$O$100,15,0))</f>
        <v>231.33</v>
      </c>
      <c r="Y302" s="6"/>
      <c r="Z302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2" s="6">
        <f>('TE BE'!$AA$17+'TE BF'!$AA$17+'TE CVA'!$AA$17)*(1-CUSTOS!$M$37)</f>
        <v>250.79367785689016</v>
      </c>
      <c r="AB302" s="6">
        <f t="shared" si="18"/>
        <v>0</v>
      </c>
      <c r="AC302" s="6">
        <f>(L302-M302)*(W302+X302)+($W$276+$X$276-$W$302-$X$302)*(L302)</f>
        <v>7.5743855632026681E-14</v>
      </c>
      <c r="AD302" s="6">
        <f t="shared" si="19"/>
        <v>0</v>
      </c>
      <c r="AE302" s="6">
        <f ca="1">(L302-M302)*(Z302+AA302)+($Z$276+$AA$276-$Z$302-$AA$302)*(L302)</f>
        <v>7.5743855632026681E-14</v>
      </c>
      <c r="AF302" s="4" t="s">
        <v>915</v>
      </c>
    </row>
    <row r="303" spans="1:32" ht="11.25" customHeight="1" x14ac:dyDescent="0.25">
      <c r="A303" s="4" t="s">
        <v>21</v>
      </c>
      <c r="B303" s="4" t="s">
        <v>22</v>
      </c>
      <c r="C303" s="4" t="s">
        <v>23</v>
      </c>
      <c r="D303" s="4" t="s">
        <v>24</v>
      </c>
      <c r="E303" s="4" t="s">
        <v>32</v>
      </c>
      <c r="F303" s="4" t="s">
        <v>25</v>
      </c>
      <c r="G303" s="4" t="s">
        <v>25</v>
      </c>
      <c r="H303" s="4" t="s">
        <v>25</v>
      </c>
      <c r="I303" s="5">
        <v>44531</v>
      </c>
      <c r="J303" s="6">
        <v>0</v>
      </c>
      <c r="K303" s="6">
        <v>0</v>
      </c>
      <c r="L303" s="6">
        <v>288.95600000000002</v>
      </c>
      <c r="M303" s="6">
        <v>288.95600000000002</v>
      </c>
      <c r="N303" s="6">
        <v>288.95600000000002</v>
      </c>
      <c r="O303" s="6">
        <v>288.95600000000002</v>
      </c>
      <c r="P303" s="6">
        <v>3028</v>
      </c>
      <c r="Q303" s="4" t="s">
        <v>26</v>
      </c>
      <c r="R303" s="4">
        <v>0</v>
      </c>
      <c r="S303" s="4">
        <v>0</v>
      </c>
      <c r="T303" s="4">
        <v>37</v>
      </c>
      <c r="U303" s="4">
        <v>77</v>
      </c>
      <c r="V303" s="6">
        <f>IF(ISERROR(VLOOKUP($S$303,'TAR FIN'!$A$1:$O$100,15,0)),0,VLOOKUP($S$303,'TAR FIN'!$A$1:$O$100,15,0))</f>
        <v>0</v>
      </c>
      <c r="W303" s="6">
        <f>IF(ISERROR(VLOOKUP($T$303,'TAR FIN'!$A$1:$O$100,15,0)),0,VLOOKUP($T$303,'TAR FIN'!$A$1:$O$100,15,0))</f>
        <v>246.5</v>
      </c>
      <c r="X303" s="6">
        <f>IF(ISERROR(VLOOKUP($U$303,'TAR FIN'!$A$1:$O$100,15,0)),0,VLOOKUP($U$303,'TAR FIN'!$A$1:$O$100,15,0))</f>
        <v>231.33</v>
      </c>
      <c r="Y303" s="6"/>
      <c r="Z303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3" s="6">
        <f>('TE BE'!$AA$17+'TE BF'!$AA$17+'TE CVA'!$AA$17)*(1-CUSTOS!$M$37)</f>
        <v>250.79367785689016</v>
      </c>
      <c r="AB303" s="6">
        <f t="shared" si="18"/>
        <v>0</v>
      </c>
      <c r="AC303" s="6">
        <f>(L303-M303)*(W303+X303)+($W$276+$X$276-$W$303-$X$303)*(L303)</f>
        <v>8.2126234701718209E-12</v>
      </c>
      <c r="AD303" s="6">
        <f t="shared" si="19"/>
        <v>0</v>
      </c>
      <c r="AE303" s="6">
        <f ca="1">(L303-M303)*(Z303+AA303)+($Z$276+$AA$276-$Z$303-$AA$303)*(L303)</f>
        <v>8.2126234701718209E-12</v>
      </c>
      <c r="AF303" s="4" t="s">
        <v>915</v>
      </c>
    </row>
    <row r="304" spans="1:32" ht="11.25" customHeight="1" x14ac:dyDescent="0.25">
      <c r="A304" s="4" t="s">
        <v>27</v>
      </c>
      <c r="B304" s="4" t="s">
        <v>22</v>
      </c>
      <c r="C304" s="4" t="s">
        <v>23</v>
      </c>
      <c r="D304" s="4" t="s">
        <v>24</v>
      </c>
      <c r="E304" s="4" t="s">
        <v>32</v>
      </c>
      <c r="F304" s="4" t="s">
        <v>25</v>
      </c>
      <c r="G304" s="4" t="s">
        <v>25</v>
      </c>
      <c r="H304" s="4" t="s">
        <v>25</v>
      </c>
      <c r="I304" s="5">
        <v>44531</v>
      </c>
      <c r="J304" s="6">
        <v>0</v>
      </c>
      <c r="K304" s="6">
        <v>0</v>
      </c>
      <c r="L304" s="6">
        <v>-0.86199999999999999</v>
      </c>
      <c r="M304" s="6">
        <v>-0.86199999999999999</v>
      </c>
      <c r="N304" s="6">
        <v>-0.86199999999999999</v>
      </c>
      <c r="O304" s="6">
        <v>-0.86199999999999999</v>
      </c>
      <c r="P304" s="6">
        <v>-1</v>
      </c>
      <c r="Q304" s="4" t="s">
        <v>26</v>
      </c>
      <c r="R304" s="4">
        <v>0</v>
      </c>
      <c r="S304" s="4">
        <v>0</v>
      </c>
      <c r="T304" s="4">
        <v>37</v>
      </c>
      <c r="U304" s="4">
        <v>77</v>
      </c>
      <c r="V304" s="6">
        <f>IF(ISERROR(VLOOKUP($S$304,'TAR FIN'!$A$1:$O$100,15,0)),0,VLOOKUP($S$304,'TAR FIN'!$A$1:$O$100,15,0))</f>
        <v>0</v>
      </c>
      <c r="W304" s="6">
        <f>IF(ISERROR(VLOOKUP($T$304,'TAR FIN'!$A$1:$O$100,15,0)),0,VLOOKUP($T$304,'TAR FIN'!$A$1:$O$100,15,0))</f>
        <v>246.5</v>
      </c>
      <c r="X304" s="6">
        <f>IF(ISERROR(VLOOKUP($U$304,'TAR FIN'!$A$1:$O$100,15,0)),0,VLOOKUP($U$304,'TAR FIN'!$A$1:$O$100,15,0))</f>
        <v>231.33</v>
      </c>
      <c r="Y304" s="6"/>
      <c r="Z304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4" s="6">
        <f>('TE BE'!$AA$17+'TE BF'!$AA$17+'TE CVA'!$AA$17)*(1-CUSTOS!$M$37)</f>
        <v>250.79367785689016</v>
      </c>
      <c r="AB304" s="6">
        <f t="shared" si="18"/>
        <v>0</v>
      </c>
      <c r="AC304" s="6">
        <f>(L304-M304)*(W304+X304)+($W$276+$X$276-$W$304-$X$304)*(L304)</f>
        <v>-2.4499513529008254E-14</v>
      </c>
      <c r="AD304" s="6">
        <f t="shared" si="19"/>
        <v>0</v>
      </c>
      <c r="AE304" s="6">
        <f ca="1">(L304-M304)*(Z304+AA304)+($Z$276+$AA$276-$Z$304-$AA$304)*(L304)</f>
        <v>-2.4499513529008254E-14</v>
      </c>
      <c r="AF304" s="4" t="s">
        <v>915</v>
      </c>
    </row>
    <row r="305" spans="1:32" ht="11.25" customHeight="1" x14ac:dyDescent="0.25">
      <c r="A305" s="4" t="s">
        <v>28</v>
      </c>
      <c r="B305" s="4" t="s">
        <v>22</v>
      </c>
      <c r="C305" s="4" t="s">
        <v>23</v>
      </c>
      <c r="D305" s="4" t="s">
        <v>24</v>
      </c>
      <c r="E305" s="4" t="s">
        <v>32</v>
      </c>
      <c r="F305" s="4" t="s">
        <v>25</v>
      </c>
      <c r="G305" s="4" t="s">
        <v>25</v>
      </c>
      <c r="H305" s="4" t="s">
        <v>25</v>
      </c>
      <c r="I305" s="5">
        <v>44531</v>
      </c>
      <c r="J305" s="6">
        <v>0</v>
      </c>
      <c r="K305" s="6">
        <v>0</v>
      </c>
      <c r="L305" s="6">
        <v>7.1210000000000004</v>
      </c>
      <c r="M305" s="6">
        <v>7.1210000000000004</v>
      </c>
      <c r="N305" s="6">
        <v>7.1210000000000004</v>
      </c>
      <c r="O305" s="6">
        <v>7.1210000000000004</v>
      </c>
      <c r="P305" s="6">
        <v>15</v>
      </c>
      <c r="Q305" s="4" t="s">
        <v>26</v>
      </c>
      <c r="R305" s="4">
        <v>0</v>
      </c>
      <c r="S305" s="4">
        <v>0</v>
      </c>
      <c r="T305" s="4">
        <v>37</v>
      </c>
      <c r="U305" s="4">
        <v>77</v>
      </c>
      <c r="V305" s="6">
        <f>IF(ISERROR(VLOOKUP($S$305,'TAR FIN'!$A$1:$O$100,15,0)),0,VLOOKUP($S$305,'TAR FIN'!$A$1:$O$100,15,0))</f>
        <v>0</v>
      </c>
      <c r="W305" s="6">
        <f>IF(ISERROR(VLOOKUP($T$305,'TAR FIN'!$A$1:$O$100,15,0)),0,VLOOKUP($T$305,'TAR FIN'!$A$1:$O$100,15,0))</f>
        <v>246.5</v>
      </c>
      <c r="X305" s="6">
        <f>IF(ISERROR(VLOOKUP($U$305,'TAR FIN'!$A$1:$O$100,15,0)),0,VLOOKUP($U$305,'TAR FIN'!$A$1:$O$100,15,0))</f>
        <v>231.33</v>
      </c>
      <c r="Y305" s="6"/>
      <c r="Z305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5" s="6">
        <f>('TE BE'!$AA$17+'TE BF'!$AA$17+'TE CVA'!$AA$17)*(1-CUSTOS!$M$37)</f>
        <v>250.79367785689016</v>
      </c>
      <c r="AB305" s="6">
        <f t="shared" si="18"/>
        <v>0</v>
      </c>
      <c r="AC305" s="6">
        <f>(L305-M305)*(W305+X305)+($W$276+$X$276-$W$305-$X$305)*(L305)</f>
        <v>2.0239099285390695E-13</v>
      </c>
      <c r="AD305" s="6">
        <f t="shared" si="19"/>
        <v>0</v>
      </c>
      <c r="AE305" s="6">
        <f ca="1">(L305-M305)*(Z305+AA305)+($Z$276+$AA$276-$Z$305-$AA$305)*(L305)</f>
        <v>2.0239099285390695E-13</v>
      </c>
      <c r="AF305" s="4" t="s">
        <v>915</v>
      </c>
    </row>
    <row r="306" spans="1:32" ht="11.25" customHeight="1" x14ac:dyDescent="0.25">
      <c r="A306" s="4" t="s">
        <v>55</v>
      </c>
      <c r="B306" s="4" t="s">
        <v>22</v>
      </c>
      <c r="C306" s="4" t="s">
        <v>23</v>
      </c>
      <c r="D306" s="4" t="s">
        <v>24</v>
      </c>
      <c r="E306" s="4" t="s">
        <v>32</v>
      </c>
      <c r="F306" s="4" t="s">
        <v>25</v>
      </c>
      <c r="G306" s="4" t="s">
        <v>25</v>
      </c>
      <c r="H306" s="4" t="s">
        <v>25</v>
      </c>
      <c r="I306" s="5">
        <v>44562</v>
      </c>
      <c r="J306" s="6">
        <v>0</v>
      </c>
      <c r="K306" s="6">
        <v>0</v>
      </c>
      <c r="L306" s="6">
        <v>288.95600000000002</v>
      </c>
      <c r="M306" s="6">
        <v>288.95600000000002</v>
      </c>
      <c r="N306" s="6">
        <v>288.95600000000002</v>
      </c>
      <c r="O306" s="6">
        <v>288.95600000000002</v>
      </c>
      <c r="P306" s="6">
        <v>3028</v>
      </c>
      <c r="Q306" s="4" t="s">
        <v>26</v>
      </c>
      <c r="R306" s="4">
        <v>0</v>
      </c>
      <c r="S306" s="4">
        <v>0</v>
      </c>
      <c r="T306" s="4">
        <v>37</v>
      </c>
      <c r="U306" s="4">
        <v>77</v>
      </c>
      <c r="V306" s="6">
        <f>IF(ISERROR(VLOOKUP($S$306,'TAR FIN'!$A$1:$O$100,15,0)),0,VLOOKUP($S$306,'TAR FIN'!$A$1:$O$100,15,0))</f>
        <v>0</v>
      </c>
      <c r="W306" s="6">
        <f>IF(ISERROR(VLOOKUP($T$306,'TAR FIN'!$A$1:$O$100,15,0)),0,VLOOKUP($T$306,'TAR FIN'!$A$1:$O$100,15,0))</f>
        <v>246.5</v>
      </c>
      <c r="X306" s="6">
        <f>IF(ISERROR(VLOOKUP($U$306,'TAR FIN'!$A$1:$O$100,15,0)),0,VLOOKUP($U$306,'TAR FIN'!$A$1:$O$100,15,0))</f>
        <v>231.33</v>
      </c>
      <c r="Y306" s="6"/>
      <c r="Z306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6" s="6">
        <f>('TE BE'!$AA$17+'TE BF'!$AA$17+'TE CVA'!$AA$17)*(1-CUSTOS!$M$37)</f>
        <v>250.79367785689016</v>
      </c>
      <c r="AB306" s="6">
        <f t="shared" si="18"/>
        <v>0</v>
      </c>
      <c r="AC306" s="6">
        <f>(L306-M306)*(W306+X306)+($W$276+$X$276-$W$306-$X$306)*(L306)</f>
        <v>8.2126234701718209E-12</v>
      </c>
      <c r="AD306" s="6">
        <f t="shared" si="19"/>
        <v>0</v>
      </c>
      <c r="AE306" s="6">
        <f ca="1">(L306-M306)*(Z306+AA306)+($Z$276+$AA$276-$Z$306-$AA$306)*(L306)</f>
        <v>8.2126234701718209E-12</v>
      </c>
      <c r="AF306" s="4" t="s">
        <v>915</v>
      </c>
    </row>
    <row r="307" spans="1:32" ht="11.25" customHeight="1" x14ac:dyDescent="0.25">
      <c r="A307" s="4" t="s">
        <v>55</v>
      </c>
      <c r="B307" s="4" t="s">
        <v>22</v>
      </c>
      <c r="C307" s="4" t="s">
        <v>23</v>
      </c>
      <c r="D307" s="4" t="s">
        <v>24</v>
      </c>
      <c r="E307" s="4" t="s">
        <v>32</v>
      </c>
      <c r="F307" s="4" t="s">
        <v>25</v>
      </c>
      <c r="G307" s="4" t="s">
        <v>25</v>
      </c>
      <c r="H307" s="4" t="s">
        <v>25</v>
      </c>
      <c r="I307" s="5">
        <v>44562</v>
      </c>
      <c r="J307" s="6">
        <v>0</v>
      </c>
      <c r="K307" s="6">
        <v>0</v>
      </c>
      <c r="L307" s="6">
        <v>-0.86199999999999999</v>
      </c>
      <c r="M307" s="6">
        <v>-0.86199999999999999</v>
      </c>
      <c r="N307" s="6">
        <v>-0.86199999999999999</v>
      </c>
      <c r="O307" s="6">
        <v>-0.86199999999999999</v>
      </c>
      <c r="P307" s="6">
        <v>-1</v>
      </c>
      <c r="Q307" s="4" t="s">
        <v>26</v>
      </c>
      <c r="R307" s="4">
        <v>0</v>
      </c>
      <c r="S307" s="4">
        <v>0</v>
      </c>
      <c r="T307" s="4">
        <v>37</v>
      </c>
      <c r="U307" s="4">
        <v>77</v>
      </c>
      <c r="V307" s="6">
        <f>IF(ISERROR(VLOOKUP($S$307,'TAR FIN'!$A$1:$O$100,15,0)),0,VLOOKUP($S$307,'TAR FIN'!$A$1:$O$100,15,0))</f>
        <v>0</v>
      </c>
      <c r="W307" s="6">
        <f>IF(ISERROR(VLOOKUP($T$307,'TAR FIN'!$A$1:$O$100,15,0)),0,VLOOKUP($T$307,'TAR FIN'!$A$1:$O$100,15,0))</f>
        <v>246.5</v>
      </c>
      <c r="X307" s="6">
        <f>IF(ISERROR(VLOOKUP($U$307,'TAR FIN'!$A$1:$O$100,15,0)),0,VLOOKUP($U$307,'TAR FIN'!$A$1:$O$100,15,0))</f>
        <v>231.33</v>
      </c>
      <c r="Y307" s="6"/>
      <c r="Z307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7" s="6">
        <f>('TE BE'!$AA$17+'TE BF'!$AA$17+'TE CVA'!$AA$17)*(1-CUSTOS!$M$37)</f>
        <v>250.79367785689016</v>
      </c>
      <c r="AB307" s="6">
        <f t="shared" si="18"/>
        <v>0</v>
      </c>
      <c r="AC307" s="6">
        <f>(L307-M307)*(W307+X307)+($W$276+$X$276-$W$307-$X$307)*(L307)</f>
        <v>-2.4499513529008254E-14</v>
      </c>
      <c r="AD307" s="6">
        <f t="shared" si="19"/>
        <v>0</v>
      </c>
      <c r="AE307" s="6">
        <f ca="1">(L307-M307)*(Z307+AA307)+($Z$276+$AA$276-$Z$307-$AA$307)*(L307)</f>
        <v>-2.4499513529008254E-14</v>
      </c>
      <c r="AF307" s="4" t="s">
        <v>915</v>
      </c>
    </row>
    <row r="308" spans="1:32" ht="11.25" customHeight="1" x14ac:dyDescent="0.25">
      <c r="A308" s="4" t="s">
        <v>55</v>
      </c>
      <c r="B308" s="4" t="s">
        <v>22</v>
      </c>
      <c r="C308" s="4" t="s">
        <v>23</v>
      </c>
      <c r="D308" s="4" t="s">
        <v>24</v>
      </c>
      <c r="E308" s="4" t="s">
        <v>32</v>
      </c>
      <c r="F308" s="4" t="s">
        <v>25</v>
      </c>
      <c r="G308" s="4" t="s">
        <v>25</v>
      </c>
      <c r="H308" s="4" t="s">
        <v>25</v>
      </c>
      <c r="I308" s="5">
        <v>44562</v>
      </c>
      <c r="J308" s="6">
        <v>0</v>
      </c>
      <c r="K308" s="6">
        <v>0</v>
      </c>
      <c r="L308" s="6">
        <v>7.1210000000000004</v>
      </c>
      <c r="M308" s="6">
        <v>7.1210000000000004</v>
      </c>
      <c r="N308" s="6">
        <v>7.1210000000000004</v>
      </c>
      <c r="O308" s="6">
        <v>7.1210000000000004</v>
      </c>
      <c r="P308" s="6">
        <v>15</v>
      </c>
      <c r="Q308" s="4" t="s">
        <v>26</v>
      </c>
      <c r="R308" s="4">
        <v>0</v>
      </c>
      <c r="S308" s="4">
        <v>0</v>
      </c>
      <c r="T308" s="4">
        <v>37</v>
      </c>
      <c r="U308" s="4">
        <v>77</v>
      </c>
      <c r="V308" s="6">
        <f>IF(ISERROR(VLOOKUP($S$308,'TAR FIN'!$A$1:$O$100,15,0)),0,VLOOKUP($S$308,'TAR FIN'!$A$1:$O$100,15,0))</f>
        <v>0</v>
      </c>
      <c r="W308" s="6">
        <f>IF(ISERROR(VLOOKUP($T$308,'TAR FIN'!$A$1:$O$100,15,0)),0,VLOOKUP($T$308,'TAR FIN'!$A$1:$O$100,15,0))</f>
        <v>246.5</v>
      </c>
      <c r="X308" s="6">
        <f>IF(ISERROR(VLOOKUP($U$308,'TAR FIN'!$A$1:$O$100,15,0)),0,VLOOKUP($U$308,'TAR FIN'!$A$1:$O$100,15,0))</f>
        <v>231.33</v>
      </c>
      <c r="Y308" s="6"/>
      <c r="Z308" s="6">
        <f ca="1">('TUSD BE'!$AM$34+'TUSD BF'!$AM$34+'TUSD CVA'!$AM$34-('TUSD BE'!$P$34+'TUSD BF'!$P$34+'TUSD CVA'!$P$34)-('TUSD BE'!$Q$34+'TUSD BF'!$Q$34+'TUSD CVA'!$Q$34)-('TUSD BE'!$R$34+'TUSD BF'!$R$34+'TUSD CVA'!$R$34))*(1-CUSTOS!$M$37)</f>
        <v>238.71390940387451</v>
      </c>
      <c r="AA308" s="6">
        <f>('TE BE'!$AA$17+'TE BF'!$AA$17+'TE CVA'!$AA$17)*(1-CUSTOS!$M$37)</f>
        <v>250.79367785689016</v>
      </c>
      <c r="AB308" s="6">
        <f t="shared" si="18"/>
        <v>0</v>
      </c>
      <c r="AC308" s="6">
        <f>(L308-M308)*(W308+X308)+($W$276+$X$276-$W$308-$X$308)*(L308)</f>
        <v>2.0239099285390695E-13</v>
      </c>
      <c r="AD308" s="6">
        <f t="shared" si="19"/>
        <v>0</v>
      </c>
      <c r="AE308" s="6">
        <f ca="1">(L308-M308)*(Z308+AA308)+($Z$276+$AA$276-$Z$308-$AA$308)*(L308)</f>
        <v>2.0239099285390695E-13</v>
      </c>
      <c r="AF308" s="4" t="s">
        <v>915</v>
      </c>
    </row>
    <row r="309" spans="1:32" ht="11.25" customHeight="1" x14ac:dyDescent="0.25">
      <c r="A309" s="4" t="s">
        <v>21</v>
      </c>
      <c r="B309" s="4" t="s">
        <v>43</v>
      </c>
      <c r="C309" s="4" t="s">
        <v>33</v>
      </c>
      <c r="D309" s="4" t="s">
        <v>44</v>
      </c>
      <c r="E309" s="4" t="s">
        <v>25</v>
      </c>
      <c r="F309" s="4" t="s">
        <v>25</v>
      </c>
      <c r="G309" s="4" t="s">
        <v>25</v>
      </c>
      <c r="H309" s="4" t="s">
        <v>35</v>
      </c>
      <c r="I309" s="5">
        <v>44228</v>
      </c>
      <c r="J309" s="6">
        <v>0</v>
      </c>
      <c r="K309" s="6">
        <v>0</v>
      </c>
      <c r="L309" s="6">
        <v>0.28799999999999998</v>
      </c>
      <c r="M309" s="6">
        <v>0.28799999999999998</v>
      </c>
      <c r="N309" s="6">
        <v>0.28799999999999998</v>
      </c>
      <c r="O309" s="6">
        <v>0.28799999999999998</v>
      </c>
      <c r="P309" s="6">
        <v>0</v>
      </c>
      <c r="Q309" s="4" t="s">
        <v>26</v>
      </c>
      <c r="R309" s="4">
        <v>0</v>
      </c>
      <c r="S309" s="4">
        <v>0</v>
      </c>
      <c r="T309" s="4">
        <v>45</v>
      </c>
      <c r="U309" s="4">
        <v>98</v>
      </c>
      <c r="V309" s="6">
        <f>IF(ISERROR(VLOOKUP($S$309,'TAR FIN'!$A$1:$O$100,15,0)),0,VLOOKUP($S$309,'TAR FIN'!$A$1:$O$100,15,0))</f>
        <v>0</v>
      </c>
      <c r="W309" s="6">
        <f>IF(ISERROR(VLOOKUP($T$309,'TAR FIN'!$A$1:$O$100,15,0)),0,VLOOKUP($T$309,'TAR FIN'!$A$1:$O$100,15,0))</f>
        <v>180.14</v>
      </c>
      <c r="X309" s="6">
        <f>IF(ISERROR(VLOOKUP($U$309,'TAR FIN'!$A$1:$O$100,15,0)),0,VLOOKUP($U$309,'TAR FIN'!$A$1:$O$100,15,0))</f>
        <v>192.75</v>
      </c>
      <c r="Y309" s="6"/>
      <c r="Z309" s="6">
        <f ca="1">('TUSD BE'!$AM$42+'TUSD BF'!$AM$42+'TUSD CVA'!$AM$42)*(1-CUSTOS!$M$38)</f>
        <v>194.93735379735051</v>
      </c>
      <c r="AA309" s="6">
        <f>('TE BE'!$AA$25+'TE BF'!$AA$25+'TE CVA'!$AA$25)*(1-CUSTOS!$M$38)</f>
        <v>224.23773216940677</v>
      </c>
      <c r="AB309" s="6">
        <f t="shared" si="18"/>
        <v>0</v>
      </c>
      <c r="AC309" s="6">
        <f>(L309*W309+M309*X309)/(1-CUSTOS!$M$38)*CUSTOS!$M$38</f>
        <v>6.8548289361702119</v>
      </c>
      <c r="AD309" s="6">
        <f t="shared" si="19"/>
        <v>0</v>
      </c>
      <c r="AE309" s="6">
        <f ca="1">(L309*Z309+N309*AA309)/(1-CUSTOS!$M$38)*CUSTOS!$M$38</f>
        <v>7.7056866867080478</v>
      </c>
      <c r="AF309" s="4" t="s">
        <v>914</v>
      </c>
    </row>
    <row r="310" spans="1:32" ht="11.25" customHeight="1" x14ac:dyDescent="0.25">
      <c r="A310" s="4" t="s">
        <v>21</v>
      </c>
      <c r="B310" s="4" t="s">
        <v>43</v>
      </c>
      <c r="C310" s="4" t="s">
        <v>33</v>
      </c>
      <c r="D310" s="4" t="s">
        <v>44</v>
      </c>
      <c r="E310" s="4" t="s">
        <v>25</v>
      </c>
      <c r="F310" s="4" t="s">
        <v>25</v>
      </c>
      <c r="G310" s="4" t="s">
        <v>25</v>
      </c>
      <c r="H310" s="4" t="s">
        <v>35</v>
      </c>
      <c r="I310" s="5">
        <v>44256</v>
      </c>
      <c r="J310" s="6">
        <v>0</v>
      </c>
      <c r="K310" s="6">
        <v>0</v>
      </c>
      <c r="L310" s="6">
        <v>0.34799999999999998</v>
      </c>
      <c r="M310" s="6">
        <v>0.34799999999999998</v>
      </c>
      <c r="N310" s="6">
        <v>0.34799999999999998</v>
      </c>
      <c r="O310" s="6">
        <v>0.34799999999999998</v>
      </c>
      <c r="P310" s="6">
        <v>0</v>
      </c>
      <c r="Q310" s="4" t="s">
        <v>26</v>
      </c>
      <c r="R310" s="4">
        <v>0</v>
      </c>
      <c r="S310" s="4">
        <v>0</v>
      </c>
      <c r="T310" s="4">
        <v>45</v>
      </c>
      <c r="U310" s="4">
        <v>98</v>
      </c>
      <c r="V310" s="6">
        <f>IF(ISERROR(VLOOKUP($S$310,'TAR FIN'!$A$1:$O$100,15,0)),0,VLOOKUP($S$310,'TAR FIN'!$A$1:$O$100,15,0))</f>
        <v>0</v>
      </c>
      <c r="W310" s="6">
        <f>IF(ISERROR(VLOOKUP($T$310,'TAR FIN'!$A$1:$O$100,15,0)),0,VLOOKUP($T$310,'TAR FIN'!$A$1:$O$100,15,0))</f>
        <v>180.14</v>
      </c>
      <c r="X310" s="6">
        <f>IF(ISERROR(VLOOKUP($U$310,'TAR FIN'!$A$1:$O$100,15,0)),0,VLOOKUP($U$310,'TAR FIN'!$A$1:$O$100,15,0))</f>
        <v>192.75</v>
      </c>
      <c r="Y310" s="6"/>
      <c r="Z310" s="6">
        <f ca="1">('TUSD BE'!$AM$42+'TUSD BF'!$AM$42+'TUSD CVA'!$AM$42)*(1-CUSTOS!$M$38)</f>
        <v>194.93735379735051</v>
      </c>
      <c r="AA310" s="6">
        <f>('TE BE'!$AA$25+'TE BF'!$AA$25+'TE CVA'!$AA$25)*(1-CUSTOS!$M$38)</f>
        <v>224.23773216940677</v>
      </c>
      <c r="AB310" s="6">
        <f t="shared" si="18"/>
        <v>0</v>
      </c>
      <c r="AC310" s="6">
        <f>(L310*W310+M310*X310)/(1-CUSTOS!$M$38)*CUSTOS!$M$38</f>
        <v>8.2829182978723406</v>
      </c>
      <c r="AD310" s="6">
        <f t="shared" si="19"/>
        <v>0</v>
      </c>
      <c r="AE310" s="6">
        <f ca="1">(L310*Z310+N310*AA310)/(1-CUSTOS!$M$38)*CUSTOS!$M$38</f>
        <v>9.3110380797722261</v>
      </c>
      <c r="AF310" s="4" t="s">
        <v>914</v>
      </c>
    </row>
    <row r="311" spans="1:32" ht="11.25" customHeight="1" x14ac:dyDescent="0.25">
      <c r="A311" s="4" t="s">
        <v>21</v>
      </c>
      <c r="B311" s="4" t="s">
        <v>43</v>
      </c>
      <c r="C311" s="4" t="s">
        <v>33</v>
      </c>
      <c r="D311" s="4" t="s">
        <v>44</v>
      </c>
      <c r="E311" s="4" t="s">
        <v>25</v>
      </c>
      <c r="F311" s="4" t="s">
        <v>25</v>
      </c>
      <c r="G311" s="4" t="s">
        <v>25</v>
      </c>
      <c r="H311" s="4" t="s">
        <v>35</v>
      </c>
      <c r="I311" s="5">
        <v>44287</v>
      </c>
      <c r="J311" s="6">
        <v>0</v>
      </c>
      <c r="K311" s="6">
        <v>0</v>
      </c>
      <c r="L311" s="6">
        <v>0.434</v>
      </c>
      <c r="M311" s="6">
        <v>0.434</v>
      </c>
      <c r="N311" s="6">
        <v>0.434</v>
      </c>
      <c r="O311" s="6">
        <v>0.434</v>
      </c>
      <c r="P311" s="6">
        <v>0</v>
      </c>
      <c r="Q311" s="4" t="s">
        <v>26</v>
      </c>
      <c r="R311" s="4">
        <v>0</v>
      </c>
      <c r="S311" s="4">
        <v>0</v>
      </c>
      <c r="T311" s="4">
        <v>45</v>
      </c>
      <c r="U311" s="4">
        <v>98</v>
      </c>
      <c r="V311" s="6">
        <f>IF(ISERROR(VLOOKUP($S$311,'TAR FIN'!$A$1:$O$100,15,0)),0,VLOOKUP($S$311,'TAR FIN'!$A$1:$O$100,15,0))</f>
        <v>0</v>
      </c>
      <c r="W311" s="6">
        <f>IF(ISERROR(VLOOKUP($T$311,'TAR FIN'!$A$1:$O$100,15,0)),0,VLOOKUP($T$311,'TAR FIN'!$A$1:$O$100,15,0))</f>
        <v>180.14</v>
      </c>
      <c r="X311" s="6">
        <f>IF(ISERROR(VLOOKUP($U$311,'TAR FIN'!$A$1:$O$100,15,0)),0,VLOOKUP($U$311,'TAR FIN'!$A$1:$O$100,15,0))</f>
        <v>192.75</v>
      </c>
      <c r="Y311" s="6"/>
      <c r="Z311" s="6">
        <f ca="1">('TUSD BE'!$AM$42+'TUSD BF'!$AM$42+'TUSD CVA'!$AM$42)*(1-CUSTOS!$M$38)</f>
        <v>194.93735379735051</v>
      </c>
      <c r="AA311" s="6">
        <f>('TE BE'!$AA$25+'TE BF'!$AA$25+'TE CVA'!$AA$25)*(1-CUSTOS!$M$38)</f>
        <v>224.23773216940677</v>
      </c>
      <c r="AB311" s="6">
        <f t="shared" si="18"/>
        <v>0</v>
      </c>
      <c r="AC311" s="6">
        <f>(L311*W311+M311*X311)/(1-CUSTOS!$M$38)*CUSTOS!$M$38</f>
        <v>10.329846382978722</v>
      </c>
      <c r="AD311" s="6">
        <f t="shared" si="19"/>
        <v>0</v>
      </c>
      <c r="AE311" s="6">
        <f ca="1">(L311*Z311+N311*AA311)/(1-CUSTOS!$M$38)*CUSTOS!$M$38</f>
        <v>11.612041743164212</v>
      </c>
      <c r="AF311" s="4" t="s">
        <v>914</v>
      </c>
    </row>
    <row r="312" spans="1:32" ht="11.25" customHeight="1" x14ac:dyDescent="0.25">
      <c r="A312" s="4" t="s">
        <v>21</v>
      </c>
      <c r="B312" s="4" t="s">
        <v>43</v>
      </c>
      <c r="C312" s="4" t="s">
        <v>33</v>
      </c>
      <c r="D312" s="4" t="s">
        <v>44</v>
      </c>
      <c r="E312" s="4" t="s">
        <v>25</v>
      </c>
      <c r="F312" s="4" t="s">
        <v>25</v>
      </c>
      <c r="G312" s="4" t="s">
        <v>25</v>
      </c>
      <c r="H312" s="4" t="s">
        <v>35</v>
      </c>
      <c r="I312" s="5">
        <v>44317</v>
      </c>
      <c r="J312" s="6">
        <v>0</v>
      </c>
      <c r="K312" s="6">
        <v>0</v>
      </c>
      <c r="L312" s="6">
        <v>0.27800000000000002</v>
      </c>
      <c r="M312" s="6">
        <v>0.27800000000000002</v>
      </c>
      <c r="N312" s="6">
        <v>0.27800000000000002</v>
      </c>
      <c r="O312" s="6">
        <v>0.27800000000000002</v>
      </c>
      <c r="P312" s="6">
        <v>0</v>
      </c>
      <c r="Q312" s="4" t="s">
        <v>26</v>
      </c>
      <c r="R312" s="4">
        <v>0</v>
      </c>
      <c r="S312" s="4">
        <v>0</v>
      </c>
      <c r="T312" s="4">
        <v>45</v>
      </c>
      <c r="U312" s="4">
        <v>98</v>
      </c>
      <c r="V312" s="6">
        <f>IF(ISERROR(VLOOKUP($S$312,'TAR FIN'!$A$1:$O$100,15,0)),0,VLOOKUP($S$312,'TAR FIN'!$A$1:$O$100,15,0))</f>
        <v>0</v>
      </c>
      <c r="W312" s="6">
        <f>IF(ISERROR(VLOOKUP($T$312,'TAR FIN'!$A$1:$O$100,15,0)),0,VLOOKUP($T$312,'TAR FIN'!$A$1:$O$100,15,0))</f>
        <v>180.14</v>
      </c>
      <c r="X312" s="6">
        <f>IF(ISERROR(VLOOKUP($U$312,'TAR FIN'!$A$1:$O$100,15,0)),0,VLOOKUP($U$312,'TAR FIN'!$A$1:$O$100,15,0))</f>
        <v>192.75</v>
      </c>
      <c r="Y312" s="6"/>
      <c r="Z312" s="6">
        <f ca="1">('TUSD BE'!$AM$42+'TUSD BF'!$AM$42+'TUSD CVA'!$AM$42)*(1-CUSTOS!$M$38)</f>
        <v>194.93735379735051</v>
      </c>
      <c r="AA312" s="6">
        <f>('TE BE'!$AA$25+'TE BF'!$AA$25+'TE CVA'!$AA$25)*(1-CUSTOS!$M$38)</f>
        <v>224.23773216940677</v>
      </c>
      <c r="AB312" s="6">
        <f t="shared" si="18"/>
        <v>0</v>
      </c>
      <c r="AC312" s="6">
        <f>(L312*W312+M312*X312)/(1-CUSTOS!$M$38)*CUSTOS!$M$38</f>
        <v>6.6168140425531918</v>
      </c>
      <c r="AD312" s="6">
        <f t="shared" si="19"/>
        <v>0</v>
      </c>
      <c r="AE312" s="6">
        <f ca="1">(L312*Z312+N312*AA312)/(1-CUSTOS!$M$38)*CUSTOS!$M$38</f>
        <v>7.4381281211973542</v>
      </c>
      <c r="AF312" s="4" t="s">
        <v>914</v>
      </c>
    </row>
    <row r="313" spans="1:32" ht="11.25" customHeight="1" x14ac:dyDescent="0.25">
      <c r="A313" s="4" t="s">
        <v>21</v>
      </c>
      <c r="B313" s="4" t="s">
        <v>43</v>
      </c>
      <c r="C313" s="4" t="s">
        <v>33</v>
      </c>
      <c r="D313" s="4" t="s">
        <v>44</v>
      </c>
      <c r="E313" s="4" t="s">
        <v>25</v>
      </c>
      <c r="F313" s="4" t="s">
        <v>25</v>
      </c>
      <c r="G313" s="4" t="s">
        <v>25</v>
      </c>
      <c r="H313" s="4" t="s">
        <v>35</v>
      </c>
      <c r="I313" s="5">
        <v>44348</v>
      </c>
      <c r="J313" s="6">
        <v>0</v>
      </c>
      <c r="K313" s="6">
        <v>0</v>
      </c>
      <c r="L313" s="6">
        <v>0.17799999999999999</v>
      </c>
      <c r="M313" s="6">
        <v>0.17799999999999999</v>
      </c>
      <c r="N313" s="6">
        <v>0.17799999999999999</v>
      </c>
      <c r="O313" s="6">
        <v>0.17799999999999999</v>
      </c>
      <c r="P313" s="6">
        <v>0</v>
      </c>
      <c r="Q313" s="4" t="s">
        <v>26</v>
      </c>
      <c r="R313" s="4">
        <v>0</v>
      </c>
      <c r="S313" s="4">
        <v>0</v>
      </c>
      <c r="T313" s="4">
        <v>45</v>
      </c>
      <c r="U313" s="4">
        <v>98</v>
      </c>
      <c r="V313" s="6">
        <f>IF(ISERROR(VLOOKUP($S$313,'TAR FIN'!$A$1:$O$100,15,0)),0,VLOOKUP($S$313,'TAR FIN'!$A$1:$O$100,15,0))</f>
        <v>0</v>
      </c>
      <c r="W313" s="6">
        <f>IF(ISERROR(VLOOKUP($T$313,'TAR FIN'!$A$1:$O$100,15,0)),0,VLOOKUP($T$313,'TAR FIN'!$A$1:$O$100,15,0))</f>
        <v>180.14</v>
      </c>
      <c r="X313" s="6">
        <f>IF(ISERROR(VLOOKUP($U$313,'TAR FIN'!$A$1:$O$100,15,0)),0,VLOOKUP($U$313,'TAR FIN'!$A$1:$O$100,15,0))</f>
        <v>192.75</v>
      </c>
      <c r="Y313" s="6"/>
      <c r="Z313" s="6">
        <f ca="1">('TUSD BE'!$AM$42+'TUSD BF'!$AM$42+'TUSD CVA'!$AM$42)*(1-CUSTOS!$M$38)</f>
        <v>194.93735379735051</v>
      </c>
      <c r="AA313" s="6">
        <f>('TE BE'!$AA$25+'TE BF'!$AA$25+'TE CVA'!$AA$25)*(1-CUSTOS!$M$38)</f>
        <v>224.23773216940677</v>
      </c>
      <c r="AB313" s="6">
        <f t="shared" si="18"/>
        <v>0</v>
      </c>
      <c r="AC313" s="6">
        <f>(L313*W313+M313*X313)/(1-CUSTOS!$M$38)*CUSTOS!$M$38</f>
        <v>4.2366651063829783</v>
      </c>
      <c r="AD313" s="6">
        <f t="shared" si="19"/>
        <v>0</v>
      </c>
      <c r="AE313" s="6">
        <f ca="1">(L313*Z313+N313*AA313)/(1-CUSTOS!$M$38)*CUSTOS!$M$38</f>
        <v>4.762542466090391</v>
      </c>
      <c r="AF313" s="4" t="s">
        <v>914</v>
      </c>
    </row>
    <row r="314" spans="1:32" ht="11.25" customHeight="1" x14ac:dyDescent="0.25">
      <c r="A314" s="4" t="s">
        <v>21</v>
      </c>
      <c r="B314" s="4" t="s">
        <v>43</v>
      </c>
      <c r="C314" s="4" t="s">
        <v>33</v>
      </c>
      <c r="D314" s="4" t="s">
        <v>44</v>
      </c>
      <c r="E314" s="4" t="s">
        <v>25</v>
      </c>
      <c r="F314" s="4" t="s">
        <v>25</v>
      </c>
      <c r="G314" s="4" t="s">
        <v>25</v>
      </c>
      <c r="H314" s="4" t="s">
        <v>35</v>
      </c>
      <c r="I314" s="5">
        <v>44378</v>
      </c>
      <c r="J314" s="6">
        <v>0</v>
      </c>
      <c r="K314" s="6">
        <v>0</v>
      </c>
      <c r="L314" s="6">
        <v>0.24199999999999999</v>
      </c>
      <c r="M314" s="6">
        <v>0.24199999999999999</v>
      </c>
      <c r="N314" s="6">
        <v>0.24199999999999999</v>
      </c>
      <c r="O314" s="6">
        <v>0.24199999999999999</v>
      </c>
      <c r="P314" s="6">
        <v>0</v>
      </c>
      <c r="Q314" s="4" t="s">
        <v>26</v>
      </c>
      <c r="R314" s="4">
        <v>0</v>
      </c>
      <c r="S314" s="4">
        <v>0</v>
      </c>
      <c r="T314" s="4">
        <v>45</v>
      </c>
      <c r="U314" s="4">
        <v>98</v>
      </c>
      <c r="V314" s="6">
        <f>IF(ISERROR(VLOOKUP($S$314,'TAR FIN'!$A$1:$O$100,15,0)),0,VLOOKUP($S$314,'TAR FIN'!$A$1:$O$100,15,0))</f>
        <v>0</v>
      </c>
      <c r="W314" s="6">
        <f>IF(ISERROR(VLOOKUP($T$314,'TAR FIN'!$A$1:$O$100,15,0)),0,VLOOKUP($T$314,'TAR FIN'!$A$1:$O$100,15,0))</f>
        <v>180.14</v>
      </c>
      <c r="X314" s="6">
        <f>IF(ISERROR(VLOOKUP($U$314,'TAR FIN'!$A$1:$O$100,15,0)),0,VLOOKUP($U$314,'TAR FIN'!$A$1:$O$100,15,0))</f>
        <v>192.75</v>
      </c>
      <c r="Y314" s="6"/>
      <c r="Z314" s="6">
        <f ca="1">('TUSD BE'!$AM$42+'TUSD BF'!$AM$42+'TUSD CVA'!$AM$42)*(1-CUSTOS!$M$38)</f>
        <v>194.93735379735051</v>
      </c>
      <c r="AA314" s="6">
        <f>('TE BE'!$AA$25+'TE BF'!$AA$25+'TE CVA'!$AA$25)*(1-CUSTOS!$M$38)</f>
        <v>224.23773216940677</v>
      </c>
      <c r="AB314" s="6">
        <f t="shared" si="18"/>
        <v>0</v>
      </c>
      <c r="AC314" s="6">
        <f>(L314*W314+M314*X314)/(1-CUSTOS!$M$38)*CUSTOS!$M$38</f>
        <v>5.7599604255319141</v>
      </c>
      <c r="AD314" s="6">
        <f t="shared" si="19"/>
        <v>0</v>
      </c>
      <c r="AE314" s="6">
        <f ca="1">(L314*Z314+N314*AA314)/(1-CUSTOS!$M$38)*CUSTOS!$M$38</f>
        <v>6.4749172853588464</v>
      </c>
      <c r="AF314" s="4" t="s">
        <v>914</v>
      </c>
    </row>
    <row r="315" spans="1:32" ht="11.25" customHeight="1" x14ac:dyDescent="0.25">
      <c r="A315" s="4" t="s">
        <v>21</v>
      </c>
      <c r="B315" s="4" t="s">
        <v>43</v>
      </c>
      <c r="C315" s="4" t="s">
        <v>33</v>
      </c>
      <c r="D315" s="4" t="s">
        <v>44</v>
      </c>
      <c r="E315" s="4" t="s">
        <v>25</v>
      </c>
      <c r="F315" s="4" t="s">
        <v>25</v>
      </c>
      <c r="G315" s="4" t="s">
        <v>25</v>
      </c>
      <c r="H315" s="4" t="s">
        <v>35</v>
      </c>
      <c r="I315" s="5">
        <v>44409</v>
      </c>
      <c r="J315" s="6">
        <v>0</v>
      </c>
      <c r="K315" s="6">
        <v>0</v>
      </c>
      <c r="L315" s="6">
        <v>0.16900000000000001</v>
      </c>
      <c r="M315" s="6">
        <v>0.16900000000000001</v>
      </c>
      <c r="N315" s="6">
        <v>0.16900000000000001</v>
      </c>
      <c r="O315" s="6">
        <v>0.16900000000000001</v>
      </c>
      <c r="P315" s="6">
        <v>0</v>
      </c>
      <c r="Q315" s="4" t="s">
        <v>26</v>
      </c>
      <c r="R315" s="4">
        <v>0</v>
      </c>
      <c r="S315" s="4">
        <v>0</v>
      </c>
      <c r="T315" s="4">
        <v>45</v>
      </c>
      <c r="U315" s="4">
        <v>98</v>
      </c>
      <c r="V315" s="6">
        <f>IF(ISERROR(VLOOKUP($S$315,'TAR FIN'!$A$1:$O$100,15,0)),0,VLOOKUP($S$315,'TAR FIN'!$A$1:$O$100,15,0))</f>
        <v>0</v>
      </c>
      <c r="W315" s="6">
        <f>IF(ISERROR(VLOOKUP($T$315,'TAR FIN'!$A$1:$O$100,15,0)),0,VLOOKUP($T$315,'TAR FIN'!$A$1:$O$100,15,0))</f>
        <v>180.14</v>
      </c>
      <c r="X315" s="6">
        <f>IF(ISERROR(VLOOKUP($U$315,'TAR FIN'!$A$1:$O$100,15,0)),0,VLOOKUP($U$315,'TAR FIN'!$A$1:$O$100,15,0))</f>
        <v>192.75</v>
      </c>
      <c r="Y315" s="6"/>
      <c r="Z315" s="6">
        <f ca="1">('TUSD BE'!$AM$42+'TUSD BF'!$AM$42+'TUSD CVA'!$AM$42)*(1-CUSTOS!$M$38)</f>
        <v>194.93735379735051</v>
      </c>
      <c r="AA315" s="6">
        <f>('TE BE'!$AA$25+'TE BF'!$AA$25+'TE CVA'!$AA$25)*(1-CUSTOS!$M$38)</f>
        <v>224.23773216940677</v>
      </c>
      <c r="AB315" s="6">
        <f t="shared" si="18"/>
        <v>0</v>
      </c>
      <c r="AC315" s="6">
        <f>(L315*W315+M315*X315)/(1-CUSTOS!$M$38)*CUSTOS!$M$38</f>
        <v>4.0224517021276602</v>
      </c>
      <c r="AD315" s="6">
        <f t="shared" si="19"/>
        <v>0</v>
      </c>
      <c r="AE315" s="6">
        <f ca="1">(L315*Z315+N315*AA315)/(1-CUSTOS!$M$38)*CUSTOS!$M$38</f>
        <v>4.5217397571307654</v>
      </c>
      <c r="AF315" s="4" t="s">
        <v>914</v>
      </c>
    </row>
    <row r="316" spans="1:32" ht="11.25" customHeight="1" x14ac:dyDescent="0.25">
      <c r="A316" s="4" t="s">
        <v>21</v>
      </c>
      <c r="B316" s="4" t="s">
        <v>43</v>
      </c>
      <c r="C316" s="4" t="s">
        <v>33</v>
      </c>
      <c r="D316" s="4" t="s">
        <v>44</v>
      </c>
      <c r="E316" s="4" t="s">
        <v>25</v>
      </c>
      <c r="F316" s="4" t="s">
        <v>25</v>
      </c>
      <c r="G316" s="4" t="s">
        <v>25</v>
      </c>
      <c r="H316" s="4" t="s">
        <v>35</v>
      </c>
      <c r="I316" s="5">
        <v>44440</v>
      </c>
      <c r="J316" s="6">
        <v>0</v>
      </c>
      <c r="K316" s="6">
        <v>0</v>
      </c>
      <c r="L316" s="6">
        <v>0.191</v>
      </c>
      <c r="M316" s="6">
        <v>0.191</v>
      </c>
      <c r="N316" s="6">
        <v>0.191</v>
      </c>
      <c r="O316" s="6">
        <v>0.191</v>
      </c>
      <c r="P316" s="6">
        <v>0</v>
      </c>
      <c r="Q316" s="4" t="s">
        <v>26</v>
      </c>
      <c r="R316" s="4">
        <v>0</v>
      </c>
      <c r="S316" s="4">
        <v>0</v>
      </c>
      <c r="T316" s="4">
        <v>45</v>
      </c>
      <c r="U316" s="4">
        <v>98</v>
      </c>
      <c r="V316" s="6">
        <f>IF(ISERROR(VLOOKUP($S$316,'TAR FIN'!$A$1:$O$100,15,0)),0,VLOOKUP($S$316,'TAR FIN'!$A$1:$O$100,15,0))</f>
        <v>0</v>
      </c>
      <c r="W316" s="6">
        <f>IF(ISERROR(VLOOKUP($T$316,'TAR FIN'!$A$1:$O$100,15,0)),0,VLOOKUP($T$316,'TAR FIN'!$A$1:$O$100,15,0))</f>
        <v>180.14</v>
      </c>
      <c r="X316" s="6">
        <f>IF(ISERROR(VLOOKUP($U$316,'TAR FIN'!$A$1:$O$100,15,0)),0,VLOOKUP($U$316,'TAR FIN'!$A$1:$O$100,15,0))</f>
        <v>192.75</v>
      </c>
      <c r="Y316" s="6"/>
      <c r="Z316" s="6">
        <f ca="1">('TUSD BE'!$AM$42+'TUSD BF'!$AM$42+'TUSD CVA'!$AM$42)*(1-CUSTOS!$M$38)</f>
        <v>194.93735379735051</v>
      </c>
      <c r="AA316" s="6">
        <f>('TE BE'!$AA$25+'TE BF'!$AA$25+'TE CVA'!$AA$25)*(1-CUSTOS!$M$38)</f>
        <v>224.23773216940677</v>
      </c>
      <c r="AB316" s="6">
        <f t="shared" si="18"/>
        <v>0</v>
      </c>
      <c r="AC316" s="6">
        <f>(L316*W316+M316*X316)/(1-CUSTOS!$M$38)*CUSTOS!$M$38</f>
        <v>4.5460844680851071</v>
      </c>
      <c r="AD316" s="6">
        <f t="shared" si="19"/>
        <v>0</v>
      </c>
      <c r="AE316" s="6">
        <f ca="1">(L316*Z316+N316*AA316)/(1-CUSTOS!$M$38)*CUSTOS!$M$38</f>
        <v>5.1103686012542964</v>
      </c>
      <c r="AF316" s="4" t="s">
        <v>914</v>
      </c>
    </row>
    <row r="317" spans="1:32" ht="11.25" customHeight="1" x14ac:dyDescent="0.25">
      <c r="A317" s="4" t="s">
        <v>21</v>
      </c>
      <c r="B317" s="4" t="s">
        <v>43</v>
      </c>
      <c r="C317" s="4" t="s">
        <v>33</v>
      </c>
      <c r="D317" s="4" t="s">
        <v>44</v>
      </c>
      <c r="E317" s="4" t="s">
        <v>25</v>
      </c>
      <c r="F317" s="4" t="s">
        <v>25</v>
      </c>
      <c r="G317" s="4" t="s">
        <v>25</v>
      </c>
      <c r="H317" s="4" t="s">
        <v>35</v>
      </c>
      <c r="I317" s="5">
        <v>44470</v>
      </c>
      <c r="J317" s="6">
        <v>0</v>
      </c>
      <c r="K317" s="6">
        <v>0</v>
      </c>
      <c r="L317" s="6">
        <v>0.254</v>
      </c>
      <c r="M317" s="6">
        <v>0.254</v>
      </c>
      <c r="N317" s="6">
        <v>0.254</v>
      </c>
      <c r="O317" s="6">
        <v>0.254</v>
      </c>
      <c r="P317" s="6">
        <v>0</v>
      </c>
      <c r="Q317" s="4" t="s">
        <v>26</v>
      </c>
      <c r="R317" s="4">
        <v>0</v>
      </c>
      <c r="S317" s="4">
        <v>0</v>
      </c>
      <c r="T317" s="4">
        <v>45</v>
      </c>
      <c r="U317" s="4">
        <v>98</v>
      </c>
      <c r="V317" s="6">
        <f>IF(ISERROR(VLOOKUP($S$317,'TAR FIN'!$A$1:$O$100,15,0)),0,VLOOKUP($S$317,'TAR FIN'!$A$1:$O$100,15,0))</f>
        <v>0</v>
      </c>
      <c r="W317" s="6">
        <f>IF(ISERROR(VLOOKUP($T$317,'TAR FIN'!$A$1:$O$100,15,0)),0,VLOOKUP($T$317,'TAR FIN'!$A$1:$O$100,15,0))</f>
        <v>180.14</v>
      </c>
      <c r="X317" s="6">
        <f>IF(ISERROR(VLOOKUP($U$317,'TAR FIN'!$A$1:$O$100,15,0)),0,VLOOKUP($U$317,'TAR FIN'!$A$1:$O$100,15,0))</f>
        <v>192.75</v>
      </c>
      <c r="Y317" s="6"/>
      <c r="Z317" s="6">
        <f ca="1">('TUSD BE'!$AM$42+'TUSD BF'!$AM$42+'TUSD CVA'!$AM$42)*(1-CUSTOS!$M$38)</f>
        <v>194.93735379735051</v>
      </c>
      <c r="AA317" s="6">
        <f>('TE BE'!$AA$25+'TE BF'!$AA$25+'TE CVA'!$AA$25)*(1-CUSTOS!$M$38)</f>
        <v>224.23773216940677</v>
      </c>
      <c r="AB317" s="6">
        <f t="shared" si="18"/>
        <v>0</v>
      </c>
      <c r="AC317" s="6">
        <f>(L317*W317+M317*X317)/(1-CUSTOS!$M$38)*CUSTOS!$M$38</f>
        <v>6.0455782978723391</v>
      </c>
      <c r="AD317" s="6">
        <f t="shared" si="19"/>
        <v>0</v>
      </c>
      <c r="AE317" s="6">
        <f ca="1">(L317*Z317+N317*AA317)/(1-CUSTOS!$M$38)*CUSTOS!$M$38</f>
        <v>6.795987563971682</v>
      </c>
      <c r="AF317" s="4" t="s">
        <v>914</v>
      </c>
    </row>
    <row r="318" spans="1:32" ht="11.25" customHeight="1" x14ac:dyDescent="0.25">
      <c r="A318" s="4" t="s">
        <v>21</v>
      </c>
      <c r="B318" s="4" t="s">
        <v>43</v>
      </c>
      <c r="C318" s="4" t="s">
        <v>33</v>
      </c>
      <c r="D318" s="4" t="s">
        <v>44</v>
      </c>
      <c r="E318" s="4" t="s">
        <v>25</v>
      </c>
      <c r="F318" s="4" t="s">
        <v>25</v>
      </c>
      <c r="G318" s="4" t="s">
        <v>25</v>
      </c>
      <c r="H318" s="4" t="s">
        <v>35</v>
      </c>
      <c r="I318" s="5">
        <v>44501</v>
      </c>
      <c r="J318" s="6">
        <v>0</v>
      </c>
      <c r="K318" s="6">
        <v>0</v>
      </c>
      <c r="L318" s="6">
        <v>0.32200000000000001</v>
      </c>
      <c r="M318" s="6">
        <v>0.32200000000000001</v>
      </c>
      <c r="N318" s="6">
        <v>0.32200000000000001</v>
      </c>
      <c r="O318" s="6">
        <v>0.32200000000000001</v>
      </c>
      <c r="P318" s="6">
        <v>0</v>
      </c>
      <c r="Q318" s="4" t="s">
        <v>26</v>
      </c>
      <c r="R318" s="4">
        <v>0</v>
      </c>
      <c r="S318" s="4">
        <v>0</v>
      </c>
      <c r="T318" s="4">
        <v>45</v>
      </c>
      <c r="U318" s="4">
        <v>98</v>
      </c>
      <c r="V318" s="6">
        <f>IF(ISERROR(VLOOKUP($S$318,'TAR FIN'!$A$1:$O$100,15,0)),0,VLOOKUP($S$318,'TAR FIN'!$A$1:$O$100,15,0))</f>
        <v>0</v>
      </c>
      <c r="W318" s="6">
        <f>IF(ISERROR(VLOOKUP($T$318,'TAR FIN'!$A$1:$O$100,15,0)),0,VLOOKUP($T$318,'TAR FIN'!$A$1:$O$100,15,0))</f>
        <v>180.14</v>
      </c>
      <c r="X318" s="6">
        <f>IF(ISERROR(VLOOKUP($U$318,'TAR FIN'!$A$1:$O$100,15,0)),0,VLOOKUP($U$318,'TAR FIN'!$A$1:$O$100,15,0))</f>
        <v>192.75</v>
      </c>
      <c r="Y318" s="6"/>
      <c r="Z318" s="6">
        <f ca="1">('TUSD BE'!$AM$42+'TUSD BF'!$AM$42+'TUSD CVA'!$AM$42)*(1-CUSTOS!$M$38)</f>
        <v>194.93735379735051</v>
      </c>
      <c r="AA318" s="6">
        <f>('TE BE'!$AA$25+'TE BF'!$AA$25+'TE CVA'!$AA$25)*(1-CUSTOS!$M$38)</f>
        <v>224.23773216940677</v>
      </c>
      <c r="AB318" s="6">
        <f t="shared" si="18"/>
        <v>0</v>
      </c>
      <c r="AC318" s="6">
        <f>(L318*W318+M318*X318)/(1-CUSTOS!$M$38)*CUSTOS!$M$38</f>
        <v>7.6640795744680856</v>
      </c>
      <c r="AD318" s="6">
        <f t="shared" si="19"/>
        <v>0</v>
      </c>
      <c r="AE318" s="6">
        <f ca="1">(L318*Z318+N318*AA318)/(1-CUSTOS!$M$38)*CUSTOS!$M$38</f>
        <v>8.6153858094444153</v>
      </c>
      <c r="AF318" s="4" t="s">
        <v>914</v>
      </c>
    </row>
    <row r="319" spans="1:32" ht="11.25" customHeight="1" x14ac:dyDescent="0.25">
      <c r="A319" s="4" t="s">
        <v>21</v>
      </c>
      <c r="B319" s="4" t="s">
        <v>43</v>
      </c>
      <c r="C319" s="4" t="s">
        <v>33</v>
      </c>
      <c r="D319" s="4" t="s">
        <v>44</v>
      </c>
      <c r="E319" s="4" t="s">
        <v>25</v>
      </c>
      <c r="F319" s="4" t="s">
        <v>25</v>
      </c>
      <c r="G319" s="4" t="s">
        <v>25</v>
      </c>
      <c r="H319" s="4" t="s">
        <v>35</v>
      </c>
      <c r="I319" s="5">
        <v>44531</v>
      </c>
      <c r="J319" s="6">
        <v>0</v>
      </c>
      <c r="K319" s="6">
        <v>0</v>
      </c>
      <c r="L319" s="6">
        <v>0.33300000000000002</v>
      </c>
      <c r="M319" s="6">
        <v>0.33300000000000002</v>
      </c>
      <c r="N319" s="6">
        <v>0.33300000000000002</v>
      </c>
      <c r="O319" s="6">
        <v>0.33300000000000002</v>
      </c>
      <c r="P319" s="6">
        <v>0</v>
      </c>
      <c r="Q319" s="4" t="s">
        <v>26</v>
      </c>
      <c r="R319" s="4">
        <v>0</v>
      </c>
      <c r="S319" s="4">
        <v>0</v>
      </c>
      <c r="T319" s="4">
        <v>45</v>
      </c>
      <c r="U319" s="4">
        <v>98</v>
      </c>
      <c r="V319" s="6">
        <f>IF(ISERROR(VLOOKUP($S$319,'TAR FIN'!$A$1:$O$100,15,0)),0,VLOOKUP($S$319,'TAR FIN'!$A$1:$O$100,15,0))</f>
        <v>0</v>
      </c>
      <c r="W319" s="6">
        <f>IF(ISERROR(VLOOKUP($T$319,'TAR FIN'!$A$1:$O$100,15,0)),0,VLOOKUP($T$319,'TAR FIN'!$A$1:$O$100,15,0))</f>
        <v>180.14</v>
      </c>
      <c r="X319" s="6">
        <f>IF(ISERROR(VLOOKUP($U$319,'TAR FIN'!$A$1:$O$100,15,0)),0,VLOOKUP($U$319,'TAR FIN'!$A$1:$O$100,15,0))</f>
        <v>192.75</v>
      </c>
      <c r="Y319" s="6"/>
      <c r="Z319" s="6">
        <f ca="1">('TUSD BE'!$AM$42+'TUSD BF'!$AM$42+'TUSD CVA'!$AM$42)*(1-CUSTOS!$M$38)</f>
        <v>194.93735379735051</v>
      </c>
      <c r="AA319" s="6">
        <f>('TE BE'!$AA$25+'TE BF'!$AA$25+'TE CVA'!$AA$25)*(1-CUSTOS!$M$38)</f>
        <v>224.23773216940677</v>
      </c>
      <c r="AB319" s="6">
        <f t="shared" si="18"/>
        <v>0</v>
      </c>
      <c r="AC319" s="6">
        <f>(L319*W319+M319*X319)/(1-CUSTOS!$M$38)*CUSTOS!$M$38</f>
        <v>7.9258959574468086</v>
      </c>
      <c r="AD319" s="6">
        <f t="shared" si="19"/>
        <v>0</v>
      </c>
      <c r="AE319" s="6">
        <f ca="1">(L319*Z319+N319*AA319)/(1-CUSTOS!$M$38)*CUSTOS!$M$38</f>
        <v>8.9097002315061804</v>
      </c>
      <c r="AF319" s="4" t="s">
        <v>914</v>
      </c>
    </row>
    <row r="320" spans="1:32" ht="11.25" customHeight="1" x14ac:dyDescent="0.25">
      <c r="A320" s="4" t="s">
        <v>55</v>
      </c>
      <c r="B320" s="4" t="s">
        <v>43</v>
      </c>
      <c r="C320" s="4" t="s">
        <v>33</v>
      </c>
      <c r="D320" s="4" t="s">
        <v>44</v>
      </c>
      <c r="E320" s="4" t="s">
        <v>25</v>
      </c>
      <c r="F320" s="4" t="s">
        <v>25</v>
      </c>
      <c r="G320" s="4" t="s">
        <v>25</v>
      </c>
      <c r="H320" s="4" t="s">
        <v>35</v>
      </c>
      <c r="I320" s="5">
        <v>44562</v>
      </c>
      <c r="J320" s="6">
        <v>0</v>
      </c>
      <c r="K320" s="6">
        <v>0</v>
      </c>
      <c r="L320" s="6">
        <v>0.33300000000000002</v>
      </c>
      <c r="M320" s="6">
        <v>0.33300000000000002</v>
      </c>
      <c r="N320" s="6">
        <v>0.33300000000000002</v>
      </c>
      <c r="O320" s="6">
        <v>0.33300000000000002</v>
      </c>
      <c r="P320" s="6">
        <v>0</v>
      </c>
      <c r="Q320" s="4" t="s">
        <v>26</v>
      </c>
      <c r="R320" s="4">
        <v>0</v>
      </c>
      <c r="S320" s="4">
        <v>0</v>
      </c>
      <c r="T320" s="4">
        <v>45</v>
      </c>
      <c r="U320" s="4">
        <v>98</v>
      </c>
      <c r="V320" s="6">
        <f>IF(ISERROR(VLOOKUP($S$320,'TAR FIN'!$A$1:$O$100,15,0)),0,VLOOKUP($S$320,'TAR FIN'!$A$1:$O$100,15,0))</f>
        <v>0</v>
      </c>
      <c r="W320" s="6">
        <f>IF(ISERROR(VLOOKUP($T$320,'TAR FIN'!$A$1:$O$100,15,0)),0,VLOOKUP($T$320,'TAR FIN'!$A$1:$O$100,15,0))</f>
        <v>180.14</v>
      </c>
      <c r="X320" s="6">
        <f>IF(ISERROR(VLOOKUP($U$320,'TAR FIN'!$A$1:$O$100,15,0)),0,VLOOKUP($U$320,'TAR FIN'!$A$1:$O$100,15,0))</f>
        <v>192.75</v>
      </c>
      <c r="Y320" s="6"/>
      <c r="Z320" s="6">
        <f ca="1">('TUSD BE'!$AM$42+'TUSD BF'!$AM$42+'TUSD CVA'!$AM$42)*(1-CUSTOS!$M$38)</f>
        <v>194.93735379735051</v>
      </c>
      <c r="AA320" s="6">
        <f>('TE BE'!$AA$25+'TE BF'!$AA$25+'TE CVA'!$AA$25)*(1-CUSTOS!$M$38)</f>
        <v>224.23773216940677</v>
      </c>
      <c r="AB320" s="6">
        <f t="shared" si="18"/>
        <v>0</v>
      </c>
      <c r="AC320" s="6">
        <f>(L320*W320+M320*X320)/(1-CUSTOS!$M$38)*CUSTOS!$M$38</f>
        <v>7.9258959574468086</v>
      </c>
      <c r="AD320" s="6">
        <f t="shared" si="19"/>
        <v>0</v>
      </c>
      <c r="AE320" s="6">
        <f ca="1">(L320*Z320+N320*AA320)/(1-CUSTOS!$M$38)*CUSTOS!$M$38</f>
        <v>8.9097002315061804</v>
      </c>
      <c r="AF320" s="4" t="s">
        <v>914</v>
      </c>
    </row>
    <row r="321" spans="1:32" ht="11.25" customHeight="1" x14ac:dyDescent="0.25">
      <c r="A321" s="4" t="s">
        <v>21</v>
      </c>
      <c r="B321" s="4" t="s">
        <v>43</v>
      </c>
      <c r="C321" s="4" t="s">
        <v>33</v>
      </c>
      <c r="D321" s="4" t="s">
        <v>44</v>
      </c>
      <c r="E321" s="4" t="s">
        <v>25</v>
      </c>
      <c r="F321" s="4" t="s">
        <v>25</v>
      </c>
      <c r="G321" s="4" t="s">
        <v>25</v>
      </c>
      <c r="H321" s="4" t="s">
        <v>36</v>
      </c>
      <c r="I321" s="5">
        <v>44228</v>
      </c>
      <c r="J321" s="6">
        <v>0</v>
      </c>
      <c r="K321" s="6">
        <v>0</v>
      </c>
      <c r="L321" s="6">
        <v>1.6E-2</v>
      </c>
      <c r="M321" s="6">
        <v>1.6E-2</v>
      </c>
      <c r="N321" s="6">
        <v>1.6E-2</v>
      </c>
      <c r="O321" s="6">
        <v>1.6E-2</v>
      </c>
      <c r="P321" s="6">
        <v>0</v>
      </c>
      <c r="Q321" s="4" t="s">
        <v>26</v>
      </c>
      <c r="R321" s="4">
        <v>0</v>
      </c>
      <c r="S321" s="4">
        <v>0</v>
      </c>
      <c r="T321" s="4">
        <v>44</v>
      </c>
      <c r="U321" s="4">
        <v>97</v>
      </c>
      <c r="V321" s="6">
        <f>IF(ISERROR(VLOOKUP($S$321,'TAR FIN'!$A$1:$O$100,15,0)),0,VLOOKUP($S$321,'TAR FIN'!$A$1:$O$100,15,0))</f>
        <v>0</v>
      </c>
      <c r="W321" s="6">
        <f>IF(ISERROR(VLOOKUP($T$321,'TAR FIN'!$A$1:$O$100,15,0)),0,VLOOKUP($T$321,'TAR FIN'!$A$1:$O$100,15,0))</f>
        <v>433.74</v>
      </c>
      <c r="X321" s="6">
        <f>IF(ISERROR(VLOOKUP($U$321,'TAR FIN'!$A$1:$O$100,15,0)),0,VLOOKUP($U$321,'TAR FIN'!$A$1:$O$100,15,0))</f>
        <v>192.75</v>
      </c>
      <c r="Y321" s="6"/>
      <c r="Z321" s="6">
        <f ca="1">('TUSD BE'!$AM$41+'TUSD BF'!$AM$41+'TUSD CVA'!$AM$41)*(1-CUSTOS!$M$38)</f>
        <v>456.51643176410988</v>
      </c>
      <c r="AA321" s="6">
        <f>('TE BE'!$AA$24+'TE BF'!$AA$24+'TE CVA'!$AA$24)*(1-CUSTOS!$M$38)</f>
        <v>224.23773216940677</v>
      </c>
      <c r="AB321" s="6">
        <f t="shared" si="18"/>
        <v>0</v>
      </c>
      <c r="AC321" s="6">
        <f>(L321*W321+M321*X321)/(1-CUSTOS!$M$38)*CUSTOS!$M$38</f>
        <v>0.63981957446808513</v>
      </c>
      <c r="AD321" s="6">
        <f t="shared" si="19"/>
        <v>0</v>
      </c>
      <c r="AE321" s="6">
        <f ca="1">(L321*Z321+N321*AA321)/(1-CUSTOS!$M$38)*CUSTOS!$M$38</f>
        <v>0.69523829508103829</v>
      </c>
      <c r="AF321" s="4" t="s">
        <v>914</v>
      </c>
    </row>
    <row r="322" spans="1:32" ht="11.25" customHeight="1" x14ac:dyDescent="0.25">
      <c r="A322" s="4" t="s">
        <v>21</v>
      </c>
      <c r="B322" s="4" t="s">
        <v>43</v>
      </c>
      <c r="C322" s="4" t="s">
        <v>33</v>
      </c>
      <c r="D322" s="4" t="s">
        <v>44</v>
      </c>
      <c r="E322" s="4" t="s">
        <v>25</v>
      </c>
      <c r="F322" s="4" t="s">
        <v>25</v>
      </c>
      <c r="G322" s="4" t="s">
        <v>25</v>
      </c>
      <c r="H322" s="4" t="s">
        <v>36</v>
      </c>
      <c r="I322" s="5">
        <v>44256</v>
      </c>
      <c r="J322" s="6">
        <v>0</v>
      </c>
      <c r="K322" s="6">
        <v>0</v>
      </c>
      <c r="L322" s="6">
        <v>0.02</v>
      </c>
      <c r="M322" s="6">
        <v>0.02</v>
      </c>
      <c r="N322" s="6">
        <v>0.02</v>
      </c>
      <c r="O322" s="6">
        <v>0.02</v>
      </c>
      <c r="P322" s="6">
        <v>0</v>
      </c>
      <c r="Q322" s="4" t="s">
        <v>26</v>
      </c>
      <c r="R322" s="4">
        <v>0</v>
      </c>
      <c r="S322" s="4">
        <v>0</v>
      </c>
      <c r="T322" s="4">
        <v>44</v>
      </c>
      <c r="U322" s="4">
        <v>97</v>
      </c>
      <c r="V322" s="6">
        <f>IF(ISERROR(VLOOKUP($S$322,'TAR FIN'!$A$1:$O$100,15,0)),0,VLOOKUP($S$322,'TAR FIN'!$A$1:$O$100,15,0))</f>
        <v>0</v>
      </c>
      <c r="W322" s="6">
        <f>IF(ISERROR(VLOOKUP($T$322,'TAR FIN'!$A$1:$O$100,15,0)),0,VLOOKUP($T$322,'TAR FIN'!$A$1:$O$100,15,0))</f>
        <v>433.74</v>
      </c>
      <c r="X322" s="6">
        <f>IF(ISERROR(VLOOKUP($U$322,'TAR FIN'!$A$1:$O$100,15,0)),0,VLOOKUP($U$322,'TAR FIN'!$A$1:$O$100,15,0))</f>
        <v>192.75</v>
      </c>
      <c r="Y322" s="6"/>
      <c r="Z322" s="6">
        <f ca="1">('TUSD BE'!$AM$41+'TUSD BF'!$AM$41+'TUSD CVA'!$AM$41)*(1-CUSTOS!$M$38)</f>
        <v>456.51643176410988</v>
      </c>
      <c r="AA322" s="6">
        <f>('TE BE'!$AA$24+'TE BF'!$AA$24+'TE CVA'!$AA$24)*(1-CUSTOS!$M$38)</f>
        <v>224.23773216940677</v>
      </c>
      <c r="AB322" s="6">
        <f t="shared" ref="AB322:AB385" si="20">(J322-K322)*V322</f>
        <v>0</v>
      </c>
      <c r="AC322" s="6">
        <f>(L322*W322+M322*X322)/(1-CUSTOS!$M$38)*CUSTOS!$M$38</f>
        <v>0.79977446808510655</v>
      </c>
      <c r="AD322" s="6">
        <f t="shared" ref="AD322:AD385" si="21">(J322-K322)*Y322</f>
        <v>0</v>
      </c>
      <c r="AE322" s="6">
        <f ca="1">(L322*Z322+N322*AA322)/(1-CUSTOS!$M$38)*CUSTOS!$M$38</f>
        <v>0.86904786885129792</v>
      </c>
      <c r="AF322" s="4" t="s">
        <v>914</v>
      </c>
    </row>
    <row r="323" spans="1:32" ht="11.25" customHeight="1" x14ac:dyDescent="0.25">
      <c r="A323" s="4" t="s">
        <v>21</v>
      </c>
      <c r="B323" s="4" t="s">
        <v>43</v>
      </c>
      <c r="C323" s="4" t="s">
        <v>33</v>
      </c>
      <c r="D323" s="4" t="s">
        <v>44</v>
      </c>
      <c r="E323" s="4" t="s">
        <v>25</v>
      </c>
      <c r="F323" s="4" t="s">
        <v>25</v>
      </c>
      <c r="G323" s="4" t="s">
        <v>25</v>
      </c>
      <c r="H323" s="4" t="s">
        <v>36</v>
      </c>
      <c r="I323" s="5">
        <v>44287</v>
      </c>
      <c r="J323" s="6">
        <v>0</v>
      </c>
      <c r="K323" s="6">
        <v>0</v>
      </c>
      <c r="L323" s="6">
        <v>0.01</v>
      </c>
      <c r="M323" s="6">
        <v>0.01</v>
      </c>
      <c r="N323" s="6">
        <v>0.01</v>
      </c>
      <c r="O323" s="6">
        <v>0.01</v>
      </c>
      <c r="P323" s="6">
        <v>0</v>
      </c>
      <c r="Q323" s="4" t="s">
        <v>26</v>
      </c>
      <c r="R323" s="4">
        <v>0</v>
      </c>
      <c r="S323" s="4">
        <v>0</v>
      </c>
      <c r="T323" s="4">
        <v>44</v>
      </c>
      <c r="U323" s="4">
        <v>97</v>
      </c>
      <c r="V323" s="6">
        <f>IF(ISERROR(VLOOKUP($S$323,'TAR FIN'!$A$1:$O$100,15,0)),0,VLOOKUP($S$323,'TAR FIN'!$A$1:$O$100,15,0))</f>
        <v>0</v>
      </c>
      <c r="W323" s="6">
        <f>IF(ISERROR(VLOOKUP($T$323,'TAR FIN'!$A$1:$O$100,15,0)),0,VLOOKUP($T$323,'TAR FIN'!$A$1:$O$100,15,0))</f>
        <v>433.74</v>
      </c>
      <c r="X323" s="6">
        <f>IF(ISERROR(VLOOKUP($U$323,'TAR FIN'!$A$1:$O$100,15,0)),0,VLOOKUP($U$323,'TAR FIN'!$A$1:$O$100,15,0))</f>
        <v>192.75</v>
      </c>
      <c r="Y323" s="6"/>
      <c r="Z323" s="6">
        <f ca="1">('TUSD BE'!$AM$41+'TUSD BF'!$AM$41+'TUSD CVA'!$AM$41)*(1-CUSTOS!$M$38)</f>
        <v>456.51643176410988</v>
      </c>
      <c r="AA323" s="6">
        <f>('TE BE'!$AA$24+'TE BF'!$AA$24+'TE CVA'!$AA$24)*(1-CUSTOS!$M$38)</f>
        <v>224.23773216940677</v>
      </c>
      <c r="AB323" s="6">
        <f t="shared" si="20"/>
        <v>0</v>
      </c>
      <c r="AC323" s="6">
        <f>(L323*W323+M323*X323)/(1-CUSTOS!$M$38)*CUSTOS!$M$38</f>
        <v>0.39988723404255327</v>
      </c>
      <c r="AD323" s="6">
        <f t="shared" si="21"/>
        <v>0</v>
      </c>
      <c r="AE323" s="6">
        <f ca="1">(L323*Z323+N323*AA323)/(1-CUSTOS!$M$38)*CUSTOS!$M$38</f>
        <v>0.43452393442564896</v>
      </c>
      <c r="AF323" s="4" t="s">
        <v>914</v>
      </c>
    </row>
    <row r="324" spans="1:32" ht="11.25" customHeight="1" x14ac:dyDescent="0.25">
      <c r="A324" s="4" t="s">
        <v>21</v>
      </c>
      <c r="B324" s="4" t="s">
        <v>43</v>
      </c>
      <c r="C324" s="4" t="s">
        <v>33</v>
      </c>
      <c r="D324" s="4" t="s">
        <v>44</v>
      </c>
      <c r="E324" s="4" t="s">
        <v>25</v>
      </c>
      <c r="F324" s="4" t="s">
        <v>25</v>
      </c>
      <c r="G324" s="4" t="s">
        <v>25</v>
      </c>
      <c r="H324" s="4" t="s">
        <v>36</v>
      </c>
      <c r="I324" s="5">
        <v>44317</v>
      </c>
      <c r="J324" s="6">
        <v>0</v>
      </c>
      <c r="K324" s="6">
        <v>0</v>
      </c>
      <c r="L324" s="6">
        <v>1.2999999999999999E-2</v>
      </c>
      <c r="M324" s="6">
        <v>1.2999999999999999E-2</v>
      </c>
      <c r="N324" s="6">
        <v>1.2999999999999999E-2</v>
      </c>
      <c r="O324" s="6">
        <v>1.2999999999999999E-2</v>
      </c>
      <c r="P324" s="6">
        <v>0</v>
      </c>
      <c r="Q324" s="4" t="s">
        <v>26</v>
      </c>
      <c r="R324" s="4">
        <v>0</v>
      </c>
      <c r="S324" s="4">
        <v>0</v>
      </c>
      <c r="T324" s="4">
        <v>44</v>
      </c>
      <c r="U324" s="4">
        <v>97</v>
      </c>
      <c r="V324" s="6">
        <f>IF(ISERROR(VLOOKUP($S$324,'TAR FIN'!$A$1:$O$100,15,0)),0,VLOOKUP($S$324,'TAR FIN'!$A$1:$O$100,15,0))</f>
        <v>0</v>
      </c>
      <c r="W324" s="6">
        <f>IF(ISERROR(VLOOKUP($T$324,'TAR FIN'!$A$1:$O$100,15,0)),0,VLOOKUP($T$324,'TAR FIN'!$A$1:$O$100,15,0))</f>
        <v>433.74</v>
      </c>
      <c r="X324" s="6">
        <f>IF(ISERROR(VLOOKUP($U$324,'TAR FIN'!$A$1:$O$100,15,0)),0,VLOOKUP($U$324,'TAR FIN'!$A$1:$O$100,15,0))</f>
        <v>192.75</v>
      </c>
      <c r="Y324" s="6"/>
      <c r="Z324" s="6">
        <f ca="1">('TUSD BE'!$AM$41+'TUSD BF'!$AM$41+'TUSD CVA'!$AM$41)*(1-CUSTOS!$M$38)</f>
        <v>456.51643176410988</v>
      </c>
      <c r="AA324" s="6">
        <f>('TE BE'!$AA$24+'TE BF'!$AA$24+'TE CVA'!$AA$24)*(1-CUSTOS!$M$38)</f>
        <v>224.23773216940677</v>
      </c>
      <c r="AB324" s="6">
        <f t="shared" si="20"/>
        <v>0</v>
      </c>
      <c r="AC324" s="6">
        <f>(L324*W324+M324*X324)/(1-CUSTOS!$M$38)*CUSTOS!$M$38</f>
        <v>0.51985340425531912</v>
      </c>
      <c r="AD324" s="6">
        <f t="shared" si="21"/>
        <v>0</v>
      </c>
      <c r="AE324" s="6">
        <f ca="1">(L324*Z324+N324*AA324)/(1-CUSTOS!$M$38)*CUSTOS!$M$38</f>
        <v>0.56488111475334357</v>
      </c>
      <c r="AF324" s="4" t="s">
        <v>914</v>
      </c>
    </row>
    <row r="325" spans="1:32" ht="11.25" customHeight="1" x14ac:dyDescent="0.25">
      <c r="A325" s="4" t="s">
        <v>21</v>
      </c>
      <c r="B325" s="4" t="s">
        <v>43</v>
      </c>
      <c r="C325" s="4" t="s">
        <v>33</v>
      </c>
      <c r="D325" s="4" t="s">
        <v>44</v>
      </c>
      <c r="E325" s="4" t="s">
        <v>25</v>
      </c>
      <c r="F325" s="4" t="s">
        <v>25</v>
      </c>
      <c r="G325" s="4" t="s">
        <v>25</v>
      </c>
      <c r="H325" s="4" t="s">
        <v>36</v>
      </c>
      <c r="I325" s="5">
        <v>44348</v>
      </c>
      <c r="J325" s="6">
        <v>0</v>
      </c>
      <c r="K325" s="6">
        <v>0</v>
      </c>
      <c r="L325" s="6">
        <v>1.0999999999999999E-2</v>
      </c>
      <c r="M325" s="6">
        <v>1.0999999999999999E-2</v>
      </c>
      <c r="N325" s="6">
        <v>1.0999999999999999E-2</v>
      </c>
      <c r="O325" s="6">
        <v>1.0999999999999999E-2</v>
      </c>
      <c r="P325" s="6">
        <v>0</v>
      </c>
      <c r="Q325" s="4" t="s">
        <v>26</v>
      </c>
      <c r="R325" s="4">
        <v>0</v>
      </c>
      <c r="S325" s="4">
        <v>0</v>
      </c>
      <c r="T325" s="4">
        <v>44</v>
      </c>
      <c r="U325" s="4">
        <v>97</v>
      </c>
      <c r="V325" s="6">
        <f>IF(ISERROR(VLOOKUP($S$325,'TAR FIN'!$A$1:$O$100,15,0)),0,VLOOKUP($S$325,'TAR FIN'!$A$1:$O$100,15,0))</f>
        <v>0</v>
      </c>
      <c r="W325" s="6">
        <f>IF(ISERROR(VLOOKUP($T$325,'TAR FIN'!$A$1:$O$100,15,0)),0,VLOOKUP($T$325,'TAR FIN'!$A$1:$O$100,15,0))</f>
        <v>433.74</v>
      </c>
      <c r="X325" s="6">
        <f>IF(ISERROR(VLOOKUP($U$325,'TAR FIN'!$A$1:$O$100,15,0)),0,VLOOKUP($U$325,'TAR FIN'!$A$1:$O$100,15,0))</f>
        <v>192.75</v>
      </c>
      <c r="Y325" s="6"/>
      <c r="Z325" s="6">
        <f ca="1">('TUSD BE'!$AM$41+'TUSD BF'!$AM$41+'TUSD CVA'!$AM$41)*(1-CUSTOS!$M$38)</f>
        <v>456.51643176410988</v>
      </c>
      <c r="AA325" s="6">
        <f>('TE BE'!$AA$24+'TE BF'!$AA$24+'TE CVA'!$AA$24)*(1-CUSTOS!$M$38)</f>
        <v>224.23773216940677</v>
      </c>
      <c r="AB325" s="6">
        <f t="shared" si="20"/>
        <v>0</v>
      </c>
      <c r="AC325" s="6">
        <f>(L325*W325+M325*X325)/(1-CUSTOS!$M$38)*CUSTOS!$M$38</f>
        <v>0.43987595744680846</v>
      </c>
      <c r="AD325" s="6">
        <f t="shared" si="21"/>
        <v>0</v>
      </c>
      <c r="AE325" s="6">
        <f ca="1">(L325*Z325+N325*AA325)/(1-CUSTOS!$M$38)*CUSTOS!$M$38</f>
        <v>0.47797632786821381</v>
      </c>
      <c r="AF325" s="4" t="s">
        <v>914</v>
      </c>
    </row>
    <row r="326" spans="1:32" ht="11.25" customHeight="1" x14ac:dyDescent="0.25">
      <c r="A326" s="4" t="s">
        <v>21</v>
      </c>
      <c r="B326" s="4" t="s">
        <v>43</v>
      </c>
      <c r="C326" s="4" t="s">
        <v>33</v>
      </c>
      <c r="D326" s="4" t="s">
        <v>44</v>
      </c>
      <c r="E326" s="4" t="s">
        <v>25</v>
      </c>
      <c r="F326" s="4" t="s">
        <v>25</v>
      </c>
      <c r="G326" s="4" t="s">
        <v>25</v>
      </c>
      <c r="H326" s="4" t="s">
        <v>36</v>
      </c>
      <c r="I326" s="5">
        <v>44378</v>
      </c>
      <c r="J326" s="6">
        <v>0</v>
      </c>
      <c r="K326" s="6">
        <v>0</v>
      </c>
      <c r="L326" s="6">
        <v>0.01</v>
      </c>
      <c r="M326" s="6">
        <v>0.01</v>
      </c>
      <c r="N326" s="6">
        <v>0.01</v>
      </c>
      <c r="O326" s="6">
        <v>0.01</v>
      </c>
      <c r="P326" s="6">
        <v>0</v>
      </c>
      <c r="Q326" s="4" t="s">
        <v>26</v>
      </c>
      <c r="R326" s="4">
        <v>0</v>
      </c>
      <c r="S326" s="4">
        <v>0</v>
      </c>
      <c r="T326" s="4">
        <v>44</v>
      </c>
      <c r="U326" s="4">
        <v>97</v>
      </c>
      <c r="V326" s="6">
        <f>IF(ISERROR(VLOOKUP($S$326,'TAR FIN'!$A$1:$O$100,15,0)),0,VLOOKUP($S$326,'TAR FIN'!$A$1:$O$100,15,0))</f>
        <v>0</v>
      </c>
      <c r="W326" s="6">
        <f>IF(ISERROR(VLOOKUP($T$326,'TAR FIN'!$A$1:$O$100,15,0)),0,VLOOKUP($T$326,'TAR FIN'!$A$1:$O$100,15,0))</f>
        <v>433.74</v>
      </c>
      <c r="X326" s="6">
        <f>IF(ISERROR(VLOOKUP($U$326,'TAR FIN'!$A$1:$O$100,15,0)),0,VLOOKUP($U$326,'TAR FIN'!$A$1:$O$100,15,0))</f>
        <v>192.75</v>
      </c>
      <c r="Y326" s="6"/>
      <c r="Z326" s="6">
        <f ca="1">('TUSD BE'!$AM$41+'TUSD BF'!$AM$41+'TUSD CVA'!$AM$41)*(1-CUSTOS!$M$38)</f>
        <v>456.51643176410988</v>
      </c>
      <c r="AA326" s="6">
        <f>('TE BE'!$AA$24+'TE BF'!$AA$24+'TE CVA'!$AA$24)*(1-CUSTOS!$M$38)</f>
        <v>224.23773216940677</v>
      </c>
      <c r="AB326" s="6">
        <f t="shared" si="20"/>
        <v>0</v>
      </c>
      <c r="AC326" s="6">
        <f>(L326*W326+M326*X326)/(1-CUSTOS!$M$38)*CUSTOS!$M$38</f>
        <v>0.39988723404255327</v>
      </c>
      <c r="AD326" s="6">
        <f t="shared" si="21"/>
        <v>0</v>
      </c>
      <c r="AE326" s="6">
        <f ca="1">(L326*Z326+N326*AA326)/(1-CUSTOS!$M$38)*CUSTOS!$M$38</f>
        <v>0.43452393442564896</v>
      </c>
      <c r="AF326" s="4" t="s">
        <v>914</v>
      </c>
    </row>
    <row r="327" spans="1:32" ht="11.25" customHeight="1" x14ac:dyDescent="0.25">
      <c r="A327" s="4" t="s">
        <v>21</v>
      </c>
      <c r="B327" s="4" t="s">
        <v>43</v>
      </c>
      <c r="C327" s="4" t="s">
        <v>33</v>
      </c>
      <c r="D327" s="4" t="s">
        <v>44</v>
      </c>
      <c r="E327" s="4" t="s">
        <v>25</v>
      </c>
      <c r="F327" s="4" t="s">
        <v>25</v>
      </c>
      <c r="G327" s="4" t="s">
        <v>25</v>
      </c>
      <c r="H327" s="4" t="s">
        <v>36</v>
      </c>
      <c r="I327" s="5">
        <v>44409</v>
      </c>
      <c r="J327" s="6">
        <v>0</v>
      </c>
      <c r="K327" s="6">
        <v>0</v>
      </c>
      <c r="L327" s="6">
        <v>8.0000000000000002E-3</v>
      </c>
      <c r="M327" s="6">
        <v>8.0000000000000002E-3</v>
      </c>
      <c r="N327" s="6">
        <v>8.0000000000000002E-3</v>
      </c>
      <c r="O327" s="6">
        <v>8.0000000000000002E-3</v>
      </c>
      <c r="P327" s="6">
        <v>0</v>
      </c>
      <c r="Q327" s="4" t="s">
        <v>26</v>
      </c>
      <c r="R327" s="4">
        <v>0</v>
      </c>
      <c r="S327" s="4">
        <v>0</v>
      </c>
      <c r="T327" s="4">
        <v>44</v>
      </c>
      <c r="U327" s="4">
        <v>97</v>
      </c>
      <c r="V327" s="6">
        <f>IF(ISERROR(VLOOKUP($S$327,'TAR FIN'!$A$1:$O$100,15,0)),0,VLOOKUP($S$327,'TAR FIN'!$A$1:$O$100,15,0))</f>
        <v>0</v>
      </c>
      <c r="W327" s="6">
        <f>IF(ISERROR(VLOOKUP($T$327,'TAR FIN'!$A$1:$O$100,15,0)),0,VLOOKUP($T$327,'TAR FIN'!$A$1:$O$100,15,0))</f>
        <v>433.74</v>
      </c>
      <c r="X327" s="6">
        <f>IF(ISERROR(VLOOKUP($U$327,'TAR FIN'!$A$1:$O$100,15,0)),0,VLOOKUP($U$327,'TAR FIN'!$A$1:$O$100,15,0))</f>
        <v>192.75</v>
      </c>
      <c r="Y327" s="6"/>
      <c r="Z327" s="6">
        <f ca="1">('TUSD BE'!$AM$41+'TUSD BF'!$AM$41+'TUSD CVA'!$AM$41)*(1-CUSTOS!$M$38)</f>
        <v>456.51643176410988</v>
      </c>
      <c r="AA327" s="6">
        <f>('TE BE'!$AA$24+'TE BF'!$AA$24+'TE CVA'!$AA$24)*(1-CUSTOS!$M$38)</f>
        <v>224.23773216940677</v>
      </c>
      <c r="AB327" s="6">
        <f t="shared" si="20"/>
        <v>0</v>
      </c>
      <c r="AC327" s="6">
        <f>(L327*W327+M327*X327)/(1-CUSTOS!$M$38)*CUSTOS!$M$38</f>
        <v>0.31990978723404256</v>
      </c>
      <c r="AD327" s="6">
        <f t="shared" si="21"/>
        <v>0</v>
      </c>
      <c r="AE327" s="6">
        <f ca="1">(L327*Z327+N327*AA327)/(1-CUSTOS!$M$38)*CUSTOS!$M$38</f>
        <v>0.34761914754051915</v>
      </c>
      <c r="AF327" s="4" t="s">
        <v>914</v>
      </c>
    </row>
    <row r="328" spans="1:32" ht="11.25" customHeight="1" x14ac:dyDescent="0.25">
      <c r="A328" s="4" t="s">
        <v>21</v>
      </c>
      <c r="B328" s="4" t="s">
        <v>43</v>
      </c>
      <c r="C328" s="4" t="s">
        <v>33</v>
      </c>
      <c r="D328" s="4" t="s">
        <v>44</v>
      </c>
      <c r="E328" s="4" t="s">
        <v>25</v>
      </c>
      <c r="F328" s="4" t="s">
        <v>25</v>
      </c>
      <c r="G328" s="4" t="s">
        <v>25</v>
      </c>
      <c r="H328" s="4" t="s">
        <v>36</v>
      </c>
      <c r="I328" s="5">
        <v>44440</v>
      </c>
      <c r="J328" s="6">
        <v>0</v>
      </c>
      <c r="K328" s="6">
        <v>0</v>
      </c>
      <c r="L328" s="6">
        <v>1.0999999999999999E-2</v>
      </c>
      <c r="M328" s="6">
        <v>1.0999999999999999E-2</v>
      </c>
      <c r="N328" s="6">
        <v>1.0999999999999999E-2</v>
      </c>
      <c r="O328" s="6">
        <v>1.0999999999999999E-2</v>
      </c>
      <c r="P328" s="6">
        <v>0</v>
      </c>
      <c r="Q328" s="4" t="s">
        <v>26</v>
      </c>
      <c r="R328" s="4">
        <v>0</v>
      </c>
      <c r="S328" s="4">
        <v>0</v>
      </c>
      <c r="T328" s="4">
        <v>44</v>
      </c>
      <c r="U328" s="4">
        <v>97</v>
      </c>
      <c r="V328" s="6">
        <f>IF(ISERROR(VLOOKUP($S$328,'TAR FIN'!$A$1:$O$100,15,0)),0,VLOOKUP($S$328,'TAR FIN'!$A$1:$O$100,15,0))</f>
        <v>0</v>
      </c>
      <c r="W328" s="6">
        <f>IF(ISERROR(VLOOKUP($T$328,'TAR FIN'!$A$1:$O$100,15,0)),0,VLOOKUP($T$328,'TAR FIN'!$A$1:$O$100,15,0))</f>
        <v>433.74</v>
      </c>
      <c r="X328" s="6">
        <f>IF(ISERROR(VLOOKUP($U$328,'TAR FIN'!$A$1:$O$100,15,0)),0,VLOOKUP($U$328,'TAR FIN'!$A$1:$O$100,15,0))</f>
        <v>192.75</v>
      </c>
      <c r="Y328" s="6"/>
      <c r="Z328" s="6">
        <f ca="1">('TUSD BE'!$AM$41+'TUSD BF'!$AM$41+'TUSD CVA'!$AM$41)*(1-CUSTOS!$M$38)</f>
        <v>456.51643176410988</v>
      </c>
      <c r="AA328" s="6">
        <f>('TE BE'!$AA$24+'TE BF'!$AA$24+'TE CVA'!$AA$24)*(1-CUSTOS!$M$38)</f>
        <v>224.23773216940677</v>
      </c>
      <c r="AB328" s="6">
        <f t="shared" si="20"/>
        <v>0</v>
      </c>
      <c r="AC328" s="6">
        <f>(L328*W328+M328*X328)/(1-CUSTOS!$M$38)*CUSTOS!$M$38</f>
        <v>0.43987595744680846</v>
      </c>
      <c r="AD328" s="6">
        <f t="shared" si="21"/>
        <v>0</v>
      </c>
      <c r="AE328" s="6">
        <f ca="1">(L328*Z328+N328*AA328)/(1-CUSTOS!$M$38)*CUSTOS!$M$38</f>
        <v>0.47797632786821381</v>
      </c>
      <c r="AF328" s="4" t="s">
        <v>914</v>
      </c>
    </row>
    <row r="329" spans="1:32" ht="11.25" customHeight="1" x14ac:dyDescent="0.25">
      <c r="A329" s="4" t="s">
        <v>21</v>
      </c>
      <c r="B329" s="4" t="s">
        <v>43</v>
      </c>
      <c r="C329" s="4" t="s">
        <v>33</v>
      </c>
      <c r="D329" s="4" t="s">
        <v>44</v>
      </c>
      <c r="E329" s="4" t="s">
        <v>25</v>
      </c>
      <c r="F329" s="4" t="s">
        <v>25</v>
      </c>
      <c r="G329" s="4" t="s">
        <v>25</v>
      </c>
      <c r="H329" s="4" t="s">
        <v>36</v>
      </c>
      <c r="I329" s="5">
        <v>44470</v>
      </c>
      <c r="J329" s="6">
        <v>0</v>
      </c>
      <c r="K329" s="6">
        <v>0</v>
      </c>
      <c r="L329" s="6">
        <v>1.2E-2</v>
      </c>
      <c r="M329" s="6">
        <v>1.2E-2</v>
      </c>
      <c r="N329" s="6">
        <v>1.2E-2</v>
      </c>
      <c r="O329" s="6">
        <v>1.2E-2</v>
      </c>
      <c r="P329" s="6">
        <v>0</v>
      </c>
      <c r="Q329" s="4" t="s">
        <v>26</v>
      </c>
      <c r="R329" s="4">
        <v>0</v>
      </c>
      <c r="S329" s="4">
        <v>0</v>
      </c>
      <c r="T329" s="4">
        <v>44</v>
      </c>
      <c r="U329" s="4">
        <v>97</v>
      </c>
      <c r="V329" s="6">
        <f>IF(ISERROR(VLOOKUP($S$329,'TAR FIN'!$A$1:$O$100,15,0)),0,VLOOKUP($S$329,'TAR FIN'!$A$1:$O$100,15,0))</f>
        <v>0</v>
      </c>
      <c r="W329" s="6">
        <f>IF(ISERROR(VLOOKUP($T$329,'TAR FIN'!$A$1:$O$100,15,0)),0,VLOOKUP($T$329,'TAR FIN'!$A$1:$O$100,15,0))</f>
        <v>433.74</v>
      </c>
      <c r="X329" s="6">
        <f>IF(ISERROR(VLOOKUP($U$329,'TAR FIN'!$A$1:$O$100,15,0)),0,VLOOKUP($U$329,'TAR FIN'!$A$1:$O$100,15,0))</f>
        <v>192.75</v>
      </c>
      <c r="Y329" s="6"/>
      <c r="Z329" s="6">
        <f ca="1">('TUSD BE'!$AM$41+'TUSD BF'!$AM$41+'TUSD CVA'!$AM$41)*(1-CUSTOS!$M$38)</f>
        <v>456.51643176410988</v>
      </c>
      <c r="AA329" s="6">
        <f>('TE BE'!$AA$24+'TE BF'!$AA$24+'TE CVA'!$AA$24)*(1-CUSTOS!$M$38)</f>
        <v>224.23773216940677</v>
      </c>
      <c r="AB329" s="6">
        <f t="shared" si="20"/>
        <v>0</v>
      </c>
      <c r="AC329" s="6">
        <f>(L329*W329+M329*X329)/(1-CUSTOS!$M$38)*CUSTOS!$M$38</f>
        <v>0.47986468085106382</v>
      </c>
      <c r="AD329" s="6">
        <f t="shared" si="21"/>
        <v>0</v>
      </c>
      <c r="AE329" s="6">
        <f ca="1">(L329*Z329+N329*AA329)/(1-CUSTOS!$M$38)*CUSTOS!$M$38</f>
        <v>0.52142872131077866</v>
      </c>
      <c r="AF329" s="4" t="s">
        <v>914</v>
      </c>
    </row>
    <row r="330" spans="1:32" ht="11.25" customHeight="1" x14ac:dyDescent="0.25">
      <c r="A330" s="4" t="s">
        <v>21</v>
      </c>
      <c r="B330" s="4" t="s">
        <v>43</v>
      </c>
      <c r="C330" s="4" t="s">
        <v>33</v>
      </c>
      <c r="D330" s="4" t="s">
        <v>44</v>
      </c>
      <c r="E330" s="4" t="s">
        <v>25</v>
      </c>
      <c r="F330" s="4" t="s">
        <v>25</v>
      </c>
      <c r="G330" s="4" t="s">
        <v>25</v>
      </c>
      <c r="H330" s="4" t="s">
        <v>36</v>
      </c>
      <c r="I330" s="5">
        <v>44501</v>
      </c>
      <c r="J330" s="6">
        <v>0</v>
      </c>
      <c r="K330" s="6">
        <v>0</v>
      </c>
      <c r="L330" s="6">
        <v>0.01</v>
      </c>
      <c r="M330" s="6">
        <v>0.01</v>
      </c>
      <c r="N330" s="6">
        <v>0.01</v>
      </c>
      <c r="O330" s="6">
        <v>0.01</v>
      </c>
      <c r="P330" s="6">
        <v>0</v>
      </c>
      <c r="Q330" s="4" t="s">
        <v>26</v>
      </c>
      <c r="R330" s="4">
        <v>0</v>
      </c>
      <c r="S330" s="4">
        <v>0</v>
      </c>
      <c r="T330" s="4">
        <v>44</v>
      </c>
      <c r="U330" s="4">
        <v>97</v>
      </c>
      <c r="V330" s="6">
        <f>IF(ISERROR(VLOOKUP($S$330,'TAR FIN'!$A$1:$O$100,15,0)),0,VLOOKUP($S$330,'TAR FIN'!$A$1:$O$100,15,0))</f>
        <v>0</v>
      </c>
      <c r="W330" s="6">
        <f>IF(ISERROR(VLOOKUP($T$330,'TAR FIN'!$A$1:$O$100,15,0)),0,VLOOKUP($T$330,'TAR FIN'!$A$1:$O$100,15,0))</f>
        <v>433.74</v>
      </c>
      <c r="X330" s="6">
        <f>IF(ISERROR(VLOOKUP($U$330,'TAR FIN'!$A$1:$O$100,15,0)),0,VLOOKUP($U$330,'TAR FIN'!$A$1:$O$100,15,0))</f>
        <v>192.75</v>
      </c>
      <c r="Y330" s="6"/>
      <c r="Z330" s="6">
        <f ca="1">('TUSD BE'!$AM$41+'TUSD BF'!$AM$41+'TUSD CVA'!$AM$41)*(1-CUSTOS!$M$38)</f>
        <v>456.51643176410988</v>
      </c>
      <c r="AA330" s="6">
        <f>('TE BE'!$AA$24+'TE BF'!$AA$24+'TE CVA'!$AA$24)*(1-CUSTOS!$M$38)</f>
        <v>224.23773216940677</v>
      </c>
      <c r="AB330" s="6">
        <f t="shared" si="20"/>
        <v>0</v>
      </c>
      <c r="AC330" s="6">
        <f>(L330*W330+M330*X330)/(1-CUSTOS!$M$38)*CUSTOS!$M$38</f>
        <v>0.39988723404255327</v>
      </c>
      <c r="AD330" s="6">
        <f t="shared" si="21"/>
        <v>0</v>
      </c>
      <c r="AE330" s="6">
        <f ca="1">(L330*Z330+N330*AA330)/(1-CUSTOS!$M$38)*CUSTOS!$M$38</f>
        <v>0.43452393442564896</v>
      </c>
      <c r="AF330" s="4" t="s">
        <v>914</v>
      </c>
    </row>
    <row r="331" spans="1:32" ht="11.25" customHeight="1" x14ac:dyDescent="0.25">
      <c r="A331" s="4" t="s">
        <v>21</v>
      </c>
      <c r="B331" s="4" t="s">
        <v>43</v>
      </c>
      <c r="C331" s="4" t="s">
        <v>33</v>
      </c>
      <c r="D331" s="4" t="s">
        <v>44</v>
      </c>
      <c r="E331" s="4" t="s">
        <v>25</v>
      </c>
      <c r="F331" s="4" t="s">
        <v>25</v>
      </c>
      <c r="G331" s="4" t="s">
        <v>25</v>
      </c>
      <c r="H331" s="4" t="s">
        <v>36</v>
      </c>
      <c r="I331" s="5">
        <v>44531</v>
      </c>
      <c r="J331" s="6">
        <v>0</v>
      </c>
      <c r="K331" s="6">
        <v>0</v>
      </c>
      <c r="L331" s="6">
        <v>1.2E-2</v>
      </c>
      <c r="M331" s="6">
        <v>1.2E-2</v>
      </c>
      <c r="N331" s="6">
        <v>1.2E-2</v>
      </c>
      <c r="O331" s="6">
        <v>1.2E-2</v>
      </c>
      <c r="P331" s="6">
        <v>0</v>
      </c>
      <c r="Q331" s="4" t="s">
        <v>26</v>
      </c>
      <c r="R331" s="4">
        <v>0</v>
      </c>
      <c r="S331" s="4">
        <v>0</v>
      </c>
      <c r="T331" s="4">
        <v>44</v>
      </c>
      <c r="U331" s="4">
        <v>97</v>
      </c>
      <c r="V331" s="6">
        <f>IF(ISERROR(VLOOKUP($S$331,'TAR FIN'!$A$1:$O$100,15,0)),0,VLOOKUP($S$331,'TAR FIN'!$A$1:$O$100,15,0))</f>
        <v>0</v>
      </c>
      <c r="W331" s="6">
        <f>IF(ISERROR(VLOOKUP($T$331,'TAR FIN'!$A$1:$O$100,15,0)),0,VLOOKUP($T$331,'TAR FIN'!$A$1:$O$100,15,0))</f>
        <v>433.74</v>
      </c>
      <c r="X331" s="6">
        <f>IF(ISERROR(VLOOKUP($U$331,'TAR FIN'!$A$1:$O$100,15,0)),0,VLOOKUP($U$331,'TAR FIN'!$A$1:$O$100,15,0))</f>
        <v>192.75</v>
      </c>
      <c r="Y331" s="6"/>
      <c r="Z331" s="6">
        <f ca="1">('TUSD BE'!$AM$41+'TUSD BF'!$AM$41+'TUSD CVA'!$AM$41)*(1-CUSTOS!$M$38)</f>
        <v>456.51643176410988</v>
      </c>
      <c r="AA331" s="6">
        <f>('TE BE'!$AA$24+'TE BF'!$AA$24+'TE CVA'!$AA$24)*(1-CUSTOS!$M$38)</f>
        <v>224.23773216940677</v>
      </c>
      <c r="AB331" s="6">
        <f t="shared" si="20"/>
        <v>0</v>
      </c>
      <c r="AC331" s="6">
        <f>(L331*W331+M331*X331)/(1-CUSTOS!$M$38)*CUSTOS!$M$38</f>
        <v>0.47986468085106382</v>
      </c>
      <c r="AD331" s="6">
        <f t="shared" si="21"/>
        <v>0</v>
      </c>
      <c r="AE331" s="6">
        <f ca="1">(L331*Z331+N331*AA331)/(1-CUSTOS!$M$38)*CUSTOS!$M$38</f>
        <v>0.52142872131077866</v>
      </c>
      <c r="AF331" s="4" t="s">
        <v>914</v>
      </c>
    </row>
    <row r="332" spans="1:32" ht="11.25" customHeight="1" x14ac:dyDescent="0.25">
      <c r="A332" s="4" t="s">
        <v>55</v>
      </c>
      <c r="B332" s="4" t="s">
        <v>43</v>
      </c>
      <c r="C332" s="4" t="s">
        <v>33</v>
      </c>
      <c r="D332" s="4" t="s">
        <v>44</v>
      </c>
      <c r="E332" s="4" t="s">
        <v>25</v>
      </c>
      <c r="F332" s="4" t="s">
        <v>25</v>
      </c>
      <c r="G332" s="4" t="s">
        <v>25</v>
      </c>
      <c r="H332" s="4" t="s">
        <v>36</v>
      </c>
      <c r="I332" s="5">
        <v>44562</v>
      </c>
      <c r="J332" s="6">
        <v>0</v>
      </c>
      <c r="K332" s="6">
        <v>0</v>
      </c>
      <c r="L332" s="6">
        <v>1.2E-2</v>
      </c>
      <c r="M332" s="6">
        <v>1.2E-2</v>
      </c>
      <c r="N332" s="6">
        <v>1.2E-2</v>
      </c>
      <c r="O332" s="6">
        <v>1.2E-2</v>
      </c>
      <c r="P332" s="6">
        <v>0</v>
      </c>
      <c r="Q332" s="4" t="s">
        <v>26</v>
      </c>
      <c r="R332" s="4">
        <v>0</v>
      </c>
      <c r="S332" s="4">
        <v>0</v>
      </c>
      <c r="T332" s="4">
        <v>44</v>
      </c>
      <c r="U332" s="4">
        <v>97</v>
      </c>
      <c r="V332" s="6">
        <f>IF(ISERROR(VLOOKUP($S$332,'TAR FIN'!$A$1:$O$100,15,0)),0,VLOOKUP($S$332,'TAR FIN'!$A$1:$O$100,15,0))</f>
        <v>0</v>
      </c>
      <c r="W332" s="6">
        <f>IF(ISERROR(VLOOKUP($T$332,'TAR FIN'!$A$1:$O$100,15,0)),0,VLOOKUP($T$332,'TAR FIN'!$A$1:$O$100,15,0))</f>
        <v>433.74</v>
      </c>
      <c r="X332" s="6">
        <f>IF(ISERROR(VLOOKUP($U$332,'TAR FIN'!$A$1:$O$100,15,0)),0,VLOOKUP($U$332,'TAR FIN'!$A$1:$O$100,15,0))</f>
        <v>192.75</v>
      </c>
      <c r="Y332" s="6"/>
      <c r="Z332" s="6">
        <f ca="1">('TUSD BE'!$AM$41+'TUSD BF'!$AM$41+'TUSD CVA'!$AM$41)*(1-CUSTOS!$M$38)</f>
        <v>456.51643176410988</v>
      </c>
      <c r="AA332" s="6">
        <f>('TE BE'!$AA$24+'TE BF'!$AA$24+'TE CVA'!$AA$24)*(1-CUSTOS!$M$38)</f>
        <v>224.23773216940677</v>
      </c>
      <c r="AB332" s="6">
        <f t="shared" si="20"/>
        <v>0</v>
      </c>
      <c r="AC332" s="6">
        <f>(L332*W332+M332*X332)/(1-CUSTOS!$M$38)*CUSTOS!$M$38</f>
        <v>0.47986468085106382</v>
      </c>
      <c r="AD332" s="6">
        <f t="shared" si="21"/>
        <v>0</v>
      </c>
      <c r="AE332" s="6">
        <f ca="1">(L332*Z332+N332*AA332)/(1-CUSTOS!$M$38)*CUSTOS!$M$38</f>
        <v>0.52142872131077866</v>
      </c>
      <c r="AF332" s="4" t="s">
        <v>914</v>
      </c>
    </row>
    <row r="333" spans="1:32" ht="11.25" customHeight="1" x14ac:dyDescent="0.25">
      <c r="A333" s="4" t="s">
        <v>21</v>
      </c>
      <c r="B333" s="4" t="s">
        <v>43</v>
      </c>
      <c r="C333" s="4" t="s">
        <v>33</v>
      </c>
      <c r="D333" s="4" t="s">
        <v>44</v>
      </c>
      <c r="E333" s="4" t="s">
        <v>25</v>
      </c>
      <c r="F333" s="4" t="s">
        <v>25</v>
      </c>
      <c r="G333" s="4" t="s">
        <v>25</v>
      </c>
      <c r="H333" s="4" t="s">
        <v>34</v>
      </c>
      <c r="I333" s="5">
        <v>44228</v>
      </c>
      <c r="J333" s="6">
        <v>0</v>
      </c>
      <c r="K333" s="6">
        <v>0</v>
      </c>
      <c r="L333" s="6">
        <v>1.0999999999999999E-2</v>
      </c>
      <c r="M333" s="6">
        <v>1.0999999999999999E-2</v>
      </c>
      <c r="N333" s="6">
        <v>1.0999999999999999E-2</v>
      </c>
      <c r="O333" s="6">
        <v>1.0999999999999999E-2</v>
      </c>
      <c r="P333" s="6">
        <v>0</v>
      </c>
      <c r="Q333" s="4" t="s">
        <v>26</v>
      </c>
      <c r="R333" s="4">
        <v>0</v>
      </c>
      <c r="S333" s="4">
        <v>0</v>
      </c>
      <c r="T333" s="4">
        <v>43</v>
      </c>
      <c r="U333" s="4">
        <v>96</v>
      </c>
      <c r="V333" s="6">
        <f>IF(ISERROR(VLOOKUP($S$333,'TAR FIN'!$A$1:$O$100,15,0)),0,VLOOKUP($S$333,'TAR FIN'!$A$1:$O$100,15,0))</f>
        <v>0</v>
      </c>
      <c r="W333" s="6">
        <f>IF(ISERROR(VLOOKUP($T$333,'TAR FIN'!$A$1:$O$100,15,0)),0,VLOOKUP($T$333,'TAR FIN'!$A$1:$O$100,15,0))</f>
        <v>687.34</v>
      </c>
      <c r="X333" s="6">
        <f>IF(ISERROR(VLOOKUP($U$333,'TAR FIN'!$A$1:$O$100,15,0)),0,VLOOKUP($U$333,'TAR FIN'!$A$1:$O$100,15,0))</f>
        <v>322.61</v>
      </c>
      <c r="Y333" s="6"/>
      <c r="Z333" s="6">
        <f ca="1">('TUSD BE'!$AM$40+'TUSD BF'!$AM$40+'TUSD CVA'!$AM$40)*(1-CUSTOS!$M$38)</f>
        <v>718.09568282865928</v>
      </c>
      <c r="AA333" s="6">
        <f>('TE BE'!$AA$23+'TE BF'!$AA$23+'TE CVA'!$AA$23)*(1-CUSTOS!$M$38)</f>
        <v>362.3376323622461</v>
      </c>
      <c r="AB333" s="6">
        <f t="shared" si="20"/>
        <v>0</v>
      </c>
      <c r="AC333" s="6">
        <f>(L333*W333+M333*X333)/(1-CUSTOS!$M$38)*CUSTOS!$M$38</f>
        <v>0.70911382978723403</v>
      </c>
      <c r="AD333" s="6">
        <f t="shared" si="21"/>
        <v>0</v>
      </c>
      <c r="AE333" s="6">
        <f ca="1">(L333*Z333+N333*AA333)/(1-CUSTOS!$M$38)*CUSTOS!$M$38</f>
        <v>0.75860211492127383</v>
      </c>
      <c r="AF333" s="4" t="s">
        <v>914</v>
      </c>
    </row>
    <row r="334" spans="1:32" ht="11.25" customHeight="1" x14ac:dyDescent="0.25">
      <c r="A334" s="4" t="s">
        <v>21</v>
      </c>
      <c r="B334" s="4" t="s">
        <v>43</v>
      </c>
      <c r="C334" s="4" t="s">
        <v>33</v>
      </c>
      <c r="D334" s="4" t="s">
        <v>44</v>
      </c>
      <c r="E334" s="4" t="s">
        <v>25</v>
      </c>
      <c r="F334" s="4" t="s">
        <v>25</v>
      </c>
      <c r="G334" s="4" t="s">
        <v>25</v>
      </c>
      <c r="H334" s="4" t="s">
        <v>34</v>
      </c>
      <c r="I334" s="5">
        <v>44256</v>
      </c>
      <c r="J334" s="6">
        <v>0</v>
      </c>
      <c r="K334" s="6">
        <v>0</v>
      </c>
      <c r="L334" s="6">
        <v>1.4E-2</v>
      </c>
      <c r="M334" s="6">
        <v>1.4E-2</v>
      </c>
      <c r="N334" s="6">
        <v>1.4E-2</v>
      </c>
      <c r="O334" s="6">
        <v>1.4E-2</v>
      </c>
      <c r="P334" s="6">
        <v>0</v>
      </c>
      <c r="Q334" s="4" t="s">
        <v>26</v>
      </c>
      <c r="R334" s="4">
        <v>0</v>
      </c>
      <c r="S334" s="4">
        <v>0</v>
      </c>
      <c r="T334" s="4">
        <v>43</v>
      </c>
      <c r="U334" s="4">
        <v>96</v>
      </c>
      <c r="V334" s="6">
        <f>IF(ISERROR(VLOOKUP($S$334,'TAR FIN'!$A$1:$O$100,15,0)),0,VLOOKUP($S$334,'TAR FIN'!$A$1:$O$100,15,0))</f>
        <v>0</v>
      </c>
      <c r="W334" s="6">
        <f>IF(ISERROR(VLOOKUP($T$334,'TAR FIN'!$A$1:$O$100,15,0)),0,VLOOKUP($T$334,'TAR FIN'!$A$1:$O$100,15,0))</f>
        <v>687.34</v>
      </c>
      <c r="X334" s="6">
        <f>IF(ISERROR(VLOOKUP($U$334,'TAR FIN'!$A$1:$O$100,15,0)),0,VLOOKUP($U$334,'TAR FIN'!$A$1:$O$100,15,0))</f>
        <v>322.61</v>
      </c>
      <c r="Y334" s="6"/>
      <c r="Z334" s="6">
        <f ca="1">('TUSD BE'!$AM$40+'TUSD BF'!$AM$40+'TUSD CVA'!$AM$40)*(1-CUSTOS!$M$38)</f>
        <v>718.09568282865928</v>
      </c>
      <c r="AA334" s="6">
        <f>('TE BE'!$AA$23+'TE BF'!$AA$23+'TE CVA'!$AA$23)*(1-CUSTOS!$M$38)</f>
        <v>362.3376323622461</v>
      </c>
      <c r="AB334" s="6">
        <f t="shared" si="20"/>
        <v>0</v>
      </c>
      <c r="AC334" s="6">
        <f>(L334*W334+M334*X334)/(1-CUSTOS!$M$38)*CUSTOS!$M$38</f>
        <v>0.90250851063829807</v>
      </c>
      <c r="AD334" s="6">
        <f t="shared" si="21"/>
        <v>0</v>
      </c>
      <c r="AE334" s="6">
        <f ca="1">(L334*Z334+N334*AA334)/(1-CUSTOS!$M$38)*CUSTOS!$M$38</f>
        <v>0.96549360080889435</v>
      </c>
      <c r="AF334" s="4" t="s">
        <v>914</v>
      </c>
    </row>
    <row r="335" spans="1:32" ht="11.25" customHeight="1" x14ac:dyDescent="0.25">
      <c r="A335" s="4" t="s">
        <v>21</v>
      </c>
      <c r="B335" s="4" t="s">
        <v>43</v>
      </c>
      <c r="C335" s="4" t="s">
        <v>33</v>
      </c>
      <c r="D335" s="4" t="s">
        <v>44</v>
      </c>
      <c r="E335" s="4" t="s">
        <v>25</v>
      </c>
      <c r="F335" s="4" t="s">
        <v>25</v>
      </c>
      <c r="G335" s="4" t="s">
        <v>25</v>
      </c>
      <c r="H335" s="4" t="s">
        <v>34</v>
      </c>
      <c r="I335" s="5">
        <v>44287</v>
      </c>
      <c r="J335" s="6">
        <v>0</v>
      </c>
      <c r="K335" s="6">
        <v>0</v>
      </c>
      <c r="L335" s="6">
        <v>1.2999999999999999E-2</v>
      </c>
      <c r="M335" s="6">
        <v>1.2999999999999999E-2</v>
      </c>
      <c r="N335" s="6">
        <v>1.2999999999999999E-2</v>
      </c>
      <c r="O335" s="6">
        <v>1.2999999999999999E-2</v>
      </c>
      <c r="P335" s="6">
        <v>0</v>
      </c>
      <c r="Q335" s="4" t="s">
        <v>26</v>
      </c>
      <c r="R335" s="4">
        <v>0</v>
      </c>
      <c r="S335" s="4">
        <v>0</v>
      </c>
      <c r="T335" s="4">
        <v>43</v>
      </c>
      <c r="U335" s="4">
        <v>96</v>
      </c>
      <c r="V335" s="6">
        <f>IF(ISERROR(VLOOKUP($S$335,'TAR FIN'!$A$1:$O$100,15,0)),0,VLOOKUP($S$335,'TAR FIN'!$A$1:$O$100,15,0))</f>
        <v>0</v>
      </c>
      <c r="W335" s="6">
        <f>IF(ISERROR(VLOOKUP($T$335,'TAR FIN'!$A$1:$O$100,15,0)),0,VLOOKUP($T$335,'TAR FIN'!$A$1:$O$100,15,0))</f>
        <v>687.34</v>
      </c>
      <c r="X335" s="6">
        <f>IF(ISERROR(VLOOKUP($U$335,'TAR FIN'!$A$1:$O$100,15,0)),0,VLOOKUP($U$335,'TAR FIN'!$A$1:$O$100,15,0))</f>
        <v>322.61</v>
      </c>
      <c r="Y335" s="6"/>
      <c r="Z335" s="6">
        <f ca="1">('TUSD BE'!$AM$40+'TUSD BF'!$AM$40+'TUSD CVA'!$AM$40)*(1-CUSTOS!$M$38)</f>
        <v>718.09568282865928</v>
      </c>
      <c r="AA335" s="6">
        <f>('TE BE'!$AA$23+'TE BF'!$AA$23+'TE CVA'!$AA$23)*(1-CUSTOS!$M$38)</f>
        <v>362.3376323622461</v>
      </c>
      <c r="AB335" s="6">
        <f t="shared" si="20"/>
        <v>0</v>
      </c>
      <c r="AC335" s="6">
        <f>(L335*W335+M335*X335)/(1-CUSTOS!$M$38)*CUSTOS!$M$38</f>
        <v>0.83804361702127661</v>
      </c>
      <c r="AD335" s="6">
        <f t="shared" si="21"/>
        <v>0</v>
      </c>
      <c r="AE335" s="6">
        <f ca="1">(L335*Z335+N335*AA335)/(1-CUSTOS!$M$38)*CUSTOS!$M$38</f>
        <v>0.89652977217968743</v>
      </c>
      <c r="AF335" s="4" t="s">
        <v>914</v>
      </c>
    </row>
    <row r="336" spans="1:32" ht="11.25" customHeight="1" x14ac:dyDescent="0.25">
      <c r="A336" s="4" t="s">
        <v>21</v>
      </c>
      <c r="B336" s="4" t="s">
        <v>43</v>
      </c>
      <c r="C336" s="4" t="s">
        <v>33</v>
      </c>
      <c r="D336" s="4" t="s">
        <v>44</v>
      </c>
      <c r="E336" s="4" t="s">
        <v>25</v>
      </c>
      <c r="F336" s="4" t="s">
        <v>25</v>
      </c>
      <c r="G336" s="4" t="s">
        <v>25</v>
      </c>
      <c r="H336" s="4" t="s">
        <v>34</v>
      </c>
      <c r="I336" s="5">
        <v>44317</v>
      </c>
      <c r="J336" s="6">
        <v>0</v>
      </c>
      <c r="K336" s="6">
        <v>0</v>
      </c>
      <c r="L336" s="6">
        <v>1.4999999999999999E-2</v>
      </c>
      <c r="M336" s="6">
        <v>1.4999999999999999E-2</v>
      </c>
      <c r="N336" s="6">
        <v>1.4999999999999999E-2</v>
      </c>
      <c r="O336" s="6">
        <v>1.4999999999999999E-2</v>
      </c>
      <c r="P336" s="6">
        <v>0</v>
      </c>
      <c r="Q336" s="4" t="s">
        <v>26</v>
      </c>
      <c r="R336" s="4">
        <v>0</v>
      </c>
      <c r="S336" s="4">
        <v>0</v>
      </c>
      <c r="T336" s="4">
        <v>43</v>
      </c>
      <c r="U336" s="4">
        <v>96</v>
      </c>
      <c r="V336" s="6">
        <f>IF(ISERROR(VLOOKUP($S$336,'TAR FIN'!$A$1:$O$100,15,0)),0,VLOOKUP($S$336,'TAR FIN'!$A$1:$O$100,15,0))</f>
        <v>0</v>
      </c>
      <c r="W336" s="6">
        <f>IF(ISERROR(VLOOKUP($T$336,'TAR FIN'!$A$1:$O$100,15,0)),0,VLOOKUP($T$336,'TAR FIN'!$A$1:$O$100,15,0))</f>
        <v>687.34</v>
      </c>
      <c r="X336" s="6">
        <f>IF(ISERROR(VLOOKUP($U$336,'TAR FIN'!$A$1:$O$100,15,0)),0,VLOOKUP($U$336,'TAR FIN'!$A$1:$O$100,15,0))</f>
        <v>322.61</v>
      </c>
      <c r="Y336" s="6"/>
      <c r="Z336" s="6">
        <f ca="1">('TUSD BE'!$AM$40+'TUSD BF'!$AM$40+'TUSD CVA'!$AM$40)*(1-CUSTOS!$M$38)</f>
        <v>718.09568282865928</v>
      </c>
      <c r="AA336" s="6">
        <f>('TE BE'!$AA$23+'TE BF'!$AA$23+'TE CVA'!$AA$23)*(1-CUSTOS!$M$38)</f>
        <v>362.3376323622461</v>
      </c>
      <c r="AB336" s="6">
        <f t="shared" si="20"/>
        <v>0</v>
      </c>
      <c r="AC336" s="6">
        <f>(L336*W336+M336*X336)/(1-CUSTOS!$M$38)*CUSTOS!$M$38</f>
        <v>0.96697340425531908</v>
      </c>
      <c r="AD336" s="6">
        <f t="shared" si="21"/>
        <v>0</v>
      </c>
      <c r="AE336" s="6">
        <f ca="1">(L336*Z336+N336*AA336)/(1-CUSTOS!$M$38)*CUSTOS!$M$38</f>
        <v>1.0344574294381008</v>
      </c>
      <c r="AF336" s="4" t="s">
        <v>914</v>
      </c>
    </row>
    <row r="337" spans="1:32" ht="11.25" customHeight="1" x14ac:dyDescent="0.25">
      <c r="A337" s="4" t="s">
        <v>21</v>
      </c>
      <c r="B337" s="4" t="s">
        <v>43</v>
      </c>
      <c r="C337" s="4" t="s">
        <v>33</v>
      </c>
      <c r="D337" s="4" t="s">
        <v>44</v>
      </c>
      <c r="E337" s="4" t="s">
        <v>25</v>
      </c>
      <c r="F337" s="4" t="s">
        <v>25</v>
      </c>
      <c r="G337" s="4" t="s">
        <v>25</v>
      </c>
      <c r="H337" s="4" t="s">
        <v>34</v>
      </c>
      <c r="I337" s="5">
        <v>44348</v>
      </c>
      <c r="J337" s="6">
        <v>0</v>
      </c>
      <c r="K337" s="6">
        <v>0</v>
      </c>
      <c r="L337" s="6">
        <v>1.2999999999999999E-2</v>
      </c>
      <c r="M337" s="6">
        <v>1.2999999999999999E-2</v>
      </c>
      <c r="N337" s="6">
        <v>1.2999999999999999E-2</v>
      </c>
      <c r="O337" s="6">
        <v>1.2999999999999999E-2</v>
      </c>
      <c r="P337" s="6">
        <v>0</v>
      </c>
      <c r="Q337" s="4" t="s">
        <v>26</v>
      </c>
      <c r="R337" s="4">
        <v>0</v>
      </c>
      <c r="S337" s="4">
        <v>0</v>
      </c>
      <c r="T337" s="4">
        <v>43</v>
      </c>
      <c r="U337" s="4">
        <v>96</v>
      </c>
      <c r="V337" s="6">
        <f>IF(ISERROR(VLOOKUP($S$337,'TAR FIN'!$A$1:$O$100,15,0)),0,VLOOKUP($S$337,'TAR FIN'!$A$1:$O$100,15,0))</f>
        <v>0</v>
      </c>
      <c r="W337" s="6">
        <f>IF(ISERROR(VLOOKUP($T$337,'TAR FIN'!$A$1:$O$100,15,0)),0,VLOOKUP($T$337,'TAR FIN'!$A$1:$O$100,15,0))</f>
        <v>687.34</v>
      </c>
      <c r="X337" s="6">
        <f>IF(ISERROR(VLOOKUP($U$337,'TAR FIN'!$A$1:$O$100,15,0)),0,VLOOKUP($U$337,'TAR FIN'!$A$1:$O$100,15,0))</f>
        <v>322.61</v>
      </c>
      <c r="Y337" s="6"/>
      <c r="Z337" s="6">
        <f ca="1">('TUSD BE'!$AM$40+'TUSD BF'!$AM$40+'TUSD CVA'!$AM$40)*(1-CUSTOS!$M$38)</f>
        <v>718.09568282865928</v>
      </c>
      <c r="AA337" s="6">
        <f>('TE BE'!$AA$23+'TE BF'!$AA$23+'TE CVA'!$AA$23)*(1-CUSTOS!$M$38)</f>
        <v>362.3376323622461</v>
      </c>
      <c r="AB337" s="6">
        <f t="shared" si="20"/>
        <v>0</v>
      </c>
      <c r="AC337" s="6">
        <f>(L337*W337+M337*X337)/(1-CUSTOS!$M$38)*CUSTOS!$M$38</f>
        <v>0.83804361702127661</v>
      </c>
      <c r="AD337" s="6">
        <f t="shared" si="21"/>
        <v>0</v>
      </c>
      <c r="AE337" s="6">
        <f ca="1">(L337*Z337+N337*AA337)/(1-CUSTOS!$M$38)*CUSTOS!$M$38</f>
        <v>0.89652977217968743</v>
      </c>
      <c r="AF337" s="4" t="s">
        <v>914</v>
      </c>
    </row>
    <row r="338" spans="1:32" ht="11.25" customHeight="1" x14ac:dyDescent="0.25">
      <c r="A338" s="4" t="s">
        <v>21</v>
      </c>
      <c r="B338" s="4" t="s">
        <v>43</v>
      </c>
      <c r="C338" s="4" t="s">
        <v>33</v>
      </c>
      <c r="D338" s="4" t="s">
        <v>44</v>
      </c>
      <c r="E338" s="4" t="s">
        <v>25</v>
      </c>
      <c r="F338" s="4" t="s">
        <v>25</v>
      </c>
      <c r="G338" s="4" t="s">
        <v>25</v>
      </c>
      <c r="H338" s="4" t="s">
        <v>34</v>
      </c>
      <c r="I338" s="5">
        <v>44378</v>
      </c>
      <c r="J338" s="6">
        <v>0</v>
      </c>
      <c r="K338" s="6">
        <v>0</v>
      </c>
      <c r="L338" s="6">
        <v>1.2999999999999999E-2</v>
      </c>
      <c r="M338" s="6">
        <v>1.2999999999999999E-2</v>
      </c>
      <c r="N338" s="6">
        <v>1.2999999999999999E-2</v>
      </c>
      <c r="O338" s="6">
        <v>1.2999999999999999E-2</v>
      </c>
      <c r="P338" s="6">
        <v>0</v>
      </c>
      <c r="Q338" s="4" t="s">
        <v>26</v>
      </c>
      <c r="R338" s="4">
        <v>0</v>
      </c>
      <c r="S338" s="4">
        <v>0</v>
      </c>
      <c r="T338" s="4">
        <v>43</v>
      </c>
      <c r="U338" s="4">
        <v>96</v>
      </c>
      <c r="V338" s="6">
        <f>IF(ISERROR(VLOOKUP($S$338,'TAR FIN'!$A$1:$O$100,15,0)),0,VLOOKUP($S$338,'TAR FIN'!$A$1:$O$100,15,0))</f>
        <v>0</v>
      </c>
      <c r="W338" s="6">
        <f>IF(ISERROR(VLOOKUP($T$338,'TAR FIN'!$A$1:$O$100,15,0)),0,VLOOKUP($T$338,'TAR FIN'!$A$1:$O$100,15,0))</f>
        <v>687.34</v>
      </c>
      <c r="X338" s="6">
        <f>IF(ISERROR(VLOOKUP($U$338,'TAR FIN'!$A$1:$O$100,15,0)),0,VLOOKUP($U$338,'TAR FIN'!$A$1:$O$100,15,0))</f>
        <v>322.61</v>
      </c>
      <c r="Y338" s="6"/>
      <c r="Z338" s="6">
        <f ca="1">('TUSD BE'!$AM$40+'TUSD BF'!$AM$40+'TUSD CVA'!$AM$40)*(1-CUSTOS!$M$38)</f>
        <v>718.09568282865928</v>
      </c>
      <c r="AA338" s="6">
        <f>('TE BE'!$AA$23+'TE BF'!$AA$23+'TE CVA'!$AA$23)*(1-CUSTOS!$M$38)</f>
        <v>362.3376323622461</v>
      </c>
      <c r="AB338" s="6">
        <f t="shared" si="20"/>
        <v>0</v>
      </c>
      <c r="AC338" s="6">
        <f>(L338*W338+M338*X338)/(1-CUSTOS!$M$38)*CUSTOS!$M$38</f>
        <v>0.83804361702127661</v>
      </c>
      <c r="AD338" s="6">
        <f t="shared" si="21"/>
        <v>0</v>
      </c>
      <c r="AE338" s="6">
        <f ca="1">(L338*Z338+N338*AA338)/(1-CUSTOS!$M$38)*CUSTOS!$M$38</f>
        <v>0.89652977217968743</v>
      </c>
      <c r="AF338" s="4" t="s">
        <v>914</v>
      </c>
    </row>
    <row r="339" spans="1:32" ht="11.25" customHeight="1" x14ac:dyDescent="0.25">
      <c r="A339" s="4" t="s">
        <v>21</v>
      </c>
      <c r="B339" s="4" t="s">
        <v>43</v>
      </c>
      <c r="C339" s="4" t="s">
        <v>33</v>
      </c>
      <c r="D339" s="4" t="s">
        <v>44</v>
      </c>
      <c r="E339" s="4" t="s">
        <v>25</v>
      </c>
      <c r="F339" s="4" t="s">
        <v>25</v>
      </c>
      <c r="G339" s="4" t="s">
        <v>25</v>
      </c>
      <c r="H339" s="4" t="s">
        <v>34</v>
      </c>
      <c r="I339" s="5">
        <v>44409</v>
      </c>
      <c r="J339" s="6">
        <v>0</v>
      </c>
      <c r="K339" s="6">
        <v>0</v>
      </c>
      <c r="L339" s="6">
        <v>1.2E-2</v>
      </c>
      <c r="M339" s="6">
        <v>1.2E-2</v>
      </c>
      <c r="N339" s="6">
        <v>1.2E-2</v>
      </c>
      <c r="O339" s="6">
        <v>1.2E-2</v>
      </c>
      <c r="P339" s="6">
        <v>0</v>
      </c>
      <c r="Q339" s="4" t="s">
        <v>26</v>
      </c>
      <c r="R339" s="4">
        <v>0</v>
      </c>
      <c r="S339" s="4">
        <v>0</v>
      </c>
      <c r="T339" s="4">
        <v>43</v>
      </c>
      <c r="U339" s="4">
        <v>96</v>
      </c>
      <c r="V339" s="6">
        <f>IF(ISERROR(VLOOKUP($S$339,'TAR FIN'!$A$1:$O$100,15,0)),0,VLOOKUP($S$339,'TAR FIN'!$A$1:$O$100,15,0))</f>
        <v>0</v>
      </c>
      <c r="W339" s="6">
        <f>IF(ISERROR(VLOOKUP($T$339,'TAR FIN'!$A$1:$O$100,15,0)),0,VLOOKUP($T$339,'TAR FIN'!$A$1:$O$100,15,0))</f>
        <v>687.34</v>
      </c>
      <c r="X339" s="6">
        <f>IF(ISERROR(VLOOKUP($U$339,'TAR FIN'!$A$1:$O$100,15,0)),0,VLOOKUP($U$339,'TAR FIN'!$A$1:$O$100,15,0))</f>
        <v>322.61</v>
      </c>
      <c r="Y339" s="6"/>
      <c r="Z339" s="6">
        <f ca="1">('TUSD BE'!$AM$40+'TUSD BF'!$AM$40+'TUSD CVA'!$AM$40)*(1-CUSTOS!$M$38)</f>
        <v>718.09568282865928</v>
      </c>
      <c r="AA339" s="6">
        <f>('TE BE'!$AA$23+'TE BF'!$AA$23+'TE CVA'!$AA$23)*(1-CUSTOS!$M$38)</f>
        <v>362.3376323622461</v>
      </c>
      <c r="AB339" s="6">
        <f t="shared" si="20"/>
        <v>0</v>
      </c>
      <c r="AC339" s="6">
        <f>(L339*W339+M339*X339)/(1-CUSTOS!$M$38)*CUSTOS!$M$38</f>
        <v>0.77357872340425538</v>
      </c>
      <c r="AD339" s="6">
        <f t="shared" si="21"/>
        <v>0</v>
      </c>
      <c r="AE339" s="6">
        <f ca="1">(L339*Z339+N339*AA339)/(1-CUSTOS!$M$38)*CUSTOS!$M$38</f>
        <v>0.82756594355048085</v>
      </c>
      <c r="AF339" s="4" t="s">
        <v>914</v>
      </c>
    </row>
    <row r="340" spans="1:32" ht="11.25" customHeight="1" x14ac:dyDescent="0.25">
      <c r="A340" s="4" t="s">
        <v>21</v>
      </c>
      <c r="B340" s="4" t="s">
        <v>43</v>
      </c>
      <c r="C340" s="4" t="s">
        <v>33</v>
      </c>
      <c r="D340" s="4" t="s">
        <v>44</v>
      </c>
      <c r="E340" s="4" t="s">
        <v>25</v>
      </c>
      <c r="F340" s="4" t="s">
        <v>25</v>
      </c>
      <c r="G340" s="4" t="s">
        <v>25</v>
      </c>
      <c r="H340" s="4" t="s">
        <v>34</v>
      </c>
      <c r="I340" s="5">
        <v>44440</v>
      </c>
      <c r="J340" s="6">
        <v>0</v>
      </c>
      <c r="K340" s="6">
        <v>0</v>
      </c>
      <c r="L340" s="6">
        <v>1.2999999999999999E-2</v>
      </c>
      <c r="M340" s="6">
        <v>1.2999999999999999E-2</v>
      </c>
      <c r="N340" s="6">
        <v>1.2999999999999999E-2</v>
      </c>
      <c r="O340" s="6">
        <v>1.2999999999999999E-2</v>
      </c>
      <c r="P340" s="6">
        <v>0</v>
      </c>
      <c r="Q340" s="4" t="s">
        <v>26</v>
      </c>
      <c r="R340" s="4">
        <v>0</v>
      </c>
      <c r="S340" s="4">
        <v>0</v>
      </c>
      <c r="T340" s="4">
        <v>43</v>
      </c>
      <c r="U340" s="4">
        <v>96</v>
      </c>
      <c r="V340" s="6">
        <f>IF(ISERROR(VLOOKUP($S$340,'TAR FIN'!$A$1:$O$100,15,0)),0,VLOOKUP($S$340,'TAR FIN'!$A$1:$O$100,15,0))</f>
        <v>0</v>
      </c>
      <c r="W340" s="6">
        <f>IF(ISERROR(VLOOKUP($T$340,'TAR FIN'!$A$1:$O$100,15,0)),0,VLOOKUP($T$340,'TAR FIN'!$A$1:$O$100,15,0))</f>
        <v>687.34</v>
      </c>
      <c r="X340" s="6">
        <f>IF(ISERROR(VLOOKUP($U$340,'TAR FIN'!$A$1:$O$100,15,0)),0,VLOOKUP($U$340,'TAR FIN'!$A$1:$O$100,15,0))</f>
        <v>322.61</v>
      </c>
      <c r="Y340" s="6"/>
      <c r="Z340" s="6">
        <f ca="1">('TUSD BE'!$AM$40+'TUSD BF'!$AM$40+'TUSD CVA'!$AM$40)*(1-CUSTOS!$M$38)</f>
        <v>718.09568282865928</v>
      </c>
      <c r="AA340" s="6">
        <f>('TE BE'!$AA$23+'TE BF'!$AA$23+'TE CVA'!$AA$23)*(1-CUSTOS!$M$38)</f>
        <v>362.3376323622461</v>
      </c>
      <c r="AB340" s="6">
        <f t="shared" si="20"/>
        <v>0</v>
      </c>
      <c r="AC340" s="6">
        <f>(L340*W340+M340*X340)/(1-CUSTOS!$M$38)*CUSTOS!$M$38</f>
        <v>0.83804361702127661</v>
      </c>
      <c r="AD340" s="6">
        <f t="shared" si="21"/>
        <v>0</v>
      </c>
      <c r="AE340" s="6">
        <f ca="1">(L340*Z340+N340*AA340)/(1-CUSTOS!$M$38)*CUSTOS!$M$38</f>
        <v>0.89652977217968743</v>
      </c>
      <c r="AF340" s="4" t="s">
        <v>914</v>
      </c>
    </row>
    <row r="341" spans="1:32" ht="11.25" customHeight="1" x14ac:dyDescent="0.25">
      <c r="A341" s="4" t="s">
        <v>21</v>
      </c>
      <c r="B341" s="4" t="s">
        <v>43</v>
      </c>
      <c r="C341" s="4" t="s">
        <v>33</v>
      </c>
      <c r="D341" s="4" t="s">
        <v>44</v>
      </c>
      <c r="E341" s="4" t="s">
        <v>25</v>
      </c>
      <c r="F341" s="4" t="s">
        <v>25</v>
      </c>
      <c r="G341" s="4" t="s">
        <v>25</v>
      </c>
      <c r="H341" s="4" t="s">
        <v>34</v>
      </c>
      <c r="I341" s="5">
        <v>44470</v>
      </c>
      <c r="J341" s="6">
        <v>0</v>
      </c>
      <c r="K341" s="6">
        <v>0</v>
      </c>
      <c r="L341" s="6">
        <v>1.4999999999999999E-2</v>
      </c>
      <c r="M341" s="6">
        <v>1.4999999999999999E-2</v>
      </c>
      <c r="N341" s="6">
        <v>1.4999999999999999E-2</v>
      </c>
      <c r="O341" s="6">
        <v>1.4999999999999999E-2</v>
      </c>
      <c r="P341" s="6">
        <v>0</v>
      </c>
      <c r="Q341" s="4" t="s">
        <v>26</v>
      </c>
      <c r="R341" s="4">
        <v>0</v>
      </c>
      <c r="S341" s="4">
        <v>0</v>
      </c>
      <c r="T341" s="4">
        <v>43</v>
      </c>
      <c r="U341" s="4">
        <v>96</v>
      </c>
      <c r="V341" s="6">
        <f>IF(ISERROR(VLOOKUP($S$341,'TAR FIN'!$A$1:$O$100,15,0)),0,VLOOKUP($S$341,'TAR FIN'!$A$1:$O$100,15,0))</f>
        <v>0</v>
      </c>
      <c r="W341" s="6">
        <f>IF(ISERROR(VLOOKUP($T$341,'TAR FIN'!$A$1:$O$100,15,0)),0,VLOOKUP($T$341,'TAR FIN'!$A$1:$O$100,15,0))</f>
        <v>687.34</v>
      </c>
      <c r="X341" s="6">
        <f>IF(ISERROR(VLOOKUP($U$341,'TAR FIN'!$A$1:$O$100,15,0)),0,VLOOKUP($U$341,'TAR FIN'!$A$1:$O$100,15,0))</f>
        <v>322.61</v>
      </c>
      <c r="Y341" s="6"/>
      <c r="Z341" s="6">
        <f ca="1">('TUSD BE'!$AM$40+'TUSD BF'!$AM$40+'TUSD CVA'!$AM$40)*(1-CUSTOS!$M$38)</f>
        <v>718.09568282865928</v>
      </c>
      <c r="AA341" s="6">
        <f>('TE BE'!$AA$23+'TE BF'!$AA$23+'TE CVA'!$AA$23)*(1-CUSTOS!$M$38)</f>
        <v>362.3376323622461</v>
      </c>
      <c r="AB341" s="6">
        <f t="shared" si="20"/>
        <v>0</v>
      </c>
      <c r="AC341" s="6">
        <f>(L341*W341+M341*X341)/(1-CUSTOS!$M$38)*CUSTOS!$M$38</f>
        <v>0.96697340425531908</v>
      </c>
      <c r="AD341" s="6">
        <f t="shared" si="21"/>
        <v>0</v>
      </c>
      <c r="AE341" s="6">
        <f ca="1">(L341*Z341+N341*AA341)/(1-CUSTOS!$M$38)*CUSTOS!$M$38</f>
        <v>1.0344574294381008</v>
      </c>
      <c r="AF341" s="4" t="s">
        <v>914</v>
      </c>
    </row>
    <row r="342" spans="1:32" ht="11.25" customHeight="1" x14ac:dyDescent="0.25">
      <c r="A342" s="4" t="s">
        <v>21</v>
      </c>
      <c r="B342" s="4" t="s">
        <v>43</v>
      </c>
      <c r="C342" s="4" t="s">
        <v>33</v>
      </c>
      <c r="D342" s="4" t="s">
        <v>44</v>
      </c>
      <c r="E342" s="4" t="s">
        <v>25</v>
      </c>
      <c r="F342" s="4" t="s">
        <v>25</v>
      </c>
      <c r="G342" s="4" t="s">
        <v>25</v>
      </c>
      <c r="H342" s="4" t="s">
        <v>34</v>
      </c>
      <c r="I342" s="5">
        <v>44501</v>
      </c>
      <c r="J342" s="6">
        <v>0</v>
      </c>
      <c r="K342" s="6">
        <v>0</v>
      </c>
      <c r="L342" s="6">
        <v>1.4999999999999999E-2</v>
      </c>
      <c r="M342" s="6">
        <v>1.4999999999999999E-2</v>
      </c>
      <c r="N342" s="6">
        <v>1.4999999999999999E-2</v>
      </c>
      <c r="O342" s="6">
        <v>1.4999999999999999E-2</v>
      </c>
      <c r="P342" s="6">
        <v>0</v>
      </c>
      <c r="Q342" s="4" t="s">
        <v>26</v>
      </c>
      <c r="R342" s="4">
        <v>0</v>
      </c>
      <c r="S342" s="4">
        <v>0</v>
      </c>
      <c r="T342" s="4">
        <v>43</v>
      </c>
      <c r="U342" s="4">
        <v>96</v>
      </c>
      <c r="V342" s="6">
        <f>IF(ISERROR(VLOOKUP($S$342,'TAR FIN'!$A$1:$O$100,15,0)),0,VLOOKUP($S$342,'TAR FIN'!$A$1:$O$100,15,0))</f>
        <v>0</v>
      </c>
      <c r="W342" s="6">
        <f>IF(ISERROR(VLOOKUP($T$342,'TAR FIN'!$A$1:$O$100,15,0)),0,VLOOKUP($T$342,'TAR FIN'!$A$1:$O$100,15,0))</f>
        <v>687.34</v>
      </c>
      <c r="X342" s="6">
        <f>IF(ISERROR(VLOOKUP($U$342,'TAR FIN'!$A$1:$O$100,15,0)),0,VLOOKUP($U$342,'TAR FIN'!$A$1:$O$100,15,0))</f>
        <v>322.61</v>
      </c>
      <c r="Y342" s="6"/>
      <c r="Z342" s="6">
        <f ca="1">('TUSD BE'!$AM$40+'TUSD BF'!$AM$40+'TUSD CVA'!$AM$40)*(1-CUSTOS!$M$38)</f>
        <v>718.09568282865928</v>
      </c>
      <c r="AA342" s="6">
        <f>('TE BE'!$AA$23+'TE BF'!$AA$23+'TE CVA'!$AA$23)*(1-CUSTOS!$M$38)</f>
        <v>362.3376323622461</v>
      </c>
      <c r="AB342" s="6">
        <f t="shared" si="20"/>
        <v>0</v>
      </c>
      <c r="AC342" s="6">
        <f>(L342*W342+M342*X342)/(1-CUSTOS!$M$38)*CUSTOS!$M$38</f>
        <v>0.96697340425531908</v>
      </c>
      <c r="AD342" s="6">
        <f t="shared" si="21"/>
        <v>0</v>
      </c>
      <c r="AE342" s="6">
        <f ca="1">(L342*Z342+N342*AA342)/(1-CUSTOS!$M$38)*CUSTOS!$M$38</f>
        <v>1.0344574294381008</v>
      </c>
      <c r="AF342" s="4" t="s">
        <v>914</v>
      </c>
    </row>
    <row r="343" spans="1:32" ht="11.25" customHeight="1" x14ac:dyDescent="0.25">
      <c r="A343" s="4" t="s">
        <v>21</v>
      </c>
      <c r="B343" s="4" t="s">
        <v>43</v>
      </c>
      <c r="C343" s="4" t="s">
        <v>33</v>
      </c>
      <c r="D343" s="4" t="s">
        <v>44</v>
      </c>
      <c r="E343" s="4" t="s">
        <v>25</v>
      </c>
      <c r="F343" s="4" t="s">
        <v>25</v>
      </c>
      <c r="G343" s="4" t="s">
        <v>25</v>
      </c>
      <c r="H343" s="4" t="s">
        <v>34</v>
      </c>
      <c r="I343" s="5">
        <v>44531</v>
      </c>
      <c r="J343" s="6">
        <v>0</v>
      </c>
      <c r="K343" s="6">
        <v>0</v>
      </c>
      <c r="L343" s="6">
        <v>1.6E-2</v>
      </c>
      <c r="M343" s="6">
        <v>1.6E-2</v>
      </c>
      <c r="N343" s="6">
        <v>1.6E-2</v>
      </c>
      <c r="O343" s="6">
        <v>1.6E-2</v>
      </c>
      <c r="P343" s="6">
        <v>0</v>
      </c>
      <c r="Q343" s="4" t="s">
        <v>26</v>
      </c>
      <c r="R343" s="4">
        <v>0</v>
      </c>
      <c r="S343" s="4">
        <v>0</v>
      </c>
      <c r="T343" s="4">
        <v>43</v>
      </c>
      <c r="U343" s="4">
        <v>96</v>
      </c>
      <c r="V343" s="6">
        <f>IF(ISERROR(VLOOKUP($S$343,'TAR FIN'!$A$1:$O$100,15,0)),0,VLOOKUP($S$343,'TAR FIN'!$A$1:$O$100,15,0))</f>
        <v>0</v>
      </c>
      <c r="W343" s="6">
        <f>IF(ISERROR(VLOOKUP($T$343,'TAR FIN'!$A$1:$O$100,15,0)),0,VLOOKUP($T$343,'TAR FIN'!$A$1:$O$100,15,0))</f>
        <v>687.34</v>
      </c>
      <c r="X343" s="6">
        <f>IF(ISERROR(VLOOKUP($U$343,'TAR FIN'!$A$1:$O$100,15,0)),0,VLOOKUP($U$343,'TAR FIN'!$A$1:$O$100,15,0))</f>
        <v>322.61</v>
      </c>
      <c r="Y343" s="6"/>
      <c r="Z343" s="6">
        <f ca="1">('TUSD BE'!$AM$40+'TUSD BF'!$AM$40+'TUSD CVA'!$AM$40)*(1-CUSTOS!$M$38)</f>
        <v>718.09568282865928</v>
      </c>
      <c r="AA343" s="6">
        <f>('TE BE'!$AA$23+'TE BF'!$AA$23+'TE CVA'!$AA$23)*(1-CUSTOS!$M$38)</f>
        <v>362.3376323622461</v>
      </c>
      <c r="AB343" s="6">
        <f t="shared" si="20"/>
        <v>0</v>
      </c>
      <c r="AC343" s="6">
        <f>(L343*W343+M343*X343)/(1-CUSTOS!$M$38)*CUSTOS!$M$38</f>
        <v>1.0314382978723406</v>
      </c>
      <c r="AD343" s="6">
        <f t="shared" si="21"/>
        <v>0</v>
      </c>
      <c r="AE343" s="6">
        <f ca="1">(L343*Z343+N343*AA343)/(1-CUSTOS!$M$38)*CUSTOS!$M$38</f>
        <v>1.1034212580673075</v>
      </c>
      <c r="AF343" s="4" t="s">
        <v>914</v>
      </c>
    </row>
    <row r="344" spans="1:32" ht="11.25" customHeight="1" x14ac:dyDescent="0.25">
      <c r="A344" s="4" t="s">
        <v>55</v>
      </c>
      <c r="B344" s="4" t="s">
        <v>43</v>
      </c>
      <c r="C344" s="4" t="s">
        <v>33</v>
      </c>
      <c r="D344" s="4" t="s">
        <v>44</v>
      </c>
      <c r="E344" s="4" t="s">
        <v>25</v>
      </c>
      <c r="F344" s="4" t="s">
        <v>25</v>
      </c>
      <c r="G344" s="4" t="s">
        <v>25</v>
      </c>
      <c r="H344" s="4" t="s">
        <v>34</v>
      </c>
      <c r="I344" s="5">
        <v>44562</v>
      </c>
      <c r="J344" s="6">
        <v>0</v>
      </c>
      <c r="K344" s="6">
        <v>0</v>
      </c>
      <c r="L344" s="6">
        <v>1.6E-2</v>
      </c>
      <c r="M344" s="6">
        <v>1.6E-2</v>
      </c>
      <c r="N344" s="6">
        <v>1.6E-2</v>
      </c>
      <c r="O344" s="6">
        <v>1.6E-2</v>
      </c>
      <c r="P344" s="6">
        <v>0</v>
      </c>
      <c r="Q344" s="4" t="s">
        <v>26</v>
      </c>
      <c r="R344" s="4">
        <v>0</v>
      </c>
      <c r="S344" s="4">
        <v>0</v>
      </c>
      <c r="T344" s="4">
        <v>43</v>
      </c>
      <c r="U344" s="4">
        <v>96</v>
      </c>
      <c r="V344" s="6">
        <f>IF(ISERROR(VLOOKUP($S$344,'TAR FIN'!$A$1:$O$100,15,0)),0,VLOOKUP($S$344,'TAR FIN'!$A$1:$O$100,15,0))</f>
        <v>0</v>
      </c>
      <c r="W344" s="6">
        <f>IF(ISERROR(VLOOKUP($T$344,'TAR FIN'!$A$1:$O$100,15,0)),0,VLOOKUP($T$344,'TAR FIN'!$A$1:$O$100,15,0))</f>
        <v>687.34</v>
      </c>
      <c r="X344" s="6">
        <f>IF(ISERROR(VLOOKUP($U$344,'TAR FIN'!$A$1:$O$100,15,0)),0,VLOOKUP($U$344,'TAR FIN'!$A$1:$O$100,15,0))</f>
        <v>322.61</v>
      </c>
      <c r="Y344" s="6"/>
      <c r="Z344" s="6">
        <f ca="1">('TUSD BE'!$AM$40+'TUSD BF'!$AM$40+'TUSD CVA'!$AM$40)*(1-CUSTOS!$M$38)</f>
        <v>718.09568282865928</v>
      </c>
      <c r="AA344" s="6">
        <f>('TE BE'!$AA$23+'TE BF'!$AA$23+'TE CVA'!$AA$23)*(1-CUSTOS!$M$38)</f>
        <v>362.3376323622461</v>
      </c>
      <c r="AB344" s="6">
        <f t="shared" si="20"/>
        <v>0</v>
      </c>
      <c r="AC344" s="6">
        <f>(L344*W344+M344*X344)/(1-CUSTOS!$M$38)*CUSTOS!$M$38</f>
        <v>1.0314382978723406</v>
      </c>
      <c r="AD344" s="6">
        <f t="shared" si="21"/>
        <v>0</v>
      </c>
      <c r="AE344" s="6">
        <f ca="1">(L344*Z344+N344*AA344)/(1-CUSTOS!$M$38)*CUSTOS!$M$38</f>
        <v>1.1034212580673075</v>
      </c>
      <c r="AF344" s="4" t="s">
        <v>914</v>
      </c>
    </row>
    <row r="345" spans="1:32" ht="11.25" customHeight="1" x14ac:dyDescent="0.25">
      <c r="A345" s="4" t="s">
        <v>21</v>
      </c>
      <c r="B345" s="4" t="s">
        <v>43</v>
      </c>
      <c r="C345" s="4" t="s">
        <v>23</v>
      </c>
      <c r="D345" s="4" t="s">
        <v>44</v>
      </c>
      <c r="E345" s="4" t="s">
        <v>52</v>
      </c>
      <c r="F345" s="4" t="s">
        <v>53</v>
      </c>
      <c r="G345" s="4" t="s">
        <v>25</v>
      </c>
      <c r="H345" s="4" t="s">
        <v>25</v>
      </c>
      <c r="I345" s="5">
        <v>44228</v>
      </c>
      <c r="J345" s="6">
        <v>0</v>
      </c>
      <c r="K345" s="6">
        <v>0</v>
      </c>
      <c r="L345" s="6">
        <v>146.16200000000001</v>
      </c>
      <c r="M345" s="6">
        <v>146.16200000000001</v>
      </c>
      <c r="N345" s="6">
        <v>146.16200000000001</v>
      </c>
      <c r="O345" s="6">
        <v>146.16200000000001</v>
      </c>
      <c r="P345" s="6">
        <v>0</v>
      </c>
      <c r="Q345" s="4" t="s">
        <v>26</v>
      </c>
      <c r="R345" s="4">
        <v>0</v>
      </c>
      <c r="S345" s="4">
        <v>0</v>
      </c>
      <c r="T345" s="4">
        <v>46</v>
      </c>
      <c r="U345" s="4">
        <v>99</v>
      </c>
      <c r="V345" s="6">
        <f>IF(ISERROR(VLOOKUP($S$345,'TAR FIN'!$A$1:$O$100,15,0)),0,VLOOKUP($S$345,'TAR FIN'!$A$1:$O$100,15,0))</f>
        <v>0</v>
      </c>
      <c r="W345" s="6">
        <f>IF(ISERROR(VLOOKUP($T$345,'TAR FIN'!$A$1:$O$100,15,0)),0,VLOOKUP($T$345,'TAR FIN'!$A$1:$O$100,15,0))</f>
        <v>251.46</v>
      </c>
      <c r="X345" s="6">
        <f>IF(ISERROR(VLOOKUP($U$345,'TAR FIN'!$A$1:$O$100,15,0)),0,VLOOKUP($U$345,'TAR FIN'!$A$1:$O$100,15,0))</f>
        <v>203.57</v>
      </c>
      <c r="Y345" s="6"/>
      <c r="Z345" s="6">
        <f ca="1">('TUSD BE'!$AM$43+'TUSD BF'!$AM$43+'TUSD CVA'!$AM$43)*(1-CUSTOS!$M$38)</f>
        <v>268.50633429802321</v>
      </c>
      <c r="AA345" s="6">
        <f>('TE BE'!$AA$26+'TE BF'!$AA$26+'TE CVA'!$AA$26)*(1-CUSTOS!$M$38)</f>
        <v>235.74605718547673</v>
      </c>
      <c r="AB345" s="6">
        <f t="shared" si="20"/>
        <v>0</v>
      </c>
      <c r="AC345" s="6">
        <f>(L345-M345)*(W345+X345)+($W$170+$X$170-$W$345-$X$345)*(L345)</f>
        <v>9069.3521000000019</v>
      </c>
      <c r="AD345" s="6">
        <f t="shared" si="21"/>
        <v>0</v>
      </c>
      <c r="AE345" s="6">
        <f ca="1">(L345-M345)*(Z345+AA345)+($Z$170+$AA$170-$Z$345-$AA$345)*(L345)</f>
        <v>4704.4173219581626</v>
      </c>
      <c r="AF345" s="4" t="s">
        <v>914</v>
      </c>
    </row>
    <row r="346" spans="1:32" ht="11.25" customHeight="1" x14ac:dyDescent="0.25">
      <c r="A346" s="4" t="s">
        <v>27</v>
      </c>
      <c r="B346" s="4" t="s">
        <v>43</v>
      </c>
      <c r="C346" s="4" t="s">
        <v>23</v>
      </c>
      <c r="D346" s="4" t="s">
        <v>44</v>
      </c>
      <c r="E346" s="4" t="s">
        <v>52</v>
      </c>
      <c r="F346" s="4" t="s">
        <v>53</v>
      </c>
      <c r="G346" s="4" t="s">
        <v>25</v>
      </c>
      <c r="H346" s="4" t="s">
        <v>25</v>
      </c>
      <c r="I346" s="5">
        <v>44228</v>
      </c>
      <c r="J346" s="6">
        <v>0</v>
      </c>
      <c r="K346" s="6">
        <v>0</v>
      </c>
      <c r="L346" s="6">
        <v>-18.343</v>
      </c>
      <c r="M346" s="6">
        <v>-18.343</v>
      </c>
      <c r="N346" s="6">
        <v>-18.343</v>
      </c>
      <c r="O346" s="6">
        <v>-18.343</v>
      </c>
      <c r="P346" s="6">
        <v>0</v>
      </c>
      <c r="Q346" s="4" t="s">
        <v>26</v>
      </c>
      <c r="R346" s="4">
        <v>0</v>
      </c>
      <c r="S346" s="4">
        <v>0</v>
      </c>
      <c r="T346" s="4">
        <v>46</v>
      </c>
      <c r="U346" s="4">
        <v>99</v>
      </c>
      <c r="V346" s="6">
        <f>IF(ISERROR(VLOOKUP($S$346,'TAR FIN'!$A$1:$O$100,15,0)),0,VLOOKUP($S$346,'TAR FIN'!$A$1:$O$100,15,0))</f>
        <v>0</v>
      </c>
      <c r="W346" s="6">
        <f>IF(ISERROR(VLOOKUP($T$346,'TAR FIN'!$A$1:$O$100,15,0)),0,VLOOKUP($T$346,'TAR FIN'!$A$1:$O$100,15,0))</f>
        <v>251.46</v>
      </c>
      <c r="X346" s="6">
        <f>IF(ISERROR(VLOOKUP($U$346,'TAR FIN'!$A$1:$O$100,15,0)),0,VLOOKUP($U$346,'TAR FIN'!$A$1:$O$100,15,0))</f>
        <v>203.57</v>
      </c>
      <c r="Y346" s="6"/>
      <c r="Z346" s="6">
        <f ca="1">('TUSD BE'!$AM$43+'TUSD BF'!$AM$43+'TUSD CVA'!$AM$43)*(1-CUSTOS!$M$38)</f>
        <v>268.50633429802321</v>
      </c>
      <c r="AA346" s="6">
        <f>('TE BE'!$AA$26+'TE BF'!$AA$26+'TE CVA'!$AA$26)*(1-CUSTOS!$M$38)</f>
        <v>235.74605718547673</v>
      </c>
      <c r="AB346" s="6">
        <f t="shared" si="20"/>
        <v>0</v>
      </c>
      <c r="AC346" s="6">
        <f>(L346-M346)*(W346+X346)+($W$170+$X$170-$W$346-$X$346)*(L346)</f>
        <v>-1138.1831500000003</v>
      </c>
      <c r="AD346" s="6">
        <f t="shared" si="21"/>
        <v>0</v>
      </c>
      <c r="AE346" s="6">
        <f ca="1">(L346-M346)*(Z346+AA346)+($Z$170+$AA$170-$Z$346-$AA$346)*(L346)</f>
        <v>-590.39372023288252</v>
      </c>
      <c r="AF346" s="4" t="s">
        <v>914</v>
      </c>
    </row>
    <row r="347" spans="1:32" ht="11.25" customHeight="1" x14ac:dyDescent="0.25">
      <c r="A347" s="4" t="s">
        <v>28</v>
      </c>
      <c r="B347" s="4" t="s">
        <v>43</v>
      </c>
      <c r="C347" s="4" t="s">
        <v>23</v>
      </c>
      <c r="D347" s="4" t="s">
        <v>44</v>
      </c>
      <c r="E347" s="4" t="s">
        <v>52</v>
      </c>
      <c r="F347" s="4" t="s">
        <v>53</v>
      </c>
      <c r="G347" s="4" t="s">
        <v>25</v>
      </c>
      <c r="H347" s="4" t="s">
        <v>25</v>
      </c>
      <c r="I347" s="5">
        <v>44228</v>
      </c>
      <c r="J347" s="6">
        <v>0</v>
      </c>
      <c r="K347" s="6">
        <v>0</v>
      </c>
      <c r="L347" s="6">
        <v>0.48299999999999998</v>
      </c>
      <c r="M347" s="6">
        <v>0.48299999999999998</v>
      </c>
      <c r="N347" s="6">
        <v>0.48299999999999998</v>
      </c>
      <c r="O347" s="6">
        <v>0.48299999999999998</v>
      </c>
      <c r="P347" s="6">
        <v>0</v>
      </c>
      <c r="Q347" s="4" t="s">
        <v>26</v>
      </c>
      <c r="R347" s="4">
        <v>0</v>
      </c>
      <c r="S347" s="4">
        <v>0</v>
      </c>
      <c r="T347" s="4">
        <v>46</v>
      </c>
      <c r="U347" s="4">
        <v>99</v>
      </c>
      <c r="V347" s="6">
        <f>IF(ISERROR(VLOOKUP($S$347,'TAR FIN'!$A$1:$O$100,15,0)),0,VLOOKUP($S$347,'TAR FIN'!$A$1:$O$100,15,0))</f>
        <v>0</v>
      </c>
      <c r="W347" s="6">
        <f>IF(ISERROR(VLOOKUP($T$347,'TAR FIN'!$A$1:$O$100,15,0)),0,VLOOKUP($T$347,'TAR FIN'!$A$1:$O$100,15,0))</f>
        <v>251.46</v>
      </c>
      <c r="X347" s="6">
        <f>IF(ISERROR(VLOOKUP($U$347,'TAR FIN'!$A$1:$O$100,15,0)),0,VLOOKUP($U$347,'TAR FIN'!$A$1:$O$100,15,0))</f>
        <v>203.57</v>
      </c>
      <c r="Y347" s="6"/>
      <c r="Z347" s="6">
        <f ca="1">('TUSD BE'!$AM$43+'TUSD BF'!$AM$43+'TUSD CVA'!$AM$43)*(1-CUSTOS!$M$38)</f>
        <v>268.50633429802321</v>
      </c>
      <c r="AA347" s="6">
        <f>('TE BE'!$AA$26+'TE BF'!$AA$26+'TE CVA'!$AA$26)*(1-CUSTOS!$M$38)</f>
        <v>235.74605718547673</v>
      </c>
      <c r="AB347" s="6">
        <f t="shared" si="20"/>
        <v>0</v>
      </c>
      <c r="AC347" s="6">
        <f>(L347-M347)*(W347+X347)+($W$170+$X$170-$W$347-$X$347)*(L347)</f>
        <v>29.970150000000004</v>
      </c>
      <c r="AD347" s="6">
        <f t="shared" si="21"/>
        <v>0</v>
      </c>
      <c r="AE347" s="6">
        <f ca="1">(L347-M347)*(Z347+AA347)+($Z$170+$AA$170-$Z$347-$AA$347)*(L347)</f>
        <v>15.545993941693412</v>
      </c>
      <c r="AF347" s="4" t="s">
        <v>914</v>
      </c>
    </row>
    <row r="348" spans="1:32" ht="11.25" customHeight="1" x14ac:dyDescent="0.25">
      <c r="A348" s="4" t="s">
        <v>21</v>
      </c>
      <c r="B348" s="4" t="s">
        <v>43</v>
      </c>
      <c r="C348" s="4" t="s">
        <v>23</v>
      </c>
      <c r="D348" s="4" t="s">
        <v>44</v>
      </c>
      <c r="E348" s="4" t="s">
        <v>52</v>
      </c>
      <c r="F348" s="4" t="s">
        <v>53</v>
      </c>
      <c r="G348" s="4" t="s">
        <v>25</v>
      </c>
      <c r="H348" s="4" t="s">
        <v>25</v>
      </c>
      <c r="I348" s="5">
        <v>44256</v>
      </c>
      <c r="J348" s="6">
        <v>0</v>
      </c>
      <c r="K348" s="6">
        <v>0</v>
      </c>
      <c r="L348" s="6">
        <v>132.06899999999999</v>
      </c>
      <c r="M348" s="6">
        <v>132.06899999999999</v>
      </c>
      <c r="N348" s="6">
        <v>132.06899999999999</v>
      </c>
      <c r="O348" s="6">
        <v>132.06899999999999</v>
      </c>
      <c r="P348" s="6">
        <v>0</v>
      </c>
      <c r="Q348" s="4" t="s">
        <v>26</v>
      </c>
      <c r="R348" s="4">
        <v>0</v>
      </c>
      <c r="S348" s="4">
        <v>0</v>
      </c>
      <c r="T348" s="4">
        <v>46</v>
      </c>
      <c r="U348" s="4">
        <v>99</v>
      </c>
      <c r="V348" s="6">
        <f>IF(ISERROR(VLOOKUP($S$348,'TAR FIN'!$A$1:$O$100,15,0)),0,VLOOKUP($S$348,'TAR FIN'!$A$1:$O$100,15,0))</f>
        <v>0</v>
      </c>
      <c r="W348" s="6">
        <f>IF(ISERROR(VLOOKUP($T$348,'TAR FIN'!$A$1:$O$100,15,0)),0,VLOOKUP($T$348,'TAR FIN'!$A$1:$O$100,15,0))</f>
        <v>251.46</v>
      </c>
      <c r="X348" s="6">
        <f>IF(ISERROR(VLOOKUP($U$348,'TAR FIN'!$A$1:$O$100,15,0)),0,VLOOKUP($U$348,'TAR FIN'!$A$1:$O$100,15,0))</f>
        <v>203.57</v>
      </c>
      <c r="Y348" s="6"/>
      <c r="Z348" s="6">
        <f ca="1">('TUSD BE'!$AM$43+'TUSD BF'!$AM$43+'TUSD CVA'!$AM$43)*(1-CUSTOS!$M$38)</f>
        <v>268.50633429802321</v>
      </c>
      <c r="AA348" s="6">
        <f>('TE BE'!$AA$26+'TE BF'!$AA$26+'TE CVA'!$AA$26)*(1-CUSTOS!$M$38)</f>
        <v>235.74605718547673</v>
      </c>
      <c r="AB348" s="6">
        <f t="shared" si="20"/>
        <v>0</v>
      </c>
      <c r="AC348" s="6">
        <f>(L348-M348)*(W348+X348)+($W$170+$X$170-$W$348-$X$348)*(L348)</f>
        <v>8194.8814500000008</v>
      </c>
      <c r="AD348" s="6">
        <f t="shared" si="21"/>
        <v>0</v>
      </c>
      <c r="AE348" s="6">
        <f ca="1">(L348-M348)*(Z348+AA348)+($Z$170+$AA$170-$Z$348-$AA$348)*(L348)</f>
        <v>4250.8154738830372</v>
      </c>
      <c r="AF348" s="4" t="s">
        <v>914</v>
      </c>
    </row>
    <row r="349" spans="1:32" ht="11.25" customHeight="1" x14ac:dyDescent="0.25">
      <c r="A349" s="4" t="s">
        <v>28</v>
      </c>
      <c r="B349" s="4" t="s">
        <v>43</v>
      </c>
      <c r="C349" s="4" t="s">
        <v>23</v>
      </c>
      <c r="D349" s="4" t="s">
        <v>44</v>
      </c>
      <c r="E349" s="4" t="s">
        <v>52</v>
      </c>
      <c r="F349" s="4" t="s">
        <v>53</v>
      </c>
      <c r="G349" s="4" t="s">
        <v>25</v>
      </c>
      <c r="H349" s="4" t="s">
        <v>25</v>
      </c>
      <c r="I349" s="5">
        <v>44256</v>
      </c>
      <c r="J349" s="6">
        <v>0</v>
      </c>
      <c r="K349" s="6">
        <v>0</v>
      </c>
      <c r="L349" s="6">
        <v>0.47399999999999998</v>
      </c>
      <c r="M349" s="6">
        <v>0.47399999999999998</v>
      </c>
      <c r="N349" s="6">
        <v>0.47399999999999998</v>
      </c>
      <c r="O349" s="6">
        <v>0.47399999999999998</v>
      </c>
      <c r="P349" s="6">
        <v>0</v>
      </c>
      <c r="Q349" s="4" t="s">
        <v>26</v>
      </c>
      <c r="R349" s="4">
        <v>0</v>
      </c>
      <c r="S349" s="4">
        <v>0</v>
      </c>
      <c r="T349" s="4">
        <v>46</v>
      </c>
      <c r="U349" s="4">
        <v>99</v>
      </c>
      <c r="V349" s="6">
        <f>IF(ISERROR(VLOOKUP($S$349,'TAR FIN'!$A$1:$O$100,15,0)),0,VLOOKUP($S$349,'TAR FIN'!$A$1:$O$100,15,0))</f>
        <v>0</v>
      </c>
      <c r="W349" s="6">
        <f>IF(ISERROR(VLOOKUP($T$349,'TAR FIN'!$A$1:$O$100,15,0)),0,VLOOKUP($T$349,'TAR FIN'!$A$1:$O$100,15,0))</f>
        <v>251.46</v>
      </c>
      <c r="X349" s="6">
        <f>IF(ISERROR(VLOOKUP($U$349,'TAR FIN'!$A$1:$O$100,15,0)),0,VLOOKUP($U$349,'TAR FIN'!$A$1:$O$100,15,0))</f>
        <v>203.57</v>
      </c>
      <c r="Y349" s="6"/>
      <c r="Z349" s="6">
        <f ca="1">('TUSD BE'!$AM$43+'TUSD BF'!$AM$43+'TUSD CVA'!$AM$43)*(1-CUSTOS!$M$38)</f>
        <v>268.50633429802321</v>
      </c>
      <c r="AA349" s="6">
        <f>('TE BE'!$AA$26+'TE BF'!$AA$26+'TE CVA'!$AA$26)*(1-CUSTOS!$M$38)</f>
        <v>235.74605718547673</v>
      </c>
      <c r="AB349" s="6">
        <f t="shared" si="20"/>
        <v>0</v>
      </c>
      <c r="AC349" s="6">
        <f>(L349-M349)*(W349+X349)+($W$170+$X$170-$W$349-$X$349)*(L349)</f>
        <v>29.411700000000003</v>
      </c>
      <c r="AD349" s="6">
        <f t="shared" si="21"/>
        <v>0</v>
      </c>
      <c r="AE349" s="6">
        <f ca="1">(L349-M349)*(Z349+AA349)+($Z$170+$AA$170-$Z$349-$AA$349)*(L349)</f>
        <v>15.256317035947571</v>
      </c>
      <c r="AF349" s="4" t="s">
        <v>914</v>
      </c>
    </row>
    <row r="350" spans="1:32" ht="11.25" customHeight="1" x14ac:dyDescent="0.25">
      <c r="A350" s="4" t="s">
        <v>28</v>
      </c>
      <c r="B350" s="4" t="s">
        <v>43</v>
      </c>
      <c r="C350" s="4" t="s">
        <v>23</v>
      </c>
      <c r="D350" s="4" t="s">
        <v>44</v>
      </c>
      <c r="E350" s="4" t="s">
        <v>52</v>
      </c>
      <c r="F350" s="4" t="s">
        <v>53</v>
      </c>
      <c r="G350" s="4" t="s">
        <v>25</v>
      </c>
      <c r="H350" s="4" t="s">
        <v>25</v>
      </c>
      <c r="I350" s="5">
        <v>44256</v>
      </c>
      <c r="J350" s="6">
        <v>0</v>
      </c>
      <c r="K350" s="6">
        <v>0</v>
      </c>
      <c r="L350" s="6">
        <v>0.66500000000000004</v>
      </c>
      <c r="M350" s="6">
        <v>0.66500000000000004</v>
      </c>
      <c r="N350" s="6">
        <v>0.66500000000000004</v>
      </c>
      <c r="O350" s="6">
        <v>0.66500000000000004</v>
      </c>
      <c r="P350" s="6">
        <v>0</v>
      </c>
      <c r="Q350" s="4" t="s">
        <v>26</v>
      </c>
      <c r="R350" s="4">
        <v>0</v>
      </c>
      <c r="S350" s="4">
        <v>0</v>
      </c>
      <c r="T350" s="4">
        <v>46</v>
      </c>
      <c r="U350" s="4">
        <v>99</v>
      </c>
      <c r="V350" s="6">
        <f>IF(ISERROR(VLOOKUP($S$350,'TAR FIN'!$A$1:$O$100,15,0)),0,VLOOKUP($S$350,'TAR FIN'!$A$1:$O$100,15,0))</f>
        <v>0</v>
      </c>
      <c r="W350" s="6">
        <f>IF(ISERROR(VLOOKUP($T$350,'TAR FIN'!$A$1:$O$100,15,0)),0,VLOOKUP($T$350,'TAR FIN'!$A$1:$O$100,15,0))</f>
        <v>251.46</v>
      </c>
      <c r="X350" s="6">
        <f>IF(ISERROR(VLOOKUP($U$350,'TAR FIN'!$A$1:$O$100,15,0)),0,VLOOKUP($U$350,'TAR FIN'!$A$1:$O$100,15,0))</f>
        <v>203.57</v>
      </c>
      <c r="Y350" s="6"/>
      <c r="Z350" s="6">
        <f ca="1">('TUSD BE'!$AM$43+'TUSD BF'!$AM$43+'TUSD CVA'!$AM$43)*(1-CUSTOS!$M$38)</f>
        <v>268.50633429802321</v>
      </c>
      <c r="AA350" s="6">
        <f>('TE BE'!$AA$26+'TE BF'!$AA$26+'TE CVA'!$AA$26)*(1-CUSTOS!$M$38)</f>
        <v>235.74605718547673</v>
      </c>
      <c r="AB350" s="6">
        <f t="shared" si="20"/>
        <v>0</v>
      </c>
      <c r="AC350" s="6">
        <f>(L350-M350)*(W350+X350)+($W$170+$X$170-$W$350-$X$350)*(L350)</f>
        <v>41.263250000000006</v>
      </c>
      <c r="AD350" s="6">
        <f t="shared" si="21"/>
        <v>0</v>
      </c>
      <c r="AE350" s="6">
        <f ca="1">(L350-M350)*(Z350+AA350)+($Z$170+$AA$170-$Z$350-$AA$350)*(L350)</f>
        <v>21.403904702331509</v>
      </c>
      <c r="AF350" s="4" t="s">
        <v>914</v>
      </c>
    </row>
    <row r="351" spans="1:32" ht="11.25" customHeight="1" x14ac:dyDescent="0.25">
      <c r="A351" s="4" t="s">
        <v>21</v>
      </c>
      <c r="B351" s="4" t="s">
        <v>43</v>
      </c>
      <c r="C351" s="4" t="s">
        <v>23</v>
      </c>
      <c r="D351" s="4" t="s">
        <v>44</v>
      </c>
      <c r="E351" s="4" t="s">
        <v>52</v>
      </c>
      <c r="F351" s="4" t="s">
        <v>53</v>
      </c>
      <c r="G351" s="4" t="s">
        <v>25</v>
      </c>
      <c r="H351" s="4" t="s">
        <v>25</v>
      </c>
      <c r="I351" s="5">
        <v>44287</v>
      </c>
      <c r="J351" s="6">
        <v>0</v>
      </c>
      <c r="K351" s="6">
        <v>0</v>
      </c>
      <c r="L351" s="6">
        <v>110.985</v>
      </c>
      <c r="M351" s="6">
        <v>110.985</v>
      </c>
      <c r="N351" s="6">
        <v>110.985</v>
      </c>
      <c r="O351" s="6">
        <v>110.985</v>
      </c>
      <c r="P351" s="6">
        <v>0</v>
      </c>
      <c r="Q351" s="4" t="s">
        <v>26</v>
      </c>
      <c r="R351" s="4">
        <v>0</v>
      </c>
      <c r="S351" s="4">
        <v>0</v>
      </c>
      <c r="T351" s="4">
        <v>46</v>
      </c>
      <c r="U351" s="4">
        <v>99</v>
      </c>
      <c r="V351" s="6">
        <f>IF(ISERROR(VLOOKUP($S$351,'TAR FIN'!$A$1:$O$100,15,0)),0,VLOOKUP($S$351,'TAR FIN'!$A$1:$O$100,15,0))</f>
        <v>0</v>
      </c>
      <c r="W351" s="6">
        <f>IF(ISERROR(VLOOKUP($T$351,'TAR FIN'!$A$1:$O$100,15,0)),0,VLOOKUP($T$351,'TAR FIN'!$A$1:$O$100,15,0))</f>
        <v>251.46</v>
      </c>
      <c r="X351" s="6">
        <f>IF(ISERROR(VLOOKUP($U$351,'TAR FIN'!$A$1:$O$100,15,0)),0,VLOOKUP($U$351,'TAR FIN'!$A$1:$O$100,15,0))</f>
        <v>203.57</v>
      </c>
      <c r="Y351" s="6"/>
      <c r="Z351" s="6">
        <f ca="1">('TUSD BE'!$AM$43+'TUSD BF'!$AM$43+'TUSD CVA'!$AM$43)*(1-CUSTOS!$M$38)</f>
        <v>268.50633429802321</v>
      </c>
      <c r="AA351" s="6">
        <f>('TE BE'!$AA$26+'TE BF'!$AA$26+'TE CVA'!$AA$26)*(1-CUSTOS!$M$38)</f>
        <v>235.74605718547673</v>
      </c>
      <c r="AB351" s="6">
        <f t="shared" si="20"/>
        <v>0</v>
      </c>
      <c r="AC351" s="6">
        <f>(L351-M351)*(W351+X351)+($W$170+$X$170-$W$351-$X$351)*(L351)</f>
        <v>6886.6192500000016</v>
      </c>
      <c r="AD351" s="6">
        <f t="shared" si="21"/>
        <v>0</v>
      </c>
      <c r="AE351" s="6">
        <f ca="1">(L351-M351)*(Z351+AA351)+($Z$170+$AA$170-$Z$351-$AA$351)*(L351)</f>
        <v>3572.1990426891166</v>
      </c>
      <c r="AF351" s="4" t="s">
        <v>914</v>
      </c>
    </row>
    <row r="352" spans="1:32" ht="11.25" customHeight="1" x14ac:dyDescent="0.25">
      <c r="A352" s="4" t="s">
        <v>27</v>
      </c>
      <c r="B352" s="4" t="s">
        <v>43</v>
      </c>
      <c r="C352" s="4" t="s">
        <v>23</v>
      </c>
      <c r="D352" s="4" t="s">
        <v>44</v>
      </c>
      <c r="E352" s="4" t="s">
        <v>52</v>
      </c>
      <c r="F352" s="4" t="s">
        <v>53</v>
      </c>
      <c r="G352" s="4" t="s">
        <v>25</v>
      </c>
      <c r="H352" s="4" t="s">
        <v>25</v>
      </c>
      <c r="I352" s="5">
        <v>44287</v>
      </c>
      <c r="J352" s="6">
        <v>0</v>
      </c>
      <c r="K352" s="6">
        <v>0</v>
      </c>
      <c r="L352" s="6">
        <v>-3.1419999999999999</v>
      </c>
      <c r="M352" s="6">
        <v>-3.1419999999999999</v>
      </c>
      <c r="N352" s="6">
        <v>-3.1419999999999999</v>
      </c>
      <c r="O352" s="6">
        <v>-3.1419999999999999</v>
      </c>
      <c r="P352" s="6">
        <v>0</v>
      </c>
      <c r="Q352" s="4" t="s">
        <v>26</v>
      </c>
      <c r="R352" s="4">
        <v>0</v>
      </c>
      <c r="S352" s="4">
        <v>0</v>
      </c>
      <c r="T352" s="4">
        <v>46</v>
      </c>
      <c r="U352" s="4">
        <v>99</v>
      </c>
      <c r="V352" s="6">
        <f>IF(ISERROR(VLOOKUP($S$352,'TAR FIN'!$A$1:$O$100,15,0)),0,VLOOKUP($S$352,'TAR FIN'!$A$1:$O$100,15,0))</f>
        <v>0</v>
      </c>
      <c r="W352" s="6">
        <f>IF(ISERROR(VLOOKUP($T$352,'TAR FIN'!$A$1:$O$100,15,0)),0,VLOOKUP($T$352,'TAR FIN'!$A$1:$O$100,15,0))</f>
        <v>251.46</v>
      </c>
      <c r="X352" s="6">
        <f>IF(ISERROR(VLOOKUP($U$352,'TAR FIN'!$A$1:$O$100,15,0)),0,VLOOKUP($U$352,'TAR FIN'!$A$1:$O$100,15,0))</f>
        <v>203.57</v>
      </c>
      <c r="Y352" s="6"/>
      <c r="Z352" s="6">
        <f ca="1">('TUSD BE'!$AM$43+'TUSD BF'!$AM$43+'TUSD CVA'!$AM$43)*(1-CUSTOS!$M$38)</f>
        <v>268.50633429802321</v>
      </c>
      <c r="AA352" s="6">
        <f>('TE BE'!$AA$26+'TE BF'!$AA$26+'TE CVA'!$AA$26)*(1-CUSTOS!$M$38)</f>
        <v>235.74605718547673</v>
      </c>
      <c r="AB352" s="6">
        <f t="shared" si="20"/>
        <v>0</v>
      </c>
      <c r="AC352" s="6">
        <f>(L352-M352)*(W352+X352)+($W$170+$X$170-$W$352-$X$352)*(L352)</f>
        <v>-194.96110000000002</v>
      </c>
      <c r="AD352" s="6">
        <f t="shared" si="21"/>
        <v>0</v>
      </c>
      <c r="AE352" s="6">
        <f ca="1">(L352-M352)*(Z352+AA352)+($Z$170+$AA$170-$Z$352-$AA$352)*(L352)</f>
        <v>-101.12942642815879</v>
      </c>
      <c r="AF352" s="4" t="s">
        <v>914</v>
      </c>
    </row>
    <row r="353" spans="1:32" ht="11.25" customHeight="1" x14ac:dyDescent="0.25">
      <c r="A353" s="4" t="s">
        <v>28</v>
      </c>
      <c r="B353" s="4" t="s">
        <v>43</v>
      </c>
      <c r="C353" s="4" t="s">
        <v>23</v>
      </c>
      <c r="D353" s="4" t="s">
        <v>44</v>
      </c>
      <c r="E353" s="4" t="s">
        <v>52</v>
      </c>
      <c r="F353" s="4" t="s">
        <v>53</v>
      </c>
      <c r="G353" s="4" t="s">
        <v>25</v>
      </c>
      <c r="H353" s="4" t="s">
        <v>25</v>
      </c>
      <c r="I353" s="5">
        <v>44287</v>
      </c>
      <c r="J353" s="6">
        <v>0</v>
      </c>
      <c r="K353" s="6">
        <v>0</v>
      </c>
      <c r="L353" s="6">
        <v>0.16</v>
      </c>
      <c r="M353" s="6">
        <v>0.16</v>
      </c>
      <c r="N353" s="6">
        <v>0.16</v>
      </c>
      <c r="O353" s="6">
        <v>0.16</v>
      </c>
      <c r="P353" s="6">
        <v>0</v>
      </c>
      <c r="Q353" s="4" t="s">
        <v>26</v>
      </c>
      <c r="R353" s="4">
        <v>0</v>
      </c>
      <c r="S353" s="4">
        <v>0</v>
      </c>
      <c r="T353" s="4">
        <v>46</v>
      </c>
      <c r="U353" s="4">
        <v>99</v>
      </c>
      <c r="V353" s="6">
        <f>IF(ISERROR(VLOOKUP($S$353,'TAR FIN'!$A$1:$O$100,15,0)),0,VLOOKUP($S$353,'TAR FIN'!$A$1:$O$100,15,0))</f>
        <v>0</v>
      </c>
      <c r="W353" s="6">
        <f>IF(ISERROR(VLOOKUP($T$353,'TAR FIN'!$A$1:$O$100,15,0)),0,VLOOKUP($T$353,'TAR FIN'!$A$1:$O$100,15,0))</f>
        <v>251.46</v>
      </c>
      <c r="X353" s="6">
        <f>IF(ISERROR(VLOOKUP($U$353,'TAR FIN'!$A$1:$O$100,15,0)),0,VLOOKUP($U$353,'TAR FIN'!$A$1:$O$100,15,0))</f>
        <v>203.57</v>
      </c>
      <c r="Y353" s="6"/>
      <c r="Z353" s="6">
        <f ca="1">('TUSD BE'!$AM$43+'TUSD BF'!$AM$43+'TUSD CVA'!$AM$43)*(1-CUSTOS!$M$38)</f>
        <v>268.50633429802321</v>
      </c>
      <c r="AA353" s="6">
        <f>('TE BE'!$AA$26+'TE BF'!$AA$26+'TE CVA'!$AA$26)*(1-CUSTOS!$M$38)</f>
        <v>235.74605718547673</v>
      </c>
      <c r="AB353" s="6">
        <f t="shared" si="20"/>
        <v>0</v>
      </c>
      <c r="AC353" s="6">
        <f>(L353-M353)*(W353+X353)+($W$170+$X$170-$W$353-$X$353)*(L353)</f>
        <v>9.9280000000000026</v>
      </c>
      <c r="AD353" s="6">
        <f t="shared" si="21"/>
        <v>0</v>
      </c>
      <c r="AE353" s="6">
        <f ca="1">(L353-M353)*(Z353+AA353)+($Z$170+$AA$170-$Z$353-$AA$353)*(L353)</f>
        <v>5.1498116577038218</v>
      </c>
      <c r="AF353" s="4" t="s">
        <v>914</v>
      </c>
    </row>
    <row r="354" spans="1:32" ht="11.25" customHeight="1" x14ac:dyDescent="0.25">
      <c r="A354" s="4" t="s">
        <v>28</v>
      </c>
      <c r="B354" s="4" t="s">
        <v>43</v>
      </c>
      <c r="C354" s="4" t="s">
        <v>23</v>
      </c>
      <c r="D354" s="4" t="s">
        <v>44</v>
      </c>
      <c r="E354" s="4" t="s">
        <v>52</v>
      </c>
      <c r="F354" s="4" t="s">
        <v>53</v>
      </c>
      <c r="G354" s="4" t="s">
        <v>25</v>
      </c>
      <c r="H354" s="4" t="s">
        <v>25</v>
      </c>
      <c r="I354" s="5">
        <v>44287</v>
      </c>
      <c r="J354" s="6">
        <v>0</v>
      </c>
      <c r="K354" s="6">
        <v>0</v>
      </c>
      <c r="L354" s="6">
        <v>3.5270000000000001</v>
      </c>
      <c r="M354" s="6">
        <v>3.5270000000000001</v>
      </c>
      <c r="N354" s="6">
        <v>3.5270000000000001</v>
      </c>
      <c r="O354" s="6">
        <v>3.5270000000000001</v>
      </c>
      <c r="P354" s="6">
        <v>0</v>
      </c>
      <c r="Q354" s="4" t="s">
        <v>26</v>
      </c>
      <c r="R354" s="4">
        <v>0</v>
      </c>
      <c r="S354" s="4">
        <v>0</v>
      </c>
      <c r="T354" s="4">
        <v>46</v>
      </c>
      <c r="U354" s="4">
        <v>99</v>
      </c>
      <c r="V354" s="6">
        <f>IF(ISERROR(VLOOKUP($S$354,'TAR FIN'!$A$1:$O$100,15,0)),0,VLOOKUP($S$354,'TAR FIN'!$A$1:$O$100,15,0))</f>
        <v>0</v>
      </c>
      <c r="W354" s="6">
        <f>IF(ISERROR(VLOOKUP($T$354,'TAR FIN'!$A$1:$O$100,15,0)),0,VLOOKUP($T$354,'TAR FIN'!$A$1:$O$100,15,0))</f>
        <v>251.46</v>
      </c>
      <c r="X354" s="6">
        <f>IF(ISERROR(VLOOKUP($U$354,'TAR FIN'!$A$1:$O$100,15,0)),0,VLOOKUP($U$354,'TAR FIN'!$A$1:$O$100,15,0))</f>
        <v>203.57</v>
      </c>
      <c r="Y354" s="6"/>
      <c r="Z354" s="6">
        <f ca="1">('TUSD BE'!$AM$43+'TUSD BF'!$AM$43+'TUSD CVA'!$AM$43)*(1-CUSTOS!$M$38)</f>
        <v>268.50633429802321</v>
      </c>
      <c r="AA354" s="6">
        <f>('TE BE'!$AA$26+'TE BF'!$AA$26+'TE CVA'!$AA$26)*(1-CUSTOS!$M$38)</f>
        <v>235.74605718547673</v>
      </c>
      <c r="AB354" s="6">
        <f t="shared" si="20"/>
        <v>0</v>
      </c>
      <c r="AC354" s="6">
        <f>(L354-M354)*(W354+X354)+($W$170+$X$170-$W$354-$X$354)*(L354)</f>
        <v>218.85035000000005</v>
      </c>
      <c r="AD354" s="6">
        <f t="shared" si="21"/>
        <v>0</v>
      </c>
      <c r="AE354" s="6">
        <f ca="1">(L354-M354)*(Z354+AA354)+($Z$170+$AA$170-$Z$354-$AA$354)*(L354)</f>
        <v>113.52116072950862</v>
      </c>
      <c r="AF354" s="4" t="s">
        <v>914</v>
      </c>
    </row>
    <row r="355" spans="1:32" ht="11.25" customHeight="1" x14ac:dyDescent="0.25">
      <c r="A355" s="4" t="s">
        <v>21</v>
      </c>
      <c r="B355" s="4" t="s">
        <v>43</v>
      </c>
      <c r="C355" s="4" t="s">
        <v>23</v>
      </c>
      <c r="D355" s="4" t="s">
        <v>44</v>
      </c>
      <c r="E355" s="4" t="s">
        <v>52</v>
      </c>
      <c r="F355" s="4" t="s">
        <v>53</v>
      </c>
      <c r="G355" s="4" t="s">
        <v>25</v>
      </c>
      <c r="H355" s="4" t="s">
        <v>25</v>
      </c>
      <c r="I355" s="5">
        <v>44317</v>
      </c>
      <c r="J355" s="6">
        <v>0</v>
      </c>
      <c r="K355" s="6">
        <v>0</v>
      </c>
      <c r="L355" s="6">
        <v>85.21</v>
      </c>
      <c r="M355" s="6">
        <v>85.21</v>
      </c>
      <c r="N355" s="6">
        <v>85.21</v>
      </c>
      <c r="O355" s="6">
        <v>85.21</v>
      </c>
      <c r="P355" s="6">
        <v>0</v>
      </c>
      <c r="Q355" s="4" t="s">
        <v>26</v>
      </c>
      <c r="R355" s="4">
        <v>0</v>
      </c>
      <c r="S355" s="4">
        <v>0</v>
      </c>
      <c r="T355" s="4">
        <v>46</v>
      </c>
      <c r="U355" s="4">
        <v>99</v>
      </c>
      <c r="V355" s="6">
        <f>IF(ISERROR(VLOOKUP($S$355,'TAR FIN'!$A$1:$O$100,15,0)),0,VLOOKUP($S$355,'TAR FIN'!$A$1:$O$100,15,0))</f>
        <v>0</v>
      </c>
      <c r="W355" s="6">
        <f>IF(ISERROR(VLOOKUP($T$355,'TAR FIN'!$A$1:$O$100,15,0)),0,VLOOKUP($T$355,'TAR FIN'!$A$1:$O$100,15,0))</f>
        <v>251.46</v>
      </c>
      <c r="X355" s="6">
        <f>IF(ISERROR(VLOOKUP($U$355,'TAR FIN'!$A$1:$O$100,15,0)),0,VLOOKUP($U$355,'TAR FIN'!$A$1:$O$100,15,0))</f>
        <v>203.57</v>
      </c>
      <c r="Y355" s="6"/>
      <c r="Z355" s="6">
        <f ca="1">('TUSD BE'!$AM$43+'TUSD BF'!$AM$43+'TUSD CVA'!$AM$43)*(1-CUSTOS!$M$38)</f>
        <v>268.50633429802321</v>
      </c>
      <c r="AA355" s="6">
        <f>('TE BE'!$AA$26+'TE BF'!$AA$26+'TE CVA'!$AA$26)*(1-CUSTOS!$M$38)</f>
        <v>235.74605718547673</v>
      </c>
      <c r="AB355" s="6">
        <f t="shared" si="20"/>
        <v>0</v>
      </c>
      <c r="AC355" s="6">
        <f>(L355-M355)*(W355+X355)+($W$170+$X$170-$W$355-$X$355)*(L355)</f>
        <v>5287.2805000000008</v>
      </c>
      <c r="AD355" s="6">
        <f t="shared" si="21"/>
        <v>0</v>
      </c>
      <c r="AE355" s="6">
        <f ca="1">(L355-M355)*(Z355+AA355)+($Z$170+$AA$170-$Z$355-$AA$355)*(L355)</f>
        <v>2742.5965709558914</v>
      </c>
      <c r="AF355" s="4" t="s">
        <v>914</v>
      </c>
    </row>
    <row r="356" spans="1:32" ht="11.25" customHeight="1" x14ac:dyDescent="0.25">
      <c r="A356" s="4" t="s">
        <v>27</v>
      </c>
      <c r="B356" s="4" t="s">
        <v>43</v>
      </c>
      <c r="C356" s="4" t="s">
        <v>23</v>
      </c>
      <c r="D356" s="4" t="s">
        <v>44</v>
      </c>
      <c r="E356" s="4" t="s">
        <v>52</v>
      </c>
      <c r="F356" s="4" t="s">
        <v>53</v>
      </c>
      <c r="G356" s="4" t="s">
        <v>25</v>
      </c>
      <c r="H356" s="4" t="s">
        <v>25</v>
      </c>
      <c r="I356" s="5">
        <v>44317</v>
      </c>
      <c r="J356" s="6">
        <v>0</v>
      </c>
      <c r="K356" s="6">
        <v>0</v>
      </c>
      <c r="L356" s="6">
        <v>-3.0110000000000001</v>
      </c>
      <c r="M356" s="6">
        <v>-3.0110000000000001</v>
      </c>
      <c r="N356" s="6">
        <v>-3.0110000000000001</v>
      </c>
      <c r="O356" s="6">
        <v>-3.0110000000000001</v>
      </c>
      <c r="P356" s="6">
        <v>0</v>
      </c>
      <c r="Q356" s="4" t="s">
        <v>26</v>
      </c>
      <c r="R356" s="4">
        <v>0</v>
      </c>
      <c r="S356" s="4">
        <v>0</v>
      </c>
      <c r="T356" s="4">
        <v>46</v>
      </c>
      <c r="U356" s="4">
        <v>99</v>
      </c>
      <c r="V356" s="6">
        <f>IF(ISERROR(VLOOKUP($S$356,'TAR FIN'!$A$1:$O$100,15,0)),0,VLOOKUP($S$356,'TAR FIN'!$A$1:$O$100,15,0))</f>
        <v>0</v>
      </c>
      <c r="W356" s="6">
        <f>IF(ISERROR(VLOOKUP($T$356,'TAR FIN'!$A$1:$O$100,15,0)),0,VLOOKUP($T$356,'TAR FIN'!$A$1:$O$100,15,0))</f>
        <v>251.46</v>
      </c>
      <c r="X356" s="6">
        <f>IF(ISERROR(VLOOKUP($U$356,'TAR FIN'!$A$1:$O$100,15,0)),0,VLOOKUP($U$356,'TAR FIN'!$A$1:$O$100,15,0))</f>
        <v>203.57</v>
      </c>
      <c r="Y356" s="6"/>
      <c r="Z356" s="6">
        <f ca="1">('TUSD BE'!$AM$43+'TUSD BF'!$AM$43+'TUSD CVA'!$AM$43)*(1-CUSTOS!$M$38)</f>
        <v>268.50633429802321</v>
      </c>
      <c r="AA356" s="6">
        <f>('TE BE'!$AA$26+'TE BF'!$AA$26+'TE CVA'!$AA$26)*(1-CUSTOS!$M$38)</f>
        <v>235.74605718547673</v>
      </c>
      <c r="AB356" s="6">
        <f t="shared" si="20"/>
        <v>0</v>
      </c>
      <c r="AC356" s="6">
        <f>(L356-M356)*(W356+X356)+($W$170+$X$170-$W$356-$X$356)*(L356)</f>
        <v>-186.83255000000005</v>
      </c>
      <c r="AD356" s="6">
        <f t="shared" si="21"/>
        <v>0</v>
      </c>
      <c r="AE356" s="6">
        <f ca="1">(L356-M356)*(Z356+AA356)+($Z$170+$AA$170-$Z$356-$AA$356)*(L356)</f>
        <v>-96.9130181334138</v>
      </c>
      <c r="AF356" s="4" t="s">
        <v>914</v>
      </c>
    </row>
    <row r="357" spans="1:32" ht="11.25" customHeight="1" x14ac:dyDescent="0.25">
      <c r="A357" s="4" t="s">
        <v>28</v>
      </c>
      <c r="B357" s="4" t="s">
        <v>43</v>
      </c>
      <c r="C357" s="4" t="s">
        <v>23</v>
      </c>
      <c r="D357" s="4" t="s">
        <v>44</v>
      </c>
      <c r="E357" s="4" t="s">
        <v>52</v>
      </c>
      <c r="F357" s="4" t="s">
        <v>53</v>
      </c>
      <c r="G357" s="4" t="s">
        <v>25</v>
      </c>
      <c r="H357" s="4" t="s">
        <v>25</v>
      </c>
      <c r="I357" s="5">
        <v>44317</v>
      </c>
      <c r="J357" s="6">
        <v>0</v>
      </c>
      <c r="K357" s="6">
        <v>0</v>
      </c>
      <c r="L357" s="6">
        <v>0.20200000000000001</v>
      </c>
      <c r="M357" s="6">
        <v>0.20200000000000001</v>
      </c>
      <c r="N357" s="6">
        <v>0.20200000000000001</v>
      </c>
      <c r="O357" s="6">
        <v>0.20200000000000001</v>
      </c>
      <c r="P357" s="6">
        <v>0</v>
      </c>
      <c r="Q357" s="4" t="s">
        <v>26</v>
      </c>
      <c r="R357" s="4">
        <v>0</v>
      </c>
      <c r="S357" s="4">
        <v>0</v>
      </c>
      <c r="T357" s="4">
        <v>46</v>
      </c>
      <c r="U357" s="4">
        <v>99</v>
      </c>
      <c r="V357" s="6">
        <f>IF(ISERROR(VLOOKUP($S$357,'TAR FIN'!$A$1:$O$100,15,0)),0,VLOOKUP($S$357,'TAR FIN'!$A$1:$O$100,15,0))</f>
        <v>0</v>
      </c>
      <c r="W357" s="6">
        <f>IF(ISERROR(VLOOKUP($T$357,'TAR FIN'!$A$1:$O$100,15,0)),0,VLOOKUP($T$357,'TAR FIN'!$A$1:$O$100,15,0))</f>
        <v>251.46</v>
      </c>
      <c r="X357" s="6">
        <f>IF(ISERROR(VLOOKUP($U$357,'TAR FIN'!$A$1:$O$100,15,0)),0,VLOOKUP($U$357,'TAR FIN'!$A$1:$O$100,15,0))</f>
        <v>203.57</v>
      </c>
      <c r="Y357" s="6"/>
      <c r="Z357" s="6">
        <f ca="1">('TUSD BE'!$AM$43+'TUSD BF'!$AM$43+'TUSD CVA'!$AM$43)*(1-CUSTOS!$M$38)</f>
        <v>268.50633429802321</v>
      </c>
      <c r="AA357" s="6">
        <f>('TE BE'!$AA$26+'TE BF'!$AA$26+'TE CVA'!$AA$26)*(1-CUSTOS!$M$38)</f>
        <v>235.74605718547673</v>
      </c>
      <c r="AB357" s="6">
        <f t="shared" si="20"/>
        <v>0</v>
      </c>
      <c r="AC357" s="6">
        <f>(L357-M357)*(W357+X357)+($W$170+$X$170-$W$357-$X$357)*(L357)</f>
        <v>12.534100000000002</v>
      </c>
      <c r="AD357" s="6">
        <f t="shared" si="21"/>
        <v>0</v>
      </c>
      <c r="AE357" s="6">
        <f ca="1">(L357-M357)*(Z357+AA357)+($Z$170+$AA$170-$Z$357-$AA$357)*(L357)</f>
        <v>6.5016372178510755</v>
      </c>
      <c r="AF357" s="4" t="s">
        <v>914</v>
      </c>
    </row>
    <row r="358" spans="1:32" ht="11.25" customHeight="1" x14ac:dyDescent="0.25">
      <c r="A358" s="4" t="s">
        <v>21</v>
      </c>
      <c r="B358" s="4" t="s">
        <v>43</v>
      </c>
      <c r="C358" s="4" t="s">
        <v>23</v>
      </c>
      <c r="D358" s="4" t="s">
        <v>44</v>
      </c>
      <c r="E358" s="4" t="s">
        <v>52</v>
      </c>
      <c r="F358" s="4" t="s">
        <v>53</v>
      </c>
      <c r="G358" s="4" t="s">
        <v>25</v>
      </c>
      <c r="H358" s="4" t="s">
        <v>25</v>
      </c>
      <c r="I358" s="5">
        <v>44348</v>
      </c>
      <c r="J358" s="6">
        <v>0</v>
      </c>
      <c r="K358" s="6">
        <v>0</v>
      </c>
      <c r="L358" s="6">
        <v>102.312</v>
      </c>
      <c r="M358" s="6">
        <v>102.312</v>
      </c>
      <c r="N358" s="6">
        <v>102.312</v>
      </c>
      <c r="O358" s="6">
        <v>102.312</v>
      </c>
      <c r="P358" s="6">
        <v>0</v>
      </c>
      <c r="Q358" s="4" t="s">
        <v>26</v>
      </c>
      <c r="R358" s="4">
        <v>0</v>
      </c>
      <c r="S358" s="4">
        <v>0</v>
      </c>
      <c r="T358" s="4">
        <v>46</v>
      </c>
      <c r="U358" s="4">
        <v>99</v>
      </c>
      <c r="V358" s="6">
        <f>IF(ISERROR(VLOOKUP($S$358,'TAR FIN'!$A$1:$O$100,15,0)),0,VLOOKUP($S$358,'TAR FIN'!$A$1:$O$100,15,0))</f>
        <v>0</v>
      </c>
      <c r="W358" s="6">
        <f>IF(ISERROR(VLOOKUP($T$358,'TAR FIN'!$A$1:$O$100,15,0)),0,VLOOKUP($T$358,'TAR FIN'!$A$1:$O$100,15,0))</f>
        <v>251.46</v>
      </c>
      <c r="X358" s="6">
        <f>IF(ISERROR(VLOOKUP($U$358,'TAR FIN'!$A$1:$O$100,15,0)),0,VLOOKUP($U$358,'TAR FIN'!$A$1:$O$100,15,0))</f>
        <v>203.57</v>
      </c>
      <c r="Y358" s="6"/>
      <c r="Z358" s="6">
        <f ca="1">('TUSD BE'!$AM$43+'TUSD BF'!$AM$43+'TUSD CVA'!$AM$43)*(1-CUSTOS!$M$38)</f>
        <v>268.50633429802321</v>
      </c>
      <c r="AA358" s="6">
        <f>('TE BE'!$AA$26+'TE BF'!$AA$26+'TE CVA'!$AA$26)*(1-CUSTOS!$M$38)</f>
        <v>235.74605718547673</v>
      </c>
      <c r="AB358" s="6">
        <f t="shared" si="20"/>
        <v>0</v>
      </c>
      <c r="AC358" s="6">
        <f>(L358-M358)*(W358+X358)+($W$170+$X$170-$W$358-$X$358)*(L358)</f>
        <v>6348.459600000001</v>
      </c>
      <c r="AD358" s="6">
        <f t="shared" si="21"/>
        <v>0</v>
      </c>
      <c r="AE358" s="6">
        <f ca="1">(L358-M358)*(Z358+AA358)+($Z$170+$AA$170-$Z$358-$AA$358)*(L358)</f>
        <v>3293.0470645187088</v>
      </c>
      <c r="AF358" s="4" t="s">
        <v>914</v>
      </c>
    </row>
    <row r="359" spans="1:32" ht="11.25" customHeight="1" x14ac:dyDescent="0.25">
      <c r="A359" s="4" t="s">
        <v>27</v>
      </c>
      <c r="B359" s="4" t="s">
        <v>43</v>
      </c>
      <c r="C359" s="4" t="s">
        <v>23</v>
      </c>
      <c r="D359" s="4" t="s">
        <v>44</v>
      </c>
      <c r="E359" s="4" t="s">
        <v>52</v>
      </c>
      <c r="F359" s="4" t="s">
        <v>53</v>
      </c>
      <c r="G359" s="4" t="s">
        <v>25</v>
      </c>
      <c r="H359" s="4" t="s">
        <v>25</v>
      </c>
      <c r="I359" s="5">
        <v>44348</v>
      </c>
      <c r="J359" s="6">
        <v>0</v>
      </c>
      <c r="K359" s="6">
        <v>0</v>
      </c>
      <c r="L359" s="6">
        <v>0.73299999999999998</v>
      </c>
      <c r="M359" s="6">
        <v>0.73299999999999998</v>
      </c>
      <c r="N359" s="6">
        <v>0.73299999999999998</v>
      </c>
      <c r="O359" s="6">
        <v>0.73299999999999998</v>
      </c>
      <c r="P359" s="6">
        <v>0</v>
      </c>
      <c r="Q359" s="4" t="s">
        <v>26</v>
      </c>
      <c r="R359" s="4">
        <v>0</v>
      </c>
      <c r="S359" s="4">
        <v>0</v>
      </c>
      <c r="T359" s="4">
        <v>46</v>
      </c>
      <c r="U359" s="4">
        <v>99</v>
      </c>
      <c r="V359" s="6">
        <f>IF(ISERROR(VLOOKUP($S$359,'TAR FIN'!$A$1:$O$100,15,0)),0,VLOOKUP($S$359,'TAR FIN'!$A$1:$O$100,15,0))</f>
        <v>0</v>
      </c>
      <c r="W359" s="6">
        <f>IF(ISERROR(VLOOKUP($T$359,'TAR FIN'!$A$1:$O$100,15,0)),0,VLOOKUP($T$359,'TAR FIN'!$A$1:$O$100,15,0))</f>
        <v>251.46</v>
      </c>
      <c r="X359" s="6">
        <f>IF(ISERROR(VLOOKUP($U$359,'TAR FIN'!$A$1:$O$100,15,0)),0,VLOOKUP($U$359,'TAR FIN'!$A$1:$O$100,15,0))</f>
        <v>203.57</v>
      </c>
      <c r="Y359" s="6"/>
      <c r="Z359" s="6">
        <f ca="1">('TUSD BE'!$AM$43+'TUSD BF'!$AM$43+'TUSD CVA'!$AM$43)*(1-CUSTOS!$M$38)</f>
        <v>268.50633429802321</v>
      </c>
      <c r="AA359" s="6">
        <f>('TE BE'!$AA$26+'TE BF'!$AA$26+'TE CVA'!$AA$26)*(1-CUSTOS!$M$38)</f>
        <v>235.74605718547673</v>
      </c>
      <c r="AB359" s="6">
        <f t="shared" si="20"/>
        <v>0</v>
      </c>
      <c r="AC359" s="6">
        <f>(L359-M359)*(W359+X359)+($W$170+$X$170-$W$359-$X$359)*(L359)</f>
        <v>45.482650000000007</v>
      </c>
      <c r="AD359" s="6">
        <f t="shared" si="21"/>
        <v>0</v>
      </c>
      <c r="AE359" s="6">
        <f ca="1">(L359-M359)*(Z359+AA359)+($Z$170+$AA$170-$Z$359-$AA$359)*(L359)</f>
        <v>23.592574656855632</v>
      </c>
      <c r="AF359" s="4" t="s">
        <v>914</v>
      </c>
    </row>
    <row r="360" spans="1:32" ht="11.25" customHeight="1" x14ac:dyDescent="0.25">
      <c r="A360" s="4" t="s">
        <v>28</v>
      </c>
      <c r="B360" s="4" t="s">
        <v>43</v>
      </c>
      <c r="C360" s="4" t="s">
        <v>23</v>
      </c>
      <c r="D360" s="4" t="s">
        <v>44</v>
      </c>
      <c r="E360" s="4" t="s">
        <v>52</v>
      </c>
      <c r="F360" s="4" t="s">
        <v>53</v>
      </c>
      <c r="G360" s="4" t="s">
        <v>25</v>
      </c>
      <c r="H360" s="4" t="s">
        <v>25</v>
      </c>
      <c r="I360" s="5">
        <v>44348</v>
      </c>
      <c r="J360" s="6">
        <v>0</v>
      </c>
      <c r="K360" s="6">
        <v>0</v>
      </c>
      <c r="L360" s="6">
        <v>0.16200000000000001</v>
      </c>
      <c r="M360" s="6">
        <v>0.16200000000000001</v>
      </c>
      <c r="N360" s="6">
        <v>0.16200000000000001</v>
      </c>
      <c r="O360" s="6">
        <v>0.16200000000000001</v>
      </c>
      <c r="P360" s="6">
        <v>0</v>
      </c>
      <c r="Q360" s="4" t="s">
        <v>26</v>
      </c>
      <c r="R360" s="4">
        <v>0</v>
      </c>
      <c r="S360" s="4">
        <v>0</v>
      </c>
      <c r="T360" s="4">
        <v>46</v>
      </c>
      <c r="U360" s="4">
        <v>99</v>
      </c>
      <c r="V360" s="6">
        <f>IF(ISERROR(VLOOKUP($S$360,'TAR FIN'!$A$1:$O$100,15,0)),0,VLOOKUP($S$360,'TAR FIN'!$A$1:$O$100,15,0))</f>
        <v>0</v>
      </c>
      <c r="W360" s="6">
        <f>IF(ISERROR(VLOOKUP($T$360,'TAR FIN'!$A$1:$O$100,15,0)),0,VLOOKUP($T$360,'TAR FIN'!$A$1:$O$100,15,0))</f>
        <v>251.46</v>
      </c>
      <c r="X360" s="6">
        <f>IF(ISERROR(VLOOKUP($U$360,'TAR FIN'!$A$1:$O$100,15,0)),0,VLOOKUP($U$360,'TAR FIN'!$A$1:$O$100,15,0))</f>
        <v>203.57</v>
      </c>
      <c r="Y360" s="6"/>
      <c r="Z360" s="6">
        <f ca="1">('TUSD BE'!$AM$43+'TUSD BF'!$AM$43+'TUSD CVA'!$AM$43)*(1-CUSTOS!$M$38)</f>
        <v>268.50633429802321</v>
      </c>
      <c r="AA360" s="6">
        <f>('TE BE'!$AA$26+'TE BF'!$AA$26+'TE CVA'!$AA$26)*(1-CUSTOS!$M$38)</f>
        <v>235.74605718547673</v>
      </c>
      <c r="AB360" s="6">
        <f t="shared" si="20"/>
        <v>0</v>
      </c>
      <c r="AC360" s="6">
        <f>(L360-M360)*(W360+X360)+($W$170+$X$170-$W$360-$X$360)*(L360)</f>
        <v>10.052100000000003</v>
      </c>
      <c r="AD360" s="6">
        <f t="shared" si="21"/>
        <v>0</v>
      </c>
      <c r="AE360" s="6">
        <f ca="1">(L360-M360)*(Z360+AA360)+($Z$170+$AA$170-$Z$360-$AA$360)*(L360)</f>
        <v>5.2141843034251201</v>
      </c>
      <c r="AF360" s="4" t="s">
        <v>914</v>
      </c>
    </row>
    <row r="361" spans="1:32" ht="11.25" customHeight="1" x14ac:dyDescent="0.25">
      <c r="A361" s="4" t="s">
        <v>21</v>
      </c>
      <c r="B361" s="4" t="s">
        <v>43</v>
      </c>
      <c r="C361" s="4" t="s">
        <v>23</v>
      </c>
      <c r="D361" s="4" t="s">
        <v>44</v>
      </c>
      <c r="E361" s="4" t="s">
        <v>52</v>
      </c>
      <c r="F361" s="4" t="s">
        <v>53</v>
      </c>
      <c r="G361" s="4" t="s">
        <v>25</v>
      </c>
      <c r="H361" s="4" t="s">
        <v>25</v>
      </c>
      <c r="I361" s="5">
        <v>44378</v>
      </c>
      <c r="J361" s="6">
        <v>0</v>
      </c>
      <c r="K361" s="6">
        <v>0</v>
      </c>
      <c r="L361" s="6">
        <v>104.854</v>
      </c>
      <c r="M361" s="6">
        <v>104.854</v>
      </c>
      <c r="N361" s="6">
        <v>104.854</v>
      </c>
      <c r="O361" s="6">
        <v>104.854</v>
      </c>
      <c r="P361" s="6">
        <v>0</v>
      </c>
      <c r="Q361" s="4" t="s">
        <v>26</v>
      </c>
      <c r="R361" s="4">
        <v>0</v>
      </c>
      <c r="S361" s="4">
        <v>0</v>
      </c>
      <c r="T361" s="4">
        <v>46</v>
      </c>
      <c r="U361" s="4">
        <v>99</v>
      </c>
      <c r="V361" s="6">
        <f>IF(ISERROR(VLOOKUP($S$361,'TAR FIN'!$A$1:$O$100,15,0)),0,VLOOKUP($S$361,'TAR FIN'!$A$1:$O$100,15,0))</f>
        <v>0</v>
      </c>
      <c r="W361" s="6">
        <f>IF(ISERROR(VLOOKUP($T$361,'TAR FIN'!$A$1:$O$100,15,0)),0,VLOOKUP($T$361,'TAR FIN'!$A$1:$O$100,15,0))</f>
        <v>251.46</v>
      </c>
      <c r="X361" s="6">
        <f>IF(ISERROR(VLOOKUP($U$361,'TAR FIN'!$A$1:$O$100,15,0)),0,VLOOKUP($U$361,'TAR FIN'!$A$1:$O$100,15,0))</f>
        <v>203.57</v>
      </c>
      <c r="Y361" s="6"/>
      <c r="Z361" s="6">
        <f ca="1">('TUSD BE'!$AM$43+'TUSD BF'!$AM$43+'TUSD CVA'!$AM$43)*(1-CUSTOS!$M$38)</f>
        <v>268.50633429802321</v>
      </c>
      <c r="AA361" s="6">
        <f>('TE BE'!$AA$26+'TE BF'!$AA$26+'TE CVA'!$AA$26)*(1-CUSTOS!$M$38)</f>
        <v>235.74605718547673</v>
      </c>
      <c r="AB361" s="6">
        <f t="shared" si="20"/>
        <v>0</v>
      </c>
      <c r="AC361" s="6">
        <f>(L361-M361)*(W361+X361)+($W$170+$X$170-$W$361-$X$361)*(L361)</f>
        <v>6506.190700000001</v>
      </c>
      <c r="AD361" s="6">
        <f t="shared" si="21"/>
        <v>0</v>
      </c>
      <c r="AE361" s="6">
        <f ca="1">(L361-M361)*(Z361+AA361)+($Z$170+$AA$170-$Z$361-$AA$361)*(L361)</f>
        <v>3374.8646972304782</v>
      </c>
      <c r="AF361" s="4" t="s">
        <v>914</v>
      </c>
    </row>
    <row r="362" spans="1:32" ht="11.25" customHeight="1" x14ac:dyDescent="0.25">
      <c r="A362" s="4" t="s">
        <v>28</v>
      </c>
      <c r="B362" s="4" t="s">
        <v>43</v>
      </c>
      <c r="C362" s="4" t="s">
        <v>23</v>
      </c>
      <c r="D362" s="4" t="s">
        <v>44</v>
      </c>
      <c r="E362" s="4" t="s">
        <v>52</v>
      </c>
      <c r="F362" s="4" t="s">
        <v>53</v>
      </c>
      <c r="G362" s="4" t="s">
        <v>25</v>
      </c>
      <c r="H362" s="4" t="s">
        <v>25</v>
      </c>
      <c r="I362" s="5">
        <v>44378</v>
      </c>
      <c r="J362" s="6">
        <v>0</v>
      </c>
      <c r="K362" s="6">
        <v>0</v>
      </c>
      <c r="L362" s="6">
        <v>0.57799999999999996</v>
      </c>
      <c r="M362" s="6">
        <v>0.57799999999999996</v>
      </c>
      <c r="N362" s="6">
        <v>0.57799999999999996</v>
      </c>
      <c r="O362" s="6">
        <v>0.57799999999999996</v>
      </c>
      <c r="P362" s="6">
        <v>0</v>
      </c>
      <c r="Q362" s="4" t="s">
        <v>26</v>
      </c>
      <c r="R362" s="4">
        <v>0</v>
      </c>
      <c r="S362" s="4">
        <v>0</v>
      </c>
      <c r="T362" s="4">
        <v>46</v>
      </c>
      <c r="U362" s="4">
        <v>99</v>
      </c>
      <c r="V362" s="6">
        <f>IF(ISERROR(VLOOKUP($S$362,'TAR FIN'!$A$1:$O$100,15,0)),0,VLOOKUP($S$362,'TAR FIN'!$A$1:$O$100,15,0))</f>
        <v>0</v>
      </c>
      <c r="W362" s="6">
        <f>IF(ISERROR(VLOOKUP($T$362,'TAR FIN'!$A$1:$O$100,15,0)),0,VLOOKUP($T$362,'TAR FIN'!$A$1:$O$100,15,0))</f>
        <v>251.46</v>
      </c>
      <c r="X362" s="6">
        <f>IF(ISERROR(VLOOKUP($U$362,'TAR FIN'!$A$1:$O$100,15,0)),0,VLOOKUP($U$362,'TAR FIN'!$A$1:$O$100,15,0))</f>
        <v>203.57</v>
      </c>
      <c r="Y362" s="6"/>
      <c r="Z362" s="6">
        <f ca="1">('TUSD BE'!$AM$43+'TUSD BF'!$AM$43+'TUSD CVA'!$AM$43)*(1-CUSTOS!$M$38)</f>
        <v>268.50633429802321</v>
      </c>
      <c r="AA362" s="6">
        <f>('TE BE'!$AA$26+'TE BF'!$AA$26+'TE CVA'!$AA$26)*(1-CUSTOS!$M$38)</f>
        <v>235.74605718547673</v>
      </c>
      <c r="AB362" s="6">
        <f t="shared" si="20"/>
        <v>0</v>
      </c>
      <c r="AC362" s="6">
        <f>(L362-M362)*(W362+X362)+($W$170+$X$170-$W$362-$X$362)*(L362)</f>
        <v>35.864900000000006</v>
      </c>
      <c r="AD362" s="6">
        <f t="shared" si="21"/>
        <v>0</v>
      </c>
      <c r="AE362" s="6">
        <f ca="1">(L362-M362)*(Z362+AA362)+($Z$170+$AA$170-$Z$362-$AA$362)*(L362)</f>
        <v>18.603694613455055</v>
      </c>
      <c r="AF362" s="4" t="s">
        <v>914</v>
      </c>
    </row>
    <row r="363" spans="1:32" ht="11.25" customHeight="1" x14ac:dyDescent="0.25">
      <c r="A363" s="4" t="s">
        <v>21</v>
      </c>
      <c r="B363" s="4" t="s">
        <v>43</v>
      </c>
      <c r="C363" s="4" t="s">
        <v>23</v>
      </c>
      <c r="D363" s="4" t="s">
        <v>44</v>
      </c>
      <c r="E363" s="4" t="s">
        <v>52</v>
      </c>
      <c r="F363" s="4" t="s">
        <v>53</v>
      </c>
      <c r="G363" s="4" t="s">
        <v>25</v>
      </c>
      <c r="H363" s="4" t="s">
        <v>25</v>
      </c>
      <c r="I363" s="5">
        <v>44409</v>
      </c>
      <c r="J363" s="6">
        <v>0</v>
      </c>
      <c r="K363" s="6">
        <v>0</v>
      </c>
      <c r="L363" s="6">
        <v>100.452</v>
      </c>
      <c r="M363" s="6">
        <v>100.452</v>
      </c>
      <c r="N363" s="6">
        <v>100.452</v>
      </c>
      <c r="O363" s="6">
        <v>100.452</v>
      </c>
      <c r="P363" s="6">
        <v>0</v>
      </c>
      <c r="Q363" s="4" t="s">
        <v>26</v>
      </c>
      <c r="R363" s="4">
        <v>0</v>
      </c>
      <c r="S363" s="4">
        <v>0</v>
      </c>
      <c r="T363" s="4">
        <v>46</v>
      </c>
      <c r="U363" s="4">
        <v>99</v>
      </c>
      <c r="V363" s="6">
        <f>IF(ISERROR(VLOOKUP($S$363,'TAR FIN'!$A$1:$O$100,15,0)),0,VLOOKUP($S$363,'TAR FIN'!$A$1:$O$100,15,0))</f>
        <v>0</v>
      </c>
      <c r="W363" s="6">
        <f>IF(ISERROR(VLOOKUP($T$363,'TAR FIN'!$A$1:$O$100,15,0)),0,VLOOKUP($T$363,'TAR FIN'!$A$1:$O$100,15,0))</f>
        <v>251.46</v>
      </c>
      <c r="X363" s="6">
        <f>IF(ISERROR(VLOOKUP($U$363,'TAR FIN'!$A$1:$O$100,15,0)),0,VLOOKUP($U$363,'TAR FIN'!$A$1:$O$100,15,0))</f>
        <v>203.57</v>
      </c>
      <c r="Y363" s="6"/>
      <c r="Z363" s="6">
        <f ca="1">('TUSD BE'!$AM$43+'TUSD BF'!$AM$43+'TUSD CVA'!$AM$43)*(1-CUSTOS!$M$38)</f>
        <v>268.50633429802321</v>
      </c>
      <c r="AA363" s="6">
        <f>('TE BE'!$AA$26+'TE BF'!$AA$26+'TE CVA'!$AA$26)*(1-CUSTOS!$M$38)</f>
        <v>235.74605718547673</v>
      </c>
      <c r="AB363" s="6">
        <f t="shared" si="20"/>
        <v>0</v>
      </c>
      <c r="AC363" s="6">
        <f>(L363-M363)*(W363+X363)+($W$170+$X$170-$W$363-$X$363)*(L363)</f>
        <v>6233.0466000000006</v>
      </c>
      <c r="AD363" s="6">
        <f t="shared" si="21"/>
        <v>0</v>
      </c>
      <c r="AE363" s="6">
        <f ca="1">(L363-M363)*(Z363+AA363)+($Z$170+$AA$170-$Z$363-$AA$363)*(L363)</f>
        <v>3233.1805039979017</v>
      </c>
      <c r="AF363" s="4" t="s">
        <v>914</v>
      </c>
    </row>
    <row r="364" spans="1:32" ht="11.25" customHeight="1" x14ac:dyDescent="0.25">
      <c r="A364" s="4" t="s">
        <v>28</v>
      </c>
      <c r="B364" s="4" t="s">
        <v>43</v>
      </c>
      <c r="C364" s="4" t="s">
        <v>23</v>
      </c>
      <c r="D364" s="4" t="s">
        <v>44</v>
      </c>
      <c r="E364" s="4" t="s">
        <v>52</v>
      </c>
      <c r="F364" s="4" t="s">
        <v>53</v>
      </c>
      <c r="G364" s="4" t="s">
        <v>25</v>
      </c>
      <c r="H364" s="4" t="s">
        <v>25</v>
      </c>
      <c r="I364" s="5">
        <v>44409</v>
      </c>
      <c r="J364" s="6">
        <v>0</v>
      </c>
      <c r="K364" s="6">
        <v>0</v>
      </c>
      <c r="L364" s="6">
        <v>0.219</v>
      </c>
      <c r="M364" s="6">
        <v>0.219</v>
      </c>
      <c r="N364" s="6">
        <v>0.219</v>
      </c>
      <c r="O364" s="6">
        <v>0.219</v>
      </c>
      <c r="P364" s="6">
        <v>0</v>
      </c>
      <c r="Q364" s="4" t="s">
        <v>26</v>
      </c>
      <c r="R364" s="4">
        <v>0</v>
      </c>
      <c r="S364" s="4">
        <v>0</v>
      </c>
      <c r="T364" s="4">
        <v>46</v>
      </c>
      <c r="U364" s="4">
        <v>99</v>
      </c>
      <c r="V364" s="6">
        <f>IF(ISERROR(VLOOKUP($S$364,'TAR FIN'!$A$1:$O$100,15,0)),0,VLOOKUP($S$364,'TAR FIN'!$A$1:$O$100,15,0))</f>
        <v>0</v>
      </c>
      <c r="W364" s="6">
        <f>IF(ISERROR(VLOOKUP($T$364,'TAR FIN'!$A$1:$O$100,15,0)),0,VLOOKUP($T$364,'TAR FIN'!$A$1:$O$100,15,0))</f>
        <v>251.46</v>
      </c>
      <c r="X364" s="6">
        <f>IF(ISERROR(VLOOKUP($U$364,'TAR FIN'!$A$1:$O$100,15,0)),0,VLOOKUP($U$364,'TAR FIN'!$A$1:$O$100,15,0))</f>
        <v>203.57</v>
      </c>
      <c r="Y364" s="6"/>
      <c r="Z364" s="6">
        <f ca="1">('TUSD BE'!$AM$43+'TUSD BF'!$AM$43+'TUSD CVA'!$AM$43)*(1-CUSTOS!$M$38)</f>
        <v>268.50633429802321</v>
      </c>
      <c r="AA364" s="6">
        <f>('TE BE'!$AA$26+'TE BF'!$AA$26+'TE CVA'!$AA$26)*(1-CUSTOS!$M$38)</f>
        <v>235.74605718547673</v>
      </c>
      <c r="AB364" s="6">
        <f t="shared" si="20"/>
        <v>0</v>
      </c>
      <c r="AC364" s="6">
        <f>(L364-M364)*(W364+X364)+($W$170+$X$170-$W$364-$X$364)*(L364)</f>
        <v>13.588950000000002</v>
      </c>
      <c r="AD364" s="6">
        <f t="shared" si="21"/>
        <v>0</v>
      </c>
      <c r="AE364" s="6">
        <f ca="1">(L364-M364)*(Z364+AA364)+($Z$170+$AA$170-$Z$364-$AA$364)*(L364)</f>
        <v>7.0488047064821062</v>
      </c>
      <c r="AF364" s="4" t="s">
        <v>914</v>
      </c>
    </row>
    <row r="365" spans="1:32" ht="11.25" customHeight="1" x14ac:dyDescent="0.25">
      <c r="A365" s="4" t="s">
        <v>21</v>
      </c>
      <c r="B365" s="4" t="s">
        <v>43</v>
      </c>
      <c r="C365" s="4" t="s">
        <v>23</v>
      </c>
      <c r="D365" s="4" t="s">
        <v>44</v>
      </c>
      <c r="E365" s="4" t="s">
        <v>52</v>
      </c>
      <c r="F365" s="4" t="s">
        <v>53</v>
      </c>
      <c r="G365" s="4" t="s">
        <v>25</v>
      </c>
      <c r="H365" s="4" t="s">
        <v>25</v>
      </c>
      <c r="I365" s="5">
        <v>44440</v>
      </c>
      <c r="J365" s="6">
        <v>0</v>
      </c>
      <c r="K365" s="6">
        <v>0</v>
      </c>
      <c r="L365" s="6">
        <v>166.77600000000001</v>
      </c>
      <c r="M365" s="6">
        <v>166.77600000000001</v>
      </c>
      <c r="N365" s="6">
        <v>166.77600000000001</v>
      </c>
      <c r="O365" s="6">
        <v>166.77600000000001</v>
      </c>
      <c r="P365" s="6">
        <v>0</v>
      </c>
      <c r="Q365" s="4" t="s">
        <v>26</v>
      </c>
      <c r="R365" s="4">
        <v>0</v>
      </c>
      <c r="S365" s="4">
        <v>0</v>
      </c>
      <c r="T365" s="4">
        <v>46</v>
      </c>
      <c r="U365" s="4">
        <v>99</v>
      </c>
      <c r="V365" s="6">
        <f>IF(ISERROR(VLOOKUP($S$365,'TAR FIN'!$A$1:$O$100,15,0)),0,VLOOKUP($S$365,'TAR FIN'!$A$1:$O$100,15,0))</f>
        <v>0</v>
      </c>
      <c r="W365" s="6">
        <f>IF(ISERROR(VLOOKUP($T$365,'TAR FIN'!$A$1:$O$100,15,0)),0,VLOOKUP($T$365,'TAR FIN'!$A$1:$O$100,15,0))</f>
        <v>251.46</v>
      </c>
      <c r="X365" s="6">
        <f>IF(ISERROR(VLOOKUP($U$365,'TAR FIN'!$A$1:$O$100,15,0)),0,VLOOKUP($U$365,'TAR FIN'!$A$1:$O$100,15,0))</f>
        <v>203.57</v>
      </c>
      <c r="Y365" s="6"/>
      <c r="Z365" s="6">
        <f ca="1">('TUSD BE'!$AM$43+'TUSD BF'!$AM$43+'TUSD CVA'!$AM$43)*(1-CUSTOS!$M$38)</f>
        <v>268.50633429802321</v>
      </c>
      <c r="AA365" s="6">
        <f>('TE BE'!$AA$26+'TE BF'!$AA$26+'TE CVA'!$AA$26)*(1-CUSTOS!$M$38)</f>
        <v>235.74605718547673</v>
      </c>
      <c r="AB365" s="6">
        <f t="shared" si="20"/>
        <v>0</v>
      </c>
      <c r="AC365" s="6">
        <f>(L365-M365)*(W365+X365)+($W$170+$X$170-$W$365-$X$365)*(L365)</f>
        <v>10348.450800000002</v>
      </c>
      <c r="AD365" s="6">
        <f t="shared" si="21"/>
        <v>0</v>
      </c>
      <c r="AE365" s="6">
        <f ca="1">(L365-M365)*(Z365+AA365)+($Z$170+$AA$170-$Z$365-$AA$365)*(L365)</f>
        <v>5367.9061814075785</v>
      </c>
      <c r="AF365" s="4" t="s">
        <v>914</v>
      </c>
    </row>
    <row r="366" spans="1:32" ht="11.25" customHeight="1" x14ac:dyDescent="0.25">
      <c r="A366" s="4" t="s">
        <v>28</v>
      </c>
      <c r="B366" s="4" t="s">
        <v>43</v>
      </c>
      <c r="C366" s="4" t="s">
        <v>23</v>
      </c>
      <c r="D366" s="4" t="s">
        <v>44</v>
      </c>
      <c r="E366" s="4" t="s">
        <v>52</v>
      </c>
      <c r="F366" s="4" t="s">
        <v>53</v>
      </c>
      <c r="G366" s="4" t="s">
        <v>25</v>
      </c>
      <c r="H366" s="4" t="s">
        <v>25</v>
      </c>
      <c r="I366" s="5">
        <v>44440</v>
      </c>
      <c r="J366" s="6">
        <v>0</v>
      </c>
      <c r="K366" s="6">
        <v>0</v>
      </c>
      <c r="L366" s="6">
        <v>0.84199999999999997</v>
      </c>
      <c r="M366" s="6">
        <v>0.84199999999999997</v>
      </c>
      <c r="N366" s="6">
        <v>0.84199999999999997</v>
      </c>
      <c r="O366" s="6">
        <v>0.84199999999999997</v>
      </c>
      <c r="P366" s="6">
        <v>0</v>
      </c>
      <c r="Q366" s="4" t="s">
        <v>26</v>
      </c>
      <c r="R366" s="4">
        <v>0</v>
      </c>
      <c r="S366" s="4">
        <v>0</v>
      </c>
      <c r="T366" s="4">
        <v>46</v>
      </c>
      <c r="U366" s="4">
        <v>99</v>
      </c>
      <c r="V366" s="6">
        <f>IF(ISERROR(VLOOKUP($S$366,'TAR FIN'!$A$1:$O$100,15,0)),0,VLOOKUP($S$366,'TAR FIN'!$A$1:$O$100,15,0))</f>
        <v>0</v>
      </c>
      <c r="W366" s="6">
        <f>IF(ISERROR(VLOOKUP($T$366,'TAR FIN'!$A$1:$O$100,15,0)),0,VLOOKUP($T$366,'TAR FIN'!$A$1:$O$100,15,0))</f>
        <v>251.46</v>
      </c>
      <c r="X366" s="6">
        <f>IF(ISERROR(VLOOKUP($U$366,'TAR FIN'!$A$1:$O$100,15,0)),0,VLOOKUP($U$366,'TAR FIN'!$A$1:$O$100,15,0))</f>
        <v>203.57</v>
      </c>
      <c r="Y366" s="6"/>
      <c r="Z366" s="6">
        <f ca="1">('TUSD BE'!$AM$43+'TUSD BF'!$AM$43+'TUSD CVA'!$AM$43)*(1-CUSTOS!$M$38)</f>
        <v>268.50633429802321</v>
      </c>
      <c r="AA366" s="6">
        <f>('TE BE'!$AA$26+'TE BF'!$AA$26+'TE CVA'!$AA$26)*(1-CUSTOS!$M$38)</f>
        <v>235.74605718547673</v>
      </c>
      <c r="AB366" s="6">
        <f t="shared" si="20"/>
        <v>0</v>
      </c>
      <c r="AC366" s="6">
        <f>(L366-M366)*(W366+X366)+($W$170+$X$170-$W$366-$X$366)*(L366)</f>
        <v>52.246100000000006</v>
      </c>
      <c r="AD366" s="6">
        <f t="shared" si="21"/>
        <v>0</v>
      </c>
      <c r="AE366" s="6">
        <f ca="1">(L366-M366)*(Z366+AA366)+($Z$170+$AA$170-$Z$366-$AA$366)*(L366)</f>
        <v>27.10088384866636</v>
      </c>
      <c r="AF366" s="4" t="s">
        <v>914</v>
      </c>
    </row>
    <row r="367" spans="1:32" ht="11.25" customHeight="1" x14ac:dyDescent="0.25">
      <c r="A367" s="4" t="s">
        <v>21</v>
      </c>
      <c r="B367" s="4" t="s">
        <v>43</v>
      </c>
      <c r="C367" s="4" t="s">
        <v>23</v>
      </c>
      <c r="D367" s="4" t="s">
        <v>44</v>
      </c>
      <c r="E367" s="4" t="s">
        <v>52</v>
      </c>
      <c r="F367" s="4" t="s">
        <v>53</v>
      </c>
      <c r="G367" s="4" t="s">
        <v>25</v>
      </c>
      <c r="H367" s="4" t="s">
        <v>25</v>
      </c>
      <c r="I367" s="5">
        <v>44470</v>
      </c>
      <c r="J367" s="6">
        <v>0</v>
      </c>
      <c r="K367" s="6">
        <v>0</v>
      </c>
      <c r="L367" s="6">
        <v>152.21600000000001</v>
      </c>
      <c r="M367" s="6">
        <v>152.21600000000001</v>
      </c>
      <c r="N367" s="6">
        <v>152.21600000000001</v>
      </c>
      <c r="O367" s="6">
        <v>152.21600000000001</v>
      </c>
      <c r="P367" s="6">
        <v>0</v>
      </c>
      <c r="Q367" s="4" t="s">
        <v>26</v>
      </c>
      <c r="R367" s="4">
        <v>0</v>
      </c>
      <c r="S367" s="4">
        <v>0</v>
      </c>
      <c r="T367" s="4">
        <v>46</v>
      </c>
      <c r="U367" s="4">
        <v>99</v>
      </c>
      <c r="V367" s="6">
        <f>IF(ISERROR(VLOOKUP($S$367,'TAR FIN'!$A$1:$O$100,15,0)),0,VLOOKUP($S$367,'TAR FIN'!$A$1:$O$100,15,0))</f>
        <v>0</v>
      </c>
      <c r="W367" s="6">
        <f>IF(ISERROR(VLOOKUP($T$367,'TAR FIN'!$A$1:$O$100,15,0)),0,VLOOKUP($T$367,'TAR FIN'!$A$1:$O$100,15,0))</f>
        <v>251.46</v>
      </c>
      <c r="X367" s="6">
        <f>IF(ISERROR(VLOOKUP($U$367,'TAR FIN'!$A$1:$O$100,15,0)),0,VLOOKUP($U$367,'TAR FIN'!$A$1:$O$100,15,0))</f>
        <v>203.57</v>
      </c>
      <c r="Y367" s="6"/>
      <c r="Z367" s="6">
        <f ca="1">('TUSD BE'!$AM$43+'TUSD BF'!$AM$43+'TUSD CVA'!$AM$43)*(1-CUSTOS!$M$38)</f>
        <v>268.50633429802321</v>
      </c>
      <c r="AA367" s="6">
        <f>('TE BE'!$AA$26+'TE BF'!$AA$26+'TE CVA'!$AA$26)*(1-CUSTOS!$M$38)</f>
        <v>235.74605718547673</v>
      </c>
      <c r="AB367" s="6">
        <f t="shared" si="20"/>
        <v>0</v>
      </c>
      <c r="AC367" s="6">
        <f>(L367-M367)*(W367+X367)+($W$170+$X$170-$W$367-$X$367)*(L367)</f>
        <v>9445.002800000002</v>
      </c>
      <c r="AD367" s="6">
        <f t="shared" si="21"/>
        <v>0</v>
      </c>
      <c r="AE367" s="6">
        <f ca="1">(L367-M367)*(Z367+AA367)+($Z$170+$AA$170-$Z$367-$AA$367)*(L367)</f>
        <v>4899.273320556531</v>
      </c>
      <c r="AF367" s="4" t="s">
        <v>914</v>
      </c>
    </row>
    <row r="368" spans="1:32" ht="11.25" customHeight="1" x14ac:dyDescent="0.25">
      <c r="A368" s="4" t="s">
        <v>27</v>
      </c>
      <c r="B368" s="4" t="s">
        <v>43</v>
      </c>
      <c r="C368" s="4" t="s">
        <v>23</v>
      </c>
      <c r="D368" s="4" t="s">
        <v>44</v>
      </c>
      <c r="E368" s="4" t="s">
        <v>52</v>
      </c>
      <c r="F368" s="4" t="s">
        <v>53</v>
      </c>
      <c r="G368" s="4" t="s">
        <v>25</v>
      </c>
      <c r="H368" s="4" t="s">
        <v>25</v>
      </c>
      <c r="I368" s="5">
        <v>44470</v>
      </c>
      <c r="J368" s="6">
        <v>0</v>
      </c>
      <c r="K368" s="6">
        <v>0</v>
      </c>
      <c r="L368" s="6">
        <v>-1.073</v>
      </c>
      <c r="M368" s="6">
        <v>-1.073</v>
      </c>
      <c r="N368" s="6">
        <v>-1.073</v>
      </c>
      <c r="O368" s="6">
        <v>-1.073</v>
      </c>
      <c r="P368" s="6">
        <v>0</v>
      </c>
      <c r="Q368" s="4" t="s">
        <v>26</v>
      </c>
      <c r="R368" s="4">
        <v>0</v>
      </c>
      <c r="S368" s="4">
        <v>0</v>
      </c>
      <c r="T368" s="4">
        <v>46</v>
      </c>
      <c r="U368" s="4">
        <v>99</v>
      </c>
      <c r="V368" s="6">
        <f>IF(ISERROR(VLOOKUP($S$368,'TAR FIN'!$A$1:$O$100,15,0)),0,VLOOKUP($S$368,'TAR FIN'!$A$1:$O$100,15,0))</f>
        <v>0</v>
      </c>
      <c r="W368" s="6">
        <f>IF(ISERROR(VLOOKUP($T$368,'TAR FIN'!$A$1:$O$100,15,0)),0,VLOOKUP($T$368,'TAR FIN'!$A$1:$O$100,15,0))</f>
        <v>251.46</v>
      </c>
      <c r="X368" s="6">
        <f>IF(ISERROR(VLOOKUP($U$368,'TAR FIN'!$A$1:$O$100,15,0)),0,VLOOKUP($U$368,'TAR FIN'!$A$1:$O$100,15,0))</f>
        <v>203.57</v>
      </c>
      <c r="Y368" s="6"/>
      <c r="Z368" s="6">
        <f ca="1">('TUSD BE'!$AM$43+'TUSD BF'!$AM$43+'TUSD CVA'!$AM$43)*(1-CUSTOS!$M$38)</f>
        <v>268.50633429802321</v>
      </c>
      <c r="AA368" s="6">
        <f>('TE BE'!$AA$26+'TE BF'!$AA$26+'TE CVA'!$AA$26)*(1-CUSTOS!$M$38)</f>
        <v>235.74605718547673</v>
      </c>
      <c r="AB368" s="6">
        <f t="shared" si="20"/>
        <v>0</v>
      </c>
      <c r="AC368" s="6">
        <f>(L368-M368)*(W368+X368)+($W$170+$X$170-$W$368-$X$368)*(L368)</f>
        <v>-66.579650000000015</v>
      </c>
      <c r="AD368" s="6">
        <f t="shared" si="21"/>
        <v>0</v>
      </c>
      <c r="AE368" s="6">
        <f ca="1">(L368-M368)*(Z368+AA368)+($Z$170+$AA$170-$Z$368-$AA$368)*(L368)</f>
        <v>-34.535924429476253</v>
      </c>
      <c r="AF368" s="4" t="s">
        <v>914</v>
      </c>
    </row>
    <row r="369" spans="1:32" ht="11.25" customHeight="1" x14ac:dyDescent="0.25">
      <c r="A369" s="4" t="s">
        <v>28</v>
      </c>
      <c r="B369" s="4" t="s">
        <v>43</v>
      </c>
      <c r="C369" s="4" t="s">
        <v>23</v>
      </c>
      <c r="D369" s="4" t="s">
        <v>44</v>
      </c>
      <c r="E369" s="4" t="s">
        <v>52</v>
      </c>
      <c r="F369" s="4" t="s">
        <v>53</v>
      </c>
      <c r="G369" s="4" t="s">
        <v>25</v>
      </c>
      <c r="H369" s="4" t="s">
        <v>25</v>
      </c>
      <c r="I369" s="5">
        <v>44470</v>
      </c>
      <c r="J369" s="6">
        <v>0</v>
      </c>
      <c r="K369" s="6">
        <v>0</v>
      </c>
      <c r="L369" s="6">
        <v>1.256</v>
      </c>
      <c r="M369" s="6">
        <v>1.256</v>
      </c>
      <c r="N369" s="6">
        <v>1.256</v>
      </c>
      <c r="O369" s="6">
        <v>1.256</v>
      </c>
      <c r="P369" s="6">
        <v>0</v>
      </c>
      <c r="Q369" s="4" t="s">
        <v>26</v>
      </c>
      <c r="R369" s="4">
        <v>0</v>
      </c>
      <c r="S369" s="4">
        <v>0</v>
      </c>
      <c r="T369" s="4">
        <v>46</v>
      </c>
      <c r="U369" s="4">
        <v>99</v>
      </c>
      <c r="V369" s="6">
        <f>IF(ISERROR(VLOOKUP($S$369,'TAR FIN'!$A$1:$O$100,15,0)),0,VLOOKUP($S$369,'TAR FIN'!$A$1:$O$100,15,0))</f>
        <v>0</v>
      </c>
      <c r="W369" s="6">
        <f>IF(ISERROR(VLOOKUP($T$369,'TAR FIN'!$A$1:$O$100,15,0)),0,VLOOKUP($T$369,'TAR FIN'!$A$1:$O$100,15,0))</f>
        <v>251.46</v>
      </c>
      <c r="X369" s="6">
        <f>IF(ISERROR(VLOOKUP($U$369,'TAR FIN'!$A$1:$O$100,15,0)),0,VLOOKUP($U$369,'TAR FIN'!$A$1:$O$100,15,0))</f>
        <v>203.57</v>
      </c>
      <c r="Y369" s="6"/>
      <c r="Z369" s="6">
        <f ca="1">('TUSD BE'!$AM$43+'TUSD BF'!$AM$43+'TUSD CVA'!$AM$43)*(1-CUSTOS!$M$38)</f>
        <v>268.50633429802321</v>
      </c>
      <c r="AA369" s="6">
        <f>('TE BE'!$AA$26+'TE BF'!$AA$26+'TE CVA'!$AA$26)*(1-CUSTOS!$M$38)</f>
        <v>235.74605718547673</v>
      </c>
      <c r="AB369" s="6">
        <f t="shared" si="20"/>
        <v>0</v>
      </c>
      <c r="AC369" s="6">
        <f>(L369-M369)*(W369+X369)+($W$170+$X$170-$W$369-$X$369)*(L369)</f>
        <v>77.93480000000001</v>
      </c>
      <c r="AD369" s="6">
        <f t="shared" si="21"/>
        <v>0</v>
      </c>
      <c r="AE369" s="6">
        <f ca="1">(L369-M369)*(Z369+AA369)+($Z$170+$AA$170-$Z$369-$AA$369)*(L369)</f>
        <v>40.426021512974998</v>
      </c>
      <c r="AF369" s="4" t="s">
        <v>914</v>
      </c>
    </row>
    <row r="370" spans="1:32" ht="11.25" customHeight="1" x14ac:dyDescent="0.25">
      <c r="A370" s="4" t="s">
        <v>21</v>
      </c>
      <c r="B370" s="4" t="s">
        <v>43</v>
      </c>
      <c r="C370" s="4" t="s">
        <v>23</v>
      </c>
      <c r="D370" s="4" t="s">
        <v>44</v>
      </c>
      <c r="E370" s="4" t="s">
        <v>52</v>
      </c>
      <c r="F370" s="4" t="s">
        <v>53</v>
      </c>
      <c r="G370" s="4" t="s">
        <v>25</v>
      </c>
      <c r="H370" s="4" t="s">
        <v>25</v>
      </c>
      <c r="I370" s="5">
        <v>44501</v>
      </c>
      <c r="J370" s="6">
        <v>0</v>
      </c>
      <c r="K370" s="6">
        <v>0</v>
      </c>
      <c r="L370" s="6">
        <v>135.41900000000001</v>
      </c>
      <c r="M370" s="6">
        <v>135.41900000000001</v>
      </c>
      <c r="N370" s="6">
        <v>135.41900000000001</v>
      </c>
      <c r="O370" s="6">
        <v>135.41900000000001</v>
      </c>
      <c r="P370" s="6">
        <v>0</v>
      </c>
      <c r="Q370" s="4" t="s">
        <v>26</v>
      </c>
      <c r="R370" s="4">
        <v>0</v>
      </c>
      <c r="S370" s="4">
        <v>0</v>
      </c>
      <c r="T370" s="4">
        <v>46</v>
      </c>
      <c r="U370" s="4">
        <v>99</v>
      </c>
      <c r="V370" s="6">
        <f>IF(ISERROR(VLOOKUP($S$370,'TAR FIN'!$A$1:$O$100,15,0)),0,VLOOKUP($S$370,'TAR FIN'!$A$1:$O$100,15,0))</f>
        <v>0</v>
      </c>
      <c r="W370" s="6">
        <f>IF(ISERROR(VLOOKUP($T$370,'TAR FIN'!$A$1:$O$100,15,0)),0,VLOOKUP($T$370,'TAR FIN'!$A$1:$O$100,15,0))</f>
        <v>251.46</v>
      </c>
      <c r="X370" s="6">
        <f>IF(ISERROR(VLOOKUP($U$370,'TAR FIN'!$A$1:$O$100,15,0)),0,VLOOKUP($U$370,'TAR FIN'!$A$1:$O$100,15,0))</f>
        <v>203.57</v>
      </c>
      <c r="Y370" s="6"/>
      <c r="Z370" s="6">
        <f ca="1">('TUSD BE'!$AM$43+'TUSD BF'!$AM$43+'TUSD CVA'!$AM$43)*(1-CUSTOS!$M$38)</f>
        <v>268.50633429802321</v>
      </c>
      <c r="AA370" s="6">
        <f>('TE BE'!$AA$26+'TE BF'!$AA$26+'TE CVA'!$AA$26)*(1-CUSTOS!$M$38)</f>
        <v>235.74605718547673</v>
      </c>
      <c r="AB370" s="6">
        <f t="shared" si="20"/>
        <v>0</v>
      </c>
      <c r="AC370" s="6">
        <f>(L370-M370)*(W370+X370)+($W$170+$X$170-$W$370-$X$370)*(L370)</f>
        <v>8402.7489500000029</v>
      </c>
      <c r="AD370" s="6">
        <f t="shared" si="21"/>
        <v>0</v>
      </c>
      <c r="AE370" s="6">
        <f ca="1">(L370-M370)*(Z370+AA370)+($Z$170+$AA$170-$Z$370-$AA$370)*(L370)</f>
        <v>4358.6396554662115</v>
      </c>
      <c r="AF370" s="4" t="s">
        <v>914</v>
      </c>
    </row>
    <row r="371" spans="1:32" ht="11.25" customHeight="1" x14ac:dyDescent="0.25">
      <c r="A371" s="4" t="s">
        <v>27</v>
      </c>
      <c r="B371" s="4" t="s">
        <v>43</v>
      </c>
      <c r="C371" s="4" t="s">
        <v>23</v>
      </c>
      <c r="D371" s="4" t="s">
        <v>44</v>
      </c>
      <c r="E371" s="4" t="s">
        <v>52</v>
      </c>
      <c r="F371" s="4" t="s">
        <v>53</v>
      </c>
      <c r="G371" s="4" t="s">
        <v>25</v>
      </c>
      <c r="H371" s="4" t="s">
        <v>25</v>
      </c>
      <c r="I371" s="5">
        <v>44501</v>
      </c>
      <c r="J371" s="6">
        <v>0</v>
      </c>
      <c r="K371" s="6">
        <v>0</v>
      </c>
      <c r="L371" s="6">
        <v>-2.5099999999999998</v>
      </c>
      <c r="M371" s="6">
        <v>-2.5099999999999998</v>
      </c>
      <c r="N371" s="6">
        <v>-2.5099999999999998</v>
      </c>
      <c r="O371" s="6">
        <v>-2.5099999999999998</v>
      </c>
      <c r="P371" s="6">
        <v>0</v>
      </c>
      <c r="Q371" s="4" t="s">
        <v>26</v>
      </c>
      <c r="R371" s="4">
        <v>0</v>
      </c>
      <c r="S371" s="4">
        <v>0</v>
      </c>
      <c r="T371" s="4">
        <v>46</v>
      </c>
      <c r="U371" s="4">
        <v>99</v>
      </c>
      <c r="V371" s="6">
        <f>IF(ISERROR(VLOOKUP($S$371,'TAR FIN'!$A$1:$O$100,15,0)),0,VLOOKUP($S$371,'TAR FIN'!$A$1:$O$100,15,0))</f>
        <v>0</v>
      </c>
      <c r="W371" s="6">
        <f>IF(ISERROR(VLOOKUP($T$371,'TAR FIN'!$A$1:$O$100,15,0)),0,VLOOKUP($T$371,'TAR FIN'!$A$1:$O$100,15,0))</f>
        <v>251.46</v>
      </c>
      <c r="X371" s="6">
        <f>IF(ISERROR(VLOOKUP($U$371,'TAR FIN'!$A$1:$O$100,15,0)),0,VLOOKUP($U$371,'TAR FIN'!$A$1:$O$100,15,0))</f>
        <v>203.57</v>
      </c>
      <c r="Y371" s="6"/>
      <c r="Z371" s="6">
        <f ca="1">('TUSD BE'!$AM$43+'TUSD BF'!$AM$43+'TUSD CVA'!$AM$43)*(1-CUSTOS!$M$38)</f>
        <v>268.50633429802321</v>
      </c>
      <c r="AA371" s="6">
        <f>('TE BE'!$AA$26+'TE BF'!$AA$26+'TE CVA'!$AA$26)*(1-CUSTOS!$M$38)</f>
        <v>235.74605718547673</v>
      </c>
      <c r="AB371" s="6">
        <f t="shared" si="20"/>
        <v>0</v>
      </c>
      <c r="AC371" s="6">
        <f>(L371-M371)*(W371+X371)+($W$170+$X$170-$W$371-$X$371)*(L371)</f>
        <v>-155.74550000000002</v>
      </c>
      <c r="AD371" s="6">
        <f t="shared" si="21"/>
        <v>0</v>
      </c>
      <c r="AE371" s="6">
        <f ca="1">(L371-M371)*(Z371+AA371)+($Z$170+$AA$170-$Z$371-$AA$371)*(L371)</f>
        <v>-80.787670380228704</v>
      </c>
      <c r="AF371" s="4" t="s">
        <v>914</v>
      </c>
    </row>
    <row r="372" spans="1:32" ht="11.25" customHeight="1" x14ac:dyDescent="0.25">
      <c r="A372" s="4" t="s">
        <v>28</v>
      </c>
      <c r="B372" s="4" t="s">
        <v>43</v>
      </c>
      <c r="C372" s="4" t="s">
        <v>23</v>
      </c>
      <c r="D372" s="4" t="s">
        <v>44</v>
      </c>
      <c r="E372" s="4" t="s">
        <v>52</v>
      </c>
      <c r="F372" s="4" t="s">
        <v>53</v>
      </c>
      <c r="G372" s="4" t="s">
        <v>25</v>
      </c>
      <c r="H372" s="4" t="s">
        <v>25</v>
      </c>
      <c r="I372" s="5">
        <v>44501</v>
      </c>
      <c r="J372" s="6">
        <v>0</v>
      </c>
      <c r="K372" s="6">
        <v>0</v>
      </c>
      <c r="L372" s="6">
        <v>0.80700000000000005</v>
      </c>
      <c r="M372" s="6">
        <v>0.80700000000000005</v>
      </c>
      <c r="N372" s="6">
        <v>0.80700000000000005</v>
      </c>
      <c r="O372" s="6">
        <v>0.80700000000000005</v>
      </c>
      <c r="P372" s="6">
        <v>0</v>
      </c>
      <c r="Q372" s="4" t="s">
        <v>26</v>
      </c>
      <c r="R372" s="4">
        <v>0</v>
      </c>
      <c r="S372" s="4">
        <v>0</v>
      </c>
      <c r="T372" s="4">
        <v>46</v>
      </c>
      <c r="U372" s="4">
        <v>99</v>
      </c>
      <c r="V372" s="6">
        <f>IF(ISERROR(VLOOKUP($S$372,'TAR FIN'!$A$1:$O$100,15,0)),0,VLOOKUP($S$372,'TAR FIN'!$A$1:$O$100,15,0))</f>
        <v>0</v>
      </c>
      <c r="W372" s="6">
        <f>IF(ISERROR(VLOOKUP($T$372,'TAR FIN'!$A$1:$O$100,15,0)),0,VLOOKUP($T$372,'TAR FIN'!$A$1:$O$100,15,0))</f>
        <v>251.46</v>
      </c>
      <c r="X372" s="6">
        <f>IF(ISERROR(VLOOKUP($U$372,'TAR FIN'!$A$1:$O$100,15,0)),0,VLOOKUP($U$372,'TAR FIN'!$A$1:$O$100,15,0))</f>
        <v>203.57</v>
      </c>
      <c r="Y372" s="6"/>
      <c r="Z372" s="6">
        <f ca="1">('TUSD BE'!$AM$43+'TUSD BF'!$AM$43+'TUSD CVA'!$AM$43)*(1-CUSTOS!$M$38)</f>
        <v>268.50633429802321</v>
      </c>
      <c r="AA372" s="6">
        <f>('TE BE'!$AA$26+'TE BF'!$AA$26+'TE CVA'!$AA$26)*(1-CUSTOS!$M$38)</f>
        <v>235.74605718547673</v>
      </c>
      <c r="AB372" s="6">
        <f t="shared" si="20"/>
        <v>0</v>
      </c>
      <c r="AC372" s="6">
        <f>(L372-M372)*(W372+X372)+($W$170+$X$170-$W$372-$X$372)*(L372)</f>
        <v>50.07435000000001</v>
      </c>
      <c r="AD372" s="6">
        <f t="shared" si="21"/>
        <v>0</v>
      </c>
      <c r="AE372" s="6">
        <f ca="1">(L372-M372)*(Z372+AA372)+($Z$170+$AA$170-$Z$372-$AA$372)*(L372)</f>
        <v>25.974362548543652</v>
      </c>
      <c r="AF372" s="4" t="s">
        <v>914</v>
      </c>
    </row>
    <row r="373" spans="1:32" ht="11.25" customHeight="1" x14ac:dyDescent="0.25">
      <c r="A373" s="4" t="s">
        <v>21</v>
      </c>
      <c r="B373" s="4" t="s">
        <v>43</v>
      </c>
      <c r="C373" s="4" t="s">
        <v>23</v>
      </c>
      <c r="D373" s="4" t="s">
        <v>44</v>
      </c>
      <c r="E373" s="4" t="s">
        <v>52</v>
      </c>
      <c r="F373" s="4" t="s">
        <v>53</v>
      </c>
      <c r="G373" s="4" t="s">
        <v>25</v>
      </c>
      <c r="H373" s="4" t="s">
        <v>25</v>
      </c>
      <c r="I373" s="5">
        <v>44531</v>
      </c>
      <c r="J373" s="6">
        <v>0</v>
      </c>
      <c r="K373" s="6">
        <v>0</v>
      </c>
      <c r="L373" s="6">
        <v>164.58699999999999</v>
      </c>
      <c r="M373" s="6">
        <v>164.58699999999999</v>
      </c>
      <c r="N373" s="6">
        <v>164.58699999999999</v>
      </c>
      <c r="O373" s="6">
        <v>164.58699999999999</v>
      </c>
      <c r="P373" s="6">
        <v>0</v>
      </c>
      <c r="Q373" s="4" t="s">
        <v>26</v>
      </c>
      <c r="R373" s="4">
        <v>0</v>
      </c>
      <c r="S373" s="4">
        <v>0</v>
      </c>
      <c r="T373" s="4">
        <v>46</v>
      </c>
      <c r="U373" s="4">
        <v>99</v>
      </c>
      <c r="V373" s="6">
        <f>IF(ISERROR(VLOOKUP($S$373,'TAR FIN'!$A$1:$O$100,15,0)),0,VLOOKUP($S$373,'TAR FIN'!$A$1:$O$100,15,0))</f>
        <v>0</v>
      </c>
      <c r="W373" s="6">
        <f>IF(ISERROR(VLOOKUP($T$373,'TAR FIN'!$A$1:$O$100,15,0)),0,VLOOKUP($T$373,'TAR FIN'!$A$1:$O$100,15,0))</f>
        <v>251.46</v>
      </c>
      <c r="X373" s="6">
        <f>IF(ISERROR(VLOOKUP($U$373,'TAR FIN'!$A$1:$O$100,15,0)),0,VLOOKUP($U$373,'TAR FIN'!$A$1:$O$100,15,0))</f>
        <v>203.57</v>
      </c>
      <c r="Y373" s="6"/>
      <c r="Z373" s="6">
        <f ca="1">('TUSD BE'!$AM$43+'TUSD BF'!$AM$43+'TUSD CVA'!$AM$43)*(1-CUSTOS!$M$38)</f>
        <v>268.50633429802321</v>
      </c>
      <c r="AA373" s="6">
        <f>('TE BE'!$AA$26+'TE BF'!$AA$26+'TE CVA'!$AA$26)*(1-CUSTOS!$M$38)</f>
        <v>235.74605718547673</v>
      </c>
      <c r="AB373" s="6">
        <f t="shared" si="20"/>
        <v>0</v>
      </c>
      <c r="AC373" s="6">
        <f>(L373-M373)*(W373+X373)+($W$170+$X$170-$W$373-$X$373)*(L373)</f>
        <v>10212.623350000002</v>
      </c>
      <c r="AD373" s="6">
        <f t="shared" si="21"/>
        <v>0</v>
      </c>
      <c r="AE373" s="6">
        <f ca="1">(L373-M373)*(Z373+AA373)+($Z$170+$AA$170-$Z$373-$AA$373)*(L373)</f>
        <v>5297.4503206656182</v>
      </c>
      <c r="AF373" s="4" t="s">
        <v>914</v>
      </c>
    </row>
    <row r="374" spans="1:32" ht="11.25" customHeight="1" x14ac:dyDescent="0.25">
      <c r="A374" s="4" t="s">
        <v>28</v>
      </c>
      <c r="B374" s="4" t="s">
        <v>43</v>
      </c>
      <c r="C374" s="4" t="s">
        <v>23</v>
      </c>
      <c r="D374" s="4" t="s">
        <v>44</v>
      </c>
      <c r="E374" s="4" t="s">
        <v>52</v>
      </c>
      <c r="F374" s="4" t="s">
        <v>53</v>
      </c>
      <c r="G374" s="4" t="s">
        <v>25</v>
      </c>
      <c r="H374" s="4" t="s">
        <v>25</v>
      </c>
      <c r="I374" s="5">
        <v>44531</v>
      </c>
      <c r="J374" s="6">
        <v>0</v>
      </c>
      <c r="K374" s="6">
        <v>0</v>
      </c>
      <c r="L374" s="6">
        <v>1.4810000000000001</v>
      </c>
      <c r="M374" s="6">
        <v>1.4810000000000001</v>
      </c>
      <c r="N374" s="6">
        <v>1.4810000000000001</v>
      </c>
      <c r="O374" s="6">
        <v>1.4810000000000001</v>
      </c>
      <c r="P374" s="6">
        <v>0</v>
      </c>
      <c r="Q374" s="4" t="s">
        <v>26</v>
      </c>
      <c r="R374" s="4">
        <v>0</v>
      </c>
      <c r="S374" s="4">
        <v>0</v>
      </c>
      <c r="T374" s="4">
        <v>46</v>
      </c>
      <c r="U374" s="4">
        <v>99</v>
      </c>
      <c r="V374" s="6">
        <f>IF(ISERROR(VLOOKUP($S$374,'TAR FIN'!$A$1:$O$100,15,0)),0,VLOOKUP($S$374,'TAR FIN'!$A$1:$O$100,15,0))</f>
        <v>0</v>
      </c>
      <c r="W374" s="6">
        <f>IF(ISERROR(VLOOKUP($T$374,'TAR FIN'!$A$1:$O$100,15,0)),0,VLOOKUP($T$374,'TAR FIN'!$A$1:$O$100,15,0))</f>
        <v>251.46</v>
      </c>
      <c r="X374" s="6">
        <f>IF(ISERROR(VLOOKUP($U$374,'TAR FIN'!$A$1:$O$100,15,0)),0,VLOOKUP($U$374,'TAR FIN'!$A$1:$O$100,15,0))</f>
        <v>203.57</v>
      </c>
      <c r="Y374" s="6"/>
      <c r="Z374" s="6">
        <f ca="1">('TUSD BE'!$AM$43+'TUSD BF'!$AM$43+'TUSD CVA'!$AM$43)*(1-CUSTOS!$M$38)</f>
        <v>268.50633429802321</v>
      </c>
      <c r="AA374" s="6">
        <f>('TE BE'!$AA$26+'TE BF'!$AA$26+'TE CVA'!$AA$26)*(1-CUSTOS!$M$38)</f>
        <v>235.74605718547673</v>
      </c>
      <c r="AB374" s="6">
        <f t="shared" si="20"/>
        <v>0</v>
      </c>
      <c r="AC374" s="6">
        <f>(L374-M374)*(W374+X374)+($W$170+$X$170-$W$374-$X$374)*(L374)</f>
        <v>91.896050000000017</v>
      </c>
      <c r="AD374" s="6">
        <f t="shared" si="21"/>
        <v>0</v>
      </c>
      <c r="AE374" s="6">
        <f ca="1">(L374-M374)*(Z374+AA374)+($Z$170+$AA$170-$Z$374-$AA$374)*(L374)</f>
        <v>47.667944156621004</v>
      </c>
      <c r="AF374" s="4" t="s">
        <v>914</v>
      </c>
    </row>
    <row r="375" spans="1:32" ht="11.25" customHeight="1" x14ac:dyDescent="0.25">
      <c r="A375" s="4" t="s">
        <v>55</v>
      </c>
      <c r="B375" s="4" t="s">
        <v>43</v>
      </c>
      <c r="C375" s="4" t="s">
        <v>23</v>
      </c>
      <c r="D375" s="4" t="s">
        <v>44</v>
      </c>
      <c r="E375" s="4" t="s">
        <v>52</v>
      </c>
      <c r="F375" s="4" t="s">
        <v>53</v>
      </c>
      <c r="G375" s="4" t="s">
        <v>25</v>
      </c>
      <c r="H375" s="4" t="s">
        <v>25</v>
      </c>
      <c r="I375" s="5">
        <v>44562</v>
      </c>
      <c r="J375" s="6">
        <v>0</v>
      </c>
      <c r="K375" s="6">
        <v>0</v>
      </c>
      <c r="L375" s="6">
        <v>164.58699999999999</v>
      </c>
      <c r="M375" s="6">
        <v>164.58699999999999</v>
      </c>
      <c r="N375" s="6">
        <v>164.58699999999999</v>
      </c>
      <c r="O375" s="6">
        <v>164.58699999999999</v>
      </c>
      <c r="P375" s="6">
        <v>0</v>
      </c>
      <c r="Q375" s="4" t="s">
        <v>26</v>
      </c>
      <c r="R375" s="4">
        <v>0</v>
      </c>
      <c r="S375" s="4">
        <v>0</v>
      </c>
      <c r="T375" s="4">
        <v>46</v>
      </c>
      <c r="U375" s="4">
        <v>99</v>
      </c>
      <c r="V375" s="6">
        <f>IF(ISERROR(VLOOKUP($S$375,'TAR FIN'!$A$1:$O$100,15,0)),0,VLOOKUP($S$375,'TAR FIN'!$A$1:$O$100,15,0))</f>
        <v>0</v>
      </c>
      <c r="W375" s="6">
        <f>IF(ISERROR(VLOOKUP($T$375,'TAR FIN'!$A$1:$O$100,15,0)),0,VLOOKUP($T$375,'TAR FIN'!$A$1:$O$100,15,0))</f>
        <v>251.46</v>
      </c>
      <c r="X375" s="6">
        <f>IF(ISERROR(VLOOKUP($U$375,'TAR FIN'!$A$1:$O$100,15,0)),0,VLOOKUP($U$375,'TAR FIN'!$A$1:$O$100,15,0))</f>
        <v>203.57</v>
      </c>
      <c r="Y375" s="6"/>
      <c r="Z375" s="6">
        <f ca="1">('TUSD BE'!$AM$43+'TUSD BF'!$AM$43+'TUSD CVA'!$AM$43)*(1-CUSTOS!$M$38)</f>
        <v>268.50633429802321</v>
      </c>
      <c r="AA375" s="6">
        <f>('TE BE'!$AA$26+'TE BF'!$AA$26+'TE CVA'!$AA$26)*(1-CUSTOS!$M$38)</f>
        <v>235.74605718547673</v>
      </c>
      <c r="AB375" s="6">
        <f t="shared" si="20"/>
        <v>0</v>
      </c>
      <c r="AC375" s="6">
        <f>(L375-M375)*(W375+X375)+($W$170+$X$170-$W$375-$X$375)*(L375)</f>
        <v>10212.623350000002</v>
      </c>
      <c r="AD375" s="6">
        <f t="shared" si="21"/>
        <v>0</v>
      </c>
      <c r="AE375" s="6">
        <f ca="1">(L375-M375)*(Z375+AA375)+($Z$170+$AA$170-$Z$375-$AA$375)*(L375)</f>
        <v>5297.4503206656182</v>
      </c>
      <c r="AF375" s="4" t="s">
        <v>914</v>
      </c>
    </row>
    <row r="376" spans="1:32" ht="11.25" customHeight="1" x14ac:dyDescent="0.25">
      <c r="A376" s="4" t="s">
        <v>55</v>
      </c>
      <c r="B376" s="4" t="s">
        <v>43</v>
      </c>
      <c r="C376" s="4" t="s">
        <v>23</v>
      </c>
      <c r="D376" s="4" t="s">
        <v>44</v>
      </c>
      <c r="E376" s="4" t="s">
        <v>52</v>
      </c>
      <c r="F376" s="4" t="s">
        <v>53</v>
      </c>
      <c r="G376" s="4" t="s">
        <v>25</v>
      </c>
      <c r="H376" s="4" t="s">
        <v>25</v>
      </c>
      <c r="I376" s="5">
        <v>44562</v>
      </c>
      <c r="J376" s="6">
        <v>0</v>
      </c>
      <c r="K376" s="6">
        <v>0</v>
      </c>
      <c r="L376" s="6">
        <v>1.4810000000000001</v>
      </c>
      <c r="M376" s="6">
        <v>1.4810000000000001</v>
      </c>
      <c r="N376" s="6">
        <v>1.4810000000000001</v>
      </c>
      <c r="O376" s="6">
        <v>1.4810000000000001</v>
      </c>
      <c r="P376" s="6">
        <v>0</v>
      </c>
      <c r="Q376" s="4" t="s">
        <v>26</v>
      </c>
      <c r="R376" s="4">
        <v>0</v>
      </c>
      <c r="S376" s="4">
        <v>0</v>
      </c>
      <c r="T376" s="4">
        <v>46</v>
      </c>
      <c r="U376" s="4">
        <v>99</v>
      </c>
      <c r="V376" s="6">
        <f>IF(ISERROR(VLOOKUP($S$376,'TAR FIN'!$A$1:$O$100,15,0)),0,VLOOKUP($S$376,'TAR FIN'!$A$1:$O$100,15,0))</f>
        <v>0</v>
      </c>
      <c r="W376" s="6">
        <f>IF(ISERROR(VLOOKUP($T$376,'TAR FIN'!$A$1:$O$100,15,0)),0,VLOOKUP($T$376,'TAR FIN'!$A$1:$O$100,15,0))</f>
        <v>251.46</v>
      </c>
      <c r="X376" s="6">
        <f>IF(ISERROR(VLOOKUP($U$376,'TAR FIN'!$A$1:$O$100,15,0)),0,VLOOKUP($U$376,'TAR FIN'!$A$1:$O$100,15,0))</f>
        <v>203.57</v>
      </c>
      <c r="Y376" s="6"/>
      <c r="Z376" s="6">
        <f ca="1">('TUSD BE'!$AM$43+'TUSD BF'!$AM$43+'TUSD CVA'!$AM$43)*(1-CUSTOS!$M$38)</f>
        <v>268.50633429802321</v>
      </c>
      <c r="AA376" s="6">
        <f>('TE BE'!$AA$26+'TE BF'!$AA$26+'TE CVA'!$AA$26)*(1-CUSTOS!$M$38)</f>
        <v>235.74605718547673</v>
      </c>
      <c r="AB376" s="6">
        <f t="shared" si="20"/>
        <v>0</v>
      </c>
      <c r="AC376" s="6">
        <f>(L376-M376)*(W376+X376)+($W$170+$X$170-$W$376-$X$376)*(L376)</f>
        <v>91.896050000000017</v>
      </c>
      <c r="AD376" s="6">
        <f t="shared" si="21"/>
        <v>0</v>
      </c>
      <c r="AE376" s="6">
        <f ca="1">(L376-M376)*(Z376+AA376)+($Z$170+$AA$170-$Z$376-$AA$376)*(L376)</f>
        <v>47.667944156621004</v>
      </c>
      <c r="AF376" s="4" t="s">
        <v>914</v>
      </c>
    </row>
    <row r="377" spans="1:32" ht="11.25" customHeight="1" x14ac:dyDescent="0.25">
      <c r="A377" s="4" t="s">
        <v>21</v>
      </c>
      <c r="B377" s="4" t="s">
        <v>43</v>
      </c>
      <c r="C377" s="4" t="s">
        <v>23</v>
      </c>
      <c r="D377" s="4" t="s">
        <v>44</v>
      </c>
      <c r="E377" s="4" t="s">
        <v>52</v>
      </c>
      <c r="F377" s="4" t="s">
        <v>54</v>
      </c>
      <c r="G377" s="4" t="s">
        <v>25</v>
      </c>
      <c r="H377" s="4" t="s">
        <v>25</v>
      </c>
      <c r="I377" s="5">
        <v>44228</v>
      </c>
      <c r="J377" s="6">
        <v>0</v>
      </c>
      <c r="K377" s="6">
        <v>0</v>
      </c>
      <c r="L377" s="6">
        <v>185.21</v>
      </c>
      <c r="M377" s="6">
        <v>50.006700000000002</v>
      </c>
      <c r="N377" s="6">
        <v>185.21</v>
      </c>
      <c r="O377" s="6">
        <v>50.006700000000002</v>
      </c>
      <c r="P377" s="6">
        <v>0</v>
      </c>
      <c r="Q377" s="4" t="s">
        <v>26</v>
      </c>
      <c r="R377" s="4">
        <v>0</v>
      </c>
      <c r="S377" s="4">
        <v>0</v>
      </c>
      <c r="T377" s="4">
        <v>46</v>
      </c>
      <c r="U377" s="4">
        <v>99</v>
      </c>
      <c r="V377" s="6">
        <f>IF(ISERROR(VLOOKUP($S$377,'TAR FIN'!$A$1:$O$100,15,0)),0,VLOOKUP($S$377,'TAR FIN'!$A$1:$O$100,15,0))</f>
        <v>0</v>
      </c>
      <c r="W377" s="6">
        <f>IF(ISERROR(VLOOKUP($T$377,'TAR FIN'!$A$1:$O$100,15,0)),0,VLOOKUP($T$377,'TAR FIN'!$A$1:$O$100,15,0))</f>
        <v>251.46</v>
      </c>
      <c r="X377" s="6">
        <f>IF(ISERROR(VLOOKUP($U$377,'TAR FIN'!$A$1:$O$100,15,0)),0,VLOOKUP($U$377,'TAR FIN'!$A$1:$O$100,15,0))</f>
        <v>203.57</v>
      </c>
      <c r="Y377" s="6"/>
      <c r="Z377" s="6">
        <f ca="1">('TUSD BE'!$AM$43+'TUSD BF'!$AM$43+'TUSD CVA'!$AM$43)*(1-CUSTOS!$M$38)</f>
        <v>268.50633429802321</v>
      </c>
      <c r="AA377" s="6">
        <f>('TE BE'!$AA$26+'TE BF'!$AA$26+'TE CVA'!$AA$26)*(1-CUSTOS!$M$38)</f>
        <v>235.74605718547673</v>
      </c>
      <c r="AB377" s="6">
        <f t="shared" si="20"/>
        <v>0</v>
      </c>
      <c r="AC377" s="6">
        <f>(L377-M377)*(W377+X377)+($W$170+$X$170-$W$377-$X$377)*(L377)</f>
        <v>73013.838099000001</v>
      </c>
      <c r="AD377" s="6">
        <f t="shared" si="21"/>
        <v>0</v>
      </c>
      <c r="AE377" s="6">
        <f ca="1">(L377-M377)*(Z377+AA377)+($Z$170+$AA$170-$Z$377-$AA$377)*(L377)</f>
        <v>74137.816218481865</v>
      </c>
      <c r="AF377" s="4" t="s">
        <v>916</v>
      </c>
    </row>
    <row r="378" spans="1:32" ht="11.25" customHeight="1" x14ac:dyDescent="0.25">
      <c r="A378" s="4" t="s">
        <v>27</v>
      </c>
      <c r="B378" s="4" t="s">
        <v>43</v>
      </c>
      <c r="C378" s="4" t="s">
        <v>23</v>
      </c>
      <c r="D378" s="4" t="s">
        <v>44</v>
      </c>
      <c r="E378" s="4" t="s">
        <v>52</v>
      </c>
      <c r="F378" s="4" t="s">
        <v>54</v>
      </c>
      <c r="G378" s="4" t="s">
        <v>25</v>
      </c>
      <c r="H378" s="4" t="s">
        <v>25</v>
      </c>
      <c r="I378" s="5">
        <v>44228</v>
      </c>
      <c r="J378" s="6">
        <v>0</v>
      </c>
      <c r="K378" s="6">
        <v>0</v>
      </c>
      <c r="L378" s="6">
        <v>-7.484</v>
      </c>
      <c r="M378" s="6">
        <v>-2.02068</v>
      </c>
      <c r="N378" s="6">
        <v>-7.484</v>
      </c>
      <c r="O378" s="6">
        <v>-2.02068</v>
      </c>
      <c r="P378" s="6">
        <v>0</v>
      </c>
      <c r="Q378" s="4" t="s">
        <v>26</v>
      </c>
      <c r="R378" s="4">
        <v>0</v>
      </c>
      <c r="S378" s="4">
        <v>0</v>
      </c>
      <c r="T378" s="4">
        <v>46</v>
      </c>
      <c r="U378" s="4">
        <v>99</v>
      </c>
      <c r="V378" s="6">
        <f>IF(ISERROR(VLOOKUP($S$378,'TAR FIN'!$A$1:$O$100,15,0)),0,VLOOKUP($S$378,'TAR FIN'!$A$1:$O$100,15,0))</f>
        <v>0</v>
      </c>
      <c r="W378" s="6">
        <f>IF(ISERROR(VLOOKUP($T$378,'TAR FIN'!$A$1:$O$100,15,0)),0,VLOOKUP($T$378,'TAR FIN'!$A$1:$O$100,15,0))</f>
        <v>251.46</v>
      </c>
      <c r="X378" s="6">
        <f>IF(ISERROR(VLOOKUP($U$378,'TAR FIN'!$A$1:$O$100,15,0)),0,VLOOKUP($U$378,'TAR FIN'!$A$1:$O$100,15,0))</f>
        <v>203.57</v>
      </c>
      <c r="Y378" s="6"/>
      <c r="Z378" s="6">
        <f ca="1">('TUSD BE'!$AM$43+'TUSD BF'!$AM$43+'TUSD CVA'!$AM$43)*(1-CUSTOS!$M$38)</f>
        <v>268.50633429802321</v>
      </c>
      <c r="AA378" s="6">
        <f>('TE BE'!$AA$26+'TE BF'!$AA$26+'TE CVA'!$AA$26)*(1-CUSTOS!$M$38)</f>
        <v>235.74605718547673</v>
      </c>
      <c r="AB378" s="6">
        <f t="shared" si="20"/>
        <v>0</v>
      </c>
      <c r="AC378" s="6">
        <f>(L378-M378)*(W378+X378)+($W$170+$X$170-$W$378-$X$378)*(L378)</f>
        <v>-2950.3566995999995</v>
      </c>
      <c r="AD378" s="6">
        <f t="shared" si="21"/>
        <v>0</v>
      </c>
      <c r="AE378" s="6">
        <f ca="1">(L378-M378)*(Z378+AA378)+($Z$170+$AA$170-$Z$378-$AA$378)*(L378)</f>
        <v>-2995.7746157287311</v>
      </c>
      <c r="AF378" s="4" t="s">
        <v>916</v>
      </c>
    </row>
    <row r="379" spans="1:32" ht="11.25" customHeight="1" x14ac:dyDescent="0.25">
      <c r="A379" s="4" t="s">
        <v>28</v>
      </c>
      <c r="B379" s="4" t="s">
        <v>43</v>
      </c>
      <c r="C379" s="4" t="s">
        <v>23</v>
      </c>
      <c r="D379" s="4" t="s">
        <v>44</v>
      </c>
      <c r="E379" s="4" t="s">
        <v>52</v>
      </c>
      <c r="F379" s="4" t="s">
        <v>54</v>
      </c>
      <c r="G379" s="4" t="s">
        <v>25</v>
      </c>
      <c r="H379" s="4" t="s">
        <v>25</v>
      </c>
      <c r="I379" s="5">
        <v>44228</v>
      </c>
      <c r="J379" s="6">
        <v>0</v>
      </c>
      <c r="K379" s="6">
        <v>0</v>
      </c>
      <c r="L379" s="6">
        <v>0.84299999999999997</v>
      </c>
      <c r="M379" s="6">
        <v>0.22761000000000001</v>
      </c>
      <c r="N379" s="6">
        <v>0.84299999999999997</v>
      </c>
      <c r="O379" s="6">
        <v>0.22761000000000001</v>
      </c>
      <c r="P379" s="6">
        <v>0</v>
      </c>
      <c r="Q379" s="4" t="s">
        <v>26</v>
      </c>
      <c r="R379" s="4">
        <v>0</v>
      </c>
      <c r="S379" s="4">
        <v>0</v>
      </c>
      <c r="T379" s="4">
        <v>46</v>
      </c>
      <c r="U379" s="4">
        <v>99</v>
      </c>
      <c r="V379" s="6">
        <f>IF(ISERROR(VLOOKUP($S$379,'TAR FIN'!$A$1:$O$100,15,0)),0,VLOOKUP($S$379,'TAR FIN'!$A$1:$O$100,15,0))</f>
        <v>0</v>
      </c>
      <c r="W379" s="6">
        <f>IF(ISERROR(VLOOKUP($T$379,'TAR FIN'!$A$1:$O$100,15,0)),0,VLOOKUP($T$379,'TAR FIN'!$A$1:$O$100,15,0))</f>
        <v>251.46</v>
      </c>
      <c r="X379" s="6">
        <f>IF(ISERROR(VLOOKUP($U$379,'TAR FIN'!$A$1:$O$100,15,0)),0,VLOOKUP($U$379,'TAR FIN'!$A$1:$O$100,15,0))</f>
        <v>203.57</v>
      </c>
      <c r="Y379" s="6"/>
      <c r="Z379" s="6">
        <f ca="1">('TUSD BE'!$AM$43+'TUSD BF'!$AM$43+'TUSD CVA'!$AM$43)*(1-CUSTOS!$M$38)</f>
        <v>268.50633429802321</v>
      </c>
      <c r="AA379" s="6">
        <f>('TE BE'!$AA$26+'TE BF'!$AA$26+'TE CVA'!$AA$26)*(1-CUSTOS!$M$38)</f>
        <v>235.74605718547673</v>
      </c>
      <c r="AB379" s="6">
        <f t="shared" si="20"/>
        <v>0</v>
      </c>
      <c r="AC379" s="6">
        <f>(L379-M379)*(W379+X379)+($W$170+$X$170-$W$379-$X$379)*(L379)</f>
        <v>332.32906170000001</v>
      </c>
      <c r="AD379" s="6">
        <f t="shared" si="21"/>
        <v>0</v>
      </c>
      <c r="AE379" s="6">
        <f ca="1">(L379-M379)*(Z379+AA379)+($Z$170+$AA$170-$Z$379-$AA$379)*(L379)</f>
        <v>337.44494936655803</v>
      </c>
      <c r="AF379" s="4" t="s">
        <v>916</v>
      </c>
    </row>
    <row r="380" spans="1:32" ht="11.25" customHeight="1" x14ac:dyDescent="0.25">
      <c r="A380" s="4" t="s">
        <v>21</v>
      </c>
      <c r="B380" s="4" t="s">
        <v>43</v>
      </c>
      <c r="C380" s="4" t="s">
        <v>23</v>
      </c>
      <c r="D380" s="4" t="s">
        <v>44</v>
      </c>
      <c r="E380" s="4" t="s">
        <v>52</v>
      </c>
      <c r="F380" s="4" t="s">
        <v>54</v>
      </c>
      <c r="G380" s="4" t="s">
        <v>25</v>
      </c>
      <c r="H380" s="4" t="s">
        <v>25</v>
      </c>
      <c r="I380" s="5">
        <v>44256</v>
      </c>
      <c r="J380" s="6">
        <v>0</v>
      </c>
      <c r="K380" s="6">
        <v>0</v>
      </c>
      <c r="L380" s="6">
        <v>153.54300000000001</v>
      </c>
      <c r="M380" s="6">
        <v>41.456609999999998</v>
      </c>
      <c r="N380" s="6">
        <v>153.54300000000001</v>
      </c>
      <c r="O380" s="6">
        <v>41.456609999999998</v>
      </c>
      <c r="P380" s="6">
        <v>0</v>
      </c>
      <c r="Q380" s="4" t="s">
        <v>26</v>
      </c>
      <c r="R380" s="4">
        <v>0</v>
      </c>
      <c r="S380" s="4">
        <v>0</v>
      </c>
      <c r="T380" s="4">
        <v>46</v>
      </c>
      <c r="U380" s="4">
        <v>99</v>
      </c>
      <c r="V380" s="6">
        <f>IF(ISERROR(VLOOKUP($S$380,'TAR FIN'!$A$1:$O$100,15,0)),0,VLOOKUP($S$380,'TAR FIN'!$A$1:$O$100,15,0))</f>
        <v>0</v>
      </c>
      <c r="W380" s="6">
        <f>IF(ISERROR(VLOOKUP($T$380,'TAR FIN'!$A$1:$O$100,15,0)),0,VLOOKUP($T$380,'TAR FIN'!$A$1:$O$100,15,0))</f>
        <v>251.46</v>
      </c>
      <c r="X380" s="6">
        <f>IF(ISERROR(VLOOKUP($U$380,'TAR FIN'!$A$1:$O$100,15,0)),0,VLOOKUP($U$380,'TAR FIN'!$A$1:$O$100,15,0))</f>
        <v>203.57</v>
      </c>
      <c r="Y380" s="6"/>
      <c r="Z380" s="6">
        <f ca="1">('TUSD BE'!$AM$43+'TUSD BF'!$AM$43+'TUSD CVA'!$AM$43)*(1-CUSTOS!$M$38)</f>
        <v>268.50633429802321</v>
      </c>
      <c r="AA380" s="6">
        <f>('TE BE'!$AA$26+'TE BF'!$AA$26+'TE CVA'!$AA$26)*(1-CUSTOS!$M$38)</f>
        <v>235.74605718547673</v>
      </c>
      <c r="AB380" s="6">
        <f t="shared" si="20"/>
        <v>0</v>
      </c>
      <c r="AC380" s="6">
        <f>(L380-M380)*(W380+X380)+($W$170+$X$170-$W$380-$X$380)*(L380)</f>
        <v>60530.013191700004</v>
      </c>
      <c r="AD380" s="6">
        <f t="shared" si="21"/>
        <v>0</v>
      </c>
      <c r="AE380" s="6">
        <f ca="1">(L380-M380)*(Z380+AA380)+($Z$170+$AA$170-$Z$380-$AA$380)*(L380)</f>
        <v>61461.814781244873</v>
      </c>
      <c r="AF380" s="4" t="s">
        <v>916</v>
      </c>
    </row>
    <row r="381" spans="1:32" ht="11.25" customHeight="1" x14ac:dyDescent="0.25">
      <c r="A381" s="4" t="s">
        <v>28</v>
      </c>
      <c r="B381" s="4" t="s">
        <v>43</v>
      </c>
      <c r="C381" s="4" t="s">
        <v>23</v>
      </c>
      <c r="D381" s="4" t="s">
        <v>44</v>
      </c>
      <c r="E381" s="4" t="s">
        <v>52</v>
      </c>
      <c r="F381" s="4" t="s">
        <v>54</v>
      </c>
      <c r="G381" s="4" t="s">
        <v>25</v>
      </c>
      <c r="H381" s="4" t="s">
        <v>25</v>
      </c>
      <c r="I381" s="5">
        <v>44256</v>
      </c>
      <c r="J381" s="6">
        <v>0</v>
      </c>
      <c r="K381" s="6">
        <v>0</v>
      </c>
      <c r="L381" s="6">
        <v>0.498</v>
      </c>
      <c r="M381" s="6">
        <v>0.13446</v>
      </c>
      <c r="N381" s="6">
        <v>0.498</v>
      </c>
      <c r="O381" s="6">
        <v>0.13446</v>
      </c>
      <c r="P381" s="6">
        <v>0</v>
      </c>
      <c r="Q381" s="4" t="s">
        <v>26</v>
      </c>
      <c r="R381" s="4">
        <v>0</v>
      </c>
      <c r="S381" s="4">
        <v>0</v>
      </c>
      <c r="T381" s="4">
        <v>46</v>
      </c>
      <c r="U381" s="4">
        <v>99</v>
      </c>
      <c r="V381" s="6">
        <f>IF(ISERROR(VLOOKUP($S$381,'TAR FIN'!$A$1:$O$100,15,0)),0,VLOOKUP($S$381,'TAR FIN'!$A$1:$O$100,15,0))</f>
        <v>0</v>
      </c>
      <c r="W381" s="6">
        <f>IF(ISERROR(VLOOKUP($T$381,'TAR FIN'!$A$1:$O$100,15,0)),0,VLOOKUP($T$381,'TAR FIN'!$A$1:$O$100,15,0))</f>
        <v>251.46</v>
      </c>
      <c r="X381" s="6">
        <f>IF(ISERROR(VLOOKUP($U$381,'TAR FIN'!$A$1:$O$100,15,0)),0,VLOOKUP($U$381,'TAR FIN'!$A$1:$O$100,15,0))</f>
        <v>203.57</v>
      </c>
      <c r="Y381" s="6"/>
      <c r="Z381" s="6">
        <f ca="1">('TUSD BE'!$AM$43+'TUSD BF'!$AM$43+'TUSD CVA'!$AM$43)*(1-CUSTOS!$M$38)</f>
        <v>268.50633429802321</v>
      </c>
      <c r="AA381" s="6">
        <f>('TE BE'!$AA$26+'TE BF'!$AA$26+'TE CVA'!$AA$26)*(1-CUSTOS!$M$38)</f>
        <v>235.74605718547673</v>
      </c>
      <c r="AB381" s="6">
        <f t="shared" si="20"/>
        <v>0</v>
      </c>
      <c r="AC381" s="6">
        <f>(L381-M381)*(W381+X381)+($W$170+$X$170-$W$381-$X$381)*(L381)</f>
        <v>196.32250619999999</v>
      </c>
      <c r="AD381" s="6">
        <f t="shared" si="21"/>
        <v>0</v>
      </c>
      <c r="AE381" s="6">
        <f ca="1">(L381-M381)*(Z381+AA381)+($Z$170+$AA$170-$Z$381-$AA$381)*(L381)</f>
        <v>199.34470318451469</v>
      </c>
      <c r="AF381" s="4" t="s">
        <v>916</v>
      </c>
    </row>
    <row r="382" spans="1:32" ht="11.25" customHeight="1" x14ac:dyDescent="0.25">
      <c r="A382" s="4" t="s">
        <v>21</v>
      </c>
      <c r="B382" s="4" t="s">
        <v>43</v>
      </c>
      <c r="C382" s="4" t="s">
        <v>23</v>
      </c>
      <c r="D382" s="4" t="s">
        <v>44</v>
      </c>
      <c r="E382" s="4" t="s">
        <v>52</v>
      </c>
      <c r="F382" s="4" t="s">
        <v>54</v>
      </c>
      <c r="G382" s="4" t="s">
        <v>25</v>
      </c>
      <c r="H382" s="4" t="s">
        <v>25</v>
      </c>
      <c r="I382" s="5">
        <v>44287</v>
      </c>
      <c r="J382" s="6">
        <v>0</v>
      </c>
      <c r="K382" s="6">
        <v>0</v>
      </c>
      <c r="L382" s="6">
        <v>114.893</v>
      </c>
      <c r="M382" s="6">
        <v>31.02111</v>
      </c>
      <c r="N382" s="6">
        <v>114.893</v>
      </c>
      <c r="O382" s="6">
        <v>31.02111</v>
      </c>
      <c r="P382" s="6">
        <v>0</v>
      </c>
      <c r="Q382" s="4" t="s">
        <v>26</v>
      </c>
      <c r="R382" s="4">
        <v>0</v>
      </c>
      <c r="S382" s="4">
        <v>0</v>
      </c>
      <c r="T382" s="4">
        <v>46</v>
      </c>
      <c r="U382" s="4">
        <v>99</v>
      </c>
      <c r="V382" s="6">
        <f>IF(ISERROR(VLOOKUP($S$382,'TAR FIN'!$A$1:$O$100,15,0)),0,VLOOKUP($S$382,'TAR FIN'!$A$1:$O$100,15,0))</f>
        <v>0</v>
      </c>
      <c r="W382" s="6">
        <f>IF(ISERROR(VLOOKUP($T$382,'TAR FIN'!$A$1:$O$100,15,0)),0,VLOOKUP($T$382,'TAR FIN'!$A$1:$O$100,15,0))</f>
        <v>251.46</v>
      </c>
      <c r="X382" s="6">
        <f>IF(ISERROR(VLOOKUP($U$382,'TAR FIN'!$A$1:$O$100,15,0)),0,VLOOKUP($U$382,'TAR FIN'!$A$1:$O$100,15,0))</f>
        <v>203.57</v>
      </c>
      <c r="Y382" s="6"/>
      <c r="Z382" s="6">
        <f ca="1">('TUSD BE'!$AM$43+'TUSD BF'!$AM$43+'TUSD CVA'!$AM$43)*(1-CUSTOS!$M$38)</f>
        <v>268.50633429802321</v>
      </c>
      <c r="AA382" s="6">
        <f>('TE BE'!$AA$26+'TE BF'!$AA$26+'TE CVA'!$AA$26)*(1-CUSTOS!$M$38)</f>
        <v>235.74605718547673</v>
      </c>
      <c r="AB382" s="6">
        <f t="shared" si="20"/>
        <v>0</v>
      </c>
      <c r="AC382" s="6">
        <f>(L382-M382)*(W382+X382)+($W$170+$X$170-$W$382-$X$382)*(L382)</f>
        <v>45293.336756700002</v>
      </c>
      <c r="AD382" s="6">
        <f t="shared" si="21"/>
        <v>0</v>
      </c>
      <c r="AE382" s="6">
        <f ca="1">(L382-M382)*(Z382+AA382)+($Z$170+$AA$170-$Z$382-$AA$382)*(L382)</f>
        <v>45990.584303169577</v>
      </c>
      <c r="AF382" s="4" t="s">
        <v>916</v>
      </c>
    </row>
    <row r="383" spans="1:32" ht="11.25" customHeight="1" x14ac:dyDescent="0.25">
      <c r="A383" s="4" t="s">
        <v>27</v>
      </c>
      <c r="B383" s="4" t="s">
        <v>43</v>
      </c>
      <c r="C383" s="4" t="s">
        <v>23</v>
      </c>
      <c r="D383" s="4" t="s">
        <v>44</v>
      </c>
      <c r="E383" s="4" t="s">
        <v>52</v>
      </c>
      <c r="F383" s="4" t="s">
        <v>54</v>
      </c>
      <c r="G383" s="4" t="s">
        <v>25</v>
      </c>
      <c r="H383" s="4" t="s">
        <v>25</v>
      </c>
      <c r="I383" s="5">
        <v>44287</v>
      </c>
      <c r="J383" s="6">
        <v>0</v>
      </c>
      <c r="K383" s="6">
        <v>0</v>
      </c>
      <c r="L383" s="6">
        <v>-3.7519999999999998</v>
      </c>
      <c r="M383" s="6">
        <v>-1.0130399999999999</v>
      </c>
      <c r="N383" s="6">
        <v>-3.7519999999999998</v>
      </c>
      <c r="O383" s="6">
        <v>-1.0130399999999999</v>
      </c>
      <c r="P383" s="6">
        <v>0</v>
      </c>
      <c r="Q383" s="4" t="s">
        <v>26</v>
      </c>
      <c r="R383" s="4">
        <v>0</v>
      </c>
      <c r="S383" s="4">
        <v>0</v>
      </c>
      <c r="T383" s="4">
        <v>46</v>
      </c>
      <c r="U383" s="4">
        <v>99</v>
      </c>
      <c r="V383" s="6">
        <f>IF(ISERROR(VLOOKUP($S$383,'TAR FIN'!$A$1:$O$100,15,0)),0,VLOOKUP($S$383,'TAR FIN'!$A$1:$O$100,15,0))</f>
        <v>0</v>
      </c>
      <c r="W383" s="6">
        <f>IF(ISERROR(VLOOKUP($T$383,'TAR FIN'!$A$1:$O$100,15,0)),0,VLOOKUP($T$383,'TAR FIN'!$A$1:$O$100,15,0))</f>
        <v>251.46</v>
      </c>
      <c r="X383" s="6">
        <f>IF(ISERROR(VLOOKUP($U$383,'TAR FIN'!$A$1:$O$100,15,0)),0,VLOOKUP($U$383,'TAR FIN'!$A$1:$O$100,15,0))</f>
        <v>203.57</v>
      </c>
      <c r="Y383" s="6"/>
      <c r="Z383" s="6">
        <f ca="1">('TUSD BE'!$AM$43+'TUSD BF'!$AM$43+'TUSD CVA'!$AM$43)*(1-CUSTOS!$M$38)</f>
        <v>268.50633429802321</v>
      </c>
      <c r="AA383" s="6">
        <f>('TE BE'!$AA$26+'TE BF'!$AA$26+'TE CVA'!$AA$26)*(1-CUSTOS!$M$38)</f>
        <v>235.74605718547673</v>
      </c>
      <c r="AB383" s="6">
        <f t="shared" si="20"/>
        <v>0</v>
      </c>
      <c r="AC383" s="6">
        <f>(L383-M383)*(W383+X383)+($W$170+$X$170-$W$383-$X$383)*(L383)</f>
        <v>-1479.1205687999998</v>
      </c>
      <c r="AD383" s="6">
        <f t="shared" si="21"/>
        <v>0</v>
      </c>
      <c r="AE383" s="6">
        <f ca="1">(L383-M383)*(Z383+AA383)+($Z$170+$AA$170-$Z$383-$AA$383)*(L383)</f>
        <v>-1501.8902135508013</v>
      </c>
      <c r="AF383" s="4" t="s">
        <v>916</v>
      </c>
    </row>
    <row r="384" spans="1:32" ht="11.25" customHeight="1" x14ac:dyDescent="0.25">
      <c r="A384" s="4" t="s">
        <v>28</v>
      </c>
      <c r="B384" s="4" t="s">
        <v>43</v>
      </c>
      <c r="C384" s="4" t="s">
        <v>23</v>
      </c>
      <c r="D384" s="4" t="s">
        <v>44</v>
      </c>
      <c r="E384" s="4" t="s">
        <v>52</v>
      </c>
      <c r="F384" s="4" t="s">
        <v>54</v>
      </c>
      <c r="G384" s="4" t="s">
        <v>25</v>
      </c>
      <c r="H384" s="4" t="s">
        <v>25</v>
      </c>
      <c r="I384" s="5">
        <v>44287</v>
      </c>
      <c r="J384" s="6">
        <v>0</v>
      </c>
      <c r="K384" s="6">
        <v>0</v>
      </c>
      <c r="L384" s="6">
        <v>0.48399999999999999</v>
      </c>
      <c r="M384" s="6">
        <v>0.13067999999999999</v>
      </c>
      <c r="N384" s="6">
        <v>0.48399999999999999</v>
      </c>
      <c r="O384" s="6">
        <v>0.13067999999999999</v>
      </c>
      <c r="P384" s="6">
        <v>0</v>
      </c>
      <c r="Q384" s="4" t="s">
        <v>26</v>
      </c>
      <c r="R384" s="4">
        <v>0</v>
      </c>
      <c r="S384" s="4">
        <v>0</v>
      </c>
      <c r="T384" s="4">
        <v>46</v>
      </c>
      <c r="U384" s="4">
        <v>99</v>
      </c>
      <c r="V384" s="6">
        <f>IF(ISERROR(VLOOKUP($S$384,'TAR FIN'!$A$1:$O$100,15,0)),0,VLOOKUP($S$384,'TAR FIN'!$A$1:$O$100,15,0))</f>
        <v>0</v>
      </c>
      <c r="W384" s="6">
        <f>IF(ISERROR(VLOOKUP($T$384,'TAR FIN'!$A$1:$O$100,15,0)),0,VLOOKUP($T$384,'TAR FIN'!$A$1:$O$100,15,0))</f>
        <v>251.46</v>
      </c>
      <c r="X384" s="6">
        <f>IF(ISERROR(VLOOKUP($U$384,'TAR FIN'!$A$1:$O$100,15,0)),0,VLOOKUP($U$384,'TAR FIN'!$A$1:$O$100,15,0))</f>
        <v>203.57</v>
      </c>
      <c r="Y384" s="6"/>
      <c r="Z384" s="6">
        <f ca="1">('TUSD BE'!$AM$43+'TUSD BF'!$AM$43+'TUSD CVA'!$AM$43)*(1-CUSTOS!$M$38)</f>
        <v>268.50633429802321</v>
      </c>
      <c r="AA384" s="6">
        <f>('TE BE'!$AA$26+'TE BF'!$AA$26+'TE CVA'!$AA$26)*(1-CUSTOS!$M$38)</f>
        <v>235.74605718547673</v>
      </c>
      <c r="AB384" s="6">
        <f t="shared" si="20"/>
        <v>0</v>
      </c>
      <c r="AC384" s="6">
        <f>(L384-M384)*(W384+X384)+($W$170+$X$170-$W$384-$X$384)*(L384)</f>
        <v>190.80339959999998</v>
      </c>
      <c r="AD384" s="6">
        <f t="shared" si="21"/>
        <v>0</v>
      </c>
      <c r="AE384" s="6">
        <f ca="1">(L384-M384)*(Z384+AA384)+($Z$170+$AA$170-$Z$384-$AA$384)*(L384)</f>
        <v>193.74063522350423</v>
      </c>
      <c r="AF384" s="4" t="s">
        <v>916</v>
      </c>
    </row>
    <row r="385" spans="1:32" ht="11.25" customHeight="1" x14ac:dyDescent="0.25">
      <c r="A385" s="4" t="s">
        <v>21</v>
      </c>
      <c r="B385" s="4" t="s">
        <v>43</v>
      </c>
      <c r="C385" s="4" t="s">
        <v>23</v>
      </c>
      <c r="D385" s="4" t="s">
        <v>44</v>
      </c>
      <c r="E385" s="4" t="s">
        <v>52</v>
      </c>
      <c r="F385" s="4" t="s">
        <v>54</v>
      </c>
      <c r="G385" s="4" t="s">
        <v>25</v>
      </c>
      <c r="H385" s="4" t="s">
        <v>25</v>
      </c>
      <c r="I385" s="5">
        <v>44317</v>
      </c>
      <c r="J385" s="6">
        <v>0</v>
      </c>
      <c r="K385" s="6">
        <v>0</v>
      </c>
      <c r="L385" s="6">
        <v>86.744</v>
      </c>
      <c r="M385" s="6">
        <v>23.42088</v>
      </c>
      <c r="N385" s="6">
        <v>86.744</v>
      </c>
      <c r="O385" s="6">
        <v>23.42088</v>
      </c>
      <c r="P385" s="6">
        <v>0</v>
      </c>
      <c r="Q385" s="4" t="s">
        <v>26</v>
      </c>
      <c r="R385" s="4">
        <v>0</v>
      </c>
      <c r="S385" s="4">
        <v>0</v>
      </c>
      <c r="T385" s="4">
        <v>46</v>
      </c>
      <c r="U385" s="4">
        <v>99</v>
      </c>
      <c r="V385" s="6">
        <f>IF(ISERROR(VLOOKUP($S$385,'TAR FIN'!$A$1:$O$100,15,0)),0,VLOOKUP($S$385,'TAR FIN'!$A$1:$O$100,15,0))</f>
        <v>0</v>
      </c>
      <c r="W385" s="6">
        <f>IF(ISERROR(VLOOKUP($T$385,'TAR FIN'!$A$1:$O$100,15,0)),0,VLOOKUP($T$385,'TAR FIN'!$A$1:$O$100,15,0))</f>
        <v>251.46</v>
      </c>
      <c r="X385" s="6">
        <f>IF(ISERROR(VLOOKUP($U$385,'TAR FIN'!$A$1:$O$100,15,0)),0,VLOOKUP($U$385,'TAR FIN'!$A$1:$O$100,15,0))</f>
        <v>203.57</v>
      </c>
      <c r="Y385" s="6"/>
      <c r="Z385" s="6">
        <f ca="1">('TUSD BE'!$AM$43+'TUSD BF'!$AM$43+'TUSD CVA'!$AM$43)*(1-CUSTOS!$M$38)</f>
        <v>268.50633429802321</v>
      </c>
      <c r="AA385" s="6">
        <f>('TE BE'!$AA$26+'TE BF'!$AA$26+'TE CVA'!$AA$26)*(1-CUSTOS!$M$38)</f>
        <v>235.74605718547673</v>
      </c>
      <c r="AB385" s="6">
        <f t="shared" si="20"/>
        <v>0</v>
      </c>
      <c r="AC385" s="6">
        <f>(L385-M385)*(W385+X385)+($W$170+$X$170-$W$385-$X$385)*(L385)</f>
        <v>34196.384493600002</v>
      </c>
      <c r="AD385" s="6">
        <f t="shared" si="21"/>
        <v>0</v>
      </c>
      <c r="AE385" s="6">
        <f ca="1">(L385-M385)*(Z385+AA385)+($Z$170+$AA$170-$Z$385-$AA$385)*(L385)</f>
        <v>34722.805086420776</v>
      </c>
      <c r="AF385" s="4" t="s">
        <v>916</v>
      </c>
    </row>
    <row r="386" spans="1:32" ht="11.25" customHeight="1" x14ac:dyDescent="0.25">
      <c r="A386" s="4" t="s">
        <v>27</v>
      </c>
      <c r="B386" s="4" t="s">
        <v>43</v>
      </c>
      <c r="C386" s="4" t="s">
        <v>23</v>
      </c>
      <c r="D386" s="4" t="s">
        <v>44</v>
      </c>
      <c r="E386" s="4" t="s">
        <v>52</v>
      </c>
      <c r="F386" s="4" t="s">
        <v>54</v>
      </c>
      <c r="G386" s="4" t="s">
        <v>25</v>
      </c>
      <c r="H386" s="4" t="s">
        <v>25</v>
      </c>
      <c r="I386" s="5">
        <v>44317</v>
      </c>
      <c r="J386" s="6">
        <v>0</v>
      </c>
      <c r="K386" s="6">
        <v>0</v>
      </c>
      <c r="L386" s="6">
        <v>-4.9210000000000003</v>
      </c>
      <c r="M386" s="6">
        <v>-1.32867</v>
      </c>
      <c r="N386" s="6">
        <v>-4.9210000000000003</v>
      </c>
      <c r="O386" s="6">
        <v>-1.32867</v>
      </c>
      <c r="P386" s="6">
        <v>0</v>
      </c>
      <c r="Q386" s="4" t="s">
        <v>26</v>
      </c>
      <c r="R386" s="4">
        <v>0</v>
      </c>
      <c r="S386" s="4">
        <v>0</v>
      </c>
      <c r="T386" s="4">
        <v>46</v>
      </c>
      <c r="U386" s="4">
        <v>99</v>
      </c>
      <c r="V386" s="6">
        <f>IF(ISERROR(VLOOKUP($S$386,'TAR FIN'!$A$1:$O$100,15,0)),0,VLOOKUP($S$386,'TAR FIN'!$A$1:$O$100,15,0))</f>
        <v>0</v>
      </c>
      <c r="W386" s="6">
        <f>IF(ISERROR(VLOOKUP($T$386,'TAR FIN'!$A$1:$O$100,15,0)),0,VLOOKUP($T$386,'TAR FIN'!$A$1:$O$100,15,0))</f>
        <v>251.46</v>
      </c>
      <c r="X386" s="6">
        <f>IF(ISERROR(VLOOKUP($U$386,'TAR FIN'!$A$1:$O$100,15,0)),0,VLOOKUP($U$386,'TAR FIN'!$A$1:$O$100,15,0))</f>
        <v>203.57</v>
      </c>
      <c r="Y386" s="6"/>
      <c r="Z386" s="6">
        <f ca="1">('TUSD BE'!$AM$43+'TUSD BF'!$AM$43+'TUSD CVA'!$AM$43)*(1-CUSTOS!$M$38)</f>
        <v>268.50633429802321</v>
      </c>
      <c r="AA386" s="6">
        <f>('TE BE'!$AA$26+'TE BF'!$AA$26+'TE CVA'!$AA$26)*(1-CUSTOS!$M$38)</f>
        <v>235.74605718547673</v>
      </c>
      <c r="AB386" s="6">
        <f t="shared" ref="AB386:AB438" si="22">(J386-K386)*V386</f>
        <v>0</v>
      </c>
      <c r="AC386" s="6">
        <f>(L386-M386)*(W386+X386)+($W$170+$X$170-$W$386-$X$386)*(L386)</f>
        <v>-1939.9659699000001</v>
      </c>
      <c r="AD386" s="6">
        <f t="shared" ref="AD386:AD438" si="23">(J386-K386)*Y386</f>
        <v>0</v>
      </c>
      <c r="AE386" s="6">
        <f ca="1">(L386-M386)*(Z386+AA386)+($Z$170+$AA$170-$Z$386-$AA$386)*(L386)</f>
        <v>-1969.8298882951747</v>
      </c>
      <c r="AF386" s="4" t="s">
        <v>916</v>
      </c>
    </row>
    <row r="387" spans="1:32" ht="11.25" customHeight="1" x14ac:dyDescent="0.25">
      <c r="A387" s="4" t="s">
        <v>28</v>
      </c>
      <c r="B387" s="4" t="s">
        <v>43</v>
      </c>
      <c r="C387" s="4" t="s">
        <v>23</v>
      </c>
      <c r="D387" s="4" t="s">
        <v>44</v>
      </c>
      <c r="E387" s="4" t="s">
        <v>52</v>
      </c>
      <c r="F387" s="4" t="s">
        <v>54</v>
      </c>
      <c r="G387" s="4" t="s">
        <v>25</v>
      </c>
      <c r="H387" s="4" t="s">
        <v>25</v>
      </c>
      <c r="I387" s="5">
        <v>44317</v>
      </c>
      <c r="J387" s="6">
        <v>0</v>
      </c>
      <c r="K387" s="6">
        <v>0</v>
      </c>
      <c r="L387" s="6">
        <v>0.59799999999999998</v>
      </c>
      <c r="M387" s="6">
        <v>0.16145999999999999</v>
      </c>
      <c r="N387" s="6">
        <v>0.59799999999999998</v>
      </c>
      <c r="O387" s="6">
        <v>0.16145999999999999</v>
      </c>
      <c r="P387" s="6">
        <v>0</v>
      </c>
      <c r="Q387" s="4" t="s">
        <v>26</v>
      </c>
      <c r="R387" s="4">
        <v>0</v>
      </c>
      <c r="S387" s="4">
        <v>0</v>
      </c>
      <c r="T387" s="4">
        <v>46</v>
      </c>
      <c r="U387" s="4">
        <v>99</v>
      </c>
      <c r="V387" s="6">
        <f>IF(ISERROR(VLOOKUP($S$387,'TAR FIN'!$A$1:$O$100,15,0)),0,VLOOKUP($S$387,'TAR FIN'!$A$1:$O$100,15,0))</f>
        <v>0</v>
      </c>
      <c r="W387" s="6">
        <f>IF(ISERROR(VLOOKUP($T$387,'TAR FIN'!$A$1:$O$100,15,0)),0,VLOOKUP($T$387,'TAR FIN'!$A$1:$O$100,15,0))</f>
        <v>251.46</v>
      </c>
      <c r="X387" s="6">
        <f>IF(ISERROR(VLOOKUP($U$387,'TAR FIN'!$A$1:$O$100,15,0)),0,VLOOKUP($U$387,'TAR FIN'!$A$1:$O$100,15,0))</f>
        <v>203.57</v>
      </c>
      <c r="Y387" s="6"/>
      <c r="Z387" s="6">
        <f ca="1">('TUSD BE'!$AM$43+'TUSD BF'!$AM$43+'TUSD CVA'!$AM$43)*(1-CUSTOS!$M$38)</f>
        <v>268.50633429802321</v>
      </c>
      <c r="AA387" s="6">
        <f>('TE BE'!$AA$26+'TE BF'!$AA$26+'TE CVA'!$AA$26)*(1-CUSTOS!$M$38)</f>
        <v>235.74605718547673</v>
      </c>
      <c r="AB387" s="6">
        <f t="shared" si="22"/>
        <v>0</v>
      </c>
      <c r="AC387" s="6">
        <f>(L387-M387)*(W387+X387)+($W$170+$X$170-$W$387-$X$387)*(L387)</f>
        <v>235.74469619999996</v>
      </c>
      <c r="AD387" s="6">
        <f t="shared" si="23"/>
        <v>0</v>
      </c>
      <c r="AE387" s="6">
        <f ca="1">(L387-M387)*(Z387+AA387)+($Z$170+$AA$170-$Z$387-$AA$387)*(L387)</f>
        <v>239.37376004887508</v>
      </c>
      <c r="AF387" s="4" t="s">
        <v>916</v>
      </c>
    </row>
    <row r="388" spans="1:32" ht="11.25" customHeight="1" x14ac:dyDescent="0.25">
      <c r="A388" s="4" t="s">
        <v>21</v>
      </c>
      <c r="B388" s="4" t="s">
        <v>43</v>
      </c>
      <c r="C388" s="4" t="s">
        <v>23</v>
      </c>
      <c r="D388" s="4" t="s">
        <v>44</v>
      </c>
      <c r="E388" s="4" t="s">
        <v>52</v>
      </c>
      <c r="F388" s="4" t="s">
        <v>54</v>
      </c>
      <c r="G388" s="4" t="s">
        <v>25</v>
      </c>
      <c r="H388" s="4" t="s">
        <v>25</v>
      </c>
      <c r="I388" s="5">
        <v>44348</v>
      </c>
      <c r="J388" s="6">
        <v>0</v>
      </c>
      <c r="K388" s="6">
        <v>0</v>
      </c>
      <c r="L388" s="6">
        <v>118.303</v>
      </c>
      <c r="M388" s="6">
        <v>31.94181</v>
      </c>
      <c r="N388" s="6">
        <v>118.303</v>
      </c>
      <c r="O388" s="6">
        <v>31.94181</v>
      </c>
      <c r="P388" s="6">
        <v>0</v>
      </c>
      <c r="Q388" s="4" t="s">
        <v>26</v>
      </c>
      <c r="R388" s="4">
        <v>0</v>
      </c>
      <c r="S388" s="4">
        <v>0</v>
      </c>
      <c r="T388" s="4">
        <v>46</v>
      </c>
      <c r="U388" s="4">
        <v>99</v>
      </c>
      <c r="V388" s="6">
        <f>IF(ISERROR(VLOOKUP($S$388,'TAR FIN'!$A$1:$O$100,15,0)),0,VLOOKUP($S$388,'TAR FIN'!$A$1:$O$100,15,0))</f>
        <v>0</v>
      </c>
      <c r="W388" s="6">
        <f>IF(ISERROR(VLOOKUP($T$388,'TAR FIN'!$A$1:$O$100,15,0)),0,VLOOKUP($T$388,'TAR FIN'!$A$1:$O$100,15,0))</f>
        <v>251.46</v>
      </c>
      <c r="X388" s="6">
        <f>IF(ISERROR(VLOOKUP($U$388,'TAR FIN'!$A$1:$O$100,15,0)),0,VLOOKUP($U$388,'TAR FIN'!$A$1:$O$100,15,0))</f>
        <v>203.57</v>
      </c>
      <c r="Y388" s="6"/>
      <c r="Z388" s="6">
        <f ca="1">('TUSD BE'!$AM$43+'TUSD BF'!$AM$43+'TUSD CVA'!$AM$43)*(1-CUSTOS!$M$38)</f>
        <v>268.50633429802321</v>
      </c>
      <c r="AA388" s="6">
        <f>('TE BE'!$AA$26+'TE BF'!$AA$26+'TE CVA'!$AA$26)*(1-CUSTOS!$M$38)</f>
        <v>235.74605718547673</v>
      </c>
      <c r="AB388" s="6">
        <f t="shared" si="22"/>
        <v>0</v>
      </c>
      <c r="AC388" s="6">
        <f>(L388-M388)*(W388+X388)+($W$170+$X$170-$W$388-$X$388)*(L388)</f>
        <v>46637.633435699994</v>
      </c>
      <c r="AD388" s="6">
        <f t="shared" si="23"/>
        <v>0</v>
      </c>
      <c r="AE388" s="6">
        <f ca="1">(L388-M388)*(Z388+AA388)+($Z$170+$AA$170-$Z$388-$AA$388)*(L388)</f>
        <v>47355.575142244263</v>
      </c>
      <c r="AF388" s="4" t="s">
        <v>916</v>
      </c>
    </row>
    <row r="389" spans="1:32" ht="11.25" customHeight="1" x14ac:dyDescent="0.25">
      <c r="A389" s="4" t="s">
        <v>28</v>
      </c>
      <c r="B389" s="4" t="s">
        <v>43</v>
      </c>
      <c r="C389" s="4" t="s">
        <v>23</v>
      </c>
      <c r="D389" s="4" t="s">
        <v>44</v>
      </c>
      <c r="E389" s="4" t="s">
        <v>52</v>
      </c>
      <c r="F389" s="4" t="s">
        <v>54</v>
      </c>
      <c r="G389" s="4" t="s">
        <v>25</v>
      </c>
      <c r="H389" s="4" t="s">
        <v>25</v>
      </c>
      <c r="I389" s="5">
        <v>44348</v>
      </c>
      <c r="J389" s="6">
        <v>0</v>
      </c>
      <c r="K389" s="6">
        <v>0</v>
      </c>
      <c r="L389" s="6">
        <v>0.68200000000000005</v>
      </c>
      <c r="M389" s="6">
        <v>0.18414</v>
      </c>
      <c r="N389" s="6">
        <v>0.68200000000000005</v>
      </c>
      <c r="O389" s="6">
        <v>0.18414</v>
      </c>
      <c r="P389" s="6">
        <v>0</v>
      </c>
      <c r="Q389" s="4" t="s">
        <v>26</v>
      </c>
      <c r="R389" s="4">
        <v>0</v>
      </c>
      <c r="S389" s="4">
        <v>0</v>
      </c>
      <c r="T389" s="4">
        <v>46</v>
      </c>
      <c r="U389" s="4">
        <v>99</v>
      </c>
      <c r="V389" s="6">
        <f>IF(ISERROR(VLOOKUP($S$389,'TAR FIN'!$A$1:$O$100,15,0)),0,VLOOKUP($S$389,'TAR FIN'!$A$1:$O$100,15,0))</f>
        <v>0</v>
      </c>
      <c r="W389" s="6">
        <f>IF(ISERROR(VLOOKUP($T$389,'TAR FIN'!$A$1:$O$100,15,0)),0,VLOOKUP($T$389,'TAR FIN'!$A$1:$O$100,15,0))</f>
        <v>251.46</v>
      </c>
      <c r="X389" s="6">
        <f>IF(ISERROR(VLOOKUP($U$389,'TAR FIN'!$A$1:$O$100,15,0)),0,VLOOKUP($U$389,'TAR FIN'!$A$1:$O$100,15,0))</f>
        <v>203.57</v>
      </c>
      <c r="Y389" s="6"/>
      <c r="Z389" s="6">
        <f ca="1">('TUSD BE'!$AM$43+'TUSD BF'!$AM$43+'TUSD CVA'!$AM$43)*(1-CUSTOS!$M$38)</f>
        <v>268.50633429802321</v>
      </c>
      <c r="AA389" s="6">
        <f>('TE BE'!$AA$26+'TE BF'!$AA$26+'TE CVA'!$AA$26)*(1-CUSTOS!$M$38)</f>
        <v>235.74605718547673</v>
      </c>
      <c r="AB389" s="6">
        <f t="shared" si="22"/>
        <v>0</v>
      </c>
      <c r="AC389" s="6">
        <f>(L389-M389)*(W389+X389)+($W$170+$X$170-$W$389-$X$389)*(L389)</f>
        <v>268.8593358</v>
      </c>
      <c r="AD389" s="6">
        <f t="shared" si="23"/>
        <v>0</v>
      </c>
      <c r="AE389" s="6">
        <f ca="1">(L389-M389)*(Z389+AA389)+($Z$170+$AA$170-$Z$389-$AA$389)*(L389)</f>
        <v>272.99816781493786</v>
      </c>
      <c r="AF389" s="4" t="s">
        <v>916</v>
      </c>
    </row>
    <row r="390" spans="1:32" ht="11.25" customHeight="1" x14ac:dyDescent="0.25">
      <c r="A390" s="4" t="s">
        <v>21</v>
      </c>
      <c r="B390" s="4" t="s">
        <v>43</v>
      </c>
      <c r="C390" s="4" t="s">
        <v>23</v>
      </c>
      <c r="D390" s="4" t="s">
        <v>44</v>
      </c>
      <c r="E390" s="4" t="s">
        <v>52</v>
      </c>
      <c r="F390" s="4" t="s">
        <v>54</v>
      </c>
      <c r="G390" s="4" t="s">
        <v>25</v>
      </c>
      <c r="H390" s="4" t="s">
        <v>25</v>
      </c>
      <c r="I390" s="5">
        <v>44378</v>
      </c>
      <c r="J390" s="6">
        <v>0</v>
      </c>
      <c r="K390" s="6">
        <v>0</v>
      </c>
      <c r="L390" s="6">
        <v>144.03</v>
      </c>
      <c r="M390" s="6">
        <v>38.888100000000001</v>
      </c>
      <c r="N390" s="6">
        <v>144.03</v>
      </c>
      <c r="O390" s="6">
        <v>38.888100000000001</v>
      </c>
      <c r="P390" s="6">
        <v>0</v>
      </c>
      <c r="Q390" s="4" t="s">
        <v>26</v>
      </c>
      <c r="R390" s="4">
        <v>0</v>
      </c>
      <c r="S390" s="4">
        <v>0</v>
      </c>
      <c r="T390" s="4">
        <v>46</v>
      </c>
      <c r="U390" s="4">
        <v>99</v>
      </c>
      <c r="V390" s="6">
        <f>IF(ISERROR(VLOOKUP($S$390,'TAR FIN'!$A$1:$O$100,15,0)),0,VLOOKUP($S$390,'TAR FIN'!$A$1:$O$100,15,0))</f>
        <v>0</v>
      </c>
      <c r="W390" s="6">
        <f>IF(ISERROR(VLOOKUP($T$390,'TAR FIN'!$A$1:$O$100,15,0)),0,VLOOKUP($T$390,'TAR FIN'!$A$1:$O$100,15,0))</f>
        <v>251.46</v>
      </c>
      <c r="X390" s="6">
        <f>IF(ISERROR(VLOOKUP($U$390,'TAR FIN'!$A$1:$O$100,15,0)),0,VLOOKUP($U$390,'TAR FIN'!$A$1:$O$100,15,0))</f>
        <v>203.57</v>
      </c>
      <c r="Y390" s="6"/>
      <c r="Z390" s="6">
        <f ca="1">('TUSD BE'!$AM$43+'TUSD BF'!$AM$43+'TUSD CVA'!$AM$43)*(1-CUSTOS!$M$38)</f>
        <v>268.50633429802321</v>
      </c>
      <c r="AA390" s="6">
        <f>('TE BE'!$AA$26+'TE BF'!$AA$26+'TE CVA'!$AA$26)*(1-CUSTOS!$M$38)</f>
        <v>235.74605718547673</v>
      </c>
      <c r="AB390" s="6">
        <f t="shared" si="22"/>
        <v>0</v>
      </c>
      <c r="AC390" s="6">
        <f>(L390-M390)*(W390+X390)+($W$170+$X$170-$W$390-$X$390)*(L390)</f>
        <v>56779.780256999999</v>
      </c>
      <c r="AD390" s="6">
        <f t="shared" si="23"/>
        <v>0</v>
      </c>
      <c r="AE390" s="6">
        <f ca="1">(L390-M390)*(Z390+AA390)+($Z$170+$AA$170-$Z$390-$AA$390)*(L390)</f>
        <v>57653.850601738253</v>
      </c>
      <c r="AF390" s="4" t="s">
        <v>916</v>
      </c>
    </row>
    <row r="391" spans="1:32" ht="11.25" customHeight="1" x14ac:dyDescent="0.25">
      <c r="A391" s="4" t="s">
        <v>28</v>
      </c>
      <c r="B391" s="4" t="s">
        <v>43</v>
      </c>
      <c r="C391" s="4" t="s">
        <v>23</v>
      </c>
      <c r="D391" s="4" t="s">
        <v>44</v>
      </c>
      <c r="E391" s="4" t="s">
        <v>52</v>
      </c>
      <c r="F391" s="4" t="s">
        <v>54</v>
      </c>
      <c r="G391" s="4" t="s">
        <v>25</v>
      </c>
      <c r="H391" s="4" t="s">
        <v>25</v>
      </c>
      <c r="I391" s="5">
        <v>44378</v>
      </c>
      <c r="J391" s="6">
        <v>0</v>
      </c>
      <c r="K391" s="6">
        <v>0</v>
      </c>
      <c r="L391" s="6">
        <v>0.91400000000000003</v>
      </c>
      <c r="M391" s="6">
        <v>0.24678</v>
      </c>
      <c r="N391" s="6">
        <v>0.91400000000000003</v>
      </c>
      <c r="O391" s="6">
        <v>0.24678</v>
      </c>
      <c r="P391" s="6">
        <v>0</v>
      </c>
      <c r="Q391" s="4" t="s">
        <v>26</v>
      </c>
      <c r="R391" s="4">
        <v>0</v>
      </c>
      <c r="S391" s="4">
        <v>0</v>
      </c>
      <c r="T391" s="4">
        <v>46</v>
      </c>
      <c r="U391" s="4">
        <v>99</v>
      </c>
      <c r="V391" s="6">
        <f>IF(ISERROR(VLOOKUP($S$391,'TAR FIN'!$A$1:$O$100,15,0)),0,VLOOKUP($S$391,'TAR FIN'!$A$1:$O$100,15,0))</f>
        <v>0</v>
      </c>
      <c r="W391" s="6">
        <f>IF(ISERROR(VLOOKUP($T$391,'TAR FIN'!$A$1:$O$100,15,0)),0,VLOOKUP($T$391,'TAR FIN'!$A$1:$O$100,15,0))</f>
        <v>251.46</v>
      </c>
      <c r="X391" s="6">
        <f>IF(ISERROR(VLOOKUP($U$391,'TAR FIN'!$A$1:$O$100,15,0)),0,VLOOKUP($U$391,'TAR FIN'!$A$1:$O$100,15,0))</f>
        <v>203.57</v>
      </c>
      <c r="Y391" s="6"/>
      <c r="Z391" s="6">
        <f ca="1">('TUSD BE'!$AM$43+'TUSD BF'!$AM$43+'TUSD CVA'!$AM$43)*(1-CUSTOS!$M$38)</f>
        <v>268.50633429802321</v>
      </c>
      <c r="AA391" s="6">
        <f>('TE BE'!$AA$26+'TE BF'!$AA$26+'TE CVA'!$AA$26)*(1-CUSTOS!$M$38)</f>
        <v>235.74605718547673</v>
      </c>
      <c r="AB391" s="6">
        <f t="shared" si="22"/>
        <v>0</v>
      </c>
      <c r="AC391" s="6">
        <f>(L391-M391)*(W391+X391)+($W$170+$X$170-$W$391-$X$391)*(L391)</f>
        <v>360.31881659999999</v>
      </c>
      <c r="AD391" s="6">
        <f t="shared" si="23"/>
        <v>0</v>
      </c>
      <c r="AE391" s="6">
        <f ca="1">(L391-M391)*(Z391+AA391)+($Z$170+$AA$170-$Z$391-$AA$391)*(L391)</f>
        <v>365.86557974025391</v>
      </c>
      <c r="AF391" s="4" t="s">
        <v>916</v>
      </c>
    </row>
    <row r="392" spans="1:32" ht="11.25" customHeight="1" x14ac:dyDescent="0.25">
      <c r="A392" s="4" t="s">
        <v>21</v>
      </c>
      <c r="B392" s="4" t="s">
        <v>43</v>
      </c>
      <c r="C392" s="4" t="s">
        <v>23</v>
      </c>
      <c r="D392" s="4" t="s">
        <v>44</v>
      </c>
      <c r="E392" s="4" t="s">
        <v>52</v>
      </c>
      <c r="F392" s="4" t="s">
        <v>54</v>
      </c>
      <c r="G392" s="4" t="s">
        <v>25</v>
      </c>
      <c r="H392" s="4" t="s">
        <v>25</v>
      </c>
      <c r="I392" s="5">
        <v>44409</v>
      </c>
      <c r="J392" s="6">
        <v>0</v>
      </c>
      <c r="K392" s="6">
        <v>0</v>
      </c>
      <c r="L392" s="6">
        <v>131.072</v>
      </c>
      <c r="M392" s="6">
        <v>35.38944</v>
      </c>
      <c r="N392" s="6">
        <v>131.072</v>
      </c>
      <c r="O392" s="6">
        <v>35.38944</v>
      </c>
      <c r="P392" s="6">
        <v>0</v>
      </c>
      <c r="Q392" s="4" t="s">
        <v>26</v>
      </c>
      <c r="R392" s="4">
        <v>0</v>
      </c>
      <c r="S392" s="4">
        <v>0</v>
      </c>
      <c r="T392" s="4">
        <v>46</v>
      </c>
      <c r="U392" s="4">
        <v>99</v>
      </c>
      <c r="V392" s="6">
        <f>IF(ISERROR(VLOOKUP($S$392,'TAR FIN'!$A$1:$O$100,15,0)),0,VLOOKUP($S$392,'TAR FIN'!$A$1:$O$100,15,0))</f>
        <v>0</v>
      </c>
      <c r="W392" s="6">
        <f>IF(ISERROR(VLOOKUP($T$392,'TAR FIN'!$A$1:$O$100,15,0)),0,VLOOKUP($T$392,'TAR FIN'!$A$1:$O$100,15,0))</f>
        <v>251.46</v>
      </c>
      <c r="X392" s="6">
        <f>IF(ISERROR(VLOOKUP($U$392,'TAR FIN'!$A$1:$O$100,15,0)),0,VLOOKUP($U$392,'TAR FIN'!$A$1:$O$100,15,0))</f>
        <v>203.57</v>
      </c>
      <c r="Y392" s="6"/>
      <c r="Z392" s="6">
        <f ca="1">('TUSD BE'!$AM$43+'TUSD BF'!$AM$43+'TUSD CVA'!$AM$43)*(1-CUSTOS!$M$38)</f>
        <v>268.50633429802321</v>
      </c>
      <c r="AA392" s="6">
        <f>('TE BE'!$AA$26+'TE BF'!$AA$26+'TE CVA'!$AA$26)*(1-CUSTOS!$M$38)</f>
        <v>235.74605718547673</v>
      </c>
      <c r="AB392" s="6">
        <f t="shared" si="22"/>
        <v>0</v>
      </c>
      <c r="AC392" s="6">
        <f>(L392-M392)*(W392+X392)+($W$170+$X$170-$W$392-$X$392)*(L392)</f>
        <v>51671.452876799995</v>
      </c>
      <c r="AD392" s="6">
        <f t="shared" si="23"/>
        <v>0</v>
      </c>
      <c r="AE392" s="6">
        <f ca="1">(L392-M392)*(Z392+AA392)+($Z$170+$AA$170-$Z$392-$AA$392)*(L392)</f>
        <v>52466.885413254437</v>
      </c>
      <c r="AF392" s="4" t="s">
        <v>916</v>
      </c>
    </row>
    <row r="393" spans="1:32" ht="11.25" customHeight="1" x14ac:dyDescent="0.25">
      <c r="A393" s="4" t="s">
        <v>28</v>
      </c>
      <c r="B393" s="4" t="s">
        <v>43</v>
      </c>
      <c r="C393" s="4" t="s">
        <v>23</v>
      </c>
      <c r="D393" s="4" t="s">
        <v>44</v>
      </c>
      <c r="E393" s="4" t="s">
        <v>52</v>
      </c>
      <c r="F393" s="4" t="s">
        <v>54</v>
      </c>
      <c r="G393" s="4" t="s">
        <v>25</v>
      </c>
      <c r="H393" s="4" t="s">
        <v>25</v>
      </c>
      <c r="I393" s="5">
        <v>44409</v>
      </c>
      <c r="J393" s="6">
        <v>0</v>
      </c>
      <c r="K393" s="6">
        <v>0</v>
      </c>
      <c r="L393" s="6">
        <v>0.72799999999999998</v>
      </c>
      <c r="M393" s="6">
        <v>0.19656000000000001</v>
      </c>
      <c r="N393" s="6">
        <v>0.72799999999999998</v>
      </c>
      <c r="O393" s="6">
        <v>0.19656000000000001</v>
      </c>
      <c r="P393" s="6">
        <v>0</v>
      </c>
      <c r="Q393" s="4" t="s">
        <v>26</v>
      </c>
      <c r="R393" s="4">
        <v>0</v>
      </c>
      <c r="S393" s="4">
        <v>0</v>
      </c>
      <c r="T393" s="4">
        <v>46</v>
      </c>
      <c r="U393" s="4">
        <v>99</v>
      </c>
      <c r="V393" s="6">
        <f>IF(ISERROR(VLOOKUP($S$393,'TAR FIN'!$A$1:$O$100,15,0)),0,VLOOKUP($S$393,'TAR FIN'!$A$1:$O$100,15,0))</f>
        <v>0</v>
      </c>
      <c r="W393" s="6">
        <f>IF(ISERROR(VLOOKUP($T$393,'TAR FIN'!$A$1:$O$100,15,0)),0,VLOOKUP($T$393,'TAR FIN'!$A$1:$O$100,15,0))</f>
        <v>251.46</v>
      </c>
      <c r="X393" s="6">
        <f>IF(ISERROR(VLOOKUP($U$393,'TAR FIN'!$A$1:$O$100,15,0)),0,VLOOKUP($U$393,'TAR FIN'!$A$1:$O$100,15,0))</f>
        <v>203.57</v>
      </c>
      <c r="Y393" s="6"/>
      <c r="Z393" s="6">
        <f ca="1">('TUSD BE'!$AM$43+'TUSD BF'!$AM$43+'TUSD CVA'!$AM$43)*(1-CUSTOS!$M$38)</f>
        <v>268.50633429802321</v>
      </c>
      <c r="AA393" s="6">
        <f>('TE BE'!$AA$26+'TE BF'!$AA$26+'TE CVA'!$AA$26)*(1-CUSTOS!$M$38)</f>
        <v>235.74605718547673</v>
      </c>
      <c r="AB393" s="6">
        <f t="shared" si="22"/>
        <v>0</v>
      </c>
      <c r="AC393" s="6">
        <f>(L393-M393)*(W393+X393)+($W$170+$X$170-$W$393-$X$393)*(L393)</f>
        <v>286.99354319999998</v>
      </c>
      <c r="AD393" s="6">
        <f t="shared" si="23"/>
        <v>0</v>
      </c>
      <c r="AE393" s="6">
        <f ca="1">(L393-M393)*(Z393+AA393)+($Z$170+$AA$170-$Z$393-$AA$393)*(L393)</f>
        <v>291.41153397254351</v>
      </c>
      <c r="AF393" s="4" t="s">
        <v>916</v>
      </c>
    </row>
    <row r="394" spans="1:32" ht="11.25" customHeight="1" x14ac:dyDescent="0.25">
      <c r="A394" s="4" t="s">
        <v>21</v>
      </c>
      <c r="B394" s="4" t="s">
        <v>43</v>
      </c>
      <c r="C394" s="4" t="s">
        <v>23</v>
      </c>
      <c r="D394" s="4" t="s">
        <v>44</v>
      </c>
      <c r="E394" s="4" t="s">
        <v>52</v>
      </c>
      <c r="F394" s="4" t="s">
        <v>54</v>
      </c>
      <c r="G394" s="4" t="s">
        <v>25</v>
      </c>
      <c r="H394" s="4" t="s">
        <v>25</v>
      </c>
      <c r="I394" s="5">
        <v>44440</v>
      </c>
      <c r="J394" s="6">
        <v>0</v>
      </c>
      <c r="K394" s="6">
        <v>0</v>
      </c>
      <c r="L394" s="6">
        <v>193.536</v>
      </c>
      <c r="M394" s="6">
        <v>52.254719999999999</v>
      </c>
      <c r="N394" s="6">
        <v>193.536</v>
      </c>
      <c r="O394" s="6">
        <v>52.254719999999999</v>
      </c>
      <c r="P394" s="6">
        <v>0</v>
      </c>
      <c r="Q394" s="4" t="s">
        <v>26</v>
      </c>
      <c r="R394" s="4">
        <v>0</v>
      </c>
      <c r="S394" s="4">
        <v>0</v>
      </c>
      <c r="T394" s="4">
        <v>46</v>
      </c>
      <c r="U394" s="4">
        <v>99</v>
      </c>
      <c r="V394" s="6">
        <f>IF(ISERROR(VLOOKUP($S$394,'TAR FIN'!$A$1:$O$100,15,0)),0,VLOOKUP($S$394,'TAR FIN'!$A$1:$O$100,15,0))</f>
        <v>0</v>
      </c>
      <c r="W394" s="6">
        <f>IF(ISERROR(VLOOKUP($T$394,'TAR FIN'!$A$1:$O$100,15,0)),0,VLOOKUP($T$394,'TAR FIN'!$A$1:$O$100,15,0))</f>
        <v>251.46</v>
      </c>
      <c r="X394" s="6">
        <f>IF(ISERROR(VLOOKUP($U$394,'TAR FIN'!$A$1:$O$100,15,0)),0,VLOOKUP($U$394,'TAR FIN'!$A$1:$O$100,15,0))</f>
        <v>203.57</v>
      </c>
      <c r="Y394" s="6"/>
      <c r="Z394" s="6">
        <f ca="1">('TUSD BE'!$AM$43+'TUSD BF'!$AM$43+'TUSD CVA'!$AM$43)*(1-CUSTOS!$M$38)</f>
        <v>268.50633429802321</v>
      </c>
      <c r="AA394" s="6">
        <f>('TE BE'!$AA$26+'TE BF'!$AA$26+'TE CVA'!$AA$26)*(1-CUSTOS!$M$38)</f>
        <v>235.74605718547673</v>
      </c>
      <c r="AB394" s="6">
        <f t="shared" si="22"/>
        <v>0</v>
      </c>
      <c r="AC394" s="6">
        <f>(L394-M394)*(W394+X394)+($W$170+$X$170-$W$394-$X$394)*(L394)</f>
        <v>76296.129638400002</v>
      </c>
      <c r="AD394" s="6">
        <f t="shared" si="23"/>
        <v>0</v>
      </c>
      <c r="AE394" s="6">
        <f ca="1">(L394-M394)*(Z394+AA394)+($Z$170+$AA$170-$Z$394-$AA$394)*(L394)</f>
        <v>77470.635493008507</v>
      </c>
      <c r="AF394" s="4" t="s">
        <v>916</v>
      </c>
    </row>
    <row r="395" spans="1:32" ht="11.25" customHeight="1" x14ac:dyDescent="0.25">
      <c r="A395" s="4" t="s">
        <v>28</v>
      </c>
      <c r="B395" s="4" t="s">
        <v>43</v>
      </c>
      <c r="C395" s="4" t="s">
        <v>23</v>
      </c>
      <c r="D395" s="4" t="s">
        <v>44</v>
      </c>
      <c r="E395" s="4" t="s">
        <v>52</v>
      </c>
      <c r="F395" s="4" t="s">
        <v>54</v>
      </c>
      <c r="G395" s="4" t="s">
        <v>25</v>
      </c>
      <c r="H395" s="4" t="s">
        <v>25</v>
      </c>
      <c r="I395" s="5">
        <v>44440</v>
      </c>
      <c r="J395" s="6">
        <v>0</v>
      </c>
      <c r="K395" s="6">
        <v>0</v>
      </c>
      <c r="L395" s="6">
        <v>1.4350000000000001</v>
      </c>
      <c r="M395" s="6">
        <v>0.38745000000000002</v>
      </c>
      <c r="N395" s="6">
        <v>1.4350000000000001</v>
      </c>
      <c r="O395" s="6">
        <v>0.38745000000000002</v>
      </c>
      <c r="P395" s="6">
        <v>0</v>
      </c>
      <c r="Q395" s="4" t="s">
        <v>26</v>
      </c>
      <c r="R395" s="4">
        <v>0</v>
      </c>
      <c r="S395" s="4">
        <v>0</v>
      </c>
      <c r="T395" s="4">
        <v>46</v>
      </c>
      <c r="U395" s="4">
        <v>99</v>
      </c>
      <c r="V395" s="6">
        <f>IF(ISERROR(VLOOKUP($S$395,'TAR FIN'!$A$1:$O$100,15,0)),0,VLOOKUP($S$395,'TAR FIN'!$A$1:$O$100,15,0))</f>
        <v>0</v>
      </c>
      <c r="W395" s="6">
        <f>IF(ISERROR(VLOOKUP($T$395,'TAR FIN'!$A$1:$O$100,15,0)),0,VLOOKUP($T$395,'TAR FIN'!$A$1:$O$100,15,0))</f>
        <v>251.46</v>
      </c>
      <c r="X395" s="6">
        <f>IF(ISERROR(VLOOKUP($U$395,'TAR FIN'!$A$1:$O$100,15,0)),0,VLOOKUP($U$395,'TAR FIN'!$A$1:$O$100,15,0))</f>
        <v>203.57</v>
      </c>
      <c r="Y395" s="6"/>
      <c r="Z395" s="6">
        <f ca="1">('TUSD BE'!$AM$43+'TUSD BF'!$AM$43+'TUSD CVA'!$AM$43)*(1-CUSTOS!$M$38)</f>
        <v>268.50633429802321</v>
      </c>
      <c r="AA395" s="6">
        <f>('TE BE'!$AA$26+'TE BF'!$AA$26+'TE CVA'!$AA$26)*(1-CUSTOS!$M$38)</f>
        <v>235.74605718547673</v>
      </c>
      <c r="AB395" s="6">
        <f t="shared" si="22"/>
        <v>0</v>
      </c>
      <c r="AC395" s="6">
        <f>(L395-M395)*(W395+X395)+($W$170+$X$170-$W$395-$X$395)*(L395)</f>
        <v>565.70842649999997</v>
      </c>
      <c r="AD395" s="6">
        <f t="shared" si="23"/>
        <v>0</v>
      </c>
      <c r="AE395" s="6">
        <f ca="1">(L395-M395)*(Z395+AA395)+($Z$170+$AA$170-$Z$395-$AA$395)*(L395)</f>
        <v>574.41696600357159</v>
      </c>
      <c r="AF395" s="4" t="s">
        <v>916</v>
      </c>
    </row>
    <row r="396" spans="1:32" ht="11.25" customHeight="1" x14ac:dyDescent="0.25">
      <c r="A396" s="4" t="s">
        <v>21</v>
      </c>
      <c r="B396" s="4" t="s">
        <v>43</v>
      </c>
      <c r="C396" s="4" t="s">
        <v>23</v>
      </c>
      <c r="D396" s="4" t="s">
        <v>44</v>
      </c>
      <c r="E396" s="4" t="s">
        <v>52</v>
      </c>
      <c r="F396" s="4" t="s">
        <v>54</v>
      </c>
      <c r="G396" s="4" t="s">
        <v>25</v>
      </c>
      <c r="H396" s="4" t="s">
        <v>25</v>
      </c>
      <c r="I396" s="5">
        <v>44470</v>
      </c>
      <c r="J396" s="6">
        <v>0</v>
      </c>
      <c r="K396" s="6">
        <v>0</v>
      </c>
      <c r="L396" s="6">
        <v>194.28899999999999</v>
      </c>
      <c r="M396" s="6">
        <v>52.458030000000001</v>
      </c>
      <c r="N396" s="6">
        <v>194.28899999999999</v>
      </c>
      <c r="O396" s="6">
        <v>52.458030000000001</v>
      </c>
      <c r="P396" s="6">
        <v>0</v>
      </c>
      <c r="Q396" s="4" t="s">
        <v>26</v>
      </c>
      <c r="R396" s="4">
        <v>0</v>
      </c>
      <c r="S396" s="4">
        <v>0</v>
      </c>
      <c r="T396" s="4">
        <v>46</v>
      </c>
      <c r="U396" s="4">
        <v>99</v>
      </c>
      <c r="V396" s="6">
        <f>IF(ISERROR(VLOOKUP($S$396,'TAR FIN'!$A$1:$O$100,15,0)),0,VLOOKUP($S$396,'TAR FIN'!$A$1:$O$100,15,0))</f>
        <v>0</v>
      </c>
      <c r="W396" s="6">
        <f>IF(ISERROR(VLOOKUP($T$396,'TAR FIN'!$A$1:$O$100,15,0)),0,VLOOKUP($T$396,'TAR FIN'!$A$1:$O$100,15,0))</f>
        <v>251.46</v>
      </c>
      <c r="X396" s="6">
        <f>IF(ISERROR(VLOOKUP($U$396,'TAR FIN'!$A$1:$O$100,15,0)),0,VLOOKUP($U$396,'TAR FIN'!$A$1:$O$100,15,0))</f>
        <v>203.57</v>
      </c>
      <c r="Y396" s="6"/>
      <c r="Z396" s="6">
        <f ca="1">('TUSD BE'!$AM$43+'TUSD BF'!$AM$43+'TUSD CVA'!$AM$43)*(1-CUSTOS!$M$38)</f>
        <v>268.50633429802321</v>
      </c>
      <c r="AA396" s="6">
        <f>('TE BE'!$AA$26+'TE BF'!$AA$26+'TE CVA'!$AA$26)*(1-CUSTOS!$M$38)</f>
        <v>235.74605718547673</v>
      </c>
      <c r="AB396" s="6">
        <f t="shared" si="22"/>
        <v>0</v>
      </c>
      <c r="AC396" s="6">
        <f>(L396-M396)*(W396+X396)+($W$170+$X$170-$W$396-$X$396)*(L396)</f>
        <v>76592.978729099981</v>
      </c>
      <c r="AD396" s="6">
        <f t="shared" si="23"/>
        <v>0</v>
      </c>
      <c r="AE396" s="6">
        <f ca="1">(L396-M396)*(Z396+AA396)+($Z$170+$AA$170-$Z$396-$AA$396)*(L396)</f>
        <v>77772.054291197128</v>
      </c>
      <c r="AF396" s="4" t="s">
        <v>916</v>
      </c>
    </row>
    <row r="397" spans="1:32" ht="11.25" customHeight="1" x14ac:dyDescent="0.25">
      <c r="A397" s="4" t="s">
        <v>27</v>
      </c>
      <c r="B397" s="4" t="s">
        <v>43</v>
      </c>
      <c r="C397" s="4" t="s">
        <v>23</v>
      </c>
      <c r="D397" s="4" t="s">
        <v>44</v>
      </c>
      <c r="E397" s="4" t="s">
        <v>52</v>
      </c>
      <c r="F397" s="4" t="s">
        <v>54</v>
      </c>
      <c r="G397" s="4" t="s">
        <v>25</v>
      </c>
      <c r="H397" s="4" t="s">
        <v>25</v>
      </c>
      <c r="I397" s="5">
        <v>44470</v>
      </c>
      <c r="J397" s="6">
        <v>0</v>
      </c>
      <c r="K397" s="6">
        <v>0</v>
      </c>
      <c r="L397" s="6">
        <v>-1.8080000000000001</v>
      </c>
      <c r="M397" s="6">
        <v>-0.48815999999999998</v>
      </c>
      <c r="N397" s="6">
        <v>-1.8080000000000001</v>
      </c>
      <c r="O397" s="6">
        <v>-0.48815999999999998</v>
      </c>
      <c r="P397" s="6">
        <v>0</v>
      </c>
      <c r="Q397" s="4" t="s">
        <v>26</v>
      </c>
      <c r="R397" s="4">
        <v>0</v>
      </c>
      <c r="S397" s="4">
        <v>0</v>
      </c>
      <c r="T397" s="4">
        <v>46</v>
      </c>
      <c r="U397" s="4">
        <v>99</v>
      </c>
      <c r="V397" s="6">
        <f>IF(ISERROR(VLOOKUP($S$397,'TAR FIN'!$A$1:$O$100,15,0)),0,VLOOKUP($S$397,'TAR FIN'!$A$1:$O$100,15,0))</f>
        <v>0</v>
      </c>
      <c r="W397" s="6">
        <f>IF(ISERROR(VLOOKUP($T$397,'TAR FIN'!$A$1:$O$100,15,0)),0,VLOOKUP($T$397,'TAR FIN'!$A$1:$O$100,15,0))</f>
        <v>251.46</v>
      </c>
      <c r="X397" s="6">
        <f>IF(ISERROR(VLOOKUP($U$397,'TAR FIN'!$A$1:$O$100,15,0)),0,VLOOKUP($U$397,'TAR FIN'!$A$1:$O$100,15,0))</f>
        <v>203.57</v>
      </c>
      <c r="Y397" s="6"/>
      <c r="Z397" s="6">
        <f ca="1">('TUSD BE'!$AM$43+'TUSD BF'!$AM$43+'TUSD CVA'!$AM$43)*(1-CUSTOS!$M$38)</f>
        <v>268.50633429802321</v>
      </c>
      <c r="AA397" s="6">
        <f>('TE BE'!$AA$26+'TE BF'!$AA$26+'TE CVA'!$AA$26)*(1-CUSTOS!$M$38)</f>
        <v>235.74605718547673</v>
      </c>
      <c r="AB397" s="6">
        <f t="shared" si="22"/>
        <v>0</v>
      </c>
      <c r="AC397" s="6">
        <f>(L397-M397)*(W397+X397)+($W$170+$X$170-$W$397-$X$397)*(L397)</f>
        <v>-712.75319520000005</v>
      </c>
      <c r="AD397" s="6">
        <f t="shared" si="23"/>
        <v>0</v>
      </c>
      <c r="AE397" s="6">
        <f ca="1">(L397-M397)*(Z397+AA397)+($Z$170+$AA$170-$Z$397-$AA$397)*(L397)</f>
        <v>-723.7253481076358</v>
      </c>
      <c r="AF397" s="4" t="s">
        <v>916</v>
      </c>
    </row>
    <row r="398" spans="1:32" ht="11.25" customHeight="1" x14ac:dyDescent="0.25">
      <c r="A398" s="4" t="s">
        <v>28</v>
      </c>
      <c r="B398" s="4" t="s">
        <v>43</v>
      </c>
      <c r="C398" s="4" t="s">
        <v>23</v>
      </c>
      <c r="D398" s="4" t="s">
        <v>44</v>
      </c>
      <c r="E398" s="4" t="s">
        <v>52</v>
      </c>
      <c r="F398" s="4" t="s">
        <v>54</v>
      </c>
      <c r="G398" s="4" t="s">
        <v>25</v>
      </c>
      <c r="H398" s="4" t="s">
        <v>25</v>
      </c>
      <c r="I398" s="5">
        <v>44470</v>
      </c>
      <c r="J398" s="6">
        <v>0</v>
      </c>
      <c r="K398" s="6">
        <v>0</v>
      </c>
      <c r="L398" s="6">
        <v>1.6679999999999999</v>
      </c>
      <c r="M398" s="6">
        <v>0.45035999999999998</v>
      </c>
      <c r="N398" s="6">
        <v>1.6679999999999999</v>
      </c>
      <c r="O398" s="6">
        <v>0.45035999999999998</v>
      </c>
      <c r="P398" s="6">
        <v>0</v>
      </c>
      <c r="Q398" s="4" t="s">
        <v>26</v>
      </c>
      <c r="R398" s="4">
        <v>0</v>
      </c>
      <c r="S398" s="4">
        <v>0</v>
      </c>
      <c r="T398" s="4">
        <v>46</v>
      </c>
      <c r="U398" s="4">
        <v>99</v>
      </c>
      <c r="V398" s="6">
        <f>IF(ISERROR(VLOOKUP($S$398,'TAR FIN'!$A$1:$O$100,15,0)),0,VLOOKUP($S$398,'TAR FIN'!$A$1:$O$100,15,0))</f>
        <v>0</v>
      </c>
      <c r="W398" s="6">
        <f>IF(ISERROR(VLOOKUP($T$398,'TAR FIN'!$A$1:$O$100,15,0)),0,VLOOKUP($T$398,'TAR FIN'!$A$1:$O$100,15,0))</f>
        <v>251.46</v>
      </c>
      <c r="X398" s="6">
        <f>IF(ISERROR(VLOOKUP($U$398,'TAR FIN'!$A$1:$O$100,15,0)),0,VLOOKUP($U$398,'TAR FIN'!$A$1:$O$100,15,0))</f>
        <v>203.57</v>
      </c>
      <c r="Y398" s="6"/>
      <c r="Z398" s="6">
        <f ca="1">('TUSD BE'!$AM$43+'TUSD BF'!$AM$43+'TUSD CVA'!$AM$43)*(1-CUSTOS!$M$38)</f>
        <v>268.50633429802321</v>
      </c>
      <c r="AA398" s="6">
        <f>('TE BE'!$AA$26+'TE BF'!$AA$26+'TE CVA'!$AA$26)*(1-CUSTOS!$M$38)</f>
        <v>235.74605718547673</v>
      </c>
      <c r="AB398" s="6">
        <f t="shared" si="22"/>
        <v>0</v>
      </c>
      <c r="AC398" s="6">
        <f>(L398-M398)*(W398+X398)+($W$170+$X$170-$W$398-$X$398)*(L398)</f>
        <v>657.56212919999996</v>
      </c>
      <c r="AD398" s="6">
        <f t="shared" si="23"/>
        <v>0</v>
      </c>
      <c r="AE398" s="6">
        <f ca="1">(L398-M398)*(Z398+AA398)+($Z$170+$AA$170-$Z$398-$AA$398)*(L398)</f>
        <v>667.68466849753111</v>
      </c>
      <c r="AF398" s="4" t="s">
        <v>916</v>
      </c>
    </row>
    <row r="399" spans="1:32" ht="11.25" customHeight="1" x14ac:dyDescent="0.25">
      <c r="A399" s="4" t="s">
        <v>21</v>
      </c>
      <c r="B399" s="4" t="s">
        <v>43</v>
      </c>
      <c r="C399" s="4" t="s">
        <v>23</v>
      </c>
      <c r="D399" s="4" t="s">
        <v>44</v>
      </c>
      <c r="E399" s="4" t="s">
        <v>52</v>
      </c>
      <c r="F399" s="4" t="s">
        <v>54</v>
      </c>
      <c r="G399" s="4" t="s">
        <v>25</v>
      </c>
      <c r="H399" s="4" t="s">
        <v>25</v>
      </c>
      <c r="I399" s="5">
        <v>44501</v>
      </c>
      <c r="J399" s="6">
        <v>0</v>
      </c>
      <c r="K399" s="6">
        <v>0</v>
      </c>
      <c r="L399" s="6">
        <v>171.94200000000001</v>
      </c>
      <c r="M399" s="6">
        <v>46.424340000000001</v>
      </c>
      <c r="N399" s="6">
        <v>171.94200000000001</v>
      </c>
      <c r="O399" s="6">
        <v>46.424340000000001</v>
      </c>
      <c r="P399" s="6">
        <v>0</v>
      </c>
      <c r="Q399" s="4" t="s">
        <v>26</v>
      </c>
      <c r="R399" s="4">
        <v>0</v>
      </c>
      <c r="S399" s="4">
        <v>0</v>
      </c>
      <c r="T399" s="4">
        <v>46</v>
      </c>
      <c r="U399" s="4">
        <v>99</v>
      </c>
      <c r="V399" s="6">
        <f>IF(ISERROR(VLOOKUP($S$399,'TAR FIN'!$A$1:$O$100,15,0)),0,VLOOKUP($S$399,'TAR FIN'!$A$1:$O$100,15,0))</f>
        <v>0</v>
      </c>
      <c r="W399" s="6">
        <f>IF(ISERROR(VLOOKUP($T$399,'TAR FIN'!$A$1:$O$100,15,0)),0,VLOOKUP($T$399,'TAR FIN'!$A$1:$O$100,15,0))</f>
        <v>251.46</v>
      </c>
      <c r="X399" s="6">
        <f>IF(ISERROR(VLOOKUP($U$399,'TAR FIN'!$A$1:$O$100,15,0)),0,VLOOKUP($U$399,'TAR FIN'!$A$1:$O$100,15,0))</f>
        <v>203.57</v>
      </c>
      <c r="Y399" s="6"/>
      <c r="Z399" s="6">
        <f ca="1">('TUSD BE'!$AM$43+'TUSD BF'!$AM$43+'TUSD CVA'!$AM$43)*(1-CUSTOS!$M$38)</f>
        <v>268.50633429802321</v>
      </c>
      <c r="AA399" s="6">
        <f>('TE BE'!$AA$26+'TE BF'!$AA$26+'TE CVA'!$AA$26)*(1-CUSTOS!$M$38)</f>
        <v>235.74605718547673</v>
      </c>
      <c r="AB399" s="6">
        <f t="shared" si="22"/>
        <v>0</v>
      </c>
      <c r="AC399" s="6">
        <f>(L399-M399)*(W399+X399)+($W$170+$X$170-$W$399-$X$399)*(L399)</f>
        <v>67783.3019298</v>
      </c>
      <c r="AD399" s="6">
        <f t="shared" si="23"/>
        <v>0</v>
      </c>
      <c r="AE399" s="6">
        <f ca="1">(L399-M399)*(Z399+AA399)+($Z$170+$AA$170-$Z$399-$AA$399)*(L399)</f>
        <v>68826.760953718534</v>
      </c>
      <c r="AF399" s="4" t="s">
        <v>916</v>
      </c>
    </row>
    <row r="400" spans="1:32" ht="11.25" customHeight="1" x14ac:dyDescent="0.25">
      <c r="A400" s="4" t="s">
        <v>27</v>
      </c>
      <c r="B400" s="4" t="s">
        <v>43</v>
      </c>
      <c r="C400" s="4" t="s">
        <v>23</v>
      </c>
      <c r="D400" s="4" t="s">
        <v>44</v>
      </c>
      <c r="E400" s="4" t="s">
        <v>52</v>
      </c>
      <c r="F400" s="4" t="s">
        <v>54</v>
      </c>
      <c r="G400" s="4" t="s">
        <v>25</v>
      </c>
      <c r="H400" s="4" t="s">
        <v>25</v>
      </c>
      <c r="I400" s="5">
        <v>44501</v>
      </c>
      <c r="J400" s="6">
        <v>0</v>
      </c>
      <c r="K400" s="6">
        <v>0</v>
      </c>
      <c r="L400" s="6">
        <v>1.3939999999999999</v>
      </c>
      <c r="M400" s="6">
        <v>0.37637999999999999</v>
      </c>
      <c r="N400" s="6">
        <v>1.3939999999999999</v>
      </c>
      <c r="O400" s="6">
        <v>0.37637999999999999</v>
      </c>
      <c r="P400" s="6">
        <v>0</v>
      </c>
      <c r="Q400" s="4" t="s">
        <v>26</v>
      </c>
      <c r="R400" s="4">
        <v>0</v>
      </c>
      <c r="S400" s="4">
        <v>0</v>
      </c>
      <c r="T400" s="4">
        <v>46</v>
      </c>
      <c r="U400" s="4">
        <v>99</v>
      </c>
      <c r="V400" s="6">
        <f>IF(ISERROR(VLOOKUP($S$400,'TAR FIN'!$A$1:$O$100,15,0)),0,VLOOKUP($S$400,'TAR FIN'!$A$1:$O$100,15,0))</f>
        <v>0</v>
      </c>
      <c r="W400" s="6">
        <f>IF(ISERROR(VLOOKUP($T$400,'TAR FIN'!$A$1:$O$100,15,0)),0,VLOOKUP($T$400,'TAR FIN'!$A$1:$O$100,15,0))</f>
        <v>251.46</v>
      </c>
      <c r="X400" s="6">
        <f>IF(ISERROR(VLOOKUP($U$400,'TAR FIN'!$A$1:$O$100,15,0)),0,VLOOKUP($U$400,'TAR FIN'!$A$1:$O$100,15,0))</f>
        <v>203.57</v>
      </c>
      <c r="Y400" s="6"/>
      <c r="Z400" s="6">
        <f ca="1">('TUSD BE'!$AM$43+'TUSD BF'!$AM$43+'TUSD CVA'!$AM$43)*(1-CUSTOS!$M$38)</f>
        <v>268.50633429802321</v>
      </c>
      <c r="AA400" s="6">
        <f>('TE BE'!$AA$26+'TE BF'!$AA$26+'TE CVA'!$AA$26)*(1-CUSTOS!$M$38)</f>
        <v>235.74605718547673</v>
      </c>
      <c r="AB400" s="6">
        <f t="shared" si="22"/>
        <v>0</v>
      </c>
      <c r="AC400" s="6">
        <f>(L400-M400)*(W400+X400)+($W$170+$X$170-$W$400-$X$400)*(L400)</f>
        <v>549.54532859999995</v>
      </c>
      <c r="AD400" s="6">
        <f t="shared" si="23"/>
        <v>0</v>
      </c>
      <c r="AE400" s="6">
        <f ca="1">(L400-M400)*(Z400+AA400)+($Z$170+$AA$170-$Z$400-$AA$400)*(L400)</f>
        <v>558.00505268918369</v>
      </c>
      <c r="AF400" s="4" t="s">
        <v>916</v>
      </c>
    </row>
    <row r="401" spans="1:32" ht="11.25" customHeight="1" x14ac:dyDescent="0.25">
      <c r="A401" s="4" t="s">
        <v>28</v>
      </c>
      <c r="B401" s="4" t="s">
        <v>43</v>
      </c>
      <c r="C401" s="4" t="s">
        <v>23</v>
      </c>
      <c r="D401" s="4" t="s">
        <v>44</v>
      </c>
      <c r="E401" s="4" t="s">
        <v>52</v>
      </c>
      <c r="F401" s="4" t="s">
        <v>54</v>
      </c>
      <c r="G401" s="4" t="s">
        <v>25</v>
      </c>
      <c r="H401" s="4" t="s">
        <v>25</v>
      </c>
      <c r="I401" s="5">
        <v>44501</v>
      </c>
      <c r="J401" s="6">
        <v>0</v>
      </c>
      <c r="K401" s="6">
        <v>0</v>
      </c>
      <c r="L401" s="6">
        <v>1.8109999999999999</v>
      </c>
      <c r="M401" s="6">
        <v>0.48897000000000002</v>
      </c>
      <c r="N401" s="6">
        <v>1.8109999999999999</v>
      </c>
      <c r="O401" s="6">
        <v>0.48897000000000002</v>
      </c>
      <c r="P401" s="6">
        <v>0</v>
      </c>
      <c r="Q401" s="4" t="s">
        <v>26</v>
      </c>
      <c r="R401" s="4">
        <v>0</v>
      </c>
      <c r="S401" s="4">
        <v>0</v>
      </c>
      <c r="T401" s="4">
        <v>46</v>
      </c>
      <c r="U401" s="4">
        <v>99</v>
      </c>
      <c r="V401" s="6">
        <f>IF(ISERROR(VLOOKUP($S$401,'TAR FIN'!$A$1:$O$100,15,0)),0,VLOOKUP($S$401,'TAR FIN'!$A$1:$O$100,15,0))</f>
        <v>0</v>
      </c>
      <c r="W401" s="6">
        <f>IF(ISERROR(VLOOKUP($T$401,'TAR FIN'!$A$1:$O$100,15,0)),0,VLOOKUP($T$401,'TAR FIN'!$A$1:$O$100,15,0))</f>
        <v>251.46</v>
      </c>
      <c r="X401" s="6">
        <f>IF(ISERROR(VLOOKUP($U$401,'TAR FIN'!$A$1:$O$100,15,0)),0,VLOOKUP($U$401,'TAR FIN'!$A$1:$O$100,15,0))</f>
        <v>203.57</v>
      </c>
      <c r="Y401" s="6"/>
      <c r="Z401" s="6">
        <f ca="1">('TUSD BE'!$AM$43+'TUSD BF'!$AM$43+'TUSD CVA'!$AM$43)*(1-CUSTOS!$M$38)</f>
        <v>268.50633429802321</v>
      </c>
      <c r="AA401" s="6">
        <f>('TE BE'!$AA$26+'TE BF'!$AA$26+'TE CVA'!$AA$26)*(1-CUSTOS!$M$38)</f>
        <v>235.74605718547673</v>
      </c>
      <c r="AB401" s="6">
        <f t="shared" si="22"/>
        <v>0</v>
      </c>
      <c r="AC401" s="6">
        <f>(L401-M401)*(W401+X401)+($W$170+$X$170-$W$401-$X$401)*(L401)</f>
        <v>713.93586089999997</v>
      </c>
      <c r="AD401" s="6">
        <f t="shared" si="23"/>
        <v>0</v>
      </c>
      <c r="AE401" s="6">
        <f ca="1">(L401-M401)*(Z401+AA401)+($Z$170+$AA$170-$Z$401-$AA$401)*(L401)</f>
        <v>724.92621981356638</v>
      </c>
      <c r="AF401" s="4" t="s">
        <v>916</v>
      </c>
    </row>
    <row r="402" spans="1:32" ht="11.25" customHeight="1" x14ac:dyDescent="0.25">
      <c r="A402" s="4" t="s">
        <v>21</v>
      </c>
      <c r="B402" s="4" t="s">
        <v>43</v>
      </c>
      <c r="C402" s="4" t="s">
        <v>23</v>
      </c>
      <c r="D402" s="4" t="s">
        <v>44</v>
      </c>
      <c r="E402" s="4" t="s">
        <v>52</v>
      </c>
      <c r="F402" s="4" t="s">
        <v>54</v>
      </c>
      <c r="G402" s="4" t="s">
        <v>25</v>
      </c>
      <c r="H402" s="4" t="s">
        <v>25</v>
      </c>
      <c r="I402" s="5">
        <v>44531</v>
      </c>
      <c r="J402" s="6">
        <v>0</v>
      </c>
      <c r="K402" s="6">
        <v>0</v>
      </c>
      <c r="L402" s="6">
        <v>175.35499999999999</v>
      </c>
      <c r="M402" s="6">
        <v>47.345849999999999</v>
      </c>
      <c r="N402" s="6">
        <v>175.35499999999999</v>
      </c>
      <c r="O402" s="6">
        <v>47.345849999999999</v>
      </c>
      <c r="P402" s="6">
        <v>0</v>
      </c>
      <c r="Q402" s="4" t="s">
        <v>26</v>
      </c>
      <c r="R402" s="4">
        <v>0</v>
      </c>
      <c r="S402" s="4">
        <v>0</v>
      </c>
      <c r="T402" s="4">
        <v>46</v>
      </c>
      <c r="U402" s="4">
        <v>99</v>
      </c>
      <c r="V402" s="6">
        <f>IF(ISERROR(VLOOKUP($S$402,'TAR FIN'!$A$1:$O$100,15,0)),0,VLOOKUP($S$402,'TAR FIN'!$A$1:$O$100,15,0))</f>
        <v>0</v>
      </c>
      <c r="W402" s="6">
        <f>IF(ISERROR(VLOOKUP($T$402,'TAR FIN'!$A$1:$O$100,15,0)),0,VLOOKUP($T$402,'TAR FIN'!$A$1:$O$100,15,0))</f>
        <v>251.46</v>
      </c>
      <c r="X402" s="6">
        <f>IF(ISERROR(VLOOKUP($U$402,'TAR FIN'!$A$1:$O$100,15,0)),0,VLOOKUP($U$402,'TAR FIN'!$A$1:$O$100,15,0))</f>
        <v>203.57</v>
      </c>
      <c r="Y402" s="6"/>
      <c r="Z402" s="6">
        <f ca="1">('TUSD BE'!$AM$43+'TUSD BF'!$AM$43+'TUSD CVA'!$AM$43)*(1-CUSTOS!$M$38)</f>
        <v>268.50633429802321</v>
      </c>
      <c r="AA402" s="6">
        <f>('TE BE'!$AA$26+'TE BF'!$AA$26+'TE CVA'!$AA$26)*(1-CUSTOS!$M$38)</f>
        <v>235.74605718547673</v>
      </c>
      <c r="AB402" s="6">
        <f t="shared" si="22"/>
        <v>0</v>
      </c>
      <c r="AC402" s="6">
        <f>(L402-M402)*(W402+X402)+($W$170+$X$170-$W$402-$X$402)*(L402)</f>
        <v>69128.781274499983</v>
      </c>
      <c r="AD402" s="6">
        <f t="shared" si="23"/>
        <v>0</v>
      </c>
      <c r="AE402" s="6">
        <f ca="1">(L402-M402)*(Z402+AA402)+($Z$170+$AA$170-$Z$402-$AA$402)*(L402)</f>
        <v>70192.952664499142</v>
      </c>
      <c r="AF402" s="4" t="s">
        <v>916</v>
      </c>
    </row>
    <row r="403" spans="1:32" ht="11.25" customHeight="1" x14ac:dyDescent="0.25">
      <c r="A403" s="4" t="s">
        <v>28</v>
      </c>
      <c r="B403" s="4" t="s">
        <v>43</v>
      </c>
      <c r="C403" s="4" t="s">
        <v>23</v>
      </c>
      <c r="D403" s="4" t="s">
        <v>44</v>
      </c>
      <c r="E403" s="4" t="s">
        <v>52</v>
      </c>
      <c r="F403" s="4" t="s">
        <v>54</v>
      </c>
      <c r="G403" s="4" t="s">
        <v>25</v>
      </c>
      <c r="H403" s="4" t="s">
        <v>25</v>
      </c>
      <c r="I403" s="5">
        <v>44531</v>
      </c>
      <c r="J403" s="6">
        <v>0</v>
      </c>
      <c r="K403" s="6">
        <v>0</v>
      </c>
      <c r="L403" s="6">
        <v>1.776</v>
      </c>
      <c r="M403" s="6">
        <v>0.47952</v>
      </c>
      <c r="N403" s="6">
        <v>1.776</v>
      </c>
      <c r="O403" s="6">
        <v>0.47952</v>
      </c>
      <c r="P403" s="6">
        <v>0</v>
      </c>
      <c r="Q403" s="4" t="s">
        <v>26</v>
      </c>
      <c r="R403" s="4">
        <v>0</v>
      </c>
      <c r="S403" s="4">
        <v>0</v>
      </c>
      <c r="T403" s="4">
        <v>46</v>
      </c>
      <c r="U403" s="4">
        <v>99</v>
      </c>
      <c r="V403" s="6">
        <f>IF(ISERROR(VLOOKUP($S$403,'TAR FIN'!$A$1:$O$100,15,0)),0,VLOOKUP($S$403,'TAR FIN'!$A$1:$O$100,15,0))</f>
        <v>0</v>
      </c>
      <c r="W403" s="6">
        <f>IF(ISERROR(VLOOKUP($T$403,'TAR FIN'!$A$1:$O$100,15,0)),0,VLOOKUP($T$403,'TAR FIN'!$A$1:$O$100,15,0))</f>
        <v>251.46</v>
      </c>
      <c r="X403" s="6">
        <f>IF(ISERROR(VLOOKUP($U$403,'TAR FIN'!$A$1:$O$100,15,0)),0,VLOOKUP($U$403,'TAR FIN'!$A$1:$O$100,15,0))</f>
        <v>203.57</v>
      </c>
      <c r="Y403" s="6"/>
      <c r="Z403" s="6">
        <f ca="1">('TUSD BE'!$AM$43+'TUSD BF'!$AM$43+'TUSD CVA'!$AM$43)*(1-CUSTOS!$M$38)</f>
        <v>268.50633429802321</v>
      </c>
      <c r="AA403" s="6">
        <f>('TE BE'!$AA$26+'TE BF'!$AA$26+'TE CVA'!$AA$26)*(1-CUSTOS!$M$38)</f>
        <v>235.74605718547673</v>
      </c>
      <c r="AB403" s="6">
        <f t="shared" si="22"/>
        <v>0</v>
      </c>
      <c r="AC403" s="6">
        <f>(L403-M403)*(W403+X403)+($W$170+$X$170-$W$403-$X$403)*(L403)</f>
        <v>700.1380944</v>
      </c>
      <c r="AD403" s="6">
        <f t="shared" si="23"/>
        <v>0</v>
      </c>
      <c r="AE403" s="6">
        <f ca="1">(L403-M403)*(Z403+AA403)+($Z$170+$AA$170-$Z$403-$AA$403)*(L403)</f>
        <v>710.91604991104043</v>
      </c>
      <c r="AF403" s="4" t="s">
        <v>916</v>
      </c>
    </row>
    <row r="404" spans="1:32" ht="11.25" customHeight="1" x14ac:dyDescent="0.25">
      <c r="A404" s="4" t="s">
        <v>55</v>
      </c>
      <c r="B404" s="4" t="s">
        <v>43</v>
      </c>
      <c r="C404" s="4" t="s">
        <v>23</v>
      </c>
      <c r="D404" s="4" t="s">
        <v>44</v>
      </c>
      <c r="E404" s="4" t="s">
        <v>52</v>
      </c>
      <c r="F404" s="4" t="s">
        <v>54</v>
      </c>
      <c r="G404" s="4" t="s">
        <v>25</v>
      </c>
      <c r="H404" s="4" t="s">
        <v>25</v>
      </c>
      <c r="I404" s="5">
        <v>44562</v>
      </c>
      <c r="J404" s="6">
        <v>0</v>
      </c>
      <c r="K404" s="6">
        <v>0</v>
      </c>
      <c r="L404" s="6">
        <v>175.35499999999999</v>
      </c>
      <c r="M404" s="6">
        <v>47.345849999999999</v>
      </c>
      <c r="N404" s="6">
        <v>175.35499999999999</v>
      </c>
      <c r="O404" s="6">
        <v>47.345849999999999</v>
      </c>
      <c r="P404" s="6">
        <v>0</v>
      </c>
      <c r="Q404" s="4" t="s">
        <v>26</v>
      </c>
      <c r="R404" s="4">
        <v>0</v>
      </c>
      <c r="S404" s="4">
        <v>0</v>
      </c>
      <c r="T404" s="4">
        <v>46</v>
      </c>
      <c r="U404" s="4">
        <v>99</v>
      </c>
      <c r="V404" s="6">
        <f>IF(ISERROR(VLOOKUP($S$404,'TAR FIN'!$A$1:$O$100,15,0)),0,VLOOKUP($S$404,'TAR FIN'!$A$1:$O$100,15,0))</f>
        <v>0</v>
      </c>
      <c r="W404" s="6">
        <f>IF(ISERROR(VLOOKUP($T$404,'TAR FIN'!$A$1:$O$100,15,0)),0,VLOOKUP($T$404,'TAR FIN'!$A$1:$O$100,15,0))</f>
        <v>251.46</v>
      </c>
      <c r="X404" s="6">
        <f>IF(ISERROR(VLOOKUP($U$404,'TAR FIN'!$A$1:$O$100,15,0)),0,VLOOKUP($U$404,'TAR FIN'!$A$1:$O$100,15,0))</f>
        <v>203.57</v>
      </c>
      <c r="Y404" s="6"/>
      <c r="Z404" s="6">
        <f ca="1">('TUSD BE'!$AM$43+'TUSD BF'!$AM$43+'TUSD CVA'!$AM$43)*(1-CUSTOS!$M$38)</f>
        <v>268.50633429802321</v>
      </c>
      <c r="AA404" s="6">
        <f>('TE BE'!$AA$26+'TE BF'!$AA$26+'TE CVA'!$AA$26)*(1-CUSTOS!$M$38)</f>
        <v>235.74605718547673</v>
      </c>
      <c r="AB404" s="6">
        <f t="shared" si="22"/>
        <v>0</v>
      </c>
      <c r="AC404" s="6">
        <f>(L404-M404)*(W404+X404)+($W$170+$X$170-$W$404-$X$404)*(L404)</f>
        <v>69128.781274499983</v>
      </c>
      <c r="AD404" s="6">
        <f t="shared" si="23"/>
        <v>0</v>
      </c>
      <c r="AE404" s="6">
        <f ca="1">(L404-M404)*(Z404+AA404)+($Z$170+$AA$170-$Z$404-$AA$404)*(L404)</f>
        <v>70192.952664499142</v>
      </c>
      <c r="AF404" s="4" t="s">
        <v>916</v>
      </c>
    </row>
    <row r="405" spans="1:32" ht="11.25" customHeight="1" x14ac:dyDescent="0.25">
      <c r="A405" s="4" t="s">
        <v>55</v>
      </c>
      <c r="B405" s="4" t="s">
        <v>43</v>
      </c>
      <c r="C405" s="4" t="s">
        <v>23</v>
      </c>
      <c r="D405" s="4" t="s">
        <v>44</v>
      </c>
      <c r="E405" s="4" t="s">
        <v>52</v>
      </c>
      <c r="F405" s="4" t="s">
        <v>54</v>
      </c>
      <c r="G405" s="4" t="s">
        <v>25</v>
      </c>
      <c r="H405" s="4" t="s">
        <v>25</v>
      </c>
      <c r="I405" s="5">
        <v>44562</v>
      </c>
      <c r="J405" s="6">
        <v>0</v>
      </c>
      <c r="K405" s="6">
        <v>0</v>
      </c>
      <c r="L405" s="6">
        <v>1.776</v>
      </c>
      <c r="M405" s="6">
        <v>0.47952</v>
      </c>
      <c r="N405" s="6">
        <v>1.776</v>
      </c>
      <c r="O405" s="6">
        <v>0.47952</v>
      </c>
      <c r="P405" s="6">
        <v>0</v>
      </c>
      <c r="Q405" s="4" t="s">
        <v>26</v>
      </c>
      <c r="R405" s="4">
        <v>0</v>
      </c>
      <c r="S405" s="4">
        <v>0</v>
      </c>
      <c r="T405" s="4">
        <v>46</v>
      </c>
      <c r="U405" s="4">
        <v>99</v>
      </c>
      <c r="V405" s="6">
        <f>IF(ISERROR(VLOOKUP($S$405,'TAR FIN'!$A$1:$O$100,15,0)),0,VLOOKUP($S$405,'TAR FIN'!$A$1:$O$100,15,0))</f>
        <v>0</v>
      </c>
      <c r="W405" s="6">
        <f>IF(ISERROR(VLOOKUP($T$405,'TAR FIN'!$A$1:$O$100,15,0)),0,VLOOKUP($T$405,'TAR FIN'!$A$1:$O$100,15,0))</f>
        <v>251.46</v>
      </c>
      <c r="X405" s="6">
        <f>IF(ISERROR(VLOOKUP($U$405,'TAR FIN'!$A$1:$O$100,15,0)),0,VLOOKUP($U$405,'TAR FIN'!$A$1:$O$100,15,0))</f>
        <v>203.57</v>
      </c>
      <c r="Y405" s="6"/>
      <c r="Z405" s="6">
        <f ca="1">('TUSD BE'!$AM$43+'TUSD BF'!$AM$43+'TUSD CVA'!$AM$43)*(1-CUSTOS!$M$38)</f>
        <v>268.50633429802321</v>
      </c>
      <c r="AA405" s="6">
        <f>('TE BE'!$AA$26+'TE BF'!$AA$26+'TE CVA'!$AA$26)*(1-CUSTOS!$M$38)</f>
        <v>235.74605718547673</v>
      </c>
      <c r="AB405" s="6">
        <f t="shared" si="22"/>
        <v>0</v>
      </c>
      <c r="AC405" s="6">
        <f>(L405-M405)*(W405+X405)+($W$170+$X$170-$W$405-$X$405)*(L405)</f>
        <v>700.1380944</v>
      </c>
      <c r="AD405" s="6">
        <f t="shared" si="23"/>
        <v>0</v>
      </c>
      <c r="AE405" s="6">
        <f ca="1">(L405-M405)*(Z405+AA405)+($Z$170+$AA$170-$Z$405-$AA$405)*(L405)</f>
        <v>710.91604991104043</v>
      </c>
      <c r="AF405" s="4" t="s">
        <v>916</v>
      </c>
    </row>
    <row r="406" spans="1:32" ht="11.25" customHeight="1" x14ac:dyDescent="0.25">
      <c r="A406" s="4" t="s">
        <v>21</v>
      </c>
      <c r="B406" s="4" t="s">
        <v>43</v>
      </c>
      <c r="C406" s="4" t="s">
        <v>23</v>
      </c>
      <c r="D406" s="4" t="s">
        <v>44</v>
      </c>
      <c r="E406" s="4" t="s">
        <v>25</v>
      </c>
      <c r="F406" s="4" t="s">
        <v>25</v>
      </c>
      <c r="G406" s="4" t="s">
        <v>25</v>
      </c>
      <c r="H406" s="4" t="s">
        <v>25</v>
      </c>
      <c r="I406" s="5">
        <v>44228</v>
      </c>
      <c r="J406" s="6">
        <v>0</v>
      </c>
      <c r="K406" s="6">
        <v>0</v>
      </c>
      <c r="L406" s="6">
        <v>1720.0550000000001</v>
      </c>
      <c r="M406" s="6">
        <v>1720.0550000000001</v>
      </c>
      <c r="N406" s="6">
        <v>1720.0550000000001</v>
      </c>
      <c r="O406" s="6">
        <v>1720.0550000000001</v>
      </c>
      <c r="P406" s="6">
        <v>14642</v>
      </c>
      <c r="Q406" s="4" t="s">
        <v>26</v>
      </c>
      <c r="R406" s="4">
        <v>0</v>
      </c>
      <c r="S406" s="4">
        <v>0</v>
      </c>
      <c r="T406" s="4">
        <v>46</v>
      </c>
      <c r="U406" s="4">
        <v>99</v>
      </c>
      <c r="V406" s="6">
        <f>IF(ISERROR(VLOOKUP($S$406,'TAR FIN'!$A$1:$O$100,15,0)),0,VLOOKUP($S$406,'TAR FIN'!$A$1:$O$100,15,0))</f>
        <v>0</v>
      </c>
      <c r="W406" s="6">
        <f>IF(ISERROR(VLOOKUP($T$406,'TAR FIN'!$A$1:$O$100,15,0)),0,VLOOKUP($T$406,'TAR FIN'!$A$1:$O$100,15,0))</f>
        <v>251.46</v>
      </c>
      <c r="X406" s="6">
        <f>IF(ISERROR(VLOOKUP($U$406,'TAR FIN'!$A$1:$O$100,15,0)),0,VLOOKUP($U$406,'TAR FIN'!$A$1:$O$100,15,0))</f>
        <v>203.57</v>
      </c>
      <c r="Y406" s="6"/>
      <c r="Z406" s="6">
        <f ca="1">('TUSD BE'!$AM$43+'TUSD BF'!$AM$43+'TUSD CVA'!$AM$43)*(1-CUSTOS!$M$38)</f>
        <v>268.50633429802321</v>
      </c>
      <c r="AA406" s="6">
        <f>('TE BE'!$AA$26+'TE BF'!$AA$26+'TE CVA'!$AA$26)*(1-CUSTOS!$M$38)</f>
        <v>235.74605718547673</v>
      </c>
      <c r="AB406" s="6">
        <f t="shared" si="22"/>
        <v>0</v>
      </c>
      <c r="AC406" s="6">
        <f>(L406-M406)*(W406+X406)+($W$170+$X$170-$W$406-$X$406)*(L406)</f>
        <v>106729.41275000002</v>
      </c>
      <c r="AD406" s="6">
        <f t="shared" si="23"/>
        <v>0</v>
      </c>
      <c r="AE406" s="6">
        <f ca="1">(L406-M406)*(Z406+AA406)+($Z$170+$AA$170-$Z$406-$AA$406)*(L406)</f>
        <v>55362.24556807342</v>
      </c>
      <c r="AF406" s="4" t="s">
        <v>914</v>
      </c>
    </row>
    <row r="407" spans="1:32" ht="11.25" customHeight="1" x14ac:dyDescent="0.25">
      <c r="A407" s="4" t="s">
        <v>28</v>
      </c>
      <c r="B407" s="4" t="s">
        <v>43</v>
      </c>
      <c r="C407" s="4" t="s">
        <v>23</v>
      </c>
      <c r="D407" s="4" t="s">
        <v>44</v>
      </c>
      <c r="E407" s="4" t="s">
        <v>25</v>
      </c>
      <c r="F407" s="4" t="s">
        <v>25</v>
      </c>
      <c r="G407" s="4" t="s">
        <v>25</v>
      </c>
      <c r="H407" s="4" t="s">
        <v>25</v>
      </c>
      <c r="I407" s="5">
        <v>44228</v>
      </c>
      <c r="J407" s="6">
        <v>0</v>
      </c>
      <c r="K407" s="6">
        <v>0</v>
      </c>
      <c r="L407" s="6">
        <v>4.5970000000000004</v>
      </c>
      <c r="M407" s="6">
        <v>4.5970000000000004</v>
      </c>
      <c r="N407" s="6">
        <v>4.5970000000000004</v>
      </c>
      <c r="O407" s="6">
        <v>4.5970000000000004</v>
      </c>
      <c r="P407" s="6">
        <v>22</v>
      </c>
      <c r="Q407" s="4" t="s">
        <v>26</v>
      </c>
      <c r="R407" s="4">
        <v>0</v>
      </c>
      <c r="S407" s="4">
        <v>0</v>
      </c>
      <c r="T407" s="4">
        <v>46</v>
      </c>
      <c r="U407" s="4">
        <v>99</v>
      </c>
      <c r="V407" s="6">
        <f>IF(ISERROR(VLOOKUP($S$407,'TAR FIN'!$A$1:$O$100,15,0)),0,VLOOKUP($S$407,'TAR FIN'!$A$1:$O$100,15,0))</f>
        <v>0</v>
      </c>
      <c r="W407" s="6">
        <f>IF(ISERROR(VLOOKUP($T$407,'TAR FIN'!$A$1:$O$100,15,0)),0,VLOOKUP($T$407,'TAR FIN'!$A$1:$O$100,15,0))</f>
        <v>251.46</v>
      </c>
      <c r="X407" s="6">
        <f>IF(ISERROR(VLOOKUP($U$407,'TAR FIN'!$A$1:$O$100,15,0)),0,VLOOKUP($U$407,'TAR FIN'!$A$1:$O$100,15,0))</f>
        <v>203.57</v>
      </c>
      <c r="Y407" s="6"/>
      <c r="Z407" s="6">
        <f ca="1">('TUSD BE'!$AM$43+'TUSD BF'!$AM$43+'TUSD CVA'!$AM$43)*(1-CUSTOS!$M$38)</f>
        <v>268.50633429802321</v>
      </c>
      <c r="AA407" s="6">
        <f>('TE BE'!$AA$26+'TE BF'!$AA$26+'TE CVA'!$AA$26)*(1-CUSTOS!$M$38)</f>
        <v>235.74605718547673</v>
      </c>
      <c r="AB407" s="6">
        <f t="shared" si="22"/>
        <v>0</v>
      </c>
      <c r="AC407" s="6">
        <f>(L407-M407)*(W407+X407)+($W$170+$X$170-$W$407-$X$407)*(L407)</f>
        <v>285.24385000000007</v>
      </c>
      <c r="AD407" s="6">
        <f t="shared" si="23"/>
        <v>0</v>
      </c>
      <c r="AE407" s="6">
        <f ca="1">(L407-M407)*(Z407+AA407)+($Z$170+$AA$170-$Z$407-$AA$407)*(L407)</f>
        <v>147.96052619040293</v>
      </c>
      <c r="AF407" s="4" t="s">
        <v>914</v>
      </c>
    </row>
    <row r="408" spans="1:32" ht="11.25" customHeight="1" x14ac:dyDescent="0.25">
      <c r="A408" s="4" t="s">
        <v>21</v>
      </c>
      <c r="B408" s="4" t="s">
        <v>43</v>
      </c>
      <c r="C408" s="4" t="s">
        <v>23</v>
      </c>
      <c r="D408" s="4" t="s">
        <v>44</v>
      </c>
      <c r="E408" s="4" t="s">
        <v>25</v>
      </c>
      <c r="F408" s="4" t="s">
        <v>25</v>
      </c>
      <c r="G408" s="4" t="s">
        <v>25</v>
      </c>
      <c r="H408" s="4" t="s">
        <v>25</v>
      </c>
      <c r="I408" s="5">
        <v>44256</v>
      </c>
      <c r="J408" s="6">
        <v>0</v>
      </c>
      <c r="K408" s="6">
        <v>0</v>
      </c>
      <c r="L408" s="6">
        <v>1849.31</v>
      </c>
      <c r="M408" s="6">
        <v>1849.31</v>
      </c>
      <c r="N408" s="6">
        <v>1849.31</v>
      </c>
      <c r="O408" s="6">
        <v>1849.31</v>
      </c>
      <c r="P408" s="6">
        <v>14667</v>
      </c>
      <c r="Q408" s="4" t="s">
        <v>26</v>
      </c>
      <c r="R408" s="4">
        <v>0</v>
      </c>
      <c r="S408" s="4">
        <v>0</v>
      </c>
      <c r="T408" s="4">
        <v>46</v>
      </c>
      <c r="U408" s="4">
        <v>99</v>
      </c>
      <c r="V408" s="6">
        <f>IF(ISERROR(VLOOKUP($S$408,'TAR FIN'!$A$1:$O$100,15,0)),0,VLOOKUP($S$408,'TAR FIN'!$A$1:$O$100,15,0))</f>
        <v>0</v>
      </c>
      <c r="W408" s="6">
        <f>IF(ISERROR(VLOOKUP($T$408,'TAR FIN'!$A$1:$O$100,15,0)),0,VLOOKUP($T$408,'TAR FIN'!$A$1:$O$100,15,0))</f>
        <v>251.46</v>
      </c>
      <c r="X408" s="6">
        <f>IF(ISERROR(VLOOKUP($U$408,'TAR FIN'!$A$1:$O$100,15,0)),0,VLOOKUP($U$408,'TAR FIN'!$A$1:$O$100,15,0))</f>
        <v>203.57</v>
      </c>
      <c r="Y408" s="6"/>
      <c r="Z408" s="6">
        <f ca="1">('TUSD BE'!$AM$43+'TUSD BF'!$AM$43+'TUSD CVA'!$AM$43)*(1-CUSTOS!$M$38)</f>
        <v>268.50633429802321</v>
      </c>
      <c r="AA408" s="6">
        <f>('TE BE'!$AA$26+'TE BF'!$AA$26+'TE CVA'!$AA$26)*(1-CUSTOS!$M$38)</f>
        <v>235.74605718547673</v>
      </c>
      <c r="AB408" s="6">
        <f t="shared" si="22"/>
        <v>0</v>
      </c>
      <c r="AC408" s="6">
        <f>(L408-M408)*(W408+X408)+($W$170+$X$170-$W$408-$X$408)*(L408)</f>
        <v>114749.68550000002</v>
      </c>
      <c r="AD408" s="6">
        <f t="shared" si="23"/>
        <v>0</v>
      </c>
      <c r="AE408" s="6">
        <f ca="1">(L408-M408)*(Z408+AA408)+($Z$170+$AA$170-$Z$408-$AA$408)*(L408)</f>
        <v>59522.488729426586</v>
      </c>
      <c r="AF408" s="4" t="s">
        <v>914</v>
      </c>
    </row>
    <row r="409" spans="1:32" ht="11.25" customHeight="1" x14ac:dyDescent="0.25">
      <c r="A409" s="4" t="s">
        <v>28</v>
      </c>
      <c r="B409" s="4" t="s">
        <v>43</v>
      </c>
      <c r="C409" s="4" t="s">
        <v>23</v>
      </c>
      <c r="D409" s="4" t="s">
        <v>44</v>
      </c>
      <c r="E409" s="4" t="s">
        <v>25</v>
      </c>
      <c r="F409" s="4" t="s">
        <v>25</v>
      </c>
      <c r="G409" s="4" t="s">
        <v>25</v>
      </c>
      <c r="H409" s="4" t="s">
        <v>25</v>
      </c>
      <c r="I409" s="5">
        <v>44256</v>
      </c>
      <c r="J409" s="6">
        <v>0</v>
      </c>
      <c r="K409" s="6">
        <v>0</v>
      </c>
      <c r="L409" s="6">
        <v>2.952</v>
      </c>
      <c r="M409" s="6">
        <v>2.952</v>
      </c>
      <c r="N409" s="6">
        <v>2.952</v>
      </c>
      <c r="O409" s="6">
        <v>2.952</v>
      </c>
      <c r="P409" s="6">
        <v>21</v>
      </c>
      <c r="Q409" s="4" t="s">
        <v>26</v>
      </c>
      <c r="R409" s="4">
        <v>0</v>
      </c>
      <c r="S409" s="4">
        <v>0</v>
      </c>
      <c r="T409" s="4">
        <v>46</v>
      </c>
      <c r="U409" s="4">
        <v>99</v>
      </c>
      <c r="V409" s="6">
        <f>IF(ISERROR(VLOOKUP($S$409,'TAR FIN'!$A$1:$O$100,15,0)),0,VLOOKUP($S$409,'TAR FIN'!$A$1:$O$100,15,0))</f>
        <v>0</v>
      </c>
      <c r="W409" s="6">
        <f>IF(ISERROR(VLOOKUP($T$409,'TAR FIN'!$A$1:$O$100,15,0)),0,VLOOKUP($T$409,'TAR FIN'!$A$1:$O$100,15,0))</f>
        <v>251.46</v>
      </c>
      <c r="X409" s="6">
        <f>IF(ISERROR(VLOOKUP($U$409,'TAR FIN'!$A$1:$O$100,15,0)),0,VLOOKUP($U$409,'TAR FIN'!$A$1:$O$100,15,0))</f>
        <v>203.57</v>
      </c>
      <c r="Y409" s="6"/>
      <c r="Z409" s="6">
        <f ca="1">('TUSD BE'!$AM$43+'TUSD BF'!$AM$43+'TUSD CVA'!$AM$43)*(1-CUSTOS!$M$38)</f>
        <v>268.50633429802321</v>
      </c>
      <c r="AA409" s="6">
        <f>('TE BE'!$AA$26+'TE BF'!$AA$26+'TE CVA'!$AA$26)*(1-CUSTOS!$M$38)</f>
        <v>235.74605718547673</v>
      </c>
      <c r="AB409" s="6">
        <f t="shared" si="22"/>
        <v>0</v>
      </c>
      <c r="AC409" s="6">
        <f>(L409-M409)*(W409+X409)+($W$170+$X$170-$W$409-$X$409)*(L409)</f>
        <v>183.17160000000004</v>
      </c>
      <c r="AD409" s="6">
        <f t="shared" si="23"/>
        <v>0</v>
      </c>
      <c r="AE409" s="6">
        <f ca="1">(L409-M409)*(Z409+AA409)+($Z$170+$AA$170-$Z$409-$AA$409)*(L409)</f>
        <v>95.014025084635506</v>
      </c>
      <c r="AF409" s="4" t="s">
        <v>914</v>
      </c>
    </row>
    <row r="410" spans="1:32" ht="11.25" customHeight="1" x14ac:dyDescent="0.25">
      <c r="A410" s="4" t="s">
        <v>28</v>
      </c>
      <c r="B410" s="4" t="s">
        <v>43</v>
      </c>
      <c r="C410" s="4" t="s">
        <v>23</v>
      </c>
      <c r="D410" s="4" t="s">
        <v>44</v>
      </c>
      <c r="E410" s="4" t="s">
        <v>25</v>
      </c>
      <c r="F410" s="4" t="s">
        <v>25</v>
      </c>
      <c r="G410" s="4" t="s">
        <v>25</v>
      </c>
      <c r="H410" s="4" t="s">
        <v>25</v>
      </c>
      <c r="I410" s="5">
        <v>44256</v>
      </c>
      <c r="J410" s="6">
        <v>0</v>
      </c>
      <c r="K410" s="6">
        <v>0</v>
      </c>
      <c r="L410" s="6">
        <v>-0.66500000000000004</v>
      </c>
      <c r="M410" s="6">
        <v>-0.66500000000000004</v>
      </c>
      <c r="N410" s="6">
        <v>-0.66500000000000004</v>
      </c>
      <c r="O410" s="6">
        <v>-0.66500000000000004</v>
      </c>
      <c r="P410" s="6">
        <v>-1</v>
      </c>
      <c r="Q410" s="4" t="s">
        <v>26</v>
      </c>
      <c r="R410" s="4">
        <v>0</v>
      </c>
      <c r="S410" s="4">
        <v>0</v>
      </c>
      <c r="T410" s="4">
        <v>46</v>
      </c>
      <c r="U410" s="4">
        <v>99</v>
      </c>
      <c r="V410" s="6">
        <f>IF(ISERROR(VLOOKUP($S$410,'TAR FIN'!$A$1:$O$100,15,0)),0,VLOOKUP($S$410,'TAR FIN'!$A$1:$O$100,15,0))</f>
        <v>0</v>
      </c>
      <c r="W410" s="6">
        <f>IF(ISERROR(VLOOKUP($T$410,'TAR FIN'!$A$1:$O$100,15,0)),0,VLOOKUP($T$410,'TAR FIN'!$A$1:$O$100,15,0))</f>
        <v>251.46</v>
      </c>
      <c r="X410" s="6">
        <f>IF(ISERROR(VLOOKUP($U$410,'TAR FIN'!$A$1:$O$100,15,0)),0,VLOOKUP($U$410,'TAR FIN'!$A$1:$O$100,15,0))</f>
        <v>203.57</v>
      </c>
      <c r="Y410" s="6"/>
      <c r="Z410" s="6">
        <f ca="1">('TUSD BE'!$AM$43+'TUSD BF'!$AM$43+'TUSD CVA'!$AM$43)*(1-CUSTOS!$M$38)</f>
        <v>268.50633429802321</v>
      </c>
      <c r="AA410" s="6">
        <f>('TE BE'!$AA$26+'TE BF'!$AA$26+'TE CVA'!$AA$26)*(1-CUSTOS!$M$38)</f>
        <v>235.74605718547673</v>
      </c>
      <c r="AB410" s="6">
        <f t="shared" si="22"/>
        <v>0</v>
      </c>
      <c r="AC410" s="6">
        <f>(L410-M410)*(W410+X410)+($W$170+$X$170-$W$410-$X$410)*(L410)</f>
        <v>-41.263250000000006</v>
      </c>
      <c r="AD410" s="6">
        <f t="shared" si="23"/>
        <v>0</v>
      </c>
      <c r="AE410" s="6">
        <f ca="1">(L410-M410)*(Z410+AA410)+($Z$170+$AA$170-$Z$410-$AA$410)*(L410)</f>
        <v>-21.403904702331509</v>
      </c>
      <c r="AF410" s="4" t="s">
        <v>914</v>
      </c>
    </row>
    <row r="411" spans="1:32" ht="11.25" customHeight="1" x14ac:dyDescent="0.25">
      <c r="A411" s="4" t="s">
        <v>21</v>
      </c>
      <c r="B411" s="4" t="s">
        <v>43</v>
      </c>
      <c r="C411" s="4" t="s">
        <v>23</v>
      </c>
      <c r="D411" s="4" t="s">
        <v>44</v>
      </c>
      <c r="E411" s="4" t="s">
        <v>25</v>
      </c>
      <c r="F411" s="4" t="s">
        <v>25</v>
      </c>
      <c r="G411" s="4" t="s">
        <v>25</v>
      </c>
      <c r="H411" s="4" t="s">
        <v>25</v>
      </c>
      <c r="I411" s="5">
        <v>44287</v>
      </c>
      <c r="J411" s="6">
        <v>0</v>
      </c>
      <c r="K411" s="6">
        <v>0</v>
      </c>
      <c r="L411" s="6">
        <v>1809.0909999999999</v>
      </c>
      <c r="M411" s="6">
        <v>1809.0909999999999</v>
      </c>
      <c r="N411" s="6">
        <v>1809.0909999999999</v>
      </c>
      <c r="O411" s="6">
        <v>1809.0909999999999</v>
      </c>
      <c r="P411" s="6">
        <v>14691</v>
      </c>
      <c r="Q411" s="4" t="s">
        <v>26</v>
      </c>
      <c r="R411" s="4">
        <v>0</v>
      </c>
      <c r="S411" s="4">
        <v>0</v>
      </c>
      <c r="T411" s="4">
        <v>46</v>
      </c>
      <c r="U411" s="4">
        <v>99</v>
      </c>
      <c r="V411" s="6">
        <f>IF(ISERROR(VLOOKUP($S$411,'TAR FIN'!$A$1:$O$100,15,0)),0,VLOOKUP($S$411,'TAR FIN'!$A$1:$O$100,15,0))</f>
        <v>0</v>
      </c>
      <c r="W411" s="6">
        <f>IF(ISERROR(VLOOKUP($T$411,'TAR FIN'!$A$1:$O$100,15,0)),0,VLOOKUP($T$411,'TAR FIN'!$A$1:$O$100,15,0))</f>
        <v>251.46</v>
      </c>
      <c r="X411" s="6">
        <f>IF(ISERROR(VLOOKUP($U$411,'TAR FIN'!$A$1:$O$100,15,0)),0,VLOOKUP($U$411,'TAR FIN'!$A$1:$O$100,15,0))</f>
        <v>203.57</v>
      </c>
      <c r="Y411" s="6"/>
      <c r="Z411" s="6">
        <f ca="1">('TUSD BE'!$AM$43+'TUSD BF'!$AM$43+'TUSD CVA'!$AM$43)*(1-CUSTOS!$M$38)</f>
        <v>268.50633429802321</v>
      </c>
      <c r="AA411" s="6">
        <f>('TE BE'!$AA$26+'TE BF'!$AA$26+'TE CVA'!$AA$26)*(1-CUSTOS!$M$38)</f>
        <v>235.74605718547673</v>
      </c>
      <c r="AB411" s="6">
        <f t="shared" si="22"/>
        <v>0</v>
      </c>
      <c r="AC411" s="6">
        <f>(L411-M411)*(W411+X411)+($W$170+$X$170-$W$411-$X$411)*(L411)</f>
        <v>112254.09655000002</v>
      </c>
      <c r="AD411" s="6">
        <f t="shared" si="23"/>
        <v>0</v>
      </c>
      <c r="AE411" s="6">
        <f ca="1">(L411-M411)*(Z411+AA411)+($Z$170+$AA$170-$Z$411-$AA$411)*(L411)</f>
        <v>58227.98701029415</v>
      </c>
      <c r="AF411" s="4" t="s">
        <v>914</v>
      </c>
    </row>
    <row r="412" spans="1:32" ht="11.25" customHeight="1" x14ac:dyDescent="0.25">
      <c r="A412" s="4" t="s">
        <v>27</v>
      </c>
      <c r="B412" s="4" t="s">
        <v>43</v>
      </c>
      <c r="C412" s="4" t="s">
        <v>23</v>
      </c>
      <c r="D412" s="4" t="s">
        <v>44</v>
      </c>
      <c r="E412" s="4" t="s">
        <v>25</v>
      </c>
      <c r="F412" s="4" t="s">
        <v>25</v>
      </c>
      <c r="G412" s="4" t="s">
        <v>25</v>
      </c>
      <c r="H412" s="4" t="s">
        <v>25</v>
      </c>
      <c r="I412" s="5">
        <v>44287</v>
      </c>
      <c r="J412" s="6">
        <v>0</v>
      </c>
      <c r="K412" s="6">
        <v>0</v>
      </c>
      <c r="L412" s="6">
        <v>-4.32</v>
      </c>
      <c r="M412" s="6">
        <v>-4.32</v>
      </c>
      <c r="N412" s="6">
        <v>-4.32</v>
      </c>
      <c r="O412" s="6">
        <v>-4.32</v>
      </c>
      <c r="P412" s="6">
        <v>0</v>
      </c>
      <c r="Q412" s="4" t="s">
        <v>26</v>
      </c>
      <c r="R412" s="4">
        <v>0</v>
      </c>
      <c r="S412" s="4">
        <v>0</v>
      </c>
      <c r="T412" s="4">
        <v>46</v>
      </c>
      <c r="U412" s="4">
        <v>99</v>
      </c>
      <c r="V412" s="6">
        <f>IF(ISERROR(VLOOKUP($S$412,'TAR FIN'!$A$1:$O$100,15,0)),0,VLOOKUP($S$412,'TAR FIN'!$A$1:$O$100,15,0))</f>
        <v>0</v>
      </c>
      <c r="W412" s="6">
        <f>IF(ISERROR(VLOOKUP($T$412,'TAR FIN'!$A$1:$O$100,15,0)),0,VLOOKUP($T$412,'TAR FIN'!$A$1:$O$100,15,0))</f>
        <v>251.46</v>
      </c>
      <c r="X412" s="6">
        <f>IF(ISERROR(VLOOKUP($U$412,'TAR FIN'!$A$1:$O$100,15,0)),0,VLOOKUP($U$412,'TAR FIN'!$A$1:$O$100,15,0))</f>
        <v>203.57</v>
      </c>
      <c r="Y412" s="6"/>
      <c r="Z412" s="6">
        <f ca="1">('TUSD BE'!$AM$43+'TUSD BF'!$AM$43+'TUSD CVA'!$AM$43)*(1-CUSTOS!$M$38)</f>
        <v>268.50633429802321</v>
      </c>
      <c r="AA412" s="6">
        <f>('TE BE'!$AA$26+'TE BF'!$AA$26+'TE CVA'!$AA$26)*(1-CUSTOS!$M$38)</f>
        <v>235.74605718547673</v>
      </c>
      <c r="AB412" s="6">
        <f t="shared" si="22"/>
        <v>0</v>
      </c>
      <c r="AC412" s="6">
        <f>(L412-M412)*(W412+X412)+($W$170+$X$170-$W$412-$X$412)*(L412)</f>
        <v>-268.05600000000004</v>
      </c>
      <c r="AD412" s="6">
        <f t="shared" si="23"/>
        <v>0</v>
      </c>
      <c r="AE412" s="6">
        <f ca="1">(L412-M412)*(Z412+AA412)+($Z$170+$AA$170-$Z$412-$AA$412)*(L412)</f>
        <v>-139.04491475800319</v>
      </c>
      <c r="AF412" s="4" t="s">
        <v>914</v>
      </c>
    </row>
    <row r="413" spans="1:32" ht="11.25" customHeight="1" x14ac:dyDescent="0.25">
      <c r="A413" s="4" t="s">
        <v>28</v>
      </c>
      <c r="B413" s="4" t="s">
        <v>43</v>
      </c>
      <c r="C413" s="4" t="s">
        <v>23</v>
      </c>
      <c r="D413" s="4" t="s">
        <v>44</v>
      </c>
      <c r="E413" s="4" t="s">
        <v>25</v>
      </c>
      <c r="F413" s="4" t="s">
        <v>25</v>
      </c>
      <c r="G413" s="4" t="s">
        <v>25</v>
      </c>
      <c r="H413" s="4" t="s">
        <v>25</v>
      </c>
      <c r="I413" s="5">
        <v>44287</v>
      </c>
      <c r="J413" s="6">
        <v>0</v>
      </c>
      <c r="K413" s="6">
        <v>0</v>
      </c>
      <c r="L413" s="6">
        <v>5.0380000000000003</v>
      </c>
      <c r="M413" s="6">
        <v>5.0380000000000003</v>
      </c>
      <c r="N413" s="6">
        <v>5.0380000000000003</v>
      </c>
      <c r="O413" s="6">
        <v>5.0380000000000003</v>
      </c>
      <c r="P413" s="6">
        <v>25</v>
      </c>
      <c r="Q413" s="4" t="s">
        <v>26</v>
      </c>
      <c r="R413" s="4">
        <v>0</v>
      </c>
      <c r="S413" s="4">
        <v>0</v>
      </c>
      <c r="T413" s="4">
        <v>46</v>
      </c>
      <c r="U413" s="4">
        <v>99</v>
      </c>
      <c r="V413" s="6">
        <f>IF(ISERROR(VLOOKUP($S$413,'TAR FIN'!$A$1:$O$100,15,0)),0,VLOOKUP($S$413,'TAR FIN'!$A$1:$O$100,15,0))</f>
        <v>0</v>
      </c>
      <c r="W413" s="6">
        <f>IF(ISERROR(VLOOKUP($T$413,'TAR FIN'!$A$1:$O$100,15,0)),0,VLOOKUP($T$413,'TAR FIN'!$A$1:$O$100,15,0))</f>
        <v>251.46</v>
      </c>
      <c r="X413" s="6">
        <f>IF(ISERROR(VLOOKUP($U$413,'TAR FIN'!$A$1:$O$100,15,0)),0,VLOOKUP($U$413,'TAR FIN'!$A$1:$O$100,15,0))</f>
        <v>203.57</v>
      </c>
      <c r="Y413" s="6"/>
      <c r="Z413" s="6">
        <f ca="1">('TUSD BE'!$AM$43+'TUSD BF'!$AM$43+'TUSD CVA'!$AM$43)*(1-CUSTOS!$M$38)</f>
        <v>268.50633429802321</v>
      </c>
      <c r="AA413" s="6">
        <f>('TE BE'!$AA$26+'TE BF'!$AA$26+'TE CVA'!$AA$26)*(1-CUSTOS!$M$38)</f>
        <v>235.74605718547673</v>
      </c>
      <c r="AB413" s="6">
        <f t="shared" si="22"/>
        <v>0</v>
      </c>
      <c r="AC413" s="6">
        <f>(L413-M413)*(W413+X413)+($W$170+$X$170-$W$413-$X$413)*(L413)</f>
        <v>312.60790000000009</v>
      </c>
      <c r="AD413" s="6">
        <f t="shared" si="23"/>
        <v>0</v>
      </c>
      <c r="AE413" s="6">
        <f ca="1">(L413-M413)*(Z413+AA413)+($Z$170+$AA$170-$Z$413-$AA$413)*(L413)</f>
        <v>162.15469457194911</v>
      </c>
      <c r="AF413" s="4" t="s">
        <v>914</v>
      </c>
    </row>
    <row r="414" spans="1:32" ht="11.25" customHeight="1" x14ac:dyDescent="0.25">
      <c r="A414" s="4" t="s">
        <v>28</v>
      </c>
      <c r="B414" s="4" t="s">
        <v>43</v>
      </c>
      <c r="C414" s="4" t="s">
        <v>23</v>
      </c>
      <c r="D414" s="4" t="s">
        <v>44</v>
      </c>
      <c r="E414" s="4" t="s">
        <v>25</v>
      </c>
      <c r="F414" s="4" t="s">
        <v>25</v>
      </c>
      <c r="G414" s="4" t="s">
        <v>25</v>
      </c>
      <c r="H414" s="4" t="s">
        <v>25</v>
      </c>
      <c r="I414" s="5">
        <v>44287</v>
      </c>
      <c r="J414" s="6">
        <v>0</v>
      </c>
      <c r="K414" s="6">
        <v>0</v>
      </c>
      <c r="L414" s="6">
        <v>-3.5270000000000001</v>
      </c>
      <c r="M414" s="6">
        <v>-3.5270000000000001</v>
      </c>
      <c r="N414" s="6">
        <v>-3.5270000000000001</v>
      </c>
      <c r="O414" s="6">
        <v>-3.5270000000000001</v>
      </c>
      <c r="P414" s="6">
        <v>-5</v>
      </c>
      <c r="Q414" s="4" t="s">
        <v>26</v>
      </c>
      <c r="R414" s="4">
        <v>0</v>
      </c>
      <c r="S414" s="4">
        <v>0</v>
      </c>
      <c r="T414" s="4">
        <v>46</v>
      </c>
      <c r="U414" s="4">
        <v>99</v>
      </c>
      <c r="V414" s="6">
        <f>IF(ISERROR(VLOOKUP($S$414,'TAR FIN'!$A$1:$O$100,15,0)),0,VLOOKUP($S$414,'TAR FIN'!$A$1:$O$100,15,0))</f>
        <v>0</v>
      </c>
      <c r="W414" s="6">
        <f>IF(ISERROR(VLOOKUP($T$414,'TAR FIN'!$A$1:$O$100,15,0)),0,VLOOKUP($T$414,'TAR FIN'!$A$1:$O$100,15,0))</f>
        <v>251.46</v>
      </c>
      <c r="X414" s="6">
        <f>IF(ISERROR(VLOOKUP($U$414,'TAR FIN'!$A$1:$O$100,15,0)),0,VLOOKUP($U$414,'TAR FIN'!$A$1:$O$100,15,0))</f>
        <v>203.57</v>
      </c>
      <c r="Y414" s="6"/>
      <c r="Z414" s="6">
        <f ca="1">('TUSD BE'!$AM$43+'TUSD BF'!$AM$43+'TUSD CVA'!$AM$43)*(1-CUSTOS!$M$38)</f>
        <v>268.50633429802321</v>
      </c>
      <c r="AA414" s="6">
        <f>('TE BE'!$AA$26+'TE BF'!$AA$26+'TE CVA'!$AA$26)*(1-CUSTOS!$M$38)</f>
        <v>235.74605718547673</v>
      </c>
      <c r="AB414" s="6">
        <f t="shared" si="22"/>
        <v>0</v>
      </c>
      <c r="AC414" s="6">
        <f>(L414-M414)*(W414+X414)+($W$170+$X$170-$W$414-$X$414)*(L414)</f>
        <v>-218.85035000000005</v>
      </c>
      <c r="AD414" s="6">
        <f t="shared" si="23"/>
        <v>0</v>
      </c>
      <c r="AE414" s="6">
        <f ca="1">(L414-M414)*(Z414+AA414)+($Z$170+$AA$170-$Z$414-$AA$414)*(L414)</f>
        <v>-113.52116072950862</v>
      </c>
      <c r="AF414" s="4" t="s">
        <v>914</v>
      </c>
    </row>
    <row r="415" spans="1:32" ht="11.25" customHeight="1" x14ac:dyDescent="0.25">
      <c r="A415" s="4" t="s">
        <v>21</v>
      </c>
      <c r="B415" s="4" t="s">
        <v>43</v>
      </c>
      <c r="C415" s="4" t="s">
        <v>23</v>
      </c>
      <c r="D415" s="4" t="s">
        <v>44</v>
      </c>
      <c r="E415" s="4" t="s">
        <v>25</v>
      </c>
      <c r="F415" s="4" t="s">
        <v>25</v>
      </c>
      <c r="G415" s="4" t="s">
        <v>25</v>
      </c>
      <c r="H415" s="4" t="s">
        <v>25</v>
      </c>
      <c r="I415" s="5">
        <v>44317</v>
      </c>
      <c r="J415" s="6">
        <v>0</v>
      </c>
      <c r="K415" s="6">
        <v>0</v>
      </c>
      <c r="L415" s="6">
        <v>1653.0630000000001</v>
      </c>
      <c r="M415" s="6">
        <v>1653.0630000000001</v>
      </c>
      <c r="N415" s="6">
        <v>1653.0630000000001</v>
      </c>
      <c r="O415" s="6">
        <v>1653.0630000000001</v>
      </c>
      <c r="P415" s="6">
        <v>14658</v>
      </c>
      <c r="Q415" s="4" t="s">
        <v>26</v>
      </c>
      <c r="R415" s="4">
        <v>0</v>
      </c>
      <c r="S415" s="4">
        <v>0</v>
      </c>
      <c r="T415" s="4">
        <v>46</v>
      </c>
      <c r="U415" s="4">
        <v>99</v>
      </c>
      <c r="V415" s="6">
        <f>IF(ISERROR(VLOOKUP($S$415,'TAR FIN'!$A$1:$O$100,15,0)),0,VLOOKUP($S$415,'TAR FIN'!$A$1:$O$100,15,0))</f>
        <v>0</v>
      </c>
      <c r="W415" s="6">
        <f>IF(ISERROR(VLOOKUP($T$415,'TAR FIN'!$A$1:$O$100,15,0)),0,VLOOKUP($T$415,'TAR FIN'!$A$1:$O$100,15,0))</f>
        <v>251.46</v>
      </c>
      <c r="X415" s="6">
        <f>IF(ISERROR(VLOOKUP($U$415,'TAR FIN'!$A$1:$O$100,15,0)),0,VLOOKUP($U$415,'TAR FIN'!$A$1:$O$100,15,0))</f>
        <v>203.57</v>
      </c>
      <c r="Y415" s="6"/>
      <c r="Z415" s="6">
        <f ca="1">('TUSD BE'!$AM$43+'TUSD BF'!$AM$43+'TUSD CVA'!$AM$43)*(1-CUSTOS!$M$38)</f>
        <v>268.50633429802321</v>
      </c>
      <c r="AA415" s="6">
        <f>('TE BE'!$AA$26+'TE BF'!$AA$26+'TE CVA'!$AA$26)*(1-CUSTOS!$M$38)</f>
        <v>235.74605718547673</v>
      </c>
      <c r="AB415" s="6">
        <f t="shared" si="22"/>
        <v>0</v>
      </c>
      <c r="AC415" s="6">
        <f>(L415-M415)*(W415+X415)+($W$170+$X$170-$W$415-$X$415)*(L415)</f>
        <v>102572.55915000003</v>
      </c>
      <c r="AD415" s="6">
        <f t="shared" si="23"/>
        <v>0</v>
      </c>
      <c r="AE415" s="6">
        <f ca="1">(L415-M415)*(Z415+AA415)+($Z$170+$AA$170-$Z$415-$AA$415)*(L415)</f>
        <v>53206.019426992832</v>
      </c>
      <c r="AF415" s="4" t="s">
        <v>914</v>
      </c>
    </row>
    <row r="416" spans="1:32" ht="11.25" customHeight="1" x14ac:dyDescent="0.25">
      <c r="A416" s="4" t="s">
        <v>28</v>
      </c>
      <c r="B416" s="4" t="s">
        <v>43</v>
      </c>
      <c r="C416" s="4" t="s">
        <v>23</v>
      </c>
      <c r="D416" s="4" t="s">
        <v>44</v>
      </c>
      <c r="E416" s="4" t="s">
        <v>25</v>
      </c>
      <c r="F416" s="4" t="s">
        <v>25</v>
      </c>
      <c r="G416" s="4" t="s">
        <v>25</v>
      </c>
      <c r="H416" s="4" t="s">
        <v>25</v>
      </c>
      <c r="I416" s="5">
        <v>44317</v>
      </c>
      <c r="J416" s="6">
        <v>0</v>
      </c>
      <c r="K416" s="6">
        <v>0</v>
      </c>
      <c r="L416" s="6">
        <v>13.893000000000001</v>
      </c>
      <c r="M416" s="6">
        <v>13.893000000000001</v>
      </c>
      <c r="N416" s="6">
        <v>13.893000000000001</v>
      </c>
      <c r="O416" s="6">
        <v>13.893000000000001</v>
      </c>
      <c r="P416" s="6">
        <v>26</v>
      </c>
      <c r="Q416" s="4" t="s">
        <v>26</v>
      </c>
      <c r="R416" s="4">
        <v>0</v>
      </c>
      <c r="S416" s="4">
        <v>0</v>
      </c>
      <c r="T416" s="4">
        <v>46</v>
      </c>
      <c r="U416" s="4">
        <v>99</v>
      </c>
      <c r="V416" s="6">
        <f>IF(ISERROR(VLOOKUP($S$416,'TAR FIN'!$A$1:$O$100,15,0)),0,VLOOKUP($S$416,'TAR FIN'!$A$1:$O$100,15,0))</f>
        <v>0</v>
      </c>
      <c r="W416" s="6">
        <f>IF(ISERROR(VLOOKUP($T$416,'TAR FIN'!$A$1:$O$100,15,0)),0,VLOOKUP($T$416,'TAR FIN'!$A$1:$O$100,15,0))</f>
        <v>251.46</v>
      </c>
      <c r="X416" s="6">
        <f>IF(ISERROR(VLOOKUP($U$416,'TAR FIN'!$A$1:$O$100,15,0)),0,VLOOKUP($U$416,'TAR FIN'!$A$1:$O$100,15,0))</f>
        <v>203.57</v>
      </c>
      <c r="Y416" s="6"/>
      <c r="Z416" s="6">
        <f ca="1">('TUSD BE'!$AM$43+'TUSD BF'!$AM$43+'TUSD CVA'!$AM$43)*(1-CUSTOS!$M$38)</f>
        <v>268.50633429802321</v>
      </c>
      <c r="AA416" s="6">
        <f>('TE BE'!$AA$26+'TE BF'!$AA$26+'TE CVA'!$AA$26)*(1-CUSTOS!$M$38)</f>
        <v>235.74605718547673</v>
      </c>
      <c r="AB416" s="6">
        <f t="shared" si="22"/>
        <v>0</v>
      </c>
      <c r="AC416" s="6">
        <f>(L416-M416)*(W416+X416)+($W$170+$X$170-$W$416-$X$416)*(L416)</f>
        <v>862.06065000000024</v>
      </c>
      <c r="AD416" s="6">
        <f t="shared" si="23"/>
        <v>0</v>
      </c>
      <c r="AE416" s="6">
        <f ca="1">(L416-M416)*(Z416+AA416)+($Z$170+$AA$170-$Z$416-$AA$416)*(L416)</f>
        <v>447.16458350299501</v>
      </c>
      <c r="AF416" s="4" t="s">
        <v>914</v>
      </c>
    </row>
    <row r="417" spans="1:32" ht="11.25" customHeight="1" x14ac:dyDescent="0.25">
      <c r="A417" s="4" t="s">
        <v>21</v>
      </c>
      <c r="B417" s="4" t="s">
        <v>43</v>
      </c>
      <c r="C417" s="4" t="s">
        <v>23</v>
      </c>
      <c r="D417" s="4" t="s">
        <v>44</v>
      </c>
      <c r="E417" s="4" t="s">
        <v>25</v>
      </c>
      <c r="F417" s="4" t="s">
        <v>25</v>
      </c>
      <c r="G417" s="4" t="s">
        <v>25</v>
      </c>
      <c r="H417" s="4" t="s">
        <v>25</v>
      </c>
      <c r="I417" s="5">
        <v>44348</v>
      </c>
      <c r="J417" s="6">
        <v>0</v>
      </c>
      <c r="K417" s="6">
        <v>0</v>
      </c>
      <c r="L417" s="6">
        <v>1578.412</v>
      </c>
      <c r="M417" s="6">
        <v>1578.412</v>
      </c>
      <c r="N417" s="6">
        <v>1578.412</v>
      </c>
      <c r="O417" s="6">
        <v>1578.412</v>
      </c>
      <c r="P417" s="6">
        <v>14652</v>
      </c>
      <c r="Q417" s="4" t="s">
        <v>26</v>
      </c>
      <c r="R417" s="4">
        <v>0</v>
      </c>
      <c r="S417" s="4">
        <v>0</v>
      </c>
      <c r="T417" s="4">
        <v>46</v>
      </c>
      <c r="U417" s="4">
        <v>99</v>
      </c>
      <c r="V417" s="6">
        <f>IF(ISERROR(VLOOKUP($S$417,'TAR FIN'!$A$1:$O$100,15,0)),0,VLOOKUP($S$417,'TAR FIN'!$A$1:$O$100,15,0))</f>
        <v>0</v>
      </c>
      <c r="W417" s="6">
        <f>IF(ISERROR(VLOOKUP($T$417,'TAR FIN'!$A$1:$O$100,15,0)),0,VLOOKUP($T$417,'TAR FIN'!$A$1:$O$100,15,0))</f>
        <v>251.46</v>
      </c>
      <c r="X417" s="6">
        <f>IF(ISERROR(VLOOKUP($U$417,'TAR FIN'!$A$1:$O$100,15,0)),0,VLOOKUP($U$417,'TAR FIN'!$A$1:$O$100,15,0))</f>
        <v>203.57</v>
      </c>
      <c r="Y417" s="6"/>
      <c r="Z417" s="6">
        <f ca="1">('TUSD BE'!$AM$43+'TUSD BF'!$AM$43+'TUSD CVA'!$AM$43)*(1-CUSTOS!$M$38)</f>
        <v>268.50633429802321</v>
      </c>
      <c r="AA417" s="6">
        <f>('TE BE'!$AA$26+'TE BF'!$AA$26+'TE CVA'!$AA$26)*(1-CUSTOS!$M$38)</f>
        <v>235.74605718547673</v>
      </c>
      <c r="AB417" s="6">
        <f t="shared" si="22"/>
        <v>0</v>
      </c>
      <c r="AC417" s="6">
        <f>(L417-M417)*(W417+X417)+($W$170+$X$170-$W$417-$X$417)*(L417)</f>
        <v>97940.464600000021</v>
      </c>
      <c r="AD417" s="6">
        <f t="shared" si="23"/>
        <v>0</v>
      </c>
      <c r="AE417" s="6">
        <f ca="1">(L417-M417)*(Z417+AA417)+($Z$170+$AA$170-$Z$417-$AA$417)*(L417)</f>
        <v>50803.278239122534</v>
      </c>
      <c r="AF417" s="4" t="s">
        <v>914</v>
      </c>
    </row>
    <row r="418" spans="1:32" ht="11.25" customHeight="1" x14ac:dyDescent="0.25">
      <c r="A418" s="4" t="s">
        <v>27</v>
      </c>
      <c r="B418" s="4" t="s">
        <v>43</v>
      </c>
      <c r="C418" s="4" t="s">
        <v>23</v>
      </c>
      <c r="D418" s="4" t="s">
        <v>44</v>
      </c>
      <c r="E418" s="4" t="s">
        <v>25</v>
      </c>
      <c r="F418" s="4" t="s">
        <v>25</v>
      </c>
      <c r="G418" s="4" t="s">
        <v>25</v>
      </c>
      <c r="H418" s="4" t="s">
        <v>25</v>
      </c>
      <c r="I418" s="5">
        <v>44348</v>
      </c>
      <c r="J418" s="6">
        <v>0</v>
      </c>
      <c r="K418" s="6">
        <v>0</v>
      </c>
      <c r="L418" s="6">
        <v>-0.03</v>
      </c>
      <c r="M418" s="6">
        <v>-0.03</v>
      </c>
      <c r="N418" s="6">
        <v>-0.03</v>
      </c>
      <c r="O418" s="6">
        <v>-0.03</v>
      </c>
      <c r="P418" s="6">
        <v>-1</v>
      </c>
      <c r="Q418" s="4" t="s">
        <v>26</v>
      </c>
      <c r="R418" s="4">
        <v>0</v>
      </c>
      <c r="S418" s="4">
        <v>0</v>
      </c>
      <c r="T418" s="4">
        <v>46</v>
      </c>
      <c r="U418" s="4">
        <v>99</v>
      </c>
      <c r="V418" s="6">
        <f>IF(ISERROR(VLOOKUP($S$418,'TAR FIN'!$A$1:$O$100,15,0)),0,VLOOKUP($S$418,'TAR FIN'!$A$1:$O$100,15,0))</f>
        <v>0</v>
      </c>
      <c r="W418" s="6">
        <f>IF(ISERROR(VLOOKUP($T$418,'TAR FIN'!$A$1:$O$100,15,0)),0,VLOOKUP($T$418,'TAR FIN'!$A$1:$O$100,15,0))</f>
        <v>251.46</v>
      </c>
      <c r="X418" s="6">
        <f>IF(ISERROR(VLOOKUP($U$418,'TAR FIN'!$A$1:$O$100,15,0)),0,VLOOKUP($U$418,'TAR FIN'!$A$1:$O$100,15,0))</f>
        <v>203.57</v>
      </c>
      <c r="Y418" s="6"/>
      <c r="Z418" s="6">
        <f ca="1">('TUSD BE'!$AM$43+'TUSD BF'!$AM$43+'TUSD CVA'!$AM$43)*(1-CUSTOS!$M$38)</f>
        <v>268.50633429802321</v>
      </c>
      <c r="AA418" s="6">
        <f>('TE BE'!$AA$26+'TE BF'!$AA$26+'TE CVA'!$AA$26)*(1-CUSTOS!$M$38)</f>
        <v>235.74605718547673</v>
      </c>
      <c r="AB418" s="6">
        <f t="shared" si="22"/>
        <v>0</v>
      </c>
      <c r="AC418" s="6">
        <f>(L418-M418)*(W418+X418)+($W$170+$X$170-$W$418-$X$418)*(L418)</f>
        <v>-1.8615000000000004</v>
      </c>
      <c r="AD418" s="6">
        <f t="shared" si="23"/>
        <v>0</v>
      </c>
      <c r="AE418" s="6">
        <f ca="1">(L418-M418)*(Z418+AA418)+($Z$170+$AA$170-$Z$418-$AA$418)*(L418)</f>
        <v>-0.96558968581946658</v>
      </c>
      <c r="AF418" s="4" t="s">
        <v>914</v>
      </c>
    </row>
    <row r="419" spans="1:32" ht="11.25" customHeight="1" x14ac:dyDescent="0.25">
      <c r="A419" s="4" t="s">
        <v>28</v>
      </c>
      <c r="B419" s="4" t="s">
        <v>43</v>
      </c>
      <c r="C419" s="4" t="s">
        <v>23</v>
      </c>
      <c r="D419" s="4" t="s">
        <v>44</v>
      </c>
      <c r="E419" s="4" t="s">
        <v>25</v>
      </c>
      <c r="F419" s="4" t="s">
        <v>25</v>
      </c>
      <c r="G419" s="4" t="s">
        <v>25</v>
      </c>
      <c r="H419" s="4" t="s">
        <v>25</v>
      </c>
      <c r="I419" s="5">
        <v>44348</v>
      </c>
      <c r="J419" s="6">
        <v>0</v>
      </c>
      <c r="K419" s="6">
        <v>0</v>
      </c>
      <c r="L419" s="6">
        <v>3.58</v>
      </c>
      <c r="M419" s="6">
        <v>3.58</v>
      </c>
      <c r="N419" s="6">
        <v>3.58</v>
      </c>
      <c r="O419" s="6">
        <v>3.58</v>
      </c>
      <c r="P419" s="6">
        <v>26</v>
      </c>
      <c r="Q419" s="4" t="s">
        <v>26</v>
      </c>
      <c r="R419" s="4">
        <v>0</v>
      </c>
      <c r="S419" s="4">
        <v>0</v>
      </c>
      <c r="T419" s="4">
        <v>46</v>
      </c>
      <c r="U419" s="4">
        <v>99</v>
      </c>
      <c r="V419" s="6">
        <f>IF(ISERROR(VLOOKUP($S$419,'TAR FIN'!$A$1:$O$100,15,0)),0,VLOOKUP($S$419,'TAR FIN'!$A$1:$O$100,15,0))</f>
        <v>0</v>
      </c>
      <c r="W419" s="6">
        <f>IF(ISERROR(VLOOKUP($T$419,'TAR FIN'!$A$1:$O$100,15,0)),0,VLOOKUP($T$419,'TAR FIN'!$A$1:$O$100,15,0))</f>
        <v>251.46</v>
      </c>
      <c r="X419" s="6">
        <f>IF(ISERROR(VLOOKUP($U$419,'TAR FIN'!$A$1:$O$100,15,0)),0,VLOOKUP($U$419,'TAR FIN'!$A$1:$O$100,15,0))</f>
        <v>203.57</v>
      </c>
      <c r="Y419" s="6"/>
      <c r="Z419" s="6">
        <f ca="1">('TUSD BE'!$AM$43+'TUSD BF'!$AM$43+'TUSD CVA'!$AM$43)*(1-CUSTOS!$M$38)</f>
        <v>268.50633429802321</v>
      </c>
      <c r="AA419" s="6">
        <f>('TE BE'!$AA$26+'TE BF'!$AA$26+'TE CVA'!$AA$26)*(1-CUSTOS!$M$38)</f>
        <v>235.74605718547673</v>
      </c>
      <c r="AB419" s="6">
        <f t="shared" si="22"/>
        <v>0</v>
      </c>
      <c r="AC419" s="6">
        <f>(L419-M419)*(W419+X419)+($W$170+$X$170-$W$419-$X$419)*(L419)</f>
        <v>222.13900000000004</v>
      </c>
      <c r="AD419" s="6">
        <f t="shared" si="23"/>
        <v>0</v>
      </c>
      <c r="AE419" s="6">
        <f ca="1">(L419-M419)*(Z419+AA419)+($Z$170+$AA$170-$Z$419-$AA$419)*(L419)</f>
        <v>115.22703584112301</v>
      </c>
      <c r="AF419" s="4" t="s">
        <v>914</v>
      </c>
    </row>
    <row r="420" spans="1:32" ht="11.25" customHeight="1" x14ac:dyDescent="0.25">
      <c r="A420" s="4" t="s">
        <v>21</v>
      </c>
      <c r="B420" s="4" t="s">
        <v>43</v>
      </c>
      <c r="C420" s="4" t="s">
        <v>23</v>
      </c>
      <c r="D420" s="4" t="s">
        <v>44</v>
      </c>
      <c r="E420" s="4" t="s">
        <v>25</v>
      </c>
      <c r="F420" s="4" t="s">
        <v>25</v>
      </c>
      <c r="G420" s="4" t="s">
        <v>25</v>
      </c>
      <c r="H420" s="4" t="s">
        <v>25</v>
      </c>
      <c r="I420" s="5">
        <v>44378</v>
      </c>
      <c r="J420" s="6">
        <v>0</v>
      </c>
      <c r="K420" s="6">
        <v>0</v>
      </c>
      <c r="L420" s="6">
        <v>1682.258</v>
      </c>
      <c r="M420" s="6">
        <v>1682.258</v>
      </c>
      <c r="N420" s="6">
        <v>1682.258</v>
      </c>
      <c r="O420" s="6">
        <v>1682.258</v>
      </c>
      <c r="P420" s="6">
        <v>14577</v>
      </c>
      <c r="Q420" s="4" t="s">
        <v>26</v>
      </c>
      <c r="R420" s="4">
        <v>0</v>
      </c>
      <c r="S420" s="4">
        <v>0</v>
      </c>
      <c r="T420" s="4">
        <v>46</v>
      </c>
      <c r="U420" s="4">
        <v>99</v>
      </c>
      <c r="V420" s="6">
        <f>IF(ISERROR(VLOOKUP($S$420,'TAR FIN'!$A$1:$O$100,15,0)),0,VLOOKUP($S$420,'TAR FIN'!$A$1:$O$100,15,0))</f>
        <v>0</v>
      </c>
      <c r="W420" s="6">
        <f>IF(ISERROR(VLOOKUP($T$420,'TAR FIN'!$A$1:$O$100,15,0)),0,VLOOKUP($T$420,'TAR FIN'!$A$1:$O$100,15,0))</f>
        <v>251.46</v>
      </c>
      <c r="X420" s="6">
        <f>IF(ISERROR(VLOOKUP($U$420,'TAR FIN'!$A$1:$O$100,15,0)),0,VLOOKUP($U$420,'TAR FIN'!$A$1:$O$100,15,0))</f>
        <v>203.57</v>
      </c>
      <c r="Y420" s="6"/>
      <c r="Z420" s="6">
        <f ca="1">('TUSD BE'!$AM$43+'TUSD BF'!$AM$43+'TUSD CVA'!$AM$43)*(1-CUSTOS!$M$38)</f>
        <v>268.50633429802321</v>
      </c>
      <c r="AA420" s="6">
        <f>('TE BE'!$AA$26+'TE BF'!$AA$26+'TE CVA'!$AA$26)*(1-CUSTOS!$M$38)</f>
        <v>235.74605718547673</v>
      </c>
      <c r="AB420" s="6">
        <f t="shared" si="22"/>
        <v>0</v>
      </c>
      <c r="AC420" s="6">
        <f>(L420-M420)*(W420+X420)+($W$170+$X$170-$W$420-$X$420)*(L420)</f>
        <v>104384.10890000002</v>
      </c>
      <c r="AD420" s="6">
        <f t="shared" si="23"/>
        <v>0</v>
      </c>
      <c r="AE420" s="6">
        <f ca="1">(L420-M420)*(Z420+AA420)+($Z$170+$AA$170-$Z$420-$AA$420)*(L420)</f>
        <v>54145.699122909478</v>
      </c>
      <c r="AF420" s="4" t="s">
        <v>914</v>
      </c>
    </row>
    <row r="421" spans="1:32" ht="11.25" customHeight="1" x14ac:dyDescent="0.25">
      <c r="A421" s="4" t="s">
        <v>28</v>
      </c>
      <c r="B421" s="4" t="s">
        <v>43</v>
      </c>
      <c r="C421" s="4" t="s">
        <v>23</v>
      </c>
      <c r="D421" s="4" t="s">
        <v>44</v>
      </c>
      <c r="E421" s="4" t="s">
        <v>25</v>
      </c>
      <c r="F421" s="4" t="s">
        <v>25</v>
      </c>
      <c r="G421" s="4" t="s">
        <v>25</v>
      </c>
      <c r="H421" s="4" t="s">
        <v>25</v>
      </c>
      <c r="I421" s="5">
        <v>44378</v>
      </c>
      <c r="J421" s="6">
        <v>0</v>
      </c>
      <c r="K421" s="6">
        <v>0</v>
      </c>
      <c r="L421" s="6">
        <v>3.7970000000000002</v>
      </c>
      <c r="M421" s="6">
        <v>3.7970000000000002</v>
      </c>
      <c r="N421" s="6">
        <v>3.7970000000000002</v>
      </c>
      <c r="O421" s="6">
        <v>3.7970000000000002</v>
      </c>
      <c r="P421" s="6">
        <v>26</v>
      </c>
      <c r="Q421" s="4" t="s">
        <v>26</v>
      </c>
      <c r="R421" s="4">
        <v>0</v>
      </c>
      <c r="S421" s="4">
        <v>0</v>
      </c>
      <c r="T421" s="4">
        <v>46</v>
      </c>
      <c r="U421" s="4">
        <v>99</v>
      </c>
      <c r="V421" s="6">
        <f>IF(ISERROR(VLOOKUP($S$421,'TAR FIN'!$A$1:$O$100,15,0)),0,VLOOKUP($S$421,'TAR FIN'!$A$1:$O$100,15,0))</f>
        <v>0</v>
      </c>
      <c r="W421" s="6">
        <f>IF(ISERROR(VLOOKUP($T$421,'TAR FIN'!$A$1:$O$100,15,0)),0,VLOOKUP($T$421,'TAR FIN'!$A$1:$O$100,15,0))</f>
        <v>251.46</v>
      </c>
      <c r="X421" s="6">
        <f>IF(ISERROR(VLOOKUP($U$421,'TAR FIN'!$A$1:$O$100,15,0)),0,VLOOKUP($U$421,'TAR FIN'!$A$1:$O$100,15,0))</f>
        <v>203.57</v>
      </c>
      <c r="Y421" s="6"/>
      <c r="Z421" s="6">
        <f ca="1">('TUSD BE'!$AM$43+'TUSD BF'!$AM$43+'TUSD CVA'!$AM$43)*(1-CUSTOS!$M$38)</f>
        <v>268.50633429802321</v>
      </c>
      <c r="AA421" s="6">
        <f>('TE BE'!$AA$26+'TE BF'!$AA$26+'TE CVA'!$AA$26)*(1-CUSTOS!$M$38)</f>
        <v>235.74605718547673</v>
      </c>
      <c r="AB421" s="6">
        <f t="shared" si="22"/>
        <v>0</v>
      </c>
      <c r="AC421" s="6">
        <f>(L421-M421)*(W421+X421)+($W$170+$X$170-$W$421-$X$421)*(L421)</f>
        <v>235.60385000000005</v>
      </c>
      <c r="AD421" s="6">
        <f t="shared" si="23"/>
        <v>0</v>
      </c>
      <c r="AE421" s="6">
        <f ca="1">(L421-M421)*(Z421+AA421)+($Z$170+$AA$170-$Z$421-$AA$421)*(L421)</f>
        <v>122.21146790188382</v>
      </c>
      <c r="AF421" s="4" t="s">
        <v>914</v>
      </c>
    </row>
    <row r="422" spans="1:32" ht="11.25" customHeight="1" x14ac:dyDescent="0.25">
      <c r="A422" s="4" t="s">
        <v>21</v>
      </c>
      <c r="B422" s="4" t="s">
        <v>43</v>
      </c>
      <c r="C422" s="4" t="s">
        <v>23</v>
      </c>
      <c r="D422" s="4" t="s">
        <v>44</v>
      </c>
      <c r="E422" s="4" t="s">
        <v>25</v>
      </c>
      <c r="F422" s="4" t="s">
        <v>25</v>
      </c>
      <c r="G422" s="4" t="s">
        <v>25</v>
      </c>
      <c r="H422" s="4" t="s">
        <v>25</v>
      </c>
      <c r="I422" s="5">
        <v>44409</v>
      </c>
      <c r="J422" s="6">
        <v>0</v>
      </c>
      <c r="K422" s="6">
        <v>0</v>
      </c>
      <c r="L422" s="6">
        <v>1572.28</v>
      </c>
      <c r="M422" s="6">
        <v>1572.28</v>
      </c>
      <c r="N422" s="6">
        <v>1572.28</v>
      </c>
      <c r="O422" s="6">
        <v>1572.28</v>
      </c>
      <c r="P422" s="6">
        <v>14506</v>
      </c>
      <c r="Q422" s="4" t="s">
        <v>26</v>
      </c>
      <c r="R422" s="4">
        <v>0</v>
      </c>
      <c r="S422" s="4">
        <v>0</v>
      </c>
      <c r="T422" s="4">
        <v>46</v>
      </c>
      <c r="U422" s="4">
        <v>99</v>
      </c>
      <c r="V422" s="6">
        <f>IF(ISERROR(VLOOKUP($S$422,'TAR FIN'!$A$1:$O$100,15,0)),0,VLOOKUP($S$422,'TAR FIN'!$A$1:$O$100,15,0))</f>
        <v>0</v>
      </c>
      <c r="W422" s="6">
        <f>IF(ISERROR(VLOOKUP($T$422,'TAR FIN'!$A$1:$O$100,15,0)),0,VLOOKUP($T$422,'TAR FIN'!$A$1:$O$100,15,0))</f>
        <v>251.46</v>
      </c>
      <c r="X422" s="6">
        <f>IF(ISERROR(VLOOKUP($U$422,'TAR FIN'!$A$1:$O$100,15,0)),0,VLOOKUP($U$422,'TAR FIN'!$A$1:$O$100,15,0))</f>
        <v>203.57</v>
      </c>
      <c r="Y422" s="6"/>
      <c r="Z422" s="6">
        <f ca="1">('TUSD BE'!$AM$43+'TUSD BF'!$AM$43+'TUSD CVA'!$AM$43)*(1-CUSTOS!$M$38)</f>
        <v>268.50633429802321</v>
      </c>
      <c r="AA422" s="6">
        <f>('TE BE'!$AA$26+'TE BF'!$AA$26+'TE CVA'!$AA$26)*(1-CUSTOS!$M$38)</f>
        <v>235.74605718547673</v>
      </c>
      <c r="AB422" s="6">
        <f t="shared" si="22"/>
        <v>0</v>
      </c>
      <c r="AC422" s="6">
        <f>(L422-M422)*(W422+X422)+($W$170+$X$170-$W$422-$X$422)*(L422)</f>
        <v>97559.974000000017</v>
      </c>
      <c r="AD422" s="6">
        <f t="shared" si="23"/>
        <v>0</v>
      </c>
      <c r="AE422" s="6">
        <f ca="1">(L422-M422)*(Z422+AA422)+($Z$170+$AA$170-$Z$422-$AA$422)*(L422)</f>
        <v>50605.911707341031</v>
      </c>
      <c r="AF422" s="4" t="s">
        <v>914</v>
      </c>
    </row>
    <row r="423" spans="1:32" ht="11.25" customHeight="1" x14ac:dyDescent="0.25">
      <c r="A423" s="4" t="s">
        <v>27</v>
      </c>
      <c r="B423" s="4" t="s">
        <v>43</v>
      </c>
      <c r="C423" s="4" t="s">
        <v>23</v>
      </c>
      <c r="D423" s="4" t="s">
        <v>44</v>
      </c>
      <c r="E423" s="4" t="s">
        <v>25</v>
      </c>
      <c r="F423" s="4" t="s">
        <v>25</v>
      </c>
      <c r="G423" s="4" t="s">
        <v>25</v>
      </c>
      <c r="H423" s="4" t="s">
        <v>25</v>
      </c>
      <c r="I423" s="5">
        <v>44409</v>
      </c>
      <c r="J423" s="6">
        <v>0</v>
      </c>
      <c r="K423" s="6">
        <v>0</v>
      </c>
      <c r="L423" s="6">
        <v>-2.238</v>
      </c>
      <c r="M423" s="6">
        <v>-2.238</v>
      </c>
      <c r="N423" s="6">
        <v>-2.238</v>
      </c>
      <c r="O423" s="6">
        <v>-2.238</v>
      </c>
      <c r="P423" s="6">
        <v>-1</v>
      </c>
      <c r="Q423" s="4" t="s">
        <v>26</v>
      </c>
      <c r="R423" s="4">
        <v>0</v>
      </c>
      <c r="S423" s="4">
        <v>0</v>
      </c>
      <c r="T423" s="4">
        <v>46</v>
      </c>
      <c r="U423" s="4">
        <v>99</v>
      </c>
      <c r="V423" s="6">
        <f>IF(ISERROR(VLOOKUP($S$423,'TAR FIN'!$A$1:$O$100,15,0)),0,VLOOKUP($S$423,'TAR FIN'!$A$1:$O$100,15,0))</f>
        <v>0</v>
      </c>
      <c r="W423" s="6">
        <f>IF(ISERROR(VLOOKUP($T$423,'TAR FIN'!$A$1:$O$100,15,0)),0,VLOOKUP($T$423,'TAR FIN'!$A$1:$O$100,15,0))</f>
        <v>251.46</v>
      </c>
      <c r="X423" s="6">
        <f>IF(ISERROR(VLOOKUP($U$423,'TAR FIN'!$A$1:$O$100,15,0)),0,VLOOKUP($U$423,'TAR FIN'!$A$1:$O$100,15,0))</f>
        <v>203.57</v>
      </c>
      <c r="Y423" s="6"/>
      <c r="Z423" s="6">
        <f ca="1">('TUSD BE'!$AM$43+'TUSD BF'!$AM$43+'TUSD CVA'!$AM$43)*(1-CUSTOS!$M$38)</f>
        <v>268.50633429802321</v>
      </c>
      <c r="AA423" s="6">
        <f>('TE BE'!$AA$26+'TE BF'!$AA$26+'TE CVA'!$AA$26)*(1-CUSTOS!$M$38)</f>
        <v>235.74605718547673</v>
      </c>
      <c r="AB423" s="6">
        <f t="shared" si="22"/>
        <v>0</v>
      </c>
      <c r="AC423" s="6">
        <f>(L423-M423)*(W423+X423)+($W$170+$X$170-$W$423-$X$423)*(L423)</f>
        <v>-138.86790000000002</v>
      </c>
      <c r="AD423" s="6">
        <f t="shared" si="23"/>
        <v>0</v>
      </c>
      <c r="AE423" s="6">
        <f ca="1">(L423-M423)*(Z423+AA423)+($Z$170+$AA$170-$Z$423-$AA$423)*(L423)</f>
        <v>-72.032990562132213</v>
      </c>
      <c r="AF423" s="4" t="s">
        <v>914</v>
      </c>
    </row>
    <row r="424" spans="1:32" ht="11.25" customHeight="1" x14ac:dyDescent="0.25">
      <c r="A424" s="4" t="s">
        <v>28</v>
      </c>
      <c r="B424" s="4" t="s">
        <v>43</v>
      </c>
      <c r="C424" s="4" t="s">
        <v>23</v>
      </c>
      <c r="D424" s="4" t="s">
        <v>44</v>
      </c>
      <c r="E424" s="4" t="s">
        <v>25</v>
      </c>
      <c r="F424" s="4" t="s">
        <v>25</v>
      </c>
      <c r="G424" s="4" t="s">
        <v>25</v>
      </c>
      <c r="H424" s="4" t="s">
        <v>25</v>
      </c>
      <c r="I424" s="5">
        <v>44409</v>
      </c>
      <c r="J424" s="6">
        <v>0</v>
      </c>
      <c r="K424" s="6">
        <v>0</v>
      </c>
      <c r="L424" s="6">
        <v>3.8889999999999998</v>
      </c>
      <c r="M424" s="6">
        <v>3.8889999999999998</v>
      </c>
      <c r="N424" s="6">
        <v>3.8889999999999998</v>
      </c>
      <c r="O424" s="6">
        <v>3.8889999999999998</v>
      </c>
      <c r="P424" s="6">
        <v>27</v>
      </c>
      <c r="Q424" s="4" t="s">
        <v>26</v>
      </c>
      <c r="R424" s="4">
        <v>0</v>
      </c>
      <c r="S424" s="4">
        <v>0</v>
      </c>
      <c r="T424" s="4">
        <v>46</v>
      </c>
      <c r="U424" s="4">
        <v>99</v>
      </c>
      <c r="V424" s="6">
        <f>IF(ISERROR(VLOOKUP($S$424,'TAR FIN'!$A$1:$O$100,15,0)),0,VLOOKUP($S$424,'TAR FIN'!$A$1:$O$100,15,0))</f>
        <v>0</v>
      </c>
      <c r="W424" s="6">
        <f>IF(ISERROR(VLOOKUP($T$424,'TAR FIN'!$A$1:$O$100,15,0)),0,VLOOKUP($T$424,'TAR FIN'!$A$1:$O$100,15,0))</f>
        <v>251.46</v>
      </c>
      <c r="X424" s="6">
        <f>IF(ISERROR(VLOOKUP($U$424,'TAR FIN'!$A$1:$O$100,15,0)),0,VLOOKUP($U$424,'TAR FIN'!$A$1:$O$100,15,0))</f>
        <v>203.57</v>
      </c>
      <c r="Y424" s="6"/>
      <c r="Z424" s="6">
        <f ca="1">('TUSD BE'!$AM$43+'TUSD BF'!$AM$43+'TUSD CVA'!$AM$43)*(1-CUSTOS!$M$38)</f>
        <v>268.50633429802321</v>
      </c>
      <c r="AA424" s="6">
        <f>('TE BE'!$AA$26+'TE BF'!$AA$26+'TE CVA'!$AA$26)*(1-CUSTOS!$M$38)</f>
        <v>235.74605718547673</v>
      </c>
      <c r="AB424" s="6">
        <f t="shared" si="22"/>
        <v>0</v>
      </c>
      <c r="AC424" s="6">
        <f>(L424-M424)*(W424+X424)+($W$170+$X$170-$W$424-$X$424)*(L424)</f>
        <v>241.31245000000004</v>
      </c>
      <c r="AD424" s="6">
        <f t="shared" si="23"/>
        <v>0</v>
      </c>
      <c r="AE424" s="6">
        <f ca="1">(L424-M424)*(Z424+AA424)+($Z$170+$AA$170-$Z$424-$AA$424)*(L424)</f>
        <v>125.17260960506351</v>
      </c>
      <c r="AF424" s="4" t="s">
        <v>914</v>
      </c>
    </row>
    <row r="425" spans="1:32" ht="11.25" customHeight="1" x14ac:dyDescent="0.25">
      <c r="A425" s="4" t="s">
        <v>21</v>
      </c>
      <c r="B425" s="4" t="s">
        <v>43</v>
      </c>
      <c r="C425" s="4" t="s">
        <v>23</v>
      </c>
      <c r="D425" s="4" t="s">
        <v>44</v>
      </c>
      <c r="E425" s="4" t="s">
        <v>25</v>
      </c>
      <c r="F425" s="4" t="s">
        <v>25</v>
      </c>
      <c r="G425" s="4" t="s">
        <v>25</v>
      </c>
      <c r="H425" s="4" t="s">
        <v>25</v>
      </c>
      <c r="I425" s="5">
        <v>44440</v>
      </c>
      <c r="J425" s="6">
        <v>0</v>
      </c>
      <c r="K425" s="6">
        <v>0</v>
      </c>
      <c r="L425" s="6">
        <v>1613.2570000000001</v>
      </c>
      <c r="M425" s="6">
        <v>1613.2570000000001</v>
      </c>
      <c r="N425" s="6">
        <v>1613.2570000000001</v>
      </c>
      <c r="O425" s="6">
        <v>1613.2570000000001</v>
      </c>
      <c r="P425" s="6">
        <v>14408</v>
      </c>
      <c r="Q425" s="4" t="s">
        <v>26</v>
      </c>
      <c r="R425" s="4">
        <v>0</v>
      </c>
      <c r="S425" s="4">
        <v>0</v>
      </c>
      <c r="T425" s="4">
        <v>46</v>
      </c>
      <c r="U425" s="4">
        <v>99</v>
      </c>
      <c r="V425" s="6">
        <f>IF(ISERROR(VLOOKUP($S$425,'TAR FIN'!$A$1:$O$100,15,0)),0,VLOOKUP($S$425,'TAR FIN'!$A$1:$O$100,15,0))</f>
        <v>0</v>
      </c>
      <c r="W425" s="6">
        <f>IF(ISERROR(VLOOKUP($T$425,'TAR FIN'!$A$1:$O$100,15,0)),0,VLOOKUP($T$425,'TAR FIN'!$A$1:$O$100,15,0))</f>
        <v>251.46</v>
      </c>
      <c r="X425" s="6">
        <f>IF(ISERROR(VLOOKUP($U$425,'TAR FIN'!$A$1:$O$100,15,0)),0,VLOOKUP($U$425,'TAR FIN'!$A$1:$O$100,15,0))</f>
        <v>203.57</v>
      </c>
      <c r="Y425" s="6"/>
      <c r="Z425" s="6">
        <f ca="1">('TUSD BE'!$AM$43+'TUSD BF'!$AM$43+'TUSD CVA'!$AM$43)*(1-CUSTOS!$M$38)</f>
        <v>268.50633429802321</v>
      </c>
      <c r="AA425" s="6">
        <f>('TE BE'!$AA$26+'TE BF'!$AA$26+'TE CVA'!$AA$26)*(1-CUSTOS!$M$38)</f>
        <v>235.74605718547673</v>
      </c>
      <c r="AB425" s="6">
        <f t="shared" si="22"/>
        <v>0</v>
      </c>
      <c r="AC425" s="6">
        <f>(L425-M425)*(W425+X425)+($W$170+$X$170-$W$425-$X$425)*(L425)</f>
        <v>100102.59685000002</v>
      </c>
      <c r="AD425" s="6">
        <f t="shared" si="23"/>
        <v>0</v>
      </c>
      <c r="AE425" s="6">
        <f ca="1">(L425-M425)*(Z425+AA425)+($Z$170+$AA$170-$Z$425-$AA$425)*(L425)</f>
        <v>51924.810659201845</v>
      </c>
      <c r="AF425" s="4" t="s">
        <v>914</v>
      </c>
    </row>
    <row r="426" spans="1:32" ht="11.25" customHeight="1" x14ac:dyDescent="0.25">
      <c r="A426" s="4" t="s">
        <v>27</v>
      </c>
      <c r="B426" s="4" t="s">
        <v>43</v>
      </c>
      <c r="C426" s="4" t="s">
        <v>23</v>
      </c>
      <c r="D426" s="4" t="s">
        <v>44</v>
      </c>
      <c r="E426" s="4" t="s">
        <v>25</v>
      </c>
      <c r="F426" s="4" t="s">
        <v>25</v>
      </c>
      <c r="G426" s="4" t="s">
        <v>25</v>
      </c>
      <c r="H426" s="4" t="s">
        <v>25</v>
      </c>
      <c r="I426" s="5">
        <v>44440</v>
      </c>
      <c r="J426" s="6">
        <v>0</v>
      </c>
      <c r="K426" s="6">
        <v>0</v>
      </c>
      <c r="L426" s="6">
        <v>-5.9459999999999997</v>
      </c>
      <c r="M426" s="6">
        <v>-5.9459999999999997</v>
      </c>
      <c r="N426" s="6">
        <v>-5.9459999999999997</v>
      </c>
      <c r="O426" s="6">
        <v>-5.9459999999999997</v>
      </c>
      <c r="P426" s="6">
        <v>-2</v>
      </c>
      <c r="Q426" s="4" t="s">
        <v>26</v>
      </c>
      <c r="R426" s="4">
        <v>0</v>
      </c>
      <c r="S426" s="4">
        <v>0</v>
      </c>
      <c r="T426" s="4">
        <v>46</v>
      </c>
      <c r="U426" s="4">
        <v>99</v>
      </c>
      <c r="V426" s="6">
        <f>IF(ISERROR(VLOOKUP($S$426,'TAR FIN'!$A$1:$O$100,15,0)),0,VLOOKUP($S$426,'TAR FIN'!$A$1:$O$100,15,0))</f>
        <v>0</v>
      </c>
      <c r="W426" s="6">
        <f>IF(ISERROR(VLOOKUP($T$426,'TAR FIN'!$A$1:$O$100,15,0)),0,VLOOKUP($T$426,'TAR FIN'!$A$1:$O$100,15,0))</f>
        <v>251.46</v>
      </c>
      <c r="X426" s="6">
        <f>IF(ISERROR(VLOOKUP($U$426,'TAR FIN'!$A$1:$O$100,15,0)),0,VLOOKUP($U$426,'TAR FIN'!$A$1:$O$100,15,0))</f>
        <v>203.57</v>
      </c>
      <c r="Y426" s="6"/>
      <c r="Z426" s="6">
        <f ca="1">('TUSD BE'!$AM$43+'TUSD BF'!$AM$43+'TUSD CVA'!$AM$43)*(1-CUSTOS!$M$38)</f>
        <v>268.50633429802321</v>
      </c>
      <c r="AA426" s="6">
        <f>('TE BE'!$AA$26+'TE BF'!$AA$26+'TE CVA'!$AA$26)*(1-CUSTOS!$M$38)</f>
        <v>235.74605718547673</v>
      </c>
      <c r="AB426" s="6">
        <f t="shared" si="22"/>
        <v>0</v>
      </c>
      <c r="AC426" s="6">
        <f>(L426-M426)*(W426+X426)+($W$170+$X$170-$W$426-$X$426)*(L426)</f>
        <v>-368.94930000000005</v>
      </c>
      <c r="AD426" s="6">
        <f t="shared" si="23"/>
        <v>0</v>
      </c>
      <c r="AE426" s="6">
        <f ca="1">(L426-M426)*(Z426+AA426)+($Z$170+$AA$170-$Z$426-$AA$426)*(L426)</f>
        <v>-191.37987572941827</v>
      </c>
      <c r="AF426" s="4" t="s">
        <v>914</v>
      </c>
    </row>
    <row r="427" spans="1:32" ht="11.25" customHeight="1" x14ac:dyDescent="0.25">
      <c r="A427" s="4" t="s">
        <v>28</v>
      </c>
      <c r="B427" s="4" t="s">
        <v>43</v>
      </c>
      <c r="C427" s="4" t="s">
        <v>23</v>
      </c>
      <c r="D427" s="4" t="s">
        <v>44</v>
      </c>
      <c r="E427" s="4" t="s">
        <v>25</v>
      </c>
      <c r="F427" s="4" t="s">
        <v>25</v>
      </c>
      <c r="G427" s="4" t="s">
        <v>25</v>
      </c>
      <c r="H427" s="4" t="s">
        <v>25</v>
      </c>
      <c r="I427" s="5">
        <v>44440</v>
      </c>
      <c r="J427" s="6">
        <v>0</v>
      </c>
      <c r="K427" s="6">
        <v>0</v>
      </c>
      <c r="L427" s="6">
        <v>4.9550000000000001</v>
      </c>
      <c r="M427" s="6">
        <v>4.9550000000000001</v>
      </c>
      <c r="N427" s="6">
        <v>4.9550000000000001</v>
      </c>
      <c r="O427" s="6">
        <v>4.9550000000000001</v>
      </c>
      <c r="P427" s="6">
        <v>31</v>
      </c>
      <c r="Q427" s="4" t="s">
        <v>26</v>
      </c>
      <c r="R427" s="4">
        <v>0</v>
      </c>
      <c r="S427" s="4">
        <v>0</v>
      </c>
      <c r="T427" s="4">
        <v>46</v>
      </c>
      <c r="U427" s="4">
        <v>99</v>
      </c>
      <c r="V427" s="6">
        <f>IF(ISERROR(VLOOKUP($S$427,'TAR FIN'!$A$1:$O$100,15,0)),0,VLOOKUP($S$427,'TAR FIN'!$A$1:$O$100,15,0))</f>
        <v>0</v>
      </c>
      <c r="W427" s="6">
        <f>IF(ISERROR(VLOOKUP($T$427,'TAR FIN'!$A$1:$O$100,15,0)),0,VLOOKUP($T$427,'TAR FIN'!$A$1:$O$100,15,0))</f>
        <v>251.46</v>
      </c>
      <c r="X427" s="6">
        <f>IF(ISERROR(VLOOKUP($U$427,'TAR FIN'!$A$1:$O$100,15,0)),0,VLOOKUP($U$427,'TAR FIN'!$A$1:$O$100,15,0))</f>
        <v>203.57</v>
      </c>
      <c r="Y427" s="6"/>
      <c r="Z427" s="6">
        <f ca="1">('TUSD BE'!$AM$43+'TUSD BF'!$AM$43+'TUSD CVA'!$AM$43)*(1-CUSTOS!$M$38)</f>
        <v>268.50633429802321</v>
      </c>
      <c r="AA427" s="6">
        <f>('TE BE'!$AA$26+'TE BF'!$AA$26+'TE CVA'!$AA$26)*(1-CUSTOS!$M$38)</f>
        <v>235.74605718547673</v>
      </c>
      <c r="AB427" s="6">
        <f t="shared" si="22"/>
        <v>0</v>
      </c>
      <c r="AC427" s="6">
        <f>(L427-M427)*(W427+X427)+($W$170+$X$170-$W$427-$X$427)*(L427)</f>
        <v>307.45775000000003</v>
      </c>
      <c r="AD427" s="6">
        <f t="shared" si="23"/>
        <v>0</v>
      </c>
      <c r="AE427" s="6">
        <f ca="1">(L427-M427)*(Z427+AA427)+($Z$170+$AA$170-$Z$427-$AA$427)*(L427)</f>
        <v>159.48322977451522</v>
      </c>
      <c r="AF427" s="4" t="s">
        <v>914</v>
      </c>
    </row>
    <row r="428" spans="1:32" ht="11.25" customHeight="1" x14ac:dyDescent="0.25">
      <c r="A428" s="4" t="s">
        <v>21</v>
      </c>
      <c r="B428" s="4" t="s">
        <v>43</v>
      </c>
      <c r="C428" s="4" t="s">
        <v>23</v>
      </c>
      <c r="D428" s="4" t="s">
        <v>44</v>
      </c>
      <c r="E428" s="4" t="s">
        <v>25</v>
      </c>
      <c r="F428" s="4" t="s">
        <v>25</v>
      </c>
      <c r="G428" s="4" t="s">
        <v>25</v>
      </c>
      <c r="H428" s="4" t="s">
        <v>25</v>
      </c>
      <c r="I428" s="5">
        <v>44470</v>
      </c>
      <c r="J428" s="6">
        <v>0</v>
      </c>
      <c r="K428" s="6">
        <v>0</v>
      </c>
      <c r="L428" s="6">
        <v>1678.3979999999999</v>
      </c>
      <c r="M428" s="6">
        <v>1678.3979999999999</v>
      </c>
      <c r="N428" s="6">
        <v>1678.3979999999999</v>
      </c>
      <c r="O428" s="6">
        <v>1678.3979999999999</v>
      </c>
      <c r="P428" s="6">
        <v>14315</v>
      </c>
      <c r="Q428" s="4" t="s">
        <v>26</v>
      </c>
      <c r="R428" s="4">
        <v>0</v>
      </c>
      <c r="S428" s="4">
        <v>0</v>
      </c>
      <c r="T428" s="4">
        <v>46</v>
      </c>
      <c r="U428" s="4">
        <v>99</v>
      </c>
      <c r="V428" s="6">
        <f>IF(ISERROR(VLOOKUP($S$428,'TAR FIN'!$A$1:$O$100,15,0)),0,VLOOKUP($S$428,'TAR FIN'!$A$1:$O$100,15,0))</f>
        <v>0</v>
      </c>
      <c r="W428" s="6">
        <f>IF(ISERROR(VLOOKUP($T$428,'TAR FIN'!$A$1:$O$100,15,0)),0,VLOOKUP($T$428,'TAR FIN'!$A$1:$O$100,15,0))</f>
        <v>251.46</v>
      </c>
      <c r="X428" s="6">
        <f>IF(ISERROR(VLOOKUP($U$428,'TAR FIN'!$A$1:$O$100,15,0)),0,VLOOKUP($U$428,'TAR FIN'!$A$1:$O$100,15,0))</f>
        <v>203.57</v>
      </c>
      <c r="Y428" s="6"/>
      <c r="Z428" s="6">
        <f ca="1">('TUSD BE'!$AM$43+'TUSD BF'!$AM$43+'TUSD CVA'!$AM$43)*(1-CUSTOS!$M$38)</f>
        <v>268.50633429802321</v>
      </c>
      <c r="AA428" s="6">
        <f>('TE BE'!$AA$26+'TE BF'!$AA$26+'TE CVA'!$AA$26)*(1-CUSTOS!$M$38)</f>
        <v>235.74605718547673</v>
      </c>
      <c r="AB428" s="6">
        <f t="shared" si="22"/>
        <v>0</v>
      </c>
      <c r="AC428" s="6">
        <f>(L428-M428)*(W428+X428)+($W$170+$X$170-$W$428-$X$428)*(L428)</f>
        <v>104144.59590000001</v>
      </c>
      <c r="AD428" s="6">
        <f t="shared" si="23"/>
        <v>0</v>
      </c>
      <c r="AE428" s="6">
        <f ca="1">(L428-M428)*(Z428+AA428)+($Z$170+$AA$170-$Z$428-$AA$428)*(L428)</f>
        <v>54021.459916667365</v>
      </c>
      <c r="AF428" s="4" t="s">
        <v>914</v>
      </c>
    </row>
    <row r="429" spans="1:32" ht="11.25" customHeight="1" x14ac:dyDescent="0.25">
      <c r="A429" s="4" t="s">
        <v>27</v>
      </c>
      <c r="B429" s="4" t="s">
        <v>43</v>
      </c>
      <c r="C429" s="4" t="s">
        <v>23</v>
      </c>
      <c r="D429" s="4" t="s">
        <v>44</v>
      </c>
      <c r="E429" s="4" t="s">
        <v>25</v>
      </c>
      <c r="F429" s="4" t="s">
        <v>25</v>
      </c>
      <c r="G429" s="4" t="s">
        <v>25</v>
      </c>
      <c r="H429" s="4" t="s">
        <v>25</v>
      </c>
      <c r="I429" s="5">
        <v>44470</v>
      </c>
      <c r="J429" s="6">
        <v>0</v>
      </c>
      <c r="K429" s="6">
        <v>0</v>
      </c>
      <c r="L429" s="6">
        <v>-6.0999999999999999E-2</v>
      </c>
      <c r="M429" s="6">
        <v>-6.0999999999999999E-2</v>
      </c>
      <c r="N429" s="6">
        <v>-6.0999999999999999E-2</v>
      </c>
      <c r="O429" s="6">
        <v>-6.0999999999999999E-2</v>
      </c>
      <c r="P429" s="6">
        <v>0</v>
      </c>
      <c r="Q429" s="4" t="s">
        <v>26</v>
      </c>
      <c r="R429" s="4">
        <v>0</v>
      </c>
      <c r="S429" s="4">
        <v>0</v>
      </c>
      <c r="T429" s="4">
        <v>46</v>
      </c>
      <c r="U429" s="4">
        <v>99</v>
      </c>
      <c r="V429" s="6">
        <f>IF(ISERROR(VLOOKUP($S$429,'TAR FIN'!$A$1:$O$100,15,0)),0,VLOOKUP($S$429,'TAR FIN'!$A$1:$O$100,15,0))</f>
        <v>0</v>
      </c>
      <c r="W429" s="6">
        <f>IF(ISERROR(VLOOKUP($T$429,'TAR FIN'!$A$1:$O$100,15,0)),0,VLOOKUP($T$429,'TAR FIN'!$A$1:$O$100,15,0))</f>
        <v>251.46</v>
      </c>
      <c r="X429" s="6">
        <f>IF(ISERROR(VLOOKUP($U$429,'TAR FIN'!$A$1:$O$100,15,0)),0,VLOOKUP($U$429,'TAR FIN'!$A$1:$O$100,15,0))</f>
        <v>203.57</v>
      </c>
      <c r="Y429" s="6"/>
      <c r="Z429" s="6">
        <f ca="1">('TUSD BE'!$AM$43+'TUSD BF'!$AM$43+'TUSD CVA'!$AM$43)*(1-CUSTOS!$M$38)</f>
        <v>268.50633429802321</v>
      </c>
      <c r="AA429" s="6">
        <f>('TE BE'!$AA$26+'TE BF'!$AA$26+'TE CVA'!$AA$26)*(1-CUSTOS!$M$38)</f>
        <v>235.74605718547673</v>
      </c>
      <c r="AB429" s="6">
        <f t="shared" si="22"/>
        <v>0</v>
      </c>
      <c r="AC429" s="6">
        <f>(L429-M429)*(W429+X429)+($W$170+$X$170-$W$429-$X$429)*(L429)</f>
        <v>-3.7850500000000005</v>
      </c>
      <c r="AD429" s="6">
        <f t="shared" si="23"/>
        <v>0</v>
      </c>
      <c r="AE429" s="6">
        <f ca="1">(L429-M429)*(Z429+AA429)+($Z$170+$AA$170-$Z$429-$AA$429)*(L429)</f>
        <v>-1.9633656944995821</v>
      </c>
      <c r="AF429" s="4" t="s">
        <v>914</v>
      </c>
    </row>
    <row r="430" spans="1:32" ht="11.25" customHeight="1" x14ac:dyDescent="0.25">
      <c r="A430" s="4" t="s">
        <v>28</v>
      </c>
      <c r="B430" s="4" t="s">
        <v>43</v>
      </c>
      <c r="C430" s="4" t="s">
        <v>23</v>
      </c>
      <c r="D430" s="4" t="s">
        <v>44</v>
      </c>
      <c r="E430" s="4" t="s">
        <v>25</v>
      </c>
      <c r="F430" s="4" t="s">
        <v>25</v>
      </c>
      <c r="G430" s="4" t="s">
        <v>25</v>
      </c>
      <c r="H430" s="4" t="s">
        <v>25</v>
      </c>
      <c r="I430" s="5">
        <v>44470</v>
      </c>
      <c r="J430" s="6">
        <v>0</v>
      </c>
      <c r="K430" s="6">
        <v>0</v>
      </c>
      <c r="L430" s="6">
        <v>4.7480000000000002</v>
      </c>
      <c r="M430" s="6">
        <v>4.7480000000000002</v>
      </c>
      <c r="N430" s="6">
        <v>4.7480000000000002</v>
      </c>
      <c r="O430" s="6">
        <v>4.7480000000000002</v>
      </c>
      <c r="P430" s="6">
        <v>33</v>
      </c>
      <c r="Q430" s="4" t="s">
        <v>26</v>
      </c>
      <c r="R430" s="4">
        <v>0</v>
      </c>
      <c r="S430" s="4">
        <v>0</v>
      </c>
      <c r="T430" s="4">
        <v>46</v>
      </c>
      <c r="U430" s="4">
        <v>99</v>
      </c>
      <c r="V430" s="6">
        <f>IF(ISERROR(VLOOKUP($S$430,'TAR FIN'!$A$1:$O$100,15,0)),0,VLOOKUP($S$430,'TAR FIN'!$A$1:$O$100,15,0))</f>
        <v>0</v>
      </c>
      <c r="W430" s="6">
        <f>IF(ISERROR(VLOOKUP($T$430,'TAR FIN'!$A$1:$O$100,15,0)),0,VLOOKUP($T$430,'TAR FIN'!$A$1:$O$100,15,0))</f>
        <v>251.46</v>
      </c>
      <c r="X430" s="6">
        <f>IF(ISERROR(VLOOKUP($U$430,'TAR FIN'!$A$1:$O$100,15,0)),0,VLOOKUP($U$430,'TAR FIN'!$A$1:$O$100,15,0))</f>
        <v>203.57</v>
      </c>
      <c r="Y430" s="6"/>
      <c r="Z430" s="6">
        <f ca="1">('TUSD BE'!$AM$43+'TUSD BF'!$AM$43+'TUSD CVA'!$AM$43)*(1-CUSTOS!$M$38)</f>
        <v>268.50633429802321</v>
      </c>
      <c r="AA430" s="6">
        <f>('TE BE'!$AA$26+'TE BF'!$AA$26+'TE CVA'!$AA$26)*(1-CUSTOS!$M$38)</f>
        <v>235.74605718547673</v>
      </c>
      <c r="AB430" s="6">
        <f t="shared" si="22"/>
        <v>0</v>
      </c>
      <c r="AC430" s="6">
        <f>(L430-M430)*(W430+X430)+($W$170+$X$170-$W$430-$X$430)*(L430)</f>
        <v>294.61340000000007</v>
      </c>
      <c r="AD430" s="6">
        <f t="shared" si="23"/>
        <v>0</v>
      </c>
      <c r="AE430" s="6">
        <f ca="1">(L430-M430)*(Z430+AA430)+($Z$170+$AA$170-$Z$430-$AA$430)*(L430)</f>
        <v>152.82066094236092</v>
      </c>
      <c r="AF430" s="4" t="s">
        <v>914</v>
      </c>
    </row>
    <row r="431" spans="1:32" ht="11.25" customHeight="1" x14ac:dyDescent="0.25">
      <c r="A431" s="4" t="s">
        <v>21</v>
      </c>
      <c r="B431" s="4" t="s">
        <v>43</v>
      </c>
      <c r="C431" s="4" t="s">
        <v>23</v>
      </c>
      <c r="D431" s="4" t="s">
        <v>44</v>
      </c>
      <c r="E431" s="4" t="s">
        <v>25</v>
      </c>
      <c r="F431" s="4" t="s">
        <v>25</v>
      </c>
      <c r="G431" s="4" t="s">
        <v>25</v>
      </c>
      <c r="H431" s="4" t="s">
        <v>25</v>
      </c>
      <c r="I431" s="5">
        <v>44501</v>
      </c>
      <c r="J431" s="6">
        <v>0</v>
      </c>
      <c r="K431" s="6">
        <v>0</v>
      </c>
      <c r="L431" s="6">
        <v>1680.3589999999999</v>
      </c>
      <c r="M431" s="6">
        <v>1680.3589999999999</v>
      </c>
      <c r="N431" s="6">
        <v>1680.3589999999999</v>
      </c>
      <c r="O431" s="6">
        <v>1680.3589999999999</v>
      </c>
      <c r="P431" s="6">
        <v>14274</v>
      </c>
      <c r="Q431" s="4" t="s">
        <v>26</v>
      </c>
      <c r="R431" s="4">
        <v>0</v>
      </c>
      <c r="S431" s="4">
        <v>0</v>
      </c>
      <c r="T431" s="4">
        <v>46</v>
      </c>
      <c r="U431" s="4">
        <v>99</v>
      </c>
      <c r="V431" s="6">
        <f>IF(ISERROR(VLOOKUP($S$431,'TAR FIN'!$A$1:$O$100,15,0)),0,VLOOKUP($S$431,'TAR FIN'!$A$1:$O$100,15,0))</f>
        <v>0</v>
      </c>
      <c r="W431" s="6">
        <f>IF(ISERROR(VLOOKUP($T$431,'TAR FIN'!$A$1:$O$100,15,0)),0,VLOOKUP($T$431,'TAR FIN'!$A$1:$O$100,15,0))</f>
        <v>251.46</v>
      </c>
      <c r="X431" s="6">
        <f>IF(ISERROR(VLOOKUP($U$431,'TAR FIN'!$A$1:$O$100,15,0)),0,VLOOKUP($U$431,'TAR FIN'!$A$1:$O$100,15,0))</f>
        <v>203.57</v>
      </c>
      <c r="Y431" s="6"/>
      <c r="Z431" s="6">
        <f ca="1">('TUSD BE'!$AM$43+'TUSD BF'!$AM$43+'TUSD CVA'!$AM$43)*(1-CUSTOS!$M$38)</f>
        <v>268.50633429802321</v>
      </c>
      <c r="AA431" s="6">
        <f>('TE BE'!$AA$26+'TE BF'!$AA$26+'TE CVA'!$AA$26)*(1-CUSTOS!$M$38)</f>
        <v>235.74605718547673</v>
      </c>
      <c r="AB431" s="6">
        <f t="shared" si="22"/>
        <v>0</v>
      </c>
      <c r="AC431" s="6">
        <f>(L431-M431)*(W431+X431)+($W$170+$X$170-$W$431-$X$431)*(L431)</f>
        <v>104266.27595000001</v>
      </c>
      <c r="AD431" s="6">
        <f t="shared" si="23"/>
        <v>0</v>
      </c>
      <c r="AE431" s="6">
        <f ca="1">(L431-M431)*(Z431+AA431)+($Z$170+$AA$170-$Z$431-$AA$431)*(L431)</f>
        <v>54084.577295797098</v>
      </c>
      <c r="AF431" s="4" t="s">
        <v>914</v>
      </c>
    </row>
    <row r="432" spans="1:32" ht="11.25" customHeight="1" x14ac:dyDescent="0.25">
      <c r="A432" s="4" t="s">
        <v>28</v>
      </c>
      <c r="B432" s="4" t="s">
        <v>43</v>
      </c>
      <c r="C432" s="4" t="s">
        <v>23</v>
      </c>
      <c r="D432" s="4" t="s">
        <v>44</v>
      </c>
      <c r="E432" s="4" t="s">
        <v>25</v>
      </c>
      <c r="F432" s="4" t="s">
        <v>25</v>
      </c>
      <c r="G432" s="4" t="s">
        <v>25</v>
      </c>
      <c r="H432" s="4" t="s">
        <v>25</v>
      </c>
      <c r="I432" s="5">
        <v>44501</v>
      </c>
      <c r="J432" s="6">
        <v>0</v>
      </c>
      <c r="K432" s="6">
        <v>0</v>
      </c>
      <c r="L432" s="6">
        <v>4.859</v>
      </c>
      <c r="M432" s="6">
        <v>4.859</v>
      </c>
      <c r="N432" s="6">
        <v>4.859</v>
      </c>
      <c r="O432" s="6">
        <v>4.859</v>
      </c>
      <c r="P432" s="6">
        <v>38</v>
      </c>
      <c r="Q432" s="4" t="s">
        <v>26</v>
      </c>
      <c r="R432" s="4">
        <v>0</v>
      </c>
      <c r="S432" s="4">
        <v>0</v>
      </c>
      <c r="T432" s="4">
        <v>46</v>
      </c>
      <c r="U432" s="4">
        <v>99</v>
      </c>
      <c r="V432" s="6">
        <f>IF(ISERROR(VLOOKUP($S$432,'TAR FIN'!$A$1:$O$100,15,0)),0,VLOOKUP($S$432,'TAR FIN'!$A$1:$O$100,15,0))</f>
        <v>0</v>
      </c>
      <c r="W432" s="6">
        <f>IF(ISERROR(VLOOKUP($T$432,'TAR FIN'!$A$1:$O$100,15,0)),0,VLOOKUP($T$432,'TAR FIN'!$A$1:$O$100,15,0))</f>
        <v>251.46</v>
      </c>
      <c r="X432" s="6">
        <f>IF(ISERROR(VLOOKUP($U$432,'TAR FIN'!$A$1:$O$100,15,0)),0,VLOOKUP($U$432,'TAR FIN'!$A$1:$O$100,15,0))</f>
        <v>203.57</v>
      </c>
      <c r="Y432" s="6"/>
      <c r="Z432" s="6">
        <f ca="1">('TUSD BE'!$AM$43+'TUSD BF'!$AM$43+'TUSD CVA'!$AM$43)*(1-CUSTOS!$M$38)</f>
        <v>268.50633429802321</v>
      </c>
      <c r="AA432" s="6">
        <f>('TE BE'!$AA$26+'TE BF'!$AA$26+'TE CVA'!$AA$26)*(1-CUSTOS!$M$38)</f>
        <v>235.74605718547673</v>
      </c>
      <c r="AB432" s="6">
        <f t="shared" si="22"/>
        <v>0</v>
      </c>
      <c r="AC432" s="6">
        <f>(L432-M432)*(W432+X432)+($W$170+$X$170-$W$432-$X$432)*(L432)</f>
        <v>301.50095000000005</v>
      </c>
      <c r="AD432" s="6">
        <f t="shared" si="23"/>
        <v>0</v>
      </c>
      <c r="AE432" s="6">
        <f ca="1">(L432-M432)*(Z432+AA432)+($Z$170+$AA$170-$Z$432-$AA$432)*(L432)</f>
        <v>156.39334277989295</v>
      </c>
      <c r="AF432" s="4" t="s">
        <v>914</v>
      </c>
    </row>
    <row r="433" spans="1:32" ht="11.25" customHeight="1" x14ac:dyDescent="0.25">
      <c r="A433" s="4" t="s">
        <v>21</v>
      </c>
      <c r="B433" s="4" t="s">
        <v>43</v>
      </c>
      <c r="C433" s="4" t="s">
        <v>23</v>
      </c>
      <c r="D433" s="4" t="s">
        <v>44</v>
      </c>
      <c r="E433" s="4" t="s">
        <v>25</v>
      </c>
      <c r="F433" s="4" t="s">
        <v>25</v>
      </c>
      <c r="G433" s="4" t="s">
        <v>25</v>
      </c>
      <c r="H433" s="4" t="s">
        <v>25</v>
      </c>
      <c r="I433" s="5">
        <v>44531</v>
      </c>
      <c r="J433" s="6">
        <v>0</v>
      </c>
      <c r="K433" s="6">
        <v>0</v>
      </c>
      <c r="L433" s="6">
        <v>1733.576</v>
      </c>
      <c r="M433" s="6">
        <v>1733.576</v>
      </c>
      <c r="N433" s="6">
        <v>1733.576</v>
      </c>
      <c r="O433" s="6">
        <v>1733.576</v>
      </c>
      <c r="P433" s="6">
        <v>14293</v>
      </c>
      <c r="Q433" s="4" t="s">
        <v>26</v>
      </c>
      <c r="R433" s="4">
        <v>0</v>
      </c>
      <c r="S433" s="4">
        <v>0</v>
      </c>
      <c r="T433" s="4">
        <v>46</v>
      </c>
      <c r="U433" s="4">
        <v>99</v>
      </c>
      <c r="V433" s="6">
        <f>IF(ISERROR(VLOOKUP($S$433,'TAR FIN'!$A$1:$O$100,15,0)),0,VLOOKUP($S$433,'TAR FIN'!$A$1:$O$100,15,0))</f>
        <v>0</v>
      </c>
      <c r="W433" s="6">
        <f>IF(ISERROR(VLOOKUP($T$433,'TAR FIN'!$A$1:$O$100,15,0)),0,VLOOKUP($T$433,'TAR FIN'!$A$1:$O$100,15,0))</f>
        <v>251.46</v>
      </c>
      <c r="X433" s="6">
        <f>IF(ISERROR(VLOOKUP($U$433,'TAR FIN'!$A$1:$O$100,15,0)),0,VLOOKUP($U$433,'TAR FIN'!$A$1:$O$100,15,0))</f>
        <v>203.57</v>
      </c>
      <c r="Y433" s="6"/>
      <c r="Z433" s="6">
        <f ca="1">('TUSD BE'!$AM$43+'TUSD BF'!$AM$43+'TUSD CVA'!$AM$43)*(1-CUSTOS!$M$38)</f>
        <v>268.50633429802321</v>
      </c>
      <c r="AA433" s="6">
        <f>('TE BE'!$AA$26+'TE BF'!$AA$26+'TE CVA'!$AA$26)*(1-CUSTOS!$M$38)</f>
        <v>235.74605718547673</v>
      </c>
      <c r="AB433" s="6">
        <f t="shared" si="22"/>
        <v>0</v>
      </c>
      <c r="AC433" s="6">
        <f>(L433-M433)*(W433+X433)+($W$170+$X$170-$W$433-$X$433)*(L433)</f>
        <v>107568.39080000002</v>
      </c>
      <c r="AD433" s="6">
        <f t="shared" si="23"/>
        <v>0</v>
      </c>
      <c r="AE433" s="6">
        <f ca="1">(L433-M433)*(Z433+AA433)+($Z$170+$AA$170-$Z$433-$AA$433)*(L433)</f>
        <v>55797.436839472255</v>
      </c>
      <c r="AF433" s="4" t="s">
        <v>914</v>
      </c>
    </row>
    <row r="434" spans="1:32" ht="11.25" customHeight="1" x14ac:dyDescent="0.25">
      <c r="A434" s="4" t="s">
        <v>27</v>
      </c>
      <c r="B434" s="4" t="s">
        <v>43</v>
      </c>
      <c r="C434" s="4" t="s">
        <v>23</v>
      </c>
      <c r="D434" s="4" t="s">
        <v>44</v>
      </c>
      <c r="E434" s="4" t="s">
        <v>25</v>
      </c>
      <c r="F434" s="4" t="s">
        <v>25</v>
      </c>
      <c r="G434" s="4" t="s">
        <v>25</v>
      </c>
      <c r="H434" s="4" t="s">
        <v>25</v>
      </c>
      <c r="I434" s="5">
        <v>44531</v>
      </c>
      <c r="J434" s="6">
        <v>0</v>
      </c>
      <c r="K434" s="6">
        <v>0</v>
      </c>
      <c r="L434" s="6">
        <v>-0.97099999999999997</v>
      </c>
      <c r="M434" s="6">
        <v>-0.97099999999999997</v>
      </c>
      <c r="N434" s="6">
        <v>-0.97099999999999997</v>
      </c>
      <c r="O434" s="6">
        <v>-0.97099999999999997</v>
      </c>
      <c r="P434" s="6">
        <v>0</v>
      </c>
      <c r="Q434" s="4" t="s">
        <v>26</v>
      </c>
      <c r="R434" s="4">
        <v>0</v>
      </c>
      <c r="S434" s="4">
        <v>0</v>
      </c>
      <c r="T434" s="4">
        <v>46</v>
      </c>
      <c r="U434" s="4">
        <v>99</v>
      </c>
      <c r="V434" s="6">
        <f>IF(ISERROR(VLOOKUP($S$434,'TAR FIN'!$A$1:$O$100,15,0)),0,VLOOKUP($S$434,'TAR FIN'!$A$1:$O$100,15,0))</f>
        <v>0</v>
      </c>
      <c r="W434" s="6">
        <f>IF(ISERROR(VLOOKUP($T$434,'TAR FIN'!$A$1:$O$100,15,0)),0,VLOOKUP($T$434,'TAR FIN'!$A$1:$O$100,15,0))</f>
        <v>251.46</v>
      </c>
      <c r="X434" s="6">
        <f>IF(ISERROR(VLOOKUP($U$434,'TAR FIN'!$A$1:$O$100,15,0)),0,VLOOKUP($U$434,'TAR FIN'!$A$1:$O$100,15,0))</f>
        <v>203.57</v>
      </c>
      <c r="Y434" s="6"/>
      <c r="Z434" s="6">
        <f ca="1">('TUSD BE'!$AM$43+'TUSD BF'!$AM$43+'TUSD CVA'!$AM$43)*(1-CUSTOS!$M$38)</f>
        <v>268.50633429802321</v>
      </c>
      <c r="AA434" s="6">
        <f>('TE BE'!$AA$26+'TE BF'!$AA$26+'TE CVA'!$AA$26)*(1-CUSTOS!$M$38)</f>
        <v>235.74605718547673</v>
      </c>
      <c r="AB434" s="6">
        <f t="shared" si="22"/>
        <v>0</v>
      </c>
      <c r="AC434" s="6">
        <f>(L434-M434)*(W434+X434)+($W$170+$X$170-$W$434-$X$434)*(L434)</f>
        <v>-60.250550000000011</v>
      </c>
      <c r="AD434" s="6">
        <f t="shared" si="23"/>
        <v>0</v>
      </c>
      <c r="AE434" s="6">
        <f ca="1">(L434-M434)*(Z434+AA434)+($Z$170+$AA$170-$Z$434-$AA$434)*(L434)</f>
        <v>-31.252919497690069</v>
      </c>
      <c r="AF434" s="4" t="s">
        <v>914</v>
      </c>
    </row>
    <row r="435" spans="1:32" ht="11.25" customHeight="1" x14ac:dyDescent="0.25">
      <c r="A435" s="4" t="s">
        <v>28</v>
      </c>
      <c r="B435" s="4" t="s">
        <v>43</v>
      </c>
      <c r="C435" s="4" t="s">
        <v>23</v>
      </c>
      <c r="D435" s="4" t="s">
        <v>44</v>
      </c>
      <c r="E435" s="4" t="s">
        <v>25</v>
      </c>
      <c r="F435" s="4" t="s">
        <v>25</v>
      </c>
      <c r="G435" s="4" t="s">
        <v>25</v>
      </c>
      <c r="H435" s="4" t="s">
        <v>25</v>
      </c>
      <c r="I435" s="5">
        <v>44531</v>
      </c>
      <c r="J435" s="6">
        <v>0</v>
      </c>
      <c r="K435" s="6">
        <v>0</v>
      </c>
      <c r="L435" s="6">
        <v>6.4180000000000001</v>
      </c>
      <c r="M435" s="6">
        <v>6.4180000000000001</v>
      </c>
      <c r="N435" s="6">
        <v>6.4180000000000001</v>
      </c>
      <c r="O435" s="6">
        <v>6.4180000000000001</v>
      </c>
      <c r="P435" s="6">
        <v>41</v>
      </c>
      <c r="Q435" s="4" t="s">
        <v>26</v>
      </c>
      <c r="R435" s="4">
        <v>0</v>
      </c>
      <c r="S435" s="4">
        <v>0</v>
      </c>
      <c r="T435" s="4">
        <v>46</v>
      </c>
      <c r="U435" s="4">
        <v>99</v>
      </c>
      <c r="V435" s="6">
        <f>IF(ISERROR(VLOOKUP($S$435,'TAR FIN'!$A$1:$O$100,15,0)),0,VLOOKUP($S$435,'TAR FIN'!$A$1:$O$100,15,0))</f>
        <v>0</v>
      </c>
      <c r="W435" s="6">
        <f>IF(ISERROR(VLOOKUP($T$435,'TAR FIN'!$A$1:$O$100,15,0)),0,VLOOKUP($T$435,'TAR FIN'!$A$1:$O$100,15,0))</f>
        <v>251.46</v>
      </c>
      <c r="X435" s="6">
        <f>IF(ISERROR(VLOOKUP($U$435,'TAR FIN'!$A$1:$O$100,15,0)),0,VLOOKUP($U$435,'TAR FIN'!$A$1:$O$100,15,0))</f>
        <v>203.57</v>
      </c>
      <c r="Y435" s="6"/>
      <c r="Z435" s="6">
        <f ca="1">('TUSD BE'!$AM$43+'TUSD BF'!$AM$43+'TUSD CVA'!$AM$43)*(1-CUSTOS!$M$38)</f>
        <v>268.50633429802321</v>
      </c>
      <c r="AA435" s="6">
        <f>('TE BE'!$AA$26+'TE BF'!$AA$26+'TE CVA'!$AA$26)*(1-CUSTOS!$M$38)</f>
        <v>235.74605718547673</v>
      </c>
      <c r="AB435" s="6">
        <f t="shared" si="22"/>
        <v>0</v>
      </c>
      <c r="AC435" s="6">
        <f>(L435-M435)*(W435+X435)+($W$170+$X$170-$W$435-$X$435)*(L435)</f>
        <v>398.23690000000011</v>
      </c>
      <c r="AD435" s="6">
        <f t="shared" si="23"/>
        <v>0</v>
      </c>
      <c r="AE435" s="6">
        <f ca="1">(L435-M435)*(Z435+AA435)+($Z$170+$AA$170-$Z$435-$AA$435)*(L435)</f>
        <v>206.57182011964454</v>
      </c>
      <c r="AF435" s="4" t="s">
        <v>914</v>
      </c>
    </row>
    <row r="436" spans="1:32" ht="11.25" customHeight="1" x14ac:dyDescent="0.25">
      <c r="A436" s="4" t="s">
        <v>55</v>
      </c>
      <c r="B436" s="4" t="s">
        <v>43</v>
      </c>
      <c r="C436" s="4" t="s">
        <v>23</v>
      </c>
      <c r="D436" s="4" t="s">
        <v>44</v>
      </c>
      <c r="E436" s="4" t="s">
        <v>25</v>
      </c>
      <c r="F436" s="4" t="s">
        <v>25</v>
      </c>
      <c r="G436" s="4" t="s">
        <v>25</v>
      </c>
      <c r="H436" s="4" t="s">
        <v>25</v>
      </c>
      <c r="I436" s="5">
        <v>44562</v>
      </c>
      <c r="J436" s="6">
        <v>0</v>
      </c>
      <c r="K436" s="6">
        <v>0</v>
      </c>
      <c r="L436" s="6">
        <v>1733.576</v>
      </c>
      <c r="M436" s="6">
        <v>1733.576</v>
      </c>
      <c r="N436" s="6">
        <v>1733.576</v>
      </c>
      <c r="O436" s="6">
        <v>1733.576</v>
      </c>
      <c r="P436" s="6">
        <v>14293</v>
      </c>
      <c r="Q436" s="4" t="s">
        <v>26</v>
      </c>
      <c r="R436" s="4">
        <v>0</v>
      </c>
      <c r="S436" s="4">
        <v>0</v>
      </c>
      <c r="T436" s="4">
        <v>46</v>
      </c>
      <c r="U436" s="4">
        <v>99</v>
      </c>
      <c r="V436" s="6">
        <f>IF(ISERROR(VLOOKUP($S$436,'TAR FIN'!$A$1:$O$100,15,0)),0,VLOOKUP($S$436,'TAR FIN'!$A$1:$O$100,15,0))</f>
        <v>0</v>
      </c>
      <c r="W436" s="6">
        <f>IF(ISERROR(VLOOKUP($T$436,'TAR FIN'!$A$1:$O$100,15,0)),0,VLOOKUP($T$436,'TAR FIN'!$A$1:$O$100,15,0))</f>
        <v>251.46</v>
      </c>
      <c r="X436" s="6">
        <f>IF(ISERROR(VLOOKUP($U$436,'TAR FIN'!$A$1:$O$100,15,0)),0,VLOOKUP($U$436,'TAR FIN'!$A$1:$O$100,15,0))</f>
        <v>203.57</v>
      </c>
      <c r="Y436" s="6"/>
      <c r="Z436" s="6">
        <f ca="1">('TUSD BE'!$AM$43+'TUSD BF'!$AM$43+'TUSD CVA'!$AM$43)*(1-CUSTOS!$M$38)</f>
        <v>268.50633429802321</v>
      </c>
      <c r="AA436" s="6">
        <f>('TE BE'!$AA$26+'TE BF'!$AA$26+'TE CVA'!$AA$26)*(1-CUSTOS!$M$38)</f>
        <v>235.74605718547673</v>
      </c>
      <c r="AB436" s="6">
        <f t="shared" si="22"/>
        <v>0</v>
      </c>
      <c r="AC436" s="6">
        <f>(L436-M436)*(W436+X436)+($W$170+$X$170-$W$436-$X$436)*(L436)</f>
        <v>107568.39080000002</v>
      </c>
      <c r="AD436" s="6">
        <f t="shared" si="23"/>
        <v>0</v>
      </c>
      <c r="AE436" s="6">
        <f ca="1">(L436-M436)*(Z436+AA436)+($Z$170+$AA$170-$Z$436-$AA$436)*(L436)</f>
        <v>55797.436839472255</v>
      </c>
      <c r="AF436" s="4" t="s">
        <v>914</v>
      </c>
    </row>
    <row r="437" spans="1:32" ht="11.25" customHeight="1" x14ac:dyDescent="0.25">
      <c r="A437" s="4" t="s">
        <v>55</v>
      </c>
      <c r="B437" s="4" t="s">
        <v>43</v>
      </c>
      <c r="C437" s="4" t="s">
        <v>23</v>
      </c>
      <c r="D437" s="4" t="s">
        <v>44</v>
      </c>
      <c r="E437" s="4" t="s">
        <v>25</v>
      </c>
      <c r="F437" s="4" t="s">
        <v>25</v>
      </c>
      <c r="G437" s="4" t="s">
        <v>25</v>
      </c>
      <c r="H437" s="4" t="s">
        <v>25</v>
      </c>
      <c r="I437" s="5">
        <v>44562</v>
      </c>
      <c r="J437" s="6">
        <v>0</v>
      </c>
      <c r="K437" s="6">
        <v>0</v>
      </c>
      <c r="L437" s="6">
        <v>-0.97099999999999997</v>
      </c>
      <c r="M437" s="6">
        <v>-0.97099999999999997</v>
      </c>
      <c r="N437" s="6">
        <v>-0.97099999999999997</v>
      </c>
      <c r="O437" s="6">
        <v>-0.97099999999999997</v>
      </c>
      <c r="P437" s="6">
        <v>0</v>
      </c>
      <c r="Q437" s="4" t="s">
        <v>26</v>
      </c>
      <c r="R437" s="4">
        <v>0</v>
      </c>
      <c r="S437" s="4">
        <v>0</v>
      </c>
      <c r="T437" s="4">
        <v>46</v>
      </c>
      <c r="U437" s="4">
        <v>99</v>
      </c>
      <c r="V437" s="6">
        <f>IF(ISERROR(VLOOKUP($S$437,'TAR FIN'!$A$1:$O$100,15,0)),0,VLOOKUP($S$437,'TAR FIN'!$A$1:$O$100,15,0))</f>
        <v>0</v>
      </c>
      <c r="W437" s="6">
        <f>IF(ISERROR(VLOOKUP($T$437,'TAR FIN'!$A$1:$O$100,15,0)),0,VLOOKUP($T$437,'TAR FIN'!$A$1:$O$100,15,0))</f>
        <v>251.46</v>
      </c>
      <c r="X437" s="6">
        <f>IF(ISERROR(VLOOKUP($U$437,'TAR FIN'!$A$1:$O$100,15,0)),0,VLOOKUP($U$437,'TAR FIN'!$A$1:$O$100,15,0))</f>
        <v>203.57</v>
      </c>
      <c r="Y437" s="6"/>
      <c r="Z437" s="6">
        <f ca="1">('TUSD BE'!$AM$43+'TUSD BF'!$AM$43+'TUSD CVA'!$AM$43)*(1-CUSTOS!$M$38)</f>
        <v>268.50633429802321</v>
      </c>
      <c r="AA437" s="6">
        <f>('TE BE'!$AA$26+'TE BF'!$AA$26+'TE CVA'!$AA$26)*(1-CUSTOS!$M$38)</f>
        <v>235.74605718547673</v>
      </c>
      <c r="AB437" s="6">
        <f t="shared" si="22"/>
        <v>0</v>
      </c>
      <c r="AC437" s="6">
        <f>(L437-M437)*(W437+X437)+($W$170+$X$170-$W$437-$X$437)*(L437)</f>
        <v>-60.250550000000011</v>
      </c>
      <c r="AD437" s="6">
        <f t="shared" si="23"/>
        <v>0</v>
      </c>
      <c r="AE437" s="6">
        <f ca="1">(L437-M437)*(Z437+AA437)+($Z$170+$AA$170-$Z$437-$AA$437)*(L437)</f>
        <v>-31.252919497690069</v>
      </c>
      <c r="AF437" s="4" t="s">
        <v>914</v>
      </c>
    </row>
    <row r="438" spans="1:32" ht="11.25" customHeight="1" x14ac:dyDescent="0.25">
      <c r="A438" s="4" t="s">
        <v>55</v>
      </c>
      <c r="B438" s="4" t="s">
        <v>43</v>
      </c>
      <c r="C438" s="4" t="s">
        <v>23</v>
      </c>
      <c r="D438" s="4" t="s">
        <v>44</v>
      </c>
      <c r="E438" s="4" t="s">
        <v>25</v>
      </c>
      <c r="F438" s="4" t="s">
        <v>25</v>
      </c>
      <c r="G438" s="4" t="s">
        <v>25</v>
      </c>
      <c r="H438" s="4" t="s">
        <v>25</v>
      </c>
      <c r="I438" s="5">
        <v>44562</v>
      </c>
      <c r="J438" s="6">
        <v>0</v>
      </c>
      <c r="K438" s="6">
        <v>0</v>
      </c>
      <c r="L438" s="6">
        <v>6.4180000000000001</v>
      </c>
      <c r="M438" s="6">
        <v>6.4180000000000001</v>
      </c>
      <c r="N438" s="6">
        <v>6.4180000000000001</v>
      </c>
      <c r="O438" s="6">
        <v>6.4180000000000001</v>
      </c>
      <c r="P438" s="6">
        <v>41</v>
      </c>
      <c r="Q438" s="4" t="s">
        <v>26</v>
      </c>
      <c r="R438" s="4">
        <v>0</v>
      </c>
      <c r="S438" s="4">
        <v>0</v>
      </c>
      <c r="T438" s="4">
        <v>46</v>
      </c>
      <c r="U438" s="4">
        <v>99</v>
      </c>
      <c r="V438" s="6">
        <f>IF(ISERROR(VLOOKUP($S$438,'TAR FIN'!$A$1:$O$100,15,0)),0,VLOOKUP($S$438,'TAR FIN'!$A$1:$O$100,15,0))</f>
        <v>0</v>
      </c>
      <c r="W438" s="6">
        <f>IF(ISERROR(VLOOKUP($T$438,'TAR FIN'!$A$1:$O$100,15,0)),0,VLOOKUP($T$438,'TAR FIN'!$A$1:$O$100,15,0))</f>
        <v>251.46</v>
      </c>
      <c r="X438" s="6">
        <f>IF(ISERROR(VLOOKUP($U$438,'TAR FIN'!$A$1:$O$100,15,0)),0,VLOOKUP($U$438,'TAR FIN'!$A$1:$O$100,15,0))</f>
        <v>203.57</v>
      </c>
      <c r="Y438" s="6"/>
      <c r="Z438" s="6">
        <f ca="1">('TUSD BE'!$AM$43+'TUSD BF'!$AM$43+'TUSD CVA'!$AM$43)*(1-CUSTOS!$M$38)</f>
        <v>268.50633429802321</v>
      </c>
      <c r="AA438" s="6">
        <f>('TE BE'!$AA$26+'TE BF'!$AA$26+'TE CVA'!$AA$26)*(1-CUSTOS!$M$38)</f>
        <v>235.74605718547673</v>
      </c>
      <c r="AB438" s="6">
        <f t="shared" si="22"/>
        <v>0</v>
      </c>
      <c r="AC438" s="6">
        <f>(L438-M438)*(W438+X438)+($W$170+$X$170-$W$438-$X$438)*(L438)</f>
        <v>398.23690000000011</v>
      </c>
      <c r="AD438" s="6">
        <f t="shared" si="23"/>
        <v>0</v>
      </c>
      <c r="AE438" s="6">
        <f ca="1">(L438-M438)*(Z438+AA438)+($Z$170+$AA$170-$Z$438-$AA$438)*(L438)</f>
        <v>206.57182011964454</v>
      </c>
      <c r="AF438" s="4" t="s">
        <v>914</v>
      </c>
    </row>
    <row r="439" spans="1:32" ht="11.25" customHeight="1" x14ac:dyDescent="0.25">
      <c r="A439" s="4" t="s">
        <v>21</v>
      </c>
      <c r="B439" s="4" t="s">
        <v>37</v>
      </c>
      <c r="C439" s="4" t="s">
        <v>23</v>
      </c>
      <c r="D439" s="4" t="s">
        <v>49</v>
      </c>
      <c r="E439" s="4" t="s">
        <v>50</v>
      </c>
      <c r="F439" s="4" t="s">
        <v>25</v>
      </c>
      <c r="G439" s="4" t="s">
        <v>25</v>
      </c>
      <c r="H439" s="4" t="s">
        <v>25</v>
      </c>
      <c r="I439" s="5">
        <v>44228</v>
      </c>
      <c r="J439" s="6">
        <v>0</v>
      </c>
      <c r="K439" s="43">
        <v>0</v>
      </c>
      <c r="L439" s="6">
        <v>78.28</v>
      </c>
      <c r="M439" s="43">
        <v>78.28</v>
      </c>
      <c r="N439" s="6">
        <v>78.28</v>
      </c>
      <c r="O439" s="43">
        <v>78.28</v>
      </c>
      <c r="P439" s="6">
        <v>64</v>
      </c>
      <c r="Q439" s="4" t="s">
        <v>26</v>
      </c>
      <c r="R439" s="4">
        <v>0</v>
      </c>
      <c r="S439" s="4">
        <v>0</v>
      </c>
      <c r="T439" s="4">
        <v>61</v>
      </c>
      <c r="U439" s="4">
        <v>7</v>
      </c>
      <c r="V439" s="43">
        <f>IF(ISERROR(VLOOKUP($S$439,'TAR FIN'!$A$1:$O$100,15,0)),0,VLOOKUP($S$439,'TAR FIN'!$A$1:$O$100,15,0))</f>
        <v>0</v>
      </c>
      <c r="W439" s="43">
        <f>IF(ISERROR(VLOOKUP($T$439,'TAR FIN'!$A$1:$O$100,15,0)),0,VLOOKUP($T$439,'TAR FIN'!$A$1:$O$100,15,0))*(1-0.06)</f>
        <v>268.60499999999996</v>
      </c>
      <c r="X439" s="43">
        <f>IF(ISERROR(VLOOKUP($U$439,'TAR FIN'!$A$1:$O$100,15,0)),0,VLOOKUP($U$439,'TAR FIN'!$A$1:$O$100,15,0))*(1-0.06)</f>
        <v>217.4502</v>
      </c>
      <c r="Y439" s="43"/>
      <c r="Z439" s="43">
        <f ca="1">('TUSD BE'!$AM$58+'TUSD BF'!$AM$58+'TUSD CVA'!$AM$58)*1*(1-0.03)</f>
        <v>277.07568539264093</v>
      </c>
      <c r="AA439" s="43">
        <f>('TE BE'!$AA$41+'TE BF'!$AA$41+'TE CVA'!$AA$41)*1*(1-0.03)</f>
        <v>243.26986752118344</v>
      </c>
      <c r="AB439" s="43">
        <f>(SUBSIDIO!$J$439*SUBSIDIO!$V$439)*(0.06)/(1-0.06)</f>
        <v>0</v>
      </c>
      <c r="AC439" s="43">
        <f>((SUBSIDIO!$L$439*SUBSIDIO!$W$439)+(SUBSIDIO!$N$439*SUBSIDIO!$X$439))*(0.06)/(1-0.06)</f>
        <v>2428.6213440000006</v>
      </c>
      <c r="AD439" s="43">
        <f>(SUBSIDIO!$J$439*SUBSIDIO!$Y$439)*(0.03)/(1-0.03)</f>
        <v>0</v>
      </c>
      <c r="AE439" s="43">
        <f ca="1">((SUBSIDIO!$L$439*SUBSIDIO!$Z$439)+(SUBSIDIO!$N$439*SUBSIDIO!$AA$439))*(0.03)/(1-0.03)</f>
        <v>1259.7726767657991</v>
      </c>
      <c r="AF439" s="4" t="s">
        <v>913</v>
      </c>
    </row>
    <row r="440" spans="1:32" ht="11.25" customHeight="1" x14ac:dyDescent="0.25">
      <c r="A440" s="4" t="s">
        <v>21</v>
      </c>
      <c r="B440" s="4" t="s">
        <v>37</v>
      </c>
      <c r="C440" s="4" t="s">
        <v>23</v>
      </c>
      <c r="D440" s="4" t="s">
        <v>49</v>
      </c>
      <c r="E440" s="4" t="s">
        <v>50</v>
      </c>
      <c r="F440" s="4" t="s">
        <v>25</v>
      </c>
      <c r="G440" s="4" t="s">
        <v>25</v>
      </c>
      <c r="H440" s="4" t="s">
        <v>25</v>
      </c>
      <c r="I440" s="5">
        <v>44256</v>
      </c>
      <c r="J440" s="6">
        <v>0</v>
      </c>
      <c r="K440" s="43">
        <v>0</v>
      </c>
      <c r="L440" s="6">
        <v>88.935000000000002</v>
      </c>
      <c r="M440" s="43">
        <v>88.935000000000002</v>
      </c>
      <c r="N440" s="6">
        <v>88.935000000000002</v>
      </c>
      <c r="O440" s="43">
        <v>88.935000000000002</v>
      </c>
      <c r="P440" s="6">
        <v>66</v>
      </c>
      <c r="Q440" s="4" t="s">
        <v>26</v>
      </c>
      <c r="R440" s="4">
        <v>0</v>
      </c>
      <c r="S440" s="4">
        <v>0</v>
      </c>
      <c r="T440" s="4">
        <v>61</v>
      </c>
      <c r="U440" s="4">
        <v>7</v>
      </c>
      <c r="V440" s="43">
        <f>IF(ISERROR(VLOOKUP($S$440,'TAR FIN'!$A$1:$O$100,15,0)),0,VLOOKUP($S$440,'TAR FIN'!$A$1:$O$100,15,0))</f>
        <v>0</v>
      </c>
      <c r="W440" s="43">
        <f>IF(ISERROR(VLOOKUP($T$440,'TAR FIN'!$A$1:$O$100,15,0)),0,VLOOKUP($T$440,'TAR FIN'!$A$1:$O$100,15,0))*(1-0.06)</f>
        <v>268.60499999999996</v>
      </c>
      <c r="X440" s="43">
        <f>IF(ISERROR(VLOOKUP($U$440,'TAR FIN'!$A$1:$O$100,15,0)),0,VLOOKUP($U$440,'TAR FIN'!$A$1:$O$100,15,0))*(1-0.06)</f>
        <v>217.4502</v>
      </c>
      <c r="Y440" s="43"/>
      <c r="Z440" s="43">
        <f ca="1">('TUSD BE'!$AM$58+'TUSD BF'!$AM$58+'TUSD CVA'!$AM$58)*1*(1-0.03)</f>
        <v>277.07568539264093</v>
      </c>
      <c r="AA440" s="43">
        <f>('TE BE'!$AA$41+'TE BF'!$AA$41+'TE CVA'!$AA$41)*1*(1-0.03)</f>
        <v>243.26986752118344</v>
      </c>
      <c r="AB440" s="43">
        <f>(SUBSIDIO!$J$440*SUBSIDIO!$V$440)*(0.06)/(1-0.06)</f>
        <v>0</v>
      </c>
      <c r="AC440" s="43">
        <f>((SUBSIDIO!$L$440*SUBSIDIO!$W$440)+(SUBSIDIO!$N$440*SUBSIDIO!$X$440))*(0.06)/(1-0.06)</f>
        <v>2759.1905879999999</v>
      </c>
      <c r="AD440" s="43">
        <f>(SUBSIDIO!$J$440*SUBSIDIO!$Y$440)*(0.03)/(1-0.03)</f>
        <v>0</v>
      </c>
      <c r="AE440" s="43">
        <f ca="1">((SUBSIDIO!$L$440*SUBSIDIO!$Z$440)+(SUBSIDIO!$N$440*SUBSIDIO!$AA$440))*(0.03)/(1-0.03)</f>
        <v>1431.2453118059063</v>
      </c>
      <c r="AF440" s="4" t="s">
        <v>913</v>
      </c>
    </row>
    <row r="441" spans="1:32" ht="11.25" customHeight="1" x14ac:dyDescent="0.25">
      <c r="A441" s="4" t="s">
        <v>21</v>
      </c>
      <c r="B441" s="4" t="s">
        <v>37</v>
      </c>
      <c r="C441" s="4" t="s">
        <v>23</v>
      </c>
      <c r="D441" s="4" t="s">
        <v>49</v>
      </c>
      <c r="E441" s="4" t="s">
        <v>50</v>
      </c>
      <c r="F441" s="4" t="s">
        <v>25</v>
      </c>
      <c r="G441" s="4" t="s">
        <v>25</v>
      </c>
      <c r="H441" s="4" t="s">
        <v>25</v>
      </c>
      <c r="I441" s="5">
        <v>44287</v>
      </c>
      <c r="J441" s="6">
        <v>0</v>
      </c>
      <c r="K441" s="43">
        <v>0</v>
      </c>
      <c r="L441" s="6">
        <v>85.811000000000007</v>
      </c>
      <c r="M441" s="43">
        <v>85.811000000000007</v>
      </c>
      <c r="N441" s="6">
        <v>85.811000000000007</v>
      </c>
      <c r="O441" s="43">
        <v>85.811000000000007</v>
      </c>
      <c r="P441" s="6">
        <v>65</v>
      </c>
      <c r="Q441" s="4" t="s">
        <v>26</v>
      </c>
      <c r="R441" s="4">
        <v>0</v>
      </c>
      <c r="S441" s="4">
        <v>0</v>
      </c>
      <c r="T441" s="4">
        <v>61</v>
      </c>
      <c r="U441" s="4">
        <v>7</v>
      </c>
      <c r="V441" s="43">
        <f>IF(ISERROR(VLOOKUP($S$441,'TAR FIN'!$A$1:$O$100,15,0)),0,VLOOKUP($S$441,'TAR FIN'!$A$1:$O$100,15,0))</f>
        <v>0</v>
      </c>
      <c r="W441" s="43">
        <f>IF(ISERROR(VLOOKUP($T$441,'TAR FIN'!$A$1:$O$100,15,0)),0,VLOOKUP($T$441,'TAR FIN'!$A$1:$O$100,15,0))*(1-0.06)</f>
        <v>268.60499999999996</v>
      </c>
      <c r="X441" s="43">
        <f>IF(ISERROR(VLOOKUP($U$441,'TAR FIN'!$A$1:$O$100,15,0)),0,VLOOKUP($U$441,'TAR FIN'!$A$1:$O$100,15,0))*(1-0.06)</f>
        <v>217.4502</v>
      </c>
      <c r="Y441" s="43"/>
      <c r="Z441" s="43">
        <f ca="1">('TUSD BE'!$AM$58+'TUSD BF'!$AM$58+'TUSD CVA'!$AM$58)*1*(1-0.03)</f>
        <v>277.07568539264093</v>
      </c>
      <c r="AA441" s="43">
        <f>('TE BE'!$AA$41+'TE BF'!$AA$41+'TE CVA'!$AA$41)*1*(1-0.03)</f>
        <v>243.26986752118344</v>
      </c>
      <c r="AB441" s="43">
        <f>(SUBSIDIO!$J$441*SUBSIDIO!$V$441)*(0.06)/(1-0.06)</f>
        <v>0</v>
      </c>
      <c r="AC441" s="43">
        <f>((SUBSIDIO!$L$441*SUBSIDIO!$W$441)+(SUBSIDIO!$N$441*SUBSIDIO!$X$441))*(0.06)/(1-0.06)</f>
        <v>2662.2691128000006</v>
      </c>
      <c r="AD441" s="43">
        <f>(SUBSIDIO!$J$441*SUBSIDIO!$Y$441)*(0.03)/(1-0.03)</f>
        <v>0</v>
      </c>
      <c r="AE441" s="43">
        <f ca="1">((SUBSIDIO!$L$441*SUBSIDIO!$Z$441)+(SUBSIDIO!$N$441*SUBSIDIO!$AA$441))*(0.03)/(1-0.03)</f>
        <v>1380.9702754975729</v>
      </c>
      <c r="AF441" s="4" t="s">
        <v>913</v>
      </c>
    </row>
    <row r="442" spans="1:32" ht="11.25" customHeight="1" x14ac:dyDescent="0.25">
      <c r="A442" s="4" t="s">
        <v>21</v>
      </c>
      <c r="B442" s="4" t="s">
        <v>37</v>
      </c>
      <c r="C442" s="4" t="s">
        <v>23</v>
      </c>
      <c r="D442" s="4" t="s">
        <v>49</v>
      </c>
      <c r="E442" s="4" t="s">
        <v>50</v>
      </c>
      <c r="F442" s="4" t="s">
        <v>25</v>
      </c>
      <c r="G442" s="4" t="s">
        <v>25</v>
      </c>
      <c r="H442" s="4" t="s">
        <v>25</v>
      </c>
      <c r="I442" s="5">
        <v>44317</v>
      </c>
      <c r="J442" s="6">
        <v>0</v>
      </c>
      <c r="K442" s="43">
        <v>0</v>
      </c>
      <c r="L442" s="6">
        <v>97.037999999999997</v>
      </c>
      <c r="M442" s="43">
        <v>97.037999999999997</v>
      </c>
      <c r="N442" s="6">
        <v>97.037999999999997</v>
      </c>
      <c r="O442" s="43">
        <v>97.037999999999997</v>
      </c>
      <c r="P442" s="6">
        <v>64</v>
      </c>
      <c r="Q442" s="4" t="s">
        <v>26</v>
      </c>
      <c r="R442" s="4">
        <v>0</v>
      </c>
      <c r="S442" s="4">
        <v>0</v>
      </c>
      <c r="T442" s="4">
        <v>61</v>
      </c>
      <c r="U442" s="4">
        <v>7</v>
      </c>
      <c r="V442" s="43">
        <f>IF(ISERROR(VLOOKUP($S$442,'TAR FIN'!$A$1:$O$100,15,0)),0,VLOOKUP($S$442,'TAR FIN'!$A$1:$O$100,15,0))</f>
        <v>0</v>
      </c>
      <c r="W442" s="43">
        <f>IF(ISERROR(VLOOKUP($T$442,'TAR FIN'!$A$1:$O$100,15,0)),0,VLOOKUP($T$442,'TAR FIN'!$A$1:$O$100,15,0))*(1-0.06)</f>
        <v>268.60499999999996</v>
      </c>
      <c r="X442" s="43">
        <f>IF(ISERROR(VLOOKUP($U$442,'TAR FIN'!$A$1:$O$100,15,0)),0,VLOOKUP($U$442,'TAR FIN'!$A$1:$O$100,15,0))*(1-0.06)</f>
        <v>217.4502</v>
      </c>
      <c r="Y442" s="43"/>
      <c r="Z442" s="43">
        <f ca="1">('TUSD BE'!$AM$58+'TUSD BF'!$AM$58+'TUSD CVA'!$AM$58)*1*(1-0.03)</f>
        <v>277.07568539264093</v>
      </c>
      <c r="AA442" s="43">
        <f>('TE BE'!$AA$41+'TE BF'!$AA$41+'TE CVA'!$AA$41)*1*(1-0.03)</f>
        <v>243.26986752118344</v>
      </c>
      <c r="AB442" s="43">
        <f>(SUBSIDIO!$J$442*SUBSIDIO!$V$442)*(0.06)/(1-0.06)</f>
        <v>0</v>
      </c>
      <c r="AC442" s="43">
        <f>((SUBSIDIO!$L$442*SUBSIDIO!$W$442)+(SUBSIDIO!$N$442*SUBSIDIO!$X$442))*(0.06)/(1-0.06)</f>
        <v>3010.5845423999999</v>
      </c>
      <c r="AD442" s="43">
        <f>(SUBSIDIO!$J$442*SUBSIDIO!$Y$442)*(0.03)/(1-0.03)</f>
        <v>0</v>
      </c>
      <c r="AE442" s="43">
        <f ca="1">((SUBSIDIO!$L$442*SUBSIDIO!$Z$442)+(SUBSIDIO!$N$442*SUBSIDIO!$AA$442))*(0.03)/(1-0.03)</f>
        <v>1561.6481988758255</v>
      </c>
      <c r="AF442" s="4" t="s">
        <v>913</v>
      </c>
    </row>
    <row r="443" spans="1:32" ht="11.25" customHeight="1" x14ac:dyDescent="0.25">
      <c r="A443" s="4" t="s">
        <v>21</v>
      </c>
      <c r="B443" s="4" t="s">
        <v>37</v>
      </c>
      <c r="C443" s="4" t="s">
        <v>23</v>
      </c>
      <c r="D443" s="4" t="s">
        <v>49</v>
      </c>
      <c r="E443" s="4" t="s">
        <v>50</v>
      </c>
      <c r="F443" s="4" t="s">
        <v>25</v>
      </c>
      <c r="G443" s="4" t="s">
        <v>25</v>
      </c>
      <c r="H443" s="4" t="s">
        <v>25</v>
      </c>
      <c r="I443" s="5">
        <v>44348</v>
      </c>
      <c r="J443" s="6">
        <v>0</v>
      </c>
      <c r="K443" s="43">
        <v>0</v>
      </c>
      <c r="L443" s="6">
        <v>79.037999999999997</v>
      </c>
      <c r="M443" s="43">
        <v>79.037999999999997</v>
      </c>
      <c r="N443" s="6">
        <v>79.037999999999997</v>
      </c>
      <c r="O443" s="43">
        <v>79.037999999999997</v>
      </c>
      <c r="P443" s="6">
        <v>65</v>
      </c>
      <c r="Q443" s="4" t="s">
        <v>26</v>
      </c>
      <c r="R443" s="4">
        <v>0</v>
      </c>
      <c r="S443" s="4">
        <v>0</v>
      </c>
      <c r="T443" s="4">
        <v>61</v>
      </c>
      <c r="U443" s="4">
        <v>7</v>
      </c>
      <c r="V443" s="43">
        <f>IF(ISERROR(VLOOKUP($S$443,'TAR FIN'!$A$1:$O$100,15,0)),0,VLOOKUP($S$443,'TAR FIN'!$A$1:$O$100,15,0))</f>
        <v>0</v>
      </c>
      <c r="W443" s="43">
        <f>IF(ISERROR(VLOOKUP($T$443,'TAR FIN'!$A$1:$O$100,15,0)),0,VLOOKUP($T$443,'TAR FIN'!$A$1:$O$100,15,0))*(1-0.06)</f>
        <v>268.60499999999996</v>
      </c>
      <c r="X443" s="43">
        <f>IF(ISERROR(VLOOKUP($U$443,'TAR FIN'!$A$1:$O$100,15,0)),0,VLOOKUP($U$443,'TAR FIN'!$A$1:$O$100,15,0))*(1-0.06)</f>
        <v>217.4502</v>
      </c>
      <c r="Y443" s="43"/>
      <c r="Z443" s="43">
        <f ca="1">('TUSD BE'!$AM$58+'TUSD BF'!$AM$58+'TUSD CVA'!$AM$58)*1*(1-0.03)</f>
        <v>277.07568539264093</v>
      </c>
      <c r="AA443" s="43">
        <f>('TE BE'!$AA$41+'TE BF'!$AA$41+'TE CVA'!$AA$41)*1*(1-0.03)</f>
        <v>243.26986752118344</v>
      </c>
      <c r="AB443" s="43">
        <f>(SUBSIDIO!$J$443*SUBSIDIO!$V$443)*(0.06)/(1-0.06)</f>
        <v>0</v>
      </c>
      <c r="AC443" s="43">
        <f>((SUBSIDIO!$L$443*SUBSIDIO!$W$443)+(SUBSIDIO!$N$443*SUBSIDIO!$X$443))*(0.06)/(1-0.06)</f>
        <v>2452.1381423999997</v>
      </c>
      <c r="AD443" s="43">
        <f>(SUBSIDIO!$J$443*SUBSIDIO!$Y$443)*(0.03)/(1-0.03)</f>
        <v>0</v>
      </c>
      <c r="AE443" s="43">
        <f ca="1">((SUBSIDIO!$L$443*SUBSIDIO!$Z$443)+(SUBSIDIO!$N$443*SUBSIDIO!$AA$443))*(0.03)/(1-0.03)</f>
        <v>1271.9712931299848</v>
      </c>
      <c r="AF443" s="4" t="s">
        <v>913</v>
      </c>
    </row>
    <row r="444" spans="1:32" ht="11.25" customHeight="1" x14ac:dyDescent="0.25">
      <c r="A444" s="4" t="s">
        <v>21</v>
      </c>
      <c r="B444" s="4" t="s">
        <v>37</v>
      </c>
      <c r="C444" s="4" t="s">
        <v>23</v>
      </c>
      <c r="D444" s="4" t="s">
        <v>49</v>
      </c>
      <c r="E444" s="4" t="s">
        <v>50</v>
      </c>
      <c r="F444" s="4" t="s">
        <v>25</v>
      </c>
      <c r="G444" s="4" t="s">
        <v>25</v>
      </c>
      <c r="H444" s="4" t="s">
        <v>25</v>
      </c>
      <c r="I444" s="5">
        <v>44378</v>
      </c>
      <c r="J444" s="6">
        <v>0</v>
      </c>
      <c r="K444" s="43">
        <v>0</v>
      </c>
      <c r="L444" s="6">
        <v>90.715000000000003</v>
      </c>
      <c r="M444" s="43">
        <v>90.715000000000003</v>
      </c>
      <c r="N444" s="6">
        <v>90.715000000000003</v>
      </c>
      <c r="O444" s="43">
        <v>90.715000000000003</v>
      </c>
      <c r="P444" s="6">
        <v>65</v>
      </c>
      <c r="Q444" s="4" t="s">
        <v>26</v>
      </c>
      <c r="R444" s="4">
        <v>0</v>
      </c>
      <c r="S444" s="4">
        <v>0</v>
      </c>
      <c r="T444" s="4">
        <v>61</v>
      </c>
      <c r="U444" s="4">
        <v>7</v>
      </c>
      <c r="V444" s="43">
        <f>IF(ISERROR(VLOOKUP($S$444,'TAR FIN'!$A$1:$O$100,15,0)),0,VLOOKUP($S$444,'TAR FIN'!$A$1:$O$100,15,0))</f>
        <v>0</v>
      </c>
      <c r="W444" s="43">
        <f>IF(ISERROR(VLOOKUP($T$444,'TAR FIN'!$A$1:$O$100,15,0)),0,VLOOKUP($T$444,'TAR FIN'!$A$1:$O$100,15,0))*(1-0.06)</f>
        <v>268.60499999999996</v>
      </c>
      <c r="X444" s="43">
        <f>IF(ISERROR(VLOOKUP($U$444,'TAR FIN'!$A$1:$O$100,15,0)),0,VLOOKUP($U$444,'TAR FIN'!$A$1:$O$100,15,0))*(1-0.06)</f>
        <v>217.4502</v>
      </c>
      <c r="Y444" s="43"/>
      <c r="Z444" s="43">
        <f ca="1">('TUSD BE'!$AM$58+'TUSD BF'!$AM$58+'TUSD CVA'!$AM$58)*1*(1-0.03)</f>
        <v>277.07568539264093</v>
      </c>
      <c r="AA444" s="43">
        <f>('TE BE'!$AA$41+'TE BF'!$AA$41+'TE CVA'!$AA$41)*1*(1-0.03)</f>
        <v>243.26986752118344</v>
      </c>
      <c r="AB444" s="43">
        <f>(SUBSIDIO!$J$444*SUBSIDIO!$V$444)*(0.06)/(1-0.06)</f>
        <v>0</v>
      </c>
      <c r="AC444" s="43">
        <f>((SUBSIDIO!$L$444*SUBSIDIO!$W$444)+(SUBSIDIO!$N$444*SUBSIDIO!$X$444))*(0.06)/(1-0.06)</f>
        <v>2814.4147320000002</v>
      </c>
      <c r="AD444" s="43">
        <f>(SUBSIDIO!$J$444*SUBSIDIO!$Y$444)*(0.03)/(1-0.03)</f>
        <v>0</v>
      </c>
      <c r="AE444" s="43">
        <f ca="1">((SUBSIDIO!$L$444*SUBSIDIO!$Z$444)+(SUBSIDIO!$N$444*SUBSIDIO!$AA$444))*(0.03)/(1-0.03)</f>
        <v>1459.8911391518839</v>
      </c>
      <c r="AF444" s="4" t="s">
        <v>913</v>
      </c>
    </row>
    <row r="445" spans="1:32" ht="11.25" customHeight="1" x14ac:dyDescent="0.25">
      <c r="A445" s="4" t="s">
        <v>21</v>
      </c>
      <c r="B445" s="4" t="s">
        <v>37</v>
      </c>
      <c r="C445" s="4" t="s">
        <v>23</v>
      </c>
      <c r="D445" s="4" t="s">
        <v>49</v>
      </c>
      <c r="E445" s="4" t="s">
        <v>50</v>
      </c>
      <c r="F445" s="4" t="s">
        <v>25</v>
      </c>
      <c r="G445" s="4" t="s">
        <v>25</v>
      </c>
      <c r="H445" s="4" t="s">
        <v>25</v>
      </c>
      <c r="I445" s="5">
        <v>44409</v>
      </c>
      <c r="J445" s="6">
        <v>0</v>
      </c>
      <c r="K445" s="43">
        <v>0</v>
      </c>
      <c r="L445" s="6">
        <v>80.218999999999994</v>
      </c>
      <c r="M445" s="43">
        <v>80.218999999999994</v>
      </c>
      <c r="N445" s="6">
        <v>80.218999999999994</v>
      </c>
      <c r="O445" s="43">
        <v>80.218999999999994</v>
      </c>
      <c r="P445" s="6">
        <v>65</v>
      </c>
      <c r="Q445" s="4" t="s">
        <v>26</v>
      </c>
      <c r="R445" s="4">
        <v>0</v>
      </c>
      <c r="S445" s="4">
        <v>0</v>
      </c>
      <c r="T445" s="4">
        <v>61</v>
      </c>
      <c r="U445" s="4">
        <v>7</v>
      </c>
      <c r="V445" s="43">
        <f>IF(ISERROR(VLOOKUP($S$445,'TAR FIN'!$A$1:$O$100,15,0)),0,VLOOKUP($S$445,'TAR FIN'!$A$1:$O$100,15,0))</f>
        <v>0</v>
      </c>
      <c r="W445" s="43">
        <f>IF(ISERROR(VLOOKUP($T$445,'TAR FIN'!$A$1:$O$100,15,0)),0,VLOOKUP($T$445,'TAR FIN'!$A$1:$O$100,15,0))*(1-0.06)</f>
        <v>268.60499999999996</v>
      </c>
      <c r="X445" s="43">
        <f>IF(ISERROR(VLOOKUP($U$445,'TAR FIN'!$A$1:$O$100,15,0)),0,VLOOKUP($U$445,'TAR FIN'!$A$1:$O$100,15,0))*(1-0.06)</f>
        <v>217.4502</v>
      </c>
      <c r="Y445" s="43"/>
      <c r="Z445" s="43">
        <f ca="1">('TUSD BE'!$AM$58+'TUSD BF'!$AM$58+'TUSD CVA'!$AM$58)*1*(1-0.03)</f>
        <v>277.07568539264093</v>
      </c>
      <c r="AA445" s="43">
        <f>('TE BE'!$AA$41+'TE BF'!$AA$41+'TE CVA'!$AA$41)*1*(1-0.03)</f>
        <v>243.26986752118344</v>
      </c>
      <c r="AB445" s="43">
        <f>(SUBSIDIO!$J$445*SUBSIDIO!$V$445)*(0.06)/(1-0.06)</f>
        <v>0</v>
      </c>
      <c r="AC445" s="43">
        <f>((SUBSIDIO!$L$445*SUBSIDIO!$W$445)+(SUBSIDIO!$N$445*SUBSIDIO!$X$445))*(0.06)/(1-0.06)</f>
        <v>2488.7784311999999</v>
      </c>
      <c r="AD445" s="43">
        <f>(SUBSIDIO!$J$445*SUBSIDIO!$Y$445)*(0.03)/(1-0.03)</f>
        <v>0</v>
      </c>
      <c r="AE445" s="43">
        <f ca="1">((SUBSIDIO!$L$445*SUBSIDIO!$Z$445)+(SUBSIDIO!$N$445*SUBSIDIO!$AA$445))*(0.03)/(1-0.03)</f>
        <v>1290.9773167791982</v>
      </c>
      <c r="AF445" s="4" t="s">
        <v>913</v>
      </c>
    </row>
    <row r="446" spans="1:32" ht="11.25" customHeight="1" x14ac:dyDescent="0.25">
      <c r="A446" s="4" t="s">
        <v>21</v>
      </c>
      <c r="B446" s="4" t="s">
        <v>37</v>
      </c>
      <c r="C446" s="4" t="s">
        <v>23</v>
      </c>
      <c r="D446" s="4" t="s">
        <v>49</v>
      </c>
      <c r="E446" s="4" t="s">
        <v>50</v>
      </c>
      <c r="F446" s="4" t="s">
        <v>25</v>
      </c>
      <c r="G446" s="4" t="s">
        <v>25</v>
      </c>
      <c r="H446" s="4" t="s">
        <v>25</v>
      </c>
      <c r="I446" s="5">
        <v>44440</v>
      </c>
      <c r="J446" s="6">
        <v>0</v>
      </c>
      <c r="K446" s="43">
        <v>0</v>
      </c>
      <c r="L446" s="6">
        <v>81.337000000000003</v>
      </c>
      <c r="M446" s="43">
        <v>81.337000000000003</v>
      </c>
      <c r="N446" s="6">
        <v>81.337000000000003</v>
      </c>
      <c r="O446" s="43">
        <v>81.337000000000003</v>
      </c>
      <c r="P446" s="6">
        <v>65</v>
      </c>
      <c r="Q446" s="4" t="s">
        <v>26</v>
      </c>
      <c r="R446" s="4">
        <v>0</v>
      </c>
      <c r="S446" s="4">
        <v>0</v>
      </c>
      <c r="T446" s="4">
        <v>61</v>
      </c>
      <c r="U446" s="4">
        <v>7</v>
      </c>
      <c r="V446" s="43">
        <f>IF(ISERROR(VLOOKUP($S$446,'TAR FIN'!$A$1:$O$100,15,0)),0,VLOOKUP($S$446,'TAR FIN'!$A$1:$O$100,15,0))</f>
        <v>0</v>
      </c>
      <c r="W446" s="43">
        <f>IF(ISERROR(VLOOKUP($T$446,'TAR FIN'!$A$1:$O$100,15,0)),0,VLOOKUP($T$446,'TAR FIN'!$A$1:$O$100,15,0))*(1-0.06)</f>
        <v>268.60499999999996</v>
      </c>
      <c r="X446" s="43">
        <f>IF(ISERROR(VLOOKUP($U$446,'TAR FIN'!$A$1:$O$100,15,0)),0,VLOOKUP($U$446,'TAR FIN'!$A$1:$O$100,15,0))*(1-0.06)</f>
        <v>217.4502</v>
      </c>
      <c r="Y446" s="43"/>
      <c r="Z446" s="43">
        <f ca="1">('TUSD BE'!$AM$58+'TUSD BF'!$AM$58+'TUSD CVA'!$AM$58)*1*(1-0.03)</f>
        <v>277.07568539264093</v>
      </c>
      <c r="AA446" s="43">
        <f>('TE BE'!$AA$41+'TE BF'!$AA$41+'TE CVA'!$AA$41)*1*(1-0.03)</f>
        <v>243.26986752118344</v>
      </c>
      <c r="AB446" s="43">
        <f>(SUBSIDIO!$J$446*SUBSIDIO!$V$446)*(0.06)/(1-0.06)</f>
        <v>0</v>
      </c>
      <c r="AC446" s="43">
        <f>((SUBSIDIO!$L$446*SUBSIDIO!$W$446)+(SUBSIDIO!$N$446*SUBSIDIO!$X$446))*(0.06)/(1-0.06)</f>
        <v>2523.4641576000004</v>
      </c>
      <c r="AD446" s="43">
        <f>(SUBSIDIO!$J$446*SUBSIDIO!$Y$446)*(0.03)/(1-0.03)</f>
        <v>0</v>
      </c>
      <c r="AE446" s="43">
        <f ca="1">((SUBSIDIO!$L$446*SUBSIDIO!$Z$446)+(SUBSIDIO!$N$446*SUBSIDIO!$AA$446))*(0.03)/(1-0.03)</f>
        <v>1308.9694712583012</v>
      </c>
      <c r="AF446" s="4" t="s">
        <v>913</v>
      </c>
    </row>
    <row r="447" spans="1:32" ht="11.25" customHeight="1" x14ac:dyDescent="0.25">
      <c r="A447" s="4" t="s">
        <v>21</v>
      </c>
      <c r="B447" s="4" t="s">
        <v>37</v>
      </c>
      <c r="C447" s="4" t="s">
        <v>23</v>
      </c>
      <c r="D447" s="4" t="s">
        <v>49</v>
      </c>
      <c r="E447" s="4" t="s">
        <v>50</v>
      </c>
      <c r="F447" s="4" t="s">
        <v>25</v>
      </c>
      <c r="G447" s="4" t="s">
        <v>25</v>
      </c>
      <c r="H447" s="4" t="s">
        <v>25</v>
      </c>
      <c r="I447" s="5">
        <v>44470</v>
      </c>
      <c r="J447" s="6">
        <v>0</v>
      </c>
      <c r="K447" s="43">
        <v>0</v>
      </c>
      <c r="L447" s="6">
        <v>87.936000000000007</v>
      </c>
      <c r="M447" s="43">
        <v>87.936000000000007</v>
      </c>
      <c r="N447" s="6">
        <v>87.936000000000007</v>
      </c>
      <c r="O447" s="43">
        <v>87.936000000000007</v>
      </c>
      <c r="P447" s="6">
        <v>65</v>
      </c>
      <c r="Q447" s="4" t="s">
        <v>26</v>
      </c>
      <c r="R447" s="4">
        <v>0</v>
      </c>
      <c r="S447" s="4">
        <v>0</v>
      </c>
      <c r="T447" s="4">
        <v>61</v>
      </c>
      <c r="U447" s="4">
        <v>7</v>
      </c>
      <c r="V447" s="43">
        <f>IF(ISERROR(VLOOKUP($S$447,'TAR FIN'!$A$1:$O$100,15,0)),0,VLOOKUP($S$447,'TAR FIN'!$A$1:$O$100,15,0))</f>
        <v>0</v>
      </c>
      <c r="W447" s="43">
        <f>IF(ISERROR(VLOOKUP($T$447,'TAR FIN'!$A$1:$O$100,15,0)),0,VLOOKUP($T$447,'TAR FIN'!$A$1:$O$100,15,0))*(1-0.06)</f>
        <v>268.60499999999996</v>
      </c>
      <c r="X447" s="43">
        <f>IF(ISERROR(VLOOKUP($U$447,'TAR FIN'!$A$1:$O$100,15,0)),0,VLOOKUP($U$447,'TAR FIN'!$A$1:$O$100,15,0))*(1-0.06)</f>
        <v>217.4502</v>
      </c>
      <c r="Y447" s="43"/>
      <c r="Z447" s="43">
        <f ca="1">('TUSD BE'!$AM$58+'TUSD BF'!$AM$58+'TUSD CVA'!$AM$58)*1*(1-0.03)</f>
        <v>277.07568539264093</v>
      </c>
      <c r="AA447" s="43">
        <f>('TE BE'!$AA$41+'TE BF'!$AA$41+'TE CVA'!$AA$41)*1*(1-0.03)</f>
        <v>243.26986752118344</v>
      </c>
      <c r="AB447" s="43">
        <f>(SUBSIDIO!$J$447*SUBSIDIO!$V$447)*(0.06)/(1-0.06)</f>
        <v>0</v>
      </c>
      <c r="AC447" s="43">
        <f>((SUBSIDIO!$L$447*SUBSIDIO!$W$447)+(SUBSIDIO!$N$447*SUBSIDIO!$X$447))*(0.06)/(1-0.06)</f>
        <v>2728.1968128000003</v>
      </c>
      <c r="AD447" s="43">
        <f>(SUBSIDIO!$J$447*SUBSIDIO!$Y$447)*(0.03)/(1-0.03)</f>
        <v>0</v>
      </c>
      <c r="AE447" s="43">
        <f ca="1">((SUBSIDIO!$L$447*SUBSIDIO!$Z$447)+(SUBSIDIO!$N$447*SUBSIDIO!$AA$447))*(0.03)/(1-0.03)</f>
        <v>1415.1682435370124</v>
      </c>
      <c r="AF447" s="4" t="s">
        <v>913</v>
      </c>
    </row>
    <row r="448" spans="1:32" ht="11.25" customHeight="1" x14ac:dyDescent="0.25">
      <c r="A448" s="4" t="s">
        <v>21</v>
      </c>
      <c r="B448" s="4" t="s">
        <v>37</v>
      </c>
      <c r="C448" s="4" t="s">
        <v>23</v>
      </c>
      <c r="D448" s="4" t="s">
        <v>49</v>
      </c>
      <c r="E448" s="4" t="s">
        <v>50</v>
      </c>
      <c r="F448" s="4" t="s">
        <v>25</v>
      </c>
      <c r="G448" s="4" t="s">
        <v>25</v>
      </c>
      <c r="H448" s="4" t="s">
        <v>25</v>
      </c>
      <c r="I448" s="5">
        <v>44501</v>
      </c>
      <c r="J448" s="6">
        <v>0</v>
      </c>
      <c r="K448" s="43">
        <v>0</v>
      </c>
      <c r="L448" s="6">
        <v>87.006</v>
      </c>
      <c r="M448" s="43">
        <v>87.006</v>
      </c>
      <c r="N448" s="6">
        <v>87.006</v>
      </c>
      <c r="O448" s="43">
        <v>87.006</v>
      </c>
      <c r="P448" s="6">
        <v>67</v>
      </c>
      <c r="Q448" s="4" t="s">
        <v>26</v>
      </c>
      <c r="R448" s="4">
        <v>0</v>
      </c>
      <c r="S448" s="4">
        <v>0</v>
      </c>
      <c r="T448" s="4">
        <v>61</v>
      </c>
      <c r="U448" s="4">
        <v>7</v>
      </c>
      <c r="V448" s="43">
        <f>IF(ISERROR(VLOOKUP($S$448,'TAR FIN'!$A$1:$O$100,15,0)),0,VLOOKUP($S$448,'TAR FIN'!$A$1:$O$100,15,0))</f>
        <v>0</v>
      </c>
      <c r="W448" s="43">
        <f>IF(ISERROR(VLOOKUP($T$448,'TAR FIN'!$A$1:$O$100,15,0)),0,VLOOKUP($T$448,'TAR FIN'!$A$1:$O$100,15,0))*(1-0.06)</f>
        <v>268.60499999999996</v>
      </c>
      <c r="X448" s="43">
        <f>IF(ISERROR(VLOOKUP($U$448,'TAR FIN'!$A$1:$O$100,15,0)),0,VLOOKUP($U$448,'TAR FIN'!$A$1:$O$100,15,0))*(1-0.06)</f>
        <v>217.4502</v>
      </c>
      <c r="Y448" s="43"/>
      <c r="Z448" s="43">
        <f ca="1">('TUSD BE'!$AM$58+'TUSD BF'!$AM$58+'TUSD CVA'!$AM$58)*1*(1-0.03)</f>
        <v>277.07568539264093</v>
      </c>
      <c r="AA448" s="43">
        <f>('TE BE'!$AA$41+'TE BF'!$AA$41+'TE CVA'!$AA$41)*1*(1-0.03)</f>
        <v>243.26986752118344</v>
      </c>
      <c r="AB448" s="43">
        <f>(SUBSIDIO!$J$448*SUBSIDIO!$V$448)*(0.06)/(1-0.06)</f>
        <v>0</v>
      </c>
      <c r="AC448" s="43">
        <f>((SUBSIDIO!$L$448*SUBSIDIO!$W$448)+(SUBSIDIO!$N$448*SUBSIDIO!$X$448))*(0.06)/(1-0.06)</f>
        <v>2699.3437488</v>
      </c>
      <c r="AD448" s="43">
        <f>(SUBSIDIO!$J$448*SUBSIDIO!$Y$448)*(0.03)/(1-0.03)</f>
        <v>0</v>
      </c>
      <c r="AE448" s="43">
        <f ca="1">((SUBSIDIO!$L$448*SUBSIDIO!$Z$448)+(SUBSIDIO!$N$448*SUBSIDIO!$AA$448))*(0.03)/(1-0.03)</f>
        <v>1400.2016034068104</v>
      </c>
      <c r="AF448" s="4" t="s">
        <v>913</v>
      </c>
    </row>
    <row r="449" spans="1:32" ht="11.25" customHeight="1" x14ac:dyDescent="0.25">
      <c r="A449" s="4" t="s">
        <v>27</v>
      </c>
      <c r="B449" s="4" t="s">
        <v>37</v>
      </c>
      <c r="C449" s="4" t="s">
        <v>23</v>
      </c>
      <c r="D449" s="4" t="s">
        <v>49</v>
      </c>
      <c r="E449" s="4" t="s">
        <v>50</v>
      </c>
      <c r="F449" s="4" t="s">
        <v>25</v>
      </c>
      <c r="G449" s="4" t="s">
        <v>25</v>
      </c>
      <c r="H449" s="4" t="s">
        <v>25</v>
      </c>
      <c r="I449" s="5">
        <v>44501</v>
      </c>
      <c r="J449" s="6">
        <v>0</v>
      </c>
      <c r="K449" s="43">
        <v>0</v>
      </c>
      <c r="L449" s="6">
        <v>-0.03</v>
      </c>
      <c r="M449" s="43">
        <v>-0.03</v>
      </c>
      <c r="N449" s="6">
        <v>-0.03</v>
      </c>
      <c r="O449" s="43">
        <v>-0.03</v>
      </c>
      <c r="P449" s="6">
        <v>-1</v>
      </c>
      <c r="Q449" s="4" t="s">
        <v>26</v>
      </c>
      <c r="R449" s="4">
        <v>0</v>
      </c>
      <c r="S449" s="4">
        <v>0</v>
      </c>
      <c r="T449" s="4">
        <v>61</v>
      </c>
      <c r="U449" s="4">
        <v>7</v>
      </c>
      <c r="V449" s="43">
        <f>IF(ISERROR(VLOOKUP($S$449,'TAR FIN'!$A$1:$O$100,15,0)),0,VLOOKUP($S$449,'TAR FIN'!$A$1:$O$100,15,0))</f>
        <v>0</v>
      </c>
      <c r="W449" s="43">
        <f>IF(ISERROR(VLOOKUP($T$449,'TAR FIN'!$A$1:$O$100,15,0)),0,VLOOKUP($T$449,'TAR FIN'!$A$1:$O$100,15,0))*(1-0.06)</f>
        <v>268.60499999999996</v>
      </c>
      <c r="X449" s="43">
        <f>IF(ISERROR(VLOOKUP($U$449,'TAR FIN'!$A$1:$O$100,15,0)),0,VLOOKUP($U$449,'TAR FIN'!$A$1:$O$100,15,0))*(1-0.06)</f>
        <v>217.4502</v>
      </c>
      <c r="Y449" s="43"/>
      <c r="Z449" s="43">
        <f ca="1">('TUSD BE'!$AM$58+'TUSD BF'!$AM$58+'TUSD CVA'!$AM$58)*1*(1-0.03)</f>
        <v>277.07568539264093</v>
      </c>
      <c r="AA449" s="43">
        <f>('TE BE'!$AA$41+'TE BF'!$AA$41+'TE CVA'!$AA$41)*1*(1-0.03)</f>
        <v>243.26986752118344</v>
      </c>
      <c r="AB449" s="43">
        <f>(SUBSIDIO!$J$449*SUBSIDIO!$V$449)*(0.06)/(1-0.06)</f>
        <v>0</v>
      </c>
      <c r="AC449" s="43">
        <f>((SUBSIDIO!$L$449*SUBSIDIO!$W$449)+(SUBSIDIO!$N$449*SUBSIDIO!$X$449))*(0.06)/(1-0.06)</f>
        <v>-0.93074399999999979</v>
      </c>
      <c r="AD449" s="43">
        <f>(SUBSIDIO!$J$449*SUBSIDIO!$Y$449)*(0.03)/(1-0.03)</f>
        <v>0</v>
      </c>
      <c r="AE449" s="43">
        <f ca="1">((SUBSIDIO!$L$449*SUBSIDIO!$Z$449)+(SUBSIDIO!$N$449*SUBSIDIO!$AA$449))*(0.03)/(1-0.03)</f>
        <v>-0.48279484290973396</v>
      </c>
      <c r="AF449" s="4" t="s">
        <v>913</v>
      </c>
    </row>
    <row r="450" spans="1:32" ht="11.25" customHeight="1" x14ac:dyDescent="0.25">
      <c r="A450" s="4" t="s">
        <v>21</v>
      </c>
      <c r="B450" s="4" t="s">
        <v>37</v>
      </c>
      <c r="C450" s="4" t="s">
        <v>23</v>
      </c>
      <c r="D450" s="4" t="s">
        <v>49</v>
      </c>
      <c r="E450" s="4" t="s">
        <v>50</v>
      </c>
      <c r="F450" s="4" t="s">
        <v>25</v>
      </c>
      <c r="G450" s="4" t="s">
        <v>25</v>
      </c>
      <c r="H450" s="4" t="s">
        <v>25</v>
      </c>
      <c r="I450" s="5">
        <v>44531</v>
      </c>
      <c r="J450" s="6">
        <v>0</v>
      </c>
      <c r="K450" s="43">
        <v>0</v>
      </c>
      <c r="L450" s="6">
        <v>92.775000000000006</v>
      </c>
      <c r="M450" s="43">
        <v>92.775000000000006</v>
      </c>
      <c r="N450" s="6">
        <v>92.775000000000006</v>
      </c>
      <c r="O450" s="43">
        <v>92.775000000000006</v>
      </c>
      <c r="P450" s="6">
        <v>67</v>
      </c>
      <c r="Q450" s="4" t="s">
        <v>26</v>
      </c>
      <c r="R450" s="4">
        <v>0</v>
      </c>
      <c r="S450" s="4">
        <v>0</v>
      </c>
      <c r="T450" s="4">
        <v>61</v>
      </c>
      <c r="U450" s="4">
        <v>7</v>
      </c>
      <c r="V450" s="43">
        <f>IF(ISERROR(VLOOKUP($S$450,'TAR FIN'!$A$1:$O$100,15,0)),0,VLOOKUP($S$450,'TAR FIN'!$A$1:$O$100,15,0))</f>
        <v>0</v>
      </c>
      <c r="W450" s="43">
        <f>IF(ISERROR(VLOOKUP($T$450,'TAR FIN'!$A$1:$O$100,15,0)),0,VLOOKUP($T$450,'TAR FIN'!$A$1:$O$100,15,0))*(1-0.06)</f>
        <v>268.60499999999996</v>
      </c>
      <c r="X450" s="43">
        <f>IF(ISERROR(VLOOKUP($U$450,'TAR FIN'!$A$1:$O$100,15,0)),0,VLOOKUP($U$450,'TAR FIN'!$A$1:$O$100,15,0))*(1-0.06)</f>
        <v>217.4502</v>
      </c>
      <c r="Y450" s="43"/>
      <c r="Z450" s="43">
        <f ca="1">('TUSD BE'!$AM$58+'TUSD BF'!$AM$58+'TUSD CVA'!$AM$58)*1*(1-0.03)</f>
        <v>277.07568539264093</v>
      </c>
      <c r="AA450" s="43">
        <f>('TE BE'!$AA$41+'TE BF'!$AA$41+'TE CVA'!$AA$41)*1*(1-0.03)</f>
        <v>243.26986752118344</v>
      </c>
      <c r="AB450" s="43">
        <f>(SUBSIDIO!$J$450*SUBSIDIO!$V$450)*(0.06)/(1-0.06)</f>
        <v>0</v>
      </c>
      <c r="AC450" s="43">
        <f>((SUBSIDIO!$L$450*SUBSIDIO!$W$450)+(SUBSIDIO!$N$450*SUBSIDIO!$X$450))*(0.06)/(1-0.06)</f>
        <v>2878.3258199999996</v>
      </c>
      <c r="AD450" s="43">
        <f>(SUBSIDIO!$J$450*SUBSIDIO!$Y$450)*(0.03)/(1-0.03)</f>
        <v>0</v>
      </c>
      <c r="AE450" s="43">
        <f ca="1">((SUBSIDIO!$L$450*SUBSIDIO!$Z$450)+(SUBSIDIO!$N$450*SUBSIDIO!$AA$450))*(0.03)/(1-0.03)</f>
        <v>1493.0430516983522</v>
      </c>
      <c r="AF450" s="4" t="s">
        <v>913</v>
      </c>
    </row>
    <row r="451" spans="1:32" ht="11.25" customHeight="1" x14ac:dyDescent="0.25">
      <c r="A451" s="4" t="s">
        <v>55</v>
      </c>
      <c r="B451" s="4" t="s">
        <v>37</v>
      </c>
      <c r="C451" s="4" t="s">
        <v>23</v>
      </c>
      <c r="D451" s="4" t="s">
        <v>49</v>
      </c>
      <c r="E451" s="4" t="s">
        <v>50</v>
      </c>
      <c r="F451" s="4" t="s">
        <v>25</v>
      </c>
      <c r="G451" s="4" t="s">
        <v>25</v>
      </c>
      <c r="H451" s="4" t="s">
        <v>25</v>
      </c>
      <c r="I451" s="5">
        <v>44562</v>
      </c>
      <c r="J451" s="6">
        <v>0</v>
      </c>
      <c r="K451" s="43">
        <v>0</v>
      </c>
      <c r="L451" s="6">
        <v>92.775000000000006</v>
      </c>
      <c r="M451" s="43">
        <v>92.775000000000006</v>
      </c>
      <c r="N451" s="6">
        <v>92.775000000000006</v>
      </c>
      <c r="O451" s="43">
        <v>92.775000000000006</v>
      </c>
      <c r="P451" s="6">
        <v>67</v>
      </c>
      <c r="Q451" s="4" t="s">
        <v>26</v>
      </c>
      <c r="R451" s="4">
        <v>0</v>
      </c>
      <c r="S451" s="4">
        <v>0</v>
      </c>
      <c r="T451" s="4">
        <v>61</v>
      </c>
      <c r="U451" s="4">
        <v>7</v>
      </c>
      <c r="V451" s="43">
        <f>IF(ISERROR(VLOOKUP($S$451,'TAR FIN'!$A$1:$O$100,15,0)),0,VLOOKUP($S$451,'TAR FIN'!$A$1:$O$100,15,0))</f>
        <v>0</v>
      </c>
      <c r="W451" s="43">
        <f>IF(ISERROR(VLOOKUP($T$451,'TAR FIN'!$A$1:$O$100,15,0)),0,VLOOKUP($T$451,'TAR FIN'!$A$1:$O$100,15,0))*(1-0.06)</f>
        <v>268.60499999999996</v>
      </c>
      <c r="X451" s="43">
        <f>IF(ISERROR(VLOOKUP($U$451,'TAR FIN'!$A$1:$O$100,15,0)),0,VLOOKUP($U$451,'TAR FIN'!$A$1:$O$100,15,0))*(1-0.06)</f>
        <v>217.4502</v>
      </c>
      <c r="Y451" s="43"/>
      <c r="Z451" s="43">
        <f ca="1">('TUSD BE'!$AM$58+'TUSD BF'!$AM$58+'TUSD CVA'!$AM$58)*1*(1-0.03)</f>
        <v>277.07568539264093</v>
      </c>
      <c r="AA451" s="43">
        <f>('TE BE'!$AA$41+'TE BF'!$AA$41+'TE CVA'!$AA$41)*1*(1-0.03)</f>
        <v>243.26986752118344</v>
      </c>
      <c r="AB451" s="43">
        <f>(SUBSIDIO!$J$451*SUBSIDIO!$V$451)*(0.06)/(1-0.06)</f>
        <v>0</v>
      </c>
      <c r="AC451" s="43">
        <f>((SUBSIDIO!$L$451*SUBSIDIO!$W$451)+(SUBSIDIO!$N$451*SUBSIDIO!$X$451))*(0.06)/(1-0.06)</f>
        <v>2878.3258199999996</v>
      </c>
      <c r="AD451" s="43">
        <f>(SUBSIDIO!$J$451*SUBSIDIO!$Y$451)*(0.03)/(1-0.03)</f>
        <v>0</v>
      </c>
      <c r="AE451" s="43">
        <f ca="1">((SUBSIDIO!$L$451*SUBSIDIO!$Z$451)+(SUBSIDIO!$N$451*SUBSIDIO!$AA$451))*(0.03)/(1-0.03)</f>
        <v>1493.0430516983522</v>
      </c>
      <c r="AF451" s="4" t="s">
        <v>913</v>
      </c>
    </row>
    <row r="452" spans="1:32" ht="11.25" customHeight="1" x14ac:dyDescent="0.25">
      <c r="V452" s="6"/>
      <c r="W452" s="6"/>
      <c r="X452" s="6"/>
      <c r="Y452" s="6"/>
      <c r="Z452" s="6"/>
      <c r="AA452" s="6"/>
      <c r="AB452" s="6"/>
      <c r="AC452" s="6"/>
      <c r="AD452" s="6"/>
      <c r="AE452" s="6"/>
    </row>
    <row r="453" spans="1:32" ht="11.25" customHeight="1" x14ac:dyDescent="0.25">
      <c r="V453" s="6"/>
      <c r="W453" s="6"/>
      <c r="X453" s="6"/>
      <c r="Y453" s="6"/>
      <c r="Z453" s="6"/>
      <c r="AA453" s="6"/>
      <c r="AB453" s="6"/>
      <c r="AC453" s="6"/>
      <c r="AD453" s="6"/>
      <c r="AE453" s="6"/>
    </row>
    <row r="454" spans="1:32" ht="11.25" customHeight="1" x14ac:dyDescent="0.25">
      <c r="V454" s="6"/>
      <c r="W454" s="6"/>
      <c r="X454" s="6"/>
      <c r="Y454" s="6"/>
      <c r="Z454" s="6"/>
      <c r="AA454" s="6"/>
      <c r="AB454" s="6"/>
      <c r="AC454" s="6"/>
      <c r="AD454" s="6"/>
      <c r="AE454" s="6"/>
    </row>
    <row r="455" spans="1:32" ht="11.25" customHeight="1" x14ac:dyDescent="0.25">
      <c r="V455" s="6"/>
      <c r="W455" s="6"/>
      <c r="X455" s="6"/>
      <c r="Y455" s="6"/>
      <c r="Z455" s="6"/>
      <c r="AA455" s="6"/>
      <c r="AB455" s="6"/>
      <c r="AC455" s="6"/>
      <c r="AD455" s="6"/>
      <c r="AE455" s="6"/>
    </row>
    <row r="456" spans="1:32" ht="11.25" customHeight="1" x14ac:dyDescent="0.25">
      <c r="V456" s="6"/>
      <c r="W456" s="6"/>
      <c r="X456" s="6"/>
      <c r="Y456" s="6"/>
      <c r="Z456" s="6"/>
      <c r="AA456" s="6"/>
      <c r="AB456" s="6"/>
      <c r="AC456" s="6"/>
      <c r="AD456" s="6"/>
      <c r="AE456" s="6"/>
    </row>
    <row r="457" spans="1:32" ht="11.25" customHeight="1" x14ac:dyDescent="0.25">
      <c r="V457" s="6"/>
      <c r="W457" s="6"/>
      <c r="X457" s="6"/>
      <c r="Y457" s="6"/>
      <c r="Z457" s="6"/>
      <c r="AA457" s="6"/>
      <c r="AB457" s="6"/>
      <c r="AC457" s="6"/>
      <c r="AD457" s="6"/>
      <c r="AE457" s="6"/>
    </row>
    <row r="458" spans="1:32" ht="11.25" customHeight="1" x14ac:dyDescent="0.25">
      <c r="V458" s="6"/>
      <c r="W458" s="6"/>
      <c r="X458" s="6"/>
      <c r="Y458" s="6"/>
      <c r="Z458" s="6"/>
      <c r="AA458" s="6"/>
      <c r="AB458" s="6"/>
      <c r="AC458" s="6"/>
      <c r="AD458" s="6"/>
      <c r="AE458" s="6"/>
    </row>
    <row r="459" spans="1:32" ht="11.25" customHeight="1" x14ac:dyDescent="0.25">
      <c r="V459" s="6"/>
      <c r="W459" s="6"/>
      <c r="X459" s="6"/>
      <c r="Y459" s="6"/>
      <c r="Z459" s="6"/>
      <c r="AA459" s="6"/>
      <c r="AB459" s="6"/>
      <c r="AC459" s="6"/>
      <c r="AD459" s="6"/>
      <c r="AE459" s="6"/>
    </row>
    <row r="460" spans="1:32" ht="11.25" customHeight="1" x14ac:dyDescent="0.25">
      <c r="V460" s="6"/>
      <c r="W460" s="6"/>
      <c r="X460" s="6"/>
      <c r="Y460" s="6"/>
      <c r="Z460" s="6"/>
      <c r="AA460" s="6"/>
      <c r="AB460" s="6"/>
      <c r="AC460" s="6"/>
      <c r="AD460" s="6"/>
      <c r="AE460" s="6"/>
    </row>
    <row r="461" spans="1:32" ht="11.25" customHeight="1" x14ac:dyDescent="0.25">
      <c r="V461" s="6"/>
      <c r="W461" s="6"/>
      <c r="X461" s="6"/>
      <c r="Y461" s="6"/>
      <c r="Z461" s="6"/>
      <c r="AA461" s="6"/>
      <c r="AB461" s="6"/>
      <c r="AC461" s="6"/>
      <c r="AD461" s="6"/>
      <c r="AE461" s="6"/>
    </row>
    <row r="462" spans="1:32" ht="11.25" customHeight="1" x14ac:dyDescent="0.25">
      <c r="V462" s="6"/>
      <c r="W462" s="6"/>
      <c r="X462" s="6"/>
      <c r="Y462" s="6"/>
      <c r="Z462" s="6"/>
      <c r="AA462" s="6"/>
      <c r="AB462" s="6"/>
      <c r="AC462" s="6"/>
      <c r="AD462" s="6"/>
      <c r="AE462" s="6"/>
    </row>
    <row r="463" spans="1:32" ht="11.25" customHeight="1" x14ac:dyDescent="0.25">
      <c r="V463" s="6"/>
      <c r="W463" s="6"/>
      <c r="X463" s="6"/>
      <c r="Y463" s="6"/>
      <c r="Z463" s="6"/>
      <c r="AA463" s="6"/>
      <c r="AB463" s="6"/>
      <c r="AC463" s="6"/>
      <c r="AD463" s="6"/>
      <c r="AE463" s="6"/>
    </row>
    <row r="464" spans="1:32" ht="11.25" customHeight="1" x14ac:dyDescent="0.25">
      <c r="V464" s="6"/>
      <c r="W464" s="6"/>
      <c r="X464" s="6"/>
      <c r="Y464" s="6"/>
      <c r="Z464" s="6"/>
      <c r="AA464" s="6"/>
      <c r="AB464" s="6"/>
      <c r="AC464" s="6"/>
      <c r="AD464" s="6"/>
      <c r="AE464" s="6"/>
    </row>
    <row r="465" spans="22:31" ht="11.25" customHeight="1" x14ac:dyDescent="0.25">
      <c r="V465" s="6"/>
      <c r="W465" s="6"/>
      <c r="X465" s="6"/>
      <c r="Y465" s="6"/>
      <c r="Z465" s="6"/>
      <c r="AA465" s="6"/>
      <c r="AB465" s="6"/>
      <c r="AC465" s="6"/>
      <c r="AD465" s="6"/>
      <c r="AE465" s="6"/>
    </row>
    <row r="466" spans="22:31" ht="11.25" customHeight="1" x14ac:dyDescent="0.25">
      <c r="V466" s="6"/>
      <c r="W466" s="6"/>
      <c r="X466" s="6"/>
      <c r="Y466" s="6"/>
      <c r="Z466" s="6"/>
      <c r="AA466" s="6"/>
      <c r="AB466" s="6"/>
      <c r="AC466" s="6"/>
      <c r="AD466" s="6"/>
      <c r="AE466" s="6"/>
    </row>
    <row r="467" spans="22:31" ht="11.25" customHeight="1" x14ac:dyDescent="0.25">
      <c r="V467" s="6"/>
      <c r="W467" s="6"/>
      <c r="X467" s="6"/>
      <c r="Y467" s="6"/>
      <c r="Z467" s="6"/>
      <c r="AA467" s="6"/>
      <c r="AB467" s="6"/>
      <c r="AC467" s="6"/>
      <c r="AD467" s="6"/>
      <c r="AE467" s="6"/>
    </row>
    <row r="468" spans="22:31" ht="11.25" customHeight="1" x14ac:dyDescent="0.25">
      <c r="V468" s="6"/>
      <c r="W468" s="6"/>
      <c r="X468" s="6"/>
      <c r="Y468" s="6"/>
      <c r="Z468" s="6"/>
      <c r="AA468" s="6"/>
      <c r="AB468" s="6"/>
      <c r="AC468" s="6"/>
      <c r="AD468" s="6"/>
      <c r="AE468" s="6"/>
    </row>
    <row r="469" spans="22:31" ht="11.25" customHeight="1" x14ac:dyDescent="0.25">
      <c r="V469" s="6"/>
      <c r="W469" s="6"/>
      <c r="X469" s="6"/>
      <c r="Y469" s="6"/>
      <c r="Z469" s="6"/>
      <c r="AA469" s="6"/>
      <c r="AB469" s="6"/>
      <c r="AC469" s="6"/>
      <c r="AD469" s="6"/>
      <c r="AE469" s="6"/>
    </row>
    <row r="470" spans="22:31" ht="11.25" customHeight="1" x14ac:dyDescent="0.25">
      <c r="V470" s="6"/>
      <c r="W470" s="6"/>
      <c r="X470" s="6"/>
      <c r="Y470" s="6"/>
      <c r="Z470" s="6"/>
      <c r="AA470" s="6"/>
      <c r="AB470" s="6"/>
      <c r="AC470" s="6"/>
      <c r="AD470" s="6"/>
      <c r="AE470" s="6"/>
    </row>
    <row r="471" spans="22:31" ht="11.25" customHeight="1" x14ac:dyDescent="0.25">
      <c r="V471" s="6"/>
      <c r="W471" s="6"/>
      <c r="X471" s="6"/>
      <c r="Y471" s="6"/>
      <c r="Z471" s="6"/>
      <c r="AA471" s="6"/>
      <c r="AB471" s="6"/>
      <c r="AC471" s="6"/>
      <c r="AD471" s="6"/>
      <c r="AE471" s="6"/>
    </row>
    <row r="472" spans="22:31" ht="11.25" customHeight="1" x14ac:dyDescent="0.25">
      <c r="V472" s="6"/>
      <c r="W472" s="6"/>
      <c r="X472" s="6"/>
      <c r="Y472" s="6"/>
      <c r="Z472" s="6"/>
      <c r="AA472" s="6"/>
      <c r="AB472" s="6"/>
      <c r="AC472" s="6"/>
      <c r="AD472" s="6"/>
      <c r="AE472" s="6"/>
    </row>
    <row r="473" spans="22:31" ht="11.25" customHeight="1" x14ac:dyDescent="0.25">
      <c r="V473" s="6"/>
      <c r="W473" s="6"/>
      <c r="X473" s="6"/>
      <c r="Y473" s="6"/>
      <c r="Z473" s="6"/>
      <c r="AA473" s="6"/>
      <c r="AB473" s="6"/>
      <c r="AC473" s="6"/>
      <c r="AD473" s="6"/>
      <c r="AE473" s="6"/>
    </row>
    <row r="474" spans="22:31" ht="11.25" customHeight="1" x14ac:dyDescent="0.25">
      <c r="V474" s="6"/>
      <c r="W474" s="6"/>
      <c r="X474" s="6"/>
      <c r="Y474" s="6"/>
      <c r="Z474" s="6"/>
      <c r="AA474" s="6"/>
      <c r="AB474" s="6"/>
      <c r="AC474" s="6"/>
      <c r="AD474" s="6"/>
      <c r="AE474" s="6"/>
    </row>
    <row r="475" spans="22:31" ht="11.25" customHeight="1" x14ac:dyDescent="0.25">
      <c r="V475" s="6"/>
      <c r="W475" s="6"/>
      <c r="X475" s="6"/>
      <c r="Y475" s="6"/>
      <c r="Z475" s="6"/>
      <c r="AA475" s="6"/>
      <c r="AB475" s="6"/>
      <c r="AC475" s="6"/>
      <c r="AD475" s="6"/>
      <c r="AE475" s="6"/>
    </row>
    <row r="476" spans="22:31" ht="11.25" customHeight="1" x14ac:dyDescent="0.25">
      <c r="V476" s="6"/>
      <c r="W476" s="6"/>
      <c r="X476" s="6"/>
      <c r="Y476" s="6"/>
      <c r="Z476" s="6"/>
      <c r="AA476" s="6"/>
      <c r="AB476" s="6"/>
      <c r="AC476" s="6"/>
      <c r="AD476" s="6"/>
      <c r="AE476" s="6"/>
    </row>
    <row r="477" spans="22:31" ht="11.25" customHeight="1" x14ac:dyDescent="0.25">
      <c r="V477" s="6"/>
      <c r="W477" s="6"/>
      <c r="X477" s="6"/>
      <c r="Y477" s="6"/>
      <c r="Z477" s="6"/>
      <c r="AA477" s="6"/>
      <c r="AB477" s="6"/>
      <c r="AC477" s="6"/>
      <c r="AD477" s="6"/>
      <c r="AE477" s="6"/>
    </row>
    <row r="478" spans="22:31" ht="11.25" customHeight="1" x14ac:dyDescent="0.25">
      <c r="V478" s="6"/>
      <c r="W478" s="6"/>
      <c r="X478" s="6"/>
      <c r="Y478" s="6"/>
      <c r="Z478" s="6"/>
      <c r="AA478" s="6"/>
      <c r="AB478" s="6"/>
      <c r="AC478" s="6"/>
      <c r="AD478" s="6"/>
      <c r="AE478" s="6"/>
    </row>
    <row r="479" spans="22:31" ht="11.25" customHeight="1" x14ac:dyDescent="0.25">
      <c r="V479" s="6"/>
      <c r="W479" s="6"/>
      <c r="X479" s="6"/>
      <c r="Y479" s="6"/>
      <c r="Z479" s="6"/>
      <c r="AA479" s="6"/>
      <c r="AB479" s="6"/>
      <c r="AC479" s="6"/>
      <c r="AD479" s="6"/>
      <c r="AE479" s="6"/>
    </row>
    <row r="480" spans="22:31" ht="11.25" customHeight="1" x14ac:dyDescent="0.25">
      <c r="V480" s="6"/>
      <c r="W480" s="6"/>
      <c r="X480" s="6"/>
      <c r="Y480" s="6"/>
      <c r="Z480" s="6"/>
      <c r="AA480" s="6"/>
      <c r="AB480" s="6"/>
      <c r="AC480" s="6"/>
      <c r="AD480" s="6"/>
      <c r="AE480" s="6"/>
    </row>
    <row r="481" spans="22:31" ht="11.25" customHeight="1" x14ac:dyDescent="0.25">
      <c r="V481" s="6"/>
      <c r="W481" s="6"/>
      <c r="X481" s="6"/>
      <c r="Y481" s="6"/>
      <c r="Z481" s="6"/>
      <c r="AA481" s="6"/>
      <c r="AB481" s="6"/>
      <c r="AC481" s="6"/>
      <c r="AD481" s="6"/>
      <c r="AE481" s="6"/>
    </row>
    <row r="482" spans="22:31" ht="11.25" customHeight="1" x14ac:dyDescent="0.25">
      <c r="V482" s="6"/>
      <c r="W482" s="6"/>
      <c r="X482" s="6"/>
      <c r="Y482" s="6"/>
      <c r="Z482" s="6"/>
      <c r="AA482" s="6"/>
      <c r="AB482" s="6"/>
      <c r="AC482" s="6"/>
      <c r="AD482" s="6"/>
      <c r="AE482" s="6"/>
    </row>
    <row r="483" spans="22:31" ht="11.25" customHeight="1" x14ac:dyDescent="0.25">
      <c r="V483" s="6"/>
      <c r="W483" s="6"/>
      <c r="X483" s="6"/>
      <c r="Y483" s="6"/>
      <c r="Z483" s="6"/>
      <c r="AA483" s="6"/>
      <c r="AB483" s="6"/>
      <c r="AC483" s="6"/>
      <c r="AD483" s="6"/>
      <c r="AE483" s="6"/>
    </row>
    <row r="484" spans="22:31" ht="11.25" customHeight="1" x14ac:dyDescent="0.25">
      <c r="V484" s="6"/>
      <c r="W484" s="6"/>
      <c r="X484" s="6"/>
      <c r="Y484" s="6"/>
      <c r="Z484" s="6"/>
      <c r="AA484" s="6"/>
      <c r="AB484" s="6"/>
      <c r="AC484" s="6"/>
      <c r="AD484" s="6"/>
      <c r="AE484" s="6"/>
    </row>
    <row r="485" spans="22:31" ht="11.25" customHeight="1" x14ac:dyDescent="0.25">
      <c r="V485" s="6"/>
      <c r="W485" s="6"/>
      <c r="X485" s="6"/>
      <c r="Y485" s="6"/>
      <c r="Z485" s="6"/>
      <c r="AA485" s="6"/>
      <c r="AB485" s="6"/>
      <c r="AC485" s="6"/>
      <c r="AD485" s="6"/>
      <c r="AE485" s="6"/>
    </row>
    <row r="486" spans="22:31" ht="11.25" customHeight="1" x14ac:dyDescent="0.25">
      <c r="V486" s="6"/>
      <c r="W486" s="6"/>
      <c r="X486" s="6"/>
      <c r="Y486" s="6"/>
      <c r="Z486" s="6"/>
      <c r="AA486" s="6"/>
      <c r="AB486" s="6"/>
      <c r="AC486" s="6"/>
      <c r="AD486" s="6"/>
      <c r="AE486" s="6"/>
    </row>
    <row r="487" spans="22:31" ht="11.25" customHeight="1" x14ac:dyDescent="0.25">
      <c r="V487" s="6"/>
      <c r="W487" s="6"/>
      <c r="X487" s="6"/>
      <c r="Y487" s="6"/>
      <c r="Z487" s="6"/>
      <c r="AA487" s="6"/>
      <c r="AB487" s="6"/>
      <c r="AC487" s="6"/>
      <c r="AD487" s="6"/>
      <c r="AE487" s="6"/>
    </row>
    <row r="488" spans="22:31" ht="11.25" customHeight="1" x14ac:dyDescent="0.25">
      <c r="V488" s="6"/>
      <c r="W488" s="6"/>
      <c r="X488" s="6"/>
      <c r="Y488" s="6"/>
      <c r="Z488" s="6"/>
      <c r="AA488" s="6"/>
      <c r="AB488" s="6"/>
      <c r="AC488" s="6"/>
      <c r="AD488" s="6"/>
      <c r="AE488" s="6"/>
    </row>
    <row r="489" spans="22:31" ht="11.25" customHeight="1" x14ac:dyDescent="0.25">
      <c r="V489" s="6"/>
      <c r="W489" s="6"/>
      <c r="X489" s="6"/>
      <c r="Y489" s="6"/>
      <c r="Z489" s="6"/>
      <c r="AA489" s="6"/>
      <c r="AB489" s="6"/>
      <c r="AC489" s="6"/>
      <c r="AD489" s="6"/>
      <c r="AE489" s="6"/>
    </row>
    <row r="490" spans="22:31" ht="11.25" customHeight="1" x14ac:dyDescent="0.25">
      <c r="V490" s="6"/>
      <c r="W490" s="6"/>
      <c r="X490" s="6"/>
      <c r="Y490" s="6"/>
      <c r="Z490" s="6"/>
      <c r="AA490" s="6"/>
      <c r="AB490" s="6"/>
      <c r="AC490" s="6"/>
      <c r="AD490" s="6"/>
      <c r="AE490" s="6"/>
    </row>
    <row r="491" spans="22:31" ht="11.25" customHeight="1" x14ac:dyDescent="0.25">
      <c r="V491" s="6"/>
      <c r="W491" s="6"/>
      <c r="X491" s="6"/>
      <c r="Y491" s="6"/>
      <c r="Z491" s="6"/>
      <c r="AA491" s="6"/>
      <c r="AB491" s="6"/>
      <c r="AC491" s="6"/>
      <c r="AD491" s="6"/>
      <c r="AE491" s="6"/>
    </row>
    <row r="492" spans="22:31" ht="11.25" customHeight="1" x14ac:dyDescent="0.25">
      <c r="V492" s="6"/>
      <c r="W492" s="6"/>
      <c r="X492" s="6"/>
      <c r="Y492" s="6"/>
      <c r="Z492" s="6"/>
      <c r="AA492" s="6"/>
      <c r="AB492" s="6"/>
      <c r="AC492" s="6"/>
      <c r="AD492" s="6"/>
      <c r="AE492" s="6"/>
    </row>
    <row r="493" spans="22:31" ht="11.25" customHeight="1" x14ac:dyDescent="0.25">
      <c r="V493" s="6"/>
      <c r="W493" s="6"/>
      <c r="X493" s="6"/>
      <c r="Y493" s="6"/>
      <c r="Z493" s="6"/>
      <c r="AA493" s="6"/>
      <c r="AB493" s="6"/>
      <c r="AC493" s="6"/>
      <c r="AD493" s="6"/>
      <c r="AE493" s="6"/>
    </row>
    <row r="494" spans="22:31" ht="11.25" customHeight="1" x14ac:dyDescent="0.25">
      <c r="V494" s="6"/>
      <c r="W494" s="6"/>
      <c r="X494" s="6"/>
      <c r="Y494" s="6"/>
      <c r="Z494" s="6"/>
      <c r="AA494" s="6"/>
      <c r="AB494" s="6"/>
      <c r="AC494" s="6"/>
      <c r="AD494" s="6"/>
      <c r="AE494" s="6"/>
    </row>
    <row r="495" spans="22:31" ht="11.25" customHeight="1" x14ac:dyDescent="0.25">
      <c r="V495" s="6"/>
      <c r="W495" s="6"/>
      <c r="X495" s="6"/>
      <c r="Y495" s="6"/>
      <c r="Z495" s="6"/>
      <c r="AA495" s="6"/>
      <c r="AB495" s="6"/>
      <c r="AC495" s="6"/>
      <c r="AD495" s="6"/>
      <c r="AE495" s="6"/>
    </row>
    <row r="496" spans="22:31" ht="11.25" customHeight="1" x14ac:dyDescent="0.25">
      <c r="V496" s="6"/>
      <c r="W496" s="6"/>
      <c r="X496" s="6"/>
      <c r="Y496" s="6"/>
      <c r="Z496" s="6"/>
      <c r="AA496" s="6"/>
      <c r="AB496" s="6"/>
      <c r="AC496" s="6"/>
      <c r="AD496" s="6"/>
      <c r="AE496" s="6"/>
    </row>
    <row r="497" spans="22:31" ht="11.25" customHeight="1" x14ac:dyDescent="0.25">
      <c r="V497" s="6"/>
      <c r="W497" s="6"/>
      <c r="X497" s="6"/>
      <c r="Y497" s="6"/>
      <c r="Z497" s="6"/>
      <c r="AA497" s="6"/>
      <c r="AB497" s="6"/>
      <c r="AC497" s="6"/>
      <c r="AD497" s="6"/>
      <c r="AE497" s="6"/>
    </row>
    <row r="498" spans="22:31" ht="11.25" customHeight="1" x14ac:dyDescent="0.25">
      <c r="V498" s="6"/>
      <c r="W498" s="6"/>
      <c r="X498" s="6"/>
      <c r="Y498" s="6"/>
      <c r="Z498" s="6"/>
      <c r="AA498" s="6"/>
      <c r="AB498" s="6"/>
      <c r="AC498" s="6"/>
      <c r="AD498" s="6"/>
      <c r="AE498" s="6"/>
    </row>
    <row r="499" spans="22:31" ht="11.25" customHeight="1" x14ac:dyDescent="0.25">
      <c r="V499" s="6"/>
      <c r="W499" s="6"/>
      <c r="X499" s="6"/>
      <c r="Y499" s="6"/>
      <c r="Z499" s="6"/>
      <c r="AA499" s="6"/>
      <c r="AB499" s="6"/>
      <c r="AC499" s="6"/>
      <c r="AD499" s="6"/>
      <c r="AE499" s="6"/>
    </row>
    <row r="500" spans="22:31" ht="11.25" customHeight="1" x14ac:dyDescent="0.25">
      <c r="V500" s="6"/>
      <c r="W500" s="6"/>
      <c r="X500" s="6"/>
      <c r="Y500" s="6"/>
      <c r="Z500" s="6"/>
      <c r="AA500" s="6"/>
      <c r="AB500" s="6"/>
      <c r="AC500" s="6"/>
      <c r="AD500" s="6"/>
      <c r="AE500" s="6"/>
    </row>
    <row r="501" spans="22:31" ht="11.25" customHeight="1" x14ac:dyDescent="0.25">
      <c r="V501" s="6"/>
      <c r="W501" s="6"/>
      <c r="X501" s="6"/>
      <c r="Y501" s="6"/>
      <c r="Z501" s="6"/>
      <c r="AA501" s="6"/>
      <c r="AB501" s="6"/>
      <c r="AC501" s="6"/>
      <c r="AD501" s="6"/>
      <c r="AE501" s="6"/>
    </row>
    <row r="502" spans="22:31" ht="11.25" customHeight="1" x14ac:dyDescent="0.25">
      <c r="V502" s="6"/>
      <c r="W502" s="6"/>
      <c r="X502" s="6"/>
      <c r="Y502" s="6"/>
      <c r="Z502" s="6"/>
      <c r="AA502" s="6"/>
      <c r="AB502" s="6"/>
      <c r="AC502" s="6"/>
      <c r="AD502" s="6"/>
      <c r="AE502" s="6"/>
    </row>
    <row r="503" spans="22:31" ht="11.25" customHeight="1" x14ac:dyDescent="0.25">
      <c r="V503" s="6"/>
      <c r="W503" s="6"/>
      <c r="X503" s="6"/>
      <c r="Y503" s="6"/>
      <c r="Z503" s="6"/>
      <c r="AA503" s="6"/>
      <c r="AB503" s="6"/>
      <c r="AC503" s="6"/>
      <c r="AD503" s="6"/>
      <c r="AE503" s="6"/>
    </row>
    <row r="504" spans="22:31" ht="11.25" customHeight="1" x14ac:dyDescent="0.25">
      <c r="V504" s="6"/>
      <c r="W504" s="6"/>
      <c r="X504" s="6"/>
      <c r="Y504" s="6"/>
      <c r="Z504" s="6"/>
      <c r="AA504" s="6"/>
      <c r="AB504" s="6"/>
      <c r="AC504" s="6"/>
      <c r="AD504" s="6"/>
      <c r="AE504" s="6"/>
    </row>
    <row r="505" spans="22:31" ht="11.25" customHeight="1" x14ac:dyDescent="0.25">
      <c r="V505" s="6"/>
      <c r="W505" s="6"/>
      <c r="X505" s="6"/>
      <c r="Y505" s="6"/>
      <c r="Z505" s="6"/>
      <c r="AA505" s="6"/>
      <c r="AB505" s="6"/>
      <c r="AC505" s="6"/>
      <c r="AD505" s="6"/>
      <c r="AE505" s="6"/>
    </row>
    <row r="506" spans="22:31" ht="11.25" customHeight="1" x14ac:dyDescent="0.25">
      <c r="V506" s="6"/>
      <c r="W506" s="6"/>
      <c r="X506" s="6"/>
      <c r="Y506" s="6"/>
      <c r="Z506" s="6"/>
      <c r="AA506" s="6"/>
      <c r="AB506" s="6"/>
      <c r="AC506" s="6"/>
      <c r="AD506" s="6"/>
      <c r="AE506" s="6"/>
    </row>
    <row r="507" spans="22:31" ht="11.25" customHeight="1" x14ac:dyDescent="0.25">
      <c r="V507" s="6"/>
      <c r="W507" s="6"/>
      <c r="X507" s="6"/>
      <c r="Y507" s="6"/>
      <c r="Z507" s="6"/>
      <c r="AA507" s="6"/>
      <c r="AB507" s="6"/>
      <c r="AC507" s="6"/>
      <c r="AD507" s="6"/>
      <c r="AE507" s="6"/>
    </row>
    <row r="508" spans="22:31" ht="11.25" customHeight="1" x14ac:dyDescent="0.25">
      <c r="V508" s="6"/>
      <c r="W508" s="6"/>
      <c r="X508" s="6"/>
      <c r="Y508" s="6"/>
      <c r="Z508" s="6"/>
      <c r="AA508" s="6"/>
      <c r="AB508" s="6"/>
      <c r="AC508" s="6"/>
      <c r="AD508" s="6"/>
      <c r="AE508" s="6"/>
    </row>
    <row r="509" spans="22:31" ht="11.25" customHeight="1" x14ac:dyDescent="0.25">
      <c r="V509" s="6"/>
      <c r="W509" s="6"/>
      <c r="X509" s="6"/>
      <c r="Y509" s="6"/>
      <c r="Z509" s="6"/>
      <c r="AA509" s="6"/>
      <c r="AB509" s="6"/>
      <c r="AC509" s="6"/>
      <c r="AD509" s="6"/>
      <c r="AE509" s="6"/>
    </row>
    <row r="510" spans="22:31" ht="11.25" customHeight="1" x14ac:dyDescent="0.25">
      <c r="V510" s="6"/>
      <c r="W510" s="6"/>
      <c r="X510" s="6"/>
      <c r="Y510" s="6"/>
      <c r="Z510" s="6"/>
      <c r="AA510" s="6"/>
      <c r="AB510" s="6"/>
      <c r="AC510" s="6"/>
      <c r="AD510" s="6"/>
      <c r="AE510" s="6"/>
    </row>
    <row r="511" spans="22:31" ht="11.25" customHeight="1" x14ac:dyDescent="0.25">
      <c r="V511" s="6"/>
      <c r="W511" s="6"/>
      <c r="X511" s="6"/>
      <c r="Y511" s="6"/>
      <c r="Z511" s="6"/>
      <c r="AA511" s="6"/>
      <c r="AB511" s="6"/>
      <c r="AC511" s="6"/>
      <c r="AD511" s="6"/>
      <c r="AE511" s="6"/>
    </row>
    <row r="512" spans="22:31" ht="11.25" customHeight="1" x14ac:dyDescent="0.25">
      <c r="V512" s="6"/>
      <c r="W512" s="6"/>
      <c r="X512" s="6"/>
      <c r="Y512" s="6"/>
      <c r="Z512" s="6"/>
      <c r="AA512" s="6"/>
      <c r="AB512" s="6"/>
      <c r="AC512" s="6"/>
      <c r="AD512" s="6"/>
      <c r="AE512" s="6"/>
    </row>
    <row r="513" spans="22:31" ht="11.25" customHeight="1" x14ac:dyDescent="0.25">
      <c r="V513" s="6"/>
      <c r="W513" s="6"/>
      <c r="X513" s="6"/>
      <c r="Y513" s="6"/>
      <c r="Z513" s="6"/>
      <c r="AA513" s="6"/>
      <c r="AB513" s="6"/>
      <c r="AC513" s="6"/>
      <c r="AD513" s="6"/>
      <c r="AE513" s="6"/>
    </row>
    <row r="514" spans="22:31" ht="11.25" customHeight="1" x14ac:dyDescent="0.25">
      <c r="V514" s="6"/>
      <c r="W514" s="6"/>
      <c r="X514" s="6"/>
      <c r="Y514" s="6"/>
      <c r="Z514" s="6"/>
      <c r="AA514" s="6"/>
      <c r="AB514" s="6"/>
      <c r="AC514" s="6"/>
      <c r="AD514" s="6"/>
      <c r="AE514" s="6"/>
    </row>
    <row r="515" spans="22:31" ht="11.25" customHeight="1" x14ac:dyDescent="0.25">
      <c r="V515" s="6"/>
      <c r="W515" s="6"/>
      <c r="X515" s="6"/>
      <c r="Y515" s="6"/>
      <c r="Z515" s="6"/>
      <c r="AA515" s="6"/>
      <c r="AB515" s="6"/>
      <c r="AC515" s="6"/>
      <c r="AD515" s="6"/>
      <c r="AE515" s="6"/>
    </row>
    <row r="516" spans="22:31" ht="11.25" customHeight="1" x14ac:dyDescent="0.25">
      <c r="V516" s="6"/>
      <c r="W516" s="6"/>
      <c r="X516" s="6"/>
      <c r="Y516" s="6"/>
      <c r="Z516" s="6"/>
      <c r="AA516" s="6"/>
      <c r="AB516" s="6"/>
      <c r="AC516" s="6"/>
      <c r="AD516" s="6"/>
      <c r="AE516" s="6"/>
    </row>
    <row r="517" spans="22:31" ht="11.25" customHeight="1" x14ac:dyDescent="0.25">
      <c r="V517" s="6"/>
      <c r="W517" s="6"/>
      <c r="X517" s="6"/>
      <c r="Y517" s="6"/>
      <c r="Z517" s="6"/>
      <c r="AA517" s="6"/>
      <c r="AB517" s="6"/>
      <c r="AC517" s="6"/>
      <c r="AD517" s="6"/>
      <c r="AE517" s="6"/>
    </row>
    <row r="518" spans="22:31" ht="11.25" customHeight="1" x14ac:dyDescent="0.25">
      <c r="V518" s="6"/>
      <c r="W518" s="6"/>
      <c r="X518" s="6"/>
      <c r="Y518" s="6"/>
      <c r="Z518" s="6"/>
      <c r="AA518" s="6"/>
      <c r="AB518" s="6"/>
      <c r="AC518" s="6"/>
      <c r="AD518" s="6"/>
      <c r="AE518" s="6"/>
    </row>
    <row r="519" spans="22:31" ht="11.25" customHeight="1" x14ac:dyDescent="0.25">
      <c r="V519" s="6"/>
      <c r="W519" s="6"/>
      <c r="X519" s="6"/>
      <c r="Y519" s="6"/>
      <c r="Z519" s="6"/>
      <c r="AA519" s="6"/>
      <c r="AB519" s="6"/>
      <c r="AC519" s="6"/>
      <c r="AD519" s="6"/>
      <c r="AE519" s="6"/>
    </row>
    <row r="520" spans="22:31" ht="11.25" customHeight="1" x14ac:dyDescent="0.25">
      <c r="V520" s="6"/>
      <c r="W520" s="6"/>
      <c r="X520" s="6"/>
      <c r="Y520" s="6"/>
      <c r="Z520" s="6"/>
      <c r="AA520" s="6"/>
      <c r="AB520" s="6"/>
      <c r="AC520" s="6"/>
      <c r="AD520" s="6"/>
      <c r="AE520" s="6"/>
    </row>
    <row r="521" spans="22:31" ht="11.25" customHeight="1" x14ac:dyDescent="0.25">
      <c r="V521" s="6"/>
      <c r="W521" s="6"/>
      <c r="X521" s="6"/>
      <c r="Y521" s="6"/>
      <c r="Z521" s="6"/>
      <c r="AA521" s="6"/>
      <c r="AB521" s="6"/>
      <c r="AC521" s="6"/>
      <c r="AD521" s="6"/>
      <c r="AE521" s="6"/>
    </row>
    <row r="522" spans="22:31" ht="11.25" customHeight="1" x14ac:dyDescent="0.25">
      <c r="V522" s="6"/>
      <c r="W522" s="6"/>
      <c r="X522" s="6"/>
      <c r="Y522" s="6"/>
      <c r="Z522" s="6"/>
      <c r="AA522" s="6"/>
      <c r="AB522" s="6"/>
      <c r="AC522" s="6"/>
      <c r="AD522" s="6"/>
      <c r="AE522" s="6"/>
    </row>
    <row r="523" spans="22:31" ht="11.25" customHeight="1" x14ac:dyDescent="0.25">
      <c r="V523" s="6"/>
      <c r="W523" s="6"/>
      <c r="X523" s="6"/>
      <c r="Y523" s="6"/>
      <c r="Z523" s="6"/>
      <c r="AA523" s="6"/>
      <c r="AB523" s="6"/>
      <c r="AC523" s="6"/>
      <c r="AD523" s="6"/>
      <c r="AE523" s="6"/>
    </row>
    <row r="524" spans="22:31" ht="11.25" customHeight="1" x14ac:dyDescent="0.25">
      <c r="V524" s="6"/>
      <c r="W524" s="6"/>
      <c r="X524" s="6"/>
      <c r="Y524" s="6"/>
      <c r="Z524" s="6"/>
      <c r="AA524" s="6"/>
      <c r="AB524" s="6"/>
      <c r="AC524" s="6"/>
      <c r="AD524" s="6"/>
      <c r="AE524" s="6"/>
    </row>
    <row r="525" spans="22:31" ht="11.25" customHeight="1" x14ac:dyDescent="0.25">
      <c r="V525" s="6"/>
      <c r="W525" s="6"/>
      <c r="X525" s="6"/>
      <c r="Y525" s="6"/>
      <c r="Z525" s="6"/>
      <c r="AA525" s="6"/>
      <c r="AB525" s="6"/>
      <c r="AC525" s="6"/>
      <c r="AD525" s="6"/>
      <c r="AE525" s="6"/>
    </row>
    <row r="526" spans="22:31" ht="11.25" customHeight="1" x14ac:dyDescent="0.25">
      <c r="V526" s="6"/>
      <c r="W526" s="6"/>
      <c r="X526" s="6"/>
      <c r="Y526" s="6"/>
      <c r="Z526" s="6"/>
      <c r="AA526" s="6"/>
      <c r="AB526" s="6"/>
      <c r="AC526" s="6"/>
      <c r="AD526" s="6"/>
      <c r="AE526" s="6"/>
    </row>
    <row r="527" spans="22:31" ht="11.25" customHeight="1" x14ac:dyDescent="0.25">
      <c r="V527" s="6"/>
      <c r="W527" s="6"/>
      <c r="X527" s="6"/>
      <c r="Y527" s="6"/>
      <c r="Z527" s="6"/>
      <c r="AA527" s="6"/>
      <c r="AB527" s="6"/>
      <c r="AC527" s="6"/>
      <c r="AD527" s="6"/>
      <c r="AE527" s="6"/>
    </row>
    <row r="528" spans="22:31" ht="11.25" customHeight="1" x14ac:dyDescent="0.25">
      <c r="V528" s="6"/>
      <c r="W528" s="6"/>
      <c r="X528" s="6"/>
      <c r="Y528" s="6"/>
      <c r="Z528" s="6"/>
      <c r="AA528" s="6"/>
      <c r="AB528" s="6"/>
      <c r="AC528" s="6"/>
      <c r="AD528" s="6"/>
      <c r="AE528" s="6"/>
    </row>
    <row r="529" spans="22:31" ht="11.25" customHeight="1" x14ac:dyDescent="0.25">
      <c r="V529" s="6"/>
      <c r="W529" s="6"/>
      <c r="X529" s="6"/>
      <c r="Y529" s="6"/>
      <c r="Z529" s="6"/>
      <c r="AA529" s="6"/>
      <c r="AB529" s="6"/>
      <c r="AC529" s="6"/>
      <c r="AD529" s="6"/>
      <c r="AE529" s="6"/>
    </row>
    <row r="530" spans="22:31" ht="11.25" customHeight="1" x14ac:dyDescent="0.25">
      <c r="V530" s="6"/>
      <c r="W530" s="6"/>
      <c r="X530" s="6"/>
      <c r="Y530" s="6"/>
      <c r="Z530" s="6"/>
      <c r="AA530" s="6"/>
      <c r="AB530" s="6"/>
      <c r="AC530" s="6"/>
      <c r="AD530" s="6"/>
      <c r="AE530" s="6"/>
    </row>
    <row r="531" spans="22:31" ht="11.25" customHeight="1" x14ac:dyDescent="0.25">
      <c r="V531" s="6"/>
      <c r="W531" s="6"/>
      <c r="X531" s="6"/>
      <c r="Y531" s="6"/>
      <c r="Z531" s="6"/>
      <c r="AA531" s="6"/>
      <c r="AB531" s="6"/>
      <c r="AC531" s="6"/>
      <c r="AD531" s="6"/>
      <c r="AE531" s="6"/>
    </row>
    <row r="532" spans="22:31" ht="11.25" customHeight="1" x14ac:dyDescent="0.25">
      <c r="V532" s="6"/>
      <c r="W532" s="6"/>
      <c r="X532" s="6"/>
      <c r="Y532" s="6"/>
      <c r="Z532" s="6"/>
      <c r="AA532" s="6"/>
      <c r="AB532" s="6"/>
      <c r="AC532" s="6"/>
      <c r="AD532" s="6"/>
      <c r="AE532" s="6"/>
    </row>
    <row r="533" spans="22:31" ht="11.25" customHeight="1" x14ac:dyDescent="0.25">
      <c r="V533" s="6"/>
      <c r="W533" s="6"/>
      <c r="X533" s="6"/>
      <c r="Y533" s="6"/>
      <c r="Z533" s="6"/>
      <c r="AA533" s="6"/>
      <c r="AB533" s="6"/>
      <c r="AC533" s="6"/>
      <c r="AD533" s="6"/>
      <c r="AE533" s="6"/>
    </row>
    <row r="534" spans="22:31" ht="11.25" customHeight="1" x14ac:dyDescent="0.25">
      <c r="V534" s="6"/>
      <c r="W534" s="6"/>
      <c r="X534" s="6"/>
      <c r="Y534" s="6"/>
      <c r="Z534" s="6"/>
      <c r="AA534" s="6"/>
      <c r="AB534" s="6"/>
      <c r="AC534" s="6"/>
      <c r="AD534" s="6"/>
      <c r="AE534" s="6"/>
    </row>
    <row r="535" spans="22:31" ht="11.25" customHeight="1" x14ac:dyDescent="0.25">
      <c r="V535" s="6"/>
      <c r="W535" s="6"/>
      <c r="X535" s="6"/>
      <c r="Y535" s="6"/>
      <c r="Z535" s="6"/>
      <c r="AA535" s="6"/>
      <c r="AB535" s="6"/>
      <c r="AC535" s="6"/>
      <c r="AD535" s="6"/>
      <c r="AE535" s="6"/>
    </row>
    <row r="536" spans="22:31" ht="11.25" customHeight="1" x14ac:dyDescent="0.25">
      <c r="V536" s="6"/>
      <c r="W536" s="6"/>
      <c r="X536" s="6"/>
      <c r="Y536" s="6"/>
      <c r="Z536" s="6"/>
      <c r="AA536" s="6"/>
      <c r="AB536" s="6"/>
      <c r="AC536" s="6"/>
      <c r="AD536" s="6"/>
      <c r="AE536" s="6"/>
    </row>
    <row r="537" spans="22:31" ht="11.25" customHeight="1" x14ac:dyDescent="0.25">
      <c r="V537" s="6"/>
      <c r="W537" s="6"/>
      <c r="X537" s="6"/>
      <c r="Y537" s="6"/>
      <c r="Z537" s="6"/>
      <c r="AA537" s="6"/>
      <c r="AB537" s="6"/>
      <c r="AC537" s="6"/>
      <c r="AD537" s="6"/>
      <c r="AE537" s="6"/>
    </row>
    <row r="538" spans="22:31" ht="11.25" customHeight="1" x14ac:dyDescent="0.25">
      <c r="V538" s="6"/>
      <c r="W538" s="6"/>
      <c r="X538" s="6"/>
      <c r="Y538" s="6"/>
      <c r="Z538" s="6"/>
      <c r="AA538" s="6"/>
      <c r="AB538" s="6"/>
      <c r="AC538" s="6"/>
      <c r="AD538" s="6"/>
      <c r="AE538" s="6"/>
    </row>
    <row r="539" spans="22:31" ht="11.25" customHeight="1" x14ac:dyDescent="0.25">
      <c r="V539" s="6"/>
      <c r="W539" s="6"/>
      <c r="X539" s="6"/>
      <c r="Y539" s="6"/>
      <c r="Z539" s="6"/>
      <c r="AA539" s="6"/>
      <c r="AB539" s="6"/>
      <c r="AC539" s="6"/>
      <c r="AD539" s="6"/>
      <c r="AE539" s="6"/>
    </row>
    <row r="540" spans="22:31" ht="11.25" customHeight="1" x14ac:dyDescent="0.25">
      <c r="V540" s="6"/>
      <c r="W540" s="6"/>
      <c r="X540" s="6"/>
      <c r="Y540" s="6"/>
      <c r="Z540" s="6"/>
      <c r="AA540" s="6"/>
      <c r="AB540" s="6"/>
      <c r="AC540" s="6"/>
      <c r="AD540" s="6"/>
      <c r="AE540" s="6"/>
    </row>
    <row r="541" spans="22:31" ht="11.25" customHeight="1" x14ac:dyDescent="0.25">
      <c r="V541" s="6"/>
      <c r="W541" s="6"/>
      <c r="X541" s="6"/>
      <c r="Y541" s="6"/>
      <c r="Z541" s="6"/>
      <c r="AA541" s="6"/>
      <c r="AB541" s="6"/>
      <c r="AC541" s="6"/>
      <c r="AD541" s="6"/>
      <c r="AE541" s="6"/>
    </row>
    <row r="542" spans="22:31" ht="11.25" customHeight="1" x14ac:dyDescent="0.25">
      <c r="V542" s="6"/>
      <c r="W542" s="6"/>
      <c r="X542" s="6"/>
      <c r="Y542" s="6"/>
      <c r="Z542" s="6"/>
      <c r="AA542" s="6"/>
      <c r="AB542" s="6"/>
      <c r="AC542" s="6"/>
      <c r="AD542" s="6"/>
      <c r="AE542" s="6"/>
    </row>
    <row r="543" spans="22:31" ht="11.25" customHeight="1" x14ac:dyDescent="0.25">
      <c r="V543" s="6"/>
      <c r="W543" s="6"/>
      <c r="X543" s="6"/>
      <c r="Y543" s="6"/>
      <c r="Z543" s="6"/>
      <c r="AA543" s="6"/>
      <c r="AB543" s="6"/>
      <c r="AC543" s="6"/>
      <c r="AD543" s="6"/>
      <c r="AE543" s="6"/>
    </row>
    <row r="544" spans="22:31" ht="11.25" customHeight="1" x14ac:dyDescent="0.25">
      <c r="V544" s="6"/>
      <c r="W544" s="6"/>
      <c r="X544" s="6"/>
      <c r="Y544" s="6"/>
      <c r="Z544" s="6"/>
      <c r="AA544" s="6"/>
      <c r="AB544" s="6"/>
      <c r="AC544" s="6"/>
      <c r="AD544" s="6"/>
      <c r="AE544" s="6"/>
    </row>
    <row r="545" spans="22:31" ht="11.25" customHeight="1" x14ac:dyDescent="0.25">
      <c r="V545" s="6"/>
      <c r="W545" s="6"/>
      <c r="X545" s="6"/>
      <c r="Y545" s="6"/>
      <c r="Z545" s="6"/>
      <c r="AA545" s="6"/>
      <c r="AB545" s="6"/>
      <c r="AC545" s="6"/>
      <c r="AD545" s="6"/>
      <c r="AE545" s="6"/>
    </row>
    <row r="546" spans="22:31" ht="11.25" customHeight="1" x14ac:dyDescent="0.25">
      <c r="V546" s="6"/>
      <c r="W546" s="6"/>
      <c r="X546" s="6"/>
      <c r="Y546" s="6"/>
      <c r="Z546" s="6"/>
      <c r="AA546" s="6"/>
      <c r="AB546" s="6"/>
      <c r="AC546" s="6"/>
      <c r="AD546" s="6"/>
      <c r="AE546" s="6"/>
    </row>
    <row r="547" spans="22:31" ht="11.25" customHeight="1" x14ac:dyDescent="0.25">
      <c r="V547" s="6"/>
      <c r="W547" s="6"/>
      <c r="X547" s="6"/>
      <c r="Y547" s="6"/>
      <c r="Z547" s="6"/>
      <c r="AA547" s="6"/>
      <c r="AB547" s="6"/>
      <c r="AC547" s="6"/>
      <c r="AD547" s="6"/>
      <c r="AE547" s="6"/>
    </row>
    <row r="548" spans="22:31" ht="11.25" customHeight="1" x14ac:dyDescent="0.25">
      <c r="V548" s="6"/>
      <c r="W548" s="6"/>
      <c r="X548" s="6"/>
      <c r="Y548" s="6"/>
      <c r="Z548" s="6"/>
      <c r="AA548" s="6"/>
      <c r="AB548" s="6"/>
      <c r="AC548" s="6"/>
      <c r="AD548" s="6"/>
      <c r="AE548" s="6"/>
    </row>
    <row r="549" spans="22:31" ht="11.25" customHeight="1" x14ac:dyDescent="0.25">
      <c r="V549" s="6"/>
      <c r="W549" s="6"/>
      <c r="X549" s="6"/>
      <c r="Y549" s="6"/>
      <c r="Z549" s="6"/>
      <c r="AA549" s="6"/>
      <c r="AB549" s="6"/>
      <c r="AC549" s="6"/>
      <c r="AD549" s="6"/>
      <c r="AE549" s="6"/>
    </row>
    <row r="550" spans="22:31" ht="11.25" customHeight="1" x14ac:dyDescent="0.25">
      <c r="V550" s="6"/>
      <c r="W550" s="6"/>
      <c r="X550" s="6"/>
      <c r="Y550" s="6"/>
      <c r="Z550" s="6"/>
      <c r="AA550" s="6"/>
      <c r="AB550" s="6"/>
      <c r="AC550" s="6"/>
      <c r="AD550" s="6"/>
      <c r="AE550" s="6"/>
    </row>
    <row r="551" spans="22:31" ht="11.25" customHeight="1" x14ac:dyDescent="0.25">
      <c r="V551" s="6"/>
      <c r="W551" s="6"/>
      <c r="X551" s="6"/>
      <c r="Y551" s="6"/>
      <c r="Z551" s="6"/>
      <c r="AA551" s="6"/>
      <c r="AB551" s="6"/>
      <c r="AC551" s="6"/>
      <c r="AD551" s="6"/>
      <c r="AE551" s="6"/>
    </row>
    <row r="552" spans="22:31" ht="11.25" customHeight="1" x14ac:dyDescent="0.25">
      <c r="V552" s="6"/>
      <c r="W552" s="6"/>
      <c r="X552" s="6"/>
      <c r="Y552" s="6"/>
      <c r="Z552" s="6"/>
      <c r="AA552" s="6"/>
      <c r="AB552" s="6"/>
      <c r="AC552" s="6"/>
      <c r="AD552" s="6"/>
      <c r="AE552" s="6"/>
    </row>
    <row r="553" spans="22:31" ht="11.25" customHeight="1" x14ac:dyDescent="0.25">
      <c r="V553" s="6"/>
      <c r="W553" s="6"/>
      <c r="X553" s="6"/>
      <c r="Y553" s="6"/>
      <c r="Z553" s="6"/>
      <c r="AA553" s="6"/>
      <c r="AB553" s="6"/>
      <c r="AC553" s="6"/>
      <c r="AD553" s="6"/>
      <c r="AE553" s="6"/>
    </row>
    <row r="554" spans="22:31" ht="11.25" customHeight="1" x14ac:dyDescent="0.25">
      <c r="V554" s="6"/>
      <c r="W554" s="6"/>
      <c r="X554" s="6"/>
      <c r="Y554" s="6"/>
      <c r="Z554" s="6"/>
      <c r="AA554" s="6"/>
      <c r="AB554" s="6"/>
      <c r="AC554" s="6"/>
      <c r="AD554" s="6"/>
      <c r="AE554" s="6"/>
    </row>
    <row r="555" spans="22:31" ht="11.25" customHeight="1" x14ac:dyDescent="0.25">
      <c r="V555" s="6"/>
      <c r="W555" s="6"/>
      <c r="X555" s="6"/>
      <c r="Y555" s="6"/>
      <c r="Z555" s="6"/>
      <c r="AA555" s="6"/>
      <c r="AB555" s="6"/>
      <c r="AC555" s="6"/>
      <c r="AD555" s="6"/>
      <c r="AE555" s="6"/>
    </row>
    <row r="556" spans="22:31" ht="11.25" customHeight="1" x14ac:dyDescent="0.25">
      <c r="V556" s="6"/>
      <c r="W556" s="6"/>
      <c r="X556" s="6"/>
      <c r="Y556" s="6"/>
      <c r="Z556" s="6"/>
      <c r="AA556" s="6"/>
      <c r="AB556" s="6"/>
      <c r="AC556" s="6"/>
      <c r="AD556" s="6"/>
      <c r="AE556" s="6"/>
    </row>
    <row r="557" spans="22:31" ht="11.25" customHeight="1" x14ac:dyDescent="0.25">
      <c r="V557" s="6"/>
      <c r="W557" s="6"/>
      <c r="X557" s="6"/>
      <c r="Y557" s="6"/>
      <c r="Z557" s="6"/>
      <c r="AA557" s="6"/>
      <c r="AB557" s="6"/>
      <c r="AC557" s="6"/>
      <c r="AD557" s="6"/>
      <c r="AE557" s="6"/>
    </row>
    <row r="558" spans="22:31" ht="11.25" customHeight="1" x14ac:dyDescent="0.25">
      <c r="V558" s="6"/>
      <c r="W558" s="6"/>
      <c r="X558" s="6"/>
      <c r="Y558" s="6"/>
      <c r="Z558" s="6"/>
      <c r="AA558" s="6"/>
      <c r="AB558" s="6"/>
      <c r="AC558" s="6"/>
      <c r="AD558" s="6"/>
      <c r="AE558" s="6"/>
    </row>
    <row r="559" spans="22:31" ht="11.25" customHeight="1" x14ac:dyDescent="0.25">
      <c r="V559" s="6"/>
      <c r="W559" s="6"/>
      <c r="X559" s="6"/>
      <c r="Y559" s="6"/>
      <c r="Z559" s="6"/>
      <c r="AA559" s="6"/>
      <c r="AB559" s="6"/>
      <c r="AC559" s="6"/>
      <c r="AD559" s="6"/>
      <c r="AE559" s="6"/>
    </row>
    <row r="560" spans="22:31" ht="11.25" customHeight="1" x14ac:dyDescent="0.25">
      <c r="V560" s="6"/>
      <c r="W560" s="6"/>
      <c r="X560" s="6"/>
      <c r="Y560" s="6"/>
      <c r="Z560" s="6"/>
      <c r="AA560" s="6"/>
      <c r="AB560" s="6"/>
      <c r="AC560" s="6"/>
      <c r="AD560" s="6"/>
      <c r="AE560" s="6"/>
    </row>
    <row r="561" spans="22:31" ht="11.25" customHeight="1" x14ac:dyDescent="0.25">
      <c r="V561" s="6"/>
      <c r="W561" s="6"/>
      <c r="X561" s="6"/>
      <c r="Y561" s="6"/>
      <c r="Z561" s="6"/>
      <c r="AA561" s="6"/>
      <c r="AB561" s="6"/>
      <c r="AC561" s="6"/>
      <c r="AD561" s="6"/>
      <c r="AE561" s="6"/>
    </row>
    <row r="562" spans="22:31" ht="11.25" customHeight="1" x14ac:dyDescent="0.25">
      <c r="V562" s="6"/>
      <c r="W562" s="6"/>
      <c r="X562" s="6"/>
      <c r="Y562" s="6"/>
      <c r="Z562" s="6"/>
      <c r="AA562" s="6"/>
      <c r="AB562" s="6"/>
      <c r="AC562" s="6"/>
      <c r="AD562" s="6"/>
      <c r="AE562" s="6"/>
    </row>
    <row r="563" spans="22:31" ht="11.25" customHeight="1" x14ac:dyDescent="0.25">
      <c r="V563" s="6"/>
      <c r="W563" s="6"/>
      <c r="X563" s="6"/>
      <c r="Y563" s="6"/>
      <c r="Z563" s="6"/>
      <c r="AA563" s="6"/>
      <c r="AB563" s="6"/>
      <c r="AC563" s="6"/>
      <c r="AD563" s="6"/>
      <c r="AE563" s="6"/>
    </row>
    <row r="564" spans="22:31" ht="11.25" customHeight="1" x14ac:dyDescent="0.25">
      <c r="V564" s="6"/>
      <c r="W564" s="6"/>
      <c r="X564" s="6"/>
      <c r="Y564" s="6"/>
      <c r="Z564" s="6"/>
      <c r="AA564" s="6"/>
      <c r="AB564" s="6"/>
      <c r="AC564" s="6"/>
      <c r="AD564" s="6"/>
      <c r="AE564" s="6"/>
    </row>
    <row r="565" spans="22:31" ht="11.25" customHeight="1" x14ac:dyDescent="0.25">
      <c r="V565" s="6"/>
      <c r="W565" s="6"/>
      <c r="X565" s="6"/>
      <c r="Y565" s="6"/>
      <c r="Z565" s="6"/>
      <c r="AA565" s="6"/>
      <c r="AB565" s="6"/>
      <c r="AC565" s="6"/>
      <c r="AD565" s="6"/>
      <c r="AE565" s="6"/>
    </row>
    <row r="566" spans="22:31" ht="11.25" customHeight="1" x14ac:dyDescent="0.25">
      <c r="V566" s="6"/>
      <c r="W566" s="6"/>
      <c r="X566" s="6"/>
      <c r="Y566" s="6"/>
      <c r="Z566" s="6"/>
      <c r="AA566" s="6"/>
      <c r="AB566" s="6"/>
      <c r="AC566" s="6"/>
      <c r="AD566" s="6"/>
      <c r="AE566" s="6"/>
    </row>
    <row r="567" spans="22:31" ht="11.25" customHeight="1" x14ac:dyDescent="0.25">
      <c r="V567" s="6"/>
      <c r="W567" s="6"/>
      <c r="X567" s="6"/>
      <c r="Y567" s="6"/>
      <c r="Z567" s="6"/>
      <c r="AA567" s="6"/>
      <c r="AB567" s="6"/>
      <c r="AC567" s="6"/>
      <c r="AD567" s="6"/>
      <c r="AE567" s="6"/>
    </row>
    <row r="568" spans="22:31" ht="11.25" customHeight="1" x14ac:dyDescent="0.25">
      <c r="V568" s="6"/>
      <c r="W568" s="6"/>
      <c r="X568" s="6"/>
      <c r="Y568" s="6"/>
      <c r="Z568" s="6"/>
      <c r="AA568" s="6"/>
      <c r="AB568" s="6"/>
      <c r="AC568" s="6"/>
      <c r="AD568" s="6"/>
      <c r="AE568" s="6"/>
    </row>
    <row r="569" spans="22:31" ht="11.25" customHeight="1" x14ac:dyDescent="0.25">
      <c r="V569" s="6"/>
      <c r="W569" s="6"/>
      <c r="X569" s="6"/>
      <c r="Y569" s="6"/>
      <c r="Z569" s="6"/>
      <c r="AA569" s="6"/>
      <c r="AB569" s="6"/>
      <c r="AC569" s="6"/>
      <c r="AD569" s="6"/>
      <c r="AE569" s="6"/>
    </row>
    <row r="570" spans="22:31" ht="11.25" customHeight="1" x14ac:dyDescent="0.25">
      <c r="V570" s="6"/>
      <c r="W570" s="6"/>
      <c r="X570" s="6"/>
      <c r="Y570" s="6"/>
      <c r="Z570" s="6"/>
      <c r="AA570" s="6"/>
      <c r="AB570" s="6"/>
      <c r="AC570" s="6"/>
      <c r="AD570" s="6"/>
      <c r="AE570" s="6"/>
    </row>
    <row r="571" spans="22:31" ht="11.25" customHeight="1" x14ac:dyDescent="0.25">
      <c r="V571" s="6"/>
      <c r="W571" s="6"/>
      <c r="X571" s="6"/>
      <c r="Y571" s="6"/>
      <c r="Z571" s="6"/>
      <c r="AA571" s="6"/>
      <c r="AB571" s="6"/>
      <c r="AC571" s="6"/>
      <c r="AD571" s="6"/>
      <c r="AE571" s="6"/>
    </row>
    <row r="572" spans="22:31" ht="11.25" customHeight="1" x14ac:dyDescent="0.25">
      <c r="V572" s="6"/>
      <c r="W572" s="6"/>
      <c r="X572" s="6"/>
      <c r="Y572" s="6"/>
      <c r="Z572" s="6"/>
      <c r="AA572" s="6"/>
      <c r="AB572" s="6"/>
      <c r="AC572" s="6"/>
      <c r="AD572" s="6"/>
      <c r="AE572" s="6"/>
    </row>
    <row r="573" spans="22:31" ht="11.25" customHeight="1" x14ac:dyDescent="0.25">
      <c r="V573" s="6"/>
      <c r="W573" s="6"/>
      <c r="X573" s="6"/>
      <c r="Y573" s="6"/>
      <c r="Z573" s="6"/>
      <c r="AA573" s="6"/>
      <c r="AB573" s="6"/>
      <c r="AC573" s="6"/>
      <c r="AD573" s="6"/>
      <c r="AE573" s="6"/>
    </row>
    <row r="574" spans="22:31" ht="11.25" customHeight="1" x14ac:dyDescent="0.25">
      <c r="V574" s="6"/>
      <c r="W574" s="6"/>
      <c r="X574" s="6"/>
      <c r="Y574" s="6"/>
      <c r="Z574" s="6"/>
      <c r="AA574" s="6"/>
      <c r="AB574" s="6"/>
      <c r="AC574" s="6"/>
      <c r="AD574" s="6"/>
      <c r="AE574" s="6"/>
    </row>
    <row r="575" spans="22:31" ht="11.25" customHeight="1" x14ac:dyDescent="0.25">
      <c r="V575" s="6"/>
      <c r="W575" s="6"/>
      <c r="X575" s="6"/>
      <c r="Y575" s="6"/>
      <c r="Z575" s="6"/>
      <c r="AA575" s="6"/>
      <c r="AB575" s="6"/>
      <c r="AC575" s="6"/>
      <c r="AD575" s="6"/>
      <c r="AE575" s="6"/>
    </row>
    <row r="576" spans="22:31" ht="11.25" customHeight="1" x14ac:dyDescent="0.25">
      <c r="V576" s="6"/>
      <c r="W576" s="6"/>
      <c r="X576" s="6"/>
      <c r="Y576" s="6"/>
      <c r="Z576" s="6"/>
      <c r="AA576" s="6"/>
      <c r="AB576" s="6"/>
      <c r="AC576" s="6"/>
      <c r="AD576" s="6"/>
      <c r="AE576" s="6"/>
    </row>
    <row r="577" spans="22:31" ht="11.25" customHeight="1" x14ac:dyDescent="0.25">
      <c r="V577" s="6"/>
      <c r="W577" s="6"/>
      <c r="X577" s="6"/>
      <c r="Y577" s="6"/>
      <c r="Z577" s="6"/>
      <c r="AA577" s="6"/>
      <c r="AB577" s="6"/>
      <c r="AC577" s="6"/>
      <c r="AD577" s="6"/>
      <c r="AE577" s="6"/>
    </row>
    <row r="578" spans="22:31" ht="11.25" customHeight="1" x14ac:dyDescent="0.25">
      <c r="V578" s="6"/>
      <c r="W578" s="6"/>
      <c r="X578" s="6"/>
      <c r="Y578" s="6"/>
      <c r="Z578" s="6"/>
      <c r="AA578" s="6"/>
      <c r="AB578" s="6"/>
      <c r="AC578" s="6"/>
      <c r="AD578" s="6"/>
      <c r="AE578" s="6"/>
    </row>
    <row r="579" spans="22:31" ht="11.25" customHeight="1" x14ac:dyDescent="0.25">
      <c r="V579" s="6"/>
      <c r="W579" s="6"/>
      <c r="X579" s="6"/>
      <c r="Y579" s="6"/>
      <c r="Z579" s="6"/>
      <c r="AA579" s="6"/>
      <c r="AB579" s="6"/>
      <c r="AC579" s="6"/>
      <c r="AD579" s="6"/>
      <c r="AE579" s="6"/>
    </row>
    <row r="580" spans="22:31" ht="11.25" customHeight="1" x14ac:dyDescent="0.25">
      <c r="V580" s="6"/>
      <c r="W580" s="6"/>
      <c r="X580" s="6"/>
      <c r="Y580" s="6"/>
      <c r="Z580" s="6"/>
      <c r="AA580" s="6"/>
      <c r="AB580" s="6"/>
      <c r="AC580" s="6"/>
      <c r="AD580" s="6"/>
      <c r="AE580" s="6"/>
    </row>
    <row r="581" spans="22:31" ht="11.25" customHeight="1" x14ac:dyDescent="0.25">
      <c r="V581" s="6"/>
      <c r="W581" s="6"/>
      <c r="X581" s="6"/>
      <c r="Y581" s="6"/>
      <c r="Z581" s="6"/>
      <c r="AA581" s="6"/>
      <c r="AB581" s="6"/>
      <c r="AC581" s="6"/>
      <c r="AD581" s="6"/>
      <c r="AE581" s="6"/>
    </row>
    <row r="582" spans="22:31" ht="11.25" customHeight="1" x14ac:dyDescent="0.25">
      <c r="V582" s="6"/>
      <c r="W582" s="6"/>
      <c r="X582" s="6"/>
      <c r="Y582" s="6"/>
      <c r="Z582" s="6"/>
      <c r="AA582" s="6"/>
      <c r="AB582" s="6"/>
      <c r="AC582" s="6"/>
      <c r="AD582" s="6"/>
      <c r="AE582" s="6"/>
    </row>
    <row r="583" spans="22:31" ht="11.25" customHeight="1" x14ac:dyDescent="0.25">
      <c r="V583" s="6"/>
      <c r="W583" s="6"/>
      <c r="X583" s="6"/>
      <c r="Y583" s="6"/>
      <c r="Z583" s="6"/>
      <c r="AA583" s="6"/>
      <c r="AB583" s="6"/>
      <c r="AC583" s="6"/>
      <c r="AD583" s="6"/>
      <c r="AE583" s="6"/>
    </row>
    <row r="584" spans="22:31" ht="11.25" customHeight="1" x14ac:dyDescent="0.25">
      <c r="V584" s="6"/>
      <c r="W584" s="6"/>
      <c r="X584" s="6"/>
      <c r="Y584" s="6"/>
      <c r="Z584" s="6"/>
      <c r="AA584" s="6"/>
      <c r="AB584" s="6"/>
      <c r="AC584" s="6"/>
      <c r="AD584" s="6"/>
      <c r="AE584" s="6"/>
    </row>
    <row r="585" spans="22:31" ht="11.25" customHeight="1" x14ac:dyDescent="0.25">
      <c r="V585" s="6"/>
      <c r="W585" s="6"/>
      <c r="X585" s="6"/>
      <c r="Y585" s="6"/>
      <c r="Z585" s="6"/>
      <c r="AA585" s="6"/>
      <c r="AB585" s="6"/>
      <c r="AC585" s="6"/>
      <c r="AD585" s="6"/>
      <c r="AE585" s="6"/>
    </row>
    <row r="586" spans="22:31" ht="11.25" customHeight="1" x14ac:dyDescent="0.25">
      <c r="V586" s="6"/>
      <c r="W586" s="6"/>
      <c r="X586" s="6"/>
      <c r="Y586" s="6"/>
      <c r="Z586" s="6"/>
      <c r="AA586" s="6"/>
      <c r="AB586" s="6"/>
      <c r="AC586" s="6"/>
      <c r="AD586" s="6"/>
      <c r="AE586" s="6"/>
    </row>
    <row r="587" spans="22:31" ht="11.25" customHeight="1" x14ac:dyDescent="0.25">
      <c r="V587" s="6"/>
      <c r="W587" s="6"/>
      <c r="X587" s="6"/>
      <c r="Y587" s="6"/>
      <c r="Z587" s="6"/>
      <c r="AA587" s="6"/>
      <c r="AB587" s="6"/>
      <c r="AC587" s="6"/>
      <c r="AD587" s="6"/>
      <c r="AE587" s="6"/>
    </row>
    <row r="588" spans="22:31" ht="11.25" customHeight="1" x14ac:dyDescent="0.25">
      <c r="V588" s="6"/>
      <c r="W588" s="6"/>
      <c r="X588" s="6"/>
      <c r="Y588" s="6"/>
      <c r="Z588" s="6"/>
      <c r="AA588" s="6"/>
      <c r="AB588" s="6"/>
      <c r="AC588" s="6"/>
      <c r="AD588" s="6"/>
      <c r="AE588" s="6"/>
    </row>
    <row r="589" spans="22:31" ht="11.25" customHeight="1" x14ac:dyDescent="0.25">
      <c r="V589" s="6"/>
      <c r="W589" s="6"/>
      <c r="X589" s="6"/>
      <c r="Y589" s="6"/>
      <c r="Z589" s="6"/>
      <c r="AA589" s="6"/>
      <c r="AB589" s="6"/>
      <c r="AC589" s="6"/>
      <c r="AD589" s="6"/>
      <c r="AE589" s="6"/>
    </row>
    <row r="590" spans="22:31" ht="11.25" customHeight="1" x14ac:dyDescent="0.25">
      <c r="V590" s="6"/>
      <c r="W590" s="6"/>
      <c r="X590" s="6"/>
      <c r="Y590" s="6"/>
      <c r="Z590" s="6"/>
      <c r="AA590" s="6"/>
      <c r="AB590" s="6"/>
      <c r="AC590" s="6"/>
      <c r="AD590" s="6"/>
      <c r="AE590" s="6"/>
    </row>
    <row r="591" spans="22:31" ht="11.25" customHeight="1" x14ac:dyDescent="0.25">
      <c r="V591" s="6"/>
      <c r="W591" s="6"/>
      <c r="X591" s="6"/>
      <c r="Y591" s="6"/>
      <c r="Z591" s="6"/>
      <c r="AA591" s="6"/>
      <c r="AB591" s="6"/>
      <c r="AC591" s="6"/>
      <c r="AD591" s="6"/>
      <c r="AE591" s="6"/>
    </row>
    <row r="592" spans="22:31" ht="11.25" customHeight="1" x14ac:dyDescent="0.25">
      <c r="V592" s="6"/>
      <c r="W592" s="6"/>
      <c r="X592" s="6"/>
      <c r="Y592" s="6"/>
      <c r="Z592" s="6"/>
      <c r="AA592" s="6"/>
      <c r="AB592" s="6"/>
      <c r="AC592" s="6"/>
      <c r="AD592" s="6"/>
      <c r="AE592" s="6"/>
    </row>
    <row r="593" spans="22:31" ht="11.25" customHeight="1" x14ac:dyDescent="0.25">
      <c r="V593" s="6"/>
      <c r="W593" s="6"/>
      <c r="X593" s="6"/>
      <c r="Y593" s="6"/>
      <c r="Z593" s="6"/>
      <c r="AA593" s="6"/>
      <c r="AB593" s="6"/>
      <c r="AC593" s="6"/>
      <c r="AD593" s="6"/>
      <c r="AE593" s="6"/>
    </row>
    <row r="594" spans="22:31" ht="11.25" customHeight="1" x14ac:dyDescent="0.25">
      <c r="V594" s="6"/>
      <c r="W594" s="6"/>
      <c r="X594" s="6"/>
      <c r="Y594" s="6"/>
      <c r="Z594" s="6"/>
      <c r="AA594" s="6"/>
      <c r="AB594" s="6"/>
      <c r="AC594" s="6"/>
      <c r="AD594" s="6"/>
      <c r="AE594" s="6"/>
    </row>
    <row r="595" spans="22:31" ht="11.25" customHeight="1" x14ac:dyDescent="0.25">
      <c r="V595" s="6"/>
      <c r="W595" s="6"/>
      <c r="X595" s="6"/>
      <c r="Y595" s="6"/>
      <c r="Z595" s="6"/>
      <c r="AA595" s="6"/>
      <c r="AB595" s="6"/>
      <c r="AC595" s="6"/>
      <c r="AD595" s="6"/>
      <c r="AE595" s="6"/>
    </row>
    <row r="596" spans="22:31" ht="11.25" customHeight="1" x14ac:dyDescent="0.25">
      <c r="V596" s="6"/>
      <c r="W596" s="6"/>
      <c r="X596" s="6"/>
      <c r="Y596" s="6"/>
      <c r="Z596" s="6"/>
      <c r="AA596" s="6"/>
      <c r="AB596" s="6"/>
      <c r="AC596" s="6"/>
      <c r="AD596" s="6"/>
      <c r="AE596" s="6"/>
    </row>
    <row r="597" spans="22:31" ht="11.25" customHeight="1" x14ac:dyDescent="0.25">
      <c r="V597" s="6"/>
      <c r="W597" s="6"/>
      <c r="X597" s="6"/>
      <c r="Y597" s="6"/>
      <c r="Z597" s="6"/>
      <c r="AA597" s="6"/>
      <c r="AB597" s="6"/>
      <c r="AC597" s="6"/>
      <c r="AD597" s="6"/>
      <c r="AE597" s="6"/>
    </row>
    <row r="598" spans="22:31" ht="11.25" customHeight="1" x14ac:dyDescent="0.25">
      <c r="V598" s="6"/>
      <c r="W598" s="6"/>
      <c r="X598" s="6"/>
      <c r="Y598" s="6"/>
      <c r="Z598" s="6"/>
      <c r="AA598" s="6"/>
      <c r="AB598" s="6"/>
      <c r="AC598" s="6"/>
      <c r="AD598" s="6"/>
      <c r="AE598" s="6"/>
    </row>
    <row r="599" spans="22:31" ht="11.25" customHeight="1" x14ac:dyDescent="0.25">
      <c r="V599" s="6"/>
      <c r="W599" s="6"/>
      <c r="X599" s="6"/>
      <c r="Y599" s="6"/>
      <c r="Z599" s="6"/>
      <c r="AA599" s="6"/>
      <c r="AB599" s="6"/>
      <c r="AC599" s="6"/>
      <c r="AD599" s="6"/>
      <c r="AE599" s="6"/>
    </row>
    <row r="600" spans="22:31" ht="11.25" customHeight="1" x14ac:dyDescent="0.25">
      <c r="V600" s="6"/>
      <c r="W600" s="6"/>
      <c r="X600" s="6"/>
      <c r="Y600" s="6"/>
      <c r="Z600" s="6"/>
      <c r="AA600" s="6"/>
      <c r="AB600" s="6"/>
      <c r="AC600" s="6"/>
      <c r="AD600" s="6"/>
      <c r="AE600" s="6"/>
    </row>
    <row r="601" spans="22:31" ht="11.25" customHeight="1" x14ac:dyDescent="0.25">
      <c r="V601" s="6"/>
      <c r="W601" s="6"/>
      <c r="X601" s="6"/>
      <c r="Y601" s="6"/>
      <c r="Z601" s="6"/>
      <c r="AA601" s="6"/>
      <c r="AB601" s="6"/>
      <c r="AC601" s="6"/>
      <c r="AD601" s="6"/>
      <c r="AE601" s="6"/>
    </row>
    <row r="602" spans="22:31" ht="11.25" customHeight="1" x14ac:dyDescent="0.25">
      <c r="V602" s="6"/>
      <c r="W602" s="6"/>
      <c r="X602" s="6"/>
      <c r="Y602" s="6"/>
      <c r="Z602" s="6"/>
      <c r="AA602" s="6"/>
      <c r="AB602" s="6"/>
      <c r="AC602" s="6"/>
      <c r="AD602" s="6"/>
      <c r="AE602" s="6"/>
    </row>
    <row r="603" spans="22:31" ht="11.25" customHeight="1" x14ac:dyDescent="0.25">
      <c r="V603" s="6"/>
      <c r="W603" s="6"/>
      <c r="X603" s="6"/>
      <c r="Y603" s="6"/>
      <c r="Z603" s="6"/>
      <c r="AA603" s="6"/>
      <c r="AB603" s="6"/>
      <c r="AC603" s="6"/>
      <c r="AD603" s="6"/>
      <c r="AE603" s="6"/>
    </row>
    <row r="604" spans="22:31" ht="11.25" customHeight="1" x14ac:dyDescent="0.25">
      <c r="V604" s="6"/>
      <c r="W604" s="6"/>
      <c r="X604" s="6"/>
      <c r="Y604" s="6"/>
      <c r="Z604" s="6"/>
      <c r="AA604" s="6"/>
      <c r="AB604" s="6"/>
      <c r="AC604" s="6"/>
      <c r="AD604" s="6"/>
      <c r="AE604" s="6"/>
    </row>
    <row r="605" spans="22:31" ht="11.25" customHeight="1" x14ac:dyDescent="0.25">
      <c r="V605" s="6"/>
      <c r="W605" s="6"/>
      <c r="X605" s="6"/>
      <c r="Y605" s="6"/>
      <c r="Z605" s="6"/>
      <c r="AA605" s="6"/>
      <c r="AB605" s="6"/>
      <c r="AC605" s="6"/>
      <c r="AD605" s="6"/>
      <c r="AE605" s="6"/>
    </row>
    <row r="606" spans="22:31" ht="11.25" customHeight="1" x14ac:dyDescent="0.25">
      <c r="V606" s="6"/>
      <c r="W606" s="6"/>
      <c r="X606" s="6"/>
      <c r="Y606" s="6"/>
      <c r="Z606" s="6"/>
      <c r="AA606" s="6"/>
      <c r="AB606" s="6"/>
      <c r="AC606" s="6"/>
      <c r="AD606" s="6"/>
      <c r="AE606" s="6"/>
    </row>
    <row r="607" spans="22:31" ht="11.25" customHeight="1" x14ac:dyDescent="0.25">
      <c r="V607" s="6"/>
      <c r="W607" s="6"/>
      <c r="X607" s="6"/>
      <c r="Y607" s="6"/>
      <c r="Z607" s="6"/>
      <c r="AA607" s="6"/>
      <c r="AB607" s="6"/>
      <c r="AC607" s="6"/>
      <c r="AD607" s="6"/>
      <c r="AE607" s="6"/>
    </row>
    <row r="608" spans="22:31" ht="11.25" customHeight="1" x14ac:dyDescent="0.25">
      <c r="V608" s="6"/>
      <c r="W608" s="6"/>
      <c r="X608" s="6"/>
      <c r="Y608" s="6"/>
      <c r="Z608" s="6"/>
      <c r="AA608" s="6"/>
      <c r="AB608" s="6"/>
      <c r="AC608" s="6"/>
      <c r="AD608" s="6"/>
      <c r="AE608" s="6"/>
    </row>
    <row r="609" spans="22:31" ht="11.25" customHeight="1" x14ac:dyDescent="0.25">
      <c r="V609" s="6"/>
      <c r="W609" s="6"/>
      <c r="X609" s="6"/>
      <c r="Y609" s="6"/>
      <c r="Z609" s="6"/>
      <c r="AA609" s="6"/>
      <c r="AB609" s="6"/>
      <c r="AC609" s="6"/>
      <c r="AD609" s="6"/>
      <c r="AE609" s="6"/>
    </row>
    <row r="610" spans="22:31" ht="11.25" customHeight="1" x14ac:dyDescent="0.25">
      <c r="V610" s="6"/>
      <c r="W610" s="6"/>
      <c r="X610" s="6"/>
      <c r="Y610" s="6"/>
      <c r="Z610" s="6"/>
      <c r="AA610" s="6"/>
      <c r="AB610" s="6"/>
      <c r="AC610" s="6"/>
      <c r="AD610" s="6"/>
      <c r="AE610" s="6"/>
    </row>
    <row r="611" spans="22:31" ht="11.25" customHeight="1" x14ac:dyDescent="0.25">
      <c r="V611" s="6"/>
      <c r="W611" s="6"/>
      <c r="X611" s="6"/>
      <c r="Y611" s="6"/>
      <c r="Z611" s="6"/>
      <c r="AA611" s="6"/>
      <c r="AB611" s="6"/>
      <c r="AC611" s="6"/>
      <c r="AD611" s="6"/>
      <c r="AE611" s="6"/>
    </row>
    <row r="612" spans="22:31" ht="11.25" customHeight="1" x14ac:dyDescent="0.25">
      <c r="V612" s="6"/>
      <c r="W612" s="6"/>
      <c r="X612" s="6"/>
      <c r="Y612" s="6"/>
      <c r="Z612" s="6"/>
      <c r="AA612" s="6"/>
      <c r="AB612" s="6"/>
      <c r="AC612" s="6"/>
      <c r="AD612" s="6"/>
      <c r="AE612" s="6"/>
    </row>
    <row r="613" spans="22:31" ht="11.25" customHeight="1" x14ac:dyDescent="0.25">
      <c r="V613" s="6"/>
      <c r="W613" s="6"/>
      <c r="X613" s="6"/>
      <c r="Y613" s="6"/>
      <c r="Z613" s="6"/>
      <c r="AA613" s="6"/>
      <c r="AB613" s="6"/>
      <c r="AC613" s="6"/>
      <c r="AD613" s="6"/>
      <c r="AE613" s="6"/>
    </row>
    <row r="614" spans="22:31" ht="11.25" customHeight="1" x14ac:dyDescent="0.25">
      <c r="V614" s="6"/>
      <c r="W614" s="6"/>
      <c r="X614" s="6"/>
      <c r="Y614" s="6"/>
      <c r="Z614" s="6"/>
      <c r="AA614" s="6"/>
      <c r="AB614" s="6"/>
      <c r="AC614" s="6"/>
      <c r="AD614" s="6"/>
      <c r="AE614" s="6"/>
    </row>
    <row r="615" spans="22:31" ht="11.25" customHeight="1" x14ac:dyDescent="0.25">
      <c r="V615" s="6"/>
      <c r="W615" s="6"/>
      <c r="X615" s="6"/>
      <c r="Y615" s="6"/>
      <c r="Z615" s="6"/>
      <c r="AA615" s="6"/>
      <c r="AB615" s="6"/>
      <c r="AC615" s="6"/>
      <c r="AD615" s="6"/>
      <c r="AE615" s="6"/>
    </row>
    <row r="616" spans="22:31" ht="11.25" customHeight="1" x14ac:dyDescent="0.25">
      <c r="V616" s="6"/>
      <c r="W616" s="6"/>
      <c r="X616" s="6"/>
      <c r="Y616" s="6"/>
      <c r="Z616" s="6"/>
      <c r="AA616" s="6"/>
      <c r="AB616" s="6"/>
      <c r="AC616" s="6"/>
      <c r="AD616" s="6"/>
      <c r="AE616" s="6"/>
    </row>
    <row r="617" spans="22:31" ht="11.25" customHeight="1" x14ac:dyDescent="0.25">
      <c r="V617" s="6"/>
      <c r="W617" s="6"/>
      <c r="X617" s="6"/>
      <c r="Y617" s="6"/>
      <c r="Z617" s="6"/>
      <c r="AA617" s="6"/>
      <c r="AB617" s="6"/>
      <c r="AC617" s="6"/>
      <c r="AD617" s="6"/>
      <c r="AE617" s="6"/>
    </row>
    <row r="618" spans="22:31" ht="11.25" customHeight="1" x14ac:dyDescent="0.25">
      <c r="V618" s="6"/>
      <c r="W618" s="6"/>
      <c r="X618" s="6"/>
      <c r="Y618" s="6"/>
      <c r="Z618" s="6"/>
      <c r="AA618" s="6"/>
      <c r="AB618" s="6"/>
      <c r="AC618" s="6"/>
      <c r="AD618" s="6"/>
      <c r="AE618" s="6"/>
    </row>
    <row r="619" spans="22:31" ht="11.25" customHeight="1" x14ac:dyDescent="0.25">
      <c r="V619" s="6"/>
      <c r="W619" s="6"/>
      <c r="X619" s="6"/>
      <c r="Y619" s="6"/>
      <c r="Z619" s="6"/>
      <c r="AA619" s="6"/>
      <c r="AB619" s="6"/>
      <c r="AC619" s="6"/>
      <c r="AD619" s="6"/>
      <c r="AE619" s="6"/>
    </row>
    <row r="620" spans="22:31" ht="11.25" customHeight="1" x14ac:dyDescent="0.25">
      <c r="V620" s="6"/>
      <c r="W620" s="6"/>
      <c r="X620" s="6"/>
      <c r="Y620" s="6"/>
      <c r="Z620" s="6"/>
      <c r="AA620" s="6"/>
      <c r="AB620" s="6"/>
      <c r="AC620" s="6"/>
      <c r="AD620" s="6"/>
      <c r="AE620" s="6"/>
    </row>
    <row r="621" spans="22:31" ht="11.25" customHeight="1" x14ac:dyDescent="0.25">
      <c r="V621" s="6"/>
      <c r="W621" s="6"/>
      <c r="X621" s="6"/>
      <c r="Y621" s="6"/>
      <c r="Z621" s="6"/>
      <c r="AA621" s="6"/>
      <c r="AB621" s="6"/>
      <c r="AC621" s="6"/>
      <c r="AD621" s="6"/>
      <c r="AE621" s="6"/>
    </row>
    <row r="622" spans="22:31" ht="11.25" customHeight="1" x14ac:dyDescent="0.25">
      <c r="V622" s="6"/>
      <c r="W622" s="6"/>
      <c r="X622" s="6"/>
      <c r="Y622" s="6"/>
      <c r="Z622" s="6"/>
      <c r="AA622" s="6"/>
      <c r="AB622" s="6"/>
      <c r="AC622" s="6"/>
      <c r="AD622" s="6"/>
      <c r="AE622" s="6"/>
    </row>
    <row r="623" spans="22:31" ht="11.25" customHeight="1" x14ac:dyDescent="0.25">
      <c r="V623" s="6"/>
      <c r="W623" s="6"/>
      <c r="X623" s="6"/>
      <c r="Y623" s="6"/>
      <c r="Z623" s="6"/>
      <c r="AA623" s="6"/>
      <c r="AB623" s="6"/>
      <c r="AC623" s="6"/>
      <c r="AD623" s="6"/>
      <c r="AE623" s="6"/>
    </row>
    <row r="624" spans="22:31" ht="11.25" customHeight="1" x14ac:dyDescent="0.25">
      <c r="V624" s="6"/>
      <c r="W624" s="6"/>
      <c r="X624" s="6"/>
      <c r="Y624" s="6"/>
      <c r="Z624" s="6"/>
      <c r="AA624" s="6"/>
      <c r="AB624" s="6"/>
      <c r="AC624" s="6"/>
      <c r="AD624" s="6"/>
      <c r="AE624" s="6"/>
    </row>
    <row r="625" spans="22:31" ht="11.25" customHeight="1" x14ac:dyDescent="0.25">
      <c r="V625" s="6"/>
      <c r="W625" s="6"/>
      <c r="X625" s="6"/>
      <c r="Y625" s="6"/>
      <c r="Z625" s="6"/>
      <c r="AA625" s="6"/>
      <c r="AB625" s="6"/>
      <c r="AC625" s="6"/>
      <c r="AD625" s="6"/>
      <c r="AE625" s="6"/>
    </row>
    <row r="626" spans="22:31" ht="11.25" customHeight="1" x14ac:dyDescent="0.25">
      <c r="V626" s="6"/>
      <c r="W626" s="6"/>
      <c r="X626" s="6"/>
      <c r="Y626" s="6"/>
      <c r="Z626" s="6"/>
      <c r="AA626" s="6"/>
      <c r="AB626" s="6"/>
      <c r="AC626" s="6"/>
      <c r="AD626" s="6"/>
      <c r="AE626" s="6"/>
    </row>
    <row r="627" spans="22:31" ht="11.25" customHeight="1" x14ac:dyDescent="0.25">
      <c r="V627" s="6"/>
      <c r="W627" s="6"/>
      <c r="X627" s="6"/>
      <c r="Y627" s="6"/>
      <c r="Z627" s="6"/>
      <c r="AA627" s="6"/>
      <c r="AB627" s="6"/>
      <c r="AC627" s="6"/>
      <c r="AD627" s="6"/>
      <c r="AE627" s="6"/>
    </row>
    <row r="628" spans="22:31" ht="11.25" customHeight="1" x14ac:dyDescent="0.25">
      <c r="V628" s="6"/>
      <c r="W628" s="6"/>
      <c r="X628" s="6"/>
      <c r="Y628" s="6"/>
      <c r="Z628" s="6"/>
      <c r="AA628" s="6"/>
      <c r="AB628" s="6"/>
      <c r="AC628" s="6"/>
      <c r="AD628" s="6"/>
      <c r="AE628" s="6"/>
    </row>
    <row r="629" spans="22:31" ht="11.25" customHeight="1" x14ac:dyDescent="0.25">
      <c r="V629" s="6"/>
      <c r="W629" s="6"/>
      <c r="X629" s="6"/>
      <c r="Y629" s="6"/>
      <c r="Z629" s="6"/>
      <c r="AA629" s="6"/>
      <c r="AB629" s="6"/>
      <c r="AC629" s="6"/>
      <c r="AD629" s="6"/>
      <c r="AE629" s="6"/>
    </row>
    <row r="630" spans="22:31" ht="11.25" customHeight="1" x14ac:dyDescent="0.25">
      <c r="V630" s="6"/>
      <c r="W630" s="6"/>
      <c r="X630" s="6"/>
      <c r="Y630" s="6"/>
      <c r="Z630" s="6"/>
      <c r="AA630" s="6"/>
      <c r="AB630" s="6"/>
      <c r="AC630" s="6"/>
      <c r="AD630" s="6"/>
      <c r="AE630" s="6"/>
    </row>
    <row r="631" spans="22:31" ht="11.25" customHeight="1" x14ac:dyDescent="0.25">
      <c r="V631" s="6"/>
      <c r="W631" s="6"/>
      <c r="X631" s="6"/>
      <c r="Y631" s="6"/>
      <c r="Z631" s="6"/>
      <c r="AA631" s="6"/>
      <c r="AB631" s="6"/>
      <c r="AC631" s="6"/>
      <c r="AD631" s="6"/>
      <c r="AE631" s="6"/>
    </row>
    <row r="632" spans="22:31" ht="11.25" customHeight="1" x14ac:dyDescent="0.25">
      <c r="V632" s="6"/>
      <c r="W632" s="6"/>
      <c r="X632" s="6"/>
      <c r="Y632" s="6"/>
      <c r="Z632" s="6"/>
      <c r="AA632" s="6"/>
      <c r="AB632" s="6"/>
      <c r="AC632" s="6"/>
      <c r="AD632" s="6"/>
      <c r="AE632" s="6"/>
    </row>
    <row r="633" spans="22:31" ht="11.25" customHeight="1" x14ac:dyDescent="0.25">
      <c r="V633" s="6"/>
      <c r="W633" s="6"/>
      <c r="X633" s="6"/>
      <c r="Y633" s="6"/>
      <c r="Z633" s="6"/>
      <c r="AA633" s="6"/>
      <c r="AB633" s="6"/>
      <c r="AC633" s="6"/>
      <c r="AD633" s="6"/>
      <c r="AE633" s="6"/>
    </row>
    <row r="634" spans="22:31" ht="11.25" customHeight="1" x14ac:dyDescent="0.25">
      <c r="V634" s="6"/>
      <c r="W634" s="6"/>
      <c r="X634" s="6"/>
      <c r="Y634" s="6"/>
      <c r="Z634" s="6"/>
      <c r="AA634" s="6"/>
      <c r="AB634" s="6"/>
      <c r="AC634" s="6"/>
      <c r="AD634" s="6"/>
      <c r="AE634" s="6"/>
    </row>
    <row r="635" spans="22:31" ht="11.25" customHeight="1" x14ac:dyDescent="0.25">
      <c r="V635" s="6"/>
      <c r="W635" s="6"/>
      <c r="X635" s="6"/>
      <c r="Y635" s="6"/>
      <c r="Z635" s="6"/>
      <c r="AA635" s="6"/>
      <c r="AB635" s="6"/>
      <c r="AC635" s="6"/>
      <c r="AD635" s="6"/>
      <c r="AE635" s="6"/>
    </row>
    <row r="636" spans="22:31" ht="11.25" customHeight="1" x14ac:dyDescent="0.25">
      <c r="V636" s="6"/>
      <c r="W636" s="6"/>
      <c r="X636" s="6"/>
      <c r="Y636" s="6"/>
      <c r="Z636" s="6"/>
      <c r="AA636" s="6"/>
      <c r="AB636" s="6"/>
      <c r="AC636" s="6"/>
      <c r="AD636" s="6"/>
      <c r="AE636" s="6"/>
    </row>
    <row r="637" spans="22:31" ht="11.25" customHeight="1" x14ac:dyDescent="0.25">
      <c r="V637" s="6"/>
      <c r="W637" s="6"/>
      <c r="X637" s="6"/>
      <c r="Y637" s="6"/>
      <c r="Z637" s="6"/>
      <c r="AA637" s="6"/>
      <c r="AB637" s="6"/>
      <c r="AC637" s="6"/>
      <c r="AD637" s="6"/>
      <c r="AE637" s="6"/>
    </row>
    <row r="638" spans="22:31" ht="11.25" customHeight="1" x14ac:dyDescent="0.25">
      <c r="V638" s="6"/>
      <c r="W638" s="6"/>
      <c r="X638" s="6"/>
      <c r="Y638" s="6"/>
      <c r="Z638" s="6"/>
      <c r="AA638" s="6"/>
      <c r="AB638" s="6"/>
      <c r="AC638" s="6"/>
      <c r="AD638" s="6"/>
      <c r="AE638" s="6"/>
    </row>
    <row r="639" spans="22:31" ht="11.25" customHeight="1" x14ac:dyDescent="0.25">
      <c r="V639" s="6"/>
      <c r="W639" s="6"/>
      <c r="X639" s="6"/>
      <c r="Y639" s="6"/>
      <c r="Z639" s="6"/>
      <c r="AA639" s="6"/>
      <c r="AB639" s="6"/>
      <c r="AC639" s="6"/>
      <c r="AD639" s="6"/>
      <c r="AE639" s="6"/>
    </row>
    <row r="640" spans="22:31" ht="11.25" customHeight="1" x14ac:dyDescent="0.25">
      <c r="V640" s="6"/>
      <c r="W640" s="6"/>
      <c r="X640" s="6"/>
      <c r="Y640" s="6"/>
      <c r="Z640" s="6"/>
      <c r="AA640" s="6"/>
      <c r="AB640" s="6"/>
      <c r="AC640" s="6"/>
      <c r="AD640" s="6"/>
      <c r="AE640" s="6"/>
    </row>
    <row r="641" spans="22:31" ht="11.25" customHeight="1" x14ac:dyDescent="0.25">
      <c r="V641" s="6"/>
      <c r="W641" s="6"/>
      <c r="X641" s="6"/>
      <c r="Y641" s="6"/>
      <c r="Z641" s="6"/>
      <c r="AA641" s="6"/>
      <c r="AB641" s="6"/>
      <c r="AC641" s="6"/>
      <c r="AD641" s="6"/>
      <c r="AE641" s="6"/>
    </row>
    <row r="642" spans="22:31" ht="11.25" customHeight="1" x14ac:dyDescent="0.25">
      <c r="V642" s="6"/>
      <c r="W642" s="6"/>
      <c r="X642" s="6"/>
      <c r="Y642" s="6"/>
      <c r="Z642" s="6"/>
      <c r="AA642" s="6"/>
      <c r="AB642" s="6"/>
      <c r="AC642" s="6"/>
      <c r="AD642" s="6"/>
      <c r="AE642" s="6"/>
    </row>
    <row r="643" spans="22:31" ht="11.25" customHeight="1" x14ac:dyDescent="0.25">
      <c r="V643" s="6"/>
      <c r="W643" s="6"/>
      <c r="X643" s="6"/>
      <c r="Y643" s="6"/>
      <c r="Z643" s="6"/>
      <c r="AA643" s="6"/>
      <c r="AB643" s="6"/>
      <c r="AC643" s="6"/>
      <c r="AD643" s="6"/>
      <c r="AE643" s="6"/>
    </row>
    <row r="644" spans="22:31" ht="11.25" customHeight="1" x14ac:dyDescent="0.25">
      <c r="V644" s="6"/>
      <c r="W644" s="6"/>
      <c r="X644" s="6"/>
      <c r="Y644" s="6"/>
      <c r="Z644" s="6"/>
      <c r="AA644" s="6"/>
      <c r="AB644" s="6"/>
      <c r="AC644" s="6"/>
      <c r="AD644" s="6"/>
      <c r="AE644" s="6"/>
    </row>
    <row r="645" spans="22:31" ht="11.25" customHeight="1" x14ac:dyDescent="0.25">
      <c r="V645" s="6"/>
      <c r="W645" s="6"/>
      <c r="X645" s="6"/>
      <c r="Y645" s="6"/>
      <c r="Z645" s="6"/>
      <c r="AA645" s="6"/>
      <c r="AB645" s="6"/>
      <c r="AC645" s="6"/>
      <c r="AD645" s="6"/>
      <c r="AE645" s="6"/>
    </row>
    <row r="646" spans="22:31" ht="11.25" customHeight="1" x14ac:dyDescent="0.25">
      <c r="V646" s="6"/>
      <c r="W646" s="6"/>
      <c r="X646" s="6"/>
      <c r="Y646" s="6"/>
      <c r="Z646" s="6"/>
      <c r="AA646" s="6"/>
      <c r="AB646" s="6"/>
      <c r="AC646" s="6"/>
      <c r="AD646" s="6"/>
      <c r="AE646" s="6"/>
    </row>
    <row r="647" spans="22:31" ht="11.25" customHeight="1" x14ac:dyDescent="0.25">
      <c r="V647" s="6"/>
      <c r="W647" s="6"/>
      <c r="X647" s="6"/>
      <c r="Y647" s="6"/>
      <c r="Z647" s="6"/>
      <c r="AA647" s="6"/>
      <c r="AB647" s="6"/>
      <c r="AC647" s="6"/>
      <c r="AD647" s="6"/>
      <c r="AE647" s="6"/>
    </row>
    <row r="648" spans="22:31" ht="11.25" customHeight="1" x14ac:dyDescent="0.25">
      <c r="V648" s="6"/>
      <c r="W648" s="6"/>
      <c r="X648" s="6"/>
      <c r="Y648" s="6"/>
      <c r="Z648" s="6"/>
      <c r="AA648" s="6"/>
      <c r="AB648" s="6"/>
      <c r="AC648" s="6"/>
      <c r="AD648" s="6"/>
      <c r="AE648" s="6"/>
    </row>
    <row r="649" spans="22:31" ht="11.25" customHeight="1" x14ac:dyDescent="0.25">
      <c r="V649" s="6"/>
      <c r="W649" s="6"/>
      <c r="X649" s="6"/>
      <c r="Y649" s="6"/>
      <c r="Z649" s="6"/>
      <c r="AA649" s="6"/>
      <c r="AB649" s="6"/>
      <c r="AC649" s="6"/>
      <c r="AD649" s="6"/>
      <c r="AE649" s="6"/>
    </row>
    <row r="650" spans="22:31" ht="11.25" customHeight="1" x14ac:dyDescent="0.25">
      <c r="V650" s="6"/>
      <c r="W650" s="6"/>
      <c r="X650" s="6"/>
      <c r="Y650" s="6"/>
      <c r="Z650" s="6"/>
      <c r="AA650" s="6"/>
      <c r="AB650" s="6"/>
      <c r="AC650" s="6"/>
      <c r="AD650" s="6"/>
      <c r="AE650" s="6"/>
    </row>
    <row r="651" spans="22:31" ht="11.25" customHeight="1" x14ac:dyDescent="0.25">
      <c r="V651" s="6"/>
      <c r="W651" s="6"/>
      <c r="X651" s="6"/>
      <c r="Y651" s="6"/>
      <c r="Z651" s="6"/>
      <c r="AA651" s="6"/>
      <c r="AB651" s="6"/>
      <c r="AC651" s="6"/>
      <c r="AD651" s="6"/>
      <c r="AE651" s="6"/>
    </row>
    <row r="652" spans="22:31" ht="11.25" customHeight="1" x14ac:dyDescent="0.25">
      <c r="V652" s="6"/>
      <c r="W652" s="6"/>
      <c r="X652" s="6"/>
      <c r="Y652" s="6"/>
      <c r="Z652" s="6"/>
      <c r="AA652" s="6"/>
      <c r="AB652" s="6"/>
      <c r="AC652" s="6"/>
      <c r="AD652" s="6"/>
      <c r="AE652" s="6"/>
    </row>
    <row r="653" spans="22:31" ht="11.25" customHeight="1" x14ac:dyDescent="0.25">
      <c r="V653" s="6"/>
      <c r="W653" s="6"/>
      <c r="X653" s="6"/>
      <c r="Y653" s="6"/>
      <c r="Z653" s="6"/>
      <c r="AA653" s="6"/>
      <c r="AB653" s="6"/>
      <c r="AC653" s="6"/>
      <c r="AD653" s="6"/>
      <c r="AE653" s="6"/>
    </row>
    <row r="654" spans="22:31" ht="11.25" customHeight="1" x14ac:dyDescent="0.25">
      <c r="V654" s="6"/>
      <c r="W654" s="6"/>
      <c r="X654" s="6"/>
      <c r="Y654" s="6"/>
      <c r="Z654" s="6"/>
      <c r="AA654" s="6"/>
      <c r="AB654" s="6"/>
      <c r="AC654" s="6"/>
      <c r="AD654" s="6"/>
      <c r="AE654" s="6"/>
    </row>
    <row r="655" spans="22:31" ht="11.25" customHeight="1" x14ac:dyDescent="0.25">
      <c r="V655" s="6"/>
      <c r="W655" s="6"/>
      <c r="X655" s="6"/>
      <c r="Y655" s="6"/>
      <c r="Z655" s="6"/>
      <c r="AA655" s="6"/>
      <c r="AB655" s="6"/>
      <c r="AC655" s="6"/>
      <c r="AD655" s="6"/>
      <c r="AE655" s="6"/>
    </row>
    <row r="656" spans="22:31" ht="11.25" customHeight="1" x14ac:dyDescent="0.25">
      <c r="V656" s="6"/>
      <c r="W656" s="6"/>
      <c r="X656" s="6"/>
      <c r="Y656" s="6"/>
      <c r="Z656" s="6"/>
      <c r="AA656" s="6"/>
      <c r="AB656" s="6"/>
      <c r="AC656" s="6"/>
      <c r="AD656" s="6"/>
      <c r="AE656" s="6"/>
    </row>
    <row r="657" spans="22:31" ht="11.25" customHeight="1" x14ac:dyDescent="0.25">
      <c r="V657" s="6"/>
      <c r="W657" s="6"/>
      <c r="X657" s="6"/>
      <c r="Y657" s="6"/>
      <c r="Z657" s="6"/>
      <c r="AA657" s="6"/>
      <c r="AB657" s="6"/>
      <c r="AC657" s="6"/>
      <c r="AD657" s="6"/>
      <c r="AE657" s="6"/>
    </row>
    <row r="658" spans="22:31" ht="11.25" customHeight="1" x14ac:dyDescent="0.25">
      <c r="V658" s="6"/>
      <c r="W658" s="6"/>
      <c r="X658" s="6"/>
      <c r="Y658" s="6"/>
      <c r="Z658" s="6"/>
      <c r="AA658" s="6"/>
      <c r="AB658" s="6"/>
      <c r="AC658" s="6"/>
      <c r="AD658" s="6"/>
      <c r="AE658" s="6"/>
    </row>
    <row r="659" spans="22:31" ht="11.25" customHeight="1" x14ac:dyDescent="0.25">
      <c r="V659" s="6"/>
      <c r="W659" s="6"/>
      <c r="X659" s="6"/>
      <c r="Y659" s="6"/>
      <c r="Z659" s="6"/>
      <c r="AA659" s="6"/>
      <c r="AB659" s="6"/>
      <c r="AC659" s="6"/>
      <c r="AD659" s="6"/>
      <c r="AE659" s="6"/>
    </row>
    <row r="660" spans="22:31" ht="11.25" customHeight="1" x14ac:dyDescent="0.25">
      <c r="V660" s="6"/>
      <c r="W660" s="6"/>
      <c r="X660" s="6"/>
      <c r="Y660" s="6"/>
      <c r="Z660" s="6"/>
      <c r="AA660" s="6"/>
      <c r="AB660" s="6"/>
      <c r="AC660" s="6"/>
      <c r="AD660" s="6"/>
      <c r="AE660" s="6"/>
    </row>
    <row r="661" spans="22:31" ht="11.25" customHeight="1" x14ac:dyDescent="0.25">
      <c r="V661" s="6"/>
      <c r="W661" s="6"/>
      <c r="X661" s="6"/>
      <c r="Y661" s="6"/>
      <c r="Z661" s="6"/>
      <c r="AA661" s="6"/>
      <c r="AB661" s="6"/>
      <c r="AC661" s="6"/>
      <c r="AD661" s="6"/>
      <c r="AE661" s="6"/>
    </row>
    <row r="662" spans="22:31" ht="11.25" customHeight="1" x14ac:dyDescent="0.25">
      <c r="V662" s="6"/>
      <c r="W662" s="6"/>
      <c r="X662" s="6"/>
      <c r="Y662" s="6"/>
      <c r="Z662" s="6"/>
      <c r="AA662" s="6"/>
      <c r="AB662" s="6"/>
      <c r="AC662" s="6"/>
      <c r="AD662" s="6"/>
      <c r="AE662" s="6"/>
    </row>
    <row r="663" spans="22:31" ht="11.25" customHeight="1" x14ac:dyDescent="0.25">
      <c r="V663" s="6"/>
      <c r="W663" s="6"/>
      <c r="X663" s="6"/>
      <c r="Y663" s="6"/>
      <c r="Z663" s="6"/>
      <c r="AA663" s="6"/>
      <c r="AB663" s="6"/>
      <c r="AC663" s="6"/>
      <c r="AD663" s="6"/>
      <c r="AE663" s="6"/>
    </row>
    <row r="664" spans="22:31" ht="11.25" customHeight="1" x14ac:dyDescent="0.25">
      <c r="V664" s="6"/>
      <c r="W664" s="6"/>
      <c r="X664" s="6"/>
      <c r="Y664" s="6"/>
      <c r="Z664" s="6"/>
      <c r="AA664" s="6"/>
      <c r="AB664" s="6"/>
      <c r="AC664" s="6"/>
      <c r="AD664" s="6"/>
      <c r="AE664" s="6"/>
    </row>
    <row r="665" spans="22:31" ht="11.25" customHeight="1" x14ac:dyDescent="0.25">
      <c r="V665" s="6"/>
      <c r="W665" s="6"/>
      <c r="X665" s="6"/>
      <c r="Y665" s="6"/>
      <c r="Z665" s="6"/>
      <c r="AA665" s="6"/>
      <c r="AB665" s="6"/>
      <c r="AC665" s="6"/>
      <c r="AD665" s="6"/>
      <c r="AE665" s="6"/>
    </row>
    <row r="666" spans="22:31" ht="11.25" customHeight="1" x14ac:dyDescent="0.25">
      <c r="V666" s="6"/>
      <c r="W666" s="6"/>
      <c r="X666" s="6"/>
      <c r="Y666" s="6"/>
      <c r="Z666" s="6"/>
      <c r="AA666" s="6"/>
      <c r="AB666" s="6"/>
      <c r="AC666" s="6"/>
      <c r="AD666" s="6"/>
      <c r="AE666" s="6"/>
    </row>
    <row r="667" spans="22:31" ht="11.25" customHeight="1" x14ac:dyDescent="0.25">
      <c r="V667" s="6"/>
      <c r="W667" s="6"/>
      <c r="X667" s="6"/>
      <c r="Y667" s="6"/>
      <c r="Z667" s="6"/>
      <c r="AA667" s="6"/>
      <c r="AB667" s="6"/>
      <c r="AC667" s="6"/>
      <c r="AD667" s="6"/>
      <c r="AE667" s="6"/>
    </row>
    <row r="668" spans="22:31" ht="11.25" customHeight="1" x14ac:dyDescent="0.25">
      <c r="V668" s="6"/>
      <c r="W668" s="6"/>
      <c r="X668" s="6"/>
      <c r="Y668" s="6"/>
      <c r="Z668" s="6"/>
      <c r="AA668" s="6"/>
      <c r="AB668" s="6"/>
      <c r="AC668" s="6"/>
      <c r="AD668" s="6"/>
      <c r="AE668" s="6"/>
    </row>
    <row r="669" spans="22:31" ht="11.25" customHeight="1" x14ac:dyDescent="0.25">
      <c r="V669" s="6"/>
      <c r="W669" s="6"/>
      <c r="X669" s="6"/>
      <c r="Y669" s="6"/>
      <c r="Z669" s="6"/>
      <c r="AA669" s="6"/>
      <c r="AB669" s="6"/>
      <c r="AC669" s="6"/>
      <c r="AD669" s="6"/>
      <c r="AE669" s="6"/>
    </row>
    <row r="670" spans="22:31" ht="11.25" customHeight="1" x14ac:dyDescent="0.25">
      <c r="V670" s="6"/>
      <c r="W670" s="6"/>
      <c r="X670" s="6"/>
      <c r="Y670" s="6"/>
      <c r="Z670" s="6"/>
      <c r="AA670" s="6"/>
      <c r="AB670" s="6"/>
      <c r="AC670" s="6"/>
      <c r="AD670" s="6"/>
      <c r="AE670" s="6"/>
    </row>
    <row r="671" spans="22:31" ht="11.25" customHeight="1" x14ac:dyDescent="0.25">
      <c r="V671" s="6"/>
      <c r="W671" s="6"/>
      <c r="X671" s="6"/>
      <c r="Y671" s="6"/>
      <c r="Z671" s="6"/>
      <c r="AA671" s="6"/>
      <c r="AB671" s="6"/>
      <c r="AC671" s="6"/>
      <c r="AD671" s="6"/>
      <c r="AE671" s="6"/>
    </row>
    <row r="672" spans="22:31" ht="11.25" customHeight="1" x14ac:dyDescent="0.25">
      <c r="V672" s="6"/>
      <c r="W672" s="6"/>
      <c r="X672" s="6"/>
      <c r="Y672" s="6"/>
      <c r="Z672" s="6"/>
      <c r="AA672" s="6"/>
      <c r="AB672" s="6"/>
      <c r="AC672" s="6"/>
      <c r="AD672" s="6"/>
      <c r="AE672" s="6"/>
    </row>
    <row r="673" spans="22:31" ht="11.25" customHeight="1" x14ac:dyDescent="0.25">
      <c r="V673" s="6"/>
      <c r="W673" s="6"/>
      <c r="X673" s="6"/>
      <c r="Y673" s="6"/>
      <c r="Z673" s="6"/>
      <c r="AA673" s="6"/>
      <c r="AB673" s="6"/>
      <c r="AC673" s="6"/>
      <c r="AD673" s="6"/>
      <c r="AE673" s="6"/>
    </row>
    <row r="674" spans="22:31" ht="11.25" customHeight="1" x14ac:dyDescent="0.25">
      <c r="V674" s="6"/>
      <c r="W674" s="6"/>
      <c r="X674" s="6"/>
      <c r="Y674" s="6"/>
      <c r="Z674" s="6"/>
      <c r="AA674" s="6"/>
      <c r="AB674" s="6"/>
      <c r="AC674" s="6"/>
      <c r="AD674" s="6"/>
      <c r="AE674" s="6"/>
    </row>
    <row r="675" spans="22:31" ht="11.25" customHeight="1" x14ac:dyDescent="0.25">
      <c r="V675" s="6"/>
      <c r="W675" s="6"/>
      <c r="X675" s="6"/>
      <c r="Y675" s="6"/>
      <c r="Z675" s="6"/>
      <c r="AA675" s="6"/>
      <c r="AB675" s="6"/>
      <c r="AC675" s="6"/>
      <c r="AD675" s="6"/>
      <c r="AE675" s="6"/>
    </row>
    <row r="676" spans="22:31" ht="11.25" customHeight="1" x14ac:dyDescent="0.25">
      <c r="V676" s="6"/>
      <c r="W676" s="6"/>
      <c r="X676" s="6"/>
      <c r="Y676" s="6"/>
      <c r="Z676" s="6"/>
      <c r="AA676" s="6"/>
      <c r="AB676" s="6"/>
      <c r="AC676" s="6"/>
      <c r="AD676" s="6"/>
      <c r="AE676" s="6"/>
    </row>
    <row r="677" spans="22:31" ht="11.25" customHeight="1" x14ac:dyDescent="0.25">
      <c r="V677" s="6"/>
      <c r="W677" s="6"/>
      <c r="X677" s="6"/>
      <c r="Y677" s="6"/>
      <c r="Z677" s="6"/>
      <c r="AA677" s="6"/>
      <c r="AB677" s="6"/>
      <c r="AC677" s="6"/>
      <c r="AD677" s="6"/>
      <c r="AE677" s="6"/>
    </row>
    <row r="678" spans="22:31" ht="11.25" customHeight="1" x14ac:dyDescent="0.25">
      <c r="V678" s="6"/>
      <c r="W678" s="6"/>
      <c r="X678" s="6"/>
      <c r="Y678" s="6"/>
      <c r="Z678" s="6"/>
      <c r="AA678" s="6"/>
      <c r="AB678" s="6"/>
      <c r="AC678" s="6"/>
      <c r="AD678" s="6"/>
      <c r="AE678" s="6"/>
    </row>
    <row r="679" spans="22:31" ht="11.25" customHeight="1" x14ac:dyDescent="0.25">
      <c r="V679" s="6"/>
      <c r="W679" s="6"/>
      <c r="X679" s="6"/>
      <c r="Y679" s="6"/>
      <c r="Z679" s="6"/>
      <c r="AA679" s="6"/>
      <c r="AB679" s="6"/>
      <c r="AC679" s="6"/>
      <c r="AD679" s="6"/>
      <c r="AE679" s="6"/>
    </row>
    <row r="680" spans="22:31" ht="11.25" customHeight="1" x14ac:dyDescent="0.25">
      <c r="V680" s="6"/>
      <c r="W680" s="6"/>
      <c r="X680" s="6"/>
      <c r="Y680" s="6"/>
      <c r="Z680" s="6"/>
      <c r="AA680" s="6"/>
      <c r="AB680" s="6"/>
      <c r="AC680" s="6"/>
      <c r="AD680" s="6"/>
      <c r="AE680" s="6"/>
    </row>
    <row r="681" spans="22:31" ht="11.25" customHeight="1" x14ac:dyDescent="0.25">
      <c r="V681" s="6"/>
      <c r="W681" s="6"/>
      <c r="X681" s="6"/>
      <c r="Y681" s="6"/>
      <c r="Z681" s="6"/>
      <c r="AA681" s="6"/>
      <c r="AB681" s="6"/>
      <c r="AC681" s="6"/>
      <c r="AD681" s="6"/>
      <c r="AE681" s="6"/>
    </row>
    <row r="682" spans="22:31" ht="11.25" customHeight="1" x14ac:dyDescent="0.25">
      <c r="V682" s="6"/>
      <c r="W682" s="6"/>
      <c r="X682" s="6"/>
      <c r="Y682" s="6"/>
      <c r="Z682" s="6"/>
      <c r="AA682" s="6"/>
      <c r="AB682" s="6"/>
      <c r="AC682" s="6"/>
      <c r="AD682" s="6"/>
      <c r="AE682" s="6"/>
    </row>
    <row r="683" spans="22:31" ht="11.25" customHeight="1" x14ac:dyDescent="0.25">
      <c r="V683" s="6"/>
      <c r="W683" s="6"/>
      <c r="X683" s="6"/>
      <c r="Y683" s="6"/>
      <c r="Z683" s="6"/>
      <c r="AA683" s="6"/>
      <c r="AB683" s="6"/>
      <c r="AC683" s="6"/>
      <c r="AD683" s="6"/>
      <c r="AE683" s="6"/>
    </row>
    <row r="684" spans="22:31" ht="11.25" customHeight="1" x14ac:dyDescent="0.25">
      <c r="V684" s="6"/>
      <c r="W684" s="6"/>
      <c r="X684" s="6"/>
      <c r="Y684" s="6"/>
      <c r="Z684" s="6"/>
      <c r="AA684" s="6"/>
      <c r="AB684" s="6"/>
      <c r="AC684" s="6"/>
      <c r="AD684" s="6"/>
      <c r="AE684" s="6"/>
    </row>
    <row r="685" spans="22:31" ht="11.25" customHeight="1" x14ac:dyDescent="0.25">
      <c r="V685" s="6"/>
      <c r="W685" s="6"/>
      <c r="X685" s="6"/>
      <c r="Y685" s="6"/>
      <c r="Z685" s="6"/>
      <c r="AA685" s="6"/>
      <c r="AB685" s="6"/>
      <c r="AC685" s="6"/>
      <c r="AD685" s="6"/>
      <c r="AE685" s="6"/>
    </row>
    <row r="686" spans="22:31" ht="11.25" customHeight="1" x14ac:dyDescent="0.25">
      <c r="V686" s="6"/>
      <c r="W686" s="6"/>
      <c r="X686" s="6"/>
      <c r="Y686" s="6"/>
      <c r="Z686" s="6"/>
      <c r="AA686" s="6"/>
      <c r="AB686" s="6"/>
      <c r="AC686" s="6"/>
      <c r="AD686" s="6"/>
      <c r="AE686" s="6"/>
    </row>
    <row r="687" spans="22:31" ht="11.25" customHeight="1" x14ac:dyDescent="0.25">
      <c r="V687" s="6"/>
      <c r="W687" s="6"/>
      <c r="X687" s="6"/>
      <c r="Y687" s="6"/>
      <c r="Z687" s="6"/>
      <c r="AA687" s="6"/>
      <c r="AB687" s="6"/>
      <c r="AC687" s="6"/>
      <c r="AD687" s="6"/>
      <c r="AE687" s="6"/>
    </row>
    <row r="688" spans="22:31" ht="11.25" customHeight="1" x14ac:dyDescent="0.25">
      <c r="V688" s="6"/>
      <c r="W688" s="6"/>
      <c r="X688" s="6"/>
      <c r="Y688" s="6"/>
      <c r="Z688" s="6"/>
      <c r="AA688" s="6"/>
      <c r="AB688" s="6"/>
      <c r="AC688" s="6"/>
      <c r="AD688" s="6"/>
      <c r="AE688" s="6"/>
    </row>
    <row r="689" spans="22:31" ht="11.25" customHeight="1" x14ac:dyDescent="0.25">
      <c r="V689" s="6"/>
      <c r="W689" s="6"/>
      <c r="X689" s="6"/>
      <c r="Y689" s="6"/>
      <c r="Z689" s="6"/>
      <c r="AA689" s="6"/>
      <c r="AB689" s="6"/>
      <c r="AC689" s="6"/>
      <c r="AD689" s="6"/>
      <c r="AE689" s="6"/>
    </row>
    <row r="690" spans="22:31" ht="11.25" customHeight="1" x14ac:dyDescent="0.25">
      <c r="V690" s="6"/>
      <c r="W690" s="6"/>
      <c r="X690" s="6"/>
      <c r="Y690" s="6"/>
      <c r="Z690" s="6"/>
      <c r="AA690" s="6"/>
      <c r="AB690" s="6"/>
      <c r="AC690" s="6"/>
      <c r="AD690" s="6"/>
      <c r="AE690" s="6"/>
    </row>
    <row r="691" spans="22:31" ht="11.25" customHeight="1" x14ac:dyDescent="0.25">
      <c r="V691" s="6"/>
      <c r="W691" s="6"/>
      <c r="X691" s="6"/>
      <c r="Y691" s="6"/>
      <c r="Z691" s="6"/>
      <c r="AA691" s="6"/>
      <c r="AB691" s="6"/>
      <c r="AC691" s="6"/>
      <c r="AD691" s="6"/>
      <c r="AE691" s="6"/>
    </row>
    <row r="692" spans="22:31" ht="11.25" customHeight="1" x14ac:dyDescent="0.25">
      <c r="V692" s="6"/>
      <c r="W692" s="6"/>
      <c r="X692" s="6"/>
      <c r="Y692" s="6"/>
      <c r="Z692" s="6"/>
      <c r="AA692" s="6"/>
      <c r="AB692" s="6"/>
      <c r="AC692" s="6"/>
      <c r="AD692" s="6"/>
      <c r="AE692" s="6"/>
    </row>
    <row r="693" spans="22:31" ht="11.25" customHeight="1" x14ac:dyDescent="0.25">
      <c r="V693" s="6"/>
      <c r="W693" s="6"/>
      <c r="X693" s="6"/>
      <c r="Y693" s="6"/>
      <c r="Z693" s="6"/>
      <c r="AA693" s="6"/>
      <c r="AB693" s="6"/>
      <c r="AC693" s="6"/>
      <c r="AD693" s="6"/>
      <c r="AE693" s="6"/>
    </row>
    <row r="694" spans="22:31" ht="11.25" customHeight="1" x14ac:dyDescent="0.25">
      <c r="V694" s="6"/>
      <c r="W694" s="6"/>
      <c r="X694" s="6"/>
      <c r="Y694" s="6"/>
      <c r="Z694" s="6"/>
      <c r="AA694" s="6"/>
      <c r="AB694" s="6"/>
      <c r="AC694" s="6"/>
      <c r="AD694" s="6"/>
      <c r="AE694" s="6"/>
    </row>
    <row r="695" spans="22:31" ht="11.25" customHeight="1" x14ac:dyDescent="0.25">
      <c r="V695" s="6"/>
      <c r="W695" s="6"/>
      <c r="X695" s="6"/>
      <c r="Y695" s="6"/>
      <c r="Z695" s="6"/>
      <c r="AA695" s="6"/>
      <c r="AB695" s="6"/>
      <c r="AC695" s="6"/>
      <c r="AD695" s="6"/>
      <c r="AE695" s="6"/>
    </row>
    <row r="696" spans="22:31" ht="11.25" customHeight="1" x14ac:dyDescent="0.25">
      <c r="V696" s="6"/>
      <c r="W696" s="6"/>
      <c r="X696" s="6"/>
      <c r="Y696" s="6"/>
      <c r="Z696" s="6"/>
      <c r="AA696" s="6"/>
      <c r="AB696" s="6"/>
      <c r="AC696" s="6"/>
      <c r="AD696" s="6"/>
      <c r="AE696" s="6"/>
    </row>
    <row r="697" spans="22:31" ht="11.25" customHeight="1" x14ac:dyDescent="0.25">
      <c r="V697" s="6"/>
      <c r="W697" s="6"/>
      <c r="X697" s="6"/>
      <c r="Y697" s="6"/>
      <c r="Z697" s="6"/>
      <c r="AA697" s="6"/>
      <c r="AB697" s="6"/>
      <c r="AC697" s="6"/>
      <c r="AD697" s="6"/>
      <c r="AE697" s="6"/>
    </row>
    <row r="698" spans="22:31" ht="11.25" customHeight="1" x14ac:dyDescent="0.25">
      <c r="V698" s="6"/>
      <c r="W698" s="6"/>
      <c r="X698" s="6"/>
      <c r="Y698" s="6"/>
      <c r="Z698" s="6"/>
      <c r="AA698" s="6"/>
      <c r="AB698" s="6"/>
      <c r="AC698" s="6"/>
      <c r="AD698" s="6"/>
      <c r="AE698" s="6"/>
    </row>
    <row r="699" spans="22:31" ht="11.25" customHeight="1" x14ac:dyDescent="0.25">
      <c r="V699" s="6"/>
      <c r="W699" s="6"/>
      <c r="X699" s="6"/>
      <c r="Y699" s="6"/>
      <c r="Z699" s="6"/>
      <c r="AA699" s="6"/>
      <c r="AB699" s="6"/>
      <c r="AC699" s="6"/>
      <c r="AD699" s="6"/>
      <c r="AE699" s="6"/>
    </row>
    <row r="700" spans="22:31" ht="11.25" customHeight="1" x14ac:dyDescent="0.25">
      <c r="V700" s="6"/>
      <c r="W700" s="6"/>
      <c r="X700" s="6"/>
      <c r="Y700" s="6"/>
      <c r="Z700" s="6"/>
      <c r="AA700" s="6"/>
      <c r="AB700" s="6"/>
      <c r="AC700" s="6"/>
      <c r="AD700" s="6"/>
      <c r="AE700" s="6"/>
    </row>
    <row r="701" spans="22:31" ht="11.25" customHeight="1" x14ac:dyDescent="0.25">
      <c r="V701" s="6"/>
      <c r="W701" s="6"/>
      <c r="X701" s="6"/>
      <c r="Y701" s="6"/>
      <c r="Z701" s="6"/>
      <c r="AA701" s="6"/>
      <c r="AB701" s="6"/>
      <c r="AC701" s="6"/>
      <c r="AD701" s="6"/>
      <c r="AE701" s="6"/>
    </row>
    <row r="702" spans="22:31" ht="11.25" customHeight="1" x14ac:dyDescent="0.25">
      <c r="V702" s="6"/>
      <c r="W702" s="6"/>
      <c r="X702" s="6"/>
      <c r="Y702" s="6"/>
      <c r="Z702" s="6"/>
      <c r="AA702" s="6"/>
      <c r="AB702" s="6"/>
      <c r="AC702" s="6"/>
      <c r="AD702" s="6"/>
      <c r="AE702" s="6"/>
    </row>
    <row r="703" spans="22:31" ht="11.25" customHeight="1" x14ac:dyDescent="0.25">
      <c r="V703" s="6"/>
      <c r="W703" s="6"/>
      <c r="X703" s="6"/>
      <c r="Y703" s="6"/>
      <c r="Z703" s="6"/>
      <c r="AA703" s="6"/>
      <c r="AB703" s="6"/>
      <c r="AC703" s="6"/>
      <c r="AD703" s="6"/>
      <c r="AE703" s="6"/>
    </row>
    <row r="704" spans="22:31" ht="11.25" customHeight="1" x14ac:dyDescent="0.25">
      <c r="V704" s="6"/>
      <c r="W704" s="6"/>
      <c r="X704" s="6"/>
      <c r="Y704" s="6"/>
      <c r="Z704" s="6"/>
      <c r="AA704" s="6"/>
      <c r="AB704" s="6"/>
      <c r="AC704" s="6"/>
      <c r="AD704" s="6"/>
      <c r="AE704" s="6"/>
    </row>
    <row r="705" spans="22:31" ht="11.25" customHeight="1" x14ac:dyDescent="0.25">
      <c r="V705" s="6"/>
      <c r="W705" s="6"/>
      <c r="X705" s="6"/>
      <c r="Y705" s="6"/>
      <c r="Z705" s="6"/>
      <c r="AA705" s="6"/>
      <c r="AB705" s="6"/>
      <c r="AC705" s="6"/>
      <c r="AD705" s="6"/>
      <c r="AE705" s="6"/>
    </row>
    <row r="706" spans="22:31" ht="11.25" customHeight="1" x14ac:dyDescent="0.25">
      <c r="V706" s="6"/>
      <c r="W706" s="6"/>
      <c r="X706" s="6"/>
      <c r="Y706" s="6"/>
      <c r="Z706" s="6"/>
      <c r="AA706" s="6"/>
      <c r="AB706" s="6"/>
      <c r="AC706" s="6"/>
      <c r="AD706" s="6"/>
      <c r="AE706" s="6"/>
    </row>
    <row r="707" spans="22:31" ht="11.25" customHeight="1" x14ac:dyDescent="0.25">
      <c r="V707" s="6"/>
      <c r="W707" s="6"/>
      <c r="X707" s="6"/>
      <c r="Y707" s="6"/>
      <c r="Z707" s="6"/>
      <c r="AA707" s="6"/>
      <c r="AB707" s="6"/>
      <c r="AC707" s="6"/>
      <c r="AD707" s="6"/>
      <c r="AE707" s="6"/>
    </row>
    <row r="708" spans="22:31" ht="11.25" customHeight="1" x14ac:dyDescent="0.25">
      <c r="V708" s="6"/>
      <c r="W708" s="6"/>
      <c r="X708" s="6"/>
      <c r="Y708" s="6"/>
      <c r="Z708" s="6"/>
      <c r="AA708" s="6"/>
      <c r="AB708" s="6"/>
      <c r="AC708" s="6"/>
      <c r="AD708" s="6"/>
      <c r="AE708" s="6"/>
    </row>
    <row r="709" spans="22:31" ht="11.25" customHeight="1" x14ac:dyDescent="0.25">
      <c r="V709" s="6"/>
      <c r="W709" s="6"/>
      <c r="X709" s="6"/>
      <c r="Y709" s="6"/>
      <c r="Z709" s="6"/>
      <c r="AA709" s="6"/>
      <c r="AB709" s="6"/>
      <c r="AC709" s="6"/>
      <c r="AD709" s="6"/>
      <c r="AE709" s="6"/>
    </row>
    <row r="710" spans="22:31" ht="11.25" customHeight="1" x14ac:dyDescent="0.25">
      <c r="V710" s="6"/>
      <c r="W710" s="6"/>
      <c r="X710" s="6"/>
      <c r="Y710" s="6"/>
      <c r="Z710" s="6"/>
      <c r="AA710" s="6"/>
      <c r="AB710" s="6"/>
      <c r="AC710" s="6"/>
      <c r="AD710" s="6"/>
      <c r="AE710" s="6"/>
    </row>
    <row r="711" spans="22:31" ht="11.25" customHeight="1" x14ac:dyDescent="0.25">
      <c r="V711" s="6"/>
      <c r="W711" s="6"/>
      <c r="X711" s="6"/>
      <c r="Y711" s="6"/>
      <c r="Z711" s="6"/>
      <c r="AA711" s="6"/>
      <c r="AB711" s="6"/>
      <c r="AC711" s="6"/>
      <c r="AD711" s="6"/>
      <c r="AE711" s="6"/>
    </row>
    <row r="712" spans="22:31" ht="11.25" customHeight="1" x14ac:dyDescent="0.25">
      <c r="V712" s="6"/>
      <c r="W712" s="6"/>
      <c r="X712" s="6"/>
      <c r="Y712" s="6"/>
      <c r="Z712" s="6"/>
      <c r="AA712" s="6"/>
      <c r="AB712" s="6"/>
      <c r="AC712" s="6"/>
      <c r="AD712" s="6"/>
      <c r="AE712" s="6"/>
    </row>
    <row r="713" spans="22:31" ht="11.25" customHeight="1" x14ac:dyDescent="0.25">
      <c r="V713" s="6"/>
      <c r="W713" s="6"/>
      <c r="X713" s="6"/>
      <c r="Y713" s="6"/>
      <c r="Z713" s="6"/>
      <c r="AA713" s="6"/>
      <c r="AB713" s="6"/>
      <c r="AC713" s="6"/>
      <c r="AD713" s="6"/>
      <c r="AE713" s="6"/>
    </row>
    <row r="714" spans="22:31" ht="11.25" customHeight="1" x14ac:dyDescent="0.25">
      <c r="V714" s="6"/>
      <c r="W714" s="6"/>
      <c r="X714" s="6"/>
      <c r="Y714" s="6"/>
      <c r="Z714" s="6"/>
      <c r="AA714" s="6"/>
      <c r="AB714" s="6"/>
      <c r="AC714" s="6"/>
      <c r="AD714" s="6"/>
      <c r="AE714" s="6"/>
    </row>
    <row r="715" spans="22:31" ht="11.25" customHeight="1" x14ac:dyDescent="0.25">
      <c r="V715" s="6"/>
      <c r="W715" s="6"/>
      <c r="X715" s="6"/>
      <c r="Y715" s="6"/>
      <c r="Z715" s="6"/>
      <c r="AA715" s="6"/>
      <c r="AB715" s="6"/>
      <c r="AC715" s="6"/>
      <c r="AD715" s="6"/>
      <c r="AE715" s="6"/>
    </row>
    <row r="716" spans="22:31" ht="11.25" customHeight="1" x14ac:dyDescent="0.25">
      <c r="V716" s="6"/>
      <c r="W716" s="6"/>
      <c r="X716" s="6"/>
      <c r="Y716" s="6"/>
      <c r="Z716" s="6"/>
      <c r="AA716" s="6"/>
      <c r="AB716" s="6"/>
      <c r="AC716" s="6"/>
      <c r="AD716" s="6"/>
      <c r="AE716" s="6"/>
    </row>
    <row r="717" spans="22:31" ht="11.25" customHeight="1" x14ac:dyDescent="0.25">
      <c r="V717" s="6"/>
      <c r="W717" s="6"/>
      <c r="X717" s="6"/>
      <c r="Y717" s="6"/>
      <c r="Z717" s="6"/>
      <c r="AA717" s="6"/>
      <c r="AB717" s="6"/>
      <c r="AC717" s="6"/>
      <c r="AD717" s="6"/>
      <c r="AE717" s="6"/>
    </row>
    <row r="718" spans="22:31" ht="11.25" customHeight="1" x14ac:dyDescent="0.25">
      <c r="V718" s="6"/>
      <c r="W718" s="6"/>
      <c r="X718" s="6"/>
      <c r="Y718" s="6"/>
      <c r="Z718" s="6"/>
      <c r="AA718" s="6"/>
      <c r="AB718" s="6"/>
      <c r="AC718" s="6"/>
      <c r="AD718" s="6"/>
      <c r="AE718" s="6"/>
    </row>
    <row r="719" spans="22:31" ht="11.25" customHeight="1" x14ac:dyDescent="0.25">
      <c r="V719" s="6"/>
      <c r="W719" s="6"/>
      <c r="X719" s="6"/>
      <c r="Y719" s="6"/>
      <c r="Z719" s="6"/>
      <c r="AA719" s="6"/>
      <c r="AB719" s="6"/>
      <c r="AC719" s="6"/>
      <c r="AD719" s="6"/>
      <c r="AE719" s="6"/>
    </row>
    <row r="720" spans="22:31" ht="11.25" customHeight="1" x14ac:dyDescent="0.25">
      <c r="V720" s="6"/>
      <c r="W720" s="6"/>
      <c r="X720" s="6"/>
      <c r="Y720" s="6"/>
      <c r="Z720" s="6"/>
      <c r="AA720" s="6"/>
      <c r="AB720" s="6"/>
      <c r="AC720" s="6"/>
      <c r="AD720" s="6"/>
      <c r="AE720" s="6"/>
    </row>
    <row r="721" spans="22:31" ht="11.25" customHeight="1" x14ac:dyDescent="0.25">
      <c r="V721" s="6"/>
      <c r="W721" s="6"/>
      <c r="X721" s="6"/>
      <c r="Y721" s="6"/>
      <c r="Z721" s="6"/>
      <c r="AA721" s="6"/>
      <c r="AB721" s="6"/>
      <c r="AC721" s="6"/>
      <c r="AD721" s="6"/>
      <c r="AE721" s="6"/>
    </row>
    <row r="722" spans="22:31" ht="11.25" customHeight="1" x14ac:dyDescent="0.25">
      <c r="V722" s="6"/>
      <c r="W722" s="6"/>
      <c r="X722" s="6"/>
      <c r="Y722" s="6"/>
      <c r="Z722" s="6"/>
      <c r="AA722" s="6"/>
      <c r="AB722" s="6"/>
      <c r="AC722" s="6"/>
      <c r="AD722" s="6"/>
      <c r="AE722" s="6"/>
    </row>
    <row r="723" spans="22:31" ht="11.25" customHeight="1" x14ac:dyDescent="0.25">
      <c r="V723" s="6"/>
      <c r="W723" s="6"/>
      <c r="X723" s="6"/>
      <c r="Y723" s="6"/>
      <c r="Z723" s="6"/>
      <c r="AA723" s="6"/>
      <c r="AB723" s="6"/>
      <c r="AC723" s="6"/>
      <c r="AD723" s="6"/>
      <c r="AE723" s="6"/>
    </row>
    <row r="724" spans="22:31" ht="11.25" customHeight="1" x14ac:dyDescent="0.25">
      <c r="V724" s="6"/>
      <c r="W724" s="6"/>
      <c r="X724" s="6"/>
      <c r="Y724" s="6"/>
      <c r="Z724" s="6"/>
      <c r="AA724" s="6"/>
      <c r="AB724" s="6"/>
      <c r="AC724" s="6"/>
      <c r="AD724" s="6"/>
      <c r="AE724" s="6"/>
    </row>
    <row r="725" spans="22:31" ht="11.25" customHeight="1" x14ac:dyDescent="0.25">
      <c r="V725" s="6"/>
      <c r="W725" s="6"/>
      <c r="X725" s="6"/>
      <c r="Y725" s="6"/>
      <c r="Z725" s="6"/>
      <c r="AA725" s="6"/>
      <c r="AB725" s="6"/>
      <c r="AC725" s="6"/>
      <c r="AD725" s="6"/>
      <c r="AE725" s="6"/>
    </row>
    <row r="726" spans="22:31" ht="11.25" customHeight="1" x14ac:dyDescent="0.25">
      <c r="V726" s="6"/>
      <c r="W726" s="6"/>
      <c r="X726" s="6"/>
      <c r="Y726" s="6"/>
      <c r="Z726" s="6"/>
      <c r="AA726" s="6"/>
      <c r="AB726" s="6"/>
      <c r="AC726" s="6"/>
      <c r="AD726" s="6"/>
      <c r="AE726" s="6"/>
    </row>
    <row r="727" spans="22:31" ht="11.25" customHeight="1" x14ac:dyDescent="0.25">
      <c r="V727" s="6"/>
      <c r="W727" s="6"/>
      <c r="X727" s="6"/>
      <c r="Y727" s="6"/>
      <c r="Z727" s="6"/>
      <c r="AA727" s="6"/>
      <c r="AB727" s="6"/>
      <c r="AC727" s="6"/>
      <c r="AD727" s="6"/>
      <c r="AE727" s="6"/>
    </row>
    <row r="728" spans="22:31" ht="11.25" customHeight="1" x14ac:dyDescent="0.25">
      <c r="V728" s="6"/>
      <c r="W728" s="6"/>
      <c r="X728" s="6"/>
      <c r="Y728" s="6"/>
      <c r="Z728" s="6"/>
      <c r="AA728" s="6"/>
      <c r="AB728" s="6"/>
      <c r="AC728" s="6"/>
      <c r="AD728" s="6"/>
      <c r="AE728" s="6"/>
    </row>
    <row r="729" spans="22:31" ht="11.25" customHeight="1" x14ac:dyDescent="0.25">
      <c r="V729" s="6"/>
      <c r="W729" s="6"/>
      <c r="X729" s="6"/>
      <c r="Y729" s="6"/>
      <c r="Z729" s="6"/>
      <c r="AA729" s="6"/>
      <c r="AB729" s="6"/>
      <c r="AC729" s="6"/>
      <c r="AD729" s="6"/>
      <c r="AE729" s="6"/>
    </row>
    <row r="730" spans="22:31" ht="11.25" customHeight="1" x14ac:dyDescent="0.25">
      <c r="V730" s="6"/>
      <c r="W730" s="6"/>
      <c r="X730" s="6"/>
      <c r="Y730" s="6"/>
      <c r="Z730" s="6"/>
      <c r="AA730" s="6"/>
      <c r="AB730" s="6"/>
      <c r="AC730" s="6"/>
      <c r="AD730" s="6"/>
      <c r="AE730" s="6"/>
    </row>
    <row r="731" spans="22:31" ht="11.25" customHeight="1" x14ac:dyDescent="0.25">
      <c r="V731" s="6"/>
      <c r="W731" s="6"/>
      <c r="X731" s="6"/>
      <c r="Y731" s="6"/>
      <c r="Z731" s="6"/>
      <c r="AA731" s="6"/>
      <c r="AB731" s="6"/>
      <c r="AC731" s="6"/>
      <c r="AD731" s="6"/>
      <c r="AE731" s="6"/>
    </row>
    <row r="732" spans="22:31" ht="11.25" customHeight="1" x14ac:dyDescent="0.25">
      <c r="V732" s="6"/>
      <c r="W732" s="6"/>
      <c r="X732" s="6"/>
      <c r="Y732" s="6"/>
      <c r="Z732" s="6"/>
      <c r="AA732" s="6"/>
      <c r="AB732" s="6"/>
      <c r="AC732" s="6"/>
      <c r="AD732" s="6"/>
      <c r="AE732" s="6"/>
    </row>
    <row r="733" spans="22:31" ht="11.25" customHeight="1" x14ac:dyDescent="0.25">
      <c r="V733" s="6"/>
      <c r="W733" s="6"/>
      <c r="X733" s="6"/>
      <c r="Y733" s="6"/>
      <c r="Z733" s="6"/>
      <c r="AA733" s="6"/>
      <c r="AB733" s="6"/>
      <c r="AC733" s="6"/>
      <c r="AD733" s="6"/>
      <c r="AE733" s="6"/>
    </row>
    <row r="734" spans="22:31" ht="11.25" customHeight="1" x14ac:dyDescent="0.25">
      <c r="V734" s="6"/>
      <c r="W734" s="6"/>
      <c r="X734" s="6"/>
      <c r="Y734" s="6"/>
      <c r="Z734" s="6"/>
      <c r="AA734" s="6"/>
      <c r="AB734" s="6"/>
      <c r="AC734" s="6"/>
      <c r="AD734" s="6"/>
      <c r="AE734" s="6"/>
    </row>
    <row r="735" spans="22:31" ht="11.25" customHeight="1" x14ac:dyDescent="0.25">
      <c r="V735" s="6"/>
      <c r="W735" s="6"/>
      <c r="X735" s="6"/>
      <c r="Y735" s="6"/>
      <c r="Z735" s="6"/>
      <c r="AA735" s="6"/>
      <c r="AB735" s="6"/>
      <c r="AC735" s="6"/>
      <c r="AD735" s="6"/>
      <c r="AE735" s="6"/>
    </row>
    <row r="736" spans="22:31" ht="11.25" customHeight="1" x14ac:dyDescent="0.25">
      <c r="V736" s="6"/>
      <c r="W736" s="6"/>
      <c r="X736" s="6"/>
      <c r="Y736" s="6"/>
      <c r="Z736" s="6"/>
      <c r="AA736" s="6"/>
      <c r="AB736" s="6"/>
      <c r="AC736" s="6"/>
      <c r="AD736" s="6"/>
      <c r="AE736" s="6"/>
    </row>
    <row r="737" spans="22:31" ht="11.25" customHeight="1" x14ac:dyDescent="0.25">
      <c r="V737" s="6"/>
      <c r="W737" s="6"/>
      <c r="X737" s="6"/>
      <c r="Y737" s="6"/>
      <c r="Z737" s="6"/>
      <c r="AA737" s="6"/>
      <c r="AB737" s="6"/>
      <c r="AC737" s="6"/>
      <c r="AD737" s="6"/>
      <c r="AE737" s="6"/>
    </row>
    <row r="738" spans="22:31" ht="11.25" customHeight="1" x14ac:dyDescent="0.25">
      <c r="V738" s="6"/>
      <c r="W738" s="6"/>
      <c r="X738" s="6"/>
      <c r="Y738" s="6"/>
      <c r="Z738" s="6"/>
      <c r="AA738" s="6"/>
      <c r="AB738" s="6"/>
      <c r="AC738" s="6"/>
      <c r="AD738" s="6"/>
      <c r="AE738" s="6"/>
    </row>
    <row r="739" spans="22:31" ht="11.25" customHeight="1" x14ac:dyDescent="0.25">
      <c r="V739" s="6"/>
      <c r="W739" s="6"/>
      <c r="X739" s="6"/>
      <c r="Y739" s="6"/>
      <c r="Z739" s="6"/>
      <c r="AA739" s="6"/>
      <c r="AB739" s="6"/>
      <c r="AC739" s="6"/>
      <c r="AD739" s="6"/>
      <c r="AE739" s="6"/>
    </row>
    <row r="740" spans="22:31" ht="11.25" customHeight="1" x14ac:dyDescent="0.25">
      <c r="V740" s="6"/>
      <c r="W740" s="6"/>
      <c r="X740" s="6"/>
      <c r="Y740" s="6"/>
      <c r="Z740" s="6"/>
      <c r="AA740" s="6"/>
      <c r="AB740" s="6"/>
      <c r="AC740" s="6"/>
      <c r="AD740" s="6"/>
      <c r="AE740" s="6"/>
    </row>
    <row r="741" spans="22:31" ht="11.25" customHeight="1" x14ac:dyDescent="0.25">
      <c r="V741" s="6"/>
      <c r="W741" s="6"/>
      <c r="X741" s="6"/>
      <c r="Y741" s="6"/>
      <c r="Z741" s="6"/>
      <c r="AA741" s="6"/>
      <c r="AB741" s="6"/>
      <c r="AC741" s="6"/>
      <c r="AD741" s="6"/>
      <c r="AE741" s="6"/>
    </row>
    <row r="742" spans="22:31" ht="11.25" customHeight="1" x14ac:dyDescent="0.25">
      <c r="V742" s="6"/>
      <c r="W742" s="6"/>
      <c r="X742" s="6"/>
      <c r="Y742" s="6"/>
      <c r="Z742" s="6"/>
      <c r="AA742" s="6"/>
      <c r="AB742" s="6"/>
      <c r="AC742" s="6"/>
      <c r="AD742" s="6"/>
      <c r="AE742" s="6"/>
    </row>
    <row r="743" spans="22:31" ht="11.25" customHeight="1" x14ac:dyDescent="0.25">
      <c r="V743" s="6"/>
      <c r="W743" s="6"/>
      <c r="X743" s="6"/>
      <c r="Y743" s="6"/>
      <c r="Z743" s="6"/>
      <c r="AA743" s="6"/>
      <c r="AB743" s="6"/>
      <c r="AC743" s="6"/>
      <c r="AD743" s="6"/>
      <c r="AE743" s="6"/>
    </row>
    <row r="744" spans="22:31" ht="11.25" customHeight="1" x14ac:dyDescent="0.25">
      <c r="V744" s="6"/>
      <c r="W744" s="6"/>
      <c r="X744" s="6"/>
      <c r="Y744" s="6"/>
      <c r="Z744" s="6"/>
      <c r="AA744" s="6"/>
      <c r="AB744" s="6"/>
      <c r="AC744" s="6"/>
      <c r="AD744" s="6"/>
      <c r="AE744" s="6"/>
    </row>
    <row r="745" spans="22:31" ht="11.25" customHeight="1" x14ac:dyDescent="0.25">
      <c r="V745" s="6"/>
      <c r="W745" s="6"/>
      <c r="X745" s="6"/>
      <c r="Y745" s="6"/>
      <c r="Z745" s="6"/>
      <c r="AA745" s="6"/>
      <c r="AB745" s="6"/>
      <c r="AC745" s="6"/>
      <c r="AD745" s="6"/>
      <c r="AE745" s="6"/>
    </row>
    <row r="746" spans="22:31" ht="11.25" customHeight="1" x14ac:dyDescent="0.25">
      <c r="V746" s="6"/>
      <c r="W746" s="6"/>
      <c r="X746" s="6"/>
      <c r="Y746" s="6"/>
      <c r="Z746" s="6"/>
      <c r="AA746" s="6"/>
      <c r="AB746" s="6"/>
      <c r="AC746" s="6"/>
      <c r="AD746" s="6"/>
      <c r="AE746" s="6"/>
    </row>
    <row r="747" spans="22:31" ht="11.25" customHeight="1" x14ac:dyDescent="0.25">
      <c r="V747" s="6"/>
      <c r="W747" s="6"/>
      <c r="X747" s="6"/>
      <c r="Y747" s="6"/>
      <c r="Z747" s="6"/>
      <c r="AA747" s="6"/>
      <c r="AB747" s="6"/>
      <c r="AC747" s="6"/>
      <c r="AD747" s="6"/>
      <c r="AE747" s="6"/>
    </row>
    <row r="748" spans="22:31" ht="11.25" customHeight="1" x14ac:dyDescent="0.25">
      <c r="V748" s="6"/>
      <c r="W748" s="6"/>
      <c r="X748" s="6"/>
      <c r="Y748" s="6"/>
      <c r="Z748" s="6"/>
      <c r="AA748" s="6"/>
      <c r="AB748" s="6"/>
      <c r="AC748" s="6"/>
      <c r="AD748" s="6"/>
      <c r="AE748" s="6"/>
    </row>
    <row r="749" spans="22:31" ht="11.25" customHeight="1" x14ac:dyDescent="0.25">
      <c r="V749" s="6"/>
      <c r="W749" s="6"/>
      <c r="X749" s="6"/>
      <c r="Y749" s="6"/>
      <c r="Z749" s="6"/>
      <c r="AA749" s="6"/>
      <c r="AB749" s="6"/>
      <c r="AC749" s="6"/>
      <c r="AD749" s="6"/>
      <c r="AE749" s="6"/>
    </row>
    <row r="750" spans="22:31" ht="11.25" customHeight="1" x14ac:dyDescent="0.25">
      <c r="V750" s="6"/>
      <c r="W750" s="6"/>
      <c r="X750" s="6"/>
      <c r="Y750" s="6"/>
      <c r="Z750" s="6"/>
      <c r="AA750" s="6"/>
      <c r="AB750" s="6"/>
      <c r="AC750" s="6"/>
      <c r="AD750" s="6"/>
      <c r="AE750" s="6"/>
    </row>
    <row r="751" spans="22:31" ht="11.25" customHeight="1" x14ac:dyDescent="0.25">
      <c r="V751" s="6"/>
      <c r="W751" s="6"/>
      <c r="X751" s="6"/>
      <c r="Y751" s="6"/>
      <c r="Z751" s="6"/>
      <c r="AA751" s="6"/>
      <c r="AB751" s="6"/>
      <c r="AC751" s="6"/>
      <c r="AD751" s="6"/>
      <c r="AE751" s="6"/>
    </row>
    <row r="752" spans="22:31" ht="11.25" customHeight="1" x14ac:dyDescent="0.25">
      <c r="V752" s="6"/>
      <c r="W752" s="6"/>
      <c r="X752" s="6"/>
      <c r="Y752" s="6"/>
      <c r="Z752" s="6"/>
      <c r="AA752" s="6"/>
      <c r="AB752" s="6"/>
      <c r="AC752" s="6"/>
      <c r="AD752" s="6"/>
      <c r="AE752" s="6"/>
    </row>
    <row r="753" spans="22:31" ht="11.25" customHeight="1" x14ac:dyDescent="0.25">
      <c r="V753" s="6"/>
      <c r="W753" s="6"/>
      <c r="X753" s="6"/>
      <c r="Y753" s="6"/>
      <c r="Z753" s="6"/>
      <c r="AA753" s="6"/>
      <c r="AB753" s="6"/>
      <c r="AC753" s="6"/>
      <c r="AD753" s="6"/>
      <c r="AE753" s="6"/>
    </row>
    <row r="754" spans="22:31" ht="11.25" customHeight="1" x14ac:dyDescent="0.25">
      <c r="V754" s="6"/>
      <c r="W754" s="6"/>
      <c r="X754" s="6"/>
      <c r="Y754" s="6"/>
      <c r="Z754" s="6"/>
      <c r="AA754" s="6"/>
      <c r="AB754" s="6"/>
      <c r="AC754" s="6"/>
      <c r="AD754" s="6"/>
      <c r="AE754" s="6"/>
    </row>
    <row r="755" spans="22:31" ht="11.25" customHeight="1" x14ac:dyDescent="0.25">
      <c r="V755" s="6"/>
      <c r="W755" s="6"/>
      <c r="X755" s="6"/>
      <c r="Y755" s="6"/>
      <c r="Z755" s="6"/>
      <c r="AA755" s="6"/>
      <c r="AB755" s="6"/>
      <c r="AC755" s="6"/>
      <c r="AD755" s="6"/>
      <c r="AE755" s="6"/>
    </row>
    <row r="756" spans="22:31" ht="11.25" customHeight="1" x14ac:dyDescent="0.25">
      <c r="V756" s="6"/>
      <c r="W756" s="6"/>
      <c r="X756" s="6"/>
      <c r="Y756" s="6"/>
      <c r="Z756" s="6"/>
      <c r="AA756" s="6"/>
      <c r="AB756" s="6"/>
      <c r="AC756" s="6"/>
      <c r="AD756" s="6"/>
      <c r="AE756" s="6"/>
    </row>
    <row r="757" spans="22:31" ht="11.25" customHeight="1" x14ac:dyDescent="0.25">
      <c r="V757" s="6"/>
      <c r="W757" s="6"/>
      <c r="X757" s="6"/>
      <c r="Y757" s="6"/>
      <c r="Z757" s="6"/>
      <c r="AA757" s="6"/>
      <c r="AB757" s="6"/>
      <c r="AC757" s="6"/>
      <c r="AD757" s="6"/>
      <c r="AE757" s="6"/>
    </row>
    <row r="758" spans="22:31" ht="11.25" customHeight="1" x14ac:dyDescent="0.25">
      <c r="V758" s="6"/>
      <c r="W758" s="6"/>
      <c r="X758" s="6"/>
      <c r="Y758" s="6"/>
      <c r="Z758" s="6"/>
      <c r="AA758" s="6"/>
      <c r="AB758" s="6"/>
      <c r="AC758" s="6"/>
      <c r="AD758" s="6"/>
      <c r="AE758" s="6"/>
    </row>
    <row r="759" spans="22:31" ht="11.25" customHeight="1" x14ac:dyDescent="0.25">
      <c r="V759" s="6"/>
      <c r="W759" s="6"/>
      <c r="X759" s="6"/>
      <c r="Y759" s="6"/>
      <c r="Z759" s="6"/>
      <c r="AA759" s="6"/>
      <c r="AB759" s="6"/>
      <c r="AC759" s="6"/>
      <c r="AD759" s="6"/>
      <c r="AE759" s="6"/>
    </row>
    <row r="760" spans="22:31" ht="11.25" customHeight="1" x14ac:dyDescent="0.25">
      <c r="V760" s="6"/>
      <c r="W760" s="6"/>
      <c r="X760" s="6"/>
      <c r="Y760" s="6"/>
      <c r="Z760" s="6"/>
      <c r="AA760" s="6"/>
      <c r="AB760" s="6"/>
      <c r="AC760" s="6"/>
      <c r="AD760" s="6"/>
      <c r="AE760" s="6"/>
    </row>
    <row r="761" spans="22:31" ht="11.25" customHeight="1" x14ac:dyDescent="0.25">
      <c r="V761" s="6"/>
      <c r="W761" s="6"/>
      <c r="X761" s="6"/>
      <c r="Y761" s="6"/>
      <c r="Z761" s="6"/>
      <c r="AA761" s="6"/>
      <c r="AB761" s="6"/>
      <c r="AC761" s="6"/>
      <c r="AD761" s="6"/>
      <c r="AE761" s="6"/>
    </row>
    <row r="762" spans="22:31" ht="11.25" customHeight="1" x14ac:dyDescent="0.25">
      <c r="V762" s="6"/>
      <c r="W762" s="6"/>
      <c r="X762" s="6"/>
      <c r="Y762" s="6"/>
      <c r="Z762" s="6"/>
      <c r="AA762" s="6"/>
      <c r="AB762" s="6"/>
      <c r="AC762" s="6"/>
      <c r="AD762" s="6"/>
      <c r="AE762" s="6"/>
    </row>
    <row r="763" spans="22:31" ht="11.25" customHeight="1" x14ac:dyDescent="0.25">
      <c r="V763" s="6"/>
      <c r="W763" s="6"/>
      <c r="X763" s="6"/>
      <c r="Y763" s="6"/>
      <c r="Z763" s="6"/>
      <c r="AA763" s="6"/>
      <c r="AB763" s="6"/>
      <c r="AC763" s="6"/>
      <c r="AD763" s="6"/>
      <c r="AE763" s="6"/>
    </row>
    <row r="764" spans="22:31" ht="11.25" customHeight="1" x14ac:dyDescent="0.25">
      <c r="V764" s="6"/>
      <c r="W764" s="6"/>
      <c r="X764" s="6"/>
      <c r="Y764" s="6"/>
      <c r="Z764" s="6"/>
      <c r="AA764" s="6"/>
      <c r="AB764" s="6"/>
      <c r="AC764" s="6"/>
      <c r="AD764" s="6"/>
      <c r="AE764" s="6"/>
    </row>
    <row r="765" spans="22:31" ht="11.25" customHeight="1" x14ac:dyDescent="0.25">
      <c r="V765" s="6"/>
      <c r="W765" s="6"/>
      <c r="X765" s="6"/>
      <c r="Y765" s="6"/>
      <c r="Z765" s="6"/>
      <c r="AA765" s="6"/>
      <c r="AB765" s="6"/>
      <c r="AC765" s="6"/>
      <c r="AD765" s="6"/>
      <c r="AE765" s="6"/>
    </row>
    <row r="766" spans="22:31" ht="11.25" customHeight="1" x14ac:dyDescent="0.25">
      <c r="V766" s="6"/>
      <c r="W766" s="6"/>
      <c r="X766" s="6"/>
      <c r="Y766" s="6"/>
      <c r="Z766" s="6"/>
      <c r="AA766" s="6"/>
      <c r="AB766" s="6"/>
      <c r="AC766" s="6"/>
      <c r="AD766" s="6"/>
      <c r="AE766" s="6"/>
    </row>
    <row r="767" spans="22:31" ht="11.25" customHeight="1" x14ac:dyDescent="0.25">
      <c r="V767" s="6"/>
      <c r="W767" s="6"/>
      <c r="X767" s="6"/>
      <c r="Y767" s="6"/>
      <c r="Z767" s="6"/>
      <c r="AA767" s="6"/>
      <c r="AB767" s="6"/>
      <c r="AC767" s="6"/>
      <c r="AD767" s="6"/>
      <c r="AE767" s="6"/>
    </row>
    <row r="768" spans="22:31" ht="11.25" customHeight="1" x14ac:dyDescent="0.25">
      <c r="V768" s="6"/>
      <c r="W768" s="6"/>
      <c r="X768" s="6"/>
      <c r="Y768" s="6"/>
      <c r="Z768" s="6"/>
      <c r="AA768" s="6"/>
      <c r="AB768" s="6"/>
      <c r="AC768" s="6"/>
      <c r="AD768" s="6"/>
      <c r="AE768" s="6"/>
    </row>
    <row r="769" spans="22:31" ht="11.25" customHeight="1" x14ac:dyDescent="0.25">
      <c r="V769" s="6"/>
      <c r="W769" s="6"/>
      <c r="X769" s="6"/>
      <c r="Y769" s="6"/>
      <c r="Z769" s="6"/>
      <c r="AA769" s="6"/>
      <c r="AB769" s="6"/>
      <c r="AC769" s="6"/>
      <c r="AD769" s="6"/>
      <c r="AE769" s="6"/>
    </row>
    <row r="770" spans="22:31" ht="11.25" customHeight="1" x14ac:dyDescent="0.25">
      <c r="V770" s="6"/>
      <c r="W770" s="6"/>
      <c r="X770" s="6"/>
      <c r="Y770" s="6"/>
      <c r="Z770" s="6"/>
      <c r="AA770" s="6"/>
      <c r="AB770" s="6"/>
      <c r="AC770" s="6"/>
      <c r="AD770" s="6"/>
      <c r="AE770" s="6"/>
    </row>
    <row r="771" spans="22:31" ht="11.25" customHeight="1" x14ac:dyDescent="0.25">
      <c r="V771" s="6"/>
      <c r="W771" s="6"/>
      <c r="X771" s="6"/>
      <c r="Y771" s="6"/>
      <c r="Z771" s="6"/>
      <c r="AA771" s="6"/>
      <c r="AB771" s="6"/>
      <c r="AC771" s="6"/>
      <c r="AD771" s="6"/>
      <c r="AE771" s="6"/>
    </row>
    <row r="772" spans="22:31" ht="11.25" customHeight="1" x14ac:dyDescent="0.25">
      <c r="V772" s="6"/>
      <c r="W772" s="6"/>
      <c r="X772" s="6"/>
      <c r="Y772" s="6"/>
      <c r="Z772" s="6"/>
      <c r="AA772" s="6"/>
      <c r="AB772" s="6"/>
      <c r="AC772" s="6"/>
      <c r="AD772" s="6"/>
      <c r="AE772" s="6"/>
    </row>
    <row r="773" spans="22:31" ht="11.25" customHeight="1" x14ac:dyDescent="0.25">
      <c r="V773" s="6"/>
      <c r="W773" s="6"/>
      <c r="X773" s="6"/>
      <c r="Y773" s="6"/>
      <c r="Z773" s="6"/>
      <c r="AA773" s="6"/>
      <c r="AB773" s="6"/>
      <c r="AC773" s="6"/>
      <c r="AD773" s="6"/>
      <c r="AE773" s="6"/>
    </row>
    <row r="774" spans="22:31" ht="11.25" customHeight="1" x14ac:dyDescent="0.25">
      <c r="V774" s="6"/>
      <c r="W774" s="6"/>
      <c r="X774" s="6"/>
      <c r="Y774" s="6"/>
      <c r="Z774" s="6"/>
      <c r="AA774" s="6"/>
      <c r="AB774" s="6"/>
      <c r="AC774" s="6"/>
      <c r="AD774" s="6"/>
      <c r="AE774" s="6"/>
    </row>
    <row r="775" spans="22:31" ht="11.25" customHeight="1" x14ac:dyDescent="0.25">
      <c r="V775" s="6"/>
      <c r="W775" s="6"/>
      <c r="X775" s="6"/>
      <c r="Y775" s="6"/>
      <c r="Z775" s="6"/>
      <c r="AA775" s="6"/>
      <c r="AB775" s="6"/>
      <c r="AC775" s="6"/>
      <c r="AD775" s="6"/>
      <c r="AE775" s="6"/>
    </row>
    <row r="776" spans="22:31" ht="11.25" customHeight="1" x14ac:dyDescent="0.25">
      <c r="V776" s="6"/>
      <c r="W776" s="6"/>
      <c r="X776" s="6"/>
      <c r="Y776" s="6"/>
      <c r="Z776" s="6"/>
      <c r="AA776" s="6"/>
      <c r="AB776" s="6"/>
      <c r="AC776" s="6"/>
      <c r="AD776" s="6"/>
      <c r="AE776" s="6"/>
    </row>
    <row r="777" spans="22:31" ht="11.25" customHeight="1" x14ac:dyDescent="0.25">
      <c r="V777" s="6"/>
      <c r="W777" s="6"/>
      <c r="X777" s="6"/>
      <c r="Y777" s="6"/>
      <c r="Z777" s="6"/>
      <c r="AA777" s="6"/>
      <c r="AB777" s="6"/>
      <c r="AC777" s="6"/>
      <c r="AD777" s="6"/>
      <c r="AE777" s="6"/>
    </row>
    <row r="778" spans="22:31" ht="11.25" customHeight="1" x14ac:dyDescent="0.25">
      <c r="V778" s="6"/>
      <c r="W778" s="6"/>
      <c r="X778" s="6"/>
      <c r="Y778" s="6"/>
      <c r="Z778" s="6"/>
      <c r="AA778" s="6"/>
      <c r="AB778" s="6"/>
      <c r="AC778" s="6"/>
      <c r="AD778" s="6"/>
      <c r="AE778" s="6"/>
    </row>
    <row r="779" spans="22:31" ht="11.25" customHeight="1" x14ac:dyDescent="0.25">
      <c r="V779" s="6"/>
      <c r="W779" s="6"/>
      <c r="X779" s="6"/>
      <c r="Y779" s="6"/>
      <c r="Z779" s="6"/>
      <c r="AA779" s="6"/>
      <c r="AB779" s="6"/>
      <c r="AC779" s="6"/>
      <c r="AD779" s="6"/>
      <c r="AE779" s="6"/>
    </row>
    <row r="780" spans="22:31" ht="11.25" customHeight="1" x14ac:dyDescent="0.25">
      <c r="V780" s="6"/>
      <c r="W780" s="6"/>
      <c r="X780" s="6"/>
      <c r="Y780" s="6"/>
      <c r="Z780" s="6"/>
      <c r="AA780" s="6"/>
      <c r="AB780" s="6"/>
      <c r="AC780" s="6"/>
      <c r="AD780" s="6"/>
      <c r="AE780" s="6"/>
    </row>
    <row r="781" spans="22:31" ht="11.25" customHeight="1" x14ac:dyDescent="0.25">
      <c r="V781" s="6"/>
      <c r="W781" s="6"/>
      <c r="X781" s="6"/>
      <c r="Y781" s="6"/>
      <c r="Z781" s="6"/>
      <c r="AA781" s="6"/>
      <c r="AB781" s="6"/>
      <c r="AC781" s="6"/>
      <c r="AD781" s="6"/>
      <c r="AE781" s="6"/>
    </row>
    <row r="782" spans="22:31" ht="11.25" customHeight="1" x14ac:dyDescent="0.25">
      <c r="V782" s="6"/>
      <c r="W782" s="6"/>
      <c r="X782" s="6"/>
      <c r="Y782" s="6"/>
      <c r="Z782" s="6"/>
      <c r="AA782" s="6"/>
      <c r="AB782" s="6"/>
      <c r="AC782" s="6"/>
      <c r="AD782" s="6"/>
      <c r="AE782" s="6"/>
    </row>
    <row r="783" spans="22:31" ht="11.25" customHeight="1" x14ac:dyDescent="0.25">
      <c r="V783" s="6"/>
      <c r="W783" s="6"/>
      <c r="X783" s="6"/>
      <c r="Y783" s="6"/>
      <c r="Z783" s="6"/>
      <c r="AA783" s="6"/>
      <c r="AB783" s="6"/>
      <c r="AC783" s="6"/>
      <c r="AD783" s="6"/>
      <c r="AE783" s="6"/>
    </row>
    <row r="784" spans="22:31" ht="11.25" customHeight="1" x14ac:dyDescent="0.25">
      <c r="V784" s="6"/>
      <c r="W784" s="6"/>
      <c r="X784" s="6"/>
      <c r="Y784" s="6"/>
      <c r="Z784" s="6"/>
      <c r="AA784" s="6"/>
      <c r="AB784" s="6"/>
      <c r="AC784" s="6"/>
      <c r="AD784" s="6"/>
      <c r="AE784" s="6"/>
    </row>
    <row r="785" spans="22:31" ht="11.25" customHeight="1" x14ac:dyDescent="0.25">
      <c r="V785" s="6"/>
      <c r="W785" s="6"/>
      <c r="X785" s="6"/>
      <c r="Y785" s="6"/>
      <c r="Z785" s="6"/>
      <c r="AA785" s="6"/>
      <c r="AB785" s="6"/>
      <c r="AC785" s="6"/>
      <c r="AD785" s="6"/>
      <c r="AE785" s="6"/>
    </row>
    <row r="786" spans="22:31" ht="11.25" customHeight="1" x14ac:dyDescent="0.25">
      <c r="V786" s="6"/>
      <c r="W786" s="6"/>
      <c r="X786" s="6"/>
      <c r="Y786" s="6"/>
      <c r="Z786" s="6"/>
      <c r="AA786" s="6"/>
      <c r="AB786" s="6"/>
      <c r="AC786" s="6"/>
      <c r="AD786" s="6"/>
      <c r="AE786" s="6"/>
    </row>
    <row r="787" spans="22:31" ht="11.25" customHeight="1" x14ac:dyDescent="0.25">
      <c r="V787" s="6"/>
      <c r="W787" s="6"/>
      <c r="X787" s="6"/>
      <c r="Y787" s="6"/>
      <c r="Z787" s="6"/>
      <c r="AA787" s="6"/>
      <c r="AB787" s="6"/>
      <c r="AC787" s="6"/>
      <c r="AD787" s="6"/>
      <c r="AE787" s="6"/>
    </row>
    <row r="788" spans="22:31" ht="11.25" customHeight="1" x14ac:dyDescent="0.25">
      <c r="V788" s="6"/>
      <c r="W788" s="6"/>
      <c r="X788" s="6"/>
      <c r="Y788" s="6"/>
      <c r="Z788" s="6"/>
      <c r="AA788" s="6"/>
      <c r="AB788" s="6"/>
      <c r="AC788" s="6"/>
      <c r="AD788" s="6"/>
      <c r="AE788" s="6"/>
    </row>
    <row r="789" spans="22:31" ht="11.25" customHeight="1" x14ac:dyDescent="0.25">
      <c r="V789" s="6"/>
      <c r="W789" s="6"/>
      <c r="X789" s="6"/>
      <c r="Y789" s="6"/>
      <c r="Z789" s="6"/>
      <c r="AA789" s="6"/>
      <c r="AB789" s="6"/>
      <c r="AC789" s="6"/>
      <c r="AD789" s="6"/>
      <c r="AE789" s="6"/>
    </row>
    <row r="790" spans="22:31" ht="11.25" customHeight="1" x14ac:dyDescent="0.25">
      <c r="V790" s="6"/>
      <c r="W790" s="6"/>
      <c r="X790" s="6"/>
      <c r="Y790" s="6"/>
      <c r="Z790" s="6"/>
      <c r="AA790" s="6"/>
      <c r="AB790" s="6"/>
      <c r="AC790" s="6"/>
      <c r="AD790" s="6"/>
      <c r="AE790" s="6"/>
    </row>
    <row r="791" spans="22:31" ht="11.25" customHeight="1" x14ac:dyDescent="0.25">
      <c r="V791" s="6"/>
      <c r="W791" s="6"/>
      <c r="X791" s="6"/>
      <c r="Y791" s="6"/>
      <c r="Z791" s="6"/>
      <c r="AA791" s="6"/>
      <c r="AB791" s="6"/>
      <c r="AC791" s="6"/>
      <c r="AD791" s="6"/>
      <c r="AE791" s="6"/>
    </row>
    <row r="792" spans="22:31" ht="11.25" customHeight="1" x14ac:dyDescent="0.25">
      <c r="V792" s="6"/>
      <c r="W792" s="6"/>
      <c r="X792" s="6"/>
      <c r="Y792" s="6"/>
      <c r="Z792" s="6"/>
      <c r="AA792" s="6"/>
      <c r="AB792" s="6"/>
      <c r="AC792" s="6"/>
      <c r="AD792" s="6"/>
      <c r="AE792" s="6"/>
    </row>
    <row r="793" spans="22:31" ht="11.25" customHeight="1" x14ac:dyDescent="0.25">
      <c r="V793" s="6"/>
      <c r="W793" s="6"/>
      <c r="X793" s="6"/>
      <c r="Y793" s="6"/>
      <c r="Z793" s="6"/>
      <c r="AA793" s="6"/>
      <c r="AB793" s="6"/>
      <c r="AC793" s="6"/>
      <c r="AD793" s="6"/>
      <c r="AE793" s="6"/>
    </row>
    <row r="794" spans="22:31" ht="11.25" customHeight="1" x14ac:dyDescent="0.25">
      <c r="V794" s="6"/>
      <c r="W794" s="6"/>
      <c r="X794" s="6"/>
      <c r="Y794" s="6"/>
      <c r="Z794" s="6"/>
      <c r="AA794" s="6"/>
      <c r="AB794" s="6"/>
      <c r="AC794" s="6"/>
      <c r="AD794" s="6"/>
      <c r="AE794" s="6"/>
    </row>
    <row r="795" spans="22:31" ht="11.25" customHeight="1" x14ac:dyDescent="0.25">
      <c r="V795" s="6"/>
      <c r="W795" s="6"/>
      <c r="X795" s="6"/>
      <c r="Y795" s="6"/>
      <c r="Z795" s="6"/>
      <c r="AA795" s="6"/>
      <c r="AB795" s="6"/>
      <c r="AC795" s="6"/>
      <c r="AD795" s="6"/>
      <c r="AE795" s="6"/>
    </row>
    <row r="796" spans="22:31" ht="11.25" customHeight="1" x14ac:dyDescent="0.25">
      <c r="V796" s="6"/>
      <c r="W796" s="6"/>
      <c r="X796" s="6"/>
      <c r="Y796" s="6"/>
      <c r="Z796" s="6"/>
      <c r="AA796" s="6"/>
      <c r="AB796" s="6"/>
      <c r="AC796" s="6"/>
      <c r="AD796" s="6"/>
      <c r="AE796" s="6"/>
    </row>
    <row r="797" spans="22:31" ht="11.25" customHeight="1" x14ac:dyDescent="0.25">
      <c r="V797" s="6"/>
      <c r="W797" s="6"/>
      <c r="X797" s="6"/>
      <c r="Y797" s="6"/>
      <c r="Z797" s="6"/>
      <c r="AA797" s="6"/>
      <c r="AB797" s="6"/>
      <c r="AC797" s="6"/>
      <c r="AD797" s="6"/>
      <c r="AE797" s="6"/>
    </row>
    <row r="798" spans="22:31" ht="11.25" customHeight="1" x14ac:dyDescent="0.25">
      <c r="V798" s="6"/>
      <c r="W798" s="6"/>
      <c r="X798" s="6"/>
      <c r="Y798" s="6"/>
      <c r="Z798" s="6"/>
      <c r="AA798" s="6"/>
      <c r="AB798" s="6"/>
      <c r="AC798" s="6"/>
      <c r="AD798" s="6"/>
      <c r="AE798" s="6"/>
    </row>
    <row r="799" spans="22:31" ht="11.25" customHeight="1" x14ac:dyDescent="0.25">
      <c r="V799" s="6"/>
      <c r="W799" s="6"/>
      <c r="X799" s="6"/>
      <c r="Y799" s="6"/>
      <c r="Z799" s="6"/>
      <c r="AA799" s="6"/>
      <c r="AB799" s="6"/>
      <c r="AC799" s="6"/>
      <c r="AD799" s="6"/>
      <c r="AE799" s="6"/>
    </row>
    <row r="800" spans="22:31" ht="11.25" customHeight="1" x14ac:dyDescent="0.25">
      <c r="V800" s="6"/>
      <c r="W800" s="6"/>
      <c r="X800" s="6"/>
      <c r="Y800" s="6"/>
      <c r="Z800" s="6"/>
      <c r="AA800" s="6"/>
      <c r="AB800" s="6"/>
      <c r="AC800" s="6"/>
      <c r="AD800" s="6"/>
      <c r="AE800" s="6"/>
    </row>
    <row r="801" spans="22:31" ht="11.25" customHeight="1" x14ac:dyDescent="0.25">
      <c r="V801" s="6"/>
      <c r="W801" s="6"/>
      <c r="X801" s="6"/>
      <c r="Y801" s="6"/>
      <c r="Z801" s="6"/>
      <c r="AA801" s="6"/>
      <c r="AB801" s="6"/>
      <c r="AC801" s="6"/>
      <c r="AD801" s="6"/>
      <c r="AE801" s="6"/>
    </row>
    <row r="802" spans="22:31" ht="11.25" customHeight="1" x14ac:dyDescent="0.25">
      <c r="V802" s="6"/>
      <c r="W802" s="6"/>
      <c r="X802" s="6"/>
      <c r="Y802" s="6"/>
      <c r="Z802" s="6"/>
      <c r="AA802" s="6"/>
      <c r="AB802" s="6"/>
      <c r="AC802" s="6"/>
      <c r="AD802" s="6"/>
      <c r="AE802" s="6"/>
    </row>
    <row r="803" spans="22:31" ht="11.25" customHeight="1" x14ac:dyDescent="0.25">
      <c r="V803" s="6"/>
      <c r="W803" s="6"/>
      <c r="X803" s="6"/>
      <c r="Y803" s="6"/>
      <c r="Z803" s="6"/>
      <c r="AA803" s="6"/>
      <c r="AB803" s="6"/>
      <c r="AC803" s="6"/>
      <c r="AD803" s="6"/>
      <c r="AE803" s="6"/>
    </row>
    <row r="804" spans="22:31" ht="11.25" customHeight="1" x14ac:dyDescent="0.25">
      <c r="V804" s="6"/>
      <c r="W804" s="6"/>
      <c r="X804" s="6"/>
      <c r="Y804" s="6"/>
      <c r="Z804" s="6"/>
      <c r="AA804" s="6"/>
      <c r="AB804" s="6"/>
      <c r="AC804" s="6"/>
      <c r="AD804" s="6"/>
      <c r="AE804" s="6"/>
    </row>
    <row r="805" spans="22:31" ht="11.25" customHeight="1" x14ac:dyDescent="0.25">
      <c r="V805" s="6"/>
      <c r="W805" s="6"/>
      <c r="X805" s="6"/>
      <c r="Y805" s="6"/>
      <c r="Z805" s="6"/>
      <c r="AA805" s="6"/>
      <c r="AB805" s="6"/>
      <c r="AC805" s="6"/>
      <c r="AD805" s="6"/>
      <c r="AE805" s="6"/>
    </row>
    <row r="806" spans="22:31" ht="11.25" customHeight="1" x14ac:dyDescent="0.25">
      <c r="V806" s="6"/>
      <c r="W806" s="6"/>
      <c r="X806" s="6"/>
      <c r="Y806" s="6"/>
      <c r="Z806" s="6"/>
      <c r="AA806" s="6"/>
      <c r="AB806" s="6"/>
      <c r="AC806" s="6"/>
      <c r="AD806" s="6"/>
      <c r="AE806" s="6"/>
    </row>
    <row r="807" spans="22:31" ht="11.25" customHeight="1" x14ac:dyDescent="0.25">
      <c r="V807" s="6"/>
      <c r="W807" s="6"/>
      <c r="X807" s="6"/>
      <c r="Y807" s="6"/>
      <c r="Z807" s="6"/>
      <c r="AA807" s="6"/>
      <c r="AB807" s="6"/>
      <c r="AC807" s="6"/>
      <c r="AD807" s="6"/>
      <c r="AE807" s="6"/>
    </row>
    <row r="808" spans="22:31" ht="11.25" customHeight="1" x14ac:dyDescent="0.25">
      <c r="V808" s="6"/>
      <c r="W808" s="6"/>
      <c r="X808" s="6"/>
      <c r="Y808" s="6"/>
      <c r="Z808" s="6"/>
      <c r="AA808" s="6"/>
      <c r="AB808" s="6"/>
      <c r="AC808" s="6"/>
      <c r="AD808" s="6"/>
      <c r="AE808" s="6"/>
    </row>
    <row r="809" spans="22:31" ht="11.25" customHeight="1" x14ac:dyDescent="0.25">
      <c r="V809" s="6"/>
      <c r="W809" s="6"/>
      <c r="X809" s="6"/>
      <c r="Y809" s="6"/>
      <c r="Z809" s="6"/>
      <c r="AA809" s="6"/>
      <c r="AB809" s="6"/>
      <c r="AC809" s="6"/>
      <c r="AD809" s="6"/>
      <c r="AE809" s="6"/>
    </row>
    <row r="810" spans="22:31" ht="11.25" customHeight="1" x14ac:dyDescent="0.25">
      <c r="V810" s="6"/>
      <c r="W810" s="6"/>
      <c r="X810" s="6"/>
      <c r="Y810" s="6"/>
      <c r="Z810" s="6"/>
      <c r="AA810" s="6"/>
      <c r="AB810" s="6"/>
      <c r="AC810" s="6"/>
      <c r="AD810" s="6"/>
      <c r="AE810" s="6"/>
    </row>
    <row r="811" spans="22:31" ht="11.25" customHeight="1" x14ac:dyDescent="0.25">
      <c r="V811" s="6"/>
      <c r="W811" s="6"/>
      <c r="X811" s="6"/>
      <c r="Y811" s="6"/>
      <c r="Z811" s="6"/>
      <c r="AA811" s="6"/>
      <c r="AB811" s="6"/>
      <c r="AC811" s="6"/>
      <c r="AD811" s="6"/>
      <c r="AE811" s="6"/>
    </row>
    <row r="812" spans="22:31" ht="11.25" customHeight="1" x14ac:dyDescent="0.25">
      <c r="V812" s="6"/>
      <c r="W812" s="6"/>
      <c r="X812" s="6"/>
      <c r="Y812" s="6"/>
      <c r="Z812" s="6"/>
      <c r="AA812" s="6"/>
      <c r="AB812" s="6"/>
      <c r="AC812" s="6"/>
      <c r="AD812" s="6"/>
      <c r="AE812" s="6"/>
    </row>
    <row r="813" spans="22:31" ht="11.25" customHeight="1" x14ac:dyDescent="0.25">
      <c r="V813" s="6"/>
      <c r="W813" s="6"/>
      <c r="X813" s="6"/>
      <c r="Y813" s="6"/>
      <c r="Z813" s="6"/>
      <c r="AA813" s="6"/>
      <c r="AB813" s="6"/>
      <c r="AC813" s="6"/>
      <c r="AD813" s="6"/>
      <c r="AE813" s="6"/>
    </row>
    <row r="814" spans="22:31" ht="11.25" customHeight="1" x14ac:dyDescent="0.25">
      <c r="V814" s="6"/>
      <c r="W814" s="6"/>
      <c r="X814" s="6"/>
      <c r="Y814" s="6"/>
      <c r="Z814" s="6"/>
      <c r="AA814" s="6"/>
      <c r="AB814" s="6"/>
      <c r="AC814" s="6"/>
      <c r="AD814" s="6"/>
      <c r="AE814" s="6"/>
    </row>
    <row r="815" spans="22:31" ht="11.25" customHeight="1" x14ac:dyDescent="0.25">
      <c r="V815" s="6"/>
      <c r="W815" s="6"/>
      <c r="X815" s="6"/>
      <c r="Y815" s="6"/>
      <c r="Z815" s="6"/>
      <c r="AA815" s="6"/>
      <c r="AB815" s="6"/>
      <c r="AC815" s="6"/>
      <c r="AD815" s="6"/>
      <c r="AE815" s="6"/>
    </row>
    <row r="816" spans="22:31" ht="11.25" customHeight="1" x14ac:dyDescent="0.25">
      <c r="V816" s="6"/>
      <c r="W816" s="6"/>
      <c r="X816" s="6"/>
      <c r="Y816" s="6"/>
      <c r="Z816" s="6"/>
      <c r="AA816" s="6"/>
      <c r="AB816" s="6"/>
      <c r="AC816" s="6"/>
      <c r="AD816" s="6"/>
      <c r="AE816" s="6"/>
    </row>
    <row r="817" spans="22:31" ht="11.25" customHeight="1" x14ac:dyDescent="0.25">
      <c r="V817" s="6"/>
      <c r="W817" s="6"/>
      <c r="X817" s="6"/>
      <c r="Y817" s="6"/>
      <c r="Z817" s="6"/>
      <c r="AA817" s="6"/>
      <c r="AB817" s="6"/>
      <c r="AC817" s="6"/>
      <c r="AD817" s="6"/>
      <c r="AE817" s="6"/>
    </row>
    <row r="818" spans="22:31" ht="11.25" customHeight="1" x14ac:dyDescent="0.25">
      <c r="V818" s="6"/>
      <c r="W818" s="6"/>
      <c r="X818" s="6"/>
      <c r="Y818" s="6"/>
      <c r="Z818" s="6"/>
      <c r="AA818" s="6"/>
      <c r="AB818" s="6"/>
      <c r="AC818" s="6"/>
      <c r="AD818" s="6"/>
      <c r="AE818" s="6"/>
    </row>
    <row r="819" spans="22:31" ht="11.25" customHeight="1" x14ac:dyDescent="0.25">
      <c r="V819" s="6"/>
      <c r="W819" s="6"/>
      <c r="X819" s="6"/>
      <c r="Y819" s="6"/>
      <c r="Z819" s="6"/>
      <c r="AA819" s="6"/>
      <c r="AB819" s="6"/>
      <c r="AC819" s="6"/>
      <c r="AD819" s="6"/>
      <c r="AE819" s="6"/>
    </row>
    <row r="820" spans="22:31" ht="11.25" customHeight="1" x14ac:dyDescent="0.25">
      <c r="V820" s="6"/>
      <c r="W820" s="6"/>
      <c r="X820" s="6"/>
      <c r="Y820" s="6"/>
      <c r="Z820" s="6"/>
      <c r="AA820" s="6"/>
      <c r="AB820" s="6"/>
      <c r="AC820" s="6"/>
      <c r="AD820" s="6"/>
      <c r="AE820" s="6"/>
    </row>
    <row r="821" spans="22:31" ht="11.25" customHeight="1" x14ac:dyDescent="0.25">
      <c r="V821" s="6"/>
      <c r="W821" s="6"/>
      <c r="X821" s="6"/>
      <c r="Y821" s="6"/>
      <c r="Z821" s="6"/>
      <c r="AA821" s="6"/>
      <c r="AB821" s="6"/>
      <c r="AC821" s="6"/>
      <c r="AD821" s="6"/>
      <c r="AE821" s="6"/>
    </row>
    <row r="822" spans="22:31" ht="11.25" customHeight="1" x14ac:dyDescent="0.25">
      <c r="V822" s="6"/>
      <c r="W822" s="6"/>
      <c r="X822" s="6"/>
      <c r="Y822" s="6"/>
      <c r="Z822" s="6"/>
      <c r="AA822" s="6"/>
      <c r="AB822" s="6"/>
      <c r="AC822" s="6"/>
      <c r="AD822" s="6"/>
      <c r="AE822" s="6"/>
    </row>
    <row r="823" spans="22:31" ht="11.25" customHeight="1" x14ac:dyDescent="0.25">
      <c r="V823" s="6"/>
      <c r="W823" s="6"/>
      <c r="X823" s="6"/>
      <c r="Y823" s="6"/>
      <c r="Z823" s="6"/>
      <c r="AA823" s="6"/>
      <c r="AB823" s="6"/>
      <c r="AC823" s="6"/>
      <c r="AD823" s="6"/>
      <c r="AE823" s="6"/>
    </row>
    <row r="824" spans="22:31" ht="11.25" customHeight="1" x14ac:dyDescent="0.25">
      <c r="V824" s="6"/>
      <c r="W824" s="6"/>
      <c r="X824" s="6"/>
      <c r="Y824" s="6"/>
      <c r="Z824" s="6"/>
      <c r="AA824" s="6"/>
      <c r="AB824" s="6"/>
      <c r="AC824" s="6"/>
      <c r="AD824" s="6"/>
      <c r="AE824" s="6"/>
    </row>
    <row r="825" spans="22:31" ht="11.25" customHeight="1" x14ac:dyDescent="0.25">
      <c r="V825" s="6"/>
      <c r="W825" s="6"/>
      <c r="X825" s="6"/>
      <c r="Y825" s="6"/>
      <c r="Z825" s="6"/>
      <c r="AA825" s="6"/>
      <c r="AB825" s="6"/>
      <c r="AC825" s="6"/>
      <c r="AD825" s="6"/>
      <c r="AE825" s="6"/>
    </row>
    <row r="826" spans="22:31" ht="11.25" customHeight="1" x14ac:dyDescent="0.25">
      <c r="V826" s="6"/>
      <c r="W826" s="6"/>
      <c r="X826" s="6"/>
      <c r="Y826" s="6"/>
      <c r="Z826" s="6"/>
      <c r="AA826" s="6"/>
      <c r="AB826" s="6"/>
      <c r="AC826" s="6"/>
      <c r="AD826" s="6"/>
      <c r="AE826" s="6"/>
    </row>
    <row r="827" spans="22:31" ht="11.25" customHeight="1" x14ac:dyDescent="0.25">
      <c r="V827" s="6"/>
      <c r="W827" s="6"/>
      <c r="X827" s="6"/>
      <c r="Y827" s="6"/>
      <c r="Z827" s="6"/>
      <c r="AA827" s="6"/>
      <c r="AB827" s="6"/>
      <c r="AC827" s="6"/>
      <c r="AD827" s="6"/>
      <c r="AE827" s="6"/>
    </row>
    <row r="828" spans="22:31" ht="11.25" customHeight="1" x14ac:dyDescent="0.25">
      <c r="V828" s="6"/>
      <c r="W828" s="6"/>
      <c r="X828" s="6"/>
      <c r="Y828" s="6"/>
      <c r="Z828" s="6"/>
      <c r="AA828" s="6"/>
      <c r="AB828" s="6"/>
      <c r="AC828" s="6"/>
      <c r="AD828" s="6"/>
      <c r="AE828" s="6"/>
    </row>
    <row r="829" spans="22:31" ht="11.25" customHeight="1" x14ac:dyDescent="0.25">
      <c r="V829" s="6"/>
      <c r="W829" s="6"/>
      <c r="X829" s="6"/>
      <c r="Y829" s="6"/>
      <c r="Z829" s="6"/>
      <c r="AA829" s="6"/>
      <c r="AB829" s="6"/>
      <c r="AC829" s="6"/>
      <c r="AD829" s="6"/>
      <c r="AE829" s="6"/>
    </row>
    <row r="830" spans="22:31" ht="11.25" customHeight="1" x14ac:dyDescent="0.25">
      <c r="V830" s="6"/>
      <c r="W830" s="6"/>
      <c r="X830" s="6"/>
      <c r="Y830" s="6"/>
      <c r="Z830" s="6"/>
      <c r="AA830" s="6"/>
      <c r="AB830" s="6"/>
      <c r="AC830" s="6"/>
      <c r="AD830" s="6"/>
      <c r="AE830" s="6"/>
    </row>
    <row r="831" spans="22:31" ht="11.25" customHeight="1" x14ac:dyDescent="0.25">
      <c r="V831" s="6"/>
      <c r="W831" s="6"/>
      <c r="X831" s="6"/>
      <c r="Y831" s="6"/>
      <c r="Z831" s="6"/>
      <c r="AA831" s="6"/>
      <c r="AB831" s="6"/>
      <c r="AC831" s="6"/>
      <c r="AD831" s="6"/>
      <c r="AE831" s="6"/>
    </row>
    <row r="832" spans="22:31" ht="11.25" customHeight="1" x14ac:dyDescent="0.25">
      <c r="V832" s="6"/>
      <c r="W832" s="6"/>
      <c r="X832" s="6"/>
      <c r="Y832" s="6"/>
      <c r="Z832" s="6"/>
      <c r="AA832" s="6"/>
      <c r="AB832" s="6"/>
      <c r="AC832" s="6"/>
      <c r="AD832" s="6"/>
      <c r="AE832" s="6"/>
    </row>
    <row r="833" spans="22:31" ht="11.25" customHeight="1" x14ac:dyDescent="0.25">
      <c r="V833" s="6"/>
      <c r="W833" s="6"/>
      <c r="X833" s="6"/>
      <c r="Y833" s="6"/>
      <c r="Z833" s="6"/>
      <c r="AA833" s="6"/>
      <c r="AB833" s="6"/>
      <c r="AC833" s="6"/>
      <c r="AD833" s="6"/>
      <c r="AE833" s="6"/>
    </row>
    <row r="834" spans="22:31" ht="11.25" customHeight="1" x14ac:dyDescent="0.25">
      <c r="V834" s="6"/>
      <c r="W834" s="6"/>
      <c r="X834" s="6"/>
      <c r="Y834" s="6"/>
      <c r="Z834" s="6"/>
      <c r="AA834" s="6"/>
      <c r="AB834" s="6"/>
      <c r="AC834" s="6"/>
      <c r="AD834" s="6"/>
      <c r="AE834" s="6"/>
    </row>
    <row r="835" spans="22:31" ht="11.25" customHeight="1" x14ac:dyDescent="0.25">
      <c r="V835" s="6"/>
      <c r="W835" s="6"/>
      <c r="X835" s="6"/>
      <c r="Y835" s="6"/>
      <c r="Z835" s="6"/>
      <c r="AA835" s="6"/>
      <c r="AB835" s="6"/>
      <c r="AC835" s="6"/>
      <c r="AD835" s="6"/>
      <c r="AE835" s="6"/>
    </row>
    <row r="836" spans="22:31" ht="11.25" customHeight="1" x14ac:dyDescent="0.25">
      <c r="V836" s="6"/>
      <c r="W836" s="6"/>
      <c r="X836" s="6"/>
      <c r="Y836" s="6"/>
      <c r="Z836" s="6"/>
      <c r="AA836" s="6"/>
      <c r="AB836" s="6"/>
      <c r="AC836" s="6"/>
      <c r="AD836" s="6"/>
      <c r="AE836" s="6"/>
    </row>
    <row r="837" spans="22:31" ht="11.25" customHeight="1" x14ac:dyDescent="0.25">
      <c r="V837" s="6"/>
      <c r="W837" s="6"/>
      <c r="X837" s="6"/>
      <c r="Y837" s="6"/>
      <c r="Z837" s="6"/>
      <c r="AA837" s="6"/>
      <c r="AB837" s="6"/>
      <c r="AC837" s="6"/>
      <c r="AD837" s="6"/>
      <c r="AE837" s="6"/>
    </row>
    <row r="838" spans="22:31" ht="11.25" customHeight="1" x14ac:dyDescent="0.25">
      <c r="V838" s="6"/>
      <c r="W838" s="6"/>
      <c r="X838" s="6"/>
      <c r="Y838" s="6"/>
      <c r="Z838" s="6"/>
      <c r="AA838" s="6"/>
      <c r="AB838" s="6"/>
      <c r="AC838" s="6"/>
      <c r="AD838" s="6"/>
      <c r="AE838" s="6"/>
    </row>
    <row r="839" spans="22:31" ht="11.25" customHeight="1" x14ac:dyDescent="0.25">
      <c r="V839" s="6"/>
      <c r="W839" s="6"/>
      <c r="X839" s="6"/>
      <c r="Y839" s="6"/>
      <c r="Z839" s="6"/>
      <c r="AA839" s="6"/>
      <c r="AB839" s="6"/>
      <c r="AC839" s="6"/>
      <c r="AD839" s="6"/>
      <c r="AE839" s="6"/>
    </row>
    <row r="840" spans="22:31" ht="11.25" customHeight="1" x14ac:dyDescent="0.25">
      <c r="V840" s="6"/>
      <c r="W840" s="6"/>
      <c r="X840" s="6"/>
      <c r="Y840" s="6"/>
      <c r="Z840" s="6"/>
      <c r="AA840" s="6"/>
      <c r="AB840" s="6"/>
      <c r="AC840" s="6"/>
      <c r="AD840" s="6"/>
      <c r="AE840" s="6"/>
    </row>
    <row r="841" spans="22:31" ht="11.25" customHeight="1" x14ac:dyDescent="0.25">
      <c r="V841" s="6"/>
      <c r="W841" s="6"/>
      <c r="X841" s="6"/>
      <c r="Y841" s="6"/>
      <c r="Z841" s="6"/>
      <c r="AA841" s="6"/>
      <c r="AB841" s="6"/>
      <c r="AC841" s="6"/>
      <c r="AD841" s="6"/>
      <c r="AE841" s="6"/>
    </row>
    <row r="842" spans="22:31" ht="11.25" customHeight="1" x14ac:dyDescent="0.25">
      <c r="V842" s="6"/>
      <c r="W842" s="6"/>
      <c r="X842" s="6"/>
      <c r="Y842" s="6"/>
      <c r="Z842" s="6"/>
      <c r="AA842" s="6"/>
      <c r="AB842" s="6"/>
      <c r="AC842" s="6"/>
      <c r="AD842" s="6"/>
      <c r="AE842" s="6"/>
    </row>
    <row r="843" spans="22:31" ht="11.25" customHeight="1" x14ac:dyDescent="0.25">
      <c r="V843" s="6"/>
      <c r="W843" s="6"/>
      <c r="X843" s="6"/>
      <c r="Y843" s="6"/>
      <c r="Z843" s="6"/>
      <c r="AA843" s="6"/>
      <c r="AB843" s="6"/>
      <c r="AC843" s="6"/>
      <c r="AD843" s="6"/>
      <c r="AE843" s="6"/>
    </row>
    <row r="844" spans="22:31" ht="11.25" customHeight="1" x14ac:dyDescent="0.25">
      <c r="V844" s="6"/>
      <c r="W844" s="6"/>
      <c r="X844" s="6"/>
      <c r="Y844" s="6"/>
      <c r="Z844" s="6"/>
      <c r="AA844" s="6"/>
      <c r="AB844" s="6"/>
      <c r="AC844" s="6"/>
      <c r="AD844" s="6"/>
      <c r="AE844" s="6"/>
    </row>
    <row r="845" spans="22:31" ht="11.25" customHeight="1" x14ac:dyDescent="0.25">
      <c r="V845" s="6"/>
      <c r="W845" s="6"/>
      <c r="X845" s="6"/>
      <c r="Y845" s="6"/>
      <c r="Z845" s="6"/>
      <c r="AA845" s="6"/>
      <c r="AB845" s="6"/>
      <c r="AC845" s="6"/>
      <c r="AD845" s="6"/>
      <c r="AE845" s="6"/>
    </row>
    <row r="846" spans="22:31" ht="11.25" customHeight="1" x14ac:dyDescent="0.25">
      <c r="V846" s="6"/>
      <c r="W846" s="6"/>
      <c r="X846" s="6"/>
      <c r="Y846" s="6"/>
      <c r="Z846" s="6"/>
      <c r="AA846" s="6"/>
      <c r="AB846" s="6"/>
      <c r="AC846" s="6"/>
      <c r="AD846" s="6"/>
      <c r="AE846" s="6"/>
    </row>
    <row r="847" spans="22:31" ht="11.25" customHeight="1" x14ac:dyDescent="0.25">
      <c r="V847" s="6"/>
      <c r="W847" s="6"/>
      <c r="X847" s="6"/>
      <c r="Y847" s="6"/>
      <c r="Z847" s="6"/>
      <c r="AA847" s="6"/>
      <c r="AB847" s="6"/>
      <c r="AC847" s="6"/>
      <c r="AD847" s="6"/>
      <c r="AE847" s="6"/>
    </row>
    <row r="848" spans="22:31" ht="11.25" customHeight="1" x14ac:dyDescent="0.25">
      <c r="V848" s="6"/>
      <c r="W848" s="6"/>
      <c r="X848" s="6"/>
      <c r="Y848" s="6"/>
      <c r="Z848" s="6"/>
      <c r="AA848" s="6"/>
      <c r="AB848" s="6"/>
      <c r="AC848" s="6"/>
      <c r="AD848" s="6"/>
      <c r="AE848" s="6"/>
    </row>
    <row r="849" spans="22:31" ht="11.25" customHeight="1" x14ac:dyDescent="0.25">
      <c r="V849" s="6"/>
      <c r="W849" s="6"/>
      <c r="X849" s="6"/>
      <c r="Y849" s="6"/>
      <c r="Z849" s="6"/>
      <c r="AA849" s="6"/>
      <c r="AB849" s="6"/>
      <c r="AC849" s="6"/>
      <c r="AD849" s="6"/>
      <c r="AE849" s="6"/>
    </row>
    <row r="850" spans="22:31" ht="11.25" customHeight="1" x14ac:dyDescent="0.25">
      <c r="V850" s="6"/>
      <c r="W850" s="6"/>
      <c r="X850" s="6"/>
      <c r="Y850" s="6"/>
      <c r="Z850" s="6"/>
      <c r="AA850" s="6"/>
      <c r="AB850" s="6"/>
      <c r="AC850" s="6"/>
      <c r="AD850" s="6"/>
      <c r="AE850" s="6"/>
    </row>
    <row r="851" spans="22:31" ht="11.25" customHeight="1" x14ac:dyDescent="0.25">
      <c r="V851" s="6"/>
      <c r="W851" s="6"/>
      <c r="X851" s="6"/>
      <c r="Y851" s="6"/>
      <c r="Z851" s="6"/>
      <c r="AA851" s="6"/>
      <c r="AB851" s="6"/>
      <c r="AC851" s="6"/>
      <c r="AD851" s="6"/>
      <c r="AE851" s="6"/>
    </row>
    <row r="852" spans="22:31" ht="11.25" customHeight="1" x14ac:dyDescent="0.25">
      <c r="V852" s="6"/>
      <c r="W852" s="6"/>
      <c r="X852" s="6"/>
      <c r="Y852" s="6"/>
      <c r="Z852" s="6"/>
      <c r="AA852" s="6"/>
      <c r="AB852" s="6"/>
      <c r="AC852" s="6"/>
      <c r="AD852" s="6"/>
      <c r="AE852" s="6"/>
    </row>
    <row r="853" spans="22:31" ht="11.25" customHeight="1" x14ac:dyDescent="0.25">
      <c r="V853" s="6"/>
      <c r="W853" s="6"/>
      <c r="X853" s="6"/>
      <c r="Y853" s="6"/>
      <c r="Z853" s="6"/>
      <c r="AA853" s="6"/>
      <c r="AB853" s="6"/>
      <c r="AC853" s="6"/>
      <c r="AD853" s="6"/>
      <c r="AE853" s="6"/>
    </row>
    <row r="854" spans="22:31" ht="11.25" customHeight="1" x14ac:dyDescent="0.25">
      <c r="V854" s="6"/>
      <c r="W854" s="6"/>
      <c r="X854" s="6"/>
      <c r="Y854" s="6"/>
      <c r="Z854" s="6"/>
      <c r="AA854" s="6"/>
      <c r="AB854" s="6"/>
      <c r="AC854" s="6"/>
      <c r="AD854" s="6"/>
      <c r="AE854" s="6"/>
    </row>
    <row r="855" spans="22:31" ht="11.25" customHeight="1" x14ac:dyDescent="0.25">
      <c r="V855" s="6"/>
      <c r="W855" s="6"/>
      <c r="X855" s="6"/>
      <c r="Y855" s="6"/>
      <c r="Z855" s="6"/>
      <c r="AA855" s="6"/>
      <c r="AB855" s="6"/>
      <c r="AC855" s="6"/>
      <c r="AD855" s="6"/>
      <c r="AE855" s="6"/>
    </row>
    <row r="856" spans="22:31" ht="11.25" customHeight="1" x14ac:dyDescent="0.25">
      <c r="V856" s="6"/>
      <c r="W856" s="6"/>
      <c r="X856" s="6"/>
      <c r="Y856" s="6"/>
      <c r="Z856" s="6"/>
      <c r="AA856" s="6"/>
      <c r="AB856" s="6"/>
      <c r="AC856" s="6"/>
      <c r="AD856" s="6"/>
      <c r="AE856" s="6"/>
    </row>
    <row r="857" spans="22:31" ht="11.25" customHeight="1" x14ac:dyDescent="0.25">
      <c r="V857" s="6"/>
      <c r="W857" s="6"/>
      <c r="X857" s="6"/>
      <c r="Y857" s="6"/>
      <c r="Z857" s="6"/>
      <c r="AA857" s="6"/>
      <c r="AB857" s="6"/>
      <c r="AC857" s="6"/>
      <c r="AD857" s="6"/>
      <c r="AE857" s="6"/>
    </row>
    <row r="858" spans="22:31" ht="11.25" customHeight="1" x14ac:dyDescent="0.25">
      <c r="V858" s="6"/>
      <c r="W858" s="6"/>
      <c r="X858" s="6"/>
      <c r="Y858" s="6"/>
      <c r="Z858" s="6"/>
      <c r="AA858" s="6"/>
      <c r="AB858" s="6"/>
      <c r="AC858" s="6"/>
      <c r="AD858" s="6"/>
      <c r="AE858" s="6"/>
    </row>
    <row r="859" spans="22:31" ht="11.25" customHeight="1" x14ac:dyDescent="0.25">
      <c r="V859" s="6"/>
      <c r="W859" s="6"/>
      <c r="X859" s="6"/>
      <c r="Y859" s="6"/>
      <c r="Z859" s="6"/>
      <c r="AA859" s="6"/>
      <c r="AB859" s="6"/>
      <c r="AC859" s="6"/>
      <c r="AD859" s="6"/>
      <c r="AE859" s="6"/>
    </row>
    <row r="860" spans="22:31" ht="11.25" customHeight="1" x14ac:dyDescent="0.25">
      <c r="V860" s="6"/>
      <c r="W860" s="6"/>
      <c r="X860" s="6"/>
      <c r="Y860" s="6"/>
      <c r="Z860" s="6"/>
      <c r="AA860" s="6"/>
      <c r="AB860" s="6"/>
      <c r="AC860" s="6"/>
      <c r="AD860" s="6"/>
      <c r="AE860" s="6"/>
    </row>
    <row r="861" spans="22:31" ht="11.25" customHeight="1" x14ac:dyDescent="0.25">
      <c r="V861" s="6"/>
      <c r="W861" s="6"/>
      <c r="X861" s="6"/>
      <c r="Y861" s="6"/>
      <c r="Z861" s="6"/>
      <c r="AA861" s="6"/>
      <c r="AB861" s="6"/>
      <c r="AC861" s="6"/>
      <c r="AD861" s="6"/>
      <c r="AE861" s="6"/>
    </row>
    <row r="862" spans="22:31" ht="11.25" customHeight="1" x14ac:dyDescent="0.25">
      <c r="V862" s="6"/>
      <c r="W862" s="6"/>
      <c r="X862" s="6"/>
      <c r="Y862" s="6"/>
      <c r="Z862" s="6"/>
      <c r="AA862" s="6"/>
      <c r="AB862" s="6"/>
      <c r="AC862" s="6"/>
      <c r="AD862" s="6"/>
      <c r="AE862" s="6"/>
    </row>
    <row r="863" spans="22:31" ht="11.25" customHeight="1" x14ac:dyDescent="0.25">
      <c r="V863" s="6"/>
      <c r="W863" s="6"/>
      <c r="X863" s="6"/>
      <c r="Y863" s="6"/>
      <c r="Z863" s="6"/>
      <c r="AA863" s="6"/>
      <c r="AB863" s="6"/>
      <c r="AC863" s="6"/>
      <c r="AD863" s="6"/>
      <c r="AE863" s="6"/>
    </row>
    <row r="864" spans="22:31" ht="11.25" customHeight="1" x14ac:dyDescent="0.25">
      <c r="V864" s="6"/>
      <c r="W864" s="6"/>
      <c r="X864" s="6"/>
      <c r="Y864" s="6"/>
      <c r="Z864" s="6"/>
      <c r="AA864" s="6"/>
      <c r="AB864" s="6"/>
      <c r="AC864" s="6"/>
      <c r="AD864" s="6"/>
      <c r="AE864" s="6"/>
    </row>
    <row r="865" spans="22:31" ht="11.25" customHeight="1" x14ac:dyDescent="0.25">
      <c r="V865" s="6"/>
      <c r="W865" s="6"/>
      <c r="X865" s="6"/>
      <c r="Y865" s="6"/>
      <c r="Z865" s="6"/>
      <c r="AA865" s="6"/>
      <c r="AB865" s="6"/>
      <c r="AC865" s="6"/>
      <c r="AD865" s="6"/>
      <c r="AE865" s="6"/>
    </row>
    <row r="866" spans="22:31" ht="11.25" customHeight="1" x14ac:dyDescent="0.25">
      <c r="V866" s="6"/>
      <c r="W866" s="6"/>
      <c r="X866" s="6"/>
      <c r="Y866" s="6"/>
      <c r="Z866" s="6"/>
      <c r="AA866" s="6"/>
      <c r="AB866" s="6"/>
      <c r="AC866" s="6"/>
      <c r="AD866" s="6"/>
      <c r="AE866" s="6"/>
    </row>
    <row r="867" spans="22:31" ht="11.25" customHeight="1" x14ac:dyDescent="0.25">
      <c r="V867" s="6"/>
      <c r="W867" s="6"/>
      <c r="X867" s="6"/>
      <c r="Y867" s="6"/>
      <c r="Z867" s="6"/>
      <c r="AA867" s="6"/>
      <c r="AB867" s="6"/>
      <c r="AC867" s="6"/>
      <c r="AD867" s="6"/>
      <c r="AE867" s="6"/>
    </row>
    <row r="868" spans="22:31" ht="11.25" customHeight="1" x14ac:dyDescent="0.25">
      <c r="V868" s="6"/>
      <c r="W868" s="6"/>
      <c r="X868" s="6"/>
      <c r="Y868" s="6"/>
      <c r="Z868" s="6"/>
      <c r="AA868" s="6"/>
      <c r="AB868" s="6"/>
      <c r="AC868" s="6"/>
      <c r="AD868" s="6"/>
      <c r="AE868" s="6"/>
    </row>
    <row r="869" spans="22:31" ht="11.25" customHeight="1" x14ac:dyDescent="0.25">
      <c r="V869" s="6"/>
      <c r="W869" s="6"/>
      <c r="X869" s="6"/>
      <c r="Y869" s="6"/>
      <c r="Z869" s="6"/>
      <c r="AA869" s="6"/>
      <c r="AB869" s="6"/>
      <c r="AC869" s="6"/>
      <c r="AD869" s="6"/>
      <c r="AE869" s="6"/>
    </row>
    <row r="870" spans="22:31" ht="11.25" customHeight="1" x14ac:dyDescent="0.25">
      <c r="V870" s="6"/>
      <c r="W870" s="6"/>
      <c r="X870" s="6"/>
      <c r="Y870" s="6"/>
      <c r="Z870" s="6"/>
      <c r="AA870" s="6"/>
      <c r="AB870" s="6"/>
      <c r="AC870" s="6"/>
      <c r="AD870" s="6"/>
      <c r="AE870" s="6"/>
    </row>
    <row r="871" spans="22:31" ht="11.25" customHeight="1" x14ac:dyDescent="0.25">
      <c r="V871" s="6"/>
      <c r="W871" s="6"/>
      <c r="X871" s="6"/>
      <c r="Y871" s="6"/>
      <c r="Z871" s="6"/>
      <c r="AA871" s="6"/>
      <c r="AB871" s="6"/>
      <c r="AC871" s="6"/>
      <c r="AD871" s="6"/>
      <c r="AE871" s="6"/>
    </row>
    <row r="872" spans="22:31" ht="11.25" customHeight="1" x14ac:dyDescent="0.25">
      <c r="V872" s="6"/>
      <c r="W872" s="6"/>
      <c r="X872" s="6"/>
      <c r="Y872" s="6"/>
      <c r="Z872" s="6"/>
      <c r="AA872" s="6"/>
      <c r="AB872" s="6"/>
      <c r="AC872" s="6"/>
      <c r="AD872" s="6"/>
      <c r="AE872" s="6"/>
    </row>
    <row r="873" spans="22:31" ht="11.25" customHeight="1" x14ac:dyDescent="0.25">
      <c r="V873" s="6"/>
      <c r="W873" s="6"/>
      <c r="X873" s="6"/>
      <c r="Y873" s="6"/>
      <c r="Z873" s="6"/>
      <c r="AA873" s="6"/>
      <c r="AB873" s="6"/>
      <c r="AC873" s="6"/>
      <c r="AD873" s="6"/>
      <c r="AE873" s="6"/>
    </row>
    <row r="874" spans="22:31" ht="11.25" customHeight="1" x14ac:dyDescent="0.25">
      <c r="V874" s="6"/>
      <c r="W874" s="6"/>
      <c r="X874" s="6"/>
      <c r="Y874" s="6"/>
      <c r="Z874" s="6"/>
      <c r="AA874" s="6"/>
      <c r="AB874" s="6"/>
      <c r="AC874" s="6"/>
      <c r="AD874" s="6"/>
      <c r="AE874" s="6"/>
    </row>
    <row r="875" spans="22:31" ht="11.25" customHeight="1" x14ac:dyDescent="0.25">
      <c r="V875" s="6"/>
      <c r="W875" s="6"/>
      <c r="X875" s="6"/>
      <c r="Y875" s="6"/>
      <c r="Z875" s="6"/>
      <c r="AA875" s="6"/>
      <c r="AB875" s="6"/>
      <c r="AC875" s="6"/>
      <c r="AD875" s="6"/>
      <c r="AE875" s="6"/>
    </row>
    <row r="876" spans="22:31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22:31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22:31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22:31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22:31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6ACF0-DEEA-4631-B4D0-B822AA38278F}">
  <dimension ref="A1:J1040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4.5703125" style="38" bestFit="1" customWidth="1"/>
    <col min="3" max="3" width="25.5703125" style="38" bestFit="1" customWidth="1"/>
    <col min="4" max="4" width="26" style="38" bestFit="1" customWidth="1"/>
    <col min="5" max="5" width="26.85546875" style="38" bestFit="1" customWidth="1"/>
    <col min="6" max="6" width="23.7109375" style="38" bestFit="1" customWidth="1"/>
    <col min="7" max="7" width="24.5703125" style="38" bestFit="1" customWidth="1"/>
    <col min="8" max="8" width="18.28515625" style="39" bestFit="1" customWidth="1"/>
    <col min="9" max="9" width="16" style="39" bestFit="1" customWidth="1"/>
    <col min="10" max="10" width="13.85546875" style="39" bestFit="1" customWidth="1"/>
    <col min="11" max="16384" width="9.140625" style="14"/>
  </cols>
  <sheetData>
    <row r="1" spans="1:10" ht="11.25" customHeight="1" x14ac:dyDescent="0.2">
      <c r="A1" s="64" t="s">
        <v>897</v>
      </c>
      <c r="B1" s="65" t="s">
        <v>898</v>
      </c>
      <c r="C1" s="65" t="s">
        <v>899</v>
      </c>
      <c r="D1" s="65" t="s">
        <v>900</v>
      </c>
      <c r="E1" s="65" t="s">
        <v>901</v>
      </c>
      <c r="F1" s="65" t="s">
        <v>902</v>
      </c>
      <c r="G1" s="65" t="s">
        <v>903</v>
      </c>
      <c r="H1" s="39" t="s">
        <v>904</v>
      </c>
      <c r="I1" s="39" t="s">
        <v>905</v>
      </c>
      <c r="J1" s="39" t="s">
        <v>906</v>
      </c>
    </row>
    <row r="2" spans="1:10" ht="11.25" customHeight="1" x14ac:dyDescent="0.2">
      <c r="A2" s="66" t="s">
        <v>26</v>
      </c>
      <c r="B2" s="65">
        <v>13296035.442599999</v>
      </c>
      <c r="C2" s="65">
        <v>14125764.292927856</v>
      </c>
      <c r="D2" s="65">
        <v>120628829.28839819</v>
      </c>
      <c r="E2" s="65">
        <v>132932806.38817401</v>
      </c>
      <c r="F2" s="65">
        <v>117190397.59831217</v>
      </c>
      <c r="G2" s="65">
        <v>134920119.96730897</v>
      </c>
      <c r="H2" s="39">
        <v>9.8067718615836297E-2</v>
      </c>
      <c r="I2" s="39">
        <v>0.15128989006222393</v>
      </c>
      <c r="J2" s="39">
        <v>0.12290542610917199</v>
      </c>
    </row>
    <row r="3" spans="1:10" ht="11.25" customHeight="1" x14ac:dyDescent="0.2">
      <c r="A3" s="67" t="s">
        <v>39</v>
      </c>
      <c r="B3" s="65">
        <v>13296035.442599999</v>
      </c>
      <c r="C3" s="65">
        <v>14125764.292927856</v>
      </c>
      <c r="D3" s="65">
        <v>10368661.206034401</v>
      </c>
      <c r="E3" s="65">
        <v>11857976.220114697</v>
      </c>
      <c r="F3" s="65">
        <v>26602826.743890602</v>
      </c>
      <c r="G3" s="65">
        <v>30641071.465098355</v>
      </c>
      <c r="H3" s="39">
        <v>9.7995926119000876E-2</v>
      </c>
      <c r="I3" s="39">
        <v>0.15179758001224974</v>
      </c>
      <c r="J3" s="39">
        <v>0.12646910284347235</v>
      </c>
    </row>
    <row r="4" spans="1:10" ht="11.25" customHeight="1" x14ac:dyDescent="0.2">
      <c r="A4" s="68" t="s">
        <v>40</v>
      </c>
      <c r="B4" s="65">
        <v>2972949.2537999987</v>
      </c>
      <c r="C4" s="65">
        <v>3201725.2645271383</v>
      </c>
      <c r="D4" s="65">
        <v>1012022.0495819999</v>
      </c>
      <c r="E4" s="65">
        <v>1241156.9958760457</v>
      </c>
      <c r="F4" s="65">
        <v>5396117.3862132002</v>
      </c>
      <c r="G4" s="65">
        <v>6262843.419344835</v>
      </c>
      <c r="H4" s="39">
        <v>0.11490947416172426</v>
      </c>
      <c r="I4" s="39">
        <v>0.160620307361377</v>
      </c>
      <c r="J4" s="39">
        <v>0.14120290661168244</v>
      </c>
    </row>
    <row r="5" spans="1:10" ht="11.25" customHeight="1" x14ac:dyDescent="0.2">
      <c r="A5" s="69" t="s">
        <v>42</v>
      </c>
      <c r="B5" s="65">
        <v>1617351.96</v>
      </c>
      <c r="C5" s="65">
        <v>1726699.7977630764</v>
      </c>
      <c r="D5" s="65">
        <v>540943.97400000005</v>
      </c>
      <c r="E5" s="65">
        <v>655363.47957635729</v>
      </c>
      <c r="F5" s="65">
        <v>2895626.5318499999</v>
      </c>
      <c r="G5" s="65">
        <v>3318876.5146145439</v>
      </c>
      <c r="H5" s="39">
        <v>0.103677785707877</v>
      </c>
      <c r="I5" s="39">
        <v>0.14616870584278407</v>
      </c>
      <c r="J5" s="39">
        <v>0.12802280416368816</v>
      </c>
    </row>
    <row r="6" spans="1:10" ht="11.25" customHeight="1" x14ac:dyDescent="0.2">
      <c r="A6" s="70" t="s">
        <v>25</v>
      </c>
      <c r="B6" s="65">
        <v>1617351.96</v>
      </c>
      <c r="C6" s="65">
        <v>1726699.7977630764</v>
      </c>
      <c r="D6" s="65">
        <v>540943.97400000005</v>
      </c>
      <c r="E6" s="65">
        <v>655363.47957635729</v>
      </c>
      <c r="F6" s="65">
        <v>2895626.5318499999</v>
      </c>
      <c r="G6" s="65">
        <v>3318876.5146145439</v>
      </c>
      <c r="H6" s="39">
        <v>0.103677785707877</v>
      </c>
      <c r="I6" s="39">
        <v>0.14616870584278407</v>
      </c>
      <c r="J6" s="39">
        <v>0.12802280416368816</v>
      </c>
    </row>
    <row r="7" spans="1:10" ht="11.25" customHeight="1" x14ac:dyDescent="0.2">
      <c r="A7" s="71" t="s">
        <v>25</v>
      </c>
      <c r="B7" s="65">
        <v>1617351.96</v>
      </c>
      <c r="C7" s="65">
        <v>1726699.7977630764</v>
      </c>
      <c r="D7" s="65">
        <v>540943.97400000005</v>
      </c>
      <c r="E7" s="65">
        <v>655363.47957635729</v>
      </c>
      <c r="F7" s="65">
        <v>2895626.5318499999</v>
      </c>
      <c r="G7" s="65">
        <v>3318876.5146145439</v>
      </c>
      <c r="H7" s="39">
        <v>0.103677785707877</v>
      </c>
      <c r="I7" s="39">
        <v>0.14616870584278407</v>
      </c>
      <c r="J7" s="39">
        <v>0.12802280416368816</v>
      </c>
    </row>
    <row r="8" spans="1:10" ht="11.25" customHeight="1" x14ac:dyDescent="0.2">
      <c r="A8" s="72" t="s">
        <v>25</v>
      </c>
      <c r="B8" s="65">
        <v>1617351.96</v>
      </c>
      <c r="C8" s="65">
        <v>1726699.7977630764</v>
      </c>
      <c r="D8" s="65">
        <v>540943.97400000005</v>
      </c>
      <c r="E8" s="65">
        <v>655363.47957635729</v>
      </c>
      <c r="F8" s="65">
        <v>2895626.5318499999</v>
      </c>
      <c r="G8" s="65">
        <v>3318876.5146145439</v>
      </c>
      <c r="H8" s="39">
        <v>0.103677785707877</v>
      </c>
      <c r="I8" s="39">
        <v>0.14616870584278407</v>
      </c>
      <c r="J8" s="39">
        <v>0.12802280416368816</v>
      </c>
    </row>
    <row r="9" spans="1:10" ht="11.25" customHeight="1" x14ac:dyDescent="0.2">
      <c r="A9" s="73" t="s">
        <v>35</v>
      </c>
      <c r="B9" s="65">
        <v>563455.20000000007</v>
      </c>
      <c r="C9" s="65">
        <v>595880.1832855714</v>
      </c>
      <c r="D9" s="65">
        <v>487334.57175</v>
      </c>
      <c r="E9" s="65">
        <v>590414.71207872988</v>
      </c>
      <c r="F9" s="65">
        <v>2445381.2428499996</v>
      </c>
      <c r="G9" s="65">
        <v>2818304.1520799529</v>
      </c>
      <c r="H9" s="39">
        <v>0.12895550304855874</v>
      </c>
      <c r="I9" s="39">
        <v>0.15250092815602256</v>
      </c>
      <c r="J9" s="39">
        <v>0.14542424575944946</v>
      </c>
    </row>
    <row r="10" spans="1:10" ht="11.25" customHeight="1" x14ac:dyDescent="0.2">
      <c r="A10" s="74">
        <v>44228</v>
      </c>
      <c r="B10" s="65">
        <v>45978.239999999998</v>
      </c>
      <c r="C10" s="65">
        <v>48624.135651508746</v>
      </c>
      <c r="D10" s="65">
        <v>37791.296999999999</v>
      </c>
      <c r="E10" s="65">
        <v>45784.844808389622</v>
      </c>
      <c r="F10" s="65">
        <v>189631.79340000002</v>
      </c>
      <c r="G10" s="65">
        <v>218550.81790139107</v>
      </c>
      <c r="H10" s="39">
        <v>0.12700850262426977</v>
      </c>
      <c r="I10" s="39">
        <v>0.15250092815602212</v>
      </c>
      <c r="J10" s="39">
        <v>0.14469010777457947</v>
      </c>
    </row>
    <row r="11" spans="1:10" ht="11.25" customHeight="1" x14ac:dyDescent="0.2">
      <c r="A11" s="74">
        <v>44256</v>
      </c>
      <c r="B11" s="65">
        <v>41154.959999999999</v>
      </c>
      <c r="C11" s="65">
        <v>43523.291839192119</v>
      </c>
      <c r="D11" s="65">
        <v>40042.589399999997</v>
      </c>
      <c r="E11" s="65">
        <v>48512.326565692289</v>
      </c>
      <c r="F11" s="65">
        <v>200928.48467999997</v>
      </c>
      <c r="G11" s="65">
        <v>231570.26508668307</v>
      </c>
      <c r="H11" s="39">
        <v>0.13347778455102532</v>
      </c>
      <c r="I11" s="39">
        <v>0.15250092815602234</v>
      </c>
      <c r="J11" s="39">
        <v>0.14702595436408905</v>
      </c>
    </row>
    <row r="12" spans="1:10" ht="11.25" customHeight="1" x14ac:dyDescent="0.2">
      <c r="A12" s="74">
        <v>44287</v>
      </c>
      <c r="B12" s="65">
        <v>45571.68</v>
      </c>
      <c r="C12" s="65">
        <v>48194.179468095084</v>
      </c>
      <c r="D12" s="65">
        <v>39915.044099999999</v>
      </c>
      <c r="E12" s="65">
        <v>48357.803111084751</v>
      </c>
      <c r="F12" s="65">
        <v>200288.47902</v>
      </c>
      <c r="G12" s="65">
        <v>230832.65796950797</v>
      </c>
      <c r="H12" s="39">
        <v>0.12943832619245077</v>
      </c>
      <c r="I12" s="39">
        <v>0.15250092815602212</v>
      </c>
      <c r="J12" s="39">
        <v>0.14560198706679106</v>
      </c>
    </row>
    <row r="13" spans="1:10" ht="11.25" customHeight="1" x14ac:dyDescent="0.2">
      <c r="A13" s="74">
        <v>44317</v>
      </c>
      <c r="B13" s="65">
        <v>43908.480000000003</v>
      </c>
      <c r="C13" s="65">
        <v>46435.267808675555</v>
      </c>
      <c r="D13" s="65">
        <v>39525.991649999996</v>
      </c>
      <c r="E13" s="65">
        <v>47886.458980038558</v>
      </c>
      <c r="F13" s="65">
        <v>198336.26462999999</v>
      </c>
      <c r="G13" s="65">
        <v>228582.72907307345</v>
      </c>
      <c r="H13" s="39">
        <v>0.13048869278378339</v>
      </c>
      <c r="I13" s="39">
        <v>0.15250092815602234</v>
      </c>
      <c r="J13" s="39">
        <v>0.14598293678344354</v>
      </c>
    </row>
    <row r="14" spans="1:10" ht="11.25" customHeight="1" x14ac:dyDescent="0.2">
      <c r="A14" s="74">
        <v>44348</v>
      </c>
      <c r="B14" s="65">
        <v>43797.600000000006</v>
      </c>
      <c r="C14" s="65">
        <v>46318.007031380919</v>
      </c>
      <c r="D14" s="65">
        <v>37487.580300000001</v>
      </c>
      <c r="E14" s="65">
        <v>45416.886493140053</v>
      </c>
      <c r="F14" s="65">
        <v>188107.78266000003</v>
      </c>
      <c r="G14" s="65">
        <v>216794.39410902132</v>
      </c>
      <c r="H14" s="39">
        <v>0.12855619174312105</v>
      </c>
      <c r="I14" s="39">
        <v>0.15250092815602212</v>
      </c>
      <c r="J14" s="39">
        <v>0.1452759724809638</v>
      </c>
    </row>
    <row r="15" spans="1:10" ht="11.25" customHeight="1" x14ac:dyDescent="0.2">
      <c r="A15" s="74">
        <v>44378</v>
      </c>
      <c r="B15" s="65">
        <v>42873.600000000006</v>
      </c>
      <c r="C15" s="65">
        <v>45340.833887258967</v>
      </c>
      <c r="D15" s="65">
        <v>37226.116800000003</v>
      </c>
      <c r="E15" s="65">
        <v>45100.118699471619</v>
      </c>
      <c r="F15" s="65">
        <v>186795.79295999999</v>
      </c>
      <c r="G15" s="65">
        <v>215282.32476204017</v>
      </c>
      <c r="H15" s="39">
        <v>0.12910452370950942</v>
      </c>
      <c r="I15" s="39">
        <v>0.15250092815602234</v>
      </c>
      <c r="J15" s="39">
        <v>0.14547928372300389</v>
      </c>
    </row>
    <row r="16" spans="1:10" ht="11.25" customHeight="1" x14ac:dyDescent="0.2">
      <c r="A16" s="74">
        <v>44409</v>
      </c>
      <c r="B16" s="65">
        <v>47179.44</v>
      </c>
      <c r="C16" s="65">
        <v>49894.460738867296</v>
      </c>
      <c r="D16" s="65">
        <v>41120.962649999994</v>
      </c>
      <c r="E16" s="65">
        <v>49818.79540418621</v>
      </c>
      <c r="F16" s="65">
        <v>206339.62083</v>
      </c>
      <c r="G16" s="65">
        <v>237806.60452193671</v>
      </c>
      <c r="H16" s="39">
        <v>0.12925029955175971</v>
      </c>
      <c r="I16" s="39">
        <v>0.15250092815602234</v>
      </c>
      <c r="J16" s="39">
        <v>0.14553296825915063</v>
      </c>
    </row>
    <row r="17" spans="1:10" ht="11.25" customHeight="1" x14ac:dyDescent="0.2">
      <c r="A17" s="74">
        <v>44440</v>
      </c>
      <c r="B17" s="65">
        <v>49951.44</v>
      </c>
      <c r="C17" s="65">
        <v>52825.980171233183</v>
      </c>
      <c r="D17" s="65">
        <v>41438.167199999996</v>
      </c>
      <c r="E17" s="65">
        <v>50203.094495436366</v>
      </c>
      <c r="F17" s="65">
        <v>207931.31184000001</v>
      </c>
      <c r="G17" s="65">
        <v>239641.02988829929</v>
      </c>
      <c r="H17" s="39">
        <v>0.12736095299323646</v>
      </c>
      <c r="I17" s="39">
        <v>0.15250092815602212</v>
      </c>
      <c r="J17" s="39">
        <v>0.14482511163603573</v>
      </c>
    </row>
    <row r="18" spans="1:10" ht="11.25" customHeight="1" x14ac:dyDescent="0.2">
      <c r="A18" s="74">
        <v>44470</v>
      </c>
      <c r="B18" s="65">
        <v>50302.559999999998</v>
      </c>
      <c r="C18" s="65">
        <v>53197.305965999527</v>
      </c>
      <c r="D18" s="65">
        <v>43804.739249999999</v>
      </c>
      <c r="E18" s="65">
        <v>53070.239648912393</v>
      </c>
      <c r="F18" s="65">
        <v>219806.46135</v>
      </c>
      <c r="G18" s="65">
        <v>253327.15072056584</v>
      </c>
      <c r="H18" s="39">
        <v>0.12921682443152172</v>
      </c>
      <c r="I18" s="39">
        <v>0.15250092815602234</v>
      </c>
      <c r="J18" s="39">
        <v>0.14552065397886782</v>
      </c>
    </row>
    <row r="19" spans="1:10" ht="11.25" customHeight="1" x14ac:dyDescent="0.2">
      <c r="A19" s="74">
        <v>44501</v>
      </c>
      <c r="B19" s="65">
        <v>50912.4</v>
      </c>
      <c r="C19" s="65">
        <v>53842.240241120016</v>
      </c>
      <c r="D19" s="65">
        <v>43053.1299</v>
      </c>
      <c r="E19" s="65">
        <v>52159.651228348666</v>
      </c>
      <c r="F19" s="65">
        <v>216034.98378000001</v>
      </c>
      <c r="G19" s="65">
        <v>248980.51932062121</v>
      </c>
      <c r="H19" s="39">
        <v>0.12809337192349179</v>
      </c>
      <c r="I19" s="39">
        <v>0.15250092815602212</v>
      </c>
      <c r="J19" s="39">
        <v>0.1451026534637383</v>
      </c>
    </row>
    <row r="20" spans="1:10" ht="11.25" customHeight="1" x14ac:dyDescent="0.2">
      <c r="A20" s="74">
        <v>44531</v>
      </c>
      <c r="B20" s="65">
        <v>50912.400000000009</v>
      </c>
      <c r="C20" s="65">
        <v>53842.240241120016</v>
      </c>
      <c r="D20" s="65">
        <v>42964.476750000002</v>
      </c>
      <c r="E20" s="65">
        <v>52052.246322014675</v>
      </c>
      <c r="F20" s="65">
        <v>215590.13385000001</v>
      </c>
      <c r="G20" s="65">
        <v>248467.82936340605</v>
      </c>
      <c r="H20" s="39">
        <v>0.12801458920643816</v>
      </c>
      <c r="I20" s="39">
        <v>0.15250092815602212</v>
      </c>
      <c r="J20" s="39">
        <v>0.14507299256065109</v>
      </c>
    </row>
    <row r="21" spans="1:10" ht="11.25" customHeight="1" x14ac:dyDescent="0.2">
      <c r="A21" s="74">
        <v>44562</v>
      </c>
      <c r="B21" s="65">
        <v>50912.400000000009</v>
      </c>
      <c r="C21" s="65">
        <v>53842.240241120016</v>
      </c>
      <c r="D21" s="65">
        <v>42964.476750000002</v>
      </c>
      <c r="E21" s="65">
        <v>52052.246322014675</v>
      </c>
      <c r="F21" s="65">
        <v>215590.13385000001</v>
      </c>
      <c r="G21" s="65">
        <v>248467.82936340605</v>
      </c>
      <c r="H21" s="39">
        <v>0.12801458920643816</v>
      </c>
      <c r="I21" s="39">
        <v>0.15250092815602212</v>
      </c>
      <c r="J21" s="39">
        <v>0.14507299256065109</v>
      </c>
    </row>
    <row r="22" spans="1:10" ht="11.25" customHeight="1" x14ac:dyDescent="0.2">
      <c r="A22" s="73" t="s">
        <v>34</v>
      </c>
      <c r="B22" s="65">
        <v>1053896.76</v>
      </c>
      <c r="C22" s="65">
        <v>1130819.614477505</v>
      </c>
      <c r="D22" s="65">
        <v>53609.402249999999</v>
      </c>
      <c r="E22" s="65">
        <v>64948.767497627399</v>
      </c>
      <c r="F22" s="65">
        <v>450245.28900000011</v>
      </c>
      <c r="G22" s="65">
        <v>500572.36253459036</v>
      </c>
      <c r="H22" s="39">
        <v>7.9694563094637738E-2</v>
      </c>
      <c r="I22" s="39">
        <v>0.11177701302853671</v>
      </c>
      <c r="J22" s="39">
        <v>8.8967526333237457E-2</v>
      </c>
    </row>
    <row r="23" spans="1:10" ht="11.25" customHeight="1" x14ac:dyDescent="0.2">
      <c r="A23" s="74">
        <v>44228</v>
      </c>
      <c r="B23" s="65">
        <v>85160.01</v>
      </c>
      <c r="C23" s="65">
        <v>91375.75266584981</v>
      </c>
      <c r="D23" s="65">
        <v>4122.7861499999999</v>
      </c>
      <c r="E23" s="65">
        <v>4994.8305308475692</v>
      </c>
      <c r="F23" s="65">
        <v>34625.736600000004</v>
      </c>
      <c r="G23" s="65">
        <v>38496.09801106088</v>
      </c>
      <c r="H23" s="39">
        <v>7.9385809498948801E-2</v>
      </c>
      <c r="I23" s="39">
        <v>0.11177701302853649</v>
      </c>
      <c r="J23" s="39">
        <v>8.8437399867106858E-2</v>
      </c>
    </row>
    <row r="24" spans="1:10" ht="11.25" customHeight="1" x14ac:dyDescent="0.2">
      <c r="A24" s="74">
        <v>44256</v>
      </c>
      <c r="B24" s="65">
        <v>75944.51999999999</v>
      </c>
      <c r="C24" s="65">
        <v>81487.633407354981</v>
      </c>
      <c r="D24" s="65">
        <v>4706.2556999999997</v>
      </c>
      <c r="E24" s="65">
        <v>5701.7145204912949</v>
      </c>
      <c r="F24" s="65">
        <v>39526.078800000003</v>
      </c>
      <c r="G24" s="65">
        <v>43944.18582499458</v>
      </c>
      <c r="H24" s="39">
        <v>8.1072651454315636E-2</v>
      </c>
      <c r="I24" s="39">
        <v>0.11177701302853693</v>
      </c>
      <c r="J24" s="39">
        <v>9.1171293327875214E-2</v>
      </c>
    </row>
    <row r="25" spans="1:10" ht="11.25" customHeight="1" x14ac:dyDescent="0.2">
      <c r="A25" s="74">
        <v>44287</v>
      </c>
      <c r="B25" s="65">
        <v>84974.959999999992</v>
      </c>
      <c r="C25" s="65">
        <v>91177.196054233442</v>
      </c>
      <c r="D25" s="65">
        <v>4272.3310499999998</v>
      </c>
      <c r="E25" s="65">
        <v>5176.0069016502466</v>
      </c>
      <c r="F25" s="65">
        <v>35881.708200000001</v>
      </c>
      <c r="G25" s="65">
        <v>39892.458364957551</v>
      </c>
      <c r="H25" s="39">
        <v>7.9620477241182375E-2</v>
      </c>
      <c r="I25" s="39">
        <v>0.11177701302853671</v>
      </c>
      <c r="J25" s="39">
        <v>8.8841612555622174E-2</v>
      </c>
    </row>
    <row r="26" spans="1:10" ht="11.25" customHeight="1" x14ac:dyDescent="0.2">
      <c r="A26" s="74">
        <v>44317</v>
      </c>
      <c r="B26" s="65">
        <v>81236.95</v>
      </c>
      <c r="C26" s="65">
        <v>87166.352499582936</v>
      </c>
      <c r="D26" s="65">
        <v>4190.9237999999996</v>
      </c>
      <c r="E26" s="65">
        <v>5077.380535174183</v>
      </c>
      <c r="F26" s="65">
        <v>35197.999199999998</v>
      </c>
      <c r="G26" s="65">
        <v>39132.326415156829</v>
      </c>
      <c r="H26" s="39">
        <v>7.9784956965148091E-2</v>
      </c>
      <c r="I26" s="39">
        <v>0.11177701302853693</v>
      </c>
      <c r="J26" s="39">
        <v>8.9120071694021696E-2</v>
      </c>
    </row>
    <row r="27" spans="1:10" ht="11.25" customHeight="1" x14ac:dyDescent="0.2">
      <c r="A27" s="74">
        <v>44348</v>
      </c>
      <c r="B27" s="65">
        <v>80644.790000000008</v>
      </c>
      <c r="C27" s="65">
        <v>86530.971342410572</v>
      </c>
      <c r="D27" s="65">
        <v>4105.5880500000003</v>
      </c>
      <c r="E27" s="65">
        <v>4973.9947193775597</v>
      </c>
      <c r="F27" s="65">
        <v>34481.296200000004</v>
      </c>
      <c r="G27" s="65">
        <v>38335.512494588242</v>
      </c>
      <c r="H27" s="39">
        <v>7.9699798009197353E-2</v>
      </c>
      <c r="I27" s="39">
        <v>0.11177701302853671</v>
      </c>
      <c r="J27" s="39">
        <v>8.8976393002183851E-2</v>
      </c>
    </row>
    <row r="28" spans="1:10" ht="11.25" customHeight="1" x14ac:dyDescent="0.2">
      <c r="A28" s="74">
        <v>44378</v>
      </c>
      <c r="B28" s="65">
        <v>80163.659999999989</v>
      </c>
      <c r="C28" s="65">
        <v>86014.724152208029</v>
      </c>
      <c r="D28" s="65">
        <v>4113.4450499999994</v>
      </c>
      <c r="E28" s="65">
        <v>4983.5136180186801</v>
      </c>
      <c r="F28" s="65">
        <v>34547.284200000002</v>
      </c>
      <c r="G28" s="65">
        <v>38408.876436123966</v>
      </c>
      <c r="H28" s="39">
        <v>7.9750398595670902E-2</v>
      </c>
      <c r="I28" s="39">
        <v>0.11177701302853693</v>
      </c>
      <c r="J28" s="39">
        <v>8.9061892286147026E-2</v>
      </c>
    </row>
    <row r="29" spans="1:10" ht="11.25" customHeight="1" x14ac:dyDescent="0.2">
      <c r="A29" s="74">
        <v>44409</v>
      </c>
      <c r="B29" s="65">
        <v>85974.23</v>
      </c>
      <c r="C29" s="65">
        <v>92249.401756961801</v>
      </c>
      <c r="D29" s="65">
        <v>4560.5519999999997</v>
      </c>
      <c r="E29" s="65">
        <v>5525.1918334687198</v>
      </c>
      <c r="F29" s="65">
        <v>38302.368000000002</v>
      </c>
      <c r="G29" s="65">
        <v>42583.692286959813</v>
      </c>
      <c r="H29" s="39">
        <v>7.9967184219105203E-2</v>
      </c>
      <c r="I29" s="39">
        <v>0.11177701302853671</v>
      </c>
      <c r="J29" s="39">
        <v>8.9424019992605741E-2</v>
      </c>
    </row>
    <row r="30" spans="1:10" ht="11.25" customHeight="1" x14ac:dyDescent="0.2">
      <c r="A30" s="74">
        <v>44440</v>
      </c>
      <c r="B30" s="65">
        <v>93968.389999999985</v>
      </c>
      <c r="C30" s="65">
        <v>100827.04737878864</v>
      </c>
      <c r="D30" s="65">
        <v>4475.9583000000002</v>
      </c>
      <c r="E30" s="65">
        <v>5422.705024765979</v>
      </c>
      <c r="F30" s="65">
        <v>37591.897199999999</v>
      </c>
      <c r="G30" s="65">
        <v>41793.80718309182</v>
      </c>
      <c r="H30" s="39">
        <v>7.9287478035492631E-2</v>
      </c>
      <c r="I30" s="39">
        <v>0.11177701302853693</v>
      </c>
      <c r="J30" s="39">
        <v>8.8265550423813011E-2</v>
      </c>
    </row>
    <row r="31" spans="1:10" ht="11.25" customHeight="1" x14ac:dyDescent="0.2">
      <c r="A31" s="74">
        <v>44470</v>
      </c>
      <c r="B31" s="65">
        <v>93931.38</v>
      </c>
      <c r="C31" s="65">
        <v>100787.33605646537</v>
      </c>
      <c r="D31" s="65">
        <v>4487.1763499999997</v>
      </c>
      <c r="E31" s="65">
        <v>5436.2958967146897</v>
      </c>
      <c r="F31" s="65">
        <v>37686.113400000002</v>
      </c>
      <c r="G31" s="65">
        <v>41898.554588506711</v>
      </c>
      <c r="H31" s="39">
        <v>7.9304918631638355E-2</v>
      </c>
      <c r="I31" s="39">
        <v>0.11177701302853671</v>
      </c>
      <c r="J31" s="39">
        <v>8.829613865388164E-2</v>
      </c>
    </row>
    <row r="32" spans="1:10" ht="11.25" customHeight="1" x14ac:dyDescent="0.2">
      <c r="A32" s="74">
        <v>44501</v>
      </c>
      <c r="B32" s="65">
        <v>96707.13</v>
      </c>
      <c r="C32" s="65">
        <v>103765.68523071081</v>
      </c>
      <c r="D32" s="65">
        <v>4484.3391000000001</v>
      </c>
      <c r="E32" s="65">
        <v>5432.8585166498415</v>
      </c>
      <c r="F32" s="65">
        <v>37662.284400000004</v>
      </c>
      <c r="G32" s="65">
        <v>41872.062054063259</v>
      </c>
      <c r="H32" s="39">
        <v>7.9127961265666125E-2</v>
      </c>
      <c r="I32" s="39">
        <v>0.11177701302853671</v>
      </c>
      <c r="J32" s="39">
        <v>8.7983594202398763E-2</v>
      </c>
    </row>
    <row r="33" spans="1:10" ht="11.25" customHeight="1" x14ac:dyDescent="0.2">
      <c r="A33" s="74">
        <v>44531</v>
      </c>
      <c r="B33" s="65">
        <v>97595.37</v>
      </c>
      <c r="C33" s="65">
        <v>104718.75696646933</v>
      </c>
      <c r="D33" s="65">
        <v>5045.0233500000004</v>
      </c>
      <c r="E33" s="65">
        <v>6112.1377002343143</v>
      </c>
      <c r="F33" s="65">
        <v>42371.261400000003</v>
      </c>
      <c r="G33" s="65">
        <v>47107.394437543349</v>
      </c>
      <c r="H33" s="39">
        <v>7.9798031256313795E-2</v>
      </c>
      <c r="I33" s="39">
        <v>0.11177701302853693</v>
      </c>
      <c r="J33" s="39">
        <v>8.9142037421285458E-2</v>
      </c>
    </row>
    <row r="34" spans="1:10" ht="11.25" customHeight="1" x14ac:dyDescent="0.2">
      <c r="A34" s="74">
        <v>44562</v>
      </c>
      <c r="B34" s="65">
        <v>97595.37</v>
      </c>
      <c r="C34" s="65">
        <v>104718.75696646933</v>
      </c>
      <c r="D34" s="65">
        <v>5045.0233500000004</v>
      </c>
      <c r="E34" s="65">
        <v>6112.1377002343143</v>
      </c>
      <c r="F34" s="65">
        <v>42371.261400000003</v>
      </c>
      <c r="G34" s="65">
        <v>47107.394437543349</v>
      </c>
      <c r="H34" s="39">
        <v>7.9798031256313795E-2</v>
      </c>
      <c r="I34" s="39">
        <v>0.11177701302853693</v>
      </c>
      <c r="J34" s="39">
        <v>8.9142037421285458E-2</v>
      </c>
    </row>
    <row r="35" spans="1:10" ht="11.25" customHeight="1" x14ac:dyDescent="0.2">
      <c r="A35" s="69" t="s">
        <v>38</v>
      </c>
      <c r="B35" s="65">
        <v>236243.39999999991</v>
      </c>
      <c r="C35" s="65">
        <v>250627.12288815677</v>
      </c>
      <c r="D35" s="65">
        <v>49600.804499999991</v>
      </c>
      <c r="E35" s="65">
        <v>60092.278293697462</v>
      </c>
      <c r="F35" s="65">
        <v>255692.45147999999</v>
      </c>
      <c r="G35" s="65">
        <v>293997.63247563987</v>
      </c>
      <c r="H35" s="39">
        <v>8.7023617377047113E-2</v>
      </c>
      <c r="I35" s="39">
        <v>0.14980958872239558</v>
      </c>
      <c r="J35" s="39">
        <v>0.11666870004055219</v>
      </c>
    </row>
    <row r="36" spans="1:10" ht="11.25" customHeight="1" x14ac:dyDescent="0.2">
      <c r="A36" s="70" t="s">
        <v>25</v>
      </c>
      <c r="B36" s="65">
        <v>236243.39999999991</v>
      </c>
      <c r="C36" s="65">
        <v>250627.12288815677</v>
      </c>
      <c r="D36" s="65">
        <v>49600.804499999991</v>
      </c>
      <c r="E36" s="65">
        <v>60092.278293697462</v>
      </c>
      <c r="F36" s="65">
        <v>255692.45147999999</v>
      </c>
      <c r="G36" s="65">
        <v>293997.63247563987</v>
      </c>
      <c r="H36" s="39">
        <v>8.7023617377047113E-2</v>
      </c>
      <c r="I36" s="39">
        <v>0.14980958872239558</v>
      </c>
      <c r="J36" s="39">
        <v>0.11666870004055219</v>
      </c>
    </row>
    <row r="37" spans="1:10" ht="11.25" customHeight="1" x14ac:dyDescent="0.2">
      <c r="A37" s="71" t="s">
        <v>25</v>
      </c>
      <c r="B37" s="65">
        <v>236243.39999999991</v>
      </c>
      <c r="C37" s="65">
        <v>250627.12288815677</v>
      </c>
      <c r="D37" s="65">
        <v>49600.804499999991</v>
      </c>
      <c r="E37" s="65">
        <v>60092.278293697462</v>
      </c>
      <c r="F37" s="65">
        <v>255692.45147999999</v>
      </c>
      <c r="G37" s="65">
        <v>293997.63247563987</v>
      </c>
      <c r="H37" s="39">
        <v>8.7023617377047113E-2</v>
      </c>
      <c r="I37" s="39">
        <v>0.14980958872239558</v>
      </c>
      <c r="J37" s="39">
        <v>0.11666870004055219</v>
      </c>
    </row>
    <row r="38" spans="1:10" ht="11.25" customHeight="1" x14ac:dyDescent="0.2">
      <c r="A38" s="72" t="s">
        <v>25</v>
      </c>
      <c r="B38" s="65">
        <v>236243.39999999991</v>
      </c>
      <c r="C38" s="65">
        <v>250627.12288815677</v>
      </c>
      <c r="D38" s="65">
        <v>49600.804499999991</v>
      </c>
      <c r="E38" s="65">
        <v>60092.278293697462</v>
      </c>
      <c r="F38" s="65">
        <v>255692.45147999999</v>
      </c>
      <c r="G38" s="65">
        <v>293997.63247563987</v>
      </c>
      <c r="H38" s="39">
        <v>8.7023617377047113E-2</v>
      </c>
      <c r="I38" s="39">
        <v>0.14980958872239558</v>
      </c>
      <c r="J38" s="39">
        <v>0.11666870004055219</v>
      </c>
    </row>
    <row r="39" spans="1:10" ht="11.25" customHeight="1" x14ac:dyDescent="0.2">
      <c r="A39" s="73" t="s">
        <v>35</v>
      </c>
      <c r="B39" s="65">
        <v>185169.59999999998</v>
      </c>
      <c r="C39" s="65">
        <v>195825.4980820409</v>
      </c>
      <c r="D39" s="65">
        <v>47588.801399999997</v>
      </c>
      <c r="E39" s="65">
        <v>57654.699882787158</v>
      </c>
      <c r="F39" s="65">
        <v>238794.39108</v>
      </c>
      <c r="G39" s="65">
        <v>275210.75735815213</v>
      </c>
      <c r="H39" s="39">
        <v>8.9027061709438637E-2</v>
      </c>
      <c r="I39" s="39">
        <v>0.15250092815602212</v>
      </c>
      <c r="J39" s="39">
        <v>0.12117023534624427</v>
      </c>
    </row>
    <row r="40" spans="1:10" ht="11.25" customHeight="1" x14ac:dyDescent="0.2">
      <c r="A40" s="74">
        <v>44228</v>
      </c>
      <c r="B40" s="65">
        <v>15430.800000000001</v>
      </c>
      <c r="C40" s="65">
        <v>16318.791506836738</v>
      </c>
      <c r="D40" s="65">
        <v>4537.5920999999998</v>
      </c>
      <c r="E40" s="65">
        <v>5497.3754963285528</v>
      </c>
      <c r="F40" s="65">
        <v>22769.044619999997</v>
      </c>
      <c r="G40" s="65">
        <v>26241.345057775881</v>
      </c>
      <c r="H40" s="39">
        <v>9.2534986989027068E-2</v>
      </c>
      <c r="I40" s="39">
        <v>0.15250092815602234</v>
      </c>
      <c r="J40" s="39">
        <v>0.12448278954576408</v>
      </c>
    </row>
    <row r="41" spans="1:10" ht="11.25" customHeight="1" x14ac:dyDescent="0.2">
      <c r="A41" s="74">
        <v>44256</v>
      </c>
      <c r="B41" s="65">
        <v>15430.800000000001</v>
      </c>
      <c r="C41" s="65">
        <v>16318.791506836738</v>
      </c>
      <c r="D41" s="65">
        <v>4253.7797999999993</v>
      </c>
      <c r="E41" s="65">
        <v>5153.531724303155</v>
      </c>
      <c r="F41" s="65">
        <v>21344.91156</v>
      </c>
      <c r="G41" s="65">
        <v>24600.030384308207</v>
      </c>
      <c r="H41" s="39">
        <v>9.0819486588171516E-2</v>
      </c>
      <c r="I41" s="39">
        <v>0.15250092815602212</v>
      </c>
      <c r="J41" s="39">
        <v>0.12290823230541981</v>
      </c>
    </row>
    <row r="42" spans="1:10" ht="11.25" customHeight="1" x14ac:dyDescent="0.2">
      <c r="A42" s="74">
        <v>44287</v>
      </c>
      <c r="B42" s="65">
        <v>15430.800000000001</v>
      </c>
      <c r="C42" s="65">
        <v>16318.791506836738</v>
      </c>
      <c r="D42" s="65">
        <v>2739.3867</v>
      </c>
      <c r="E42" s="65">
        <v>3318.8168939972234</v>
      </c>
      <c r="F42" s="65">
        <v>13745.884740000001</v>
      </c>
      <c r="G42" s="65">
        <v>15842.144921175703</v>
      </c>
      <c r="H42" s="39">
        <v>8.0759858171075338E-2</v>
      </c>
      <c r="I42" s="39">
        <v>0.15250092815602212</v>
      </c>
      <c r="J42" s="39">
        <v>0.11165791155434457</v>
      </c>
    </row>
    <row r="43" spans="1:10" ht="11.25" customHeight="1" x14ac:dyDescent="0.2">
      <c r="A43" s="74">
        <v>44317</v>
      </c>
      <c r="B43" s="65">
        <v>15430.800000000001</v>
      </c>
      <c r="C43" s="65">
        <v>16318.791506836738</v>
      </c>
      <c r="D43" s="65">
        <v>4246.0100999999995</v>
      </c>
      <c r="E43" s="65">
        <v>5144.1185912024903</v>
      </c>
      <c r="F43" s="65">
        <v>21305.924220000001</v>
      </c>
      <c r="G43" s="65">
        <v>24555.097438771874</v>
      </c>
      <c r="H43" s="39">
        <v>9.0771826783001996E-2</v>
      </c>
      <c r="I43" s="39">
        <v>0.15250092815602212</v>
      </c>
      <c r="J43" s="39">
        <v>0.12286328133927915</v>
      </c>
    </row>
    <row r="44" spans="1:10" ht="11.25" customHeight="1" x14ac:dyDescent="0.2">
      <c r="A44" s="74">
        <v>44348</v>
      </c>
      <c r="B44" s="65">
        <v>15430.800000000001</v>
      </c>
      <c r="C44" s="65">
        <v>16318.791506836738</v>
      </c>
      <c r="D44" s="65">
        <v>4826.817</v>
      </c>
      <c r="E44" s="65">
        <v>5847.77673186228</v>
      </c>
      <c r="F44" s="65">
        <v>24220.3374</v>
      </c>
      <c r="G44" s="65">
        <v>27913.961333752017</v>
      </c>
      <c r="H44" s="39">
        <v>9.4233751121813425E-2</v>
      </c>
      <c r="I44" s="39">
        <v>0.15250092815602212</v>
      </c>
      <c r="J44" s="39">
        <v>0.12596296857687839</v>
      </c>
    </row>
    <row r="45" spans="1:10" ht="11.25" customHeight="1" x14ac:dyDescent="0.2">
      <c r="A45" s="74">
        <v>44378</v>
      </c>
      <c r="B45" s="65">
        <v>15430.800000000001</v>
      </c>
      <c r="C45" s="65">
        <v>16318.791506836738</v>
      </c>
      <c r="D45" s="65">
        <v>4409.5229999999992</v>
      </c>
      <c r="E45" s="65">
        <v>5342.2174484782736</v>
      </c>
      <c r="F45" s="65">
        <v>22126.410599999999</v>
      </c>
      <c r="G45" s="65">
        <v>25500.708753261246</v>
      </c>
      <c r="H45" s="39">
        <v>9.1766951340207958E-2</v>
      </c>
      <c r="I45" s="39">
        <v>0.15250092815602212</v>
      </c>
      <c r="J45" s="39">
        <v>0.1237881451077778</v>
      </c>
    </row>
    <row r="46" spans="1:10" ht="11.25" customHeight="1" x14ac:dyDescent="0.2">
      <c r="A46" s="74">
        <v>44409</v>
      </c>
      <c r="B46" s="65">
        <v>15430.800000000001</v>
      </c>
      <c r="C46" s="65">
        <v>16318.791506836738</v>
      </c>
      <c r="D46" s="65">
        <v>4524.0605999999998</v>
      </c>
      <c r="E46" s="65">
        <v>5480.9818375577333</v>
      </c>
      <c r="F46" s="65">
        <v>22701.14532</v>
      </c>
      <c r="G46" s="65">
        <v>26163.09105150474</v>
      </c>
      <c r="H46" s="39">
        <v>9.2454303809793137E-2</v>
      </c>
      <c r="I46" s="39">
        <v>0.15250092815602234</v>
      </c>
      <c r="J46" s="39">
        <v>0.12441058091214785</v>
      </c>
    </row>
    <row r="47" spans="1:10" ht="11.25" customHeight="1" x14ac:dyDescent="0.2">
      <c r="A47" s="74">
        <v>44440</v>
      </c>
      <c r="B47" s="65">
        <v>15430.800000000001</v>
      </c>
      <c r="C47" s="65">
        <v>16318.791506836738</v>
      </c>
      <c r="D47" s="65">
        <v>4896.0459000000001</v>
      </c>
      <c r="E47" s="65">
        <v>5931.6488054446054</v>
      </c>
      <c r="F47" s="65">
        <v>24567.718979999998</v>
      </c>
      <c r="G47" s="65">
        <v>28314.318927126322</v>
      </c>
      <c r="H47" s="39">
        <v>9.4633196992030433E-2</v>
      </c>
      <c r="I47" s="39">
        <v>0.15250092815602234</v>
      </c>
      <c r="J47" s="39">
        <v>0.12630024089917558</v>
      </c>
    </row>
    <row r="48" spans="1:10" ht="11.25" customHeight="1" x14ac:dyDescent="0.2">
      <c r="A48" s="74">
        <v>44470</v>
      </c>
      <c r="B48" s="65">
        <v>15430.800000000001</v>
      </c>
      <c r="C48" s="65">
        <v>16318.791506836738</v>
      </c>
      <c r="D48" s="65">
        <v>3251.6630999999998</v>
      </c>
      <c r="E48" s="65">
        <v>3939.449085398342</v>
      </c>
      <c r="F48" s="65">
        <v>16316.420819999999</v>
      </c>
      <c r="G48" s="65">
        <v>18804.690139234244</v>
      </c>
      <c r="H48" s="39">
        <v>8.4345275234884776E-2</v>
      </c>
      <c r="I48" s="39">
        <v>0.15250092815602212</v>
      </c>
      <c r="J48" s="39">
        <v>0.11611932599790542</v>
      </c>
    </row>
    <row r="49" spans="1:10" ht="11.25" customHeight="1" x14ac:dyDescent="0.2">
      <c r="A49" s="74">
        <v>44501</v>
      </c>
      <c r="B49" s="65">
        <v>15430.800000000001</v>
      </c>
      <c r="C49" s="65">
        <v>16318.791506836738</v>
      </c>
      <c r="D49" s="65">
        <v>3145.5063</v>
      </c>
      <c r="E49" s="65">
        <v>3810.8381882027456</v>
      </c>
      <c r="F49" s="65">
        <v>15783.73986</v>
      </c>
      <c r="G49" s="65">
        <v>18190.774838423204</v>
      </c>
      <c r="H49" s="39">
        <v>8.3618528352941812E-2</v>
      </c>
      <c r="I49" s="39">
        <v>0.15250092815602212</v>
      </c>
      <c r="J49" s="39">
        <v>0.11526056615352021</v>
      </c>
    </row>
    <row r="50" spans="1:10" ht="11.25" customHeight="1" x14ac:dyDescent="0.2">
      <c r="A50" s="74">
        <v>44531</v>
      </c>
      <c r="B50" s="65">
        <v>15430.800000000001</v>
      </c>
      <c r="C50" s="65">
        <v>16318.791506836738</v>
      </c>
      <c r="D50" s="65">
        <v>3379.2083999999995</v>
      </c>
      <c r="E50" s="65">
        <v>4093.9725400058801</v>
      </c>
      <c r="F50" s="65">
        <v>16956.426479999998</v>
      </c>
      <c r="G50" s="65">
        <v>19542.297256409351</v>
      </c>
      <c r="H50" s="39">
        <v>8.5207598676171781E-2</v>
      </c>
      <c r="I50" s="39">
        <v>0.15250092815602212</v>
      </c>
      <c r="J50" s="39">
        <v>0.11711053777949165</v>
      </c>
    </row>
    <row r="51" spans="1:10" ht="11.25" customHeight="1" x14ac:dyDescent="0.2">
      <c r="A51" s="74">
        <v>44562</v>
      </c>
      <c r="B51" s="65">
        <v>15430.800000000001</v>
      </c>
      <c r="C51" s="65">
        <v>16318.791506836738</v>
      </c>
      <c r="D51" s="65">
        <v>3379.2083999999995</v>
      </c>
      <c r="E51" s="65">
        <v>4093.9725400058801</v>
      </c>
      <c r="F51" s="65">
        <v>16956.426479999998</v>
      </c>
      <c r="G51" s="65">
        <v>19542.297256409351</v>
      </c>
      <c r="H51" s="39">
        <v>8.5207598676171781E-2</v>
      </c>
      <c r="I51" s="39">
        <v>0.15250092815602212</v>
      </c>
      <c r="J51" s="39">
        <v>0.11711053777949165</v>
      </c>
    </row>
    <row r="52" spans="1:10" ht="11.25" customHeight="1" x14ac:dyDescent="0.2">
      <c r="A52" s="73" t="s">
        <v>34</v>
      </c>
      <c r="B52" s="65">
        <v>51073.80000000001</v>
      </c>
      <c r="C52" s="65">
        <v>54801.624806115935</v>
      </c>
      <c r="D52" s="65">
        <v>2012.0030999999999</v>
      </c>
      <c r="E52" s="65">
        <v>2437.5784109102906</v>
      </c>
      <c r="F52" s="65">
        <v>16898.060399999998</v>
      </c>
      <c r="G52" s="65">
        <v>18786.875117487802</v>
      </c>
      <c r="H52" s="39">
        <v>7.8239376151139295E-2</v>
      </c>
      <c r="I52" s="39">
        <v>0.11177701302853693</v>
      </c>
      <c r="J52" s="39">
        <v>8.6337257366678744E-2</v>
      </c>
    </row>
    <row r="53" spans="1:10" ht="11.25" customHeight="1" x14ac:dyDescent="0.2">
      <c r="A53" s="74">
        <v>44228</v>
      </c>
      <c r="B53" s="65">
        <v>4256.1499999999996</v>
      </c>
      <c r="C53" s="65">
        <v>4566.802067176327</v>
      </c>
      <c r="D53" s="65">
        <v>160.45740000000001</v>
      </c>
      <c r="E53" s="65">
        <v>194.39706335979147</v>
      </c>
      <c r="F53" s="65">
        <v>1347.6216000000002</v>
      </c>
      <c r="G53" s="65">
        <v>1498.2547171407377</v>
      </c>
      <c r="H53" s="39">
        <v>7.8021816142435307E-2</v>
      </c>
      <c r="I53" s="39">
        <v>0.11177701302853671</v>
      </c>
      <c r="J53" s="39">
        <v>8.591345827462038E-2</v>
      </c>
    </row>
    <row r="54" spans="1:10" ht="11.25" customHeight="1" x14ac:dyDescent="0.2">
      <c r="A54" s="74">
        <v>44256</v>
      </c>
      <c r="B54" s="65">
        <v>4256.1499999999996</v>
      </c>
      <c r="C54" s="65">
        <v>4566.802067176327</v>
      </c>
      <c r="D54" s="65">
        <v>181.9332</v>
      </c>
      <c r="E54" s="65">
        <v>220.41538631219012</v>
      </c>
      <c r="F54" s="65">
        <v>1527.9888000000001</v>
      </c>
      <c r="G54" s="65">
        <v>1698.7828240050585</v>
      </c>
      <c r="H54" s="39">
        <v>7.8667802687546917E-2</v>
      </c>
      <c r="I54" s="39">
        <v>0.11177701302853693</v>
      </c>
      <c r="J54" s="39">
        <v>8.714750299586993E-2</v>
      </c>
    </row>
    <row r="55" spans="1:10" ht="11.25" customHeight="1" x14ac:dyDescent="0.2">
      <c r="A55" s="74">
        <v>44287</v>
      </c>
      <c r="B55" s="65">
        <v>4256.1499999999996</v>
      </c>
      <c r="C55" s="65">
        <v>4566.802067176327</v>
      </c>
      <c r="D55" s="65">
        <v>146.14019999999999</v>
      </c>
      <c r="E55" s="65">
        <v>177.05151472485903</v>
      </c>
      <c r="F55" s="65">
        <v>1227.3768</v>
      </c>
      <c r="G55" s="65">
        <v>1364.5693125645239</v>
      </c>
      <c r="H55" s="39">
        <v>7.7587656965728113E-2</v>
      </c>
      <c r="I55" s="39">
        <v>0.11177701302853693</v>
      </c>
      <c r="J55" s="39">
        <v>8.5041600944729012E-2</v>
      </c>
    </row>
    <row r="56" spans="1:10" ht="11.25" customHeight="1" x14ac:dyDescent="0.2">
      <c r="A56" s="74">
        <v>44317</v>
      </c>
      <c r="B56" s="65">
        <v>4256.1499999999996</v>
      </c>
      <c r="C56" s="65">
        <v>4566.802067176327</v>
      </c>
      <c r="D56" s="65">
        <v>146.14019999999999</v>
      </c>
      <c r="E56" s="65">
        <v>177.05151472485903</v>
      </c>
      <c r="F56" s="65">
        <v>1227.3768</v>
      </c>
      <c r="G56" s="65">
        <v>1364.5693125645239</v>
      </c>
      <c r="H56" s="39">
        <v>7.7587656965728113E-2</v>
      </c>
      <c r="I56" s="39">
        <v>0.11177701302853693</v>
      </c>
      <c r="J56" s="39">
        <v>8.5041600944729012E-2</v>
      </c>
    </row>
    <row r="57" spans="1:10" ht="11.25" customHeight="1" x14ac:dyDescent="0.2">
      <c r="A57" s="74">
        <v>44348</v>
      </c>
      <c r="B57" s="65">
        <v>4256.1499999999996</v>
      </c>
      <c r="C57" s="65">
        <v>4566.802067176327</v>
      </c>
      <c r="D57" s="65">
        <v>174.77459999999996</v>
      </c>
      <c r="E57" s="65">
        <v>211.74261199472389</v>
      </c>
      <c r="F57" s="65">
        <v>1467.8663999999999</v>
      </c>
      <c r="G57" s="65">
        <v>1631.9401217169514</v>
      </c>
      <c r="H57" s="39">
        <v>7.8453169609578044E-2</v>
      </c>
      <c r="I57" s="39">
        <v>0.11177701302853693</v>
      </c>
      <c r="J57" s="39">
        <v>8.6745538346417739E-2</v>
      </c>
    </row>
    <row r="58" spans="1:10" ht="11.25" customHeight="1" x14ac:dyDescent="0.2">
      <c r="A58" s="74">
        <v>44378</v>
      </c>
      <c r="B58" s="65">
        <v>4256.1499999999996</v>
      </c>
      <c r="C58" s="65">
        <v>4566.802067176327</v>
      </c>
      <c r="D58" s="65">
        <v>157.48920000000001</v>
      </c>
      <c r="E58" s="65">
        <v>190.80103498425672</v>
      </c>
      <c r="F58" s="65">
        <v>1322.6928</v>
      </c>
      <c r="G58" s="65">
        <v>1470.539450338352</v>
      </c>
      <c r="H58" s="39">
        <v>7.7932038976041396E-2</v>
      </c>
      <c r="I58" s="39">
        <v>0.11177701302853693</v>
      </c>
      <c r="J58" s="39">
        <v>8.5736068361966566E-2</v>
      </c>
    </row>
    <row r="59" spans="1:10" ht="11.25" customHeight="1" x14ac:dyDescent="0.2">
      <c r="A59" s="74">
        <v>44409</v>
      </c>
      <c r="B59" s="65">
        <v>4256.1499999999996</v>
      </c>
      <c r="C59" s="65">
        <v>4566.802067176327</v>
      </c>
      <c r="D59" s="65">
        <v>181.9332</v>
      </c>
      <c r="E59" s="65">
        <v>220.41538631219012</v>
      </c>
      <c r="F59" s="65">
        <v>1527.9888000000001</v>
      </c>
      <c r="G59" s="65">
        <v>1698.7828240050585</v>
      </c>
      <c r="H59" s="39">
        <v>7.8667802687546917E-2</v>
      </c>
      <c r="I59" s="39">
        <v>0.11177701302853693</v>
      </c>
      <c r="J59" s="39">
        <v>8.714750299586993E-2</v>
      </c>
    </row>
    <row r="60" spans="1:10" ht="11.25" customHeight="1" x14ac:dyDescent="0.2">
      <c r="A60" s="74">
        <v>44440</v>
      </c>
      <c r="B60" s="65">
        <v>4256.1499999999996</v>
      </c>
      <c r="C60" s="65">
        <v>4566.802067176327</v>
      </c>
      <c r="D60" s="65">
        <v>181.9332</v>
      </c>
      <c r="E60" s="65">
        <v>220.41538631219012</v>
      </c>
      <c r="F60" s="65">
        <v>1527.9888000000001</v>
      </c>
      <c r="G60" s="65">
        <v>1698.7828240050585</v>
      </c>
      <c r="H60" s="39">
        <v>7.8667802687546917E-2</v>
      </c>
      <c r="I60" s="39">
        <v>0.11177701302853693</v>
      </c>
      <c r="J60" s="39">
        <v>8.714750299586993E-2</v>
      </c>
    </row>
    <row r="61" spans="1:10" ht="11.25" customHeight="1" x14ac:dyDescent="0.2">
      <c r="A61" s="74">
        <v>44470</v>
      </c>
      <c r="B61" s="65">
        <v>4256.1499999999996</v>
      </c>
      <c r="C61" s="65">
        <v>4566.802067176327</v>
      </c>
      <c r="D61" s="65">
        <v>164.0367</v>
      </c>
      <c r="E61" s="65">
        <v>198.73345051852456</v>
      </c>
      <c r="F61" s="65">
        <v>1377.6828</v>
      </c>
      <c r="G61" s="65">
        <v>1531.6760682847912</v>
      </c>
      <c r="H61" s="39">
        <v>7.8129916479512618E-2</v>
      </c>
      <c r="I61" s="39">
        <v>0.11177701302853693</v>
      </c>
      <c r="J61" s="39">
        <v>8.6125099224748647E-2</v>
      </c>
    </row>
    <row r="62" spans="1:10" ht="11.25" customHeight="1" x14ac:dyDescent="0.2">
      <c r="A62" s="74">
        <v>44501</v>
      </c>
      <c r="B62" s="65">
        <v>4256.1499999999996</v>
      </c>
      <c r="C62" s="65">
        <v>4566.802067176327</v>
      </c>
      <c r="D62" s="65">
        <v>167.61599999999999</v>
      </c>
      <c r="E62" s="65">
        <v>203.06983767725768</v>
      </c>
      <c r="F62" s="65">
        <v>1407.7440000000001</v>
      </c>
      <c r="G62" s="65">
        <v>1565.0974194288444</v>
      </c>
      <c r="H62" s="39">
        <v>7.8237841887112802E-2</v>
      </c>
      <c r="I62" s="39">
        <v>0.11177701302853671</v>
      </c>
      <c r="J62" s="39">
        <v>8.6334298369106666E-2</v>
      </c>
    </row>
    <row r="63" spans="1:10" ht="11.25" customHeight="1" x14ac:dyDescent="0.2">
      <c r="A63" s="74">
        <v>44531</v>
      </c>
      <c r="B63" s="65">
        <v>4256.1499999999996</v>
      </c>
      <c r="C63" s="65">
        <v>4566.802067176327</v>
      </c>
      <c r="D63" s="65">
        <v>174.77459999999996</v>
      </c>
      <c r="E63" s="65">
        <v>211.74261199472389</v>
      </c>
      <c r="F63" s="65">
        <v>1467.8663999999999</v>
      </c>
      <c r="G63" s="65">
        <v>1631.9401217169514</v>
      </c>
      <c r="H63" s="39">
        <v>7.8453169609578044E-2</v>
      </c>
      <c r="I63" s="39">
        <v>0.11177701302853693</v>
      </c>
      <c r="J63" s="39">
        <v>8.6745538346417739E-2</v>
      </c>
    </row>
    <row r="64" spans="1:10" ht="11.25" customHeight="1" x14ac:dyDescent="0.2">
      <c r="A64" s="74">
        <v>44562</v>
      </c>
      <c r="B64" s="65">
        <v>4256.1499999999996</v>
      </c>
      <c r="C64" s="65">
        <v>4566.802067176327</v>
      </c>
      <c r="D64" s="65">
        <v>174.77459999999996</v>
      </c>
      <c r="E64" s="65">
        <v>211.74261199472389</v>
      </c>
      <c r="F64" s="65">
        <v>1467.8663999999999</v>
      </c>
      <c r="G64" s="65">
        <v>1631.9401217169514</v>
      </c>
      <c r="H64" s="39">
        <v>7.8453169609578044E-2</v>
      </c>
      <c r="I64" s="39">
        <v>0.11177701302853693</v>
      </c>
      <c r="J64" s="39">
        <v>8.6745538346417739E-2</v>
      </c>
    </row>
    <row r="65" spans="1:10" ht="11.25" customHeight="1" x14ac:dyDescent="0.2">
      <c r="A65" s="69" t="s">
        <v>45</v>
      </c>
      <c r="B65" s="65">
        <v>253341.04000000004</v>
      </c>
      <c r="C65" s="65">
        <v>270228.91665956401</v>
      </c>
      <c r="D65" s="65">
        <v>31624.424999999999</v>
      </c>
      <c r="E65" s="65">
        <v>38313.567030513856</v>
      </c>
      <c r="F65" s="65">
        <v>168673.44447000005</v>
      </c>
      <c r="G65" s="65">
        <v>193386.0147399352</v>
      </c>
      <c r="H65" s="39">
        <v>8.2736406989099009E-2</v>
      </c>
      <c r="I65" s="39">
        <v>0.1465113275393537</v>
      </c>
      <c r="J65" s="39">
        <v>0.10644939830322575</v>
      </c>
    </row>
    <row r="66" spans="1:10" ht="11.25" customHeight="1" x14ac:dyDescent="0.2">
      <c r="A66" s="70" t="s">
        <v>25</v>
      </c>
      <c r="B66" s="65">
        <v>253341.04000000004</v>
      </c>
      <c r="C66" s="65">
        <v>270228.91665956401</v>
      </c>
      <c r="D66" s="65">
        <v>31624.424999999999</v>
      </c>
      <c r="E66" s="65">
        <v>38313.567030513856</v>
      </c>
      <c r="F66" s="65">
        <v>168673.44447000005</v>
      </c>
      <c r="G66" s="65">
        <v>193386.0147399352</v>
      </c>
      <c r="H66" s="39">
        <v>8.2736406989099009E-2</v>
      </c>
      <c r="I66" s="39">
        <v>0.1465113275393537</v>
      </c>
      <c r="J66" s="39">
        <v>0.10644939830322575</v>
      </c>
    </row>
    <row r="67" spans="1:10" ht="11.25" customHeight="1" x14ac:dyDescent="0.2">
      <c r="A67" s="71" t="s">
        <v>25</v>
      </c>
      <c r="B67" s="65">
        <v>253341.04000000004</v>
      </c>
      <c r="C67" s="65">
        <v>270228.91665956401</v>
      </c>
      <c r="D67" s="65">
        <v>31624.424999999999</v>
      </c>
      <c r="E67" s="65">
        <v>38313.567030513856</v>
      </c>
      <c r="F67" s="65">
        <v>168673.44447000005</v>
      </c>
      <c r="G67" s="65">
        <v>193386.0147399352</v>
      </c>
      <c r="H67" s="39">
        <v>8.2736406989099009E-2</v>
      </c>
      <c r="I67" s="39">
        <v>0.1465113275393537</v>
      </c>
      <c r="J67" s="39">
        <v>0.10644939830322575</v>
      </c>
    </row>
    <row r="68" spans="1:10" ht="11.25" customHeight="1" x14ac:dyDescent="0.2">
      <c r="A68" s="72" t="s">
        <v>25</v>
      </c>
      <c r="B68" s="65">
        <v>253341.04000000004</v>
      </c>
      <c r="C68" s="65">
        <v>270228.91665956401</v>
      </c>
      <c r="D68" s="65">
        <v>31624.424999999999</v>
      </c>
      <c r="E68" s="65">
        <v>38313.567030513856</v>
      </c>
      <c r="F68" s="65">
        <v>168673.44447000005</v>
      </c>
      <c r="G68" s="65">
        <v>193386.0147399352</v>
      </c>
      <c r="H68" s="39">
        <v>8.2736406989099009E-2</v>
      </c>
      <c r="I68" s="39">
        <v>0.1465113275393537</v>
      </c>
      <c r="J68" s="39">
        <v>0.10644939830322575</v>
      </c>
    </row>
    <row r="69" spans="1:10" ht="11.25" customHeight="1" x14ac:dyDescent="0.2">
      <c r="A69" s="73" t="s">
        <v>35</v>
      </c>
      <c r="B69" s="65">
        <v>103820.64000000001</v>
      </c>
      <c r="C69" s="65">
        <v>109795.17447354345</v>
      </c>
      <c r="D69" s="65">
        <v>28670.585849999996</v>
      </c>
      <c r="E69" s="65">
        <v>34734.937086384241</v>
      </c>
      <c r="F69" s="65">
        <v>143865.25586999999</v>
      </c>
      <c r="G69" s="65">
        <v>165804.84091957862</v>
      </c>
      <c r="H69" s="39">
        <v>9.0865531907429853E-2</v>
      </c>
      <c r="I69" s="39">
        <v>0.15250092815602234</v>
      </c>
      <c r="J69" s="39">
        <v>0.12295159696645985</v>
      </c>
    </row>
    <row r="70" spans="1:10" ht="11.25" customHeight="1" x14ac:dyDescent="0.2">
      <c r="A70" s="74">
        <v>44228</v>
      </c>
      <c r="B70" s="65">
        <v>8667.1200000000008</v>
      </c>
      <c r="C70" s="65">
        <v>9165.8840918639889</v>
      </c>
      <c r="D70" s="65">
        <v>2412.57915</v>
      </c>
      <c r="E70" s="65">
        <v>2922.8835932967995</v>
      </c>
      <c r="F70" s="65">
        <v>12106.00713</v>
      </c>
      <c r="G70" s="65">
        <v>13952.184453588423</v>
      </c>
      <c r="H70" s="39">
        <v>9.1073640312768545E-2</v>
      </c>
      <c r="I70" s="39">
        <v>0.15250092815602234</v>
      </c>
      <c r="J70" s="39">
        <v>0.12314681400118266</v>
      </c>
    </row>
    <row r="71" spans="1:10" ht="11.25" customHeight="1" x14ac:dyDescent="0.2">
      <c r="A71" s="74">
        <v>44256</v>
      </c>
      <c r="B71" s="65">
        <v>8704.08</v>
      </c>
      <c r="C71" s="65">
        <v>9204.9710176288663</v>
      </c>
      <c r="D71" s="65">
        <v>2490.4070999999999</v>
      </c>
      <c r="E71" s="65">
        <v>3017.1735726141301</v>
      </c>
      <c r="F71" s="65">
        <v>12496.537620000001</v>
      </c>
      <c r="G71" s="65">
        <v>14402.271205786648</v>
      </c>
      <c r="H71" s="39">
        <v>9.1800319305651579E-2</v>
      </c>
      <c r="I71" s="39">
        <v>0.15250092815602212</v>
      </c>
      <c r="J71" s="39">
        <v>0.12381866595889668</v>
      </c>
    </row>
    <row r="72" spans="1:10" ht="11.25" customHeight="1" x14ac:dyDescent="0.2">
      <c r="A72" s="74">
        <v>44287</v>
      </c>
      <c r="B72" s="65">
        <v>8685.6</v>
      </c>
      <c r="C72" s="65">
        <v>9185.4275547464276</v>
      </c>
      <c r="D72" s="65">
        <v>2639.0790000000002</v>
      </c>
      <c r="E72" s="65">
        <v>3197.2922880122396</v>
      </c>
      <c r="F72" s="65">
        <v>13242.5538</v>
      </c>
      <c r="G72" s="65">
        <v>15262.05554565606</v>
      </c>
      <c r="H72" s="39">
        <v>9.3427888133400083E-2</v>
      </c>
      <c r="I72" s="39">
        <v>0.15250092815602234</v>
      </c>
      <c r="J72" s="39">
        <v>0.12527021718191755</v>
      </c>
    </row>
    <row r="73" spans="1:10" ht="11.25" customHeight="1" x14ac:dyDescent="0.2">
      <c r="A73" s="74">
        <v>44317</v>
      </c>
      <c r="B73" s="65">
        <v>8648.64</v>
      </c>
      <c r="C73" s="65">
        <v>9146.3406289815484</v>
      </c>
      <c r="D73" s="65">
        <v>2360.7229499999999</v>
      </c>
      <c r="E73" s="65">
        <v>2860.0588622653977</v>
      </c>
      <c r="F73" s="65">
        <v>11845.799489999999</v>
      </c>
      <c r="G73" s="65">
        <v>13652.294906975134</v>
      </c>
      <c r="H73" s="39">
        <v>9.0562600740395016E-2</v>
      </c>
      <c r="I73" s="39">
        <v>0.15250092815602212</v>
      </c>
      <c r="J73" s="39">
        <v>0.12266515127958466</v>
      </c>
    </row>
    <row r="74" spans="1:10" ht="11.25" customHeight="1" x14ac:dyDescent="0.2">
      <c r="A74" s="74">
        <v>44348</v>
      </c>
      <c r="B74" s="65">
        <v>8593.2000000000007</v>
      </c>
      <c r="C74" s="65">
        <v>9087.7102403342324</v>
      </c>
      <c r="D74" s="65">
        <v>2492.0221499999998</v>
      </c>
      <c r="E74" s="65">
        <v>3019.1302351125828</v>
      </c>
      <c r="F74" s="65">
        <v>12504.641730000001</v>
      </c>
      <c r="G74" s="65">
        <v>14411.611200083527</v>
      </c>
      <c r="H74" s="39">
        <v>9.2160383583004268E-2</v>
      </c>
      <c r="I74" s="39">
        <v>0.15250092815602212</v>
      </c>
      <c r="J74" s="39">
        <v>0.12414602349669579</v>
      </c>
    </row>
    <row r="75" spans="1:10" ht="11.25" customHeight="1" x14ac:dyDescent="0.2">
      <c r="A75" s="74">
        <v>44378</v>
      </c>
      <c r="B75" s="65">
        <v>8574.7199999999993</v>
      </c>
      <c r="C75" s="65">
        <v>9068.1667774517919</v>
      </c>
      <c r="D75" s="65">
        <v>2093.32305</v>
      </c>
      <c r="E75" s="65">
        <v>2536.0990118458976</v>
      </c>
      <c r="F75" s="65">
        <v>10504.021710000001</v>
      </c>
      <c r="G75" s="65">
        <v>12105.894770146007</v>
      </c>
      <c r="H75" s="39">
        <v>8.7759557672359545E-2</v>
      </c>
      <c r="I75" s="39">
        <v>0.15250092815602212</v>
      </c>
      <c r="J75" s="39">
        <v>0.11987946514498082</v>
      </c>
    </row>
    <row r="76" spans="1:10" ht="11.25" customHeight="1" x14ac:dyDescent="0.2">
      <c r="A76" s="74">
        <v>44409</v>
      </c>
      <c r="B76" s="65">
        <v>8685.6</v>
      </c>
      <c r="C76" s="65">
        <v>9185.4275547464276</v>
      </c>
      <c r="D76" s="65">
        <v>1956.8731500000001</v>
      </c>
      <c r="E76" s="65">
        <v>2370.7874721117551</v>
      </c>
      <c r="F76" s="65">
        <v>9819.3339300000007</v>
      </c>
      <c r="G76" s="65">
        <v>11316.791468198922</v>
      </c>
      <c r="H76" s="39">
        <v>8.5858039196291758E-2</v>
      </c>
      <c r="I76" s="39">
        <v>0.15250092815602234</v>
      </c>
      <c r="J76" s="39">
        <v>0.1178390259291362</v>
      </c>
    </row>
    <row r="77" spans="1:10" ht="11.25" customHeight="1" x14ac:dyDescent="0.2">
      <c r="A77" s="74">
        <v>44440</v>
      </c>
      <c r="B77" s="65">
        <v>8593.2000000000007</v>
      </c>
      <c r="C77" s="65">
        <v>9087.7102403342324</v>
      </c>
      <c r="D77" s="65">
        <v>2043.0818999999999</v>
      </c>
      <c r="E77" s="65">
        <v>2475.2309433129485</v>
      </c>
      <c r="F77" s="65">
        <v>10251.918179999999</v>
      </c>
      <c r="G77" s="65">
        <v>11815.345217829597</v>
      </c>
      <c r="H77" s="39">
        <v>8.712248249523924E-2</v>
      </c>
      <c r="I77" s="39">
        <v>0.15250092815602234</v>
      </c>
      <c r="J77" s="39">
        <v>0.11921019101406349</v>
      </c>
    </row>
    <row r="78" spans="1:10" ht="11.25" customHeight="1" x14ac:dyDescent="0.2">
      <c r="A78" s="74">
        <v>44470</v>
      </c>
      <c r="B78" s="65">
        <v>8648.64</v>
      </c>
      <c r="C78" s="65">
        <v>9146.3406289815484</v>
      </c>
      <c r="D78" s="65">
        <v>2311.9659000000001</v>
      </c>
      <c r="E78" s="65">
        <v>2800.9888079202165</v>
      </c>
      <c r="F78" s="65">
        <v>11601.142980000001</v>
      </c>
      <c r="G78" s="65">
        <v>13370.328052120722</v>
      </c>
      <c r="H78" s="39">
        <v>9.0024542977297006E-2</v>
      </c>
      <c r="I78" s="39">
        <v>0.15250092815602212</v>
      </c>
      <c r="J78" s="39">
        <v>0.12214960035591393</v>
      </c>
    </row>
    <row r="79" spans="1:10" ht="11.25" customHeight="1" x14ac:dyDescent="0.2">
      <c r="A79" s="74">
        <v>44501</v>
      </c>
      <c r="B79" s="65">
        <v>8648.64</v>
      </c>
      <c r="C79" s="65">
        <v>9146.3406289815484</v>
      </c>
      <c r="D79" s="65">
        <v>2553.8742000000002</v>
      </c>
      <c r="E79" s="65">
        <v>3094.0651205263002</v>
      </c>
      <c r="F79" s="65">
        <v>12815.007240000001</v>
      </c>
      <c r="G79" s="65">
        <v>14769.307738426145</v>
      </c>
      <c r="H79" s="39">
        <v>9.2648090507026382E-2</v>
      </c>
      <c r="I79" s="39">
        <v>0.15250092815602212</v>
      </c>
      <c r="J79" s="39">
        <v>0.12458371507688737</v>
      </c>
    </row>
    <row r="80" spans="1:10" ht="11.25" customHeight="1" x14ac:dyDescent="0.2">
      <c r="A80" s="74">
        <v>44531</v>
      </c>
      <c r="B80" s="65">
        <v>8685.6</v>
      </c>
      <c r="C80" s="65">
        <v>9185.4275547464276</v>
      </c>
      <c r="D80" s="65">
        <v>2658.3286499999999</v>
      </c>
      <c r="E80" s="65">
        <v>3220.6135896829874</v>
      </c>
      <c r="F80" s="65">
        <v>13339.146030000002</v>
      </c>
      <c r="G80" s="65">
        <v>15373.378180383719</v>
      </c>
      <c r="H80" s="39">
        <v>9.3628277045749497E-2</v>
      </c>
      <c r="I80" s="39">
        <v>0.15250092815602212</v>
      </c>
      <c r="J80" s="39">
        <v>0.12544404151246247</v>
      </c>
    </row>
    <row r="81" spans="1:10" ht="11.25" customHeight="1" x14ac:dyDescent="0.2">
      <c r="A81" s="74">
        <v>44562</v>
      </c>
      <c r="B81" s="65">
        <v>8685.6</v>
      </c>
      <c r="C81" s="65">
        <v>9185.4275547464276</v>
      </c>
      <c r="D81" s="65">
        <v>2658.3286499999999</v>
      </c>
      <c r="E81" s="65">
        <v>3220.6135896829874</v>
      </c>
      <c r="F81" s="65">
        <v>13339.146030000002</v>
      </c>
      <c r="G81" s="65">
        <v>15373.378180383719</v>
      </c>
      <c r="H81" s="39">
        <v>9.3628277045749497E-2</v>
      </c>
      <c r="I81" s="39">
        <v>0.15250092815602212</v>
      </c>
      <c r="J81" s="39">
        <v>0.12544404151246247</v>
      </c>
    </row>
    <row r="82" spans="1:10" ht="11.25" customHeight="1" x14ac:dyDescent="0.2">
      <c r="A82" s="73" t="s">
        <v>34</v>
      </c>
      <c r="B82" s="65">
        <v>149520.40000000002</v>
      </c>
      <c r="C82" s="65">
        <v>160433.74218602054</v>
      </c>
      <c r="D82" s="65">
        <v>2953.8391499999998</v>
      </c>
      <c r="E82" s="65">
        <v>3578.6299441296105</v>
      </c>
      <c r="F82" s="65">
        <v>24808.188599999998</v>
      </c>
      <c r="G82" s="65">
        <v>27581.173820356606</v>
      </c>
      <c r="H82" s="39">
        <v>7.567267129498001E-2</v>
      </c>
      <c r="I82" s="39">
        <v>0.11177701302853715</v>
      </c>
      <c r="J82" s="39">
        <v>8.0724967398844383E-2</v>
      </c>
    </row>
    <row r="83" spans="1:10" ht="11.25" customHeight="1" x14ac:dyDescent="0.2">
      <c r="A83" s="74">
        <v>44228</v>
      </c>
      <c r="B83" s="65">
        <v>12472.369999999999</v>
      </c>
      <c r="C83" s="65">
        <v>13382.7156229428</v>
      </c>
      <c r="D83" s="65">
        <v>247.01534999999998</v>
      </c>
      <c r="E83" s="65">
        <v>299.26359672281279</v>
      </c>
      <c r="F83" s="65">
        <v>2074.5893999999998</v>
      </c>
      <c r="G83" s="65">
        <v>2306.4808063926644</v>
      </c>
      <c r="H83" s="39">
        <v>7.5679275623614428E-2</v>
      </c>
      <c r="I83" s="39">
        <v>0.11177701302853693</v>
      </c>
      <c r="J83" s="39">
        <v>8.0741335323576857E-2</v>
      </c>
    </row>
    <row r="84" spans="1:10" ht="11.25" customHeight="1" x14ac:dyDescent="0.2">
      <c r="A84" s="74">
        <v>44256</v>
      </c>
      <c r="B84" s="65">
        <v>12583.4</v>
      </c>
      <c r="C84" s="65">
        <v>13501.849589912617</v>
      </c>
      <c r="D84" s="65">
        <v>265.08645000000001</v>
      </c>
      <c r="E84" s="65">
        <v>321.15706359739221</v>
      </c>
      <c r="F84" s="65">
        <v>2226.3618000000001</v>
      </c>
      <c r="G84" s="65">
        <v>2475.2178719248368</v>
      </c>
      <c r="H84" s="39">
        <v>7.5847081856867948E-2</v>
      </c>
      <c r="I84" s="39">
        <v>0.11177701302853671</v>
      </c>
      <c r="J84" s="39">
        <v>8.1153472004923621E-2</v>
      </c>
    </row>
    <row r="85" spans="1:10" ht="11.25" customHeight="1" x14ac:dyDescent="0.2">
      <c r="A85" s="74">
        <v>44287</v>
      </c>
      <c r="B85" s="65">
        <v>12509.38</v>
      </c>
      <c r="C85" s="65">
        <v>13422.426945266074</v>
      </c>
      <c r="D85" s="65">
        <v>226.84905000000001</v>
      </c>
      <c r="E85" s="65">
        <v>274.83175687726776</v>
      </c>
      <c r="F85" s="65">
        <v>1905.2202000000002</v>
      </c>
      <c r="G85" s="65">
        <v>2118.1800231176317</v>
      </c>
      <c r="H85" s="39">
        <v>7.5456373183186543E-2</v>
      </c>
      <c r="I85" s="39">
        <v>0.11177701302853671</v>
      </c>
      <c r="J85" s="39">
        <v>8.0182600452682218E-2</v>
      </c>
    </row>
    <row r="86" spans="1:10" ht="11.25" customHeight="1" x14ac:dyDescent="0.2">
      <c r="A86" s="74">
        <v>44317</v>
      </c>
      <c r="B86" s="65">
        <v>12472.369999999999</v>
      </c>
      <c r="C86" s="65">
        <v>13382.7156229428</v>
      </c>
      <c r="D86" s="65">
        <v>243.78524999999999</v>
      </c>
      <c r="E86" s="65">
        <v>295.35027172590731</v>
      </c>
      <c r="F86" s="65">
        <v>2047.461</v>
      </c>
      <c r="G86" s="65">
        <v>2276.3200748724212</v>
      </c>
      <c r="H86" s="39">
        <v>7.5644770432376385E-2</v>
      </c>
      <c r="I86" s="39">
        <v>0.11177701302853693</v>
      </c>
      <c r="J86" s="39">
        <v>8.0655694335127981E-2</v>
      </c>
    </row>
    <row r="87" spans="1:10" ht="11.25" customHeight="1" x14ac:dyDescent="0.2">
      <c r="A87" s="74">
        <v>44348</v>
      </c>
      <c r="B87" s="65">
        <v>12435.359999999999</v>
      </c>
      <c r="C87" s="65">
        <v>13343.004300619528</v>
      </c>
      <c r="D87" s="65">
        <v>239.2893</v>
      </c>
      <c r="E87" s="65">
        <v>289.90334639237676</v>
      </c>
      <c r="F87" s="65">
        <v>2009.7012000000002</v>
      </c>
      <c r="G87" s="65">
        <v>2234.3395972158664</v>
      </c>
      <c r="H87" s="39">
        <v>7.5604328319514691E-2</v>
      </c>
      <c r="I87" s="39">
        <v>0.11177701302853693</v>
      </c>
      <c r="J87" s="39">
        <v>8.0554924388911431E-2</v>
      </c>
    </row>
    <row r="88" spans="1:10" ht="11.25" customHeight="1" x14ac:dyDescent="0.2">
      <c r="A88" s="74">
        <v>44378</v>
      </c>
      <c r="B88" s="65">
        <v>12287.32</v>
      </c>
      <c r="C88" s="65">
        <v>13184.159011326439</v>
      </c>
      <c r="D88" s="65">
        <v>223.5753</v>
      </c>
      <c r="E88" s="65">
        <v>270.86554911013383</v>
      </c>
      <c r="F88" s="65">
        <v>1877.7252000000001</v>
      </c>
      <c r="G88" s="65">
        <v>2087.611714144412</v>
      </c>
      <c r="H88" s="39">
        <v>7.5464564109698262E-2</v>
      </c>
      <c r="I88" s="39">
        <v>0.11177701302853671</v>
      </c>
      <c r="J88" s="39">
        <v>8.0203364497728247E-2</v>
      </c>
    </row>
    <row r="89" spans="1:10" ht="11.25" customHeight="1" x14ac:dyDescent="0.2">
      <c r="A89" s="74">
        <v>44409</v>
      </c>
      <c r="B89" s="65">
        <v>12287.32</v>
      </c>
      <c r="C89" s="65">
        <v>13184.159011326439</v>
      </c>
      <c r="D89" s="65">
        <v>225.45224999999999</v>
      </c>
      <c r="E89" s="65">
        <v>273.1395082299573</v>
      </c>
      <c r="F89" s="65">
        <v>1893.489</v>
      </c>
      <c r="G89" s="65">
        <v>2105.137544622391</v>
      </c>
      <c r="H89" s="39">
        <v>7.5484972529280769E-2</v>
      </c>
      <c r="I89" s="39">
        <v>0.11177701302853671</v>
      </c>
      <c r="J89" s="39">
        <v>8.0255022043195678E-2</v>
      </c>
    </row>
    <row r="90" spans="1:10" ht="11.25" customHeight="1" x14ac:dyDescent="0.2">
      <c r="A90" s="74">
        <v>44440</v>
      </c>
      <c r="B90" s="65">
        <v>12287.32</v>
      </c>
      <c r="C90" s="65">
        <v>13184.159011326439</v>
      </c>
      <c r="D90" s="65">
        <v>229.90455</v>
      </c>
      <c r="E90" s="65">
        <v>278.53355079325945</v>
      </c>
      <c r="F90" s="65">
        <v>1930.8822000000002</v>
      </c>
      <c r="G90" s="65">
        <v>2146.7104448259702</v>
      </c>
      <c r="H90" s="39">
        <v>7.5533358720460075E-2</v>
      </c>
      <c r="I90" s="39">
        <v>0.11177701302853693</v>
      </c>
      <c r="J90" s="39">
        <v>8.037705403482498E-2</v>
      </c>
    </row>
    <row r="91" spans="1:10" ht="11.25" customHeight="1" x14ac:dyDescent="0.2">
      <c r="A91" s="74">
        <v>44470</v>
      </c>
      <c r="B91" s="65">
        <v>12546.39</v>
      </c>
      <c r="C91" s="65">
        <v>13462.138267589346</v>
      </c>
      <c r="D91" s="65">
        <v>249.37244999999999</v>
      </c>
      <c r="E91" s="65">
        <v>302.11926631514928</v>
      </c>
      <c r="F91" s="65">
        <v>2094.3858</v>
      </c>
      <c r="G91" s="65">
        <v>2328.4899888533828</v>
      </c>
      <c r="H91" s="39">
        <v>7.5688735836487275E-2</v>
      </c>
      <c r="I91" s="39">
        <v>0.11177701302853693</v>
      </c>
      <c r="J91" s="39">
        <v>8.0764761543450359E-2</v>
      </c>
    </row>
    <row r="92" spans="1:10" ht="11.25" customHeight="1" x14ac:dyDescent="0.2">
      <c r="A92" s="74">
        <v>44501</v>
      </c>
      <c r="B92" s="65">
        <v>12546.39</v>
      </c>
      <c r="C92" s="65">
        <v>13462.138267589346</v>
      </c>
      <c r="D92" s="65">
        <v>249.93989999999999</v>
      </c>
      <c r="E92" s="65">
        <v>302.80674232811913</v>
      </c>
      <c r="F92" s="65">
        <v>2099.1516000000001</v>
      </c>
      <c r="G92" s="65">
        <v>2333.7884957420738</v>
      </c>
      <c r="H92" s="39">
        <v>7.5694759160395364E-2</v>
      </c>
      <c r="I92" s="39">
        <v>0.11177701302853671</v>
      </c>
      <c r="J92" s="39">
        <v>8.0779665005091594E-2</v>
      </c>
    </row>
    <row r="93" spans="1:10" ht="11.25" customHeight="1" x14ac:dyDescent="0.2">
      <c r="A93" s="74">
        <v>44531</v>
      </c>
      <c r="B93" s="65">
        <v>12546.39</v>
      </c>
      <c r="C93" s="65">
        <v>13462.138267589346</v>
      </c>
      <c r="D93" s="65">
        <v>276.78465</v>
      </c>
      <c r="E93" s="65">
        <v>335.32964601861744</v>
      </c>
      <c r="F93" s="65">
        <v>2324.6106000000004</v>
      </c>
      <c r="G93" s="65">
        <v>2584.448629322475</v>
      </c>
      <c r="H93" s="39">
        <v>7.5979099575623765E-2</v>
      </c>
      <c r="I93" s="39">
        <v>0.11177701302853671</v>
      </c>
      <c r="J93" s="39">
        <v>8.147272175847875E-2</v>
      </c>
    </row>
    <row r="94" spans="1:10" ht="11.25" customHeight="1" x14ac:dyDescent="0.2">
      <c r="A94" s="74">
        <v>44562</v>
      </c>
      <c r="B94" s="65">
        <v>12546.39</v>
      </c>
      <c r="C94" s="65">
        <v>13462.138267589346</v>
      </c>
      <c r="D94" s="65">
        <v>276.78465</v>
      </c>
      <c r="E94" s="65">
        <v>335.32964601861744</v>
      </c>
      <c r="F94" s="65">
        <v>2324.6106000000004</v>
      </c>
      <c r="G94" s="65">
        <v>2584.448629322475</v>
      </c>
      <c r="H94" s="39">
        <v>7.5979099575623765E-2</v>
      </c>
      <c r="I94" s="39">
        <v>0.11177701302853671</v>
      </c>
      <c r="J94" s="39">
        <v>8.147272175847875E-2</v>
      </c>
    </row>
    <row r="95" spans="1:10" ht="11.25" customHeight="1" x14ac:dyDescent="0.2">
      <c r="A95" s="69" t="s">
        <v>49</v>
      </c>
      <c r="B95" s="65">
        <v>866012.85379999981</v>
      </c>
      <c r="C95" s="65">
        <v>954169.42721634195</v>
      </c>
      <c r="D95" s="65">
        <v>389852.846082</v>
      </c>
      <c r="E95" s="65">
        <v>487387.67097547685</v>
      </c>
      <c r="F95" s="65">
        <v>2076124.9584131991</v>
      </c>
      <c r="G95" s="65">
        <v>2456583.2575147194</v>
      </c>
      <c r="H95" s="39">
        <v>0.14785928011830118</v>
      </c>
      <c r="I95" s="39">
        <v>0.18325404622673003</v>
      </c>
      <c r="J95" s="39">
        <v>0.16991335074781033</v>
      </c>
    </row>
    <row r="96" spans="1:10" ht="11.25" customHeight="1" x14ac:dyDescent="0.2">
      <c r="A96" s="70" t="s">
        <v>50</v>
      </c>
      <c r="B96" s="65">
        <v>866012.85379999981</v>
      </c>
      <c r="C96" s="65">
        <v>954169.42721634195</v>
      </c>
      <c r="D96" s="65">
        <v>389852.846082</v>
      </c>
      <c r="E96" s="65">
        <v>487387.67097547685</v>
      </c>
      <c r="F96" s="65">
        <v>2076124.9584131991</v>
      </c>
      <c r="G96" s="65">
        <v>2456583.2575147194</v>
      </c>
      <c r="H96" s="39">
        <v>0.14785928011830118</v>
      </c>
      <c r="I96" s="39">
        <v>0.18325404622673003</v>
      </c>
      <c r="J96" s="39">
        <v>0.16991335074781033</v>
      </c>
    </row>
    <row r="97" spans="1:10" ht="11.25" customHeight="1" x14ac:dyDescent="0.2">
      <c r="A97" s="71" t="s">
        <v>25</v>
      </c>
      <c r="B97" s="65">
        <v>866012.85379999981</v>
      </c>
      <c r="C97" s="65">
        <v>954169.42721634195</v>
      </c>
      <c r="D97" s="65">
        <v>389852.846082</v>
      </c>
      <c r="E97" s="65">
        <v>487387.67097547685</v>
      </c>
      <c r="F97" s="65">
        <v>2076124.9584131991</v>
      </c>
      <c r="G97" s="65">
        <v>2456583.2575147194</v>
      </c>
      <c r="H97" s="39">
        <v>0.14785928011830118</v>
      </c>
      <c r="I97" s="39">
        <v>0.18325404622673003</v>
      </c>
      <c r="J97" s="39">
        <v>0.16991335074781033</v>
      </c>
    </row>
    <row r="98" spans="1:10" ht="11.25" customHeight="1" x14ac:dyDescent="0.2">
      <c r="A98" s="72" t="s">
        <v>25</v>
      </c>
      <c r="B98" s="65">
        <v>866012.85379999981</v>
      </c>
      <c r="C98" s="65">
        <v>954169.42721634195</v>
      </c>
      <c r="D98" s="65">
        <v>389852.846082</v>
      </c>
      <c r="E98" s="65">
        <v>487387.67097547685</v>
      </c>
      <c r="F98" s="65">
        <v>2076124.9584131991</v>
      </c>
      <c r="G98" s="65">
        <v>2456583.2575147194</v>
      </c>
      <c r="H98" s="39">
        <v>0.14785928011830118</v>
      </c>
      <c r="I98" s="39">
        <v>0.18325404622673003</v>
      </c>
      <c r="J98" s="39">
        <v>0.16991335074781033</v>
      </c>
    </row>
    <row r="99" spans="1:10" ht="11.25" customHeight="1" x14ac:dyDescent="0.2">
      <c r="A99" s="73" t="s">
        <v>35</v>
      </c>
      <c r="B99" s="65">
        <v>295501.48320000002</v>
      </c>
      <c r="C99" s="65">
        <v>322480.23168037814</v>
      </c>
      <c r="D99" s="65">
        <v>354389.09628599993</v>
      </c>
      <c r="E99" s="65">
        <v>443051.46927568485</v>
      </c>
      <c r="F99" s="65">
        <v>1778278.2075491997</v>
      </c>
      <c r="G99" s="65">
        <v>2114875.8150834874</v>
      </c>
      <c r="H99" s="39">
        <v>0.17793937182706054</v>
      </c>
      <c r="I99" s="39">
        <v>0.18928287267164023</v>
      </c>
      <c r="J99" s="39">
        <v>0.18624682576392693</v>
      </c>
    </row>
    <row r="100" spans="1:10" ht="11.25" customHeight="1" x14ac:dyDescent="0.2">
      <c r="A100" s="74">
        <v>44228</v>
      </c>
      <c r="B100" s="65">
        <v>24562.876799999998</v>
      </c>
      <c r="C100" s="65">
        <v>26805.422820295964</v>
      </c>
      <c r="D100" s="65">
        <v>27829.398843000003</v>
      </c>
      <c r="E100" s="65">
        <v>34791.860629085852</v>
      </c>
      <c r="F100" s="65">
        <v>139644.2893146</v>
      </c>
      <c r="G100" s="65">
        <v>166076.5615482571</v>
      </c>
      <c r="H100" s="39">
        <v>0.17569398720346818</v>
      </c>
      <c r="I100" s="39">
        <v>0.18928287267164001</v>
      </c>
      <c r="J100" s="39">
        <v>0.18557549208353796</v>
      </c>
    </row>
    <row r="101" spans="1:10" ht="11.25" customHeight="1" x14ac:dyDescent="0.2">
      <c r="A101" s="74">
        <v>44256</v>
      </c>
      <c r="B101" s="65">
        <v>24788.702399999998</v>
      </c>
      <c r="C101" s="65">
        <v>27051.865887243523</v>
      </c>
      <c r="D101" s="65">
        <v>29391.654167999997</v>
      </c>
      <c r="E101" s="65">
        <v>36744.966761240728</v>
      </c>
      <c r="F101" s="65">
        <v>147483.48252959998</v>
      </c>
      <c r="G101" s="65">
        <v>175399.5797744203</v>
      </c>
      <c r="H101" s="39">
        <v>0.17749008477666495</v>
      </c>
      <c r="I101" s="39">
        <v>0.18928287267164001</v>
      </c>
      <c r="J101" s="39">
        <v>0.18611454335717492</v>
      </c>
    </row>
    <row r="102" spans="1:10" ht="11.25" customHeight="1" x14ac:dyDescent="0.2">
      <c r="A102" s="74">
        <v>44287</v>
      </c>
      <c r="B102" s="65">
        <v>24771.331199999997</v>
      </c>
      <c r="C102" s="65">
        <v>27032.908728247559</v>
      </c>
      <c r="D102" s="65">
        <v>28642.633263</v>
      </c>
      <c r="E102" s="65">
        <v>35808.553039835941</v>
      </c>
      <c r="F102" s="65">
        <v>143724.99343859998</v>
      </c>
      <c r="G102" s="65">
        <v>170929.67307137081</v>
      </c>
      <c r="H102" s="39">
        <v>0.17649873773391156</v>
      </c>
      <c r="I102" s="39">
        <v>0.18928287267164001</v>
      </c>
      <c r="J102" s="39">
        <v>0.18581906553517902</v>
      </c>
    </row>
    <row r="103" spans="1:10" ht="11.25" customHeight="1" x14ac:dyDescent="0.2">
      <c r="A103" s="74">
        <v>44317</v>
      </c>
      <c r="B103" s="65">
        <v>24215.452799999999</v>
      </c>
      <c r="C103" s="65">
        <v>26426.279640376644</v>
      </c>
      <c r="D103" s="65">
        <v>28412.818631999999</v>
      </c>
      <c r="E103" s="65">
        <v>35521.242535667865</v>
      </c>
      <c r="F103" s="65">
        <v>142571.81363039999</v>
      </c>
      <c r="G103" s="65">
        <v>169558.21607636777</v>
      </c>
      <c r="H103" s="39">
        <v>0.17707689214314692</v>
      </c>
      <c r="I103" s="39">
        <v>0.18928287267163979</v>
      </c>
      <c r="J103" s="39">
        <v>0.18599199471868277</v>
      </c>
    </row>
    <row r="104" spans="1:10" ht="11.25" customHeight="1" x14ac:dyDescent="0.2">
      <c r="A104" s="74">
        <v>44348</v>
      </c>
      <c r="B104" s="65">
        <v>24423.907199999998</v>
      </c>
      <c r="C104" s="65">
        <v>26653.765548328236</v>
      </c>
      <c r="D104" s="65">
        <v>30309.927947999997</v>
      </c>
      <c r="E104" s="65">
        <v>37892.977667022111</v>
      </c>
      <c r="F104" s="65">
        <v>152091.26044559997</v>
      </c>
      <c r="G104" s="65">
        <v>180879.53113099371</v>
      </c>
      <c r="H104" s="39">
        <v>0.17928413093685647</v>
      </c>
      <c r="I104" s="39">
        <v>0.18928287267164001</v>
      </c>
      <c r="J104" s="39">
        <v>0.18663682297332684</v>
      </c>
    </row>
    <row r="105" spans="1:10" ht="11.25" customHeight="1" x14ac:dyDescent="0.2">
      <c r="A105" s="74">
        <v>44378</v>
      </c>
      <c r="B105" s="65">
        <v>24753.96</v>
      </c>
      <c r="C105" s="65">
        <v>27013.951569251592</v>
      </c>
      <c r="D105" s="65">
        <v>28446.258897</v>
      </c>
      <c r="E105" s="65">
        <v>35563.049009671966</v>
      </c>
      <c r="F105" s="65">
        <v>142739.6125134</v>
      </c>
      <c r="G105" s="65">
        <v>169757.77641397313</v>
      </c>
      <c r="H105" s="39">
        <v>0.17625456955501972</v>
      </c>
      <c r="I105" s="39">
        <v>0.18928287267164001</v>
      </c>
      <c r="J105" s="39">
        <v>0.18574551851209242</v>
      </c>
    </row>
    <row r="106" spans="1:10" ht="11.25" customHeight="1" x14ac:dyDescent="0.2">
      <c r="A106" s="74">
        <v>44409</v>
      </c>
      <c r="B106" s="65">
        <v>24250.195199999998</v>
      </c>
      <c r="C106" s="65">
        <v>26464.193958368578</v>
      </c>
      <c r="D106" s="65">
        <v>29117.977397999999</v>
      </c>
      <c r="E106" s="65">
        <v>36402.820526139665</v>
      </c>
      <c r="F106" s="65">
        <v>146110.2082356</v>
      </c>
      <c r="G106" s="65">
        <v>173766.36817708588</v>
      </c>
      <c r="H106" s="39">
        <v>0.17798701780664339</v>
      </c>
      <c r="I106" s="39">
        <v>0.18928287267164001</v>
      </c>
      <c r="J106" s="39">
        <v>0.18626079514344918</v>
      </c>
    </row>
    <row r="107" spans="1:10" ht="11.25" customHeight="1" x14ac:dyDescent="0.2">
      <c r="A107" s="74">
        <v>44440</v>
      </c>
      <c r="B107" s="65">
        <v>24528.134399999999</v>
      </c>
      <c r="C107" s="65">
        <v>26767.508502304034</v>
      </c>
      <c r="D107" s="65">
        <v>28758.422745</v>
      </c>
      <c r="E107" s="65">
        <v>35953.311162093094</v>
      </c>
      <c r="F107" s="65">
        <v>144306.00993899998</v>
      </c>
      <c r="G107" s="65">
        <v>171620.66604403613</v>
      </c>
      <c r="H107" s="39">
        <v>0.17704770255141855</v>
      </c>
      <c r="I107" s="39">
        <v>0.18928287267164001</v>
      </c>
      <c r="J107" s="39">
        <v>0.18598330477082525</v>
      </c>
    </row>
    <row r="108" spans="1:10" ht="11.25" customHeight="1" x14ac:dyDescent="0.2">
      <c r="A108" s="74">
        <v>44470</v>
      </c>
      <c r="B108" s="65">
        <v>24840.815999999999</v>
      </c>
      <c r="C108" s="65">
        <v>27108.737364231423</v>
      </c>
      <c r="D108" s="65">
        <v>29683.794887999997</v>
      </c>
      <c r="E108" s="65">
        <v>37110.196325546509</v>
      </c>
      <c r="F108" s="65">
        <v>148949.40651359997</v>
      </c>
      <c r="G108" s="65">
        <v>177142.97806123007</v>
      </c>
      <c r="H108" s="39">
        <v>0.17779719366895108</v>
      </c>
      <c r="I108" s="39">
        <v>0.18928287267164001</v>
      </c>
      <c r="J108" s="39">
        <v>0.18620507342039683</v>
      </c>
    </row>
    <row r="109" spans="1:10" ht="11.25" customHeight="1" x14ac:dyDescent="0.2">
      <c r="A109" s="74">
        <v>44501</v>
      </c>
      <c r="B109" s="65">
        <v>24788.702399999998</v>
      </c>
      <c r="C109" s="65">
        <v>27051.865887243523</v>
      </c>
      <c r="D109" s="65">
        <v>30883.295141999999</v>
      </c>
      <c r="E109" s="65">
        <v>38609.79198325934</v>
      </c>
      <c r="F109" s="65">
        <v>154968.3421524</v>
      </c>
      <c r="G109" s="65">
        <v>184301.19512816786</v>
      </c>
      <c r="H109" s="39">
        <v>0.17943779223956313</v>
      </c>
      <c r="I109" s="39">
        <v>0.18928287267164001</v>
      </c>
      <c r="J109" s="39">
        <v>0.18668082932889485</v>
      </c>
    </row>
    <row r="110" spans="1:10" ht="11.25" customHeight="1" x14ac:dyDescent="0.2">
      <c r="A110" s="74">
        <v>44531</v>
      </c>
      <c r="B110" s="65">
        <v>24788.702399999998</v>
      </c>
      <c r="C110" s="65">
        <v>27051.865887243523</v>
      </c>
      <c r="D110" s="65">
        <v>31456.457180999998</v>
      </c>
      <c r="E110" s="65">
        <v>39326.349818060946</v>
      </c>
      <c r="F110" s="65">
        <v>157844.39441819998</v>
      </c>
      <c r="G110" s="65">
        <v>187721.63482879224</v>
      </c>
      <c r="H110" s="39">
        <v>0.18015872298684843</v>
      </c>
      <c r="I110" s="39">
        <v>0.18928287267164001</v>
      </c>
      <c r="J110" s="39">
        <v>0.18688579516143156</v>
      </c>
    </row>
    <row r="111" spans="1:10" ht="11.25" customHeight="1" x14ac:dyDescent="0.2">
      <c r="A111" s="74">
        <v>44562</v>
      </c>
      <c r="B111" s="65">
        <v>24788.702399999998</v>
      </c>
      <c r="C111" s="65">
        <v>27051.865887243523</v>
      </c>
      <c r="D111" s="65">
        <v>31456.457180999998</v>
      </c>
      <c r="E111" s="65">
        <v>39326.349818060946</v>
      </c>
      <c r="F111" s="65">
        <v>157844.39441819998</v>
      </c>
      <c r="G111" s="65">
        <v>187721.63482879224</v>
      </c>
      <c r="H111" s="39">
        <v>0.18015872298684843</v>
      </c>
      <c r="I111" s="39">
        <v>0.18928287267164001</v>
      </c>
      <c r="J111" s="39">
        <v>0.18688579516143156</v>
      </c>
    </row>
    <row r="112" spans="1:10" ht="11.25" customHeight="1" x14ac:dyDescent="0.2">
      <c r="A112" s="73" t="s">
        <v>34</v>
      </c>
      <c r="B112" s="65">
        <v>570511.37059999991</v>
      </c>
      <c r="C112" s="65">
        <v>631689.19553596387</v>
      </c>
      <c r="D112" s="65">
        <v>35463.749795999996</v>
      </c>
      <c r="E112" s="65">
        <v>44336.201699791913</v>
      </c>
      <c r="F112" s="65">
        <v>297846.750864</v>
      </c>
      <c r="G112" s="65">
        <v>341707.44243123155</v>
      </c>
      <c r="H112" s="39">
        <v>0.11559926221719907</v>
      </c>
      <c r="I112" s="39">
        <v>0.14725925812519214</v>
      </c>
      <c r="J112" s="39">
        <v>0.12603254250551199</v>
      </c>
    </row>
    <row r="113" spans="1:10" ht="11.25" customHeight="1" x14ac:dyDescent="0.2">
      <c r="A113" s="74">
        <v>44228</v>
      </c>
      <c r="B113" s="65">
        <v>47487.530999999988</v>
      </c>
      <c r="C113" s="65">
        <v>52579.776322128826</v>
      </c>
      <c r="D113" s="65">
        <v>2896.5834449999998</v>
      </c>
      <c r="E113" s="65">
        <v>3621.2613893492776</v>
      </c>
      <c r="F113" s="65">
        <v>24327.319379999997</v>
      </c>
      <c r="G113" s="65">
        <v>27909.742384073412</v>
      </c>
      <c r="H113" s="39">
        <v>0.11545153329682822</v>
      </c>
      <c r="I113" s="39">
        <v>0.14725925812519236</v>
      </c>
      <c r="J113" s="39">
        <v>0.12580867197071921</v>
      </c>
    </row>
    <row r="114" spans="1:10" ht="11.25" customHeight="1" x14ac:dyDescent="0.2">
      <c r="A114" s="74">
        <v>44256</v>
      </c>
      <c r="B114" s="65">
        <v>47348.373399999989</v>
      </c>
      <c r="C114" s="65">
        <v>52425.696391514532</v>
      </c>
      <c r="D114" s="65">
        <v>3177.8099189999998</v>
      </c>
      <c r="E114" s="65">
        <v>3972.8461412807164</v>
      </c>
      <c r="F114" s="65">
        <v>26689.235195999998</v>
      </c>
      <c r="G114" s="65">
        <v>30619.472170891731</v>
      </c>
      <c r="H114" s="39">
        <v>0.11622408082399138</v>
      </c>
      <c r="I114" s="39">
        <v>0.14725925812519236</v>
      </c>
      <c r="J114" s="39">
        <v>0.12695127964349151</v>
      </c>
    </row>
    <row r="115" spans="1:10" ht="11.25" customHeight="1" x14ac:dyDescent="0.2">
      <c r="A115" s="74">
        <v>44287</v>
      </c>
      <c r="B115" s="65">
        <v>47278.794599999994</v>
      </c>
      <c r="C115" s="65">
        <v>52348.656426207381</v>
      </c>
      <c r="D115" s="65">
        <v>2741.4042030000001</v>
      </c>
      <c r="E115" s="65">
        <v>3427.2588314553905</v>
      </c>
      <c r="F115" s="65">
        <v>23024.027052000001</v>
      </c>
      <c r="G115" s="65">
        <v>26414.52819473188</v>
      </c>
      <c r="H115" s="39">
        <v>0.11506784443882645</v>
      </c>
      <c r="I115" s="39">
        <v>0.14725925812519236</v>
      </c>
      <c r="J115" s="39">
        <v>0.12521479268670466</v>
      </c>
    </row>
    <row r="116" spans="1:10" ht="11.25" customHeight="1" x14ac:dyDescent="0.2">
      <c r="A116" s="74">
        <v>44317</v>
      </c>
      <c r="B116" s="65">
        <v>46791.742999999988</v>
      </c>
      <c r="C116" s="65">
        <v>51809.376669057339</v>
      </c>
      <c r="D116" s="65">
        <v>2637.1444320000001</v>
      </c>
      <c r="E116" s="65">
        <v>3296.9149658794076</v>
      </c>
      <c r="F116" s="65">
        <v>22148.388288000002</v>
      </c>
      <c r="G116" s="65">
        <v>25409.943515959581</v>
      </c>
      <c r="H116" s="39">
        <v>0.11486004435659702</v>
      </c>
      <c r="I116" s="39">
        <v>0.14725925812519236</v>
      </c>
      <c r="J116" s="39">
        <v>0.1248854380245521</v>
      </c>
    </row>
    <row r="117" spans="1:10" ht="11.25" customHeight="1" x14ac:dyDescent="0.2">
      <c r="A117" s="74">
        <v>44348</v>
      </c>
      <c r="B117" s="65">
        <v>47939.793199999993</v>
      </c>
      <c r="C117" s="65">
        <v>53080.536096625292</v>
      </c>
      <c r="D117" s="65">
        <v>2752.4005109999998</v>
      </c>
      <c r="E117" s="65">
        <v>3441.0062364039791</v>
      </c>
      <c r="F117" s="65">
        <v>23116.380924000001</v>
      </c>
      <c r="G117" s="65">
        <v>26520.482029407591</v>
      </c>
      <c r="H117" s="39">
        <v>0.1149949961775738</v>
      </c>
      <c r="I117" s="39">
        <v>0.14725925812519236</v>
      </c>
      <c r="J117" s="39">
        <v>0.1250999599043654</v>
      </c>
    </row>
    <row r="118" spans="1:10" ht="11.25" customHeight="1" x14ac:dyDescent="0.2">
      <c r="A118" s="74">
        <v>44378</v>
      </c>
      <c r="B118" s="65">
        <v>48809.528199999993</v>
      </c>
      <c r="C118" s="65">
        <v>54043.535662964649</v>
      </c>
      <c r="D118" s="65">
        <v>2932.7317559999997</v>
      </c>
      <c r="E118" s="65">
        <v>3666.4534183034061</v>
      </c>
      <c r="F118" s="65">
        <v>24630.915503999997</v>
      </c>
      <c r="G118" s="65">
        <v>28258.045848063339</v>
      </c>
      <c r="H118" s="39">
        <v>0.11533568750848588</v>
      </c>
      <c r="I118" s="39">
        <v>0.14725925812519258</v>
      </c>
      <c r="J118" s="39">
        <v>0.12563127579206967</v>
      </c>
    </row>
    <row r="119" spans="1:10" ht="11.25" customHeight="1" x14ac:dyDescent="0.2">
      <c r="A119" s="74">
        <v>44409</v>
      </c>
      <c r="B119" s="65">
        <v>41990.805799999995</v>
      </c>
      <c r="C119" s="65">
        <v>46493.619062864098</v>
      </c>
      <c r="D119" s="65">
        <v>2906.5539779999995</v>
      </c>
      <c r="E119" s="65">
        <v>3633.7263871198256</v>
      </c>
      <c r="F119" s="65">
        <v>24411.058151999998</v>
      </c>
      <c r="G119" s="65">
        <v>28005.812465514446</v>
      </c>
      <c r="H119" s="39">
        <v>0.11648759966831412</v>
      </c>
      <c r="I119" s="39">
        <v>0.14725925812519236</v>
      </c>
      <c r="J119" s="39">
        <v>0.12732565897566972</v>
      </c>
    </row>
    <row r="120" spans="1:10" ht="11.25" customHeight="1" x14ac:dyDescent="0.2">
      <c r="A120" s="74">
        <v>44440</v>
      </c>
      <c r="B120" s="65">
        <v>46687.374799999991</v>
      </c>
      <c r="C120" s="65">
        <v>51693.81672109662</v>
      </c>
      <c r="D120" s="65">
        <v>2918.7401850000001</v>
      </c>
      <c r="E120" s="65">
        <v>3648.961384394941</v>
      </c>
      <c r="F120" s="65">
        <v>24513.40554</v>
      </c>
      <c r="G120" s="65">
        <v>28123.231453942382</v>
      </c>
      <c r="H120" s="39">
        <v>0.11564427333658833</v>
      </c>
      <c r="I120" s="39">
        <v>0.14725925812519236</v>
      </c>
      <c r="J120" s="39">
        <v>0.12610023605429865</v>
      </c>
    </row>
    <row r="121" spans="1:10" ht="11.25" customHeight="1" x14ac:dyDescent="0.2">
      <c r="A121" s="74">
        <v>44470</v>
      </c>
      <c r="B121" s="65">
        <v>48948.685799999992</v>
      </c>
      <c r="C121" s="65">
        <v>54197.615593578943</v>
      </c>
      <c r="D121" s="65">
        <v>2909.795427</v>
      </c>
      <c r="E121" s="65">
        <v>3637.7787938024326</v>
      </c>
      <c r="F121" s="65">
        <v>24438.281867999998</v>
      </c>
      <c r="G121" s="65">
        <v>28037.045125736018</v>
      </c>
      <c r="H121" s="39">
        <v>0.11525430400128123</v>
      </c>
      <c r="I121" s="39">
        <v>0.14725925812519236</v>
      </c>
      <c r="J121" s="39">
        <v>0.12550567061664686</v>
      </c>
    </row>
    <row r="122" spans="1:10" ht="11.25" customHeight="1" x14ac:dyDescent="0.2">
      <c r="A122" s="74">
        <v>44501</v>
      </c>
      <c r="B122" s="65">
        <v>48983.475199999993</v>
      </c>
      <c r="C122" s="65">
        <v>54236.135576232518</v>
      </c>
      <c r="D122" s="65">
        <v>2968.1004779999998</v>
      </c>
      <c r="E122" s="65">
        <v>3710.6708178022241</v>
      </c>
      <c r="F122" s="65">
        <v>24927.964151999997</v>
      </c>
      <c r="G122" s="65">
        <v>28598.837659594905</v>
      </c>
      <c r="H122" s="39">
        <v>0.11540036346912097</v>
      </c>
      <c r="I122" s="39">
        <v>0.14725925812519236</v>
      </c>
      <c r="J122" s="39">
        <v>0.12573051614257635</v>
      </c>
    </row>
    <row r="123" spans="1:10" ht="11.25" customHeight="1" x14ac:dyDescent="0.2">
      <c r="A123" s="74">
        <v>44531</v>
      </c>
      <c r="B123" s="65">
        <v>49122.632799999992</v>
      </c>
      <c r="C123" s="65">
        <v>54390.215506846813</v>
      </c>
      <c r="D123" s="65">
        <v>3311.2427309999998</v>
      </c>
      <c r="E123" s="65">
        <v>4139.6616670001558</v>
      </c>
      <c r="F123" s="65">
        <v>27809.887403999997</v>
      </c>
      <c r="G123" s="65">
        <v>31905.150791658169</v>
      </c>
      <c r="H123" s="39">
        <v>0.11626074901220851</v>
      </c>
      <c r="I123" s="39">
        <v>0.14725925812519236</v>
      </c>
      <c r="J123" s="39">
        <v>0.12700382755928841</v>
      </c>
    </row>
    <row r="124" spans="1:10" ht="11.25" customHeight="1" x14ac:dyDescent="0.2">
      <c r="A124" s="74">
        <v>44562</v>
      </c>
      <c r="B124" s="65">
        <v>49122.632799999992</v>
      </c>
      <c r="C124" s="65">
        <v>54390.215506846813</v>
      </c>
      <c r="D124" s="65">
        <v>3311.2427309999998</v>
      </c>
      <c r="E124" s="65">
        <v>4139.6616670001558</v>
      </c>
      <c r="F124" s="65">
        <v>27809.887403999997</v>
      </c>
      <c r="G124" s="65">
        <v>31905.150791658169</v>
      </c>
      <c r="H124" s="39">
        <v>0.11626074901220851</v>
      </c>
      <c r="I124" s="39">
        <v>0.14725925812519236</v>
      </c>
      <c r="J124" s="39">
        <v>0.12700382755928841</v>
      </c>
    </row>
    <row r="125" spans="1:10" ht="11.25" customHeight="1" x14ac:dyDescent="0.2">
      <c r="A125" s="68" t="s">
        <v>41</v>
      </c>
      <c r="B125" s="65">
        <v>10323086.188799996</v>
      </c>
      <c r="C125" s="65">
        <v>10924039.028400712</v>
      </c>
      <c r="D125" s="65">
        <v>9356639.1564523987</v>
      </c>
      <c r="E125" s="65">
        <v>10616819.224238656</v>
      </c>
      <c r="F125" s="65">
        <v>21206709.3576774</v>
      </c>
      <c r="G125" s="65">
        <v>24378228.045753524</v>
      </c>
      <c r="H125" s="39">
        <v>9.457108139143533E-2</v>
      </c>
      <c r="I125" s="39">
        <v>0.14955260783672397</v>
      </c>
      <c r="J125" s="39">
        <v>0.12308854102904809</v>
      </c>
    </row>
    <row r="126" spans="1:10" ht="11.25" customHeight="1" x14ac:dyDescent="0.2">
      <c r="A126" s="69" t="s">
        <v>42</v>
      </c>
      <c r="B126" s="65">
        <v>3504343.9200000009</v>
      </c>
      <c r="C126" s="65">
        <v>3706007.3229340641</v>
      </c>
      <c r="D126" s="65">
        <v>3418817.5701200003</v>
      </c>
      <c r="E126" s="65">
        <v>3847506.0773701989</v>
      </c>
      <c r="F126" s="65">
        <v>6801925.7763300007</v>
      </c>
      <c r="G126" s="65">
        <v>7803850.034907815</v>
      </c>
      <c r="H126" s="39">
        <v>9.1049719276927732E-2</v>
      </c>
      <c r="I126" s="39">
        <v>0.14730008699365782</v>
      </c>
      <c r="J126" s="39">
        <v>0.11892646925109607</v>
      </c>
    </row>
    <row r="127" spans="1:10" ht="11.25" customHeight="1" x14ac:dyDescent="0.2">
      <c r="A127" s="70" t="s">
        <v>25</v>
      </c>
      <c r="B127" s="65">
        <v>3504343.9200000009</v>
      </c>
      <c r="C127" s="65">
        <v>3706007.3229340641</v>
      </c>
      <c r="D127" s="65">
        <v>3418817.5701200003</v>
      </c>
      <c r="E127" s="65">
        <v>3847506.0773701989</v>
      </c>
      <c r="F127" s="65">
        <v>6801925.7763300007</v>
      </c>
      <c r="G127" s="65">
        <v>7803850.034907815</v>
      </c>
      <c r="H127" s="39">
        <v>9.1049719276927732E-2</v>
      </c>
      <c r="I127" s="39">
        <v>0.14730008699365782</v>
      </c>
      <c r="J127" s="39">
        <v>0.11892646925109607</v>
      </c>
    </row>
    <row r="128" spans="1:10" ht="11.25" customHeight="1" x14ac:dyDescent="0.2">
      <c r="A128" s="71" t="s">
        <v>25</v>
      </c>
      <c r="B128" s="65">
        <v>3504343.9200000009</v>
      </c>
      <c r="C128" s="65">
        <v>3706007.3229340641</v>
      </c>
      <c r="D128" s="65">
        <v>3418817.5701200003</v>
      </c>
      <c r="E128" s="65">
        <v>3847506.0773701989</v>
      </c>
      <c r="F128" s="65">
        <v>6801925.7763300007</v>
      </c>
      <c r="G128" s="65">
        <v>7803850.034907815</v>
      </c>
      <c r="H128" s="39">
        <v>9.1049719276927732E-2</v>
      </c>
      <c r="I128" s="39">
        <v>0.14730008699365782</v>
      </c>
      <c r="J128" s="39">
        <v>0.11892646925109607</v>
      </c>
    </row>
    <row r="129" spans="1:10" ht="11.25" customHeight="1" x14ac:dyDescent="0.2">
      <c r="A129" s="72" t="s">
        <v>25</v>
      </c>
      <c r="B129" s="65">
        <v>3504343.9200000009</v>
      </c>
      <c r="C129" s="65">
        <v>3706007.3229340641</v>
      </c>
      <c r="D129" s="65">
        <v>3418817.5701200003</v>
      </c>
      <c r="E129" s="65">
        <v>3847506.0773701989</v>
      </c>
      <c r="F129" s="65">
        <v>6801925.7763300007</v>
      </c>
      <c r="G129" s="65">
        <v>7803850.034907815</v>
      </c>
      <c r="H129" s="39">
        <v>9.1049719276927732E-2</v>
      </c>
      <c r="I129" s="39">
        <v>0.14730008699365782</v>
      </c>
      <c r="J129" s="39">
        <v>0.11892646925109607</v>
      </c>
    </row>
    <row r="130" spans="1:10" ht="11.25" customHeight="1" x14ac:dyDescent="0.2">
      <c r="A130" s="73" t="s">
        <v>35</v>
      </c>
      <c r="B130" s="65">
        <v>0</v>
      </c>
      <c r="C130" s="65">
        <v>0</v>
      </c>
      <c r="D130" s="65">
        <v>1182424.85415</v>
      </c>
      <c r="E130" s="65">
        <v>1432529.2525641683</v>
      </c>
      <c r="F130" s="65">
        <v>5933253.5121299997</v>
      </c>
      <c r="G130" s="65">
        <v>6838080.1797148036</v>
      </c>
      <c r="H130" s="39">
        <v>0.21151821829215423</v>
      </c>
      <c r="I130" s="39">
        <v>0.15250092815602212</v>
      </c>
      <c r="J130" s="39">
        <v>0.1623079355964141</v>
      </c>
    </row>
    <row r="131" spans="1:10" ht="11.25" customHeight="1" x14ac:dyDescent="0.2">
      <c r="A131" s="74">
        <v>44228</v>
      </c>
      <c r="B131" s="65">
        <v>0</v>
      </c>
      <c r="C131" s="65">
        <v>0</v>
      </c>
      <c r="D131" s="65">
        <v>102113.28224999999</v>
      </c>
      <c r="E131" s="65">
        <v>123712.10177548384</v>
      </c>
      <c r="F131" s="65">
        <v>512391.11595000001</v>
      </c>
      <c r="G131" s="65">
        <v>590531.23671127495</v>
      </c>
      <c r="H131" s="39">
        <v>0.21151821829215423</v>
      </c>
      <c r="I131" s="39">
        <v>0.15250092815602212</v>
      </c>
      <c r="J131" s="39">
        <v>0.1623079355964141</v>
      </c>
    </row>
    <row r="132" spans="1:10" ht="11.25" customHeight="1" x14ac:dyDescent="0.2">
      <c r="A132" s="74">
        <v>44256</v>
      </c>
      <c r="B132" s="65">
        <v>0</v>
      </c>
      <c r="C132" s="65">
        <v>0</v>
      </c>
      <c r="D132" s="65">
        <v>105856.35705000001</v>
      </c>
      <c r="E132" s="65">
        <v>128246.9050881141</v>
      </c>
      <c r="F132" s="65">
        <v>531173.37650999997</v>
      </c>
      <c r="G132" s="65">
        <v>612177.80943954329</v>
      </c>
      <c r="H132" s="39">
        <v>0.211518218292154</v>
      </c>
      <c r="I132" s="39">
        <v>0.15250092815602234</v>
      </c>
      <c r="J132" s="39">
        <v>0.16230793559641432</v>
      </c>
    </row>
    <row r="133" spans="1:10" ht="11.25" customHeight="1" x14ac:dyDescent="0.2">
      <c r="A133" s="74">
        <v>44287</v>
      </c>
      <c r="B133" s="65">
        <v>0</v>
      </c>
      <c r="C133" s="65">
        <v>0</v>
      </c>
      <c r="D133" s="65">
        <v>105443.73359999999</v>
      </c>
      <c r="E133" s="65">
        <v>127747.00426114452</v>
      </c>
      <c r="F133" s="65">
        <v>529102.88592000003</v>
      </c>
      <c r="G133" s="65">
        <v>609791.56711282989</v>
      </c>
      <c r="H133" s="39">
        <v>0.211518218292154</v>
      </c>
      <c r="I133" s="39">
        <v>0.15250092815602212</v>
      </c>
      <c r="J133" s="39">
        <v>0.16230793559641388</v>
      </c>
    </row>
    <row r="134" spans="1:10" ht="11.25" customHeight="1" x14ac:dyDescent="0.2">
      <c r="A134" s="74">
        <v>44317</v>
      </c>
      <c r="B134" s="65">
        <v>0</v>
      </c>
      <c r="C134" s="65">
        <v>0</v>
      </c>
      <c r="D134" s="65">
        <v>104512.72275</v>
      </c>
      <c r="E134" s="65">
        <v>126619.06765494187</v>
      </c>
      <c r="F134" s="65">
        <v>524431.19504999998</v>
      </c>
      <c r="G134" s="65">
        <v>604407.43904909689</v>
      </c>
      <c r="H134" s="39">
        <v>0.211518218292154</v>
      </c>
      <c r="I134" s="39">
        <v>0.15250092815602212</v>
      </c>
      <c r="J134" s="39">
        <v>0.1623079355964141</v>
      </c>
    </row>
    <row r="135" spans="1:10" ht="11.25" customHeight="1" x14ac:dyDescent="0.2">
      <c r="A135" s="74">
        <v>44348</v>
      </c>
      <c r="B135" s="65">
        <v>0</v>
      </c>
      <c r="C135" s="65">
        <v>0</v>
      </c>
      <c r="D135" s="65">
        <v>91025.134649999993</v>
      </c>
      <c r="E135" s="65">
        <v>110278.60895097141</v>
      </c>
      <c r="F135" s="65">
        <v>456752.23923000001</v>
      </c>
      <c r="G135" s="65">
        <v>526407.37964991655</v>
      </c>
      <c r="H135" s="39">
        <v>0.211518218292154</v>
      </c>
      <c r="I135" s="39">
        <v>0.15250092815602234</v>
      </c>
      <c r="J135" s="39">
        <v>0.16230793559641432</v>
      </c>
    </row>
    <row r="136" spans="1:10" ht="11.25" customHeight="1" x14ac:dyDescent="0.2">
      <c r="A136" s="74">
        <v>44378</v>
      </c>
      <c r="B136" s="65">
        <v>0</v>
      </c>
      <c r="C136" s="65">
        <v>0</v>
      </c>
      <c r="D136" s="65">
        <v>91589.965649999984</v>
      </c>
      <c r="E136" s="65">
        <v>110962.91199772758</v>
      </c>
      <c r="F136" s="65">
        <v>459586.48742999998</v>
      </c>
      <c r="G136" s="65">
        <v>529673.85333104106</v>
      </c>
      <c r="H136" s="39">
        <v>0.21151821829215423</v>
      </c>
      <c r="I136" s="39">
        <v>0.15250092815602234</v>
      </c>
      <c r="J136" s="39">
        <v>0.1623079355964141</v>
      </c>
    </row>
    <row r="137" spans="1:10" ht="11.25" customHeight="1" x14ac:dyDescent="0.2">
      <c r="A137" s="74">
        <v>44409</v>
      </c>
      <c r="B137" s="65">
        <v>0</v>
      </c>
      <c r="C137" s="65">
        <v>0</v>
      </c>
      <c r="D137" s="65">
        <v>87332.301000000007</v>
      </c>
      <c r="E137" s="65">
        <v>105804.67370687411</v>
      </c>
      <c r="F137" s="65">
        <v>438222.08220000006</v>
      </c>
      <c r="G137" s="65">
        <v>505051.3564739647</v>
      </c>
      <c r="H137" s="39">
        <v>0.211518218292154</v>
      </c>
      <c r="I137" s="39">
        <v>0.15250092815602212</v>
      </c>
      <c r="J137" s="39">
        <v>0.1623079355964141</v>
      </c>
    </row>
    <row r="138" spans="1:10" ht="11.25" customHeight="1" x14ac:dyDescent="0.2">
      <c r="A138" s="74">
        <v>44440</v>
      </c>
      <c r="B138" s="65">
        <v>0</v>
      </c>
      <c r="C138" s="65">
        <v>0</v>
      </c>
      <c r="D138" s="65">
        <v>90889.863299999983</v>
      </c>
      <c r="E138" s="65">
        <v>110114.72524603343</v>
      </c>
      <c r="F138" s="65">
        <v>456073.46526000003</v>
      </c>
      <c r="G138" s="65">
        <v>525625.09201948333</v>
      </c>
      <c r="H138" s="39">
        <v>0.21151821829215423</v>
      </c>
      <c r="I138" s="39">
        <v>0.15250092815602212</v>
      </c>
      <c r="J138" s="39">
        <v>0.16230793559641388</v>
      </c>
    </row>
    <row r="139" spans="1:10" ht="11.25" customHeight="1" x14ac:dyDescent="0.2">
      <c r="A139" s="74">
        <v>44470</v>
      </c>
      <c r="B139" s="65">
        <v>0</v>
      </c>
      <c r="C139" s="65">
        <v>0</v>
      </c>
      <c r="D139" s="65">
        <v>101687.5638</v>
      </c>
      <c r="E139" s="65">
        <v>123196.33611744575</v>
      </c>
      <c r="F139" s="65">
        <v>510254.91636000003</v>
      </c>
      <c r="G139" s="65">
        <v>588069.26470107352</v>
      </c>
      <c r="H139" s="39">
        <v>0.21151821829215423</v>
      </c>
      <c r="I139" s="39">
        <v>0.15250092815602212</v>
      </c>
      <c r="J139" s="39">
        <v>0.1623079355964141</v>
      </c>
    </row>
    <row r="140" spans="1:10" ht="11.25" customHeight="1" x14ac:dyDescent="0.2">
      <c r="A140" s="74">
        <v>44501</v>
      </c>
      <c r="B140" s="65">
        <v>0</v>
      </c>
      <c r="C140" s="65">
        <v>0</v>
      </c>
      <c r="D140" s="65">
        <v>100954.94219999999</v>
      </c>
      <c r="E140" s="65">
        <v>122308.7517019314</v>
      </c>
      <c r="F140" s="65">
        <v>506578.71684000001</v>
      </c>
      <c r="G140" s="65">
        <v>583832.44134218676</v>
      </c>
      <c r="H140" s="39">
        <v>0.21151821829215423</v>
      </c>
      <c r="I140" s="39">
        <v>0.15250092815602212</v>
      </c>
      <c r="J140" s="39">
        <v>0.16230793559641388</v>
      </c>
    </row>
    <row r="141" spans="1:10" ht="11.25" customHeight="1" x14ac:dyDescent="0.2">
      <c r="A141" s="74">
        <v>44531</v>
      </c>
      <c r="B141" s="65">
        <v>0</v>
      </c>
      <c r="C141" s="65">
        <v>0</v>
      </c>
      <c r="D141" s="65">
        <v>100509.49395</v>
      </c>
      <c r="E141" s="65">
        <v>121769.08303175004</v>
      </c>
      <c r="F141" s="65">
        <v>504343.51569000003</v>
      </c>
      <c r="G141" s="65">
        <v>581256.36994219641</v>
      </c>
      <c r="H141" s="39">
        <v>0.211518218292154</v>
      </c>
      <c r="I141" s="39">
        <v>0.15250092815602234</v>
      </c>
      <c r="J141" s="39">
        <v>0.1623079355964141</v>
      </c>
    </row>
    <row r="142" spans="1:10" ht="11.25" customHeight="1" x14ac:dyDescent="0.2">
      <c r="A142" s="74">
        <v>44562</v>
      </c>
      <c r="B142" s="65">
        <v>0</v>
      </c>
      <c r="C142" s="65">
        <v>0</v>
      </c>
      <c r="D142" s="65">
        <v>100509.49395</v>
      </c>
      <c r="E142" s="65">
        <v>121769.08303175004</v>
      </c>
      <c r="F142" s="65">
        <v>504343.51569000003</v>
      </c>
      <c r="G142" s="65">
        <v>581256.36994219641</v>
      </c>
      <c r="H142" s="39">
        <v>0.211518218292154</v>
      </c>
      <c r="I142" s="39">
        <v>0.15250092815602234</v>
      </c>
      <c r="J142" s="39">
        <v>0.1623079355964141</v>
      </c>
    </row>
    <row r="143" spans="1:10" ht="11.25" customHeight="1" x14ac:dyDescent="0.2">
      <c r="A143" s="73" t="s">
        <v>25</v>
      </c>
      <c r="B143" s="65">
        <v>3504343.9200000009</v>
      </c>
      <c r="C143" s="65">
        <v>3706007.3229340641</v>
      </c>
      <c r="D143" s="65">
        <v>0</v>
      </c>
      <c r="E143" s="65">
        <v>0</v>
      </c>
      <c r="F143" s="65">
        <v>0</v>
      </c>
      <c r="G143" s="65">
        <v>0</v>
      </c>
      <c r="H143" s="39">
        <v>5.7546692772684427E-2</v>
      </c>
      <c r="I143" s="39">
        <v>0</v>
      </c>
      <c r="J143" s="39">
        <v>5.7546692772684427E-2</v>
      </c>
    </row>
    <row r="144" spans="1:10" ht="11.25" customHeight="1" x14ac:dyDescent="0.2">
      <c r="A144" s="74">
        <v>44228</v>
      </c>
      <c r="B144" s="65">
        <v>289175.03999999998</v>
      </c>
      <c r="C144" s="65">
        <v>305816.1071844087</v>
      </c>
      <c r="D144" s="65">
        <v>0</v>
      </c>
      <c r="E144" s="65">
        <v>0</v>
      </c>
      <c r="F144" s="65">
        <v>0</v>
      </c>
      <c r="G144" s="65">
        <v>0</v>
      </c>
      <c r="H144" s="39">
        <v>5.7546692772684427E-2</v>
      </c>
      <c r="I144" s="39">
        <v>0</v>
      </c>
      <c r="J144" s="39">
        <v>5.7546692772684427E-2</v>
      </c>
    </row>
    <row r="145" spans="1:10" ht="11.25" customHeight="1" x14ac:dyDescent="0.2">
      <c r="A145" s="74">
        <v>44256</v>
      </c>
      <c r="B145" s="65">
        <v>286550.88</v>
      </c>
      <c r="C145" s="65">
        <v>303040.93545510236</v>
      </c>
      <c r="D145" s="65">
        <v>0</v>
      </c>
      <c r="E145" s="65">
        <v>0</v>
      </c>
      <c r="F145" s="65">
        <v>0</v>
      </c>
      <c r="G145" s="65">
        <v>0</v>
      </c>
      <c r="H145" s="39">
        <v>5.7546692772684427E-2</v>
      </c>
      <c r="I145" s="39">
        <v>0</v>
      </c>
      <c r="J145" s="39">
        <v>5.7546692772684427E-2</v>
      </c>
    </row>
    <row r="146" spans="1:10" ht="11.25" customHeight="1" x14ac:dyDescent="0.2">
      <c r="A146" s="74">
        <v>44287</v>
      </c>
      <c r="B146" s="65">
        <v>291984</v>
      </c>
      <c r="C146" s="65">
        <v>308786.71354253951</v>
      </c>
      <c r="D146" s="65">
        <v>0</v>
      </c>
      <c r="E146" s="65">
        <v>0</v>
      </c>
      <c r="F146" s="65">
        <v>0</v>
      </c>
      <c r="G146" s="65">
        <v>0</v>
      </c>
      <c r="H146" s="39">
        <v>5.7546692772684427E-2</v>
      </c>
      <c r="I146" s="39">
        <v>0</v>
      </c>
      <c r="J146" s="39">
        <v>5.7546692772684427E-2</v>
      </c>
    </row>
    <row r="147" spans="1:10" ht="11.25" customHeight="1" x14ac:dyDescent="0.2">
      <c r="A147" s="74">
        <v>44317</v>
      </c>
      <c r="B147" s="65">
        <v>294312.48000000004</v>
      </c>
      <c r="C147" s="65">
        <v>311249.18986572686</v>
      </c>
      <c r="D147" s="65">
        <v>0</v>
      </c>
      <c r="E147" s="65">
        <v>0</v>
      </c>
      <c r="F147" s="65">
        <v>0</v>
      </c>
      <c r="G147" s="65">
        <v>0</v>
      </c>
      <c r="H147" s="39">
        <v>5.7546692772684427E-2</v>
      </c>
      <c r="I147" s="39">
        <v>0</v>
      </c>
      <c r="J147" s="39">
        <v>5.7546692772684427E-2</v>
      </c>
    </row>
    <row r="148" spans="1:10" ht="11.25" customHeight="1" x14ac:dyDescent="0.2">
      <c r="A148" s="74">
        <v>44348</v>
      </c>
      <c r="B148" s="65">
        <v>278641.44</v>
      </c>
      <c r="C148" s="65">
        <v>294676.33334141836</v>
      </c>
      <c r="D148" s="65">
        <v>0</v>
      </c>
      <c r="E148" s="65">
        <v>0</v>
      </c>
      <c r="F148" s="65">
        <v>0</v>
      </c>
      <c r="G148" s="65">
        <v>0</v>
      </c>
      <c r="H148" s="39">
        <v>5.7546692772684427E-2</v>
      </c>
      <c r="I148" s="39">
        <v>0</v>
      </c>
      <c r="J148" s="39">
        <v>5.7546692772684427E-2</v>
      </c>
    </row>
    <row r="149" spans="1:10" ht="11.25" customHeight="1" x14ac:dyDescent="0.2">
      <c r="A149" s="74">
        <v>44378</v>
      </c>
      <c r="B149" s="65">
        <v>277865.28000000003</v>
      </c>
      <c r="C149" s="65">
        <v>293855.50790035597</v>
      </c>
      <c r="D149" s="65">
        <v>0</v>
      </c>
      <c r="E149" s="65">
        <v>0</v>
      </c>
      <c r="F149" s="65">
        <v>0</v>
      </c>
      <c r="G149" s="65">
        <v>0</v>
      </c>
      <c r="H149" s="39">
        <v>5.7546692772684427E-2</v>
      </c>
      <c r="I149" s="39">
        <v>0</v>
      </c>
      <c r="J149" s="39">
        <v>5.7546692772684427E-2</v>
      </c>
    </row>
    <row r="150" spans="1:10" ht="11.25" customHeight="1" x14ac:dyDescent="0.2">
      <c r="A150" s="74">
        <v>44409</v>
      </c>
      <c r="B150" s="65">
        <v>275740.08</v>
      </c>
      <c r="C150" s="65">
        <v>291608.00966887543</v>
      </c>
      <c r="D150" s="65">
        <v>0</v>
      </c>
      <c r="E150" s="65">
        <v>0</v>
      </c>
      <c r="F150" s="65">
        <v>0</v>
      </c>
      <c r="G150" s="65">
        <v>0</v>
      </c>
      <c r="H150" s="39">
        <v>5.7546692772684427E-2</v>
      </c>
      <c r="I150" s="39">
        <v>0</v>
      </c>
      <c r="J150" s="39">
        <v>5.7546692772684427E-2</v>
      </c>
    </row>
    <row r="151" spans="1:10" ht="11.25" customHeight="1" x14ac:dyDescent="0.2">
      <c r="A151" s="74">
        <v>44440</v>
      </c>
      <c r="B151" s="65">
        <v>289840.32</v>
      </c>
      <c r="C151" s="65">
        <v>306519.67184817651</v>
      </c>
      <c r="D151" s="65">
        <v>0</v>
      </c>
      <c r="E151" s="65">
        <v>0</v>
      </c>
      <c r="F151" s="65">
        <v>0</v>
      </c>
      <c r="G151" s="65">
        <v>0</v>
      </c>
      <c r="H151" s="39">
        <v>5.7546692772684205E-2</v>
      </c>
      <c r="I151" s="39">
        <v>0</v>
      </c>
      <c r="J151" s="39">
        <v>5.7546692772684205E-2</v>
      </c>
    </row>
    <row r="152" spans="1:10" ht="11.25" customHeight="1" x14ac:dyDescent="0.2">
      <c r="A152" s="74">
        <v>44470</v>
      </c>
      <c r="B152" s="65">
        <v>300115.20000000001</v>
      </c>
      <c r="C152" s="65">
        <v>317385.83721081272</v>
      </c>
      <c r="D152" s="65">
        <v>0</v>
      </c>
      <c r="E152" s="65">
        <v>0</v>
      </c>
      <c r="F152" s="65">
        <v>0</v>
      </c>
      <c r="G152" s="65">
        <v>0</v>
      </c>
      <c r="H152" s="39">
        <v>5.7546692772684427E-2</v>
      </c>
      <c r="I152" s="39">
        <v>0</v>
      </c>
      <c r="J152" s="39">
        <v>5.7546692772684427E-2</v>
      </c>
    </row>
    <row r="153" spans="1:10" ht="11.25" customHeight="1" x14ac:dyDescent="0.2">
      <c r="A153" s="74">
        <v>44501</v>
      </c>
      <c r="B153" s="65">
        <v>306176.64000000001</v>
      </c>
      <c r="C153" s="65">
        <v>323796.09303625277</v>
      </c>
      <c r="D153" s="65">
        <v>0</v>
      </c>
      <c r="E153" s="65">
        <v>0</v>
      </c>
      <c r="F153" s="65">
        <v>0</v>
      </c>
      <c r="G153" s="65">
        <v>0</v>
      </c>
      <c r="H153" s="39">
        <v>5.7546692772684205E-2</v>
      </c>
      <c r="I153" s="39">
        <v>0</v>
      </c>
      <c r="J153" s="39">
        <v>5.7546692772684205E-2</v>
      </c>
    </row>
    <row r="154" spans="1:10" ht="11.25" customHeight="1" x14ac:dyDescent="0.2">
      <c r="A154" s="74">
        <v>44531</v>
      </c>
      <c r="B154" s="65">
        <v>306971.28000000003</v>
      </c>
      <c r="C154" s="65">
        <v>324636.46194019768</v>
      </c>
      <c r="D154" s="65">
        <v>0</v>
      </c>
      <c r="E154" s="65">
        <v>0</v>
      </c>
      <c r="F154" s="65">
        <v>0</v>
      </c>
      <c r="G154" s="65">
        <v>0</v>
      </c>
      <c r="H154" s="39">
        <v>5.7546692772684205E-2</v>
      </c>
      <c r="I154" s="39">
        <v>0</v>
      </c>
      <c r="J154" s="39">
        <v>5.7546692772684205E-2</v>
      </c>
    </row>
    <row r="155" spans="1:10" ht="11.25" customHeight="1" x14ac:dyDescent="0.2">
      <c r="A155" s="74">
        <v>44562</v>
      </c>
      <c r="B155" s="65">
        <v>306971.28000000003</v>
      </c>
      <c r="C155" s="65">
        <v>324636.46194019768</v>
      </c>
      <c r="D155" s="65">
        <v>0</v>
      </c>
      <c r="E155" s="65">
        <v>0</v>
      </c>
      <c r="F155" s="65">
        <v>0</v>
      </c>
      <c r="G155" s="65">
        <v>0</v>
      </c>
      <c r="H155" s="39">
        <v>5.7546692772684205E-2</v>
      </c>
      <c r="I155" s="39">
        <v>0</v>
      </c>
      <c r="J155" s="39">
        <v>5.7546692772684205E-2</v>
      </c>
    </row>
    <row r="156" spans="1:10" ht="11.25" customHeight="1" x14ac:dyDescent="0.2">
      <c r="A156" s="73" t="s">
        <v>34</v>
      </c>
      <c r="B156" s="65">
        <v>0</v>
      </c>
      <c r="C156" s="65">
        <v>0</v>
      </c>
      <c r="D156" s="65">
        <v>2236392.7159699998</v>
      </c>
      <c r="E156" s="65">
        <v>2414976.8248060304</v>
      </c>
      <c r="F156" s="65">
        <v>868672.26420000009</v>
      </c>
      <c r="G156" s="65">
        <v>965769.85519301216</v>
      </c>
      <c r="H156" s="39">
        <v>7.9853644469849883E-2</v>
      </c>
      <c r="I156" s="39">
        <v>0.11177701302853693</v>
      </c>
      <c r="J156" s="39">
        <v>8.8784518710442129E-2</v>
      </c>
    </row>
    <row r="157" spans="1:10" ht="11.25" customHeight="1" x14ac:dyDescent="0.2">
      <c r="A157" s="74">
        <v>44228</v>
      </c>
      <c r="B157" s="65">
        <v>0</v>
      </c>
      <c r="C157" s="65">
        <v>0</v>
      </c>
      <c r="D157" s="65">
        <v>173707.28669000001</v>
      </c>
      <c r="E157" s="65">
        <v>187578.44660316556</v>
      </c>
      <c r="F157" s="65">
        <v>67472.363400000017</v>
      </c>
      <c r="G157" s="65">
        <v>75014.222642827983</v>
      </c>
      <c r="H157" s="39">
        <v>7.9853644469849883E-2</v>
      </c>
      <c r="I157" s="39">
        <v>0.11177701302853671</v>
      </c>
      <c r="J157" s="39">
        <v>8.8784518710442351E-2</v>
      </c>
    </row>
    <row r="158" spans="1:10" ht="11.25" customHeight="1" x14ac:dyDescent="0.2">
      <c r="A158" s="74">
        <v>44256</v>
      </c>
      <c r="B158" s="65">
        <v>0</v>
      </c>
      <c r="C158" s="65">
        <v>0</v>
      </c>
      <c r="D158" s="65">
        <v>184924.46853999997</v>
      </c>
      <c r="E158" s="65">
        <v>199691.36130456909</v>
      </c>
      <c r="F158" s="65">
        <v>71829.404399999999</v>
      </c>
      <c r="G158" s="65">
        <v>79858.280671450848</v>
      </c>
      <c r="H158" s="39">
        <v>7.9853644469849883E-2</v>
      </c>
      <c r="I158" s="39">
        <v>0.11177701302853693</v>
      </c>
      <c r="J158" s="39">
        <v>8.8784518710442351E-2</v>
      </c>
    </row>
    <row r="159" spans="1:10" ht="11.25" customHeight="1" x14ac:dyDescent="0.2">
      <c r="A159" s="74">
        <v>44287</v>
      </c>
      <c r="B159" s="65">
        <v>0</v>
      </c>
      <c r="C159" s="65">
        <v>0</v>
      </c>
      <c r="D159" s="65">
        <v>180186.54233999999</v>
      </c>
      <c r="E159" s="65">
        <v>194575.09443026991</v>
      </c>
      <c r="F159" s="65">
        <v>69989.072400000005</v>
      </c>
      <c r="G159" s="65">
        <v>77812.241857510016</v>
      </c>
      <c r="H159" s="39">
        <v>7.9853644469849883E-2</v>
      </c>
      <c r="I159" s="39">
        <v>0.11177701302853693</v>
      </c>
      <c r="J159" s="39">
        <v>8.8784518710442129E-2</v>
      </c>
    </row>
    <row r="160" spans="1:10" ht="11.25" customHeight="1" x14ac:dyDescent="0.2">
      <c r="A160" s="74">
        <v>44317</v>
      </c>
      <c r="B160" s="65">
        <v>0</v>
      </c>
      <c r="C160" s="65">
        <v>0</v>
      </c>
      <c r="D160" s="65">
        <v>180447.03389999998</v>
      </c>
      <c r="E160" s="65">
        <v>194856.38719068957</v>
      </c>
      <c r="F160" s="65">
        <v>70090.254000000001</v>
      </c>
      <c r="G160" s="65">
        <v>77924.733234531464</v>
      </c>
      <c r="H160" s="39">
        <v>7.9853644469850105E-2</v>
      </c>
      <c r="I160" s="39">
        <v>0.11177701302853693</v>
      </c>
      <c r="J160" s="39">
        <v>8.8784518710442351E-2</v>
      </c>
    </row>
    <row r="161" spans="1:10" ht="11.25" customHeight="1" x14ac:dyDescent="0.2">
      <c r="A161" s="74">
        <v>44348</v>
      </c>
      <c r="B161" s="65">
        <v>0</v>
      </c>
      <c r="C161" s="65">
        <v>0</v>
      </c>
      <c r="D161" s="65">
        <v>171104.25870999997</v>
      </c>
      <c r="E161" s="65">
        <v>184767.55735230556</v>
      </c>
      <c r="F161" s="65">
        <v>66461.280600000013</v>
      </c>
      <c r="G161" s="65">
        <v>73890.124027519443</v>
      </c>
      <c r="H161" s="39">
        <v>7.9853644469850105E-2</v>
      </c>
      <c r="I161" s="39">
        <v>0.11177701302853671</v>
      </c>
      <c r="J161" s="39">
        <v>8.8784518710442351E-2</v>
      </c>
    </row>
    <row r="162" spans="1:10" ht="11.25" customHeight="1" x14ac:dyDescent="0.2">
      <c r="A162" s="74">
        <v>44378</v>
      </c>
      <c r="B162" s="65">
        <v>0</v>
      </c>
      <c r="C162" s="65">
        <v>0</v>
      </c>
      <c r="D162" s="65">
        <v>180581.05492</v>
      </c>
      <c r="E162" s="65">
        <v>195001.11027757212</v>
      </c>
      <c r="F162" s="65">
        <v>70142.311200000011</v>
      </c>
      <c r="G162" s="65">
        <v>77982.609232854098</v>
      </c>
      <c r="H162" s="39">
        <v>7.9853644469849883E-2</v>
      </c>
      <c r="I162" s="39">
        <v>0.11177701302853693</v>
      </c>
      <c r="J162" s="39">
        <v>8.8784518710442129E-2</v>
      </c>
    </row>
    <row r="163" spans="1:10" ht="11.25" customHeight="1" x14ac:dyDescent="0.2">
      <c r="A163" s="74">
        <v>44409</v>
      </c>
      <c r="B163" s="65">
        <v>0</v>
      </c>
      <c r="C163" s="65">
        <v>0</v>
      </c>
      <c r="D163" s="65">
        <v>173326.93126000001</v>
      </c>
      <c r="E163" s="65">
        <v>187167.71840588617</v>
      </c>
      <c r="F163" s="65">
        <v>67324.623600000006</v>
      </c>
      <c r="G163" s="65">
        <v>74849.968929278548</v>
      </c>
      <c r="H163" s="39">
        <v>7.9853644469849883E-2</v>
      </c>
      <c r="I163" s="39">
        <v>0.11177701302853693</v>
      </c>
      <c r="J163" s="39">
        <v>8.8784518710442129E-2</v>
      </c>
    </row>
    <row r="164" spans="1:10" ht="11.25" customHeight="1" x14ac:dyDescent="0.2">
      <c r="A164" s="74">
        <v>44440</v>
      </c>
      <c r="B164" s="65">
        <v>0</v>
      </c>
      <c r="C164" s="65">
        <v>0</v>
      </c>
      <c r="D164" s="65">
        <v>180092.16133999999</v>
      </c>
      <c r="E164" s="65">
        <v>194473.17676345119</v>
      </c>
      <c r="F164" s="65">
        <v>69952.412400000001</v>
      </c>
      <c r="G164" s="65">
        <v>77771.484112212391</v>
      </c>
      <c r="H164" s="39">
        <v>7.9853644469849883E-2</v>
      </c>
      <c r="I164" s="39">
        <v>0.11177701302853693</v>
      </c>
      <c r="J164" s="39">
        <v>8.8784518710442129E-2</v>
      </c>
    </row>
    <row r="165" spans="1:10" ht="11.25" customHeight="1" x14ac:dyDescent="0.2">
      <c r="A165" s="74">
        <v>44470</v>
      </c>
      <c r="B165" s="65">
        <v>0</v>
      </c>
      <c r="C165" s="65">
        <v>0</v>
      </c>
      <c r="D165" s="65">
        <v>190069.17684999999</v>
      </c>
      <c r="E165" s="65">
        <v>205246.89332285692</v>
      </c>
      <c r="F165" s="65">
        <v>73827.741000000009</v>
      </c>
      <c r="G165" s="65">
        <v>82079.985367624438</v>
      </c>
      <c r="H165" s="39">
        <v>7.9853644469849883E-2</v>
      </c>
      <c r="I165" s="39">
        <v>0.11177701302853671</v>
      </c>
      <c r="J165" s="39">
        <v>8.8784518710442351E-2</v>
      </c>
    </row>
    <row r="166" spans="1:10" ht="11.25" customHeight="1" x14ac:dyDescent="0.2">
      <c r="A166" s="74">
        <v>44501</v>
      </c>
      <c r="B166" s="65">
        <v>0</v>
      </c>
      <c r="C166" s="65">
        <v>0</v>
      </c>
      <c r="D166" s="65">
        <v>190711.91146</v>
      </c>
      <c r="E166" s="65">
        <v>205940.95263389233</v>
      </c>
      <c r="F166" s="65">
        <v>74077.395600000003</v>
      </c>
      <c r="G166" s="65">
        <v>82357.545613101276</v>
      </c>
      <c r="H166" s="39">
        <v>7.9853644469849883E-2</v>
      </c>
      <c r="I166" s="39">
        <v>0.11177701302853671</v>
      </c>
      <c r="J166" s="39">
        <v>8.8784518710442351E-2</v>
      </c>
    </row>
    <row r="167" spans="1:10" ht="11.25" customHeight="1" x14ac:dyDescent="0.2">
      <c r="A167" s="74">
        <v>44531</v>
      </c>
      <c r="B167" s="65">
        <v>0</v>
      </c>
      <c r="C167" s="65">
        <v>0</v>
      </c>
      <c r="D167" s="65">
        <v>215620.94498</v>
      </c>
      <c r="E167" s="65">
        <v>232839.06326068597</v>
      </c>
      <c r="F167" s="65">
        <v>83752.702800000014</v>
      </c>
      <c r="G167" s="65">
        <v>93114.329752050777</v>
      </c>
      <c r="H167" s="39">
        <v>7.9853644469849883E-2</v>
      </c>
      <c r="I167" s="39">
        <v>0.11177701302853671</v>
      </c>
      <c r="J167" s="39">
        <v>8.8784518710442129E-2</v>
      </c>
    </row>
    <row r="168" spans="1:10" ht="11.25" customHeight="1" x14ac:dyDescent="0.2">
      <c r="A168" s="74">
        <v>44562</v>
      </c>
      <c r="B168" s="65">
        <v>0</v>
      </c>
      <c r="C168" s="65">
        <v>0</v>
      </c>
      <c r="D168" s="65">
        <v>215620.94498</v>
      </c>
      <c r="E168" s="65">
        <v>232839.06326068597</v>
      </c>
      <c r="F168" s="65">
        <v>83752.702800000014</v>
      </c>
      <c r="G168" s="65">
        <v>93114.329752050777</v>
      </c>
      <c r="H168" s="39">
        <v>7.9853644469849883E-2</v>
      </c>
      <c r="I168" s="39">
        <v>0.11177701302853671</v>
      </c>
      <c r="J168" s="39">
        <v>8.8784518710442129E-2</v>
      </c>
    </row>
    <row r="169" spans="1:10" ht="11.25" customHeight="1" x14ac:dyDescent="0.2">
      <c r="A169" s="69" t="s">
        <v>51</v>
      </c>
      <c r="B169" s="65">
        <v>13545.840000000002</v>
      </c>
      <c r="C169" s="65">
        <v>14325.358292827936</v>
      </c>
      <c r="D169" s="65">
        <v>22153.340149999996</v>
      </c>
      <c r="E169" s="65">
        <v>24819.847139685564</v>
      </c>
      <c r="F169" s="65">
        <v>40161.193829999989</v>
      </c>
      <c r="G169" s="65">
        <v>46043.210621535691</v>
      </c>
      <c r="H169" s="39">
        <v>9.6529535637347008E-2</v>
      </c>
      <c r="I169" s="39">
        <v>0.14646020774267665</v>
      </c>
      <c r="J169" s="39">
        <v>0.12296330198040506</v>
      </c>
    </row>
    <row r="170" spans="1:10" ht="11.25" customHeight="1" x14ac:dyDescent="0.2">
      <c r="A170" s="70" t="s">
        <v>25</v>
      </c>
      <c r="B170" s="65">
        <v>13545.840000000002</v>
      </c>
      <c r="C170" s="65">
        <v>14325.358292827936</v>
      </c>
      <c r="D170" s="65">
        <v>22153.340149999996</v>
      </c>
      <c r="E170" s="65">
        <v>24819.847139685564</v>
      </c>
      <c r="F170" s="65">
        <v>40161.193829999989</v>
      </c>
      <c r="G170" s="65">
        <v>46043.210621535691</v>
      </c>
      <c r="H170" s="39">
        <v>9.6529535637347008E-2</v>
      </c>
      <c r="I170" s="39">
        <v>0.14646020774267665</v>
      </c>
      <c r="J170" s="39">
        <v>0.12296330198040506</v>
      </c>
    </row>
    <row r="171" spans="1:10" ht="11.25" customHeight="1" x14ac:dyDescent="0.2">
      <c r="A171" s="71" t="s">
        <v>25</v>
      </c>
      <c r="B171" s="65">
        <v>13545.840000000002</v>
      </c>
      <c r="C171" s="65">
        <v>14325.358292827936</v>
      </c>
      <c r="D171" s="65">
        <v>22153.340149999996</v>
      </c>
      <c r="E171" s="65">
        <v>24819.847139685564</v>
      </c>
      <c r="F171" s="65">
        <v>40161.193829999989</v>
      </c>
      <c r="G171" s="65">
        <v>46043.210621535691</v>
      </c>
      <c r="H171" s="39">
        <v>9.6529535637347008E-2</v>
      </c>
      <c r="I171" s="39">
        <v>0.14646020774267665</v>
      </c>
      <c r="J171" s="39">
        <v>0.12296330198040506</v>
      </c>
    </row>
    <row r="172" spans="1:10" ht="11.25" customHeight="1" x14ac:dyDescent="0.2">
      <c r="A172" s="72" t="s">
        <v>25</v>
      </c>
      <c r="B172" s="65">
        <v>13545.840000000002</v>
      </c>
      <c r="C172" s="65">
        <v>14325.358292827936</v>
      </c>
      <c r="D172" s="65">
        <v>22153.340149999996</v>
      </c>
      <c r="E172" s="65">
        <v>24819.847139685564</v>
      </c>
      <c r="F172" s="65">
        <v>40161.193829999989</v>
      </c>
      <c r="G172" s="65">
        <v>46043.210621535691</v>
      </c>
      <c r="H172" s="39">
        <v>9.6529535637347008E-2</v>
      </c>
      <c r="I172" s="39">
        <v>0.14646020774267665</v>
      </c>
      <c r="J172" s="39">
        <v>0.12296330198040506</v>
      </c>
    </row>
    <row r="173" spans="1:10" ht="11.25" customHeight="1" x14ac:dyDescent="0.2">
      <c r="A173" s="73" t="s">
        <v>35</v>
      </c>
      <c r="B173" s="65">
        <v>0</v>
      </c>
      <c r="C173" s="65">
        <v>0</v>
      </c>
      <c r="D173" s="65">
        <v>6816.4276499999996</v>
      </c>
      <c r="E173" s="65">
        <v>8258.2262816453731</v>
      </c>
      <c r="F173" s="65">
        <v>34203.943829999989</v>
      </c>
      <c r="G173" s="65">
        <v>39420.077010671448</v>
      </c>
      <c r="H173" s="39">
        <v>0.21151821829215378</v>
      </c>
      <c r="I173" s="39">
        <v>0.15250092815602256</v>
      </c>
      <c r="J173" s="39">
        <v>0.16230793559641454</v>
      </c>
    </row>
    <row r="174" spans="1:10" ht="11.25" customHeight="1" x14ac:dyDescent="0.2">
      <c r="A174" s="74">
        <v>44228</v>
      </c>
      <c r="B174" s="65">
        <v>0</v>
      </c>
      <c r="C174" s="65">
        <v>0</v>
      </c>
      <c r="D174" s="65">
        <v>644.274</v>
      </c>
      <c r="E174" s="65">
        <v>780.54968857195922</v>
      </c>
      <c r="F174" s="65">
        <v>3232.8827999999999</v>
      </c>
      <c r="G174" s="65">
        <v>3725.9004276196397</v>
      </c>
      <c r="H174" s="39">
        <v>0.211518218292154</v>
      </c>
      <c r="I174" s="39">
        <v>0.15250092815602212</v>
      </c>
      <c r="J174" s="39">
        <v>0.1623079355964141</v>
      </c>
    </row>
    <row r="175" spans="1:10" ht="11.25" customHeight="1" x14ac:dyDescent="0.2">
      <c r="A175" s="74">
        <v>44256</v>
      </c>
      <c r="B175" s="65">
        <v>0</v>
      </c>
      <c r="C175" s="65">
        <v>0</v>
      </c>
      <c r="D175" s="65">
        <v>655.44839999999999</v>
      </c>
      <c r="E175" s="65">
        <v>794.08767775044305</v>
      </c>
      <c r="F175" s="65">
        <v>3288.9544799999999</v>
      </c>
      <c r="G175" s="65">
        <v>3790.5230908629073</v>
      </c>
      <c r="H175" s="39">
        <v>0.211518218292154</v>
      </c>
      <c r="I175" s="39">
        <v>0.15250092815602234</v>
      </c>
      <c r="J175" s="39">
        <v>0.1623079355964141</v>
      </c>
    </row>
    <row r="176" spans="1:10" ht="11.25" customHeight="1" x14ac:dyDescent="0.2">
      <c r="A176" s="74">
        <v>44287</v>
      </c>
      <c r="B176" s="65">
        <v>0</v>
      </c>
      <c r="C176" s="65">
        <v>0</v>
      </c>
      <c r="D176" s="65">
        <v>626.37749999999994</v>
      </c>
      <c r="E176" s="65">
        <v>758.86775277829372</v>
      </c>
      <c r="F176" s="65">
        <v>3143.0805</v>
      </c>
      <c r="G176" s="65">
        <v>3622.4031935190942</v>
      </c>
      <c r="H176" s="39">
        <v>0.21151821829215423</v>
      </c>
      <c r="I176" s="39">
        <v>0.15250092815602212</v>
      </c>
      <c r="J176" s="39">
        <v>0.1623079355964141</v>
      </c>
    </row>
    <row r="177" spans="1:10" ht="11.25" customHeight="1" x14ac:dyDescent="0.2">
      <c r="A177" s="74">
        <v>44317</v>
      </c>
      <c r="B177" s="65">
        <v>0</v>
      </c>
      <c r="C177" s="65">
        <v>0</v>
      </c>
      <c r="D177" s="65">
        <v>675.61469999999997</v>
      </c>
      <c r="E177" s="65">
        <v>818.51951759598808</v>
      </c>
      <c r="F177" s="65">
        <v>3390.1463399999998</v>
      </c>
      <c r="G177" s="65">
        <v>3907.1468034347417</v>
      </c>
      <c r="H177" s="39">
        <v>0.211518218292154</v>
      </c>
      <c r="I177" s="39">
        <v>0.15250092815602234</v>
      </c>
      <c r="J177" s="39">
        <v>0.1623079355964141</v>
      </c>
    </row>
    <row r="178" spans="1:10" ht="11.25" customHeight="1" x14ac:dyDescent="0.2">
      <c r="A178" s="74">
        <v>44348</v>
      </c>
      <c r="B178" s="65">
        <v>0</v>
      </c>
      <c r="C178" s="65">
        <v>0</v>
      </c>
      <c r="D178" s="65">
        <v>536.89499999999998</v>
      </c>
      <c r="E178" s="65">
        <v>650.45807380996609</v>
      </c>
      <c r="F178" s="65">
        <v>2694.069</v>
      </c>
      <c r="G178" s="65">
        <v>3104.9170230163668</v>
      </c>
      <c r="H178" s="39">
        <v>0.21151821829215423</v>
      </c>
      <c r="I178" s="39">
        <v>0.15250092815602234</v>
      </c>
      <c r="J178" s="39">
        <v>0.16230793559641432</v>
      </c>
    </row>
    <row r="179" spans="1:10" ht="11.25" customHeight="1" x14ac:dyDescent="0.2">
      <c r="A179" s="74">
        <v>44378</v>
      </c>
      <c r="B179" s="65">
        <v>0</v>
      </c>
      <c r="C179" s="65">
        <v>0</v>
      </c>
      <c r="D179" s="65">
        <v>489.92759999999998</v>
      </c>
      <c r="E179" s="65">
        <v>593.55621304415115</v>
      </c>
      <c r="F179" s="65">
        <v>2458.3927200000003</v>
      </c>
      <c r="G179" s="65">
        <v>2833.2998915720082</v>
      </c>
      <c r="H179" s="39">
        <v>0.21151821829215423</v>
      </c>
      <c r="I179" s="39">
        <v>0.15250092815602212</v>
      </c>
      <c r="J179" s="39">
        <v>0.1623079355964141</v>
      </c>
    </row>
    <row r="180" spans="1:10" ht="11.25" customHeight="1" x14ac:dyDescent="0.2">
      <c r="A180" s="74">
        <v>44409</v>
      </c>
      <c r="B180" s="65">
        <v>0</v>
      </c>
      <c r="C180" s="65">
        <v>0</v>
      </c>
      <c r="D180" s="65">
        <v>507.82409999999999</v>
      </c>
      <c r="E180" s="65">
        <v>615.23814883781665</v>
      </c>
      <c r="F180" s="65">
        <v>2548.1950200000001</v>
      </c>
      <c r="G180" s="65">
        <v>2936.7971256725536</v>
      </c>
      <c r="H180" s="39">
        <v>0.211518218292154</v>
      </c>
      <c r="I180" s="39">
        <v>0.15250092815602212</v>
      </c>
      <c r="J180" s="39">
        <v>0.1623079355964141</v>
      </c>
    </row>
    <row r="181" spans="1:10" ht="11.25" customHeight="1" x14ac:dyDescent="0.2">
      <c r="A181" s="74">
        <v>44440</v>
      </c>
      <c r="B181" s="65">
        <v>0</v>
      </c>
      <c r="C181" s="65">
        <v>0</v>
      </c>
      <c r="D181" s="65">
        <v>451.90844999999996</v>
      </c>
      <c r="E181" s="65">
        <v>547.4953201751689</v>
      </c>
      <c r="F181" s="65">
        <v>2267.6175899999998</v>
      </c>
      <c r="G181" s="65">
        <v>2613.4313771779221</v>
      </c>
      <c r="H181" s="39">
        <v>0.211518218292154</v>
      </c>
      <c r="I181" s="39">
        <v>0.15250092815602212</v>
      </c>
      <c r="J181" s="39">
        <v>0.16230793559641432</v>
      </c>
    </row>
    <row r="182" spans="1:10" ht="11.25" customHeight="1" x14ac:dyDescent="0.2">
      <c r="A182" s="74">
        <v>44470</v>
      </c>
      <c r="B182" s="65">
        <v>0</v>
      </c>
      <c r="C182" s="65">
        <v>0</v>
      </c>
      <c r="D182" s="65">
        <v>523.49445000000003</v>
      </c>
      <c r="E182" s="65">
        <v>634.22306334983114</v>
      </c>
      <c r="F182" s="65">
        <v>2626.8267900000001</v>
      </c>
      <c r="G182" s="65">
        <v>3027.4203135801044</v>
      </c>
      <c r="H182" s="39">
        <v>0.211518218292154</v>
      </c>
      <c r="I182" s="39">
        <v>0.15250092815602212</v>
      </c>
      <c r="J182" s="39">
        <v>0.1623079355964141</v>
      </c>
    </row>
    <row r="183" spans="1:10" ht="11.25" customHeight="1" x14ac:dyDescent="0.2">
      <c r="A183" s="74">
        <v>44501</v>
      </c>
      <c r="B183" s="65">
        <v>0</v>
      </c>
      <c r="C183" s="65">
        <v>0</v>
      </c>
      <c r="D183" s="65">
        <v>541.39094999999998</v>
      </c>
      <c r="E183" s="65">
        <v>655.90499914349664</v>
      </c>
      <c r="F183" s="65">
        <v>2716.6290899999999</v>
      </c>
      <c r="G183" s="65">
        <v>3130.9175476806499</v>
      </c>
      <c r="H183" s="39">
        <v>0.211518218292154</v>
      </c>
      <c r="I183" s="39">
        <v>0.15250092815602212</v>
      </c>
      <c r="J183" s="39">
        <v>0.1623079355964141</v>
      </c>
    </row>
    <row r="184" spans="1:10" ht="11.25" customHeight="1" x14ac:dyDescent="0.2">
      <c r="A184" s="74">
        <v>44531</v>
      </c>
      <c r="B184" s="65">
        <v>0</v>
      </c>
      <c r="C184" s="65">
        <v>0</v>
      </c>
      <c r="D184" s="65">
        <v>581.6362499999999</v>
      </c>
      <c r="E184" s="65">
        <v>704.66291329412979</v>
      </c>
      <c r="F184" s="65">
        <v>2918.5747499999998</v>
      </c>
      <c r="G184" s="65">
        <v>3363.6601082677303</v>
      </c>
      <c r="H184" s="39">
        <v>0.211518218292154</v>
      </c>
      <c r="I184" s="39">
        <v>0.15250092815602212</v>
      </c>
      <c r="J184" s="39">
        <v>0.1623079355964141</v>
      </c>
    </row>
    <row r="185" spans="1:10" ht="11.25" customHeight="1" x14ac:dyDescent="0.2">
      <c r="A185" s="74">
        <v>44562</v>
      </c>
      <c r="B185" s="65">
        <v>0</v>
      </c>
      <c r="C185" s="65">
        <v>0</v>
      </c>
      <c r="D185" s="65">
        <v>581.6362499999999</v>
      </c>
      <c r="E185" s="65">
        <v>704.66291329412979</v>
      </c>
      <c r="F185" s="65">
        <v>2918.5747499999998</v>
      </c>
      <c r="G185" s="65">
        <v>3363.6601082677303</v>
      </c>
      <c r="H185" s="39">
        <v>0.211518218292154</v>
      </c>
      <c r="I185" s="39">
        <v>0.15250092815602212</v>
      </c>
      <c r="J185" s="39">
        <v>0.1623079355964141</v>
      </c>
    </row>
    <row r="186" spans="1:10" ht="11.25" customHeight="1" x14ac:dyDescent="0.2">
      <c r="A186" s="73" t="s">
        <v>25</v>
      </c>
      <c r="B186" s="65">
        <v>13545.840000000002</v>
      </c>
      <c r="C186" s="65">
        <v>14325.358292827936</v>
      </c>
      <c r="D186" s="65">
        <v>0</v>
      </c>
      <c r="E186" s="65">
        <v>0</v>
      </c>
      <c r="F186" s="65">
        <v>0</v>
      </c>
      <c r="G186" s="65">
        <v>0</v>
      </c>
      <c r="H186" s="39">
        <v>5.7546692772683983E-2</v>
      </c>
      <c r="I186" s="39">
        <v>0</v>
      </c>
      <c r="J186" s="39">
        <v>5.7546692772683983E-2</v>
      </c>
    </row>
    <row r="187" spans="1:10" ht="11.25" customHeight="1" x14ac:dyDescent="0.2">
      <c r="A187" s="74">
        <v>44228</v>
      </c>
      <c r="B187" s="65">
        <v>1127.28</v>
      </c>
      <c r="C187" s="65">
        <v>1192.1512358287916</v>
      </c>
      <c r="D187" s="65">
        <v>0</v>
      </c>
      <c r="E187" s="65">
        <v>0</v>
      </c>
      <c r="F187" s="65">
        <v>0</v>
      </c>
      <c r="G187" s="65">
        <v>0</v>
      </c>
      <c r="H187" s="39">
        <v>5.7546692772684427E-2</v>
      </c>
      <c r="I187" s="39">
        <v>0</v>
      </c>
      <c r="J187" s="39">
        <v>5.7546692772684427E-2</v>
      </c>
    </row>
    <row r="188" spans="1:10" ht="11.25" customHeight="1" x14ac:dyDescent="0.2">
      <c r="A188" s="74">
        <v>44256</v>
      </c>
      <c r="B188" s="65">
        <v>1127.28</v>
      </c>
      <c r="C188" s="65">
        <v>1192.1512358287916</v>
      </c>
      <c r="D188" s="65">
        <v>0</v>
      </c>
      <c r="E188" s="65">
        <v>0</v>
      </c>
      <c r="F188" s="65">
        <v>0</v>
      </c>
      <c r="G188" s="65">
        <v>0</v>
      </c>
      <c r="H188" s="39">
        <v>5.7546692772684427E-2</v>
      </c>
      <c r="I188" s="39">
        <v>0</v>
      </c>
      <c r="J188" s="39">
        <v>5.7546692772684427E-2</v>
      </c>
    </row>
    <row r="189" spans="1:10" ht="11.25" customHeight="1" x14ac:dyDescent="0.2">
      <c r="A189" s="74">
        <v>44287</v>
      </c>
      <c r="B189" s="65">
        <v>1127.28</v>
      </c>
      <c r="C189" s="65">
        <v>1192.1512358287916</v>
      </c>
      <c r="D189" s="65">
        <v>0</v>
      </c>
      <c r="E189" s="65">
        <v>0</v>
      </c>
      <c r="F189" s="65">
        <v>0</v>
      </c>
      <c r="G189" s="65">
        <v>0</v>
      </c>
      <c r="H189" s="39">
        <v>5.7546692772684427E-2</v>
      </c>
      <c r="I189" s="39">
        <v>0</v>
      </c>
      <c r="J189" s="39">
        <v>5.7546692772684427E-2</v>
      </c>
    </row>
    <row r="190" spans="1:10" ht="11.25" customHeight="1" x14ac:dyDescent="0.2">
      <c r="A190" s="74">
        <v>44317</v>
      </c>
      <c r="B190" s="65">
        <v>1127.28</v>
      </c>
      <c r="C190" s="65">
        <v>1192.1512358287916</v>
      </c>
      <c r="D190" s="65">
        <v>0</v>
      </c>
      <c r="E190" s="65">
        <v>0</v>
      </c>
      <c r="F190" s="65">
        <v>0</v>
      </c>
      <c r="G190" s="65">
        <v>0</v>
      </c>
      <c r="H190" s="39">
        <v>5.7546692772684427E-2</v>
      </c>
      <c r="I190" s="39">
        <v>0</v>
      </c>
      <c r="J190" s="39">
        <v>5.7546692772684427E-2</v>
      </c>
    </row>
    <row r="191" spans="1:10" ht="11.25" customHeight="1" x14ac:dyDescent="0.2">
      <c r="A191" s="74">
        <v>44348</v>
      </c>
      <c r="B191" s="65">
        <v>1127.28</v>
      </c>
      <c r="C191" s="65">
        <v>1192.1512358287916</v>
      </c>
      <c r="D191" s="65">
        <v>0</v>
      </c>
      <c r="E191" s="65">
        <v>0</v>
      </c>
      <c r="F191" s="65">
        <v>0</v>
      </c>
      <c r="G191" s="65">
        <v>0</v>
      </c>
      <c r="H191" s="39">
        <v>5.7546692772684427E-2</v>
      </c>
      <c r="I191" s="39">
        <v>0</v>
      </c>
      <c r="J191" s="39">
        <v>5.7546692772684427E-2</v>
      </c>
    </row>
    <row r="192" spans="1:10" ht="11.25" customHeight="1" x14ac:dyDescent="0.2">
      <c r="A192" s="74">
        <v>44378</v>
      </c>
      <c r="B192" s="65">
        <v>1127.28</v>
      </c>
      <c r="C192" s="65">
        <v>1192.1512358287916</v>
      </c>
      <c r="D192" s="65">
        <v>0</v>
      </c>
      <c r="E192" s="65">
        <v>0</v>
      </c>
      <c r="F192" s="65">
        <v>0</v>
      </c>
      <c r="G192" s="65">
        <v>0</v>
      </c>
      <c r="H192" s="39">
        <v>5.7546692772684427E-2</v>
      </c>
      <c r="I192" s="39">
        <v>0</v>
      </c>
      <c r="J192" s="39">
        <v>5.7546692772684427E-2</v>
      </c>
    </row>
    <row r="193" spans="1:10" ht="11.25" customHeight="1" x14ac:dyDescent="0.2">
      <c r="A193" s="74">
        <v>44409</v>
      </c>
      <c r="B193" s="65">
        <v>1145.76</v>
      </c>
      <c r="C193" s="65">
        <v>1211.6946987112308</v>
      </c>
      <c r="D193" s="65">
        <v>0</v>
      </c>
      <c r="E193" s="65">
        <v>0</v>
      </c>
      <c r="F193" s="65">
        <v>0</v>
      </c>
      <c r="G193" s="65">
        <v>0</v>
      </c>
      <c r="H193" s="39">
        <v>5.7546692772684427E-2</v>
      </c>
      <c r="I193" s="39">
        <v>0</v>
      </c>
      <c r="J193" s="39">
        <v>5.7546692772684427E-2</v>
      </c>
    </row>
    <row r="194" spans="1:10" ht="11.25" customHeight="1" x14ac:dyDescent="0.2">
      <c r="A194" s="74">
        <v>44440</v>
      </c>
      <c r="B194" s="65">
        <v>1127.28</v>
      </c>
      <c r="C194" s="65">
        <v>1192.1512358287916</v>
      </c>
      <c r="D194" s="65">
        <v>0</v>
      </c>
      <c r="E194" s="65">
        <v>0</v>
      </c>
      <c r="F194" s="65">
        <v>0</v>
      </c>
      <c r="G194" s="65">
        <v>0</v>
      </c>
      <c r="H194" s="39">
        <v>5.7546692772684427E-2</v>
      </c>
      <c r="I194" s="39">
        <v>0</v>
      </c>
      <c r="J194" s="39">
        <v>5.7546692772684427E-2</v>
      </c>
    </row>
    <row r="195" spans="1:10" ht="11.25" customHeight="1" x14ac:dyDescent="0.2">
      <c r="A195" s="74">
        <v>44470</v>
      </c>
      <c r="B195" s="65">
        <v>1127.28</v>
      </c>
      <c r="C195" s="65">
        <v>1192.1512358287916</v>
      </c>
      <c r="D195" s="65">
        <v>0</v>
      </c>
      <c r="E195" s="65">
        <v>0</v>
      </c>
      <c r="F195" s="65">
        <v>0</v>
      </c>
      <c r="G195" s="65">
        <v>0</v>
      </c>
      <c r="H195" s="39">
        <v>5.7546692772684427E-2</v>
      </c>
      <c r="I195" s="39">
        <v>0</v>
      </c>
      <c r="J195" s="39">
        <v>5.7546692772684427E-2</v>
      </c>
    </row>
    <row r="196" spans="1:10" ht="11.25" customHeight="1" x14ac:dyDescent="0.2">
      <c r="A196" s="74">
        <v>44501</v>
      </c>
      <c r="B196" s="65">
        <v>1127.28</v>
      </c>
      <c r="C196" s="65">
        <v>1192.1512358287916</v>
      </c>
      <c r="D196" s="65">
        <v>0</v>
      </c>
      <c r="E196" s="65">
        <v>0</v>
      </c>
      <c r="F196" s="65">
        <v>0</v>
      </c>
      <c r="G196" s="65">
        <v>0</v>
      </c>
      <c r="H196" s="39">
        <v>5.7546692772684427E-2</v>
      </c>
      <c r="I196" s="39">
        <v>0</v>
      </c>
      <c r="J196" s="39">
        <v>5.7546692772684427E-2</v>
      </c>
    </row>
    <row r="197" spans="1:10" ht="11.25" customHeight="1" x14ac:dyDescent="0.2">
      <c r="A197" s="74">
        <v>44531</v>
      </c>
      <c r="B197" s="65">
        <v>1127.28</v>
      </c>
      <c r="C197" s="65">
        <v>1192.1512358287916</v>
      </c>
      <c r="D197" s="65">
        <v>0</v>
      </c>
      <c r="E197" s="65">
        <v>0</v>
      </c>
      <c r="F197" s="65">
        <v>0</v>
      </c>
      <c r="G197" s="65">
        <v>0</v>
      </c>
      <c r="H197" s="39">
        <v>5.7546692772684427E-2</v>
      </c>
      <c r="I197" s="39">
        <v>0</v>
      </c>
      <c r="J197" s="39">
        <v>5.7546692772684427E-2</v>
      </c>
    </row>
    <row r="198" spans="1:10" ht="11.25" customHeight="1" x14ac:dyDescent="0.2">
      <c r="A198" s="74">
        <v>44562</v>
      </c>
      <c r="B198" s="65">
        <v>1127.28</v>
      </c>
      <c r="C198" s="65">
        <v>1192.1512358287916</v>
      </c>
      <c r="D198" s="65">
        <v>0</v>
      </c>
      <c r="E198" s="65">
        <v>0</v>
      </c>
      <c r="F198" s="65">
        <v>0</v>
      </c>
      <c r="G198" s="65">
        <v>0</v>
      </c>
      <c r="H198" s="39">
        <v>5.7546692772684427E-2</v>
      </c>
      <c r="I198" s="39">
        <v>0</v>
      </c>
      <c r="J198" s="39">
        <v>5.7546692772684427E-2</v>
      </c>
    </row>
    <row r="199" spans="1:10" ht="11.25" customHeight="1" x14ac:dyDescent="0.2">
      <c r="A199" s="73" t="s">
        <v>34</v>
      </c>
      <c r="B199" s="65">
        <v>0</v>
      </c>
      <c r="C199" s="65">
        <v>0</v>
      </c>
      <c r="D199" s="65">
        <v>15336.912499999997</v>
      </c>
      <c r="E199" s="65">
        <v>16561.620858040194</v>
      </c>
      <c r="F199" s="65">
        <v>5957.2500000000009</v>
      </c>
      <c r="G199" s="65">
        <v>6623.1336108642499</v>
      </c>
      <c r="H199" s="39">
        <v>7.9853644469849883E-2</v>
      </c>
      <c r="I199" s="39">
        <v>0.11177701302853649</v>
      </c>
      <c r="J199" s="39">
        <v>8.8784518710442129E-2</v>
      </c>
    </row>
    <row r="200" spans="1:10" ht="11.25" customHeight="1" x14ac:dyDescent="0.2">
      <c r="A200" s="74">
        <v>44228</v>
      </c>
      <c r="B200" s="65">
        <v>0</v>
      </c>
      <c r="C200" s="65">
        <v>0</v>
      </c>
      <c r="D200" s="65">
        <v>1499.7140899999999</v>
      </c>
      <c r="E200" s="65">
        <v>1619.4717257492844</v>
      </c>
      <c r="F200" s="65">
        <v>582.52740000000006</v>
      </c>
      <c r="G200" s="65">
        <v>647.64057277927964</v>
      </c>
      <c r="H200" s="39">
        <v>7.9853644469849883E-2</v>
      </c>
      <c r="I200" s="39">
        <v>0.11177701302853671</v>
      </c>
      <c r="J200" s="39">
        <v>8.8784518710442129E-2</v>
      </c>
    </row>
    <row r="201" spans="1:10" ht="11.25" customHeight="1" x14ac:dyDescent="0.2">
      <c r="A201" s="74">
        <v>44256</v>
      </c>
      <c r="B201" s="65">
        <v>0</v>
      </c>
      <c r="C201" s="65">
        <v>0</v>
      </c>
      <c r="D201" s="65">
        <v>1499.7140899999999</v>
      </c>
      <c r="E201" s="65">
        <v>1619.4717257492844</v>
      </c>
      <c r="F201" s="65">
        <v>582.52740000000006</v>
      </c>
      <c r="G201" s="65">
        <v>647.64057277927964</v>
      </c>
      <c r="H201" s="39">
        <v>7.9853644469849883E-2</v>
      </c>
      <c r="I201" s="39">
        <v>0.11177701302853671</v>
      </c>
      <c r="J201" s="39">
        <v>8.8784518710442129E-2</v>
      </c>
    </row>
    <row r="202" spans="1:10" ht="11.25" customHeight="1" x14ac:dyDescent="0.2">
      <c r="A202" s="74">
        <v>44287</v>
      </c>
      <c r="B202" s="65">
        <v>0</v>
      </c>
      <c r="C202" s="65">
        <v>0</v>
      </c>
      <c r="D202" s="65">
        <v>1451.57978</v>
      </c>
      <c r="E202" s="65">
        <v>1567.4937156717431</v>
      </c>
      <c r="F202" s="65">
        <v>563.83080000000007</v>
      </c>
      <c r="G202" s="65">
        <v>626.85412267749041</v>
      </c>
      <c r="H202" s="39">
        <v>7.9853644469849883E-2</v>
      </c>
      <c r="I202" s="39">
        <v>0.11177701302853671</v>
      </c>
      <c r="J202" s="39">
        <v>8.8784518710442129E-2</v>
      </c>
    </row>
    <row r="203" spans="1:10" ht="11.25" customHeight="1" x14ac:dyDescent="0.2">
      <c r="A203" s="74">
        <v>44317</v>
      </c>
      <c r="B203" s="65">
        <v>0</v>
      </c>
      <c r="C203" s="65">
        <v>0</v>
      </c>
      <c r="D203" s="65">
        <v>1645.0608299999999</v>
      </c>
      <c r="E203" s="65">
        <v>1776.4249326500963</v>
      </c>
      <c r="F203" s="65">
        <v>638.98380000000009</v>
      </c>
      <c r="G203" s="65">
        <v>710.40750053762406</v>
      </c>
      <c r="H203" s="39">
        <v>7.9853644469850105E-2</v>
      </c>
      <c r="I203" s="39">
        <v>0.11177701302853671</v>
      </c>
      <c r="J203" s="39">
        <v>8.8784518710442351E-2</v>
      </c>
    </row>
    <row r="204" spans="1:10" ht="11.25" customHeight="1" x14ac:dyDescent="0.2">
      <c r="A204" s="74">
        <v>44348</v>
      </c>
      <c r="B204" s="65">
        <v>0</v>
      </c>
      <c r="C204" s="65">
        <v>0</v>
      </c>
      <c r="D204" s="65">
        <v>1160.8862999999999</v>
      </c>
      <c r="E204" s="65">
        <v>1253.5873018701195</v>
      </c>
      <c r="F204" s="65">
        <v>450.91800000000001</v>
      </c>
      <c r="G204" s="65">
        <v>501.32026716080179</v>
      </c>
      <c r="H204" s="39">
        <v>7.9853644469850105E-2</v>
      </c>
      <c r="I204" s="39">
        <v>0.11177701302853693</v>
      </c>
      <c r="J204" s="39">
        <v>8.8784518710442573E-2</v>
      </c>
    </row>
    <row r="205" spans="1:10" ht="11.25" customHeight="1" x14ac:dyDescent="0.2">
      <c r="A205" s="74">
        <v>44378</v>
      </c>
      <c r="B205" s="65">
        <v>0</v>
      </c>
      <c r="C205" s="65">
        <v>0</v>
      </c>
      <c r="D205" s="65">
        <v>1258.0987299999999</v>
      </c>
      <c r="E205" s="65">
        <v>1358.5624986933897</v>
      </c>
      <c r="F205" s="65">
        <v>488.67779999999999</v>
      </c>
      <c r="G205" s="65">
        <v>543.30074481735676</v>
      </c>
      <c r="H205" s="39">
        <v>7.9853644469849883E-2</v>
      </c>
      <c r="I205" s="39">
        <v>0.11177701302853693</v>
      </c>
      <c r="J205" s="39">
        <v>8.8784518710442351E-2</v>
      </c>
    </row>
    <row r="206" spans="1:10" ht="11.25" customHeight="1" x14ac:dyDescent="0.2">
      <c r="A206" s="74">
        <v>44409</v>
      </c>
      <c r="B206" s="65">
        <v>0</v>
      </c>
      <c r="C206" s="65">
        <v>0</v>
      </c>
      <c r="D206" s="65">
        <v>1306.2330399999998</v>
      </c>
      <c r="E206" s="65">
        <v>1410.5405087709312</v>
      </c>
      <c r="F206" s="65">
        <v>507.37439999999998</v>
      </c>
      <c r="G206" s="65">
        <v>564.08719491914599</v>
      </c>
      <c r="H206" s="39">
        <v>7.9853644469850105E-2</v>
      </c>
      <c r="I206" s="39">
        <v>0.11177701302853671</v>
      </c>
      <c r="J206" s="39">
        <v>8.8784518710442351E-2</v>
      </c>
    </row>
    <row r="207" spans="1:10" ht="11.25" customHeight="1" x14ac:dyDescent="0.2">
      <c r="A207" s="74">
        <v>44440</v>
      </c>
      <c r="B207" s="65">
        <v>0</v>
      </c>
      <c r="C207" s="65">
        <v>0</v>
      </c>
      <c r="D207" s="65">
        <v>1112.75199</v>
      </c>
      <c r="E207" s="65">
        <v>1201.609291792578</v>
      </c>
      <c r="F207" s="65">
        <v>432.22140000000002</v>
      </c>
      <c r="G207" s="65">
        <v>480.53381705901245</v>
      </c>
      <c r="H207" s="39">
        <v>7.9853644469849883E-2</v>
      </c>
      <c r="I207" s="39">
        <v>0.11177701302853693</v>
      </c>
      <c r="J207" s="39">
        <v>8.8784518710442351E-2</v>
      </c>
    </row>
    <row r="208" spans="1:10" ht="11.25" customHeight="1" x14ac:dyDescent="0.2">
      <c r="A208" s="74">
        <v>44470</v>
      </c>
      <c r="B208" s="65">
        <v>0</v>
      </c>
      <c r="C208" s="65">
        <v>0</v>
      </c>
      <c r="D208" s="65">
        <v>1209.0206099999998</v>
      </c>
      <c r="E208" s="65">
        <v>1305.565311947661</v>
      </c>
      <c r="F208" s="65">
        <v>469.6146</v>
      </c>
      <c r="G208" s="65">
        <v>522.10671726259113</v>
      </c>
      <c r="H208" s="39">
        <v>7.9853644469850105E-2</v>
      </c>
      <c r="I208" s="39">
        <v>0.11177701302853693</v>
      </c>
      <c r="J208" s="39">
        <v>8.8784518710442351E-2</v>
      </c>
    </row>
    <row r="209" spans="1:10" ht="11.25" customHeight="1" x14ac:dyDescent="0.2">
      <c r="A209" s="74">
        <v>44501</v>
      </c>
      <c r="B209" s="65">
        <v>0</v>
      </c>
      <c r="C209" s="65">
        <v>0</v>
      </c>
      <c r="D209" s="65">
        <v>1064.6176799999998</v>
      </c>
      <c r="E209" s="65">
        <v>1149.6312817150363</v>
      </c>
      <c r="F209" s="65">
        <v>413.52479999999997</v>
      </c>
      <c r="G209" s="65">
        <v>459.74736695722305</v>
      </c>
      <c r="H209" s="39">
        <v>7.9853644469849883E-2</v>
      </c>
      <c r="I209" s="39">
        <v>0.11177701302853693</v>
      </c>
      <c r="J209" s="39">
        <v>8.8784518710442351E-2</v>
      </c>
    </row>
    <row r="210" spans="1:10" ht="11.25" customHeight="1" x14ac:dyDescent="0.2">
      <c r="A210" s="74">
        <v>44531</v>
      </c>
      <c r="B210" s="65">
        <v>0</v>
      </c>
      <c r="C210" s="65">
        <v>0</v>
      </c>
      <c r="D210" s="65">
        <v>1064.6176799999998</v>
      </c>
      <c r="E210" s="65">
        <v>1149.6312817150363</v>
      </c>
      <c r="F210" s="65">
        <v>413.52479999999997</v>
      </c>
      <c r="G210" s="65">
        <v>459.74736695722305</v>
      </c>
      <c r="H210" s="39">
        <v>7.9853644469849883E-2</v>
      </c>
      <c r="I210" s="39">
        <v>0.11177701302853693</v>
      </c>
      <c r="J210" s="39">
        <v>8.8784518710442351E-2</v>
      </c>
    </row>
    <row r="211" spans="1:10" ht="11.25" customHeight="1" x14ac:dyDescent="0.2">
      <c r="A211" s="74">
        <v>44562</v>
      </c>
      <c r="B211" s="65">
        <v>0</v>
      </c>
      <c r="C211" s="65">
        <v>0</v>
      </c>
      <c r="D211" s="65">
        <v>1064.6176799999998</v>
      </c>
      <c r="E211" s="65">
        <v>1149.6312817150363</v>
      </c>
      <c r="F211" s="65">
        <v>413.52479999999997</v>
      </c>
      <c r="G211" s="65">
        <v>459.74736695722305</v>
      </c>
      <c r="H211" s="39">
        <v>7.9853644469849883E-2</v>
      </c>
      <c r="I211" s="39">
        <v>0.11177701302853693</v>
      </c>
      <c r="J211" s="39">
        <v>8.8784518710442351E-2</v>
      </c>
    </row>
    <row r="212" spans="1:10" ht="11.25" customHeight="1" x14ac:dyDescent="0.2">
      <c r="A212" s="69" t="s">
        <v>38</v>
      </c>
      <c r="B212" s="65">
        <v>4374326.88</v>
      </c>
      <c r="C212" s="65">
        <v>4626054.9250506544</v>
      </c>
      <c r="D212" s="65">
        <v>3187131.9808100001</v>
      </c>
      <c r="E212" s="65">
        <v>3671486.2926442595</v>
      </c>
      <c r="F212" s="65">
        <v>9319701.9579600021</v>
      </c>
      <c r="G212" s="65">
        <v>10718164.68290649</v>
      </c>
      <c r="H212" s="39">
        <v>9.734660604978318E-2</v>
      </c>
      <c r="I212" s="39">
        <v>0.15005444715450844</v>
      </c>
      <c r="J212" s="39">
        <v>0.12644539701665636</v>
      </c>
    </row>
    <row r="213" spans="1:10" ht="11.25" customHeight="1" x14ac:dyDescent="0.2">
      <c r="A213" s="70" t="s">
        <v>25</v>
      </c>
      <c r="B213" s="65">
        <v>4374326.88</v>
      </c>
      <c r="C213" s="65">
        <v>4626054.9250506544</v>
      </c>
      <c r="D213" s="65">
        <v>3187131.9808100001</v>
      </c>
      <c r="E213" s="65">
        <v>3671486.2926442595</v>
      </c>
      <c r="F213" s="65">
        <v>9319701.9579600021</v>
      </c>
      <c r="G213" s="65">
        <v>10718164.68290649</v>
      </c>
      <c r="H213" s="39">
        <v>9.734660604978318E-2</v>
      </c>
      <c r="I213" s="39">
        <v>0.15005444715450844</v>
      </c>
      <c r="J213" s="39">
        <v>0.12644539701665636</v>
      </c>
    </row>
    <row r="214" spans="1:10" ht="11.25" customHeight="1" x14ac:dyDescent="0.2">
      <c r="A214" s="71" t="s">
        <v>25</v>
      </c>
      <c r="B214" s="65">
        <v>4374326.88</v>
      </c>
      <c r="C214" s="65">
        <v>4626054.9250506544</v>
      </c>
      <c r="D214" s="65">
        <v>3187131.9808100001</v>
      </c>
      <c r="E214" s="65">
        <v>3671486.2926442595</v>
      </c>
      <c r="F214" s="65">
        <v>9319701.9579600021</v>
      </c>
      <c r="G214" s="65">
        <v>10718164.68290649</v>
      </c>
      <c r="H214" s="39">
        <v>9.734660604978318E-2</v>
      </c>
      <c r="I214" s="39">
        <v>0.15005444715450844</v>
      </c>
      <c r="J214" s="39">
        <v>0.12644539701665636</v>
      </c>
    </row>
    <row r="215" spans="1:10" ht="11.25" customHeight="1" x14ac:dyDescent="0.2">
      <c r="A215" s="72" t="s">
        <v>25</v>
      </c>
      <c r="B215" s="65">
        <v>4374326.88</v>
      </c>
      <c r="C215" s="65">
        <v>4626054.9250506544</v>
      </c>
      <c r="D215" s="65">
        <v>3187131.9808100001</v>
      </c>
      <c r="E215" s="65">
        <v>3671486.2926442595</v>
      </c>
      <c r="F215" s="65">
        <v>9319701.9579600021</v>
      </c>
      <c r="G215" s="65">
        <v>10718164.68290649</v>
      </c>
      <c r="H215" s="39">
        <v>9.734660604978318E-2</v>
      </c>
      <c r="I215" s="39">
        <v>0.15005444715450844</v>
      </c>
      <c r="J215" s="39">
        <v>0.12644539701665636</v>
      </c>
    </row>
    <row r="216" spans="1:10" ht="11.25" customHeight="1" x14ac:dyDescent="0.2">
      <c r="A216" s="73" t="s">
        <v>35</v>
      </c>
      <c r="B216" s="65">
        <v>0</v>
      </c>
      <c r="C216" s="65">
        <v>0</v>
      </c>
      <c r="D216" s="65">
        <v>1745725.5288</v>
      </c>
      <c r="E216" s="65">
        <v>2114978.2822789047</v>
      </c>
      <c r="F216" s="65">
        <v>8759822.7393600009</v>
      </c>
      <c r="G216" s="65">
        <v>10095703.83759463</v>
      </c>
      <c r="H216" s="39">
        <v>0.21151821829215378</v>
      </c>
      <c r="I216" s="39">
        <v>0.15250092815602168</v>
      </c>
      <c r="J216" s="39">
        <v>0.16230793559641365</v>
      </c>
    </row>
    <row r="217" spans="1:10" ht="11.25" customHeight="1" x14ac:dyDescent="0.2">
      <c r="A217" s="74">
        <v>44228</v>
      </c>
      <c r="B217" s="65">
        <v>0</v>
      </c>
      <c r="C217" s="65">
        <v>0</v>
      </c>
      <c r="D217" s="65">
        <v>142851.69629999998</v>
      </c>
      <c r="E217" s="65">
        <v>173067.4325813879</v>
      </c>
      <c r="F217" s="65">
        <v>716811.15786000004</v>
      </c>
      <c r="G217" s="65">
        <v>826125.52474624291</v>
      </c>
      <c r="H217" s="39">
        <v>0.21151821829215423</v>
      </c>
      <c r="I217" s="39">
        <v>0.15250092815602212</v>
      </c>
      <c r="J217" s="39">
        <v>0.1623079355964141</v>
      </c>
    </row>
    <row r="218" spans="1:10" ht="11.25" customHeight="1" x14ac:dyDescent="0.2">
      <c r="A218" s="74">
        <v>44256</v>
      </c>
      <c r="B218" s="65">
        <v>0</v>
      </c>
      <c r="C218" s="65">
        <v>0</v>
      </c>
      <c r="D218" s="65">
        <v>140328.98819999999</v>
      </c>
      <c r="E218" s="65">
        <v>170011.1257588047</v>
      </c>
      <c r="F218" s="65">
        <v>704152.53804000001</v>
      </c>
      <c r="G218" s="65">
        <v>811536.4536545187</v>
      </c>
      <c r="H218" s="39">
        <v>0.211518218292154</v>
      </c>
      <c r="I218" s="39">
        <v>0.15250092815602212</v>
      </c>
      <c r="J218" s="39">
        <v>0.1623079355964141</v>
      </c>
    </row>
    <row r="219" spans="1:10" ht="11.25" customHeight="1" x14ac:dyDescent="0.2">
      <c r="A219" s="74">
        <v>44287</v>
      </c>
      <c r="B219" s="65">
        <v>0</v>
      </c>
      <c r="C219" s="65">
        <v>0</v>
      </c>
      <c r="D219" s="65">
        <v>141109.62479999999</v>
      </c>
      <c r="E219" s="65">
        <v>170956.88122157037</v>
      </c>
      <c r="F219" s="65">
        <v>708069.67056</v>
      </c>
      <c r="G219" s="65">
        <v>816050.9525195288</v>
      </c>
      <c r="H219" s="39">
        <v>0.21151821829215423</v>
      </c>
      <c r="I219" s="39">
        <v>0.15250092815602212</v>
      </c>
      <c r="J219" s="39">
        <v>0.1623079355964141</v>
      </c>
    </row>
    <row r="220" spans="1:10" ht="11.25" customHeight="1" x14ac:dyDescent="0.2">
      <c r="A220" s="74">
        <v>44317</v>
      </c>
      <c r="B220" s="65">
        <v>0</v>
      </c>
      <c r="C220" s="65">
        <v>0</v>
      </c>
      <c r="D220" s="65">
        <v>147454.28325000001</v>
      </c>
      <c r="E220" s="65">
        <v>178643.55052258662</v>
      </c>
      <c r="F220" s="65">
        <v>739906.33815000008</v>
      </c>
      <c r="G220" s="65">
        <v>852742.74146639858</v>
      </c>
      <c r="H220" s="39">
        <v>0.211518218292154</v>
      </c>
      <c r="I220" s="39">
        <v>0.15250092815602212</v>
      </c>
      <c r="J220" s="39">
        <v>0.16230793559641388</v>
      </c>
    </row>
    <row r="221" spans="1:10" ht="11.25" customHeight="1" x14ac:dyDescent="0.2">
      <c r="A221" s="74">
        <v>44348</v>
      </c>
      <c r="B221" s="65">
        <v>0</v>
      </c>
      <c r="C221" s="65">
        <v>0</v>
      </c>
      <c r="D221" s="65">
        <v>140748.07185000001</v>
      </c>
      <c r="E221" s="65">
        <v>170518.85323576807</v>
      </c>
      <c r="F221" s="65">
        <v>706255.44507000002</v>
      </c>
      <c r="G221" s="65">
        <v>813960.05595841957</v>
      </c>
      <c r="H221" s="39">
        <v>0.21151821829215378</v>
      </c>
      <c r="I221" s="39">
        <v>0.15250092815602212</v>
      </c>
      <c r="J221" s="39">
        <v>0.1623079355964141</v>
      </c>
    </row>
    <row r="222" spans="1:10" ht="11.25" customHeight="1" x14ac:dyDescent="0.2">
      <c r="A222" s="74">
        <v>44378</v>
      </c>
      <c r="B222" s="65">
        <v>0</v>
      </c>
      <c r="C222" s="65">
        <v>0</v>
      </c>
      <c r="D222" s="65">
        <v>158334.43859999996</v>
      </c>
      <c r="E222" s="65">
        <v>191825.05694696042</v>
      </c>
      <c r="F222" s="65">
        <v>794501.53691999998</v>
      </c>
      <c r="G222" s="65">
        <v>915663.75872168608</v>
      </c>
      <c r="H222" s="39">
        <v>0.211518218292154</v>
      </c>
      <c r="I222" s="39">
        <v>0.15250092815602212</v>
      </c>
      <c r="J222" s="39">
        <v>0.1623079355964141</v>
      </c>
    </row>
    <row r="223" spans="1:10" ht="11.25" customHeight="1" x14ac:dyDescent="0.2">
      <c r="A223" s="74">
        <v>44409</v>
      </c>
      <c r="B223" s="65">
        <v>0</v>
      </c>
      <c r="C223" s="65">
        <v>0</v>
      </c>
      <c r="D223" s="65">
        <v>153614.04030000002</v>
      </c>
      <c r="E223" s="65">
        <v>186106.20840891515</v>
      </c>
      <c r="F223" s="65">
        <v>770815.19466000004</v>
      </c>
      <c r="G223" s="65">
        <v>888365.22728241503</v>
      </c>
      <c r="H223" s="39">
        <v>0.21151821829215378</v>
      </c>
      <c r="I223" s="39">
        <v>0.15250092815602234</v>
      </c>
      <c r="J223" s="39">
        <v>0.1623079355964141</v>
      </c>
    </row>
    <row r="224" spans="1:10" ht="11.25" customHeight="1" x14ac:dyDescent="0.2">
      <c r="A224" s="74">
        <v>44440</v>
      </c>
      <c r="B224" s="65">
        <v>0</v>
      </c>
      <c r="C224" s="65">
        <v>0</v>
      </c>
      <c r="D224" s="65">
        <v>148103.53335000001</v>
      </c>
      <c r="E224" s="65">
        <v>179430.1288469646</v>
      </c>
      <c r="F224" s="65">
        <v>743164.19037000008</v>
      </c>
      <c r="G224" s="65">
        <v>856497.41917374381</v>
      </c>
      <c r="H224" s="39">
        <v>0.21151821829215378</v>
      </c>
      <c r="I224" s="39">
        <v>0.15250092815602212</v>
      </c>
      <c r="J224" s="39">
        <v>0.16230793559641388</v>
      </c>
    </row>
    <row r="225" spans="1:10" ht="11.25" customHeight="1" x14ac:dyDescent="0.2">
      <c r="A225" s="74">
        <v>44470</v>
      </c>
      <c r="B225" s="65">
        <v>0</v>
      </c>
      <c r="C225" s="65">
        <v>0</v>
      </c>
      <c r="D225" s="65">
        <v>151869.0006</v>
      </c>
      <c r="E225" s="65">
        <v>183992.06102072209</v>
      </c>
      <c r="F225" s="65">
        <v>762058.81332000007</v>
      </c>
      <c r="G225" s="65">
        <v>878273.48966077692</v>
      </c>
      <c r="H225" s="39">
        <v>0.21151821829215423</v>
      </c>
      <c r="I225" s="39">
        <v>0.15250092815602212</v>
      </c>
      <c r="J225" s="39">
        <v>0.1623079355964141</v>
      </c>
    </row>
    <row r="226" spans="1:10" ht="11.25" customHeight="1" x14ac:dyDescent="0.2">
      <c r="A226" s="74">
        <v>44501</v>
      </c>
      <c r="B226" s="65">
        <v>0</v>
      </c>
      <c r="C226" s="65">
        <v>0</v>
      </c>
      <c r="D226" s="65">
        <v>147784.71375</v>
      </c>
      <c r="E226" s="65">
        <v>179043.87309321601</v>
      </c>
      <c r="F226" s="65">
        <v>741564.39525000006</v>
      </c>
      <c r="G226" s="65">
        <v>854653.65381308435</v>
      </c>
      <c r="H226" s="39">
        <v>0.21151821829215423</v>
      </c>
      <c r="I226" s="39">
        <v>0.15250092815602212</v>
      </c>
      <c r="J226" s="39">
        <v>0.1623079355964141</v>
      </c>
    </row>
    <row r="227" spans="1:10" ht="11.25" customHeight="1" x14ac:dyDescent="0.2">
      <c r="A227" s="74">
        <v>44531</v>
      </c>
      <c r="B227" s="65">
        <v>0</v>
      </c>
      <c r="C227" s="65">
        <v>0</v>
      </c>
      <c r="D227" s="65">
        <v>136763.56890000001</v>
      </c>
      <c r="E227" s="65">
        <v>165691.55532100427</v>
      </c>
      <c r="F227" s="65">
        <v>686261.72958000004</v>
      </c>
      <c r="G227" s="65">
        <v>790917.28029890719</v>
      </c>
      <c r="H227" s="39">
        <v>0.211518218292154</v>
      </c>
      <c r="I227" s="39">
        <v>0.15250092815602234</v>
      </c>
      <c r="J227" s="39">
        <v>0.1623079355964141</v>
      </c>
    </row>
    <row r="228" spans="1:10" ht="11.25" customHeight="1" x14ac:dyDescent="0.2">
      <c r="A228" s="74">
        <v>44562</v>
      </c>
      <c r="B228" s="65">
        <v>0</v>
      </c>
      <c r="C228" s="65">
        <v>0</v>
      </c>
      <c r="D228" s="65">
        <v>136763.56890000001</v>
      </c>
      <c r="E228" s="65">
        <v>165691.55532100427</v>
      </c>
      <c r="F228" s="65">
        <v>686261.72958000004</v>
      </c>
      <c r="G228" s="65">
        <v>790917.28029890719</v>
      </c>
      <c r="H228" s="39">
        <v>0.211518218292154</v>
      </c>
      <c r="I228" s="39">
        <v>0.15250092815602234</v>
      </c>
      <c r="J228" s="39">
        <v>0.1623079355964141</v>
      </c>
    </row>
    <row r="229" spans="1:10" ht="11.25" customHeight="1" x14ac:dyDescent="0.2">
      <c r="A229" s="73" t="s">
        <v>25</v>
      </c>
      <c r="B229" s="65">
        <v>4374326.88</v>
      </c>
      <c r="C229" s="65">
        <v>4626054.9250506544</v>
      </c>
      <c r="D229" s="65">
        <v>0</v>
      </c>
      <c r="E229" s="65">
        <v>0</v>
      </c>
      <c r="F229" s="65">
        <v>0</v>
      </c>
      <c r="G229" s="65">
        <v>0</v>
      </c>
      <c r="H229" s="39">
        <v>5.7546692772684427E-2</v>
      </c>
      <c r="I229" s="39">
        <v>0</v>
      </c>
      <c r="J229" s="39">
        <v>5.7546692772684427E-2</v>
      </c>
    </row>
    <row r="230" spans="1:10" ht="11.25" customHeight="1" x14ac:dyDescent="0.2">
      <c r="A230" s="74">
        <v>44228</v>
      </c>
      <c r="B230" s="65">
        <v>369969.60000000003</v>
      </c>
      <c r="C230" s="65">
        <v>391260.12690643297</v>
      </c>
      <c r="D230" s="65">
        <v>0</v>
      </c>
      <c r="E230" s="65">
        <v>0</v>
      </c>
      <c r="F230" s="65">
        <v>0</v>
      </c>
      <c r="G230" s="65">
        <v>0</v>
      </c>
      <c r="H230" s="39">
        <v>5.7546692772684427E-2</v>
      </c>
      <c r="I230" s="39">
        <v>0</v>
      </c>
      <c r="J230" s="39">
        <v>5.7546692772684427E-2</v>
      </c>
    </row>
    <row r="231" spans="1:10" ht="11.25" customHeight="1" x14ac:dyDescent="0.2">
      <c r="A231" s="74">
        <v>44256</v>
      </c>
      <c r="B231" s="65">
        <v>365589.84</v>
      </c>
      <c r="C231" s="65">
        <v>386628.32620329486</v>
      </c>
      <c r="D231" s="65">
        <v>0</v>
      </c>
      <c r="E231" s="65">
        <v>0</v>
      </c>
      <c r="F231" s="65">
        <v>0</v>
      </c>
      <c r="G231" s="65">
        <v>0</v>
      </c>
      <c r="H231" s="39">
        <v>5.7546692772684427E-2</v>
      </c>
      <c r="I231" s="39">
        <v>0</v>
      </c>
      <c r="J231" s="39">
        <v>5.7546692772684427E-2</v>
      </c>
    </row>
    <row r="232" spans="1:10" ht="11.25" customHeight="1" x14ac:dyDescent="0.2">
      <c r="A232" s="74">
        <v>44287</v>
      </c>
      <c r="B232" s="65">
        <v>363390.71999999997</v>
      </c>
      <c r="C232" s="65">
        <v>384302.6541202846</v>
      </c>
      <c r="D232" s="65">
        <v>0</v>
      </c>
      <c r="E232" s="65">
        <v>0</v>
      </c>
      <c r="F232" s="65">
        <v>0</v>
      </c>
      <c r="G232" s="65">
        <v>0</v>
      </c>
      <c r="H232" s="39">
        <v>5.7546692772684427E-2</v>
      </c>
      <c r="I232" s="39">
        <v>0</v>
      </c>
      <c r="J232" s="39">
        <v>5.7546692772684427E-2</v>
      </c>
    </row>
    <row r="233" spans="1:10" ht="11.25" customHeight="1" x14ac:dyDescent="0.2">
      <c r="A233" s="74">
        <v>44317</v>
      </c>
      <c r="B233" s="65">
        <v>355407.35999999999</v>
      </c>
      <c r="C233" s="65">
        <v>375859.87815507088</v>
      </c>
      <c r="D233" s="65">
        <v>0</v>
      </c>
      <c r="E233" s="65">
        <v>0</v>
      </c>
      <c r="F233" s="65">
        <v>0</v>
      </c>
      <c r="G233" s="65">
        <v>0</v>
      </c>
      <c r="H233" s="39">
        <v>5.7546692772684649E-2</v>
      </c>
      <c r="I233" s="39">
        <v>0</v>
      </c>
      <c r="J233" s="39">
        <v>5.7546692772684649E-2</v>
      </c>
    </row>
    <row r="234" spans="1:10" ht="11.25" customHeight="1" x14ac:dyDescent="0.2">
      <c r="A234" s="74">
        <v>44348</v>
      </c>
      <c r="B234" s="65">
        <v>358031.52</v>
      </c>
      <c r="C234" s="65">
        <v>378635.04988437722</v>
      </c>
      <c r="D234" s="65">
        <v>0</v>
      </c>
      <c r="E234" s="65">
        <v>0</v>
      </c>
      <c r="F234" s="65">
        <v>0</v>
      </c>
      <c r="G234" s="65">
        <v>0</v>
      </c>
      <c r="H234" s="39">
        <v>5.7546692772684427E-2</v>
      </c>
      <c r="I234" s="39">
        <v>0</v>
      </c>
      <c r="J234" s="39">
        <v>5.7546692772684427E-2</v>
      </c>
    </row>
    <row r="235" spans="1:10" ht="11.25" customHeight="1" x14ac:dyDescent="0.2">
      <c r="A235" s="74">
        <v>44378</v>
      </c>
      <c r="B235" s="65">
        <v>361394.88</v>
      </c>
      <c r="C235" s="65">
        <v>382191.96012898115</v>
      </c>
      <c r="D235" s="65">
        <v>0</v>
      </c>
      <c r="E235" s="65">
        <v>0</v>
      </c>
      <c r="F235" s="65">
        <v>0</v>
      </c>
      <c r="G235" s="65">
        <v>0</v>
      </c>
      <c r="H235" s="39">
        <v>5.7546692772684427E-2</v>
      </c>
      <c r="I235" s="39">
        <v>0</v>
      </c>
      <c r="J235" s="39">
        <v>5.7546692772684427E-2</v>
      </c>
    </row>
    <row r="236" spans="1:10" ht="11.25" customHeight="1" x14ac:dyDescent="0.2">
      <c r="A236" s="74">
        <v>44409</v>
      </c>
      <c r="B236" s="65">
        <v>362743.92</v>
      </c>
      <c r="C236" s="65">
        <v>383618.63291939918</v>
      </c>
      <c r="D236" s="65">
        <v>0</v>
      </c>
      <c r="E236" s="65">
        <v>0</v>
      </c>
      <c r="F236" s="65">
        <v>0</v>
      </c>
      <c r="G236" s="65">
        <v>0</v>
      </c>
      <c r="H236" s="39">
        <v>5.7546692772684427E-2</v>
      </c>
      <c r="I236" s="39">
        <v>0</v>
      </c>
      <c r="J236" s="39">
        <v>5.7546692772684427E-2</v>
      </c>
    </row>
    <row r="237" spans="1:10" ht="11.25" customHeight="1" x14ac:dyDescent="0.2">
      <c r="A237" s="74">
        <v>44440</v>
      </c>
      <c r="B237" s="65">
        <v>360729.60000000003</v>
      </c>
      <c r="C237" s="65">
        <v>381488.39546521334</v>
      </c>
      <c r="D237" s="65">
        <v>0</v>
      </c>
      <c r="E237" s="65">
        <v>0</v>
      </c>
      <c r="F237" s="65">
        <v>0</v>
      </c>
      <c r="G237" s="65">
        <v>0</v>
      </c>
      <c r="H237" s="39">
        <v>5.7546692772684205E-2</v>
      </c>
      <c r="I237" s="39">
        <v>0</v>
      </c>
      <c r="J237" s="39">
        <v>5.7546692772684205E-2</v>
      </c>
    </row>
    <row r="238" spans="1:10" ht="11.25" customHeight="1" x14ac:dyDescent="0.2">
      <c r="A238" s="74">
        <v>44470</v>
      </c>
      <c r="B238" s="65">
        <v>370653.36000000004</v>
      </c>
      <c r="C238" s="65">
        <v>391983.23503308318</v>
      </c>
      <c r="D238" s="65">
        <v>0</v>
      </c>
      <c r="E238" s="65">
        <v>0</v>
      </c>
      <c r="F238" s="65">
        <v>0</v>
      </c>
      <c r="G238" s="65">
        <v>0</v>
      </c>
      <c r="H238" s="39">
        <v>5.7546692772684205E-2</v>
      </c>
      <c r="I238" s="39">
        <v>0</v>
      </c>
      <c r="J238" s="39">
        <v>5.7546692772684205E-2</v>
      </c>
    </row>
    <row r="239" spans="1:10" ht="11.25" customHeight="1" x14ac:dyDescent="0.2">
      <c r="A239" s="74">
        <v>44501</v>
      </c>
      <c r="B239" s="65">
        <v>375384.24000000005</v>
      </c>
      <c r="C239" s="65">
        <v>396986.3615309876</v>
      </c>
      <c r="D239" s="65">
        <v>0</v>
      </c>
      <c r="E239" s="65">
        <v>0</v>
      </c>
      <c r="F239" s="65">
        <v>0</v>
      </c>
      <c r="G239" s="65">
        <v>0</v>
      </c>
      <c r="H239" s="39">
        <v>5.7546692772684205E-2</v>
      </c>
      <c r="I239" s="39">
        <v>0</v>
      </c>
      <c r="J239" s="39">
        <v>5.7546692772684205E-2</v>
      </c>
    </row>
    <row r="240" spans="1:10" ht="11.25" customHeight="1" x14ac:dyDescent="0.2">
      <c r="A240" s="74">
        <v>44531</v>
      </c>
      <c r="B240" s="65">
        <v>365515.92</v>
      </c>
      <c r="C240" s="65">
        <v>386550.15235176508</v>
      </c>
      <c r="D240" s="65">
        <v>0</v>
      </c>
      <c r="E240" s="65">
        <v>0</v>
      </c>
      <c r="F240" s="65">
        <v>0</v>
      </c>
      <c r="G240" s="65">
        <v>0</v>
      </c>
      <c r="H240" s="39">
        <v>5.7546692772684427E-2</v>
      </c>
      <c r="I240" s="39">
        <v>0</v>
      </c>
      <c r="J240" s="39">
        <v>5.7546692772684427E-2</v>
      </c>
    </row>
    <row r="241" spans="1:10" ht="11.25" customHeight="1" x14ac:dyDescent="0.2">
      <c r="A241" s="74">
        <v>44562</v>
      </c>
      <c r="B241" s="65">
        <v>365515.92</v>
      </c>
      <c r="C241" s="65">
        <v>386550.15235176508</v>
      </c>
      <c r="D241" s="65">
        <v>0</v>
      </c>
      <c r="E241" s="65">
        <v>0</v>
      </c>
      <c r="F241" s="65">
        <v>0</v>
      </c>
      <c r="G241" s="65">
        <v>0</v>
      </c>
      <c r="H241" s="39">
        <v>5.7546692772684427E-2</v>
      </c>
      <c r="I241" s="39">
        <v>0</v>
      </c>
      <c r="J241" s="39">
        <v>5.7546692772684427E-2</v>
      </c>
    </row>
    <row r="242" spans="1:10" ht="11.25" customHeight="1" x14ac:dyDescent="0.2">
      <c r="A242" s="73" t="s">
        <v>34</v>
      </c>
      <c r="B242" s="65">
        <v>0</v>
      </c>
      <c r="C242" s="65">
        <v>0</v>
      </c>
      <c r="D242" s="65">
        <v>1441406.4520099999</v>
      </c>
      <c r="E242" s="65">
        <v>1556508.0103653539</v>
      </c>
      <c r="F242" s="65">
        <v>559879.21860000014</v>
      </c>
      <c r="G242" s="65">
        <v>622460.84531185916</v>
      </c>
      <c r="H242" s="39">
        <v>7.9853644469850105E-2</v>
      </c>
      <c r="I242" s="39">
        <v>0.11177701302853671</v>
      </c>
      <c r="J242" s="39">
        <v>8.8784518710442351E-2</v>
      </c>
    </row>
    <row r="243" spans="1:10" ht="11.25" customHeight="1" x14ac:dyDescent="0.2">
      <c r="A243" s="74">
        <v>44228</v>
      </c>
      <c r="B243" s="65">
        <v>0</v>
      </c>
      <c r="C243" s="65">
        <v>0</v>
      </c>
      <c r="D243" s="65">
        <v>125404.97850999999</v>
      </c>
      <c r="E243" s="65">
        <v>135419.0230786867</v>
      </c>
      <c r="F243" s="65">
        <v>48710.508600000008</v>
      </c>
      <c r="G243" s="65">
        <v>54155.223754408857</v>
      </c>
      <c r="H243" s="39">
        <v>7.9853644469849883E-2</v>
      </c>
      <c r="I243" s="39">
        <v>0.11177701302853671</v>
      </c>
      <c r="J243" s="39">
        <v>8.8784518710442351E-2</v>
      </c>
    </row>
    <row r="244" spans="1:10" ht="11.25" customHeight="1" x14ac:dyDescent="0.2">
      <c r="A244" s="74">
        <v>44256</v>
      </c>
      <c r="B244" s="65">
        <v>0</v>
      </c>
      <c r="C244" s="65">
        <v>0</v>
      </c>
      <c r="D244" s="65">
        <v>119236.23634999998</v>
      </c>
      <c r="E244" s="65">
        <v>128757.68437541589</v>
      </c>
      <c r="F244" s="65">
        <v>46314.411</v>
      </c>
      <c r="G244" s="65">
        <v>51491.297521756016</v>
      </c>
      <c r="H244" s="39">
        <v>7.9853644469850105E-2</v>
      </c>
      <c r="I244" s="39">
        <v>0.11177701302853693</v>
      </c>
      <c r="J244" s="39">
        <v>8.8784518710442351E-2</v>
      </c>
    </row>
    <row r="245" spans="1:10" ht="11.25" customHeight="1" x14ac:dyDescent="0.2">
      <c r="A245" s="74">
        <v>44287</v>
      </c>
      <c r="B245" s="65">
        <v>0</v>
      </c>
      <c r="C245" s="65">
        <v>0</v>
      </c>
      <c r="D245" s="65">
        <v>126922.62499000001</v>
      </c>
      <c r="E245" s="65">
        <v>137057.85916113158</v>
      </c>
      <c r="F245" s="65">
        <v>49300.001400000008</v>
      </c>
      <c r="G245" s="65">
        <v>54810.608298794687</v>
      </c>
      <c r="H245" s="39">
        <v>7.9853644469850105E-2</v>
      </c>
      <c r="I245" s="39">
        <v>0.11177701302853671</v>
      </c>
      <c r="J245" s="39">
        <v>8.8784518710442351E-2</v>
      </c>
    </row>
    <row r="246" spans="1:10" ht="11.25" customHeight="1" x14ac:dyDescent="0.2">
      <c r="A246" s="74">
        <v>44317</v>
      </c>
      <c r="B246" s="65">
        <v>0</v>
      </c>
      <c r="C246" s="65">
        <v>0</v>
      </c>
      <c r="D246" s="65">
        <v>104352.35265</v>
      </c>
      <c r="E246" s="65">
        <v>112685.2683181055</v>
      </c>
      <c r="F246" s="65">
        <v>40533.129000000008</v>
      </c>
      <c r="G246" s="65">
        <v>45063.801088320361</v>
      </c>
      <c r="H246" s="39">
        <v>7.9853644469849883E-2</v>
      </c>
      <c r="I246" s="39">
        <v>0.11177701302853649</v>
      </c>
      <c r="J246" s="39">
        <v>8.8784518710442351E-2</v>
      </c>
    </row>
    <row r="247" spans="1:10" ht="11.25" customHeight="1" x14ac:dyDescent="0.2">
      <c r="A247" s="74">
        <v>44348</v>
      </c>
      <c r="B247" s="65">
        <v>0</v>
      </c>
      <c r="C247" s="65">
        <v>0</v>
      </c>
      <c r="D247" s="65">
        <v>132932.80707000001</v>
      </c>
      <c r="E247" s="65">
        <v>143547.97618414694</v>
      </c>
      <c r="F247" s="65">
        <v>51634.510200000004</v>
      </c>
      <c r="G247" s="65">
        <v>57406.061519347517</v>
      </c>
      <c r="H247" s="39">
        <v>7.9853644469849883E-2</v>
      </c>
      <c r="I247" s="39">
        <v>0.11177701302853671</v>
      </c>
      <c r="J247" s="39">
        <v>8.8784518710442351E-2</v>
      </c>
    </row>
    <row r="248" spans="1:10" ht="11.25" customHeight="1" x14ac:dyDescent="0.2">
      <c r="A248" s="74">
        <v>44378</v>
      </c>
      <c r="B248" s="65">
        <v>0</v>
      </c>
      <c r="C248" s="65">
        <v>0</v>
      </c>
      <c r="D248" s="65">
        <v>144351.96425999998</v>
      </c>
      <c r="E248" s="65">
        <v>155878.99469254253</v>
      </c>
      <c r="F248" s="65">
        <v>56070.003600000011</v>
      </c>
      <c r="G248" s="65">
        <v>62337.34112290731</v>
      </c>
      <c r="H248" s="39">
        <v>7.9853644469850105E-2</v>
      </c>
      <c r="I248" s="39">
        <v>0.11177701302853671</v>
      </c>
      <c r="J248" s="39">
        <v>8.8784518710442351E-2</v>
      </c>
    </row>
    <row r="249" spans="1:10" ht="11.25" customHeight="1" x14ac:dyDescent="0.2">
      <c r="A249" s="74">
        <v>44409</v>
      </c>
      <c r="B249" s="65">
        <v>0</v>
      </c>
      <c r="C249" s="65">
        <v>0</v>
      </c>
      <c r="D249" s="65">
        <v>148457.53775999998</v>
      </c>
      <c r="E249" s="65">
        <v>160312.41319915635</v>
      </c>
      <c r="F249" s="65">
        <v>57664.71360000001</v>
      </c>
      <c r="G249" s="65">
        <v>64110.303043354055</v>
      </c>
      <c r="H249" s="39">
        <v>7.9853644469850105E-2</v>
      </c>
      <c r="I249" s="39">
        <v>0.11177701302853671</v>
      </c>
      <c r="J249" s="39">
        <v>8.8784518710442351E-2</v>
      </c>
    </row>
    <row r="250" spans="1:10" ht="11.25" customHeight="1" x14ac:dyDescent="0.2">
      <c r="A250" s="74">
        <v>44440</v>
      </c>
      <c r="B250" s="65">
        <v>0</v>
      </c>
      <c r="C250" s="65">
        <v>0</v>
      </c>
      <c r="D250" s="65">
        <v>118498.17693</v>
      </c>
      <c r="E250" s="65">
        <v>127960.68822089359</v>
      </c>
      <c r="F250" s="65">
        <v>46027.729800000008</v>
      </c>
      <c r="G250" s="65">
        <v>51172.571953528575</v>
      </c>
      <c r="H250" s="39">
        <v>7.9853644469849883E-2</v>
      </c>
      <c r="I250" s="39">
        <v>0.11177701302853671</v>
      </c>
      <c r="J250" s="39">
        <v>8.8784518710442129E-2</v>
      </c>
    </row>
    <row r="251" spans="1:10" ht="11.25" customHeight="1" x14ac:dyDescent="0.2">
      <c r="A251" s="74">
        <v>44470</v>
      </c>
      <c r="B251" s="65">
        <v>0</v>
      </c>
      <c r="C251" s="65">
        <v>0</v>
      </c>
      <c r="D251" s="65">
        <v>102354.30687999999</v>
      </c>
      <c r="E251" s="65">
        <v>110527.67131155342</v>
      </c>
      <c r="F251" s="65">
        <v>39757.036800000002</v>
      </c>
      <c r="G251" s="65">
        <v>44200.95962036962</v>
      </c>
      <c r="H251" s="39">
        <v>7.9853644469849883E-2</v>
      </c>
      <c r="I251" s="39">
        <v>0.11177701302853693</v>
      </c>
      <c r="J251" s="39">
        <v>8.8784518710442351E-2</v>
      </c>
    </row>
    <row r="252" spans="1:10" ht="11.25" customHeight="1" x14ac:dyDescent="0.2">
      <c r="A252" s="74">
        <v>44501</v>
      </c>
      <c r="B252" s="65">
        <v>0</v>
      </c>
      <c r="C252" s="65">
        <v>0</v>
      </c>
      <c r="D252" s="65">
        <v>114479.43394999999</v>
      </c>
      <c r="E252" s="65">
        <v>123621.03396775296</v>
      </c>
      <c r="F252" s="65">
        <v>44466.747000000003</v>
      </c>
      <c r="G252" s="65">
        <v>49437.107158755651</v>
      </c>
      <c r="H252" s="39">
        <v>7.9853644469849883E-2</v>
      </c>
      <c r="I252" s="39">
        <v>0.11177701302853671</v>
      </c>
      <c r="J252" s="39">
        <v>8.8784518710442129E-2</v>
      </c>
    </row>
    <row r="253" spans="1:10" ht="11.25" customHeight="1" x14ac:dyDescent="0.2">
      <c r="A253" s="74">
        <v>44531</v>
      </c>
      <c r="B253" s="65">
        <v>0</v>
      </c>
      <c r="C253" s="65">
        <v>0</v>
      </c>
      <c r="D253" s="65">
        <v>102208.01633</v>
      </c>
      <c r="E253" s="65">
        <v>110369.69892798444</v>
      </c>
      <c r="F253" s="65">
        <v>39700.213800000005</v>
      </c>
      <c r="G253" s="65">
        <v>44137.785115158295</v>
      </c>
      <c r="H253" s="39">
        <v>7.9853644469850105E-2</v>
      </c>
      <c r="I253" s="39">
        <v>0.11177701302853671</v>
      </c>
      <c r="J253" s="39">
        <v>8.8784518710442129E-2</v>
      </c>
    </row>
    <row r="254" spans="1:10" ht="11.25" customHeight="1" x14ac:dyDescent="0.2">
      <c r="A254" s="74">
        <v>44562</v>
      </c>
      <c r="B254" s="65">
        <v>0</v>
      </c>
      <c r="C254" s="65">
        <v>0</v>
      </c>
      <c r="D254" s="65">
        <v>102208.01633</v>
      </c>
      <c r="E254" s="65">
        <v>110369.69892798444</v>
      </c>
      <c r="F254" s="65">
        <v>39700.213800000005</v>
      </c>
      <c r="G254" s="65">
        <v>44137.785115158295</v>
      </c>
      <c r="H254" s="39">
        <v>7.9853644469850105E-2</v>
      </c>
      <c r="I254" s="39">
        <v>0.11177701302853671</v>
      </c>
      <c r="J254" s="39">
        <v>8.8784518710442129E-2</v>
      </c>
    </row>
    <row r="255" spans="1:10" ht="11.25" customHeight="1" x14ac:dyDescent="0.2">
      <c r="A255" s="69" t="s">
        <v>45</v>
      </c>
      <c r="B255" s="65">
        <v>2197955.7599999998</v>
      </c>
      <c r="C255" s="65">
        <v>2324440.8448486715</v>
      </c>
      <c r="D255" s="65">
        <v>2307927.3942400003</v>
      </c>
      <c r="E255" s="65">
        <v>2587412.013748087</v>
      </c>
      <c r="F255" s="65">
        <v>4243360.33605</v>
      </c>
      <c r="G255" s="65">
        <v>4865405.3727769079</v>
      </c>
      <c r="H255" s="39">
        <v>9.0097699043691915E-2</v>
      </c>
      <c r="I255" s="39">
        <v>0.14659255577289776</v>
      </c>
      <c r="J255" s="39">
        <v>0.11749755761450364</v>
      </c>
    </row>
    <row r="256" spans="1:10" ht="11.25" customHeight="1" x14ac:dyDescent="0.2">
      <c r="A256" s="70" t="s">
        <v>25</v>
      </c>
      <c r="B256" s="65">
        <v>2197955.7599999998</v>
      </c>
      <c r="C256" s="65">
        <v>2324440.8448486715</v>
      </c>
      <c r="D256" s="65">
        <v>2307927.3942400003</v>
      </c>
      <c r="E256" s="65">
        <v>2587412.013748087</v>
      </c>
      <c r="F256" s="65">
        <v>4243360.33605</v>
      </c>
      <c r="G256" s="65">
        <v>4865405.3727769079</v>
      </c>
      <c r="H256" s="39">
        <v>9.0097699043691915E-2</v>
      </c>
      <c r="I256" s="39">
        <v>0.14659255577289776</v>
      </c>
      <c r="J256" s="39">
        <v>0.11749755761450364</v>
      </c>
    </row>
    <row r="257" spans="1:10" ht="11.25" customHeight="1" x14ac:dyDescent="0.2">
      <c r="A257" s="71" t="s">
        <v>25</v>
      </c>
      <c r="B257" s="65">
        <v>2197955.7599999998</v>
      </c>
      <c r="C257" s="65">
        <v>2324440.8448486715</v>
      </c>
      <c r="D257" s="65">
        <v>2307927.3942400003</v>
      </c>
      <c r="E257" s="65">
        <v>2587412.013748087</v>
      </c>
      <c r="F257" s="65">
        <v>4243360.33605</v>
      </c>
      <c r="G257" s="65">
        <v>4865405.3727769079</v>
      </c>
      <c r="H257" s="39">
        <v>9.0097699043691915E-2</v>
      </c>
      <c r="I257" s="39">
        <v>0.14659255577289776</v>
      </c>
      <c r="J257" s="39">
        <v>0.11749755761450364</v>
      </c>
    </row>
    <row r="258" spans="1:10" ht="11.25" customHeight="1" x14ac:dyDescent="0.2">
      <c r="A258" s="72" t="s">
        <v>25</v>
      </c>
      <c r="B258" s="65">
        <v>2197955.7599999998</v>
      </c>
      <c r="C258" s="65">
        <v>2324440.8448486715</v>
      </c>
      <c r="D258" s="65">
        <v>2307927.3942400003</v>
      </c>
      <c r="E258" s="65">
        <v>2587412.013748087</v>
      </c>
      <c r="F258" s="65">
        <v>4243360.33605</v>
      </c>
      <c r="G258" s="65">
        <v>4865405.3727769079</v>
      </c>
      <c r="H258" s="39">
        <v>9.0097699043691915E-2</v>
      </c>
      <c r="I258" s="39">
        <v>0.14659255577289776</v>
      </c>
      <c r="J258" s="39">
        <v>0.11749755761450364</v>
      </c>
    </row>
    <row r="259" spans="1:10" ht="11.25" customHeight="1" x14ac:dyDescent="0.2">
      <c r="A259" s="73" t="s">
        <v>35</v>
      </c>
      <c r="B259" s="65">
        <v>0</v>
      </c>
      <c r="C259" s="65">
        <v>0</v>
      </c>
      <c r="D259" s="65">
        <v>722959.89075000002</v>
      </c>
      <c r="E259" s="65">
        <v>875879.07873813028</v>
      </c>
      <c r="F259" s="65">
        <v>3627718.3246500008</v>
      </c>
      <c r="G259" s="65">
        <v>4180948.7362477351</v>
      </c>
      <c r="H259" s="39">
        <v>0.211518218292154</v>
      </c>
      <c r="I259" s="39">
        <v>0.15250092815602279</v>
      </c>
      <c r="J259" s="39">
        <v>0.16230793559641454</v>
      </c>
    </row>
    <row r="260" spans="1:10" ht="11.25" customHeight="1" x14ac:dyDescent="0.2">
      <c r="A260" s="74">
        <v>44228</v>
      </c>
      <c r="B260" s="65">
        <v>0</v>
      </c>
      <c r="C260" s="65">
        <v>0</v>
      </c>
      <c r="D260" s="65">
        <v>60019.099200000004</v>
      </c>
      <c r="E260" s="65">
        <v>72714.232126284056</v>
      </c>
      <c r="F260" s="65">
        <v>301168.00224</v>
      </c>
      <c r="G260" s="65">
        <v>347096.40211249498</v>
      </c>
      <c r="H260" s="39">
        <v>0.211518218292154</v>
      </c>
      <c r="I260" s="39">
        <v>0.15250092815602212</v>
      </c>
      <c r="J260" s="39">
        <v>0.1623079355964141</v>
      </c>
    </row>
    <row r="261" spans="1:10" ht="11.25" customHeight="1" x14ac:dyDescent="0.2">
      <c r="A261" s="74">
        <v>44256</v>
      </c>
      <c r="B261" s="65">
        <v>0</v>
      </c>
      <c r="C261" s="65">
        <v>0</v>
      </c>
      <c r="D261" s="65">
        <v>62379.123749999999</v>
      </c>
      <c r="E261" s="65">
        <v>75573.444864225778</v>
      </c>
      <c r="F261" s="65">
        <v>313010.29725</v>
      </c>
      <c r="G261" s="65">
        <v>360744.65810301743</v>
      </c>
      <c r="H261" s="39">
        <v>0.21151821829215378</v>
      </c>
      <c r="I261" s="39">
        <v>0.15250092815602234</v>
      </c>
      <c r="J261" s="39">
        <v>0.1623079355964141</v>
      </c>
    </row>
    <row r="262" spans="1:10" ht="11.25" customHeight="1" x14ac:dyDescent="0.2">
      <c r="A262" s="74">
        <v>44287</v>
      </c>
      <c r="B262" s="65">
        <v>0</v>
      </c>
      <c r="C262" s="65">
        <v>0</v>
      </c>
      <c r="D262" s="65">
        <v>61689.802949999998</v>
      </c>
      <c r="E262" s="65">
        <v>74738.320156778063</v>
      </c>
      <c r="F262" s="65">
        <v>309551.37549000006</v>
      </c>
      <c r="G262" s="65">
        <v>356758.24756419833</v>
      </c>
      <c r="H262" s="39">
        <v>0.211518218292154</v>
      </c>
      <c r="I262" s="39">
        <v>0.1525009281560219</v>
      </c>
      <c r="J262" s="39">
        <v>0.1623079355964141</v>
      </c>
    </row>
    <row r="263" spans="1:10" ht="11.25" customHeight="1" x14ac:dyDescent="0.2">
      <c r="A263" s="74">
        <v>44317</v>
      </c>
      <c r="B263" s="65">
        <v>0</v>
      </c>
      <c r="C263" s="65">
        <v>0</v>
      </c>
      <c r="D263" s="65">
        <v>58147.780049999994</v>
      </c>
      <c r="E263" s="65">
        <v>70447.094883820057</v>
      </c>
      <c r="F263" s="65">
        <v>291777.96710999997</v>
      </c>
      <c r="G263" s="65">
        <v>336274.37790975237</v>
      </c>
      <c r="H263" s="39">
        <v>0.211518218292154</v>
      </c>
      <c r="I263" s="39">
        <v>0.15250092815602256</v>
      </c>
      <c r="J263" s="39">
        <v>0.16230793559641432</v>
      </c>
    </row>
    <row r="264" spans="1:10" ht="11.25" customHeight="1" x14ac:dyDescent="0.2">
      <c r="A264" s="74">
        <v>44348</v>
      </c>
      <c r="B264" s="65">
        <v>0</v>
      </c>
      <c r="C264" s="65">
        <v>0</v>
      </c>
      <c r="D264" s="65">
        <v>55597.179599999996</v>
      </c>
      <c r="E264" s="65">
        <v>67356.995971060896</v>
      </c>
      <c r="F264" s="65">
        <v>278979.38712000003</v>
      </c>
      <c r="G264" s="65">
        <v>321524.00259219826</v>
      </c>
      <c r="H264" s="39">
        <v>0.21151821829215423</v>
      </c>
      <c r="I264" s="39">
        <v>0.15250092815602212</v>
      </c>
      <c r="J264" s="39">
        <v>0.1623079355964141</v>
      </c>
    </row>
    <row r="265" spans="1:10" ht="11.25" customHeight="1" x14ac:dyDescent="0.2">
      <c r="A265" s="74">
        <v>44378</v>
      </c>
      <c r="B265" s="65">
        <v>0</v>
      </c>
      <c r="C265" s="65">
        <v>0</v>
      </c>
      <c r="D265" s="65">
        <v>53953.015049999995</v>
      </c>
      <c r="E265" s="65">
        <v>65365.060664865763</v>
      </c>
      <c r="F265" s="65">
        <v>270729.18411000003</v>
      </c>
      <c r="G265" s="65">
        <v>312015.63596569758</v>
      </c>
      <c r="H265" s="39">
        <v>0.211518218292154</v>
      </c>
      <c r="I265" s="39">
        <v>0.1525009281560219</v>
      </c>
      <c r="J265" s="39">
        <v>0.16230793559641388</v>
      </c>
    </row>
    <row r="266" spans="1:10" ht="11.25" customHeight="1" x14ac:dyDescent="0.2">
      <c r="A266" s="74">
        <v>44409</v>
      </c>
      <c r="B266" s="65">
        <v>0</v>
      </c>
      <c r="C266" s="65">
        <v>0</v>
      </c>
      <c r="D266" s="65">
        <v>52123.861799999999</v>
      </c>
      <c r="E266" s="65">
        <v>63149.008178442462</v>
      </c>
      <c r="F266" s="65">
        <v>261550.73196</v>
      </c>
      <c r="G266" s="65">
        <v>301437.46134378697</v>
      </c>
      <c r="H266" s="39">
        <v>0.211518218292154</v>
      </c>
      <c r="I266" s="39">
        <v>0.15250092815602212</v>
      </c>
      <c r="J266" s="39">
        <v>0.1623079355964141</v>
      </c>
    </row>
    <row r="267" spans="1:10" ht="11.25" customHeight="1" x14ac:dyDescent="0.2">
      <c r="A267" s="74">
        <v>44440</v>
      </c>
      <c r="B267" s="65">
        <v>0</v>
      </c>
      <c r="C267" s="65">
        <v>0</v>
      </c>
      <c r="D267" s="65">
        <v>55897.142400000004</v>
      </c>
      <c r="E267" s="65">
        <v>67720.40636807082</v>
      </c>
      <c r="F267" s="65">
        <v>280484.56127999997</v>
      </c>
      <c r="G267" s="65">
        <v>323258.71720863471</v>
      </c>
      <c r="H267" s="39">
        <v>0.211518218292154</v>
      </c>
      <c r="I267" s="39">
        <v>0.15250092815602234</v>
      </c>
      <c r="J267" s="39">
        <v>0.16230793559641432</v>
      </c>
    </row>
    <row r="268" spans="1:10" ht="11.25" customHeight="1" x14ac:dyDescent="0.2">
      <c r="A268" s="74">
        <v>44470</v>
      </c>
      <c r="B268" s="65">
        <v>0</v>
      </c>
      <c r="C268" s="65">
        <v>0</v>
      </c>
      <c r="D268" s="65">
        <v>62903.97135</v>
      </c>
      <c r="E268" s="65">
        <v>76209.307293452701</v>
      </c>
      <c r="F268" s="65">
        <v>315643.91396999999</v>
      </c>
      <c r="G268" s="65">
        <v>363779.90381722461</v>
      </c>
      <c r="H268" s="39">
        <v>0.211518218292154</v>
      </c>
      <c r="I268" s="39">
        <v>0.15250092815602212</v>
      </c>
      <c r="J268" s="39">
        <v>0.1623079355964141</v>
      </c>
    </row>
    <row r="269" spans="1:10" ht="11.25" customHeight="1" x14ac:dyDescent="0.2">
      <c r="A269" s="74">
        <v>44501</v>
      </c>
      <c r="B269" s="65">
        <v>0</v>
      </c>
      <c r="C269" s="65">
        <v>0</v>
      </c>
      <c r="D269" s="65">
        <v>66445.339499999987</v>
      </c>
      <c r="E269" s="65">
        <v>80499.739324857277</v>
      </c>
      <c r="F269" s="65">
        <v>333414.03690000001</v>
      </c>
      <c r="G269" s="65">
        <v>384259.98698749626</v>
      </c>
      <c r="H269" s="39">
        <v>0.21151821829215423</v>
      </c>
      <c r="I269" s="39">
        <v>0.15250092815602234</v>
      </c>
      <c r="J269" s="39">
        <v>0.1623079355964141</v>
      </c>
    </row>
    <row r="270" spans="1:10" ht="11.25" customHeight="1" x14ac:dyDescent="0.2">
      <c r="A270" s="74">
        <v>44531</v>
      </c>
      <c r="B270" s="65">
        <v>0</v>
      </c>
      <c r="C270" s="65">
        <v>0</v>
      </c>
      <c r="D270" s="65">
        <v>66901.787549999994</v>
      </c>
      <c r="E270" s="65">
        <v>81052.734453136218</v>
      </c>
      <c r="F270" s="65">
        <v>335704.43361000001</v>
      </c>
      <c r="G270" s="65">
        <v>386899.67132161674</v>
      </c>
      <c r="H270" s="39">
        <v>0.21151821829215423</v>
      </c>
      <c r="I270" s="39">
        <v>0.15250092815602212</v>
      </c>
      <c r="J270" s="39">
        <v>0.1623079355964141</v>
      </c>
    </row>
    <row r="271" spans="1:10" ht="11.25" customHeight="1" x14ac:dyDescent="0.2">
      <c r="A271" s="74">
        <v>44562</v>
      </c>
      <c r="B271" s="65">
        <v>0</v>
      </c>
      <c r="C271" s="65">
        <v>0</v>
      </c>
      <c r="D271" s="65">
        <v>66901.787549999994</v>
      </c>
      <c r="E271" s="65">
        <v>81052.734453136218</v>
      </c>
      <c r="F271" s="65">
        <v>335704.43361000001</v>
      </c>
      <c r="G271" s="65">
        <v>386899.67132161674</v>
      </c>
      <c r="H271" s="39">
        <v>0.21151821829215423</v>
      </c>
      <c r="I271" s="39">
        <v>0.15250092815602212</v>
      </c>
      <c r="J271" s="39">
        <v>0.1623079355964141</v>
      </c>
    </row>
    <row r="272" spans="1:10" ht="11.25" customHeight="1" x14ac:dyDescent="0.2">
      <c r="A272" s="73" t="s">
        <v>25</v>
      </c>
      <c r="B272" s="65">
        <v>2197955.7599999998</v>
      </c>
      <c r="C272" s="65">
        <v>2324440.8448486715</v>
      </c>
      <c r="D272" s="65">
        <v>0</v>
      </c>
      <c r="E272" s="65">
        <v>0</v>
      </c>
      <c r="F272" s="65">
        <v>0</v>
      </c>
      <c r="G272" s="65">
        <v>0</v>
      </c>
      <c r="H272" s="39">
        <v>5.7546692772684205E-2</v>
      </c>
      <c r="I272" s="39">
        <v>0</v>
      </c>
      <c r="J272" s="39">
        <v>5.7546692772684205E-2</v>
      </c>
    </row>
    <row r="273" spans="1:10" ht="11.25" customHeight="1" x14ac:dyDescent="0.2">
      <c r="A273" s="74">
        <v>44228</v>
      </c>
      <c r="B273" s="65">
        <v>180013.68</v>
      </c>
      <c r="C273" s="65">
        <v>190372.87193784033</v>
      </c>
      <c r="D273" s="65">
        <v>0</v>
      </c>
      <c r="E273" s="65">
        <v>0</v>
      </c>
      <c r="F273" s="65">
        <v>0</v>
      </c>
      <c r="G273" s="65">
        <v>0</v>
      </c>
      <c r="H273" s="39">
        <v>5.7546692772684427E-2</v>
      </c>
      <c r="I273" s="39">
        <v>0</v>
      </c>
      <c r="J273" s="39">
        <v>5.7546692772684427E-2</v>
      </c>
    </row>
    <row r="274" spans="1:10" ht="11.25" customHeight="1" x14ac:dyDescent="0.2">
      <c r="A274" s="74">
        <v>44256</v>
      </c>
      <c r="B274" s="65">
        <v>181251.84</v>
      </c>
      <c r="C274" s="65">
        <v>191682.28395096376</v>
      </c>
      <c r="D274" s="65">
        <v>0</v>
      </c>
      <c r="E274" s="65">
        <v>0</v>
      </c>
      <c r="F274" s="65">
        <v>0</v>
      </c>
      <c r="G274" s="65">
        <v>0</v>
      </c>
      <c r="H274" s="39">
        <v>5.7546692772684427E-2</v>
      </c>
      <c r="I274" s="39">
        <v>0</v>
      </c>
      <c r="J274" s="39">
        <v>5.7546692772684427E-2</v>
      </c>
    </row>
    <row r="275" spans="1:10" ht="11.25" customHeight="1" x14ac:dyDescent="0.2">
      <c r="A275" s="74">
        <v>44287</v>
      </c>
      <c r="B275" s="65">
        <v>181713.84</v>
      </c>
      <c r="C275" s="65">
        <v>192170.87052302473</v>
      </c>
      <c r="D275" s="65">
        <v>0</v>
      </c>
      <c r="E275" s="65">
        <v>0</v>
      </c>
      <c r="F275" s="65">
        <v>0</v>
      </c>
      <c r="G275" s="65">
        <v>0</v>
      </c>
      <c r="H275" s="39">
        <v>5.7546692772684427E-2</v>
      </c>
      <c r="I275" s="39">
        <v>0</v>
      </c>
      <c r="J275" s="39">
        <v>5.7546692772684427E-2</v>
      </c>
    </row>
    <row r="276" spans="1:10" ht="11.25" customHeight="1" x14ac:dyDescent="0.2">
      <c r="A276" s="74">
        <v>44317</v>
      </c>
      <c r="B276" s="65">
        <v>180309.36</v>
      </c>
      <c r="C276" s="65">
        <v>190685.56734395935</v>
      </c>
      <c r="D276" s="65">
        <v>0</v>
      </c>
      <c r="E276" s="65">
        <v>0</v>
      </c>
      <c r="F276" s="65">
        <v>0</v>
      </c>
      <c r="G276" s="65">
        <v>0</v>
      </c>
      <c r="H276" s="39">
        <v>5.7546692772684427E-2</v>
      </c>
      <c r="I276" s="39">
        <v>0</v>
      </c>
      <c r="J276" s="39">
        <v>5.7546692772684427E-2</v>
      </c>
    </row>
    <row r="277" spans="1:10" ht="11.25" customHeight="1" x14ac:dyDescent="0.2">
      <c r="A277" s="74">
        <v>44348</v>
      </c>
      <c r="B277" s="65">
        <v>181639.91999999998</v>
      </c>
      <c r="C277" s="65">
        <v>192092.69667149498</v>
      </c>
      <c r="D277" s="65">
        <v>0</v>
      </c>
      <c r="E277" s="65">
        <v>0</v>
      </c>
      <c r="F277" s="65">
        <v>0</v>
      </c>
      <c r="G277" s="65">
        <v>0</v>
      </c>
      <c r="H277" s="39">
        <v>5.7546692772684649E-2</v>
      </c>
      <c r="I277" s="39">
        <v>0</v>
      </c>
      <c r="J277" s="39">
        <v>5.7546692772684649E-2</v>
      </c>
    </row>
    <row r="278" spans="1:10" ht="11.25" customHeight="1" x14ac:dyDescent="0.2">
      <c r="A278" s="74">
        <v>44378</v>
      </c>
      <c r="B278" s="65">
        <v>184615.19999999998</v>
      </c>
      <c r="C278" s="65">
        <v>195239.19419556769</v>
      </c>
      <c r="D278" s="65">
        <v>0</v>
      </c>
      <c r="E278" s="65">
        <v>0</v>
      </c>
      <c r="F278" s="65">
        <v>0</v>
      </c>
      <c r="G278" s="65">
        <v>0</v>
      </c>
      <c r="H278" s="39">
        <v>5.7546692772684427E-2</v>
      </c>
      <c r="I278" s="39">
        <v>0</v>
      </c>
      <c r="J278" s="39">
        <v>5.7546692772684427E-2</v>
      </c>
    </row>
    <row r="279" spans="1:10" ht="11.25" customHeight="1" x14ac:dyDescent="0.2">
      <c r="A279" s="74">
        <v>44409</v>
      </c>
      <c r="B279" s="65">
        <v>184134.72</v>
      </c>
      <c r="C279" s="65">
        <v>194731.06416062429</v>
      </c>
      <c r="D279" s="65">
        <v>0</v>
      </c>
      <c r="E279" s="65">
        <v>0</v>
      </c>
      <c r="F279" s="65">
        <v>0</v>
      </c>
      <c r="G279" s="65">
        <v>0</v>
      </c>
      <c r="H279" s="39">
        <v>5.7546692772684427E-2</v>
      </c>
      <c r="I279" s="39">
        <v>0</v>
      </c>
      <c r="J279" s="39">
        <v>5.7546692772684427E-2</v>
      </c>
    </row>
    <row r="280" spans="1:10" ht="11.25" customHeight="1" x14ac:dyDescent="0.2">
      <c r="A280" s="74">
        <v>44440</v>
      </c>
      <c r="B280" s="65">
        <v>181566</v>
      </c>
      <c r="C280" s="65">
        <v>192014.52281996523</v>
      </c>
      <c r="D280" s="65">
        <v>0</v>
      </c>
      <c r="E280" s="65">
        <v>0</v>
      </c>
      <c r="F280" s="65">
        <v>0</v>
      </c>
      <c r="G280" s="65">
        <v>0</v>
      </c>
      <c r="H280" s="39">
        <v>5.7546692772684427E-2</v>
      </c>
      <c r="I280" s="39">
        <v>0</v>
      </c>
      <c r="J280" s="39">
        <v>5.7546692772684427E-2</v>
      </c>
    </row>
    <row r="281" spans="1:10" ht="11.25" customHeight="1" x14ac:dyDescent="0.2">
      <c r="A281" s="74">
        <v>44470</v>
      </c>
      <c r="B281" s="65">
        <v>181750.8</v>
      </c>
      <c r="C281" s="65">
        <v>192209.95744878962</v>
      </c>
      <c r="D281" s="65">
        <v>0</v>
      </c>
      <c r="E281" s="65">
        <v>0</v>
      </c>
      <c r="F281" s="65">
        <v>0</v>
      </c>
      <c r="G281" s="65">
        <v>0</v>
      </c>
      <c r="H281" s="39">
        <v>5.7546692772684427E-2</v>
      </c>
      <c r="I281" s="39">
        <v>0</v>
      </c>
      <c r="J281" s="39">
        <v>5.7546692772684427E-2</v>
      </c>
    </row>
    <row r="282" spans="1:10" ht="11.25" customHeight="1" x14ac:dyDescent="0.2">
      <c r="A282" s="74">
        <v>44501</v>
      </c>
      <c r="B282" s="65">
        <v>186925.19999999998</v>
      </c>
      <c r="C282" s="65">
        <v>197682.12705587258</v>
      </c>
      <c r="D282" s="65">
        <v>0</v>
      </c>
      <c r="E282" s="65">
        <v>0</v>
      </c>
      <c r="F282" s="65">
        <v>0</v>
      </c>
      <c r="G282" s="65">
        <v>0</v>
      </c>
      <c r="H282" s="39">
        <v>5.7546692772684427E-2</v>
      </c>
      <c r="I282" s="39">
        <v>0</v>
      </c>
      <c r="J282" s="39">
        <v>5.7546692772684427E-2</v>
      </c>
    </row>
    <row r="283" spans="1:10" ht="11.25" customHeight="1" x14ac:dyDescent="0.2">
      <c r="A283" s="74">
        <v>44531</v>
      </c>
      <c r="B283" s="65">
        <v>187017.60000000001</v>
      </c>
      <c r="C283" s="65">
        <v>197779.84437028479</v>
      </c>
      <c r="D283" s="65">
        <v>0</v>
      </c>
      <c r="E283" s="65">
        <v>0</v>
      </c>
      <c r="F283" s="65">
        <v>0</v>
      </c>
      <c r="G283" s="65">
        <v>0</v>
      </c>
      <c r="H283" s="39">
        <v>5.7546692772684427E-2</v>
      </c>
      <c r="I283" s="39">
        <v>0</v>
      </c>
      <c r="J283" s="39">
        <v>5.7546692772684427E-2</v>
      </c>
    </row>
    <row r="284" spans="1:10" ht="11.25" customHeight="1" x14ac:dyDescent="0.2">
      <c r="A284" s="74">
        <v>44562</v>
      </c>
      <c r="B284" s="65">
        <v>187017.60000000001</v>
      </c>
      <c r="C284" s="65">
        <v>197779.84437028479</v>
      </c>
      <c r="D284" s="65">
        <v>0</v>
      </c>
      <c r="E284" s="65">
        <v>0</v>
      </c>
      <c r="F284" s="65">
        <v>0</v>
      </c>
      <c r="G284" s="65">
        <v>0</v>
      </c>
      <c r="H284" s="39">
        <v>5.7546692772684427E-2</v>
      </c>
      <c r="I284" s="39">
        <v>0</v>
      </c>
      <c r="J284" s="39">
        <v>5.7546692772684427E-2</v>
      </c>
    </row>
    <row r="285" spans="1:10" ht="11.25" customHeight="1" x14ac:dyDescent="0.2">
      <c r="A285" s="73" t="s">
        <v>34</v>
      </c>
      <c r="B285" s="65">
        <v>0</v>
      </c>
      <c r="C285" s="65">
        <v>0</v>
      </c>
      <c r="D285" s="65">
        <v>1584967.5034899998</v>
      </c>
      <c r="E285" s="65">
        <v>1711532.9350099564</v>
      </c>
      <c r="F285" s="65">
        <v>615642.01140000008</v>
      </c>
      <c r="G285" s="65">
        <v>684456.63652917254</v>
      </c>
      <c r="H285" s="39">
        <v>7.9853644469850105E-2</v>
      </c>
      <c r="I285" s="39">
        <v>0.11177701302853671</v>
      </c>
      <c r="J285" s="39">
        <v>8.8784518710442351E-2</v>
      </c>
    </row>
    <row r="286" spans="1:10" ht="11.25" customHeight="1" x14ac:dyDescent="0.2">
      <c r="A286" s="74">
        <v>44228</v>
      </c>
      <c r="B286" s="65">
        <v>0</v>
      </c>
      <c r="C286" s="65">
        <v>0</v>
      </c>
      <c r="D286" s="65">
        <v>129452.03578999999</v>
      </c>
      <c r="E286" s="65">
        <v>139789.25263187295</v>
      </c>
      <c r="F286" s="65">
        <v>50282.489400000006</v>
      </c>
      <c r="G286" s="65">
        <v>55902.915872771067</v>
      </c>
      <c r="H286" s="39">
        <v>7.9853644469849883E-2</v>
      </c>
      <c r="I286" s="39">
        <v>0.11177701302853671</v>
      </c>
      <c r="J286" s="39">
        <v>8.8784518710442129E-2</v>
      </c>
    </row>
    <row r="287" spans="1:10" ht="11.25" customHeight="1" x14ac:dyDescent="0.2">
      <c r="A287" s="74">
        <v>44256</v>
      </c>
      <c r="B287" s="65">
        <v>0</v>
      </c>
      <c r="C287" s="65">
        <v>0</v>
      </c>
      <c r="D287" s="65">
        <v>143914.98022999999</v>
      </c>
      <c r="E287" s="65">
        <v>155407.11589517188</v>
      </c>
      <c r="F287" s="65">
        <v>55900.267800000001</v>
      </c>
      <c r="G287" s="65">
        <v>62148.632762179303</v>
      </c>
      <c r="H287" s="39">
        <v>7.9853644469849883E-2</v>
      </c>
      <c r="I287" s="39">
        <v>0.11177701302853693</v>
      </c>
      <c r="J287" s="39">
        <v>8.8784518710442351E-2</v>
      </c>
    </row>
    <row r="288" spans="1:10" ht="11.25" customHeight="1" x14ac:dyDescent="0.2">
      <c r="A288" s="74">
        <v>44287</v>
      </c>
      <c r="B288" s="65">
        <v>0</v>
      </c>
      <c r="C288" s="65">
        <v>0</v>
      </c>
      <c r="D288" s="65">
        <v>131750.21314000001</v>
      </c>
      <c r="E288" s="65">
        <v>142270.94781890852</v>
      </c>
      <c r="F288" s="65">
        <v>51175.160400000008</v>
      </c>
      <c r="G288" s="65">
        <v>56895.366970768271</v>
      </c>
      <c r="H288" s="39">
        <v>7.9853644469849883E-2</v>
      </c>
      <c r="I288" s="39">
        <v>0.11177701302853693</v>
      </c>
      <c r="J288" s="39">
        <v>8.8784518710442351E-2</v>
      </c>
    </row>
    <row r="289" spans="1:10" ht="11.25" customHeight="1" x14ac:dyDescent="0.2">
      <c r="A289" s="74">
        <v>44317</v>
      </c>
      <c r="B289" s="65">
        <v>0</v>
      </c>
      <c r="C289" s="65">
        <v>0</v>
      </c>
      <c r="D289" s="65">
        <v>126646.08865999998</v>
      </c>
      <c r="E289" s="65">
        <v>136759.24039735273</v>
      </c>
      <c r="F289" s="65">
        <v>49192.587600000006</v>
      </c>
      <c r="G289" s="65">
        <v>54691.188105072637</v>
      </c>
      <c r="H289" s="39">
        <v>7.9853644469850105E-2</v>
      </c>
      <c r="I289" s="39">
        <v>0.11177701302853671</v>
      </c>
      <c r="J289" s="39">
        <v>8.8784518710442351E-2</v>
      </c>
    </row>
    <row r="290" spans="1:10" ht="11.25" customHeight="1" x14ac:dyDescent="0.2">
      <c r="A290" s="74">
        <v>44348</v>
      </c>
      <c r="B290" s="65">
        <v>0</v>
      </c>
      <c r="C290" s="65">
        <v>0</v>
      </c>
      <c r="D290" s="65">
        <v>125675.85197999999</v>
      </c>
      <c r="E290" s="65">
        <v>135711.52678245644</v>
      </c>
      <c r="F290" s="65">
        <v>48815.722800000003</v>
      </c>
      <c r="G290" s="65">
        <v>54272.198483413049</v>
      </c>
      <c r="H290" s="39">
        <v>7.9853644469850327E-2</v>
      </c>
      <c r="I290" s="39">
        <v>0.11177701302853693</v>
      </c>
      <c r="J290" s="39">
        <v>8.8784518710442573E-2</v>
      </c>
    </row>
    <row r="291" spans="1:10" ht="11.25" customHeight="1" x14ac:dyDescent="0.2">
      <c r="A291" s="74">
        <v>44378</v>
      </c>
      <c r="B291" s="65">
        <v>0</v>
      </c>
      <c r="C291" s="65">
        <v>0</v>
      </c>
      <c r="D291" s="65">
        <v>125910.86066999999</v>
      </c>
      <c r="E291" s="65">
        <v>135965.301772835</v>
      </c>
      <c r="F291" s="65">
        <v>48907.006200000003</v>
      </c>
      <c r="G291" s="65">
        <v>54373.685269204136</v>
      </c>
      <c r="H291" s="39">
        <v>7.9853644469850105E-2</v>
      </c>
      <c r="I291" s="39">
        <v>0.11177701302853693</v>
      </c>
      <c r="J291" s="39">
        <v>8.8784518710442351E-2</v>
      </c>
    </row>
    <row r="292" spans="1:10" ht="11.25" customHeight="1" x14ac:dyDescent="0.2">
      <c r="A292" s="74">
        <v>44409</v>
      </c>
      <c r="B292" s="65">
        <v>0</v>
      </c>
      <c r="C292" s="65">
        <v>0</v>
      </c>
      <c r="D292" s="65">
        <v>123691.01954999998</v>
      </c>
      <c r="E292" s="65">
        <v>133568.19824925894</v>
      </c>
      <c r="F292" s="65">
        <v>48044.763000000006</v>
      </c>
      <c r="G292" s="65">
        <v>53415.063099803963</v>
      </c>
      <c r="H292" s="39">
        <v>7.9853644469849883E-2</v>
      </c>
      <c r="I292" s="39">
        <v>0.11177701302853671</v>
      </c>
      <c r="J292" s="39">
        <v>8.8784518710442129E-2</v>
      </c>
    </row>
    <row r="293" spans="1:10" ht="11.25" customHeight="1" x14ac:dyDescent="0.2">
      <c r="A293" s="74">
        <v>44440</v>
      </c>
      <c r="B293" s="65">
        <v>0</v>
      </c>
      <c r="C293" s="65">
        <v>0</v>
      </c>
      <c r="D293" s="65">
        <v>127790.93018999998</v>
      </c>
      <c r="E293" s="65">
        <v>137995.50169586367</v>
      </c>
      <c r="F293" s="65">
        <v>49637.273399999998</v>
      </c>
      <c r="G293" s="65">
        <v>55185.579555532844</v>
      </c>
      <c r="H293" s="39">
        <v>7.9853644469850105E-2</v>
      </c>
      <c r="I293" s="39">
        <v>0.11177701302853693</v>
      </c>
      <c r="J293" s="39">
        <v>8.8784518710442351E-2</v>
      </c>
    </row>
    <row r="294" spans="1:10" ht="11.25" customHeight="1" x14ac:dyDescent="0.2">
      <c r="A294" s="74">
        <v>44470</v>
      </c>
      <c r="B294" s="65">
        <v>0</v>
      </c>
      <c r="C294" s="65">
        <v>0</v>
      </c>
      <c r="D294" s="65">
        <v>124129.89119999998</v>
      </c>
      <c r="E294" s="65">
        <v>134042.11539996593</v>
      </c>
      <c r="F294" s="65">
        <v>48215.232000000004</v>
      </c>
      <c r="G294" s="65">
        <v>53604.586615437926</v>
      </c>
      <c r="H294" s="39">
        <v>7.9853644469849883E-2</v>
      </c>
      <c r="I294" s="39">
        <v>0.11177701302853671</v>
      </c>
      <c r="J294" s="39">
        <v>8.8784518710442351E-2</v>
      </c>
    </row>
    <row r="295" spans="1:10" ht="11.25" customHeight="1" x14ac:dyDescent="0.2">
      <c r="A295" s="74">
        <v>44501</v>
      </c>
      <c r="B295" s="65">
        <v>0</v>
      </c>
      <c r="C295" s="65">
        <v>0</v>
      </c>
      <c r="D295" s="65">
        <v>133541.56451999999</v>
      </c>
      <c r="E295" s="65">
        <v>144205.3451351276</v>
      </c>
      <c r="F295" s="65">
        <v>51870.967200000006</v>
      </c>
      <c r="G295" s="65">
        <v>57668.948976517211</v>
      </c>
      <c r="H295" s="39">
        <v>7.9853644469850105E-2</v>
      </c>
      <c r="I295" s="39">
        <v>0.11177701302853671</v>
      </c>
      <c r="J295" s="39">
        <v>8.8784518710442351E-2</v>
      </c>
    </row>
    <row r="296" spans="1:10" ht="11.25" customHeight="1" x14ac:dyDescent="0.2">
      <c r="A296" s="74">
        <v>44531</v>
      </c>
      <c r="B296" s="65">
        <v>0</v>
      </c>
      <c r="C296" s="65">
        <v>0</v>
      </c>
      <c r="D296" s="65">
        <v>146232.03378</v>
      </c>
      <c r="E296" s="65">
        <v>157909.19461557121</v>
      </c>
      <c r="F296" s="65">
        <v>56800.270800000006</v>
      </c>
      <c r="G296" s="65">
        <v>63149.235409236026</v>
      </c>
      <c r="H296" s="39">
        <v>7.9853644469849883E-2</v>
      </c>
      <c r="I296" s="39">
        <v>0.11177701302853671</v>
      </c>
      <c r="J296" s="39">
        <v>8.8784518710442351E-2</v>
      </c>
    </row>
    <row r="297" spans="1:10" ht="11.25" customHeight="1" x14ac:dyDescent="0.2">
      <c r="A297" s="74">
        <v>44562</v>
      </c>
      <c r="B297" s="65">
        <v>0</v>
      </c>
      <c r="C297" s="65">
        <v>0</v>
      </c>
      <c r="D297" s="65">
        <v>146232.03378</v>
      </c>
      <c r="E297" s="65">
        <v>157909.19461557121</v>
      </c>
      <c r="F297" s="65">
        <v>56800.270800000006</v>
      </c>
      <c r="G297" s="65">
        <v>63149.235409236026</v>
      </c>
      <c r="H297" s="39">
        <v>7.9853644469849883E-2</v>
      </c>
      <c r="I297" s="39">
        <v>0.11177701302853671</v>
      </c>
      <c r="J297" s="39">
        <v>8.8784518710442351E-2</v>
      </c>
    </row>
    <row r="298" spans="1:10" ht="11.25" customHeight="1" x14ac:dyDescent="0.2">
      <c r="A298" s="69" t="s">
        <v>44</v>
      </c>
      <c r="B298" s="65">
        <v>82583.423999999999</v>
      </c>
      <c r="C298" s="65">
        <v>89155.323323399425</v>
      </c>
      <c r="D298" s="65">
        <v>146035.82179199997</v>
      </c>
      <c r="E298" s="65">
        <v>168241.69969362131</v>
      </c>
      <c r="F298" s="65">
        <v>306748.97971199994</v>
      </c>
      <c r="G298" s="65">
        <v>359407.61026615021</v>
      </c>
      <c r="H298" s="39">
        <v>0.12587644196500869</v>
      </c>
      <c r="I298" s="39">
        <v>0.17166684826006695</v>
      </c>
      <c r="J298" s="39">
        <v>0.15211288959576552</v>
      </c>
    </row>
    <row r="299" spans="1:10" ht="11.25" customHeight="1" x14ac:dyDescent="0.2">
      <c r="A299" s="70" t="s">
        <v>25</v>
      </c>
      <c r="B299" s="65">
        <v>82583.423999999999</v>
      </c>
      <c r="C299" s="65">
        <v>89155.323323399425</v>
      </c>
      <c r="D299" s="65">
        <v>146035.82179199997</v>
      </c>
      <c r="E299" s="65">
        <v>168241.69969362131</v>
      </c>
      <c r="F299" s="65">
        <v>306748.97971199994</v>
      </c>
      <c r="G299" s="65">
        <v>359407.61026615021</v>
      </c>
      <c r="H299" s="39">
        <v>0.12587644196500869</v>
      </c>
      <c r="I299" s="39">
        <v>0.17166684826006695</v>
      </c>
      <c r="J299" s="39">
        <v>0.15211288959576552</v>
      </c>
    </row>
    <row r="300" spans="1:10" ht="11.25" customHeight="1" x14ac:dyDescent="0.2">
      <c r="A300" s="71" t="s">
        <v>25</v>
      </c>
      <c r="B300" s="65">
        <v>82583.423999999999</v>
      </c>
      <c r="C300" s="65">
        <v>89155.323323399425</v>
      </c>
      <c r="D300" s="65">
        <v>146035.82179199997</v>
      </c>
      <c r="E300" s="65">
        <v>168241.69969362131</v>
      </c>
      <c r="F300" s="65">
        <v>306748.97971199994</v>
      </c>
      <c r="G300" s="65">
        <v>359407.61026615021</v>
      </c>
      <c r="H300" s="39">
        <v>0.12587644196500869</v>
      </c>
      <c r="I300" s="39">
        <v>0.17166684826006695</v>
      </c>
      <c r="J300" s="39">
        <v>0.15211288959576552</v>
      </c>
    </row>
    <row r="301" spans="1:10" ht="11.25" customHeight="1" x14ac:dyDescent="0.2">
      <c r="A301" s="72" t="s">
        <v>25</v>
      </c>
      <c r="B301" s="65">
        <v>82583.423999999999</v>
      </c>
      <c r="C301" s="65">
        <v>89155.323323399425</v>
      </c>
      <c r="D301" s="65">
        <v>146035.82179199997</v>
      </c>
      <c r="E301" s="65">
        <v>168241.69969362131</v>
      </c>
      <c r="F301" s="65">
        <v>306748.97971199994</v>
      </c>
      <c r="G301" s="65">
        <v>359407.61026615021</v>
      </c>
      <c r="H301" s="39">
        <v>0.12587644196500869</v>
      </c>
      <c r="I301" s="39">
        <v>0.17166684826006695</v>
      </c>
      <c r="J301" s="39">
        <v>0.15211288959576552</v>
      </c>
    </row>
    <row r="302" spans="1:10" ht="11.25" customHeight="1" x14ac:dyDescent="0.2">
      <c r="A302" s="73" t="s">
        <v>35</v>
      </c>
      <c r="B302" s="65">
        <v>0</v>
      </c>
      <c r="C302" s="65">
        <v>0</v>
      </c>
      <c r="D302" s="65">
        <v>54007.551359999998</v>
      </c>
      <c r="E302" s="65">
        <v>66794.280989613981</v>
      </c>
      <c r="F302" s="65">
        <v>271002.84019199997</v>
      </c>
      <c r="G302" s="65">
        <v>318837.92120532732</v>
      </c>
      <c r="H302" s="39">
        <v>0.23675818117324066</v>
      </c>
      <c r="I302" s="39">
        <v>0.17651136415927282</v>
      </c>
      <c r="J302" s="39">
        <v>0.186522684254673</v>
      </c>
    </row>
    <row r="303" spans="1:10" ht="11.25" customHeight="1" x14ac:dyDescent="0.2">
      <c r="A303" s="74">
        <v>44228</v>
      </c>
      <c r="B303" s="65">
        <v>0</v>
      </c>
      <c r="C303" s="65">
        <v>0</v>
      </c>
      <c r="D303" s="65">
        <v>4128.046848</v>
      </c>
      <c r="E303" s="65">
        <v>5105.3957115304083</v>
      </c>
      <c r="F303" s="65">
        <v>20714.000025599998</v>
      </c>
      <c r="G303" s="65">
        <v>24370.256427313867</v>
      </c>
      <c r="H303" s="39">
        <v>0.23675818117324043</v>
      </c>
      <c r="I303" s="39">
        <v>0.17651136415927282</v>
      </c>
      <c r="J303" s="39">
        <v>0.186522684254673</v>
      </c>
    </row>
    <row r="304" spans="1:10" ht="11.25" customHeight="1" x14ac:dyDescent="0.2">
      <c r="A304" s="74">
        <v>44256</v>
      </c>
      <c r="B304" s="65">
        <v>0</v>
      </c>
      <c r="C304" s="65">
        <v>0</v>
      </c>
      <c r="D304" s="65">
        <v>4577.5091519999996</v>
      </c>
      <c r="E304" s="65">
        <v>5661.2718931313821</v>
      </c>
      <c r="F304" s="65">
        <v>22969.343174400001</v>
      </c>
      <c r="G304" s="65">
        <v>27023.693271955824</v>
      </c>
      <c r="H304" s="39">
        <v>0.23675818117324043</v>
      </c>
      <c r="I304" s="39">
        <v>0.17651136415927282</v>
      </c>
      <c r="J304" s="39">
        <v>0.18652268425467278</v>
      </c>
    </row>
    <row r="305" spans="1:10" ht="11.25" customHeight="1" x14ac:dyDescent="0.2">
      <c r="A305" s="74">
        <v>44287</v>
      </c>
      <c r="B305" s="65">
        <v>0</v>
      </c>
      <c r="C305" s="65">
        <v>0</v>
      </c>
      <c r="D305" s="65">
        <v>4863.2106239999994</v>
      </c>
      <c r="E305" s="65">
        <v>6014.6155260006199</v>
      </c>
      <c r="F305" s="65">
        <v>24402.955852799998</v>
      </c>
      <c r="G305" s="65">
        <v>28710.354879896237</v>
      </c>
      <c r="H305" s="39">
        <v>0.23675818117324066</v>
      </c>
      <c r="I305" s="39">
        <v>0.17651136415927282</v>
      </c>
      <c r="J305" s="39">
        <v>0.186522684254673</v>
      </c>
    </row>
    <row r="306" spans="1:10" ht="11.25" customHeight="1" x14ac:dyDescent="0.2">
      <c r="A306" s="74">
        <v>44317</v>
      </c>
      <c r="B306" s="65">
        <v>0</v>
      </c>
      <c r="C306" s="65">
        <v>0</v>
      </c>
      <c r="D306" s="65">
        <v>4570.0502399999996</v>
      </c>
      <c r="E306" s="65">
        <v>5652.0470226927309</v>
      </c>
      <c r="F306" s="65">
        <v>22931.915327999999</v>
      </c>
      <c r="G306" s="65">
        <v>26979.658985330218</v>
      </c>
      <c r="H306" s="39">
        <v>0.23675818117324066</v>
      </c>
      <c r="I306" s="39">
        <v>0.17651136415927282</v>
      </c>
      <c r="J306" s="39">
        <v>0.186522684254673</v>
      </c>
    </row>
    <row r="307" spans="1:10" ht="11.25" customHeight="1" x14ac:dyDescent="0.2">
      <c r="A307" s="74">
        <v>44348</v>
      </c>
      <c r="B307" s="65">
        <v>0</v>
      </c>
      <c r="C307" s="65">
        <v>0</v>
      </c>
      <c r="D307" s="65">
        <v>4409.474111999999</v>
      </c>
      <c r="E307" s="65">
        <v>5453.4531826876091</v>
      </c>
      <c r="F307" s="65">
        <v>22126.165286399999</v>
      </c>
      <c r="G307" s="65">
        <v>26031.684904716007</v>
      </c>
      <c r="H307" s="39">
        <v>0.23675818117324066</v>
      </c>
      <c r="I307" s="39">
        <v>0.1765113641592726</v>
      </c>
      <c r="J307" s="39">
        <v>0.18652268425467278</v>
      </c>
    </row>
    <row r="308" spans="1:10" ht="11.25" customHeight="1" x14ac:dyDescent="0.2">
      <c r="A308" s="74">
        <v>44378</v>
      </c>
      <c r="B308" s="65">
        <v>0</v>
      </c>
      <c r="C308" s="65">
        <v>0</v>
      </c>
      <c r="D308" s="65">
        <v>4650.0030719999995</v>
      </c>
      <c r="E308" s="65">
        <v>5750.9293417767012</v>
      </c>
      <c r="F308" s="65">
        <v>23333.108198400001</v>
      </c>
      <c r="G308" s="65">
        <v>27451.666956575493</v>
      </c>
      <c r="H308" s="39">
        <v>0.23675818117324066</v>
      </c>
      <c r="I308" s="39">
        <v>0.1765113641592726</v>
      </c>
      <c r="J308" s="39">
        <v>0.18652268425467278</v>
      </c>
    </row>
    <row r="309" spans="1:10" ht="11.25" customHeight="1" x14ac:dyDescent="0.2">
      <c r="A309" s="74">
        <v>44409</v>
      </c>
      <c r="B309" s="65">
        <v>0</v>
      </c>
      <c r="C309" s="65">
        <v>0</v>
      </c>
      <c r="D309" s="65">
        <v>4489.8459839999996</v>
      </c>
      <c r="E309" s="65">
        <v>5552.8537529198184</v>
      </c>
      <c r="F309" s="65">
        <v>22529.4608448</v>
      </c>
      <c r="G309" s="65">
        <v>26506.16671228857</v>
      </c>
      <c r="H309" s="39">
        <v>0.23675818117324066</v>
      </c>
      <c r="I309" s="39">
        <v>0.17651136415927282</v>
      </c>
      <c r="J309" s="39">
        <v>0.18652268425467278</v>
      </c>
    </row>
    <row r="310" spans="1:10" ht="11.25" customHeight="1" x14ac:dyDescent="0.2">
      <c r="A310" s="74">
        <v>44440</v>
      </c>
      <c r="B310" s="65">
        <v>0</v>
      </c>
      <c r="C310" s="65">
        <v>0</v>
      </c>
      <c r="D310" s="65">
        <v>4436.7955199999997</v>
      </c>
      <c r="E310" s="65">
        <v>5487.2431575527817</v>
      </c>
      <c r="F310" s="65">
        <v>22263.260544000001</v>
      </c>
      <c r="G310" s="65">
        <v>26192.979033254749</v>
      </c>
      <c r="H310" s="39">
        <v>0.23675818117324066</v>
      </c>
      <c r="I310" s="39">
        <v>0.1765113641592726</v>
      </c>
      <c r="J310" s="39">
        <v>0.18652268425467255</v>
      </c>
    </row>
    <row r="311" spans="1:10" ht="11.25" customHeight="1" x14ac:dyDescent="0.2">
      <c r="A311" s="74">
        <v>44470</v>
      </c>
      <c r="B311" s="65">
        <v>0</v>
      </c>
      <c r="C311" s="65">
        <v>0</v>
      </c>
      <c r="D311" s="65">
        <v>4272.867072</v>
      </c>
      <c r="E311" s="65">
        <v>5284.50330836175</v>
      </c>
      <c r="F311" s="65">
        <v>21440.688998400001</v>
      </c>
      <c r="G311" s="65">
        <v>25225.214262022295</v>
      </c>
      <c r="H311" s="39">
        <v>0.23675818117324066</v>
      </c>
      <c r="I311" s="39">
        <v>0.1765113641592726</v>
      </c>
      <c r="J311" s="39">
        <v>0.18652268425467278</v>
      </c>
    </row>
    <row r="312" spans="1:10" ht="11.25" customHeight="1" x14ac:dyDescent="0.2">
      <c r="A312" s="74">
        <v>44501</v>
      </c>
      <c r="B312" s="65">
        <v>0</v>
      </c>
      <c r="C312" s="65">
        <v>0</v>
      </c>
      <c r="D312" s="65">
        <v>4130.7287039999992</v>
      </c>
      <c r="E312" s="65">
        <v>5108.712518879136</v>
      </c>
      <c r="F312" s="65">
        <v>20727.457228799998</v>
      </c>
      <c r="G312" s="65">
        <v>24386.088979808465</v>
      </c>
      <c r="H312" s="39">
        <v>0.23675818117324043</v>
      </c>
      <c r="I312" s="39">
        <v>0.17651136415927282</v>
      </c>
      <c r="J312" s="39">
        <v>0.18652268425467278</v>
      </c>
    </row>
    <row r="313" spans="1:10" ht="11.25" customHeight="1" x14ac:dyDescent="0.2">
      <c r="A313" s="74">
        <v>44531</v>
      </c>
      <c r="B313" s="65">
        <v>0</v>
      </c>
      <c r="C313" s="65">
        <v>0</v>
      </c>
      <c r="D313" s="65">
        <v>4739.5100159999993</v>
      </c>
      <c r="E313" s="65">
        <v>5861.6277870405156</v>
      </c>
      <c r="F313" s="65">
        <v>23782.2423552</v>
      </c>
      <c r="G313" s="65">
        <v>27980.078396082787</v>
      </c>
      <c r="H313" s="39">
        <v>0.23675818117324066</v>
      </c>
      <c r="I313" s="39">
        <v>0.1765113641592726</v>
      </c>
      <c r="J313" s="39">
        <v>0.18652268425467278</v>
      </c>
    </row>
    <row r="314" spans="1:10" ht="11.25" customHeight="1" x14ac:dyDescent="0.2">
      <c r="A314" s="74">
        <v>44562</v>
      </c>
      <c r="B314" s="65">
        <v>0</v>
      </c>
      <c r="C314" s="65">
        <v>0</v>
      </c>
      <c r="D314" s="65">
        <v>4739.5100159999993</v>
      </c>
      <c r="E314" s="65">
        <v>5861.6277870405156</v>
      </c>
      <c r="F314" s="65">
        <v>23782.2423552</v>
      </c>
      <c r="G314" s="65">
        <v>27980.078396082787</v>
      </c>
      <c r="H314" s="39">
        <v>0.23675818117324066</v>
      </c>
      <c r="I314" s="39">
        <v>0.1765113641592726</v>
      </c>
      <c r="J314" s="39">
        <v>0.18652268425467278</v>
      </c>
    </row>
    <row r="315" spans="1:10" ht="11.25" customHeight="1" x14ac:dyDescent="0.2">
      <c r="A315" s="73" t="s">
        <v>25</v>
      </c>
      <c r="B315" s="65">
        <v>82583.423999999999</v>
      </c>
      <c r="C315" s="65">
        <v>89155.323323399425</v>
      </c>
      <c r="D315" s="65">
        <v>0</v>
      </c>
      <c r="E315" s="65">
        <v>0</v>
      </c>
      <c r="F315" s="65">
        <v>0</v>
      </c>
      <c r="G315" s="65">
        <v>0</v>
      </c>
      <c r="H315" s="39">
        <v>7.9578915538782047E-2</v>
      </c>
      <c r="I315" s="39">
        <v>0</v>
      </c>
      <c r="J315" s="39">
        <v>7.9578915538782047E-2</v>
      </c>
    </row>
    <row r="316" spans="1:10" ht="11.25" customHeight="1" x14ac:dyDescent="0.2">
      <c r="A316" s="74">
        <v>44228</v>
      </c>
      <c r="B316" s="65">
        <v>6635.0591999999997</v>
      </c>
      <c r="C316" s="65">
        <v>7163.0700156716184</v>
      </c>
      <c r="D316" s="65">
        <v>0</v>
      </c>
      <c r="E316" s="65">
        <v>0</v>
      </c>
      <c r="F316" s="65">
        <v>0</v>
      </c>
      <c r="G316" s="65">
        <v>0</v>
      </c>
      <c r="H316" s="39">
        <v>7.9578915538782047E-2</v>
      </c>
      <c r="I316" s="39">
        <v>0</v>
      </c>
      <c r="J316" s="39">
        <v>7.9578915538782047E-2</v>
      </c>
    </row>
    <row r="317" spans="1:10" ht="11.25" customHeight="1" x14ac:dyDescent="0.2">
      <c r="A317" s="74">
        <v>44256</v>
      </c>
      <c r="B317" s="65">
        <v>6510.8735999999999</v>
      </c>
      <c r="C317" s="65">
        <v>7029.0018602980854</v>
      </c>
      <c r="D317" s="65">
        <v>0</v>
      </c>
      <c r="E317" s="65">
        <v>0</v>
      </c>
      <c r="F317" s="65">
        <v>0</v>
      </c>
      <c r="G317" s="65">
        <v>0</v>
      </c>
      <c r="H317" s="39">
        <v>7.9578915538782047E-2</v>
      </c>
      <c r="I317" s="39">
        <v>0</v>
      </c>
      <c r="J317" s="39">
        <v>7.9578915538782047E-2</v>
      </c>
    </row>
    <row r="318" spans="1:10" ht="11.25" customHeight="1" x14ac:dyDescent="0.2">
      <c r="A318" s="74">
        <v>44287</v>
      </c>
      <c r="B318" s="65">
        <v>7131.8015999999998</v>
      </c>
      <c r="C318" s="65">
        <v>7699.3426371657506</v>
      </c>
      <c r="D318" s="65">
        <v>0</v>
      </c>
      <c r="E318" s="65">
        <v>0</v>
      </c>
      <c r="F318" s="65">
        <v>0</v>
      </c>
      <c r="G318" s="65">
        <v>0</v>
      </c>
      <c r="H318" s="39">
        <v>7.9578915538782047E-2</v>
      </c>
      <c r="I318" s="39">
        <v>0</v>
      </c>
      <c r="J318" s="39">
        <v>7.9578915538782047E-2</v>
      </c>
    </row>
    <row r="319" spans="1:10" ht="11.25" customHeight="1" x14ac:dyDescent="0.2">
      <c r="A319" s="74">
        <v>44317</v>
      </c>
      <c r="B319" s="65">
        <v>6581.8368</v>
      </c>
      <c r="C319" s="65">
        <v>7105.6122347972469</v>
      </c>
      <c r="D319" s="65">
        <v>0</v>
      </c>
      <c r="E319" s="65">
        <v>0</v>
      </c>
      <c r="F319" s="65">
        <v>0</v>
      </c>
      <c r="G319" s="65">
        <v>0</v>
      </c>
      <c r="H319" s="39">
        <v>7.9578915538782047E-2</v>
      </c>
      <c r="I319" s="39">
        <v>0</v>
      </c>
      <c r="J319" s="39">
        <v>7.9578915538782047E-2</v>
      </c>
    </row>
    <row r="320" spans="1:10" ht="11.25" customHeight="1" x14ac:dyDescent="0.2">
      <c r="A320" s="74">
        <v>44348</v>
      </c>
      <c r="B320" s="65">
        <v>6510.8735999999999</v>
      </c>
      <c r="C320" s="65">
        <v>7029.0018602980854</v>
      </c>
      <c r="D320" s="65">
        <v>0</v>
      </c>
      <c r="E320" s="65">
        <v>0</v>
      </c>
      <c r="F320" s="65">
        <v>0</v>
      </c>
      <c r="G320" s="65">
        <v>0</v>
      </c>
      <c r="H320" s="39">
        <v>7.9578915538782047E-2</v>
      </c>
      <c r="I320" s="39">
        <v>0</v>
      </c>
      <c r="J320" s="39">
        <v>7.9578915538782047E-2</v>
      </c>
    </row>
    <row r="321" spans="1:10" ht="11.25" customHeight="1" x14ac:dyDescent="0.2">
      <c r="A321" s="74">
        <v>44378</v>
      </c>
      <c r="B321" s="65">
        <v>6688.2816000000003</v>
      </c>
      <c r="C321" s="65">
        <v>7220.52779654599</v>
      </c>
      <c r="D321" s="65">
        <v>0</v>
      </c>
      <c r="E321" s="65">
        <v>0</v>
      </c>
      <c r="F321" s="65">
        <v>0</v>
      </c>
      <c r="G321" s="65">
        <v>0</v>
      </c>
      <c r="H321" s="39">
        <v>7.9578915538782047E-2</v>
      </c>
      <c r="I321" s="39">
        <v>0</v>
      </c>
      <c r="J321" s="39">
        <v>7.9578915538782047E-2</v>
      </c>
    </row>
    <row r="322" spans="1:10" ht="11.25" customHeight="1" x14ac:dyDescent="0.2">
      <c r="A322" s="74">
        <v>44409</v>
      </c>
      <c r="B322" s="65">
        <v>6635.0591999999997</v>
      </c>
      <c r="C322" s="65">
        <v>7163.0700156716184</v>
      </c>
      <c r="D322" s="65">
        <v>0</v>
      </c>
      <c r="E322" s="65">
        <v>0</v>
      </c>
      <c r="F322" s="65">
        <v>0</v>
      </c>
      <c r="G322" s="65">
        <v>0</v>
      </c>
      <c r="H322" s="39">
        <v>7.9578915538782047E-2</v>
      </c>
      <c r="I322" s="39">
        <v>0</v>
      </c>
      <c r="J322" s="39">
        <v>7.9578915538782047E-2</v>
      </c>
    </row>
    <row r="323" spans="1:10" ht="11.25" customHeight="1" x14ac:dyDescent="0.2">
      <c r="A323" s="74">
        <v>44440</v>
      </c>
      <c r="B323" s="65">
        <v>6776.9856</v>
      </c>
      <c r="C323" s="65">
        <v>7316.2907646699414</v>
      </c>
      <c r="D323" s="65">
        <v>0</v>
      </c>
      <c r="E323" s="65">
        <v>0</v>
      </c>
      <c r="F323" s="65">
        <v>0</v>
      </c>
      <c r="G323" s="65">
        <v>0</v>
      </c>
      <c r="H323" s="39">
        <v>7.9578915538781825E-2</v>
      </c>
      <c r="I323" s="39">
        <v>0</v>
      </c>
      <c r="J323" s="39">
        <v>7.9578915538781825E-2</v>
      </c>
    </row>
    <row r="324" spans="1:10" ht="11.25" customHeight="1" x14ac:dyDescent="0.2">
      <c r="A324" s="74">
        <v>44470</v>
      </c>
      <c r="B324" s="65">
        <v>7557.5807999999997</v>
      </c>
      <c r="C324" s="65">
        <v>8159.0048841607204</v>
      </c>
      <c r="D324" s="65">
        <v>0</v>
      </c>
      <c r="E324" s="65">
        <v>0</v>
      </c>
      <c r="F324" s="65">
        <v>0</v>
      </c>
      <c r="G324" s="65">
        <v>0</v>
      </c>
      <c r="H324" s="39">
        <v>7.9578915538782047E-2</v>
      </c>
      <c r="I324" s="39">
        <v>0</v>
      </c>
      <c r="J324" s="39">
        <v>7.9578915538782047E-2</v>
      </c>
    </row>
    <row r="325" spans="1:10" ht="11.25" customHeight="1" x14ac:dyDescent="0.2">
      <c r="A325" s="74">
        <v>44501</v>
      </c>
      <c r="B325" s="65">
        <v>7078.5792000000001</v>
      </c>
      <c r="C325" s="65">
        <v>7641.884856291379</v>
      </c>
      <c r="D325" s="65">
        <v>0</v>
      </c>
      <c r="E325" s="65">
        <v>0</v>
      </c>
      <c r="F325" s="65">
        <v>0</v>
      </c>
      <c r="G325" s="65">
        <v>0</v>
      </c>
      <c r="H325" s="39">
        <v>7.9578915538782047E-2</v>
      </c>
      <c r="I325" s="39">
        <v>0</v>
      </c>
      <c r="J325" s="39">
        <v>7.9578915538782047E-2</v>
      </c>
    </row>
    <row r="326" spans="1:10" ht="11.25" customHeight="1" x14ac:dyDescent="0.2">
      <c r="A326" s="74">
        <v>44531</v>
      </c>
      <c r="B326" s="65">
        <v>7238.2464</v>
      </c>
      <c r="C326" s="65">
        <v>7814.2581989144928</v>
      </c>
      <c r="D326" s="65">
        <v>0</v>
      </c>
      <c r="E326" s="65">
        <v>0</v>
      </c>
      <c r="F326" s="65">
        <v>0</v>
      </c>
      <c r="G326" s="65">
        <v>0</v>
      </c>
      <c r="H326" s="39">
        <v>7.9578915538782047E-2</v>
      </c>
      <c r="I326" s="39">
        <v>0</v>
      </c>
      <c r="J326" s="39">
        <v>7.9578915538782047E-2</v>
      </c>
    </row>
    <row r="327" spans="1:10" ht="11.25" customHeight="1" x14ac:dyDescent="0.2">
      <c r="A327" s="74">
        <v>44562</v>
      </c>
      <c r="B327" s="65">
        <v>7238.2464</v>
      </c>
      <c r="C327" s="65">
        <v>7814.2581989144928</v>
      </c>
      <c r="D327" s="65">
        <v>0</v>
      </c>
      <c r="E327" s="65">
        <v>0</v>
      </c>
      <c r="F327" s="65">
        <v>0</v>
      </c>
      <c r="G327" s="65">
        <v>0</v>
      </c>
      <c r="H327" s="39">
        <v>7.9578915538782047E-2</v>
      </c>
      <c r="I327" s="39">
        <v>0</v>
      </c>
      <c r="J327" s="39">
        <v>7.9578915538782047E-2</v>
      </c>
    </row>
    <row r="328" spans="1:10" ht="11.25" customHeight="1" x14ac:dyDescent="0.2">
      <c r="A328" s="73" t="s">
        <v>34</v>
      </c>
      <c r="B328" s="65">
        <v>0</v>
      </c>
      <c r="C328" s="65">
        <v>0</v>
      </c>
      <c r="D328" s="65">
        <v>92028.27043199999</v>
      </c>
      <c r="E328" s="65">
        <v>101447.4187040074</v>
      </c>
      <c r="F328" s="65">
        <v>35746.139520000004</v>
      </c>
      <c r="G328" s="65">
        <v>40569.689060822908</v>
      </c>
      <c r="H328" s="39">
        <v>0.10235059539630553</v>
      </c>
      <c r="I328" s="39">
        <v>0.13493903413329766</v>
      </c>
      <c r="J328" s="39">
        <v>0.11146752951691008</v>
      </c>
    </row>
    <row r="329" spans="1:10" ht="11.25" customHeight="1" x14ac:dyDescent="0.2">
      <c r="A329" s="74">
        <v>44228</v>
      </c>
      <c r="B329" s="65">
        <v>0</v>
      </c>
      <c r="C329" s="65">
        <v>0</v>
      </c>
      <c r="D329" s="65">
        <v>7235.7759935999984</v>
      </c>
      <c r="E329" s="65">
        <v>7976.3619746992508</v>
      </c>
      <c r="F329" s="65">
        <v>2810.5608960000004</v>
      </c>
      <c r="G329" s="65">
        <v>3189.8152686790568</v>
      </c>
      <c r="H329" s="39">
        <v>0.10235059539630531</v>
      </c>
      <c r="I329" s="39">
        <v>0.13493903413329789</v>
      </c>
      <c r="J329" s="39">
        <v>0.11146752951690986</v>
      </c>
    </row>
    <row r="330" spans="1:10" ht="11.25" customHeight="1" x14ac:dyDescent="0.2">
      <c r="A330" s="74">
        <v>44256</v>
      </c>
      <c r="B330" s="65">
        <v>0</v>
      </c>
      <c r="C330" s="65">
        <v>0</v>
      </c>
      <c r="D330" s="65">
        <v>8681.8439232000001</v>
      </c>
      <c r="E330" s="65">
        <v>9570.4358178773145</v>
      </c>
      <c r="F330" s="65">
        <v>3372.2507520000004</v>
      </c>
      <c r="G330" s="65">
        <v>3827.2990113301685</v>
      </c>
      <c r="H330" s="39">
        <v>0.10235059539630531</v>
      </c>
      <c r="I330" s="39">
        <v>0.13493903413329811</v>
      </c>
      <c r="J330" s="39">
        <v>0.11146752951690986</v>
      </c>
    </row>
    <row r="331" spans="1:10" ht="11.25" customHeight="1" x14ac:dyDescent="0.2">
      <c r="A331" s="74">
        <v>44287</v>
      </c>
      <c r="B331" s="65">
        <v>0</v>
      </c>
      <c r="C331" s="65">
        <v>0</v>
      </c>
      <c r="D331" s="65">
        <v>8047.6036031999984</v>
      </c>
      <c r="E331" s="65">
        <v>8871.2806235009703</v>
      </c>
      <c r="F331" s="65">
        <v>3125.8955520000004</v>
      </c>
      <c r="G331" s="65">
        <v>3547.7008785884523</v>
      </c>
      <c r="H331" s="39">
        <v>0.10235059539630531</v>
      </c>
      <c r="I331" s="39">
        <v>0.13493903413329789</v>
      </c>
      <c r="J331" s="39">
        <v>0.11146752951690986</v>
      </c>
    </row>
    <row r="332" spans="1:10" ht="11.25" customHeight="1" x14ac:dyDescent="0.2">
      <c r="A332" s="74">
        <v>44317</v>
      </c>
      <c r="B332" s="65">
        <v>0</v>
      </c>
      <c r="C332" s="65">
        <v>0</v>
      </c>
      <c r="D332" s="65">
        <v>8085.6580223999981</v>
      </c>
      <c r="E332" s="65">
        <v>8913.2299351635502</v>
      </c>
      <c r="F332" s="65">
        <v>3140.676864</v>
      </c>
      <c r="G332" s="65">
        <v>3564.4767665529553</v>
      </c>
      <c r="H332" s="39">
        <v>0.10235059539630531</v>
      </c>
      <c r="I332" s="39">
        <v>0.13493903413329789</v>
      </c>
      <c r="J332" s="39">
        <v>0.11146752951691008</v>
      </c>
    </row>
    <row r="333" spans="1:10" ht="11.25" customHeight="1" x14ac:dyDescent="0.2">
      <c r="A333" s="74">
        <v>44348</v>
      </c>
      <c r="B333" s="65">
        <v>0</v>
      </c>
      <c r="C333" s="65">
        <v>0</v>
      </c>
      <c r="D333" s="65">
        <v>7558.3324991999998</v>
      </c>
      <c r="E333" s="65">
        <v>8331.9323306963634</v>
      </c>
      <c r="F333" s="65">
        <v>2935.8501120000005</v>
      </c>
      <c r="G333" s="65">
        <v>3332.0108904734152</v>
      </c>
      <c r="H333" s="39">
        <v>0.10235059539630531</v>
      </c>
      <c r="I333" s="39">
        <v>0.13493903413329789</v>
      </c>
      <c r="J333" s="39">
        <v>0.11146752951690986</v>
      </c>
    </row>
    <row r="334" spans="1:10" ht="11.25" customHeight="1" x14ac:dyDescent="0.2">
      <c r="A334" s="74">
        <v>44378</v>
      </c>
      <c r="B334" s="65">
        <v>0</v>
      </c>
      <c r="C334" s="65">
        <v>0</v>
      </c>
      <c r="D334" s="65">
        <v>7395.2421311999997</v>
      </c>
      <c r="E334" s="65">
        <v>8152.1495664281611</v>
      </c>
      <c r="F334" s="65">
        <v>2872.5016320000004</v>
      </c>
      <c r="G334" s="65">
        <v>3260.1142277684025</v>
      </c>
      <c r="H334" s="39">
        <v>0.10235059539630531</v>
      </c>
      <c r="I334" s="39">
        <v>0.13493903413329789</v>
      </c>
      <c r="J334" s="39">
        <v>0.11146752951690986</v>
      </c>
    </row>
    <row r="335" spans="1:10" ht="11.25" customHeight="1" x14ac:dyDescent="0.2">
      <c r="A335" s="74">
        <v>44409</v>
      </c>
      <c r="B335" s="65">
        <v>0</v>
      </c>
      <c r="C335" s="65">
        <v>0</v>
      </c>
      <c r="D335" s="65">
        <v>7050.9402431999988</v>
      </c>
      <c r="E335" s="65">
        <v>7772.6081751952888</v>
      </c>
      <c r="F335" s="65">
        <v>2738.7659520000002</v>
      </c>
      <c r="G335" s="65">
        <v>3108.3323842800428</v>
      </c>
      <c r="H335" s="39">
        <v>0.10235059539630531</v>
      </c>
      <c r="I335" s="39">
        <v>0.13493903413329811</v>
      </c>
      <c r="J335" s="39">
        <v>0.11146752951691008</v>
      </c>
    </row>
    <row r="336" spans="1:10" ht="11.25" customHeight="1" x14ac:dyDescent="0.2">
      <c r="A336" s="74">
        <v>44440</v>
      </c>
      <c r="B336" s="65">
        <v>0</v>
      </c>
      <c r="C336" s="65">
        <v>0</v>
      </c>
      <c r="D336" s="65">
        <v>7685.1805631999987</v>
      </c>
      <c r="E336" s="65">
        <v>8471.7633695716304</v>
      </c>
      <c r="F336" s="65">
        <v>2985.1211520000002</v>
      </c>
      <c r="G336" s="65">
        <v>3387.9305170217576</v>
      </c>
      <c r="H336" s="39">
        <v>0.10235059539630509</v>
      </c>
      <c r="I336" s="39">
        <v>0.13493903413329789</v>
      </c>
      <c r="J336" s="39">
        <v>0.11146752951690986</v>
      </c>
    </row>
    <row r="337" spans="1:10" ht="11.25" customHeight="1" x14ac:dyDescent="0.2">
      <c r="A337" s="74">
        <v>44470</v>
      </c>
      <c r="B337" s="65">
        <v>0</v>
      </c>
      <c r="C337" s="65">
        <v>0</v>
      </c>
      <c r="D337" s="65">
        <v>6742.8806591999992</v>
      </c>
      <c r="E337" s="65">
        <v>7433.01850935535</v>
      </c>
      <c r="F337" s="65">
        <v>2619.1077120000004</v>
      </c>
      <c r="G337" s="65">
        <v>2972.5275769483524</v>
      </c>
      <c r="H337" s="39">
        <v>0.10235059539630531</v>
      </c>
      <c r="I337" s="39">
        <v>0.13493903413329789</v>
      </c>
      <c r="J337" s="39">
        <v>0.11146752951690986</v>
      </c>
    </row>
    <row r="338" spans="1:10" ht="11.25" customHeight="1" x14ac:dyDescent="0.2">
      <c r="A338" s="74">
        <v>44501</v>
      </c>
      <c r="B338" s="65">
        <v>0</v>
      </c>
      <c r="C338" s="65">
        <v>0</v>
      </c>
      <c r="D338" s="65">
        <v>6144.8826431999987</v>
      </c>
      <c r="E338" s="65">
        <v>6773.815040371941</v>
      </c>
      <c r="F338" s="65">
        <v>2386.829952</v>
      </c>
      <c r="G338" s="65">
        <v>2708.9064803633064</v>
      </c>
      <c r="H338" s="39">
        <v>0.10235059539630531</v>
      </c>
      <c r="I338" s="39">
        <v>0.13493903413329811</v>
      </c>
      <c r="J338" s="39">
        <v>0.11146752951691008</v>
      </c>
    </row>
    <row r="339" spans="1:10" ht="11.25" customHeight="1" x14ac:dyDescent="0.2">
      <c r="A339" s="74">
        <v>44531</v>
      </c>
      <c r="B339" s="65">
        <v>0</v>
      </c>
      <c r="C339" s="65">
        <v>0</v>
      </c>
      <c r="D339" s="65">
        <v>8699.9650751999998</v>
      </c>
      <c r="E339" s="65">
        <v>9590.4116805737813</v>
      </c>
      <c r="F339" s="65">
        <v>3379.2894720000004</v>
      </c>
      <c r="G339" s="65">
        <v>3835.2875294085029</v>
      </c>
      <c r="H339" s="39">
        <v>0.10235059539630531</v>
      </c>
      <c r="I339" s="39">
        <v>0.13493903413329789</v>
      </c>
      <c r="J339" s="39">
        <v>0.11146752951690986</v>
      </c>
    </row>
    <row r="340" spans="1:10" ht="11.25" customHeight="1" x14ac:dyDescent="0.2">
      <c r="A340" s="74">
        <v>44562</v>
      </c>
      <c r="B340" s="65">
        <v>0</v>
      </c>
      <c r="C340" s="65">
        <v>0</v>
      </c>
      <c r="D340" s="65">
        <v>8699.9650751999998</v>
      </c>
      <c r="E340" s="65">
        <v>9590.4116805737813</v>
      </c>
      <c r="F340" s="65">
        <v>3379.2894720000004</v>
      </c>
      <c r="G340" s="65">
        <v>3835.2875294085029</v>
      </c>
      <c r="H340" s="39">
        <v>0.10235059539630531</v>
      </c>
      <c r="I340" s="39">
        <v>0.13493903413329789</v>
      </c>
      <c r="J340" s="39">
        <v>0.11146752951690986</v>
      </c>
    </row>
    <row r="341" spans="1:10" ht="11.25" customHeight="1" x14ac:dyDescent="0.2">
      <c r="A341" s="69" t="s">
        <v>49</v>
      </c>
      <c r="B341" s="65">
        <v>150330.36479999998</v>
      </c>
      <c r="C341" s="65">
        <v>164055.25395109001</v>
      </c>
      <c r="D341" s="65">
        <v>274573.04934039997</v>
      </c>
      <c r="E341" s="65">
        <v>317353.29364280635</v>
      </c>
      <c r="F341" s="65">
        <v>494811.11379540019</v>
      </c>
      <c r="G341" s="65">
        <v>585357.13427461451</v>
      </c>
      <c r="H341" s="39">
        <v>0.13298347712222802</v>
      </c>
      <c r="I341" s="39">
        <v>0.18299108074733805</v>
      </c>
      <c r="J341" s="39">
        <v>0.15988782330398865</v>
      </c>
    </row>
    <row r="342" spans="1:10" ht="11.25" customHeight="1" x14ac:dyDescent="0.2">
      <c r="A342" s="70" t="s">
        <v>50</v>
      </c>
      <c r="B342" s="65">
        <v>150330.36479999998</v>
      </c>
      <c r="C342" s="65">
        <v>164055.25395109001</v>
      </c>
      <c r="D342" s="65">
        <v>274573.04934039997</v>
      </c>
      <c r="E342" s="65">
        <v>317353.29364280635</v>
      </c>
      <c r="F342" s="65">
        <v>494811.11379540019</v>
      </c>
      <c r="G342" s="65">
        <v>585357.13427461451</v>
      </c>
      <c r="H342" s="39">
        <v>0.13298347712222802</v>
      </c>
      <c r="I342" s="39">
        <v>0.18299108074733805</v>
      </c>
      <c r="J342" s="39">
        <v>0.15988782330398865</v>
      </c>
    </row>
    <row r="343" spans="1:10" ht="11.25" customHeight="1" x14ac:dyDescent="0.2">
      <c r="A343" s="71" t="s">
        <v>25</v>
      </c>
      <c r="B343" s="65">
        <v>150330.36479999998</v>
      </c>
      <c r="C343" s="65">
        <v>164055.25395109001</v>
      </c>
      <c r="D343" s="65">
        <v>274573.04934039997</v>
      </c>
      <c r="E343" s="65">
        <v>317353.29364280635</v>
      </c>
      <c r="F343" s="65">
        <v>494811.11379540019</v>
      </c>
      <c r="G343" s="65">
        <v>585357.13427461451</v>
      </c>
      <c r="H343" s="39">
        <v>0.13298347712222802</v>
      </c>
      <c r="I343" s="39">
        <v>0.18299108074733805</v>
      </c>
      <c r="J343" s="39">
        <v>0.15988782330398865</v>
      </c>
    </row>
    <row r="344" spans="1:10" ht="11.25" customHeight="1" x14ac:dyDescent="0.2">
      <c r="A344" s="72" t="s">
        <v>25</v>
      </c>
      <c r="B344" s="65">
        <v>150330.36479999998</v>
      </c>
      <c r="C344" s="65">
        <v>164055.25395109001</v>
      </c>
      <c r="D344" s="65">
        <v>274573.04934039997</v>
      </c>
      <c r="E344" s="65">
        <v>317353.29364280635</v>
      </c>
      <c r="F344" s="65">
        <v>494811.11379540019</v>
      </c>
      <c r="G344" s="65">
        <v>585357.13427461451</v>
      </c>
      <c r="H344" s="39">
        <v>0.13298347712222802</v>
      </c>
      <c r="I344" s="39">
        <v>0.18299108074733805</v>
      </c>
      <c r="J344" s="39">
        <v>0.15988782330398865</v>
      </c>
    </row>
    <row r="345" spans="1:10" ht="11.25" customHeight="1" x14ac:dyDescent="0.2">
      <c r="A345" s="73" t="s">
        <v>35</v>
      </c>
      <c r="B345" s="65">
        <v>0</v>
      </c>
      <c r="C345" s="65">
        <v>0</v>
      </c>
      <c r="D345" s="65">
        <v>83845.904787000007</v>
      </c>
      <c r="E345" s="65">
        <v>104822.78291838364</v>
      </c>
      <c r="F345" s="65">
        <v>420727.80127140007</v>
      </c>
      <c r="G345" s="65">
        <v>500364.36810887349</v>
      </c>
      <c r="H345" s="39">
        <v>0.25018369334403112</v>
      </c>
      <c r="I345" s="39">
        <v>0.18928287267163979</v>
      </c>
      <c r="J345" s="39">
        <v>0.19940286971119314</v>
      </c>
    </row>
    <row r="346" spans="1:10" ht="11.25" customHeight="1" x14ac:dyDescent="0.2">
      <c r="A346" s="74">
        <v>44228</v>
      </c>
      <c r="B346" s="65">
        <v>0</v>
      </c>
      <c r="C346" s="65">
        <v>0</v>
      </c>
      <c r="D346" s="65">
        <v>6785.1323460000003</v>
      </c>
      <c r="E346" s="65">
        <v>8482.661816150332</v>
      </c>
      <c r="F346" s="65">
        <v>34046.908081200003</v>
      </c>
      <c r="G346" s="65">
        <v>40491.404648396812</v>
      </c>
      <c r="H346" s="39">
        <v>0.25018369334403134</v>
      </c>
      <c r="I346" s="39">
        <v>0.18928287267164001</v>
      </c>
      <c r="J346" s="39">
        <v>0.19940286971119336</v>
      </c>
    </row>
    <row r="347" spans="1:10" ht="11.25" customHeight="1" x14ac:dyDescent="0.2">
      <c r="A347" s="74">
        <v>44256</v>
      </c>
      <c r="B347" s="65">
        <v>0</v>
      </c>
      <c r="C347" s="65">
        <v>0</v>
      </c>
      <c r="D347" s="65">
        <v>7485.5725470000007</v>
      </c>
      <c r="E347" s="65">
        <v>9358.3407336031469</v>
      </c>
      <c r="F347" s="65">
        <v>37561.625543399998</v>
      </c>
      <c r="G347" s="65">
        <v>44671.397928471204</v>
      </c>
      <c r="H347" s="39">
        <v>0.25018369334403112</v>
      </c>
      <c r="I347" s="39">
        <v>0.18928287267164001</v>
      </c>
      <c r="J347" s="39">
        <v>0.19940286971119336</v>
      </c>
    </row>
    <row r="348" spans="1:10" ht="11.25" customHeight="1" x14ac:dyDescent="0.2">
      <c r="A348" s="74">
        <v>44287</v>
      </c>
      <c r="B348" s="65">
        <v>0</v>
      </c>
      <c r="C348" s="65">
        <v>0</v>
      </c>
      <c r="D348" s="65">
        <v>7693.3125</v>
      </c>
      <c r="E348" s="65">
        <v>9618.0538352998028</v>
      </c>
      <c r="F348" s="65">
        <v>38604.037499999999</v>
      </c>
      <c r="G348" s="65">
        <v>45911.12061472371</v>
      </c>
      <c r="H348" s="39">
        <v>0.25018369334403134</v>
      </c>
      <c r="I348" s="39">
        <v>0.18928287267163979</v>
      </c>
      <c r="J348" s="39">
        <v>0.19940286971119336</v>
      </c>
    </row>
    <row r="349" spans="1:10" ht="11.25" customHeight="1" x14ac:dyDescent="0.2">
      <c r="A349" s="74">
        <v>44317</v>
      </c>
      <c r="B349" s="65">
        <v>0</v>
      </c>
      <c r="C349" s="65">
        <v>0</v>
      </c>
      <c r="D349" s="65">
        <v>7325.6337089999988</v>
      </c>
      <c r="E349" s="65">
        <v>9158.3878064031524</v>
      </c>
      <c r="F349" s="65">
        <v>36759.073339799994</v>
      </c>
      <c r="G349" s="65">
        <v>43716.936338304833</v>
      </c>
      <c r="H349" s="39">
        <v>0.25018369334403112</v>
      </c>
      <c r="I349" s="39">
        <v>0.18928287267164001</v>
      </c>
      <c r="J349" s="39">
        <v>0.19940286971119336</v>
      </c>
    </row>
    <row r="350" spans="1:10" ht="11.25" customHeight="1" x14ac:dyDescent="0.2">
      <c r="A350" s="74">
        <v>44348</v>
      </c>
      <c r="B350" s="65">
        <v>0</v>
      </c>
      <c r="C350" s="65">
        <v>0</v>
      </c>
      <c r="D350" s="65">
        <v>6374.3299740000002</v>
      </c>
      <c r="E350" s="65">
        <v>7969.0833894888829</v>
      </c>
      <c r="F350" s="65">
        <v>31985.5554228</v>
      </c>
      <c r="G350" s="65">
        <v>38039.87323722554</v>
      </c>
      <c r="H350" s="39">
        <v>0.25018369334403134</v>
      </c>
      <c r="I350" s="39">
        <v>0.18928287267164001</v>
      </c>
      <c r="J350" s="39">
        <v>0.19940286971119336</v>
      </c>
    </row>
    <row r="351" spans="1:10" ht="11.25" customHeight="1" x14ac:dyDescent="0.2">
      <c r="A351" s="74">
        <v>44378</v>
      </c>
      <c r="B351" s="65">
        <v>0</v>
      </c>
      <c r="C351" s="65">
        <v>0</v>
      </c>
      <c r="D351" s="65">
        <v>7284.1923989999996</v>
      </c>
      <c r="E351" s="65">
        <v>9106.5785564103389</v>
      </c>
      <c r="F351" s="65">
        <v>36551.126257799995</v>
      </c>
      <c r="G351" s="65">
        <v>43469.628435260194</v>
      </c>
      <c r="H351" s="39">
        <v>0.25018369334403134</v>
      </c>
      <c r="I351" s="39">
        <v>0.18928287267164023</v>
      </c>
      <c r="J351" s="39">
        <v>0.19940286971119359</v>
      </c>
    </row>
    <row r="352" spans="1:10" ht="11.25" customHeight="1" x14ac:dyDescent="0.2">
      <c r="A352" s="74">
        <v>44409</v>
      </c>
      <c r="B352" s="65">
        <v>0</v>
      </c>
      <c r="C352" s="65">
        <v>0</v>
      </c>
      <c r="D352" s="65">
        <v>7217.3118690000001</v>
      </c>
      <c r="E352" s="65">
        <v>9022.9656084021335</v>
      </c>
      <c r="F352" s="65">
        <v>36215.528491799996</v>
      </c>
      <c r="G352" s="65">
        <v>43070.507760049528</v>
      </c>
      <c r="H352" s="39">
        <v>0.25018369334403134</v>
      </c>
      <c r="I352" s="39">
        <v>0.18928287267164001</v>
      </c>
      <c r="J352" s="39">
        <v>0.19940286971119359</v>
      </c>
    </row>
    <row r="353" spans="1:10" ht="11.25" customHeight="1" x14ac:dyDescent="0.2">
      <c r="A353" s="74">
        <v>44440</v>
      </c>
      <c r="B353" s="65">
        <v>0</v>
      </c>
      <c r="C353" s="65">
        <v>0</v>
      </c>
      <c r="D353" s="65">
        <v>6936.9060149999996</v>
      </c>
      <c r="E353" s="65">
        <v>8672.4067822131256</v>
      </c>
      <c r="F353" s="65">
        <v>34808.488532999996</v>
      </c>
      <c r="G353" s="65">
        <v>41397.139235884075</v>
      </c>
      <c r="H353" s="39">
        <v>0.25018369334403134</v>
      </c>
      <c r="I353" s="39">
        <v>0.18928287267164001</v>
      </c>
      <c r="J353" s="39">
        <v>0.19940286971119336</v>
      </c>
    </row>
    <row r="354" spans="1:10" ht="11.25" customHeight="1" x14ac:dyDescent="0.2">
      <c r="A354" s="74">
        <v>44470</v>
      </c>
      <c r="B354" s="65">
        <v>0</v>
      </c>
      <c r="C354" s="65">
        <v>0</v>
      </c>
      <c r="D354" s="65">
        <v>6180.9508709999991</v>
      </c>
      <c r="E354" s="65">
        <v>7727.3239882847856</v>
      </c>
      <c r="F354" s="65">
        <v>31015.204336199997</v>
      </c>
      <c r="G354" s="65">
        <v>36885.851309453836</v>
      </c>
      <c r="H354" s="39">
        <v>0.25018369334403134</v>
      </c>
      <c r="I354" s="39">
        <v>0.18928287267164001</v>
      </c>
      <c r="J354" s="39">
        <v>0.19940286971119314</v>
      </c>
    </row>
    <row r="355" spans="1:10" ht="11.25" customHeight="1" x14ac:dyDescent="0.2">
      <c r="A355" s="74">
        <v>44501</v>
      </c>
      <c r="B355" s="65">
        <v>0</v>
      </c>
      <c r="C355" s="65">
        <v>0</v>
      </c>
      <c r="D355" s="65">
        <v>6272.4500010000002</v>
      </c>
      <c r="E355" s="65">
        <v>7841.7147085659526</v>
      </c>
      <c r="F355" s="65">
        <v>31474.335022200001</v>
      </c>
      <c r="G355" s="65">
        <v>37431.887570631625</v>
      </c>
      <c r="H355" s="39">
        <v>0.25018369334403134</v>
      </c>
      <c r="I355" s="39">
        <v>0.18928287267164001</v>
      </c>
      <c r="J355" s="39">
        <v>0.19940286971119359</v>
      </c>
    </row>
    <row r="356" spans="1:10" ht="11.25" customHeight="1" x14ac:dyDescent="0.2">
      <c r="A356" s="74">
        <v>44531</v>
      </c>
      <c r="B356" s="65">
        <v>0</v>
      </c>
      <c r="C356" s="65">
        <v>0</v>
      </c>
      <c r="D356" s="65">
        <v>7145.056278</v>
      </c>
      <c r="E356" s="65">
        <v>8932.6328467809963</v>
      </c>
      <c r="F356" s="65">
        <v>35852.959371600002</v>
      </c>
      <c r="G356" s="65">
        <v>42639.310515236044</v>
      </c>
      <c r="H356" s="39">
        <v>0.25018369334403112</v>
      </c>
      <c r="I356" s="39">
        <v>0.18928287267164001</v>
      </c>
      <c r="J356" s="39">
        <v>0.19940286971119336</v>
      </c>
    </row>
    <row r="357" spans="1:10" ht="11.25" customHeight="1" x14ac:dyDescent="0.2">
      <c r="A357" s="74">
        <v>44562</v>
      </c>
      <c r="B357" s="65">
        <v>0</v>
      </c>
      <c r="C357" s="65">
        <v>0</v>
      </c>
      <c r="D357" s="65">
        <v>7145.056278</v>
      </c>
      <c r="E357" s="65">
        <v>8932.6328467809963</v>
      </c>
      <c r="F357" s="65">
        <v>35852.959371600002</v>
      </c>
      <c r="G357" s="65">
        <v>42639.310515236044</v>
      </c>
      <c r="H357" s="39">
        <v>0.25018369334403112</v>
      </c>
      <c r="I357" s="39">
        <v>0.18928287267164001</v>
      </c>
      <c r="J357" s="39">
        <v>0.19940286971119336</v>
      </c>
    </row>
    <row r="358" spans="1:10" ht="11.25" customHeight="1" x14ac:dyDescent="0.2">
      <c r="A358" s="73" t="s">
        <v>25</v>
      </c>
      <c r="B358" s="65">
        <v>150330.36479999998</v>
      </c>
      <c r="C358" s="65">
        <v>164055.25395109001</v>
      </c>
      <c r="D358" s="65">
        <v>0</v>
      </c>
      <c r="E358" s="65">
        <v>0</v>
      </c>
      <c r="F358" s="65">
        <v>0</v>
      </c>
      <c r="G358" s="65">
        <v>0</v>
      </c>
      <c r="H358" s="39">
        <v>9.1298182967557207E-2</v>
      </c>
      <c r="I358" s="39">
        <v>0</v>
      </c>
      <c r="J358" s="39">
        <v>9.1298182967557207E-2</v>
      </c>
    </row>
    <row r="359" spans="1:10" ht="11.25" customHeight="1" x14ac:dyDescent="0.2">
      <c r="A359" s="74">
        <v>44228</v>
      </c>
      <c r="B359" s="65">
        <v>12159.839999999998</v>
      </c>
      <c r="C359" s="65">
        <v>13270.011297176221</v>
      </c>
      <c r="D359" s="65">
        <v>0</v>
      </c>
      <c r="E359" s="65">
        <v>0</v>
      </c>
      <c r="F359" s="65">
        <v>0</v>
      </c>
      <c r="G359" s="65">
        <v>0</v>
      </c>
      <c r="H359" s="39">
        <v>9.1298182967557429E-2</v>
      </c>
      <c r="I359" s="39">
        <v>0</v>
      </c>
      <c r="J359" s="39">
        <v>9.1298182967557429E-2</v>
      </c>
    </row>
    <row r="360" spans="1:10" ht="11.25" customHeight="1" x14ac:dyDescent="0.2">
      <c r="A360" s="74">
        <v>44256</v>
      </c>
      <c r="B360" s="65">
        <v>12159.839999999998</v>
      </c>
      <c r="C360" s="65">
        <v>13270.011297176221</v>
      </c>
      <c r="D360" s="65">
        <v>0</v>
      </c>
      <c r="E360" s="65">
        <v>0</v>
      </c>
      <c r="F360" s="65">
        <v>0</v>
      </c>
      <c r="G360" s="65">
        <v>0</v>
      </c>
      <c r="H360" s="39">
        <v>9.1298182967557429E-2</v>
      </c>
      <c r="I360" s="39">
        <v>0</v>
      </c>
      <c r="J360" s="39">
        <v>9.1298182967557429E-2</v>
      </c>
    </row>
    <row r="361" spans="1:10" ht="11.25" customHeight="1" x14ac:dyDescent="0.2">
      <c r="A361" s="74">
        <v>44287</v>
      </c>
      <c r="B361" s="65">
        <v>12333.551999999998</v>
      </c>
      <c r="C361" s="65">
        <v>13459.582887135881</v>
      </c>
      <c r="D361" s="65">
        <v>0</v>
      </c>
      <c r="E361" s="65">
        <v>0</v>
      </c>
      <c r="F361" s="65">
        <v>0</v>
      </c>
      <c r="G361" s="65">
        <v>0</v>
      </c>
      <c r="H361" s="39">
        <v>9.1298182967557429E-2</v>
      </c>
      <c r="I361" s="39">
        <v>0</v>
      </c>
      <c r="J361" s="39">
        <v>9.1298182967557429E-2</v>
      </c>
    </row>
    <row r="362" spans="1:10" ht="11.25" customHeight="1" x14ac:dyDescent="0.2">
      <c r="A362" s="74">
        <v>44317</v>
      </c>
      <c r="B362" s="65">
        <v>12211.953599999999</v>
      </c>
      <c r="C362" s="65">
        <v>13326.882774164118</v>
      </c>
      <c r="D362" s="65">
        <v>0</v>
      </c>
      <c r="E362" s="65">
        <v>0</v>
      </c>
      <c r="F362" s="65">
        <v>0</v>
      </c>
      <c r="G362" s="65">
        <v>0</v>
      </c>
      <c r="H362" s="39">
        <v>9.1298182967557207E-2</v>
      </c>
      <c r="I362" s="39">
        <v>0</v>
      </c>
      <c r="J362" s="39">
        <v>9.1298182967557207E-2</v>
      </c>
    </row>
    <row r="363" spans="1:10" ht="11.25" customHeight="1" x14ac:dyDescent="0.2">
      <c r="A363" s="74">
        <v>44348</v>
      </c>
      <c r="B363" s="65">
        <v>12316.180799999998</v>
      </c>
      <c r="C363" s="65">
        <v>13440.625728139916</v>
      </c>
      <c r="D363" s="65">
        <v>0</v>
      </c>
      <c r="E363" s="65">
        <v>0</v>
      </c>
      <c r="F363" s="65">
        <v>0</v>
      </c>
      <c r="G363" s="65">
        <v>0</v>
      </c>
      <c r="H363" s="39">
        <v>9.1298182967557429E-2</v>
      </c>
      <c r="I363" s="39">
        <v>0</v>
      </c>
      <c r="J363" s="39">
        <v>9.1298182967557429E-2</v>
      </c>
    </row>
    <row r="364" spans="1:10" ht="11.25" customHeight="1" x14ac:dyDescent="0.2">
      <c r="A364" s="74">
        <v>44378</v>
      </c>
      <c r="B364" s="65">
        <v>12385.665599999998</v>
      </c>
      <c r="C364" s="65">
        <v>13516.45436412378</v>
      </c>
      <c r="D364" s="65">
        <v>0</v>
      </c>
      <c r="E364" s="65">
        <v>0</v>
      </c>
      <c r="F364" s="65">
        <v>0</v>
      </c>
      <c r="G364" s="65">
        <v>0</v>
      </c>
      <c r="H364" s="39">
        <v>9.1298182967557429E-2</v>
      </c>
      <c r="I364" s="39">
        <v>0</v>
      </c>
      <c r="J364" s="39">
        <v>9.1298182967557429E-2</v>
      </c>
    </row>
    <row r="365" spans="1:10" ht="11.25" customHeight="1" x14ac:dyDescent="0.2">
      <c r="A365" s="74">
        <v>44409</v>
      </c>
      <c r="B365" s="65">
        <v>12333.551999999998</v>
      </c>
      <c r="C365" s="65">
        <v>13459.582887135881</v>
      </c>
      <c r="D365" s="65">
        <v>0</v>
      </c>
      <c r="E365" s="65">
        <v>0</v>
      </c>
      <c r="F365" s="65">
        <v>0</v>
      </c>
      <c r="G365" s="65">
        <v>0</v>
      </c>
      <c r="H365" s="39">
        <v>9.1298182967557429E-2</v>
      </c>
      <c r="I365" s="39">
        <v>0</v>
      </c>
      <c r="J365" s="39">
        <v>9.1298182967557429E-2</v>
      </c>
    </row>
    <row r="366" spans="1:10" ht="11.25" customHeight="1" x14ac:dyDescent="0.2">
      <c r="A366" s="74">
        <v>44440</v>
      </c>
      <c r="B366" s="65">
        <v>13393.195199999998</v>
      </c>
      <c r="C366" s="65">
        <v>14615.969585889809</v>
      </c>
      <c r="D366" s="65">
        <v>0</v>
      </c>
      <c r="E366" s="65">
        <v>0</v>
      </c>
      <c r="F366" s="65">
        <v>0</v>
      </c>
      <c r="G366" s="65">
        <v>0</v>
      </c>
      <c r="H366" s="39">
        <v>9.1298182967557207E-2</v>
      </c>
      <c r="I366" s="39">
        <v>0</v>
      </c>
      <c r="J366" s="39">
        <v>9.1298182967557207E-2</v>
      </c>
    </row>
    <row r="367" spans="1:10" ht="11.25" customHeight="1" x14ac:dyDescent="0.2">
      <c r="A367" s="74">
        <v>44470</v>
      </c>
      <c r="B367" s="65">
        <v>12976.286399999999</v>
      </c>
      <c r="C367" s="65">
        <v>14160.997769986623</v>
      </c>
      <c r="D367" s="65">
        <v>0</v>
      </c>
      <c r="E367" s="65">
        <v>0</v>
      </c>
      <c r="F367" s="65">
        <v>0</v>
      </c>
      <c r="G367" s="65">
        <v>0</v>
      </c>
      <c r="H367" s="39">
        <v>9.1298182967557207E-2</v>
      </c>
      <c r="I367" s="39">
        <v>0</v>
      </c>
      <c r="J367" s="39">
        <v>9.1298182967557207E-2</v>
      </c>
    </row>
    <row r="368" spans="1:10" ht="11.25" customHeight="1" x14ac:dyDescent="0.2">
      <c r="A368" s="74">
        <v>44501</v>
      </c>
      <c r="B368" s="65">
        <v>12350.923199999999</v>
      </c>
      <c r="C368" s="65">
        <v>13478.540046131848</v>
      </c>
      <c r="D368" s="65">
        <v>0</v>
      </c>
      <c r="E368" s="65">
        <v>0</v>
      </c>
      <c r="F368" s="65">
        <v>0</v>
      </c>
      <c r="G368" s="65">
        <v>0</v>
      </c>
      <c r="H368" s="39">
        <v>9.1298182967557207E-2</v>
      </c>
      <c r="I368" s="39">
        <v>0</v>
      </c>
      <c r="J368" s="39">
        <v>9.1298182967557207E-2</v>
      </c>
    </row>
    <row r="369" spans="1:10" ht="11.25" customHeight="1" x14ac:dyDescent="0.2">
      <c r="A369" s="74">
        <v>44531</v>
      </c>
      <c r="B369" s="65">
        <v>12854.687999999998</v>
      </c>
      <c r="C369" s="65">
        <v>14028.297657014862</v>
      </c>
      <c r="D369" s="65">
        <v>0</v>
      </c>
      <c r="E369" s="65">
        <v>0</v>
      </c>
      <c r="F369" s="65">
        <v>0</v>
      </c>
      <c r="G369" s="65">
        <v>0</v>
      </c>
      <c r="H369" s="39">
        <v>9.1298182967557429E-2</v>
      </c>
      <c r="I369" s="39">
        <v>0</v>
      </c>
      <c r="J369" s="39">
        <v>9.1298182967557429E-2</v>
      </c>
    </row>
    <row r="370" spans="1:10" ht="11.25" customHeight="1" x14ac:dyDescent="0.2">
      <c r="A370" s="74">
        <v>44562</v>
      </c>
      <c r="B370" s="65">
        <v>12854.687999999998</v>
      </c>
      <c r="C370" s="65">
        <v>14028.297657014862</v>
      </c>
      <c r="D370" s="65">
        <v>0</v>
      </c>
      <c r="E370" s="65">
        <v>0</v>
      </c>
      <c r="F370" s="65">
        <v>0</v>
      </c>
      <c r="G370" s="65">
        <v>0</v>
      </c>
      <c r="H370" s="39">
        <v>9.1298182967557429E-2</v>
      </c>
      <c r="I370" s="39">
        <v>0</v>
      </c>
      <c r="J370" s="39">
        <v>9.1298182967557429E-2</v>
      </c>
    </row>
    <row r="371" spans="1:10" ht="11.25" customHeight="1" x14ac:dyDescent="0.2">
      <c r="A371" s="73" t="s">
        <v>34</v>
      </c>
      <c r="B371" s="65">
        <v>0</v>
      </c>
      <c r="C371" s="65">
        <v>0</v>
      </c>
      <c r="D371" s="65">
        <v>190727.14455339994</v>
      </c>
      <c r="E371" s="65">
        <v>212530.51072442273</v>
      </c>
      <c r="F371" s="65">
        <v>74083.312523999994</v>
      </c>
      <c r="G371" s="65">
        <v>84992.766165740992</v>
      </c>
      <c r="H371" s="39">
        <v>0.11431705865505815</v>
      </c>
      <c r="I371" s="39">
        <v>0.14725925812519214</v>
      </c>
      <c r="J371" s="39">
        <v>0.12353296079694598</v>
      </c>
    </row>
    <row r="372" spans="1:10" ht="11.25" customHeight="1" x14ac:dyDescent="0.2">
      <c r="A372" s="74">
        <v>44228</v>
      </c>
      <c r="B372" s="65">
        <v>0</v>
      </c>
      <c r="C372" s="65">
        <v>0</v>
      </c>
      <c r="D372" s="65">
        <v>14802.621658999999</v>
      </c>
      <c r="E372" s="65">
        <v>16494.813827440532</v>
      </c>
      <c r="F372" s="65">
        <v>5749.7177399999991</v>
      </c>
      <c r="G372" s="65">
        <v>6596.4169088216568</v>
      </c>
      <c r="H372" s="39">
        <v>0.11431705865505792</v>
      </c>
      <c r="I372" s="39">
        <v>0.14725925812519236</v>
      </c>
      <c r="J372" s="39">
        <v>0.12353296079694576</v>
      </c>
    </row>
    <row r="373" spans="1:10" ht="11.25" customHeight="1" x14ac:dyDescent="0.2">
      <c r="A373" s="74">
        <v>44256</v>
      </c>
      <c r="B373" s="65">
        <v>0</v>
      </c>
      <c r="C373" s="65">
        <v>0</v>
      </c>
      <c r="D373" s="65">
        <v>16597.389631199996</v>
      </c>
      <c r="E373" s="65">
        <v>18494.754395190736</v>
      </c>
      <c r="F373" s="65">
        <v>6446.851631999999</v>
      </c>
      <c r="G373" s="65">
        <v>7396.2102205715046</v>
      </c>
      <c r="H373" s="39">
        <v>0.11431705865505792</v>
      </c>
      <c r="I373" s="39">
        <v>0.14725925812519236</v>
      </c>
      <c r="J373" s="39">
        <v>0.12353296079694576</v>
      </c>
    </row>
    <row r="374" spans="1:10" ht="11.25" customHeight="1" x14ac:dyDescent="0.2">
      <c r="A374" s="74">
        <v>44287</v>
      </c>
      <c r="B374" s="65">
        <v>0</v>
      </c>
      <c r="C374" s="65">
        <v>0</v>
      </c>
      <c r="D374" s="65">
        <v>16500.686858599998</v>
      </c>
      <c r="E374" s="65">
        <v>18386.996846063317</v>
      </c>
      <c r="F374" s="65">
        <v>6409.289796</v>
      </c>
      <c r="G374" s="65">
        <v>7353.1170564683252</v>
      </c>
      <c r="H374" s="39">
        <v>0.11431705865505792</v>
      </c>
      <c r="I374" s="39">
        <v>0.14725925812519236</v>
      </c>
      <c r="J374" s="39">
        <v>0.12353296079694576</v>
      </c>
    </row>
    <row r="375" spans="1:10" ht="11.25" customHeight="1" x14ac:dyDescent="0.2">
      <c r="A375" s="74">
        <v>44317</v>
      </c>
      <c r="B375" s="65">
        <v>0</v>
      </c>
      <c r="C375" s="65">
        <v>0</v>
      </c>
      <c r="D375" s="65">
        <v>16524.6407564</v>
      </c>
      <c r="E375" s="65">
        <v>18413.689083003141</v>
      </c>
      <c r="F375" s="65">
        <v>6418.5941039999998</v>
      </c>
      <c r="G375" s="65">
        <v>7363.791509961774</v>
      </c>
      <c r="H375" s="39">
        <v>0.11431705865505792</v>
      </c>
      <c r="I375" s="39">
        <v>0.14725925812519236</v>
      </c>
      <c r="J375" s="39">
        <v>0.12353296079694598</v>
      </c>
    </row>
    <row r="376" spans="1:10" ht="11.25" customHeight="1" x14ac:dyDescent="0.2">
      <c r="A376" s="74">
        <v>44348</v>
      </c>
      <c r="B376" s="65">
        <v>0</v>
      </c>
      <c r="C376" s="65">
        <v>0</v>
      </c>
      <c r="D376" s="65">
        <v>16320.5890344</v>
      </c>
      <c r="E376" s="65">
        <v>18186.310768330601</v>
      </c>
      <c r="F376" s="65">
        <v>6339.3351839999996</v>
      </c>
      <c r="G376" s="65">
        <v>7272.8609802027695</v>
      </c>
      <c r="H376" s="39">
        <v>0.11431705865505792</v>
      </c>
      <c r="I376" s="39">
        <v>0.14725925812519236</v>
      </c>
      <c r="J376" s="39">
        <v>0.12353296079694598</v>
      </c>
    </row>
    <row r="377" spans="1:10" ht="11.25" customHeight="1" x14ac:dyDescent="0.2">
      <c r="A377" s="74">
        <v>44378</v>
      </c>
      <c r="B377" s="65">
        <v>0</v>
      </c>
      <c r="C377" s="65">
        <v>0</v>
      </c>
      <c r="D377" s="65">
        <v>16318.814671599997</v>
      </c>
      <c r="E377" s="65">
        <v>18184.333565594312</v>
      </c>
      <c r="F377" s="65">
        <v>6338.6459759999989</v>
      </c>
      <c r="G377" s="65">
        <v>7272.070279943995</v>
      </c>
      <c r="H377" s="39">
        <v>0.1143170586550577</v>
      </c>
      <c r="I377" s="39">
        <v>0.14725925812519236</v>
      </c>
      <c r="J377" s="39">
        <v>0.12353296079694553</v>
      </c>
    </row>
    <row r="378" spans="1:10" ht="11.25" customHeight="1" x14ac:dyDescent="0.2">
      <c r="A378" s="74">
        <v>44409</v>
      </c>
      <c r="B378" s="65">
        <v>0</v>
      </c>
      <c r="C378" s="65">
        <v>0</v>
      </c>
      <c r="D378" s="65">
        <v>17216.6422484</v>
      </c>
      <c r="E378" s="65">
        <v>19184.798150153489</v>
      </c>
      <c r="F378" s="65">
        <v>6687.3852239999997</v>
      </c>
      <c r="G378" s="65">
        <v>7672.164610883613</v>
      </c>
      <c r="H378" s="39">
        <v>0.1143170586550577</v>
      </c>
      <c r="I378" s="39">
        <v>0.14725925812519236</v>
      </c>
      <c r="J378" s="39">
        <v>0.12353296079694576</v>
      </c>
    </row>
    <row r="379" spans="1:10" ht="11.25" customHeight="1" x14ac:dyDescent="0.2">
      <c r="A379" s="74">
        <v>44440</v>
      </c>
      <c r="B379" s="65">
        <v>0</v>
      </c>
      <c r="C379" s="65">
        <v>0</v>
      </c>
      <c r="D379" s="65">
        <v>16017.172995599998</v>
      </c>
      <c r="E379" s="65">
        <v>17848.209100426211</v>
      </c>
      <c r="F379" s="65">
        <v>6221.4806159999989</v>
      </c>
      <c r="G379" s="65">
        <v>7137.651235952424</v>
      </c>
      <c r="H379" s="39">
        <v>0.1143170586550577</v>
      </c>
      <c r="I379" s="39">
        <v>0.14725925812519236</v>
      </c>
      <c r="J379" s="39">
        <v>0.12353296079694553</v>
      </c>
    </row>
    <row r="380" spans="1:10" ht="11.25" customHeight="1" x14ac:dyDescent="0.2">
      <c r="A380" s="74">
        <v>44470</v>
      </c>
      <c r="B380" s="65">
        <v>0</v>
      </c>
      <c r="C380" s="65">
        <v>0</v>
      </c>
      <c r="D380" s="65">
        <v>12982.125426199998</v>
      </c>
      <c r="E380" s="65">
        <v>14466.203820014221</v>
      </c>
      <c r="F380" s="65">
        <v>5042.5903319999998</v>
      </c>
      <c r="G380" s="65">
        <v>5785.1584433195867</v>
      </c>
      <c r="H380" s="39">
        <v>0.11431705865505792</v>
      </c>
      <c r="I380" s="39">
        <v>0.14725925812519236</v>
      </c>
      <c r="J380" s="39">
        <v>0.12353296079694576</v>
      </c>
    </row>
    <row r="381" spans="1:10" ht="11.25" customHeight="1" x14ac:dyDescent="0.2">
      <c r="A381" s="74">
        <v>44501</v>
      </c>
      <c r="B381" s="65">
        <v>0</v>
      </c>
      <c r="C381" s="65">
        <v>0</v>
      </c>
      <c r="D381" s="65">
        <v>12743.473629599999</v>
      </c>
      <c r="E381" s="65">
        <v>14200.270051984167</v>
      </c>
      <c r="F381" s="65">
        <v>4949.8918560000002</v>
      </c>
      <c r="G381" s="65">
        <v>5678.8092585144914</v>
      </c>
      <c r="H381" s="39">
        <v>0.11431705865505792</v>
      </c>
      <c r="I381" s="39">
        <v>0.14725925812519236</v>
      </c>
      <c r="J381" s="39">
        <v>0.12353296079694576</v>
      </c>
    </row>
    <row r="382" spans="1:10" ht="11.25" customHeight="1" x14ac:dyDescent="0.2">
      <c r="A382" s="74">
        <v>44531</v>
      </c>
      <c r="B382" s="65">
        <v>0</v>
      </c>
      <c r="C382" s="65">
        <v>0</v>
      </c>
      <c r="D382" s="65">
        <v>17351.493821199998</v>
      </c>
      <c r="E382" s="65">
        <v>19335.065558110993</v>
      </c>
      <c r="F382" s="65">
        <v>6739.7650319999993</v>
      </c>
      <c r="G382" s="65">
        <v>7732.257830550433</v>
      </c>
      <c r="H382" s="39">
        <v>0.11431705865505792</v>
      </c>
      <c r="I382" s="39">
        <v>0.14725925812519236</v>
      </c>
      <c r="J382" s="39">
        <v>0.12353296079694576</v>
      </c>
    </row>
    <row r="383" spans="1:10" ht="11.25" customHeight="1" x14ac:dyDescent="0.2">
      <c r="A383" s="74">
        <v>44562</v>
      </c>
      <c r="B383" s="65">
        <v>0</v>
      </c>
      <c r="C383" s="65">
        <v>0</v>
      </c>
      <c r="D383" s="65">
        <v>17351.493821199998</v>
      </c>
      <c r="E383" s="65">
        <v>19335.065558110993</v>
      </c>
      <c r="F383" s="65">
        <v>6739.7650319999993</v>
      </c>
      <c r="G383" s="65">
        <v>7732.257830550433</v>
      </c>
      <c r="H383" s="39">
        <v>0.11431705865505792</v>
      </c>
      <c r="I383" s="39">
        <v>0.14725925812519236</v>
      </c>
      <c r="J383" s="39">
        <v>0.12353296079694576</v>
      </c>
    </row>
    <row r="384" spans="1:10" ht="11.25" customHeight="1" x14ac:dyDescent="0.2">
      <c r="A384" s="67" t="s">
        <v>22</v>
      </c>
      <c r="B384" s="65">
        <v>0</v>
      </c>
      <c r="C384" s="65">
        <v>0</v>
      </c>
      <c r="D384" s="65">
        <v>72147254.575430006</v>
      </c>
      <c r="E384" s="65">
        <v>78843749.74991779</v>
      </c>
      <c r="F384" s="65">
        <v>59729836.60783001</v>
      </c>
      <c r="G384" s="65">
        <v>68516725.517017931</v>
      </c>
      <c r="H384" s="39">
        <v>9.2817047771187822E-2</v>
      </c>
      <c r="I384" s="39">
        <v>0.14711054655783262</v>
      </c>
      <c r="J384" s="39">
        <v>0.11740768578342031</v>
      </c>
    </row>
    <row r="385" spans="1:10" ht="11.25" customHeight="1" x14ac:dyDescent="0.2">
      <c r="A385" s="68" t="s">
        <v>33</v>
      </c>
      <c r="B385" s="65">
        <v>0</v>
      </c>
      <c r="C385" s="65">
        <v>0</v>
      </c>
      <c r="D385" s="65">
        <v>22653.965759999999</v>
      </c>
      <c r="E385" s="65">
        <v>24886.832073920436</v>
      </c>
      <c r="F385" s="65">
        <v>19569.092160000004</v>
      </c>
      <c r="G385" s="65">
        <v>22449.995941229736</v>
      </c>
      <c r="H385" s="39">
        <v>9.8564036759647422E-2</v>
      </c>
      <c r="I385" s="39">
        <v>0.14721703785106688</v>
      </c>
      <c r="J385" s="39">
        <v>0.12111321034206535</v>
      </c>
    </row>
    <row r="386" spans="1:10" ht="11.25" customHeight="1" x14ac:dyDescent="0.2">
      <c r="A386" s="69" t="s">
        <v>24</v>
      </c>
      <c r="B386" s="65">
        <v>0</v>
      </c>
      <c r="C386" s="65">
        <v>0</v>
      </c>
      <c r="D386" s="65">
        <v>22653.965759999999</v>
      </c>
      <c r="E386" s="65">
        <v>24886.832073920436</v>
      </c>
      <c r="F386" s="65">
        <v>19569.092160000004</v>
      </c>
      <c r="G386" s="65">
        <v>22449.995941229736</v>
      </c>
      <c r="H386" s="39">
        <v>9.8564036759647422E-2</v>
      </c>
      <c r="I386" s="39">
        <v>0.14721703785106688</v>
      </c>
      <c r="J386" s="39">
        <v>0.12111321034206535</v>
      </c>
    </row>
    <row r="387" spans="1:10" ht="11.25" customHeight="1" x14ac:dyDescent="0.2">
      <c r="A387" s="70" t="s">
        <v>24</v>
      </c>
      <c r="B387" s="65">
        <v>0</v>
      </c>
      <c r="C387" s="65">
        <v>0</v>
      </c>
      <c r="D387" s="65">
        <v>22653.965759999999</v>
      </c>
      <c r="E387" s="65">
        <v>24886.832073920436</v>
      </c>
      <c r="F387" s="65">
        <v>19569.092160000004</v>
      </c>
      <c r="G387" s="65">
        <v>22449.995941229736</v>
      </c>
      <c r="H387" s="39">
        <v>9.8564036759647422E-2</v>
      </c>
      <c r="I387" s="39">
        <v>0.14721703785106688</v>
      </c>
      <c r="J387" s="39">
        <v>0.12111321034206535</v>
      </c>
    </row>
    <row r="388" spans="1:10" ht="11.25" customHeight="1" x14ac:dyDescent="0.2">
      <c r="A388" s="71" t="s">
        <v>25</v>
      </c>
      <c r="B388" s="65">
        <v>0</v>
      </c>
      <c r="C388" s="65">
        <v>0</v>
      </c>
      <c r="D388" s="65">
        <v>22653.965759999999</v>
      </c>
      <c r="E388" s="65">
        <v>24886.832073920436</v>
      </c>
      <c r="F388" s="65">
        <v>19569.092160000004</v>
      </c>
      <c r="G388" s="65">
        <v>22449.995941229736</v>
      </c>
      <c r="H388" s="39">
        <v>9.8564036759647422E-2</v>
      </c>
      <c r="I388" s="39">
        <v>0.14721703785106688</v>
      </c>
      <c r="J388" s="39">
        <v>0.12111321034206535</v>
      </c>
    </row>
    <row r="389" spans="1:10" ht="11.25" customHeight="1" x14ac:dyDescent="0.2">
      <c r="A389" s="72" t="s">
        <v>25</v>
      </c>
      <c r="B389" s="65">
        <v>0</v>
      </c>
      <c r="C389" s="65">
        <v>0</v>
      </c>
      <c r="D389" s="65">
        <v>22653.965759999999</v>
      </c>
      <c r="E389" s="65">
        <v>24886.832073920436</v>
      </c>
      <c r="F389" s="65">
        <v>19569.092160000004</v>
      </c>
      <c r="G389" s="65">
        <v>22449.995941229736</v>
      </c>
      <c r="H389" s="39">
        <v>9.8564036759647422E-2</v>
      </c>
      <c r="I389" s="39">
        <v>0.14721703785106688</v>
      </c>
      <c r="J389" s="39">
        <v>0.12111321034206535</v>
      </c>
    </row>
    <row r="390" spans="1:10" ht="11.25" customHeight="1" x14ac:dyDescent="0.2">
      <c r="A390" s="73" t="s">
        <v>35</v>
      </c>
      <c r="B390" s="65">
        <v>0</v>
      </c>
      <c r="C390" s="65">
        <v>0</v>
      </c>
      <c r="D390" s="65">
        <v>14972.1674</v>
      </c>
      <c r="E390" s="65">
        <v>16579.697028852785</v>
      </c>
      <c r="F390" s="65">
        <v>16020.292259999998</v>
      </c>
      <c r="G390" s="65">
        <v>18463.401698980739</v>
      </c>
      <c r="H390" s="39">
        <v>0.1073678637104194</v>
      </c>
      <c r="I390" s="39">
        <v>0.15250092815602234</v>
      </c>
      <c r="J390" s="39">
        <v>0.13069756683627864</v>
      </c>
    </row>
    <row r="391" spans="1:10" ht="11.25" customHeight="1" x14ac:dyDescent="0.2">
      <c r="A391" s="74">
        <v>44228</v>
      </c>
      <c r="B391" s="65">
        <v>0</v>
      </c>
      <c r="C391" s="65">
        <v>0</v>
      </c>
      <c r="D391" s="65">
        <v>1357.5703999999998</v>
      </c>
      <c r="E391" s="65">
        <v>1503.3298336844996</v>
      </c>
      <c r="F391" s="65">
        <v>1452.6069599999998</v>
      </c>
      <c r="G391" s="65">
        <v>1674.1308696458977</v>
      </c>
      <c r="H391" s="39">
        <v>0.10736786371041962</v>
      </c>
      <c r="I391" s="39">
        <v>0.15250092815602234</v>
      </c>
      <c r="J391" s="39">
        <v>0.13069756683627887</v>
      </c>
    </row>
    <row r="392" spans="1:10" ht="11.25" customHeight="1" x14ac:dyDescent="0.2">
      <c r="A392" s="74">
        <v>44256</v>
      </c>
      <c r="B392" s="65">
        <v>0</v>
      </c>
      <c r="C392" s="65">
        <v>0</v>
      </c>
      <c r="D392" s="65">
        <v>1479.7763</v>
      </c>
      <c r="E392" s="65">
        <v>1638.6567201003088</v>
      </c>
      <c r="F392" s="65">
        <v>1583.36787</v>
      </c>
      <c r="G392" s="65">
        <v>1824.8329397874238</v>
      </c>
      <c r="H392" s="39">
        <v>0.1073678637104194</v>
      </c>
      <c r="I392" s="39">
        <v>0.15250092815602212</v>
      </c>
      <c r="J392" s="39">
        <v>0.13069756683627864</v>
      </c>
    </row>
    <row r="393" spans="1:10" ht="11.25" customHeight="1" x14ac:dyDescent="0.2">
      <c r="A393" s="74">
        <v>44287</v>
      </c>
      <c r="B393" s="65">
        <v>0</v>
      </c>
      <c r="C393" s="65">
        <v>0</v>
      </c>
      <c r="D393" s="65">
        <v>877.75360000000001</v>
      </c>
      <c r="E393" s="65">
        <v>971.99612889613002</v>
      </c>
      <c r="F393" s="65">
        <v>939.20064000000002</v>
      </c>
      <c r="G393" s="65">
        <v>1082.4296093247301</v>
      </c>
      <c r="H393" s="39">
        <v>0.1073678637104194</v>
      </c>
      <c r="I393" s="39">
        <v>0.15250092815602212</v>
      </c>
      <c r="J393" s="39">
        <v>0.13069756683627887</v>
      </c>
    </row>
    <row r="394" spans="1:10" ht="11.25" customHeight="1" x14ac:dyDescent="0.2">
      <c r="A394" s="74">
        <v>44317</v>
      </c>
      <c r="B394" s="65">
        <v>0</v>
      </c>
      <c r="C394" s="65">
        <v>0</v>
      </c>
      <c r="D394" s="65">
        <v>1434.9469999999999</v>
      </c>
      <c r="E394" s="65">
        <v>1589.0141939276753</v>
      </c>
      <c r="F394" s="65">
        <v>1535.4003</v>
      </c>
      <c r="G394" s="65">
        <v>1769.5502708410349</v>
      </c>
      <c r="H394" s="39">
        <v>0.10736786371041962</v>
      </c>
      <c r="I394" s="39">
        <v>0.15250092815602212</v>
      </c>
      <c r="J394" s="39">
        <v>0.13069756683627887</v>
      </c>
    </row>
    <row r="395" spans="1:10" ht="11.25" customHeight="1" x14ac:dyDescent="0.2">
      <c r="A395" s="74">
        <v>44348</v>
      </c>
      <c r="B395" s="65">
        <v>0</v>
      </c>
      <c r="C395" s="65">
        <v>0</v>
      </c>
      <c r="D395" s="65">
        <v>1248.8746999999998</v>
      </c>
      <c r="E395" s="65">
        <v>1382.9637085809909</v>
      </c>
      <c r="F395" s="65">
        <v>1336.3020300000001</v>
      </c>
      <c r="G395" s="65">
        <v>1540.0893298717767</v>
      </c>
      <c r="H395" s="39">
        <v>0.10736786371041962</v>
      </c>
      <c r="I395" s="39">
        <v>0.15250092815602212</v>
      </c>
      <c r="J395" s="39">
        <v>0.13069756683627864</v>
      </c>
    </row>
    <row r="396" spans="1:10" ht="11.25" customHeight="1" x14ac:dyDescent="0.2">
      <c r="A396" s="74">
        <v>44378</v>
      </c>
      <c r="B396" s="65">
        <v>0</v>
      </c>
      <c r="C396" s="65">
        <v>0</v>
      </c>
      <c r="D396" s="65">
        <v>1233.3175000000001</v>
      </c>
      <c r="E396" s="65">
        <v>1365.7361652516752</v>
      </c>
      <c r="F396" s="65">
        <v>1319.6557500000001</v>
      </c>
      <c r="G396" s="65">
        <v>1520.9044767214316</v>
      </c>
      <c r="H396" s="39">
        <v>0.1073678637104194</v>
      </c>
      <c r="I396" s="39">
        <v>0.15250092815602212</v>
      </c>
      <c r="J396" s="39">
        <v>0.13069756683627864</v>
      </c>
    </row>
    <row r="397" spans="1:10" ht="11.25" customHeight="1" x14ac:dyDescent="0.2">
      <c r="A397" s="74">
        <v>44409</v>
      </c>
      <c r="B397" s="65">
        <v>0</v>
      </c>
      <c r="C397" s="65">
        <v>0</v>
      </c>
      <c r="D397" s="65">
        <v>1093.3027</v>
      </c>
      <c r="E397" s="65">
        <v>1210.6882752878337</v>
      </c>
      <c r="F397" s="65">
        <v>1169.83923</v>
      </c>
      <c r="G397" s="65">
        <v>1348.2407983683263</v>
      </c>
      <c r="H397" s="39">
        <v>0.10736786371041962</v>
      </c>
      <c r="I397" s="39">
        <v>0.15250092815602212</v>
      </c>
      <c r="J397" s="39">
        <v>0.13069756683627887</v>
      </c>
    </row>
    <row r="398" spans="1:10" ht="11.25" customHeight="1" x14ac:dyDescent="0.2">
      <c r="A398" s="74">
        <v>44440</v>
      </c>
      <c r="B398" s="65">
        <v>0</v>
      </c>
      <c r="C398" s="65">
        <v>0</v>
      </c>
      <c r="D398" s="65">
        <v>1019.2012999999999</v>
      </c>
      <c r="E398" s="65">
        <v>1128.6307662718823</v>
      </c>
      <c r="F398" s="65">
        <v>1090.5503699999999</v>
      </c>
      <c r="G398" s="65">
        <v>1256.8603136258935</v>
      </c>
      <c r="H398" s="39">
        <v>0.1073678637104194</v>
      </c>
      <c r="I398" s="39">
        <v>0.15250092815602234</v>
      </c>
      <c r="J398" s="39">
        <v>0.13069756683627887</v>
      </c>
    </row>
    <row r="399" spans="1:10" ht="11.25" customHeight="1" x14ac:dyDescent="0.2">
      <c r="A399" s="74">
        <v>44470</v>
      </c>
      <c r="B399" s="65">
        <v>0</v>
      </c>
      <c r="C399" s="65">
        <v>0</v>
      </c>
      <c r="D399" s="65">
        <v>1235.1597999999999</v>
      </c>
      <c r="E399" s="65">
        <v>1367.7762690669888</v>
      </c>
      <c r="F399" s="65">
        <v>1321.6270199999999</v>
      </c>
      <c r="G399" s="65">
        <v>1523.1763672260777</v>
      </c>
      <c r="H399" s="39">
        <v>0.1073678637104194</v>
      </c>
      <c r="I399" s="39">
        <v>0.15250092815602234</v>
      </c>
      <c r="J399" s="39">
        <v>0.13069756683627887</v>
      </c>
    </row>
    <row r="400" spans="1:10" ht="11.25" customHeight="1" x14ac:dyDescent="0.2">
      <c r="A400" s="74">
        <v>44501</v>
      </c>
      <c r="B400" s="65">
        <v>0</v>
      </c>
      <c r="C400" s="65">
        <v>0</v>
      </c>
      <c r="D400" s="65">
        <v>1264.8413</v>
      </c>
      <c r="E400" s="65">
        <v>1400.6446083137098</v>
      </c>
      <c r="F400" s="65">
        <v>1353.3863700000002</v>
      </c>
      <c r="G400" s="65">
        <v>1559.7790475787097</v>
      </c>
      <c r="H400" s="39">
        <v>0.1073678637104194</v>
      </c>
      <c r="I400" s="39">
        <v>0.15250092815602212</v>
      </c>
      <c r="J400" s="39">
        <v>0.13069756683627864</v>
      </c>
    </row>
    <row r="401" spans="1:10" ht="11.25" customHeight="1" x14ac:dyDescent="0.2">
      <c r="A401" s="74">
        <v>44531</v>
      </c>
      <c r="B401" s="65">
        <v>0</v>
      </c>
      <c r="C401" s="65">
        <v>0</v>
      </c>
      <c r="D401" s="65">
        <v>1363.7113999999999</v>
      </c>
      <c r="E401" s="65">
        <v>1510.1301797355452</v>
      </c>
      <c r="F401" s="65">
        <v>1459.17786</v>
      </c>
      <c r="G401" s="65">
        <v>1681.7038379947182</v>
      </c>
      <c r="H401" s="39">
        <v>0.1073678637104194</v>
      </c>
      <c r="I401" s="39">
        <v>0.15250092815602212</v>
      </c>
      <c r="J401" s="39">
        <v>0.13069756683627887</v>
      </c>
    </row>
    <row r="402" spans="1:10" ht="11.25" customHeight="1" x14ac:dyDescent="0.2">
      <c r="A402" s="74">
        <v>44562</v>
      </c>
      <c r="B402" s="65">
        <v>0</v>
      </c>
      <c r="C402" s="65">
        <v>0</v>
      </c>
      <c r="D402" s="65">
        <v>1363.7113999999999</v>
      </c>
      <c r="E402" s="65">
        <v>1510.1301797355452</v>
      </c>
      <c r="F402" s="65">
        <v>1459.17786</v>
      </c>
      <c r="G402" s="65">
        <v>1681.7038379947182</v>
      </c>
      <c r="H402" s="39">
        <v>0.1073678637104194</v>
      </c>
      <c r="I402" s="39">
        <v>0.15250092815602212</v>
      </c>
      <c r="J402" s="39">
        <v>0.13069756683627887</v>
      </c>
    </row>
    <row r="403" spans="1:10" ht="11.25" customHeight="1" x14ac:dyDescent="0.2">
      <c r="A403" s="73" t="s">
        <v>36</v>
      </c>
      <c r="B403" s="65">
        <v>0</v>
      </c>
      <c r="C403" s="65">
        <v>0</v>
      </c>
      <c r="D403" s="65">
        <v>2272.1768000000002</v>
      </c>
      <c r="E403" s="65">
        <v>2466.3342369661127</v>
      </c>
      <c r="F403" s="65">
        <v>1009.7283</v>
      </c>
      <c r="G403" s="65">
        <v>1163.7128029354024</v>
      </c>
      <c r="H403" s="39">
        <v>8.54499689311643E-2</v>
      </c>
      <c r="I403" s="39">
        <v>0.15250092815602212</v>
      </c>
      <c r="J403" s="39">
        <v>0.10607922206571874</v>
      </c>
    </row>
    <row r="404" spans="1:10" ht="11.25" customHeight="1" x14ac:dyDescent="0.2">
      <c r="A404" s="74">
        <v>44228</v>
      </c>
      <c r="B404" s="65">
        <v>0</v>
      </c>
      <c r="C404" s="65">
        <v>0</v>
      </c>
      <c r="D404" s="65">
        <v>204.54519999999999</v>
      </c>
      <c r="E404" s="65">
        <v>222.02358098501884</v>
      </c>
      <c r="F404" s="65">
        <v>90.897449999999992</v>
      </c>
      <c r="G404" s="65">
        <v>104.75939549201561</v>
      </c>
      <c r="H404" s="39">
        <v>8.5449968931164522E-2</v>
      </c>
      <c r="I404" s="39">
        <v>0.15250092815602212</v>
      </c>
      <c r="J404" s="39">
        <v>0.10607922206571918</v>
      </c>
    </row>
    <row r="405" spans="1:10" ht="11.25" customHeight="1" x14ac:dyDescent="0.2">
      <c r="A405" s="74">
        <v>44256</v>
      </c>
      <c r="B405" s="65">
        <v>0</v>
      </c>
      <c r="C405" s="65">
        <v>0</v>
      </c>
      <c r="D405" s="65">
        <v>232.14648</v>
      </c>
      <c r="E405" s="65">
        <v>251.9833895034792</v>
      </c>
      <c r="F405" s="65">
        <v>103.16313</v>
      </c>
      <c r="G405" s="65">
        <v>118.89560307648037</v>
      </c>
      <c r="H405" s="39">
        <v>8.5449968931164522E-2</v>
      </c>
      <c r="I405" s="39">
        <v>0.15250092815602212</v>
      </c>
      <c r="J405" s="39">
        <v>0.10607922206571874</v>
      </c>
    </row>
    <row r="406" spans="1:10" ht="11.25" customHeight="1" x14ac:dyDescent="0.2">
      <c r="A406" s="74">
        <v>44287</v>
      </c>
      <c r="B406" s="65">
        <v>0</v>
      </c>
      <c r="C406" s="65">
        <v>0</v>
      </c>
      <c r="D406" s="65">
        <v>121.24848000000001</v>
      </c>
      <c r="E406" s="65">
        <v>131.60915884895095</v>
      </c>
      <c r="F406" s="65">
        <v>53.881380000000014</v>
      </c>
      <c r="G406" s="65">
        <v>62.098340460327343</v>
      </c>
      <c r="H406" s="39">
        <v>8.5449968931164744E-2</v>
      </c>
      <c r="I406" s="39">
        <v>0.15250092815602212</v>
      </c>
      <c r="J406" s="39">
        <v>0.10607922206571874</v>
      </c>
    </row>
    <row r="407" spans="1:10" ht="11.25" customHeight="1" x14ac:dyDescent="0.2">
      <c r="A407" s="74">
        <v>44317</v>
      </c>
      <c r="B407" s="65">
        <v>0</v>
      </c>
      <c r="C407" s="65">
        <v>0</v>
      </c>
      <c r="D407" s="65">
        <v>209.96688</v>
      </c>
      <c r="E407" s="65">
        <v>227.90854337257358</v>
      </c>
      <c r="F407" s="65">
        <v>93.306780000000003</v>
      </c>
      <c r="G407" s="65">
        <v>107.53615055324977</v>
      </c>
      <c r="H407" s="39">
        <v>8.5449968931164522E-2</v>
      </c>
      <c r="I407" s="39">
        <v>0.15250092815602212</v>
      </c>
      <c r="J407" s="39">
        <v>0.10607922206571896</v>
      </c>
    </row>
    <row r="408" spans="1:10" ht="11.25" customHeight="1" x14ac:dyDescent="0.2">
      <c r="A408" s="74">
        <v>44348</v>
      </c>
      <c r="B408" s="65">
        <v>0</v>
      </c>
      <c r="C408" s="65">
        <v>0</v>
      </c>
      <c r="D408" s="65">
        <v>198.13776000000001</v>
      </c>
      <c r="E408" s="65">
        <v>215.06862543609057</v>
      </c>
      <c r="F408" s="65">
        <v>88.050060000000002</v>
      </c>
      <c r="G408" s="65">
        <v>101.47777587419345</v>
      </c>
      <c r="H408" s="39">
        <v>8.5449968931164744E-2</v>
      </c>
      <c r="I408" s="39">
        <v>0.15250092815602234</v>
      </c>
      <c r="J408" s="39">
        <v>0.10607922206571896</v>
      </c>
    </row>
    <row r="409" spans="1:10" ht="11.25" customHeight="1" x14ac:dyDescent="0.2">
      <c r="A409" s="74">
        <v>44378</v>
      </c>
      <c r="B409" s="65">
        <v>0</v>
      </c>
      <c r="C409" s="65">
        <v>0</v>
      </c>
      <c r="D409" s="65">
        <v>199.12352000000001</v>
      </c>
      <c r="E409" s="65">
        <v>216.13861859746416</v>
      </c>
      <c r="F409" s="65">
        <v>88.488120000000009</v>
      </c>
      <c r="G409" s="65">
        <v>101.98264043078147</v>
      </c>
      <c r="H409" s="39">
        <v>8.5449968931164744E-2</v>
      </c>
      <c r="I409" s="39">
        <v>0.15250092815602212</v>
      </c>
      <c r="J409" s="39">
        <v>0.10607922206571896</v>
      </c>
    </row>
    <row r="410" spans="1:10" ht="11.25" customHeight="1" x14ac:dyDescent="0.2">
      <c r="A410" s="74">
        <v>44409</v>
      </c>
      <c r="B410" s="65">
        <v>0</v>
      </c>
      <c r="C410" s="65">
        <v>0</v>
      </c>
      <c r="D410" s="65">
        <v>169.55071999999998</v>
      </c>
      <c r="E410" s="65">
        <v>184.03882375625656</v>
      </c>
      <c r="F410" s="65">
        <v>75.346319999999992</v>
      </c>
      <c r="G410" s="65">
        <v>86.836703733140652</v>
      </c>
      <c r="H410" s="39">
        <v>8.5449968931164522E-2</v>
      </c>
      <c r="I410" s="39">
        <v>0.15250092815602234</v>
      </c>
      <c r="J410" s="39">
        <v>0.10607922206571874</v>
      </c>
    </row>
    <row r="411" spans="1:10" ht="11.25" customHeight="1" x14ac:dyDescent="0.2">
      <c r="A411" s="74">
        <v>44440</v>
      </c>
      <c r="B411" s="65">
        <v>0</v>
      </c>
      <c r="C411" s="65">
        <v>0</v>
      </c>
      <c r="D411" s="65">
        <v>151.80704</v>
      </c>
      <c r="E411" s="65">
        <v>164.77894685153206</v>
      </c>
      <c r="F411" s="65">
        <v>67.461240000000004</v>
      </c>
      <c r="G411" s="65">
        <v>77.749141714556174</v>
      </c>
      <c r="H411" s="39">
        <v>8.5449968931164522E-2</v>
      </c>
      <c r="I411" s="39">
        <v>0.15250092815602212</v>
      </c>
      <c r="J411" s="39">
        <v>0.10607922206571896</v>
      </c>
    </row>
    <row r="412" spans="1:10" ht="11.25" customHeight="1" x14ac:dyDescent="0.2">
      <c r="A412" s="74">
        <v>44470</v>
      </c>
      <c r="B412" s="65">
        <v>0</v>
      </c>
      <c r="C412" s="65">
        <v>0</v>
      </c>
      <c r="D412" s="65">
        <v>189.26591999999999</v>
      </c>
      <c r="E412" s="65">
        <v>205.4386869837283</v>
      </c>
      <c r="F412" s="65">
        <v>84.107520000000008</v>
      </c>
      <c r="G412" s="65">
        <v>96.933994864901209</v>
      </c>
      <c r="H412" s="39">
        <v>8.5449968931164744E-2</v>
      </c>
      <c r="I412" s="39">
        <v>0.15250092815602212</v>
      </c>
      <c r="J412" s="39">
        <v>0.10607922206571896</v>
      </c>
    </row>
    <row r="413" spans="1:10" ht="11.25" customHeight="1" x14ac:dyDescent="0.2">
      <c r="A413" s="74">
        <v>44501</v>
      </c>
      <c r="B413" s="65">
        <v>0</v>
      </c>
      <c r="C413" s="65">
        <v>0</v>
      </c>
      <c r="D413" s="65">
        <v>187.2944</v>
      </c>
      <c r="E413" s="65">
        <v>203.29870066098113</v>
      </c>
      <c r="F413" s="65">
        <v>83.231400000000008</v>
      </c>
      <c r="G413" s="65">
        <v>95.924265751725144</v>
      </c>
      <c r="H413" s="39">
        <v>8.5449968931164744E-2</v>
      </c>
      <c r="I413" s="39">
        <v>0.15250092815602212</v>
      </c>
      <c r="J413" s="39">
        <v>0.10607922206571896</v>
      </c>
    </row>
    <row r="414" spans="1:10" ht="11.25" customHeight="1" x14ac:dyDescent="0.2">
      <c r="A414" s="74">
        <v>44531</v>
      </c>
      <c r="B414" s="65">
        <v>0</v>
      </c>
      <c r="C414" s="65">
        <v>0</v>
      </c>
      <c r="D414" s="65">
        <v>204.54519999999999</v>
      </c>
      <c r="E414" s="65">
        <v>222.02358098501884</v>
      </c>
      <c r="F414" s="65">
        <v>90.897449999999992</v>
      </c>
      <c r="G414" s="65">
        <v>104.75939549201561</v>
      </c>
      <c r="H414" s="39">
        <v>8.5449968931164522E-2</v>
      </c>
      <c r="I414" s="39">
        <v>0.15250092815602212</v>
      </c>
      <c r="J414" s="39">
        <v>0.10607922206571918</v>
      </c>
    </row>
    <row r="415" spans="1:10" ht="11.25" customHeight="1" x14ac:dyDescent="0.2">
      <c r="A415" s="74">
        <v>44562</v>
      </c>
      <c r="B415" s="65">
        <v>0</v>
      </c>
      <c r="C415" s="65">
        <v>0</v>
      </c>
      <c r="D415" s="65">
        <v>204.54519999999999</v>
      </c>
      <c r="E415" s="65">
        <v>222.02358098501884</v>
      </c>
      <c r="F415" s="65">
        <v>90.897449999999992</v>
      </c>
      <c r="G415" s="65">
        <v>104.75939549201561</v>
      </c>
      <c r="H415" s="39">
        <v>8.5449968931164522E-2</v>
      </c>
      <c r="I415" s="39">
        <v>0.15250092815602212</v>
      </c>
      <c r="J415" s="39">
        <v>0.10607922206571918</v>
      </c>
    </row>
    <row r="416" spans="1:10" ht="11.25" customHeight="1" x14ac:dyDescent="0.2">
      <c r="A416" s="73" t="s">
        <v>34</v>
      </c>
      <c r="B416" s="65">
        <v>0</v>
      </c>
      <c r="C416" s="65">
        <v>0</v>
      </c>
      <c r="D416" s="65">
        <v>5409.6215599999987</v>
      </c>
      <c r="E416" s="65">
        <v>5840.8008081015369</v>
      </c>
      <c r="F416" s="65">
        <v>2539.0715999999998</v>
      </c>
      <c r="G416" s="65">
        <v>2822.8814393135876</v>
      </c>
      <c r="H416" s="39">
        <v>7.9705991134348064E-2</v>
      </c>
      <c r="I416" s="39">
        <v>0.11177701302853693</v>
      </c>
      <c r="J416" s="39">
        <v>8.9950520547597224E-2</v>
      </c>
    </row>
    <row r="417" spans="1:10" ht="11.25" customHeight="1" x14ac:dyDescent="0.2">
      <c r="A417" s="74">
        <v>44228</v>
      </c>
      <c r="B417" s="65">
        <v>0</v>
      </c>
      <c r="C417" s="65">
        <v>0</v>
      </c>
      <c r="D417" s="65">
        <v>495.97309999999999</v>
      </c>
      <c r="E417" s="65">
        <v>535.50512751147494</v>
      </c>
      <c r="F417" s="65">
        <v>232.79100000000003</v>
      </c>
      <c r="G417" s="65">
        <v>258.81168263992612</v>
      </c>
      <c r="H417" s="39">
        <v>7.970599113434762E-2</v>
      </c>
      <c r="I417" s="39">
        <v>0.11177701302853671</v>
      </c>
      <c r="J417" s="39">
        <v>8.9950520547597224E-2</v>
      </c>
    </row>
    <row r="418" spans="1:10" ht="11.25" customHeight="1" x14ac:dyDescent="0.2">
      <c r="A418" s="74">
        <v>44256</v>
      </c>
      <c r="B418" s="65">
        <v>0</v>
      </c>
      <c r="C418" s="65">
        <v>0</v>
      </c>
      <c r="D418" s="65">
        <v>561.58213999999998</v>
      </c>
      <c r="E418" s="65">
        <v>606.34360107204805</v>
      </c>
      <c r="F418" s="65">
        <v>263.58539999999999</v>
      </c>
      <c r="G418" s="65">
        <v>293.04818868993209</v>
      </c>
      <c r="H418" s="39">
        <v>7.9705991134347842E-2</v>
      </c>
      <c r="I418" s="39">
        <v>0.11177701302853693</v>
      </c>
      <c r="J418" s="39">
        <v>8.9950520547597224E-2</v>
      </c>
    </row>
    <row r="419" spans="1:10" ht="11.25" customHeight="1" x14ac:dyDescent="0.2">
      <c r="A419" s="74">
        <v>44287</v>
      </c>
      <c r="B419" s="65">
        <v>0</v>
      </c>
      <c r="C419" s="65">
        <v>0</v>
      </c>
      <c r="D419" s="65">
        <v>271.80887999999993</v>
      </c>
      <c r="E419" s="65">
        <v>293.47367617951693</v>
      </c>
      <c r="F419" s="65">
        <v>127.57679999999996</v>
      </c>
      <c r="G419" s="65">
        <v>141.83695363573904</v>
      </c>
      <c r="H419" s="39">
        <v>7.9705991134347842E-2</v>
      </c>
      <c r="I419" s="39">
        <v>0.11177701302853715</v>
      </c>
      <c r="J419" s="39">
        <v>8.9950520547597446E-2</v>
      </c>
    </row>
    <row r="420" spans="1:10" ht="11.25" customHeight="1" x14ac:dyDescent="0.2">
      <c r="A420" s="74">
        <v>44317</v>
      </c>
      <c r="B420" s="65">
        <v>0</v>
      </c>
      <c r="C420" s="65">
        <v>0</v>
      </c>
      <c r="D420" s="65">
        <v>539.71245999999996</v>
      </c>
      <c r="E420" s="65">
        <v>582.73077655185693</v>
      </c>
      <c r="F420" s="65">
        <v>253.32059999999998</v>
      </c>
      <c r="G420" s="65">
        <v>281.63602000659677</v>
      </c>
      <c r="H420" s="39">
        <v>7.970599113434762E-2</v>
      </c>
      <c r="I420" s="39">
        <v>0.11177701302853693</v>
      </c>
      <c r="J420" s="39">
        <v>8.9950520547597002E-2</v>
      </c>
    </row>
    <row r="421" spans="1:10" ht="11.25" customHeight="1" x14ac:dyDescent="0.2">
      <c r="A421" s="74">
        <v>44348</v>
      </c>
      <c r="B421" s="65">
        <v>0</v>
      </c>
      <c r="C421" s="65">
        <v>0</v>
      </c>
      <c r="D421" s="65">
        <v>510.81324000000001</v>
      </c>
      <c r="E421" s="65">
        <v>551.52811557874747</v>
      </c>
      <c r="F421" s="65">
        <v>239.75640000000001</v>
      </c>
      <c r="G421" s="65">
        <v>266.55565424647511</v>
      </c>
      <c r="H421" s="39">
        <v>7.9705991134347842E-2</v>
      </c>
      <c r="I421" s="39">
        <v>0.11177701302853693</v>
      </c>
      <c r="J421" s="39">
        <v>8.9950520547597002E-2</v>
      </c>
    </row>
    <row r="422" spans="1:10" ht="11.25" customHeight="1" x14ac:dyDescent="0.2">
      <c r="A422" s="74">
        <v>44378</v>
      </c>
      <c r="B422" s="65">
        <v>0</v>
      </c>
      <c r="C422" s="65">
        <v>0</v>
      </c>
      <c r="D422" s="65">
        <v>510.81324000000001</v>
      </c>
      <c r="E422" s="65">
        <v>551.52811557874747</v>
      </c>
      <c r="F422" s="65">
        <v>239.75640000000001</v>
      </c>
      <c r="G422" s="65">
        <v>266.55565424647511</v>
      </c>
      <c r="H422" s="39">
        <v>7.9705991134347842E-2</v>
      </c>
      <c r="I422" s="39">
        <v>0.11177701302853693</v>
      </c>
      <c r="J422" s="39">
        <v>8.9950520547597002E-2</v>
      </c>
    </row>
    <row r="423" spans="1:10" ht="11.25" customHeight="1" x14ac:dyDescent="0.2">
      <c r="A423" s="74">
        <v>44409</v>
      </c>
      <c r="B423" s="65">
        <v>0</v>
      </c>
      <c r="C423" s="65">
        <v>0</v>
      </c>
      <c r="D423" s="65">
        <v>435.83148</v>
      </c>
      <c r="E423" s="65">
        <v>470.5698600809497</v>
      </c>
      <c r="F423" s="65">
        <v>204.56280000000004</v>
      </c>
      <c r="G423" s="65">
        <v>227.42821876075399</v>
      </c>
      <c r="H423" s="39">
        <v>7.9705991134347842E-2</v>
      </c>
      <c r="I423" s="39">
        <v>0.11177701302853671</v>
      </c>
      <c r="J423" s="39">
        <v>8.9950520547597224E-2</v>
      </c>
    </row>
    <row r="424" spans="1:10" ht="11.25" customHeight="1" x14ac:dyDescent="0.2">
      <c r="A424" s="74">
        <v>44440</v>
      </c>
      <c r="B424" s="65">
        <v>0</v>
      </c>
      <c r="C424" s="65">
        <v>0</v>
      </c>
      <c r="D424" s="65">
        <v>376.47091999999998</v>
      </c>
      <c r="E424" s="65">
        <v>406.47790781185972</v>
      </c>
      <c r="F424" s="65">
        <v>176.7012</v>
      </c>
      <c r="G424" s="65">
        <v>196.45233233455809</v>
      </c>
      <c r="H424" s="39">
        <v>7.9705991134347842E-2</v>
      </c>
      <c r="I424" s="39">
        <v>0.11177701302853693</v>
      </c>
      <c r="J424" s="39">
        <v>8.9950520547597224E-2</v>
      </c>
    </row>
    <row r="425" spans="1:10" ht="11.25" customHeight="1" x14ac:dyDescent="0.2">
      <c r="A425" s="74">
        <v>44470</v>
      </c>
      <c r="B425" s="65">
        <v>0</v>
      </c>
      <c r="C425" s="65">
        <v>0</v>
      </c>
      <c r="D425" s="65">
        <v>416.30498</v>
      </c>
      <c r="E425" s="65">
        <v>449.48698104506485</v>
      </c>
      <c r="F425" s="65">
        <v>195.39780000000002</v>
      </c>
      <c r="G425" s="65">
        <v>217.23878243634746</v>
      </c>
      <c r="H425" s="39">
        <v>7.9705991134347842E-2</v>
      </c>
      <c r="I425" s="39">
        <v>0.11177701302853693</v>
      </c>
      <c r="J425" s="39">
        <v>8.9950520547597002E-2</v>
      </c>
    </row>
    <row r="426" spans="1:10" ht="11.25" customHeight="1" x14ac:dyDescent="0.2">
      <c r="A426" s="74">
        <v>44501</v>
      </c>
      <c r="B426" s="65">
        <v>0</v>
      </c>
      <c r="C426" s="65">
        <v>0</v>
      </c>
      <c r="D426" s="65">
        <v>403.02695999999997</v>
      </c>
      <c r="E426" s="65">
        <v>435.15062330066314</v>
      </c>
      <c r="F426" s="65">
        <v>189.16560000000001</v>
      </c>
      <c r="G426" s="65">
        <v>210.30996573575101</v>
      </c>
      <c r="H426" s="39">
        <v>7.9705991134347842E-2</v>
      </c>
      <c r="I426" s="39">
        <v>0.11177701302853693</v>
      </c>
      <c r="J426" s="39">
        <v>8.9950520547597224E-2</v>
      </c>
    </row>
    <row r="427" spans="1:10" ht="11.25" customHeight="1" x14ac:dyDescent="0.2">
      <c r="A427" s="74">
        <v>44531</v>
      </c>
      <c r="B427" s="65">
        <v>0</v>
      </c>
      <c r="C427" s="65">
        <v>0</v>
      </c>
      <c r="D427" s="65">
        <v>443.64207999999991</v>
      </c>
      <c r="E427" s="65">
        <v>479.00301169530354</v>
      </c>
      <c r="F427" s="65">
        <v>208.22880000000001</v>
      </c>
      <c r="G427" s="65">
        <v>231.50399329051658</v>
      </c>
      <c r="H427" s="39">
        <v>7.9705991134347842E-2</v>
      </c>
      <c r="I427" s="39">
        <v>0.11177701302853671</v>
      </c>
      <c r="J427" s="39">
        <v>8.9950520547597002E-2</v>
      </c>
    </row>
    <row r="428" spans="1:10" ht="11.25" customHeight="1" x14ac:dyDescent="0.2">
      <c r="A428" s="74">
        <v>44562</v>
      </c>
      <c r="B428" s="65">
        <v>0</v>
      </c>
      <c r="C428" s="65">
        <v>0</v>
      </c>
      <c r="D428" s="65">
        <v>443.64207999999991</v>
      </c>
      <c r="E428" s="65">
        <v>479.00301169530354</v>
      </c>
      <c r="F428" s="65">
        <v>208.22880000000001</v>
      </c>
      <c r="G428" s="65">
        <v>231.50399329051658</v>
      </c>
      <c r="H428" s="39">
        <v>7.9705991134347842E-2</v>
      </c>
      <c r="I428" s="39">
        <v>0.11177701302853671</v>
      </c>
      <c r="J428" s="39">
        <v>8.9950520547597002E-2</v>
      </c>
    </row>
    <row r="429" spans="1:10" ht="11.25" customHeight="1" x14ac:dyDescent="0.2">
      <c r="A429" s="68" t="s">
        <v>23</v>
      </c>
      <c r="B429" s="65">
        <v>0</v>
      </c>
      <c r="C429" s="65">
        <v>0</v>
      </c>
      <c r="D429" s="65">
        <v>72124600.609669998</v>
      </c>
      <c r="E429" s="65">
        <v>78818862.917843863</v>
      </c>
      <c r="F429" s="65">
        <v>59710267.515670009</v>
      </c>
      <c r="G429" s="65">
        <v>68494275.521076709</v>
      </c>
      <c r="H429" s="39">
        <v>9.281524267153185E-2</v>
      </c>
      <c r="I429" s="39">
        <v>0.14711051165700195</v>
      </c>
      <c r="J429" s="39">
        <v>0.11740649900650557</v>
      </c>
    </row>
    <row r="430" spans="1:10" ht="11.25" customHeight="1" x14ac:dyDescent="0.2">
      <c r="A430" s="69" t="s">
        <v>24</v>
      </c>
      <c r="B430" s="65">
        <v>0</v>
      </c>
      <c r="C430" s="65">
        <v>0</v>
      </c>
      <c r="D430" s="65">
        <v>72124600.609669998</v>
      </c>
      <c r="E430" s="65">
        <v>78818862.917843863</v>
      </c>
      <c r="F430" s="65">
        <v>59710267.515670009</v>
      </c>
      <c r="G430" s="65">
        <v>68494275.521076709</v>
      </c>
      <c r="H430" s="39">
        <v>9.281524267153185E-2</v>
      </c>
      <c r="I430" s="39">
        <v>0.14711051165700195</v>
      </c>
      <c r="J430" s="39">
        <v>0.11740649900650557</v>
      </c>
    </row>
    <row r="431" spans="1:10" ht="11.25" customHeight="1" x14ac:dyDescent="0.2">
      <c r="A431" s="70" t="s">
        <v>24</v>
      </c>
      <c r="B431" s="65">
        <v>0</v>
      </c>
      <c r="C431" s="65">
        <v>0</v>
      </c>
      <c r="D431" s="65">
        <v>61873345.773000002</v>
      </c>
      <c r="E431" s="65">
        <v>67858786.21150665</v>
      </c>
      <c r="F431" s="65">
        <v>50089802.546520002</v>
      </c>
      <c r="G431" s="65">
        <v>57458532.139967099</v>
      </c>
      <c r="H431" s="39">
        <v>9.6736977186686612E-2</v>
      </c>
      <c r="I431" s="39">
        <v>0.14711037414458805</v>
      </c>
      <c r="J431" s="39">
        <v>0.11927290570504234</v>
      </c>
    </row>
    <row r="432" spans="1:10" ht="11.25" customHeight="1" x14ac:dyDescent="0.2">
      <c r="A432" s="71" t="s">
        <v>25</v>
      </c>
      <c r="B432" s="65">
        <v>0</v>
      </c>
      <c r="C432" s="65">
        <v>0</v>
      </c>
      <c r="D432" s="65">
        <v>61873345.773000002</v>
      </c>
      <c r="E432" s="65">
        <v>67858786.21150665</v>
      </c>
      <c r="F432" s="65">
        <v>50089802.546520002</v>
      </c>
      <c r="G432" s="65">
        <v>57458532.139967099</v>
      </c>
      <c r="H432" s="39">
        <v>9.6736977186686612E-2</v>
      </c>
      <c r="I432" s="39">
        <v>0.14711037414458805</v>
      </c>
      <c r="J432" s="39">
        <v>0.11927290570504234</v>
      </c>
    </row>
    <row r="433" spans="1:10" ht="11.25" customHeight="1" x14ac:dyDescent="0.2">
      <c r="A433" s="72" t="s">
        <v>25</v>
      </c>
      <c r="B433" s="65">
        <v>0</v>
      </c>
      <c r="C433" s="65">
        <v>0</v>
      </c>
      <c r="D433" s="65">
        <v>61873345.773000002</v>
      </c>
      <c r="E433" s="65">
        <v>67858786.21150665</v>
      </c>
      <c r="F433" s="65">
        <v>50089802.546520002</v>
      </c>
      <c r="G433" s="65">
        <v>57458532.139967099</v>
      </c>
      <c r="H433" s="39">
        <v>9.6736977186686612E-2</v>
      </c>
      <c r="I433" s="39">
        <v>0.14711037414458805</v>
      </c>
      <c r="J433" s="39">
        <v>0.11927290570504234</v>
      </c>
    </row>
    <row r="434" spans="1:10" ht="11.25" customHeight="1" x14ac:dyDescent="0.2">
      <c r="A434" s="73" t="s">
        <v>25</v>
      </c>
      <c r="B434" s="65">
        <v>0</v>
      </c>
      <c r="C434" s="65">
        <v>0</v>
      </c>
      <c r="D434" s="65">
        <v>61873345.773000002</v>
      </c>
      <c r="E434" s="65">
        <v>67858786.21150665</v>
      </c>
      <c r="F434" s="65">
        <v>50089802.546520002</v>
      </c>
      <c r="G434" s="65">
        <v>57458532.139967099</v>
      </c>
      <c r="H434" s="39">
        <v>9.6736977186686612E-2</v>
      </c>
      <c r="I434" s="39">
        <v>0.14711037414458805</v>
      </c>
      <c r="J434" s="39">
        <v>0.11927290570504234</v>
      </c>
    </row>
    <row r="435" spans="1:10" ht="11.25" customHeight="1" x14ac:dyDescent="0.2">
      <c r="A435" s="74">
        <v>44228</v>
      </c>
      <c r="B435" s="65">
        <v>0</v>
      </c>
      <c r="C435" s="65">
        <v>0</v>
      </c>
      <c r="D435" s="65">
        <v>5096049.4979999997</v>
      </c>
      <c r="E435" s="65">
        <v>5589025.9220302496</v>
      </c>
      <c r="F435" s="65">
        <v>4125526.2655199999</v>
      </c>
      <c r="G435" s="65">
        <v>4732433.9779839711</v>
      </c>
      <c r="H435" s="39">
        <v>9.6736977186686168E-2</v>
      </c>
      <c r="I435" s="39">
        <v>0.14711037414458783</v>
      </c>
      <c r="J435" s="39">
        <v>0.11927290570504212</v>
      </c>
    </row>
    <row r="436" spans="1:10" ht="11.25" customHeight="1" x14ac:dyDescent="0.2">
      <c r="A436" s="74">
        <v>44256</v>
      </c>
      <c r="B436" s="65">
        <v>0</v>
      </c>
      <c r="C436" s="65">
        <v>0</v>
      </c>
      <c r="D436" s="65">
        <v>5543251.6770000001</v>
      </c>
      <c r="E436" s="65">
        <v>6079489.0880180094</v>
      </c>
      <c r="F436" s="65">
        <v>4487560.4914800003</v>
      </c>
      <c r="G436" s="65">
        <v>5147727.1943780938</v>
      </c>
      <c r="H436" s="39">
        <v>9.6736977186686168E-2</v>
      </c>
      <c r="I436" s="39">
        <v>0.14711037414458783</v>
      </c>
      <c r="J436" s="39">
        <v>0.1192729057050419</v>
      </c>
    </row>
    <row r="437" spans="1:10" ht="11.25" customHeight="1" x14ac:dyDescent="0.2">
      <c r="A437" s="74">
        <v>44287</v>
      </c>
      <c r="B437" s="65">
        <v>0</v>
      </c>
      <c r="C437" s="65">
        <v>0</v>
      </c>
      <c r="D437" s="65">
        <v>5631320.3984999992</v>
      </c>
      <c r="E437" s="65">
        <v>6176077.3114206148</v>
      </c>
      <c r="F437" s="65">
        <v>4558856.8601400005</v>
      </c>
      <c r="G437" s="65">
        <v>5229511.998506817</v>
      </c>
      <c r="H437" s="39">
        <v>9.673697718668639E-2</v>
      </c>
      <c r="I437" s="39">
        <v>0.14711037414458783</v>
      </c>
      <c r="J437" s="39">
        <v>0.11927290570504212</v>
      </c>
    </row>
    <row r="438" spans="1:10" ht="11.25" customHeight="1" x14ac:dyDescent="0.2">
      <c r="A438" s="74">
        <v>44317</v>
      </c>
      <c r="B438" s="65">
        <v>0</v>
      </c>
      <c r="C438" s="65">
        <v>0</v>
      </c>
      <c r="D438" s="65">
        <v>5214033.6727500008</v>
      </c>
      <c r="E438" s="65">
        <v>5718423.5292014303</v>
      </c>
      <c r="F438" s="65">
        <v>4221040.8032100005</v>
      </c>
      <c r="G438" s="65">
        <v>4841999.6950497953</v>
      </c>
      <c r="H438" s="39">
        <v>9.6736977186685946E-2</v>
      </c>
      <c r="I438" s="39">
        <v>0.14711037414458783</v>
      </c>
      <c r="J438" s="39">
        <v>0.1192729057050419</v>
      </c>
    </row>
    <row r="439" spans="1:10" ht="11.25" customHeight="1" x14ac:dyDescent="0.2">
      <c r="A439" s="74">
        <v>44348</v>
      </c>
      <c r="B439" s="65">
        <v>0</v>
      </c>
      <c r="C439" s="65">
        <v>0</v>
      </c>
      <c r="D439" s="65">
        <v>4909384.167750001</v>
      </c>
      <c r="E439" s="65">
        <v>5384303.1519863112</v>
      </c>
      <c r="F439" s="65">
        <v>3974410.6370100006</v>
      </c>
      <c r="G439" s="65">
        <v>4559087.6728247721</v>
      </c>
      <c r="H439" s="39">
        <v>9.6736977186686168E-2</v>
      </c>
      <c r="I439" s="39">
        <v>0.14711037414458805</v>
      </c>
      <c r="J439" s="39">
        <v>0.1192729057050419</v>
      </c>
    </row>
    <row r="440" spans="1:10" ht="11.25" customHeight="1" x14ac:dyDescent="0.2">
      <c r="A440" s="74">
        <v>44378</v>
      </c>
      <c r="B440" s="65">
        <v>0</v>
      </c>
      <c r="C440" s="65">
        <v>0</v>
      </c>
      <c r="D440" s="65">
        <v>5089446.6727499999</v>
      </c>
      <c r="E440" s="65">
        <v>5581784.359424673</v>
      </c>
      <c r="F440" s="65">
        <v>4120180.9232099997</v>
      </c>
      <c r="G440" s="65">
        <v>4726302.2803668166</v>
      </c>
      <c r="H440" s="39">
        <v>9.6736977186686168E-2</v>
      </c>
      <c r="I440" s="39">
        <v>0.14711037414458805</v>
      </c>
      <c r="J440" s="39">
        <v>0.11927290570504212</v>
      </c>
    </row>
    <row r="441" spans="1:10" ht="11.25" customHeight="1" x14ac:dyDescent="0.2">
      <c r="A441" s="74">
        <v>44409</v>
      </c>
      <c r="B441" s="65">
        <v>0</v>
      </c>
      <c r="C441" s="65">
        <v>0</v>
      </c>
      <c r="D441" s="65">
        <v>4726703.3355</v>
      </c>
      <c r="E441" s="65">
        <v>5183950.3282344975</v>
      </c>
      <c r="F441" s="65">
        <v>3826520.6740200007</v>
      </c>
      <c r="G441" s="65">
        <v>4389441.5620470829</v>
      </c>
      <c r="H441" s="39">
        <v>9.6736977186686168E-2</v>
      </c>
      <c r="I441" s="39">
        <v>0.14711037414458761</v>
      </c>
      <c r="J441" s="39">
        <v>0.1192729057050419</v>
      </c>
    </row>
    <row r="442" spans="1:10" ht="11.25" customHeight="1" x14ac:dyDescent="0.2">
      <c r="A442" s="74">
        <v>44440</v>
      </c>
      <c r="B442" s="65">
        <v>0</v>
      </c>
      <c r="C442" s="65">
        <v>0</v>
      </c>
      <c r="D442" s="65">
        <v>4806831.3502500011</v>
      </c>
      <c r="E442" s="65">
        <v>5271829.6849193824</v>
      </c>
      <c r="F442" s="65">
        <v>3891388.6133100004</v>
      </c>
      <c r="G442" s="65">
        <v>4463852.2481560241</v>
      </c>
      <c r="H442" s="39">
        <v>9.6736977186685946E-2</v>
      </c>
      <c r="I442" s="39">
        <v>0.14711037414458805</v>
      </c>
      <c r="J442" s="39">
        <v>0.11927290570504168</v>
      </c>
    </row>
    <row r="443" spans="1:10" ht="11.25" customHeight="1" x14ac:dyDescent="0.2">
      <c r="A443" s="74">
        <v>44470</v>
      </c>
      <c r="B443" s="65">
        <v>0</v>
      </c>
      <c r="C443" s="65">
        <v>0</v>
      </c>
      <c r="D443" s="65">
        <v>5041033.4790000003</v>
      </c>
      <c r="E443" s="65">
        <v>5528687.8196553458</v>
      </c>
      <c r="F443" s="65">
        <v>4080987.8379600006</v>
      </c>
      <c r="G443" s="65">
        <v>4681343.4856818095</v>
      </c>
      <c r="H443" s="39">
        <v>9.673697718668639E-2</v>
      </c>
      <c r="I443" s="39">
        <v>0.14711037414458805</v>
      </c>
      <c r="J443" s="39">
        <v>0.11927290570504212</v>
      </c>
    </row>
    <row r="444" spans="1:10" ht="11.25" customHeight="1" x14ac:dyDescent="0.2">
      <c r="A444" s="74">
        <v>44501</v>
      </c>
      <c r="B444" s="65">
        <v>0</v>
      </c>
      <c r="C444" s="65">
        <v>0</v>
      </c>
      <c r="D444" s="65">
        <v>5098163.4764999999</v>
      </c>
      <c r="E444" s="65">
        <v>5591344.4004201777</v>
      </c>
      <c r="F444" s="65">
        <v>4127237.6448600003</v>
      </c>
      <c r="G444" s="65">
        <v>4734397.1189789837</v>
      </c>
      <c r="H444" s="39">
        <v>9.673697718668639E-2</v>
      </c>
      <c r="I444" s="39">
        <v>0.14711037414458805</v>
      </c>
      <c r="J444" s="39">
        <v>0.11927290570504212</v>
      </c>
    </row>
    <row r="445" spans="1:10" ht="11.25" customHeight="1" x14ac:dyDescent="0.2">
      <c r="A445" s="74">
        <v>44531</v>
      </c>
      <c r="B445" s="65">
        <v>0</v>
      </c>
      <c r="C445" s="65">
        <v>0</v>
      </c>
      <c r="D445" s="65">
        <v>5358564.0225000009</v>
      </c>
      <c r="E445" s="65">
        <v>5876935.3080979809</v>
      </c>
      <c r="F445" s="65">
        <v>4338045.8979000011</v>
      </c>
      <c r="G445" s="65">
        <v>4976217.4529964644</v>
      </c>
      <c r="H445" s="39">
        <v>9.6736977186686168E-2</v>
      </c>
      <c r="I445" s="39">
        <v>0.14711037414458783</v>
      </c>
      <c r="J445" s="39">
        <v>0.11927290570504212</v>
      </c>
    </row>
    <row r="446" spans="1:10" ht="11.25" customHeight="1" x14ac:dyDescent="0.2">
      <c r="A446" s="74">
        <v>44562</v>
      </c>
      <c r="B446" s="65">
        <v>0</v>
      </c>
      <c r="C446" s="65">
        <v>0</v>
      </c>
      <c r="D446" s="65">
        <v>5358564.0225000009</v>
      </c>
      <c r="E446" s="65">
        <v>5876935.3080979809</v>
      </c>
      <c r="F446" s="65">
        <v>4338045.8979000011</v>
      </c>
      <c r="G446" s="65">
        <v>4976217.4529964644</v>
      </c>
      <c r="H446" s="39">
        <v>9.6736977186686168E-2</v>
      </c>
      <c r="I446" s="39">
        <v>0.14711037414458783</v>
      </c>
      <c r="J446" s="39">
        <v>0.11927290570504212</v>
      </c>
    </row>
    <row r="447" spans="1:10" ht="11.25" customHeight="1" x14ac:dyDescent="0.2">
      <c r="A447" s="70" t="s">
        <v>29</v>
      </c>
      <c r="B447" s="65">
        <v>0</v>
      </c>
      <c r="C447" s="65">
        <v>0</v>
      </c>
      <c r="D447" s="65">
        <v>1760078.90087</v>
      </c>
      <c r="E447" s="65">
        <v>1881869.6966509235</v>
      </c>
      <c r="F447" s="65">
        <v>1651744.3817600003</v>
      </c>
      <c r="G447" s="65">
        <v>1894861.8340342548</v>
      </c>
      <c r="H447" s="39">
        <v>6.9196213715602584E-2</v>
      </c>
      <c r="I447" s="39">
        <v>0.14718830283848305</v>
      </c>
      <c r="J447" s="39">
        <v>0.106954029510546</v>
      </c>
    </row>
    <row r="448" spans="1:10" ht="11.25" customHeight="1" x14ac:dyDescent="0.2">
      <c r="A448" s="71" t="s">
        <v>25</v>
      </c>
      <c r="B448" s="65">
        <v>0</v>
      </c>
      <c r="C448" s="65">
        <v>0</v>
      </c>
      <c r="D448" s="65">
        <v>1760078.90087</v>
      </c>
      <c r="E448" s="65">
        <v>1881869.6966509235</v>
      </c>
      <c r="F448" s="65">
        <v>1651744.3817600003</v>
      </c>
      <c r="G448" s="65">
        <v>1894861.8340342548</v>
      </c>
      <c r="H448" s="39">
        <v>6.9196213715602584E-2</v>
      </c>
      <c r="I448" s="39">
        <v>0.14718830283848305</v>
      </c>
      <c r="J448" s="39">
        <v>0.106954029510546</v>
      </c>
    </row>
    <row r="449" spans="1:10" ht="11.25" customHeight="1" x14ac:dyDescent="0.2">
      <c r="A449" s="72" t="s">
        <v>25</v>
      </c>
      <c r="B449" s="65">
        <v>0</v>
      </c>
      <c r="C449" s="65">
        <v>0</v>
      </c>
      <c r="D449" s="65">
        <v>1760078.90087</v>
      </c>
      <c r="E449" s="65">
        <v>1881869.6966509235</v>
      </c>
      <c r="F449" s="65">
        <v>1651744.3817600003</v>
      </c>
      <c r="G449" s="65">
        <v>1894861.8340342548</v>
      </c>
      <c r="H449" s="39">
        <v>6.9196213715602584E-2</v>
      </c>
      <c r="I449" s="39">
        <v>0.14718830283848305</v>
      </c>
      <c r="J449" s="39">
        <v>0.106954029510546</v>
      </c>
    </row>
    <row r="450" spans="1:10" ht="11.25" customHeight="1" x14ac:dyDescent="0.2">
      <c r="A450" s="73" t="s">
        <v>25</v>
      </c>
      <c r="B450" s="65">
        <v>0</v>
      </c>
      <c r="C450" s="65">
        <v>0</v>
      </c>
      <c r="D450" s="65">
        <v>1760078.90087</v>
      </c>
      <c r="E450" s="65">
        <v>1881869.6966509235</v>
      </c>
      <c r="F450" s="65">
        <v>1651744.3817600003</v>
      </c>
      <c r="G450" s="65">
        <v>1894861.8340342548</v>
      </c>
      <c r="H450" s="39">
        <v>6.9196213715602584E-2</v>
      </c>
      <c r="I450" s="39">
        <v>0.14718830283848305</v>
      </c>
      <c r="J450" s="39">
        <v>0.106954029510546</v>
      </c>
    </row>
    <row r="451" spans="1:10" ht="11.25" customHeight="1" x14ac:dyDescent="0.2">
      <c r="A451" s="74">
        <v>44228</v>
      </c>
      <c r="B451" s="65">
        <v>0</v>
      </c>
      <c r="C451" s="65">
        <v>0</v>
      </c>
      <c r="D451" s="65">
        <v>143604.35183999999</v>
      </c>
      <c r="E451" s="65">
        <v>153541.22926041123</v>
      </c>
      <c r="F451" s="65">
        <v>134765.36832000001</v>
      </c>
      <c r="G451" s="65">
        <v>154601.25416442394</v>
      </c>
      <c r="H451" s="39">
        <v>6.9196213715602584E-2</v>
      </c>
      <c r="I451" s="39">
        <v>0.1471883028384835</v>
      </c>
      <c r="J451" s="39">
        <v>0.10695402951054622</v>
      </c>
    </row>
    <row r="452" spans="1:10" ht="11.25" customHeight="1" x14ac:dyDescent="0.2">
      <c r="A452" s="74">
        <v>44256</v>
      </c>
      <c r="B452" s="65">
        <v>0</v>
      </c>
      <c r="C452" s="65">
        <v>0</v>
      </c>
      <c r="D452" s="65">
        <v>144391.99693999998</v>
      </c>
      <c r="E452" s="65">
        <v>154383.37641908287</v>
      </c>
      <c r="F452" s="65">
        <v>135504.53311999998</v>
      </c>
      <c r="G452" s="65">
        <v>155449.21537685388</v>
      </c>
      <c r="H452" s="39">
        <v>6.9196213715602584E-2</v>
      </c>
      <c r="I452" s="39">
        <v>0.14718830283848372</v>
      </c>
      <c r="J452" s="39">
        <v>0.10695402951054644</v>
      </c>
    </row>
    <row r="453" spans="1:10" ht="11.25" customHeight="1" x14ac:dyDescent="0.2">
      <c r="A453" s="74">
        <v>44287</v>
      </c>
      <c r="B453" s="65">
        <v>0</v>
      </c>
      <c r="C453" s="65">
        <v>0</v>
      </c>
      <c r="D453" s="65">
        <v>144310.73059999998</v>
      </c>
      <c r="E453" s="65">
        <v>154296.48675605236</v>
      </c>
      <c r="F453" s="65">
        <v>135428.26879999999</v>
      </c>
      <c r="G453" s="65">
        <v>155361.72584102597</v>
      </c>
      <c r="H453" s="39">
        <v>6.9196213715602806E-2</v>
      </c>
      <c r="I453" s="39">
        <v>0.14718830283848372</v>
      </c>
      <c r="J453" s="39">
        <v>0.10695402951054644</v>
      </c>
    </row>
    <row r="454" spans="1:10" ht="11.25" customHeight="1" x14ac:dyDescent="0.2">
      <c r="A454" s="74">
        <v>44317</v>
      </c>
      <c r="B454" s="65">
        <v>0</v>
      </c>
      <c r="C454" s="65">
        <v>0</v>
      </c>
      <c r="D454" s="65">
        <v>144697.47901000001</v>
      </c>
      <c r="E454" s="65">
        <v>154709.99669168488</v>
      </c>
      <c r="F454" s="65">
        <v>135791.21247999996</v>
      </c>
      <c r="G454" s="65">
        <v>155778.09058531115</v>
      </c>
      <c r="H454" s="39">
        <v>6.9196213715602584E-2</v>
      </c>
      <c r="I454" s="39">
        <v>0.14718830283848416</v>
      </c>
      <c r="J454" s="39">
        <v>0.10695402951054644</v>
      </c>
    </row>
    <row r="455" spans="1:10" ht="11.25" customHeight="1" x14ac:dyDescent="0.2">
      <c r="A455" s="74">
        <v>44348</v>
      </c>
      <c r="B455" s="65">
        <v>0</v>
      </c>
      <c r="C455" s="65">
        <v>0</v>
      </c>
      <c r="D455" s="65">
        <v>145495.82158999998</v>
      </c>
      <c r="E455" s="65">
        <v>155563.58155546882</v>
      </c>
      <c r="F455" s="65">
        <v>136540.41631999999</v>
      </c>
      <c r="G455" s="65">
        <v>156637.56846700079</v>
      </c>
      <c r="H455" s="39">
        <v>6.9196213715602584E-2</v>
      </c>
      <c r="I455" s="39">
        <v>0.14718830283848372</v>
      </c>
      <c r="J455" s="39">
        <v>0.10695402951054644</v>
      </c>
    </row>
    <row r="456" spans="1:10" ht="11.25" customHeight="1" x14ac:dyDescent="0.2">
      <c r="A456" s="74">
        <v>44378</v>
      </c>
      <c r="B456" s="65">
        <v>0</v>
      </c>
      <c r="C456" s="65">
        <v>0</v>
      </c>
      <c r="D456" s="65">
        <v>147171.27125999998</v>
      </c>
      <c r="E456" s="65">
        <v>157354.96599890385</v>
      </c>
      <c r="F456" s="65">
        <v>138112.74048000001</v>
      </c>
      <c r="G456" s="65">
        <v>158441.32035162314</v>
      </c>
      <c r="H456" s="39">
        <v>6.9196213715602584E-2</v>
      </c>
      <c r="I456" s="39">
        <v>0.14718830283848372</v>
      </c>
      <c r="J456" s="39">
        <v>0.10695402951054622</v>
      </c>
    </row>
    <row r="457" spans="1:10" ht="11.25" customHeight="1" x14ac:dyDescent="0.2">
      <c r="A457" s="74">
        <v>44409</v>
      </c>
      <c r="B457" s="65">
        <v>0</v>
      </c>
      <c r="C457" s="65">
        <v>0</v>
      </c>
      <c r="D457" s="65">
        <v>148561.68484999999</v>
      </c>
      <c r="E457" s="65">
        <v>158841.59094483059</v>
      </c>
      <c r="F457" s="65">
        <v>139417.57280000002</v>
      </c>
      <c r="G457" s="65">
        <v>159938.20872629274</v>
      </c>
      <c r="H457" s="39">
        <v>6.9196213715602584E-2</v>
      </c>
      <c r="I457" s="39">
        <v>0.1471883028384835</v>
      </c>
      <c r="J457" s="39">
        <v>0.10695402951054622</v>
      </c>
    </row>
    <row r="458" spans="1:10" ht="11.25" customHeight="1" x14ac:dyDescent="0.2">
      <c r="A458" s="74">
        <v>44440</v>
      </c>
      <c r="B458" s="65">
        <v>0</v>
      </c>
      <c r="C458" s="65">
        <v>0</v>
      </c>
      <c r="D458" s="65">
        <v>146444.36023999998</v>
      </c>
      <c r="E458" s="65">
        <v>156577.75548861173</v>
      </c>
      <c r="F458" s="65">
        <v>137430.57152</v>
      </c>
      <c r="G458" s="65">
        <v>157658.74410015164</v>
      </c>
      <c r="H458" s="39">
        <v>6.9196213715602806E-2</v>
      </c>
      <c r="I458" s="39">
        <v>0.14718830283848372</v>
      </c>
      <c r="J458" s="39">
        <v>0.10695402951054644</v>
      </c>
    </row>
    <row r="459" spans="1:10" ht="11.25" customHeight="1" x14ac:dyDescent="0.2">
      <c r="A459" s="74">
        <v>44470</v>
      </c>
      <c r="B459" s="65">
        <v>0</v>
      </c>
      <c r="C459" s="65">
        <v>0</v>
      </c>
      <c r="D459" s="65">
        <v>148595.24387999999</v>
      </c>
      <c r="E459" s="65">
        <v>158877.47213264258</v>
      </c>
      <c r="F459" s="65">
        <v>139449.06623999999</v>
      </c>
      <c r="G459" s="65">
        <v>159974.33763227687</v>
      </c>
      <c r="H459" s="39">
        <v>6.9196213715602806E-2</v>
      </c>
      <c r="I459" s="39">
        <v>0.14718830283848372</v>
      </c>
      <c r="J459" s="39">
        <v>0.10695402951054644</v>
      </c>
    </row>
    <row r="460" spans="1:10" ht="11.25" customHeight="1" x14ac:dyDescent="0.2">
      <c r="A460" s="74">
        <v>44501</v>
      </c>
      <c r="B460" s="65">
        <v>0</v>
      </c>
      <c r="C460" s="65">
        <v>0</v>
      </c>
      <c r="D460" s="65">
        <v>149108.89545999997</v>
      </c>
      <c r="E460" s="65">
        <v>159426.66645714757</v>
      </c>
      <c r="F460" s="65">
        <v>139931.10207999998</v>
      </c>
      <c r="G460" s="65">
        <v>160527.32350947379</v>
      </c>
      <c r="H460" s="39">
        <v>6.9196213715602584E-2</v>
      </c>
      <c r="I460" s="39">
        <v>0.14718830283848372</v>
      </c>
      <c r="J460" s="39">
        <v>0.10695402951054644</v>
      </c>
    </row>
    <row r="461" spans="1:10" ht="11.25" customHeight="1" x14ac:dyDescent="0.2">
      <c r="A461" s="74">
        <v>44531</v>
      </c>
      <c r="B461" s="65">
        <v>0</v>
      </c>
      <c r="C461" s="65">
        <v>0</v>
      </c>
      <c r="D461" s="65">
        <v>148848.53259999998</v>
      </c>
      <c r="E461" s="65">
        <v>159148.28747304343</v>
      </c>
      <c r="F461" s="65">
        <v>139686.76479999998</v>
      </c>
      <c r="G461" s="65">
        <v>160247.02263991043</v>
      </c>
      <c r="H461" s="39">
        <v>6.9196213715602584E-2</v>
      </c>
      <c r="I461" s="39">
        <v>0.14718830283848372</v>
      </c>
      <c r="J461" s="39">
        <v>0.10695402951054667</v>
      </c>
    </row>
    <row r="462" spans="1:10" ht="11.25" customHeight="1" x14ac:dyDescent="0.2">
      <c r="A462" s="74">
        <v>44562</v>
      </c>
      <c r="B462" s="65">
        <v>0</v>
      </c>
      <c r="C462" s="65">
        <v>0</v>
      </c>
      <c r="D462" s="65">
        <v>148848.53259999998</v>
      </c>
      <c r="E462" s="65">
        <v>159148.28747304343</v>
      </c>
      <c r="F462" s="65">
        <v>139686.76479999998</v>
      </c>
      <c r="G462" s="65">
        <v>160247.02263991043</v>
      </c>
      <c r="H462" s="39">
        <v>6.9196213715602584E-2</v>
      </c>
      <c r="I462" s="39">
        <v>0.14718830283848372</v>
      </c>
      <c r="J462" s="39">
        <v>0.10695402951054667</v>
      </c>
    </row>
    <row r="463" spans="1:10" ht="11.25" customHeight="1" x14ac:dyDescent="0.2">
      <c r="A463" s="70" t="s">
        <v>30</v>
      </c>
      <c r="B463" s="65">
        <v>0</v>
      </c>
      <c r="C463" s="65">
        <v>0</v>
      </c>
      <c r="D463" s="65">
        <v>4837328.9165999992</v>
      </c>
      <c r="E463" s="65">
        <v>5171754.0198039487</v>
      </c>
      <c r="F463" s="65">
        <v>4539697.4552000007</v>
      </c>
      <c r="G463" s="65">
        <v>5207459.0098240692</v>
      </c>
      <c r="H463" s="39">
        <v>6.9134249287105654E-2</v>
      </c>
      <c r="I463" s="39">
        <v>0.14709384517666058</v>
      </c>
      <c r="J463" s="39">
        <v>0.1068768091387633</v>
      </c>
    </row>
    <row r="464" spans="1:10" ht="11.25" customHeight="1" x14ac:dyDescent="0.2">
      <c r="A464" s="71" t="s">
        <v>25</v>
      </c>
      <c r="B464" s="65">
        <v>0</v>
      </c>
      <c r="C464" s="65">
        <v>0</v>
      </c>
      <c r="D464" s="65">
        <v>4837328.9165999992</v>
      </c>
      <c r="E464" s="65">
        <v>5171754.0198039487</v>
      </c>
      <c r="F464" s="65">
        <v>4539697.4552000007</v>
      </c>
      <c r="G464" s="65">
        <v>5207459.0098240692</v>
      </c>
      <c r="H464" s="39">
        <v>6.9134249287105654E-2</v>
      </c>
      <c r="I464" s="39">
        <v>0.14709384517666058</v>
      </c>
      <c r="J464" s="39">
        <v>0.1068768091387633</v>
      </c>
    </row>
    <row r="465" spans="1:10" ht="11.25" customHeight="1" x14ac:dyDescent="0.2">
      <c r="A465" s="72" t="s">
        <v>25</v>
      </c>
      <c r="B465" s="65">
        <v>0</v>
      </c>
      <c r="C465" s="65">
        <v>0</v>
      </c>
      <c r="D465" s="65">
        <v>4837328.9165999992</v>
      </c>
      <c r="E465" s="65">
        <v>5171754.0198039487</v>
      </c>
      <c r="F465" s="65">
        <v>4539697.4552000007</v>
      </c>
      <c r="G465" s="65">
        <v>5207459.0098240692</v>
      </c>
      <c r="H465" s="39">
        <v>6.9134249287105654E-2</v>
      </c>
      <c r="I465" s="39">
        <v>0.14709384517666058</v>
      </c>
      <c r="J465" s="39">
        <v>0.1068768091387633</v>
      </c>
    </row>
    <row r="466" spans="1:10" ht="11.25" customHeight="1" x14ac:dyDescent="0.2">
      <c r="A466" s="73" t="s">
        <v>25</v>
      </c>
      <c r="B466" s="65">
        <v>0</v>
      </c>
      <c r="C466" s="65">
        <v>0</v>
      </c>
      <c r="D466" s="65">
        <v>4837328.9165999992</v>
      </c>
      <c r="E466" s="65">
        <v>5171754.0198039487</v>
      </c>
      <c r="F466" s="65">
        <v>4539697.4552000007</v>
      </c>
      <c r="G466" s="65">
        <v>5207459.0098240692</v>
      </c>
      <c r="H466" s="39">
        <v>6.9134249287105654E-2</v>
      </c>
      <c r="I466" s="39">
        <v>0.14709384517666058</v>
      </c>
      <c r="J466" s="39">
        <v>0.1068768091387633</v>
      </c>
    </row>
    <row r="467" spans="1:10" ht="11.25" customHeight="1" x14ac:dyDescent="0.2">
      <c r="A467" s="74">
        <v>44228</v>
      </c>
      <c r="B467" s="65">
        <v>0</v>
      </c>
      <c r="C467" s="65">
        <v>0</v>
      </c>
      <c r="D467" s="65">
        <v>396426.87090000004</v>
      </c>
      <c r="E467" s="65">
        <v>423833.5450169078</v>
      </c>
      <c r="F467" s="65">
        <v>372035.49479999999</v>
      </c>
      <c r="G467" s="65">
        <v>426759.62627233355</v>
      </c>
      <c r="H467" s="39">
        <v>6.9134249287105431E-2</v>
      </c>
      <c r="I467" s="39">
        <v>0.1470938451766608</v>
      </c>
      <c r="J467" s="39">
        <v>0.1068768091387633</v>
      </c>
    </row>
    <row r="468" spans="1:10" ht="11.25" customHeight="1" x14ac:dyDescent="0.2">
      <c r="A468" s="74">
        <v>44256</v>
      </c>
      <c r="B468" s="65">
        <v>0</v>
      </c>
      <c r="C468" s="65">
        <v>0</v>
      </c>
      <c r="D468" s="65">
        <v>414338.89199999999</v>
      </c>
      <c r="E468" s="65">
        <v>442983.90024887113</v>
      </c>
      <c r="F468" s="65">
        <v>388845.424</v>
      </c>
      <c r="G468" s="65">
        <v>446042.19259550894</v>
      </c>
      <c r="H468" s="39">
        <v>6.9134249287105654E-2</v>
      </c>
      <c r="I468" s="39">
        <v>0.14709384517666058</v>
      </c>
      <c r="J468" s="39">
        <v>0.1068768091387633</v>
      </c>
    </row>
    <row r="469" spans="1:10" ht="11.25" customHeight="1" x14ac:dyDescent="0.2">
      <c r="A469" s="74">
        <v>44287</v>
      </c>
      <c r="B469" s="65">
        <v>0</v>
      </c>
      <c r="C469" s="65">
        <v>0</v>
      </c>
      <c r="D469" s="65">
        <v>417090.2757</v>
      </c>
      <c r="E469" s="65">
        <v>445925.49879547145</v>
      </c>
      <c r="F469" s="65">
        <v>391427.52040000004</v>
      </c>
      <c r="G469" s="65">
        <v>449004.09948360181</v>
      </c>
      <c r="H469" s="39">
        <v>6.9134249287105654E-2</v>
      </c>
      <c r="I469" s="39">
        <v>0.14709384517666058</v>
      </c>
      <c r="J469" s="39">
        <v>0.1068768091387633</v>
      </c>
    </row>
    <row r="470" spans="1:10" ht="11.25" customHeight="1" x14ac:dyDescent="0.2">
      <c r="A470" s="74">
        <v>44317</v>
      </c>
      <c r="B470" s="65">
        <v>0</v>
      </c>
      <c r="C470" s="65">
        <v>0</v>
      </c>
      <c r="D470" s="65">
        <v>398911.29509999999</v>
      </c>
      <c r="E470" s="65">
        <v>426489.72801888554</v>
      </c>
      <c r="F470" s="65">
        <v>374367.05719999998</v>
      </c>
      <c r="G470" s="65">
        <v>429434.1471510189</v>
      </c>
      <c r="H470" s="39">
        <v>6.9134249287105654E-2</v>
      </c>
      <c r="I470" s="39">
        <v>0.1470938451766608</v>
      </c>
      <c r="J470" s="39">
        <v>0.1068768091387633</v>
      </c>
    </row>
    <row r="471" spans="1:10" ht="11.25" customHeight="1" x14ac:dyDescent="0.2">
      <c r="A471" s="74">
        <v>44348</v>
      </c>
      <c r="B471" s="65">
        <v>0</v>
      </c>
      <c r="C471" s="65">
        <v>0</v>
      </c>
      <c r="D471" s="65">
        <v>385180.11120000004</v>
      </c>
      <c r="E471" s="65">
        <v>411809.24902813591</v>
      </c>
      <c r="F471" s="65">
        <v>361480.7264000001</v>
      </c>
      <c r="G471" s="65">
        <v>414652.3164034285</v>
      </c>
      <c r="H471" s="39">
        <v>6.9134249287105654E-2</v>
      </c>
      <c r="I471" s="39">
        <v>0.14709384517666058</v>
      </c>
      <c r="J471" s="39">
        <v>0.10687680913876307</v>
      </c>
    </row>
    <row r="472" spans="1:10" ht="11.25" customHeight="1" x14ac:dyDescent="0.2">
      <c r="A472" s="74">
        <v>44378</v>
      </c>
      <c r="B472" s="65">
        <v>0</v>
      </c>
      <c r="C472" s="65">
        <v>0</v>
      </c>
      <c r="D472" s="65">
        <v>399879.74430000002</v>
      </c>
      <c r="E472" s="65">
        <v>427525.13022730034</v>
      </c>
      <c r="F472" s="65">
        <v>375275.91960000008</v>
      </c>
      <c r="G472" s="65">
        <v>430476.69761617132</v>
      </c>
      <c r="H472" s="39">
        <v>6.9134249287105876E-2</v>
      </c>
      <c r="I472" s="39">
        <v>0.14709384517666035</v>
      </c>
      <c r="J472" s="39">
        <v>0.1068768091387633</v>
      </c>
    </row>
    <row r="473" spans="1:10" ht="11.25" customHeight="1" x14ac:dyDescent="0.2">
      <c r="A473" s="74">
        <v>44409</v>
      </c>
      <c r="B473" s="65">
        <v>0</v>
      </c>
      <c r="C473" s="65">
        <v>0</v>
      </c>
      <c r="D473" s="65">
        <v>384751.20120000007</v>
      </c>
      <c r="E473" s="65">
        <v>411350.68665727414</v>
      </c>
      <c r="F473" s="65">
        <v>361078.20640000002</v>
      </c>
      <c r="G473" s="65">
        <v>414190.58818886796</v>
      </c>
      <c r="H473" s="39">
        <v>6.9134249287105431E-2</v>
      </c>
      <c r="I473" s="39">
        <v>0.14709384517666058</v>
      </c>
      <c r="J473" s="39">
        <v>0.1068768091387633</v>
      </c>
    </row>
    <row r="474" spans="1:10" ht="11.25" customHeight="1" x14ac:dyDescent="0.2">
      <c r="A474" s="74">
        <v>44440</v>
      </c>
      <c r="B474" s="65">
        <v>0</v>
      </c>
      <c r="C474" s="65">
        <v>0</v>
      </c>
      <c r="D474" s="65">
        <v>385062.38280000002</v>
      </c>
      <c r="E474" s="65">
        <v>411683.38156358217</v>
      </c>
      <c r="F474" s="65">
        <v>361370.24160000007</v>
      </c>
      <c r="G474" s="65">
        <v>414525.57996936288</v>
      </c>
      <c r="H474" s="39">
        <v>6.9134249287105654E-2</v>
      </c>
      <c r="I474" s="39">
        <v>0.14709384517666058</v>
      </c>
      <c r="J474" s="39">
        <v>0.1068768091387633</v>
      </c>
    </row>
    <row r="475" spans="1:10" ht="11.25" customHeight="1" x14ac:dyDescent="0.2">
      <c r="A475" s="74">
        <v>44470</v>
      </c>
      <c r="B475" s="65">
        <v>0</v>
      </c>
      <c r="C475" s="65">
        <v>0</v>
      </c>
      <c r="D475" s="65">
        <v>406784.45580000005</v>
      </c>
      <c r="E475" s="65">
        <v>434907.19377339684</v>
      </c>
      <c r="F475" s="65">
        <v>381755.79759999999</v>
      </c>
      <c r="G475" s="65">
        <v>437909.72578746703</v>
      </c>
      <c r="H475" s="39">
        <v>6.9134249287105654E-2</v>
      </c>
      <c r="I475" s="39">
        <v>0.1470938451766608</v>
      </c>
      <c r="J475" s="39">
        <v>0.1068768091387633</v>
      </c>
    </row>
    <row r="476" spans="1:10" ht="11.25" customHeight="1" x14ac:dyDescent="0.2">
      <c r="A476" s="74">
        <v>44501</v>
      </c>
      <c r="B476" s="65">
        <v>0</v>
      </c>
      <c r="C476" s="65">
        <v>0</v>
      </c>
      <c r="D476" s="65">
        <v>409791.26280000008</v>
      </c>
      <c r="E476" s="65">
        <v>438121.87411809311</v>
      </c>
      <c r="F476" s="65">
        <v>384577.60159999999</v>
      </c>
      <c r="G476" s="65">
        <v>441146.59978816187</v>
      </c>
      <c r="H476" s="39">
        <v>6.9134249287105654E-2</v>
      </c>
      <c r="I476" s="39">
        <v>0.14709384517666058</v>
      </c>
      <c r="J476" s="39">
        <v>0.1068768091387633</v>
      </c>
    </row>
    <row r="477" spans="1:10" ht="11.25" customHeight="1" x14ac:dyDescent="0.2">
      <c r="A477" s="74">
        <v>44531</v>
      </c>
      <c r="B477" s="65">
        <v>0</v>
      </c>
      <c r="C477" s="65">
        <v>0</v>
      </c>
      <c r="D477" s="65">
        <v>419556.21240000002</v>
      </c>
      <c r="E477" s="65">
        <v>448561.91617801547</v>
      </c>
      <c r="F477" s="65">
        <v>393741.73280000006</v>
      </c>
      <c r="G477" s="65">
        <v>451658.71828407334</v>
      </c>
      <c r="H477" s="39">
        <v>6.9134249287105654E-2</v>
      </c>
      <c r="I477" s="39">
        <v>0.14709384517666058</v>
      </c>
      <c r="J477" s="39">
        <v>0.1068768091387633</v>
      </c>
    </row>
    <row r="478" spans="1:10" ht="11.25" customHeight="1" x14ac:dyDescent="0.2">
      <c r="A478" s="74">
        <v>44562</v>
      </c>
      <c r="B478" s="65">
        <v>0</v>
      </c>
      <c r="C478" s="65">
        <v>0</v>
      </c>
      <c r="D478" s="65">
        <v>419556.21240000002</v>
      </c>
      <c r="E478" s="65">
        <v>448561.91617801547</v>
      </c>
      <c r="F478" s="65">
        <v>393741.73280000006</v>
      </c>
      <c r="G478" s="65">
        <v>451658.71828407334</v>
      </c>
      <c r="H478" s="39">
        <v>6.9134249287105654E-2</v>
      </c>
      <c r="I478" s="39">
        <v>0.14709384517666058</v>
      </c>
      <c r="J478" s="39">
        <v>0.1068768091387633</v>
      </c>
    </row>
    <row r="479" spans="1:10" ht="11.25" customHeight="1" x14ac:dyDescent="0.2">
      <c r="A479" s="70" t="s">
        <v>31</v>
      </c>
      <c r="B479" s="65">
        <v>0</v>
      </c>
      <c r="C479" s="65">
        <v>0</v>
      </c>
      <c r="D479" s="65">
        <v>2931339.9896999998</v>
      </c>
      <c r="E479" s="65">
        <v>3133995.9792931806</v>
      </c>
      <c r="F479" s="65">
        <v>2750980.3283999995</v>
      </c>
      <c r="G479" s="65">
        <v>3155632.6029097098</v>
      </c>
      <c r="H479" s="39">
        <v>6.9134249287105876E-2</v>
      </c>
      <c r="I479" s="39">
        <v>0.14709384517666169</v>
      </c>
      <c r="J479" s="39">
        <v>0.10687680913876396</v>
      </c>
    </row>
    <row r="480" spans="1:10" ht="11.25" customHeight="1" x14ac:dyDescent="0.2">
      <c r="A480" s="71" t="s">
        <v>25</v>
      </c>
      <c r="B480" s="65">
        <v>0</v>
      </c>
      <c r="C480" s="65">
        <v>0</v>
      </c>
      <c r="D480" s="65">
        <v>2931339.9896999998</v>
      </c>
      <c r="E480" s="65">
        <v>3133995.9792931806</v>
      </c>
      <c r="F480" s="65">
        <v>2750980.3283999995</v>
      </c>
      <c r="G480" s="65">
        <v>3155632.6029097098</v>
      </c>
      <c r="H480" s="39">
        <v>6.9134249287105876E-2</v>
      </c>
      <c r="I480" s="39">
        <v>0.14709384517666169</v>
      </c>
      <c r="J480" s="39">
        <v>0.10687680913876396</v>
      </c>
    </row>
    <row r="481" spans="1:10" ht="11.25" customHeight="1" x14ac:dyDescent="0.2">
      <c r="A481" s="72" t="s">
        <v>25</v>
      </c>
      <c r="B481" s="65">
        <v>0</v>
      </c>
      <c r="C481" s="65">
        <v>0</v>
      </c>
      <c r="D481" s="65">
        <v>2931339.9896999998</v>
      </c>
      <c r="E481" s="65">
        <v>3133995.9792931806</v>
      </c>
      <c r="F481" s="65">
        <v>2750980.3283999995</v>
      </c>
      <c r="G481" s="65">
        <v>3155632.6029097098</v>
      </c>
      <c r="H481" s="39">
        <v>6.9134249287105876E-2</v>
      </c>
      <c r="I481" s="39">
        <v>0.14709384517666169</v>
      </c>
      <c r="J481" s="39">
        <v>0.10687680913876396</v>
      </c>
    </row>
    <row r="482" spans="1:10" ht="11.25" customHeight="1" x14ac:dyDescent="0.2">
      <c r="A482" s="73" t="s">
        <v>25</v>
      </c>
      <c r="B482" s="65">
        <v>0</v>
      </c>
      <c r="C482" s="65">
        <v>0</v>
      </c>
      <c r="D482" s="65">
        <v>2931339.9896999998</v>
      </c>
      <c r="E482" s="65">
        <v>3133995.9792931806</v>
      </c>
      <c r="F482" s="65">
        <v>2750980.3283999995</v>
      </c>
      <c r="G482" s="65">
        <v>3155632.6029097098</v>
      </c>
      <c r="H482" s="39">
        <v>6.9134249287105876E-2</v>
      </c>
      <c r="I482" s="39">
        <v>0.14709384517666169</v>
      </c>
      <c r="J482" s="39">
        <v>0.10687680913876396</v>
      </c>
    </row>
    <row r="483" spans="1:10" ht="11.25" customHeight="1" x14ac:dyDescent="0.2">
      <c r="A483" s="74">
        <v>44228</v>
      </c>
      <c r="B483" s="65">
        <v>0</v>
      </c>
      <c r="C483" s="65">
        <v>0</v>
      </c>
      <c r="D483" s="65">
        <v>242000.1918</v>
      </c>
      <c r="E483" s="65">
        <v>258730.69338742859</v>
      </c>
      <c r="F483" s="65">
        <v>227110.38959999999</v>
      </c>
      <c r="G483" s="65">
        <v>260516.93008583353</v>
      </c>
      <c r="H483" s="39">
        <v>6.9134249287105654E-2</v>
      </c>
      <c r="I483" s="39">
        <v>0.1470938451766608</v>
      </c>
      <c r="J483" s="39">
        <v>0.1068768091387633</v>
      </c>
    </row>
    <row r="484" spans="1:10" ht="11.25" customHeight="1" x14ac:dyDescent="0.2">
      <c r="A484" s="74">
        <v>44256</v>
      </c>
      <c r="B484" s="65">
        <v>0</v>
      </c>
      <c r="C484" s="65">
        <v>0</v>
      </c>
      <c r="D484" s="65">
        <v>280424.61180000001</v>
      </c>
      <c r="E484" s="65">
        <v>299811.55681842106</v>
      </c>
      <c r="F484" s="65">
        <v>263170.62960000004</v>
      </c>
      <c r="G484" s="65">
        <v>301881.40944542683</v>
      </c>
      <c r="H484" s="39">
        <v>6.9134249287105654E-2</v>
      </c>
      <c r="I484" s="39">
        <v>0.14709384517666102</v>
      </c>
      <c r="J484" s="39">
        <v>0.10687680913876352</v>
      </c>
    </row>
    <row r="485" spans="1:10" ht="11.25" customHeight="1" x14ac:dyDescent="0.2">
      <c r="A485" s="74">
        <v>44287</v>
      </c>
      <c r="B485" s="65">
        <v>0</v>
      </c>
      <c r="C485" s="65">
        <v>0</v>
      </c>
      <c r="D485" s="65">
        <v>289367.38529999997</v>
      </c>
      <c r="E485" s="65">
        <v>309372.58225088811</v>
      </c>
      <c r="F485" s="65">
        <v>271563.17159999994</v>
      </c>
      <c r="G485" s="65">
        <v>311508.44271901337</v>
      </c>
      <c r="H485" s="39">
        <v>6.9134249287105654E-2</v>
      </c>
      <c r="I485" s="39">
        <v>0.14709384517666102</v>
      </c>
      <c r="J485" s="39">
        <v>0.1068768091387633</v>
      </c>
    </row>
    <row r="486" spans="1:10" ht="11.25" customHeight="1" x14ac:dyDescent="0.2">
      <c r="A486" s="74">
        <v>44317</v>
      </c>
      <c r="B486" s="65">
        <v>0</v>
      </c>
      <c r="C486" s="65">
        <v>0</v>
      </c>
      <c r="D486" s="65">
        <v>245252.73465</v>
      </c>
      <c r="E486" s="65">
        <v>262208.09834563744</v>
      </c>
      <c r="F486" s="65">
        <v>230162.80979999996</v>
      </c>
      <c r="G486" s="65">
        <v>264018.34251014638</v>
      </c>
      <c r="H486" s="39">
        <v>6.9134249287105431E-2</v>
      </c>
      <c r="I486" s="39">
        <v>0.1470938451766608</v>
      </c>
      <c r="J486" s="39">
        <v>0.10687680913876352</v>
      </c>
    </row>
    <row r="487" spans="1:10" ht="11.25" customHeight="1" x14ac:dyDescent="0.2">
      <c r="A487" s="74">
        <v>44348</v>
      </c>
      <c r="B487" s="65">
        <v>0</v>
      </c>
      <c r="C487" s="65">
        <v>0</v>
      </c>
      <c r="D487" s="65">
        <v>214395.61814999999</v>
      </c>
      <c r="E487" s="65">
        <v>229217.69826124521</v>
      </c>
      <c r="F487" s="65">
        <v>201204.27179999999</v>
      </c>
      <c r="G487" s="65">
        <v>230800.18180503201</v>
      </c>
      <c r="H487" s="39">
        <v>6.9134249287105654E-2</v>
      </c>
      <c r="I487" s="39">
        <v>0.14709384517666102</v>
      </c>
      <c r="J487" s="39">
        <v>0.10687680913876352</v>
      </c>
    </row>
    <row r="488" spans="1:10" ht="11.25" customHeight="1" x14ac:dyDescent="0.2">
      <c r="A488" s="74">
        <v>44378</v>
      </c>
      <c r="B488" s="65">
        <v>0</v>
      </c>
      <c r="C488" s="65">
        <v>0</v>
      </c>
      <c r="D488" s="65">
        <v>237716.93385</v>
      </c>
      <c r="E488" s="65">
        <v>254151.31561455232</v>
      </c>
      <c r="F488" s="65">
        <v>223090.6722</v>
      </c>
      <c r="G488" s="65">
        <v>255905.93699694399</v>
      </c>
      <c r="H488" s="39">
        <v>6.9134249287105654E-2</v>
      </c>
      <c r="I488" s="39">
        <v>0.1470938451766608</v>
      </c>
      <c r="J488" s="39">
        <v>0.1068768091387633</v>
      </c>
    </row>
    <row r="489" spans="1:10" ht="11.25" customHeight="1" x14ac:dyDescent="0.2">
      <c r="A489" s="74">
        <v>44409</v>
      </c>
      <c r="B489" s="65">
        <v>0</v>
      </c>
      <c r="C489" s="65">
        <v>0</v>
      </c>
      <c r="D489" s="65">
        <v>202608.06210000001</v>
      </c>
      <c r="E489" s="65">
        <v>216615.21837279879</v>
      </c>
      <c r="F489" s="65">
        <v>190141.98120000001</v>
      </c>
      <c r="G489" s="65">
        <v>218110.69634421638</v>
      </c>
      <c r="H489" s="39">
        <v>6.9134249287105654E-2</v>
      </c>
      <c r="I489" s="39">
        <v>0.14709384517666102</v>
      </c>
      <c r="J489" s="39">
        <v>0.1068768091387633</v>
      </c>
    </row>
    <row r="490" spans="1:10" ht="11.25" customHeight="1" x14ac:dyDescent="0.2">
      <c r="A490" s="74">
        <v>44440</v>
      </c>
      <c r="B490" s="65">
        <v>0</v>
      </c>
      <c r="C490" s="65">
        <v>0</v>
      </c>
      <c r="D490" s="65">
        <v>206303.19570000001</v>
      </c>
      <c r="E490" s="65">
        <v>220565.81226025036</v>
      </c>
      <c r="F490" s="65">
        <v>193609.7604</v>
      </c>
      <c r="G490" s="65">
        <v>222088.56452096801</v>
      </c>
      <c r="H490" s="39">
        <v>6.9134249287105654E-2</v>
      </c>
      <c r="I490" s="39">
        <v>0.1470938451766608</v>
      </c>
      <c r="J490" s="39">
        <v>0.1068768091387633</v>
      </c>
    </row>
    <row r="491" spans="1:10" ht="11.25" customHeight="1" x14ac:dyDescent="0.2">
      <c r="A491" s="74">
        <v>44470</v>
      </c>
      <c r="B491" s="65">
        <v>0</v>
      </c>
      <c r="C491" s="65">
        <v>0</v>
      </c>
      <c r="D491" s="65">
        <v>237399.91019999998</v>
      </c>
      <c r="E491" s="65">
        <v>253812.37477250327</v>
      </c>
      <c r="F491" s="65">
        <v>222793.15439999997</v>
      </c>
      <c r="G491" s="65">
        <v>255564.65615973351</v>
      </c>
      <c r="H491" s="39">
        <v>6.9134249287105654E-2</v>
      </c>
      <c r="I491" s="39">
        <v>0.14709384517666102</v>
      </c>
      <c r="J491" s="39">
        <v>0.10687680913876352</v>
      </c>
    </row>
    <row r="492" spans="1:10" ht="11.25" customHeight="1" x14ac:dyDescent="0.2">
      <c r="A492" s="74">
        <v>44501</v>
      </c>
      <c r="B492" s="65">
        <v>0</v>
      </c>
      <c r="C492" s="65">
        <v>0</v>
      </c>
      <c r="D492" s="65">
        <v>243217.03905000002</v>
      </c>
      <c r="E492" s="65">
        <v>260031.66645855445</v>
      </c>
      <c r="F492" s="65">
        <v>228252.36660000001</v>
      </c>
      <c r="G492" s="65">
        <v>261826.88487386689</v>
      </c>
      <c r="H492" s="39">
        <v>6.9134249287105654E-2</v>
      </c>
      <c r="I492" s="39">
        <v>0.14709384517666102</v>
      </c>
      <c r="J492" s="39">
        <v>0.10687680913876352</v>
      </c>
    </row>
    <row r="493" spans="1:10" ht="11.25" customHeight="1" x14ac:dyDescent="0.2">
      <c r="A493" s="74">
        <v>44531</v>
      </c>
      <c r="B493" s="65">
        <v>0</v>
      </c>
      <c r="C493" s="65">
        <v>0</v>
      </c>
      <c r="D493" s="65">
        <v>266327.15354999999</v>
      </c>
      <c r="E493" s="65">
        <v>284739.48137545091</v>
      </c>
      <c r="F493" s="65">
        <v>249940.5606</v>
      </c>
      <c r="G493" s="65">
        <v>286705.27872426418</v>
      </c>
      <c r="H493" s="39">
        <v>6.9134249287105431E-2</v>
      </c>
      <c r="I493" s="39">
        <v>0.1470938451766608</v>
      </c>
      <c r="J493" s="39">
        <v>0.10687680913876307</v>
      </c>
    </row>
    <row r="494" spans="1:10" ht="11.25" customHeight="1" x14ac:dyDescent="0.2">
      <c r="A494" s="74">
        <v>44562</v>
      </c>
      <c r="B494" s="65">
        <v>0</v>
      </c>
      <c r="C494" s="65">
        <v>0</v>
      </c>
      <c r="D494" s="65">
        <v>266327.15354999999</v>
      </c>
      <c r="E494" s="65">
        <v>284739.48137545091</v>
      </c>
      <c r="F494" s="65">
        <v>249940.5606</v>
      </c>
      <c r="G494" s="65">
        <v>286705.27872426418</v>
      </c>
      <c r="H494" s="39">
        <v>6.9134249287105431E-2</v>
      </c>
      <c r="I494" s="39">
        <v>0.1470938451766608</v>
      </c>
      <c r="J494" s="39">
        <v>0.10687680913876307</v>
      </c>
    </row>
    <row r="495" spans="1:10" ht="11.25" customHeight="1" x14ac:dyDescent="0.2">
      <c r="A495" s="70" t="s">
        <v>32</v>
      </c>
      <c r="B495" s="65">
        <v>0</v>
      </c>
      <c r="C495" s="65">
        <v>0</v>
      </c>
      <c r="D495" s="65">
        <v>722507.02950000006</v>
      </c>
      <c r="E495" s="65">
        <v>772457.0105891393</v>
      </c>
      <c r="F495" s="65">
        <v>678042.80379000003</v>
      </c>
      <c r="G495" s="65">
        <v>777789.93434159236</v>
      </c>
      <c r="H495" s="39">
        <v>6.9134249287106098E-2</v>
      </c>
      <c r="I495" s="39">
        <v>0.14711037414458783</v>
      </c>
      <c r="J495" s="39">
        <v>0.1068845306911228</v>
      </c>
    </row>
    <row r="496" spans="1:10" ht="11.25" customHeight="1" x14ac:dyDescent="0.2">
      <c r="A496" s="71" t="s">
        <v>25</v>
      </c>
      <c r="B496" s="65">
        <v>0</v>
      </c>
      <c r="C496" s="65">
        <v>0</v>
      </c>
      <c r="D496" s="65">
        <v>722507.02950000006</v>
      </c>
      <c r="E496" s="65">
        <v>772457.0105891393</v>
      </c>
      <c r="F496" s="65">
        <v>678042.80379000003</v>
      </c>
      <c r="G496" s="65">
        <v>777789.93434159236</v>
      </c>
      <c r="H496" s="39">
        <v>6.9134249287106098E-2</v>
      </c>
      <c r="I496" s="39">
        <v>0.14711037414458783</v>
      </c>
      <c r="J496" s="39">
        <v>0.1068845306911228</v>
      </c>
    </row>
    <row r="497" spans="1:10" ht="11.25" customHeight="1" x14ac:dyDescent="0.2">
      <c r="A497" s="72" t="s">
        <v>25</v>
      </c>
      <c r="B497" s="65">
        <v>0</v>
      </c>
      <c r="C497" s="65">
        <v>0</v>
      </c>
      <c r="D497" s="65">
        <v>722507.02950000006</v>
      </c>
      <c r="E497" s="65">
        <v>772457.0105891393</v>
      </c>
      <c r="F497" s="65">
        <v>678042.80379000003</v>
      </c>
      <c r="G497" s="65">
        <v>777789.93434159236</v>
      </c>
      <c r="H497" s="39">
        <v>6.9134249287106098E-2</v>
      </c>
      <c r="I497" s="39">
        <v>0.14711037414458783</v>
      </c>
      <c r="J497" s="39">
        <v>0.1068845306911228</v>
      </c>
    </row>
    <row r="498" spans="1:10" ht="11.25" customHeight="1" x14ac:dyDescent="0.2">
      <c r="A498" s="73" t="s">
        <v>25</v>
      </c>
      <c r="B498" s="65">
        <v>0</v>
      </c>
      <c r="C498" s="65">
        <v>0</v>
      </c>
      <c r="D498" s="65">
        <v>722507.02950000006</v>
      </c>
      <c r="E498" s="65">
        <v>772457.0105891393</v>
      </c>
      <c r="F498" s="65">
        <v>678042.80379000003</v>
      </c>
      <c r="G498" s="65">
        <v>777789.93434159236</v>
      </c>
      <c r="H498" s="39">
        <v>6.9134249287106098E-2</v>
      </c>
      <c r="I498" s="39">
        <v>0.14711037414458783</v>
      </c>
      <c r="J498" s="39">
        <v>0.1068845306911228</v>
      </c>
    </row>
    <row r="499" spans="1:10" ht="11.25" customHeight="1" x14ac:dyDescent="0.2">
      <c r="A499" s="74">
        <v>44228</v>
      </c>
      <c r="B499" s="65">
        <v>0</v>
      </c>
      <c r="C499" s="65">
        <v>0</v>
      </c>
      <c r="D499" s="65">
        <v>56818.496500000001</v>
      </c>
      <c r="E499" s="65">
        <v>60746.600601149541</v>
      </c>
      <c r="F499" s="65">
        <v>53321.796329999997</v>
      </c>
      <c r="G499" s="65">
        <v>61165.985738167823</v>
      </c>
      <c r="H499" s="39">
        <v>6.9134249287105654E-2</v>
      </c>
      <c r="I499" s="39">
        <v>0.14711037414458805</v>
      </c>
      <c r="J499" s="39">
        <v>0.10688453069112258</v>
      </c>
    </row>
    <row r="500" spans="1:10" ht="11.25" customHeight="1" x14ac:dyDescent="0.2">
      <c r="A500" s="74">
        <v>44256</v>
      </c>
      <c r="B500" s="65">
        <v>0</v>
      </c>
      <c r="C500" s="65">
        <v>0</v>
      </c>
      <c r="D500" s="65">
        <v>71320.337999999989</v>
      </c>
      <c r="E500" s="65">
        <v>76251.016026532641</v>
      </c>
      <c r="F500" s="65">
        <v>66931.171560000003</v>
      </c>
      <c r="G500" s="65">
        <v>76777.441250127202</v>
      </c>
      <c r="H500" s="39">
        <v>6.9134249287105876E-2</v>
      </c>
      <c r="I500" s="39">
        <v>0.14711037414458783</v>
      </c>
      <c r="J500" s="39">
        <v>0.1068845306911228</v>
      </c>
    </row>
    <row r="501" spans="1:10" ht="11.25" customHeight="1" x14ac:dyDescent="0.2">
      <c r="A501" s="74">
        <v>44287</v>
      </c>
      <c r="B501" s="65">
        <v>0</v>
      </c>
      <c r="C501" s="65">
        <v>0</v>
      </c>
      <c r="D501" s="65">
        <v>71984.409000000014</v>
      </c>
      <c r="E501" s="65">
        <v>76960.997076590982</v>
      </c>
      <c r="F501" s="65">
        <v>67554.374580000018</v>
      </c>
      <c r="G501" s="65">
        <v>77492.323899567447</v>
      </c>
      <c r="H501" s="39">
        <v>6.9134249287105654E-2</v>
      </c>
      <c r="I501" s="39">
        <v>0.14711037414458783</v>
      </c>
      <c r="J501" s="39">
        <v>0.10688453069112236</v>
      </c>
    </row>
    <row r="502" spans="1:10" ht="11.25" customHeight="1" x14ac:dyDescent="0.2">
      <c r="A502" s="74">
        <v>44317</v>
      </c>
      <c r="B502" s="65">
        <v>0</v>
      </c>
      <c r="C502" s="65">
        <v>0</v>
      </c>
      <c r="D502" s="65">
        <v>59506.578999999998</v>
      </c>
      <c r="E502" s="65">
        <v>63620.521666808847</v>
      </c>
      <c r="F502" s="65">
        <v>55844.449979999998</v>
      </c>
      <c r="G502" s="65">
        <v>64059.747910456528</v>
      </c>
      <c r="H502" s="39">
        <v>6.9134249287105654E-2</v>
      </c>
      <c r="I502" s="39">
        <v>0.14711037414458805</v>
      </c>
      <c r="J502" s="39">
        <v>0.10688453069112236</v>
      </c>
    </row>
    <row r="503" spans="1:10" ht="11.25" customHeight="1" x14ac:dyDescent="0.2">
      <c r="A503" s="74">
        <v>44348</v>
      </c>
      <c r="B503" s="65">
        <v>0</v>
      </c>
      <c r="C503" s="65">
        <v>0</v>
      </c>
      <c r="D503" s="65">
        <v>49662.601500000004</v>
      </c>
      <c r="E503" s="65">
        <v>53095.988172347192</v>
      </c>
      <c r="F503" s="65">
        <v>46606.286430000007</v>
      </c>
      <c r="G503" s="65">
        <v>53462.554664207128</v>
      </c>
      <c r="H503" s="39">
        <v>6.9134249287105654E-2</v>
      </c>
      <c r="I503" s="39">
        <v>0.14711037414458761</v>
      </c>
      <c r="J503" s="39">
        <v>0.10688453069112236</v>
      </c>
    </row>
    <row r="504" spans="1:10" ht="11.25" customHeight="1" x14ac:dyDescent="0.2">
      <c r="A504" s="74">
        <v>44378</v>
      </c>
      <c r="B504" s="65">
        <v>0</v>
      </c>
      <c r="C504" s="65">
        <v>0</v>
      </c>
      <c r="D504" s="65">
        <v>52969.399000000005</v>
      </c>
      <c r="E504" s="65">
        <v>56631.398635054167</v>
      </c>
      <c r="F504" s="65">
        <v>49709.578379999999</v>
      </c>
      <c r="G504" s="65">
        <v>57022.373054051517</v>
      </c>
      <c r="H504" s="39">
        <v>6.9134249287105654E-2</v>
      </c>
      <c r="I504" s="39">
        <v>0.14711037414458783</v>
      </c>
      <c r="J504" s="39">
        <v>0.10688453069112258</v>
      </c>
    </row>
    <row r="505" spans="1:10" ht="11.25" customHeight="1" x14ac:dyDescent="0.2">
      <c r="A505" s="74">
        <v>44409</v>
      </c>
      <c r="B505" s="65">
        <v>0</v>
      </c>
      <c r="C505" s="65">
        <v>0</v>
      </c>
      <c r="D505" s="65">
        <v>46232.307499999995</v>
      </c>
      <c r="E505" s="65">
        <v>49428.543371823129</v>
      </c>
      <c r="F505" s="65">
        <v>43387.098150000005</v>
      </c>
      <c r="G505" s="65">
        <v>49769.790391894458</v>
      </c>
      <c r="H505" s="39">
        <v>6.9134249287105876E-2</v>
      </c>
      <c r="I505" s="39">
        <v>0.14711037414458783</v>
      </c>
      <c r="J505" s="39">
        <v>0.10688453069112258</v>
      </c>
    </row>
    <row r="506" spans="1:10" ht="11.25" customHeight="1" x14ac:dyDescent="0.2">
      <c r="A506" s="74">
        <v>44440</v>
      </c>
      <c r="B506" s="65">
        <v>0</v>
      </c>
      <c r="C506" s="65">
        <v>0</v>
      </c>
      <c r="D506" s="65">
        <v>49723.733500000002</v>
      </c>
      <c r="E506" s="65">
        <v>53161.346487274604</v>
      </c>
      <c r="F506" s="65">
        <v>46663.656269999999</v>
      </c>
      <c r="G506" s="65">
        <v>53528.364202834149</v>
      </c>
      <c r="H506" s="39">
        <v>6.9134249287105654E-2</v>
      </c>
      <c r="I506" s="39">
        <v>0.14711037414458805</v>
      </c>
      <c r="J506" s="39">
        <v>0.10688453069112236</v>
      </c>
    </row>
    <row r="507" spans="1:10" ht="11.25" customHeight="1" x14ac:dyDescent="0.2">
      <c r="A507" s="74">
        <v>44470</v>
      </c>
      <c r="B507" s="65">
        <v>0</v>
      </c>
      <c r="C507" s="65">
        <v>0</v>
      </c>
      <c r="D507" s="65">
        <v>57722.905000000006</v>
      </c>
      <c r="E507" s="65">
        <v>61713.534703845922</v>
      </c>
      <c r="F507" s="65">
        <v>54170.5461</v>
      </c>
      <c r="G507" s="65">
        <v>62139.595404387648</v>
      </c>
      <c r="H507" s="39">
        <v>6.9134249287105654E-2</v>
      </c>
      <c r="I507" s="39">
        <v>0.14711037414458783</v>
      </c>
      <c r="J507" s="39">
        <v>0.10688453069112258</v>
      </c>
    </row>
    <row r="508" spans="1:10" ht="11.25" customHeight="1" x14ac:dyDescent="0.2">
      <c r="A508" s="74">
        <v>44501</v>
      </c>
      <c r="B508" s="65">
        <v>0</v>
      </c>
      <c r="C508" s="65">
        <v>0</v>
      </c>
      <c r="D508" s="65">
        <v>61025.265500000001</v>
      </c>
      <c r="E508" s="65">
        <v>65244.201417888813</v>
      </c>
      <c r="F508" s="65">
        <v>57269.674110000007</v>
      </c>
      <c r="G508" s="65">
        <v>65694.637295460721</v>
      </c>
      <c r="H508" s="39">
        <v>6.9134249287105654E-2</v>
      </c>
      <c r="I508" s="39">
        <v>0.14711037414458783</v>
      </c>
      <c r="J508" s="39">
        <v>0.10688453069112258</v>
      </c>
    </row>
    <row r="509" spans="1:10" ht="11.25" customHeight="1" x14ac:dyDescent="0.2">
      <c r="A509" s="74">
        <v>44531</v>
      </c>
      <c r="B509" s="65">
        <v>0</v>
      </c>
      <c r="C509" s="65">
        <v>0</v>
      </c>
      <c r="D509" s="65">
        <v>72770.497500000012</v>
      </c>
      <c r="E509" s="65">
        <v>77801.431214911689</v>
      </c>
      <c r="F509" s="65">
        <v>68292.085950000008</v>
      </c>
      <c r="G509" s="65">
        <v>78338.560265218868</v>
      </c>
      <c r="H509" s="39">
        <v>6.9134249287105431E-2</v>
      </c>
      <c r="I509" s="39">
        <v>0.14711037414458805</v>
      </c>
      <c r="J509" s="39">
        <v>0.10688453069112236</v>
      </c>
    </row>
    <row r="510" spans="1:10" ht="11.25" customHeight="1" x14ac:dyDescent="0.2">
      <c r="A510" s="74">
        <v>44562</v>
      </c>
      <c r="B510" s="65">
        <v>0</v>
      </c>
      <c r="C510" s="65">
        <v>0</v>
      </c>
      <c r="D510" s="65">
        <v>72770.497500000012</v>
      </c>
      <c r="E510" s="65">
        <v>77801.431214911689</v>
      </c>
      <c r="F510" s="65">
        <v>68292.085950000008</v>
      </c>
      <c r="G510" s="65">
        <v>78338.560265218868</v>
      </c>
      <c r="H510" s="39">
        <v>6.9134249287105431E-2</v>
      </c>
      <c r="I510" s="39">
        <v>0.14711037414458805</v>
      </c>
      <c r="J510" s="39">
        <v>0.10688453069112236</v>
      </c>
    </row>
    <row r="511" spans="1:10" ht="11.25" customHeight="1" x14ac:dyDescent="0.2">
      <c r="A511" s="67" t="s">
        <v>43</v>
      </c>
      <c r="B511" s="65">
        <v>0</v>
      </c>
      <c r="C511" s="65">
        <v>0</v>
      </c>
      <c r="D511" s="65">
        <v>5632913.9240388004</v>
      </c>
      <c r="E511" s="65">
        <v>6599044.3715228159</v>
      </c>
      <c r="F511" s="65">
        <v>4560234.2744145999</v>
      </c>
      <c r="G511" s="65">
        <v>5587770.2531624977</v>
      </c>
      <c r="H511" s="39">
        <v>0.17151521583899787</v>
      </c>
      <c r="I511" s="39">
        <v>0.22532526114128237</v>
      </c>
      <c r="J511" s="39">
        <v>0.19558887866796693</v>
      </c>
    </row>
    <row r="512" spans="1:10" ht="11.25" customHeight="1" x14ac:dyDescent="0.2">
      <c r="A512" s="68" t="s">
        <v>33</v>
      </c>
      <c r="B512" s="65">
        <v>0</v>
      </c>
      <c r="C512" s="65">
        <v>0</v>
      </c>
      <c r="D512" s="65">
        <v>784.06254000000001</v>
      </c>
      <c r="E512" s="65">
        <v>922.58213908807284</v>
      </c>
      <c r="F512" s="65">
        <v>731.06951000000015</v>
      </c>
      <c r="G512" s="65">
        <v>897.65987647366569</v>
      </c>
      <c r="H512" s="39">
        <v>0.17666906913837876</v>
      </c>
      <c r="I512" s="39">
        <v>0.22787213007100449</v>
      </c>
      <c r="J512" s="39">
        <v>0.20137516433748348</v>
      </c>
    </row>
    <row r="513" spans="1:10" ht="11.25" customHeight="1" x14ac:dyDescent="0.2">
      <c r="A513" s="69" t="s">
        <v>44</v>
      </c>
      <c r="B513" s="65">
        <v>0</v>
      </c>
      <c r="C513" s="65">
        <v>0</v>
      </c>
      <c r="D513" s="65">
        <v>784.06254000000001</v>
      </c>
      <c r="E513" s="65">
        <v>922.58213908807284</v>
      </c>
      <c r="F513" s="65">
        <v>731.06951000000015</v>
      </c>
      <c r="G513" s="65">
        <v>897.65987647366569</v>
      </c>
      <c r="H513" s="39">
        <v>0.17666906913837876</v>
      </c>
      <c r="I513" s="39">
        <v>0.22787213007100449</v>
      </c>
      <c r="J513" s="39">
        <v>0.20137516433748348</v>
      </c>
    </row>
    <row r="514" spans="1:10" ht="11.25" customHeight="1" x14ac:dyDescent="0.2">
      <c r="A514" s="70" t="s">
        <v>25</v>
      </c>
      <c r="B514" s="65">
        <v>0</v>
      </c>
      <c r="C514" s="65">
        <v>0</v>
      </c>
      <c r="D514" s="65">
        <v>784.06254000000001</v>
      </c>
      <c r="E514" s="65">
        <v>922.58213908807284</v>
      </c>
      <c r="F514" s="65">
        <v>731.06951000000015</v>
      </c>
      <c r="G514" s="65">
        <v>897.65987647366569</v>
      </c>
      <c r="H514" s="39">
        <v>0.17666906913837876</v>
      </c>
      <c r="I514" s="39">
        <v>0.22787213007100449</v>
      </c>
      <c r="J514" s="39">
        <v>0.20137516433748348</v>
      </c>
    </row>
    <row r="515" spans="1:10" ht="11.25" customHeight="1" x14ac:dyDescent="0.2">
      <c r="A515" s="71" t="s">
        <v>25</v>
      </c>
      <c r="B515" s="65">
        <v>0</v>
      </c>
      <c r="C515" s="65">
        <v>0</v>
      </c>
      <c r="D515" s="65">
        <v>784.06254000000001</v>
      </c>
      <c r="E515" s="65">
        <v>922.58213908807284</v>
      </c>
      <c r="F515" s="65">
        <v>731.06951000000015</v>
      </c>
      <c r="G515" s="65">
        <v>897.65987647366569</v>
      </c>
      <c r="H515" s="39">
        <v>0.17666906913837876</v>
      </c>
      <c r="I515" s="39">
        <v>0.22787213007100449</v>
      </c>
      <c r="J515" s="39">
        <v>0.20137516433748348</v>
      </c>
    </row>
    <row r="516" spans="1:10" ht="11.25" customHeight="1" x14ac:dyDescent="0.2">
      <c r="A516" s="72" t="s">
        <v>25</v>
      </c>
      <c r="B516" s="65">
        <v>0</v>
      </c>
      <c r="C516" s="65">
        <v>0</v>
      </c>
      <c r="D516" s="65">
        <v>784.06254000000001</v>
      </c>
      <c r="E516" s="65">
        <v>922.58213908807284</v>
      </c>
      <c r="F516" s="65">
        <v>731.06951000000015</v>
      </c>
      <c r="G516" s="65">
        <v>897.65987647366569</v>
      </c>
      <c r="H516" s="39">
        <v>0.17666906913837876</v>
      </c>
      <c r="I516" s="39">
        <v>0.22787213007100449</v>
      </c>
      <c r="J516" s="39">
        <v>0.20137516433748348</v>
      </c>
    </row>
    <row r="517" spans="1:10" ht="11.25" customHeight="1" x14ac:dyDescent="0.2">
      <c r="A517" s="73" t="s">
        <v>35</v>
      </c>
      <c r="B517" s="65">
        <v>0</v>
      </c>
      <c r="C517" s="65">
        <v>0</v>
      </c>
      <c r="D517" s="65">
        <v>607.07180000000005</v>
      </c>
      <c r="E517" s="65">
        <v>718.07120735008414</v>
      </c>
      <c r="F517" s="65">
        <v>649.5675</v>
      </c>
      <c r="G517" s="65">
        <v>799.654971179776</v>
      </c>
      <c r="H517" s="39">
        <v>0.18284395247824725</v>
      </c>
      <c r="I517" s="39">
        <v>0.23105754395005285</v>
      </c>
      <c r="J517" s="39">
        <v>0.20776596635952749</v>
      </c>
    </row>
    <row r="518" spans="1:10" ht="11.25" customHeight="1" x14ac:dyDescent="0.2">
      <c r="A518" s="74">
        <v>44228</v>
      </c>
      <c r="B518" s="65">
        <v>0</v>
      </c>
      <c r="C518" s="65">
        <v>0</v>
      </c>
      <c r="D518" s="65">
        <v>51.88031999999999</v>
      </c>
      <c r="E518" s="65">
        <v>61.366322764636259</v>
      </c>
      <c r="F518" s="65">
        <v>55.511999999999993</v>
      </c>
      <c r="G518" s="65">
        <v>68.338466379755346</v>
      </c>
      <c r="H518" s="39">
        <v>0.18284395247824747</v>
      </c>
      <c r="I518" s="39">
        <v>0.23105754395005329</v>
      </c>
      <c r="J518" s="39">
        <v>0.20776596635952771</v>
      </c>
    </row>
    <row r="519" spans="1:10" ht="11.25" customHeight="1" x14ac:dyDescent="0.2">
      <c r="A519" s="74">
        <v>44256</v>
      </c>
      <c r="B519" s="65">
        <v>0</v>
      </c>
      <c r="C519" s="65">
        <v>0</v>
      </c>
      <c r="D519" s="65">
        <v>62.688719999999989</v>
      </c>
      <c r="E519" s="65">
        <v>74.15097334060215</v>
      </c>
      <c r="F519" s="65">
        <v>67.076999999999998</v>
      </c>
      <c r="G519" s="65">
        <v>82.5756468755377</v>
      </c>
      <c r="H519" s="39">
        <v>0.18284395247824747</v>
      </c>
      <c r="I519" s="39">
        <v>0.23105754395005307</v>
      </c>
      <c r="J519" s="39">
        <v>0.20776596635952749</v>
      </c>
    </row>
    <row r="520" spans="1:10" ht="11.25" customHeight="1" x14ac:dyDescent="0.2">
      <c r="A520" s="74">
        <v>44287</v>
      </c>
      <c r="B520" s="65">
        <v>0</v>
      </c>
      <c r="C520" s="65">
        <v>0</v>
      </c>
      <c r="D520" s="65">
        <v>78.180759999999992</v>
      </c>
      <c r="E520" s="65">
        <v>92.475639166153258</v>
      </c>
      <c r="F520" s="65">
        <v>83.653499999999994</v>
      </c>
      <c r="G520" s="65">
        <v>102.98227225282577</v>
      </c>
      <c r="H520" s="39">
        <v>0.18284395247824747</v>
      </c>
      <c r="I520" s="39">
        <v>0.23105754395005307</v>
      </c>
      <c r="J520" s="39">
        <v>0.20776596635952771</v>
      </c>
    </row>
    <row r="521" spans="1:10" ht="11.25" customHeight="1" x14ac:dyDescent="0.2">
      <c r="A521" s="74">
        <v>44317</v>
      </c>
      <c r="B521" s="65">
        <v>0</v>
      </c>
      <c r="C521" s="65">
        <v>0</v>
      </c>
      <c r="D521" s="65">
        <v>50.078920000000004</v>
      </c>
      <c r="E521" s="65">
        <v>59.235547668641949</v>
      </c>
      <c r="F521" s="65">
        <v>53.584500000000006</v>
      </c>
      <c r="G521" s="65">
        <v>65.965602963791625</v>
      </c>
      <c r="H521" s="39">
        <v>0.18284395247824725</v>
      </c>
      <c r="I521" s="39">
        <v>0.23105754395005307</v>
      </c>
      <c r="J521" s="39">
        <v>0.20776596635952749</v>
      </c>
    </row>
    <row r="522" spans="1:10" ht="11.25" customHeight="1" x14ac:dyDescent="0.2">
      <c r="A522" s="74">
        <v>44348</v>
      </c>
      <c r="B522" s="65">
        <v>0</v>
      </c>
      <c r="C522" s="65">
        <v>0</v>
      </c>
      <c r="D522" s="65">
        <v>32.064919999999994</v>
      </c>
      <c r="E522" s="65">
        <v>37.9277967086988</v>
      </c>
      <c r="F522" s="65">
        <v>34.3095</v>
      </c>
      <c r="G522" s="65">
        <v>42.236968804154344</v>
      </c>
      <c r="H522" s="39">
        <v>0.18284395247824747</v>
      </c>
      <c r="I522" s="39">
        <v>0.23105754395005307</v>
      </c>
      <c r="J522" s="39">
        <v>0.20776596635952749</v>
      </c>
    </row>
    <row r="523" spans="1:10" ht="11.25" customHeight="1" x14ac:dyDescent="0.2">
      <c r="A523" s="74">
        <v>44378</v>
      </c>
      <c r="B523" s="65">
        <v>0</v>
      </c>
      <c r="C523" s="65">
        <v>0</v>
      </c>
      <c r="D523" s="65">
        <v>43.593879999999999</v>
      </c>
      <c r="E523" s="65">
        <v>51.564757323062416</v>
      </c>
      <c r="F523" s="65">
        <v>46.645499999999998</v>
      </c>
      <c r="G523" s="65">
        <v>57.423294666322199</v>
      </c>
      <c r="H523" s="39">
        <v>0.18284395247824725</v>
      </c>
      <c r="I523" s="39">
        <v>0.23105754395005307</v>
      </c>
      <c r="J523" s="39">
        <v>0.20776596635952749</v>
      </c>
    </row>
    <row r="524" spans="1:10" ht="11.25" customHeight="1" x14ac:dyDescent="0.2">
      <c r="A524" s="74">
        <v>44409</v>
      </c>
      <c r="B524" s="65">
        <v>0</v>
      </c>
      <c r="C524" s="65">
        <v>0</v>
      </c>
      <c r="D524" s="65">
        <v>30.443660000000001</v>
      </c>
      <c r="E524" s="65">
        <v>36.01009912230392</v>
      </c>
      <c r="F524" s="65">
        <v>32.574750000000002</v>
      </c>
      <c r="G524" s="65">
        <v>40.10139172978699</v>
      </c>
      <c r="H524" s="39">
        <v>0.18284395247824725</v>
      </c>
      <c r="I524" s="39">
        <v>0.23105754395005285</v>
      </c>
      <c r="J524" s="39">
        <v>0.20776596635952749</v>
      </c>
    </row>
    <row r="525" spans="1:10" ht="11.25" customHeight="1" x14ac:dyDescent="0.2">
      <c r="A525" s="74">
        <v>44440</v>
      </c>
      <c r="B525" s="65">
        <v>0</v>
      </c>
      <c r="C525" s="65">
        <v>0</v>
      </c>
      <c r="D525" s="65">
        <v>34.406739999999999</v>
      </c>
      <c r="E525" s="65">
        <v>40.697804333491412</v>
      </c>
      <c r="F525" s="65">
        <v>36.815249999999999</v>
      </c>
      <c r="G525" s="65">
        <v>45.321691244907193</v>
      </c>
      <c r="H525" s="39">
        <v>0.18284395247824747</v>
      </c>
      <c r="I525" s="39">
        <v>0.23105754395005307</v>
      </c>
      <c r="J525" s="39">
        <v>0.20776596635952749</v>
      </c>
    </row>
    <row r="526" spans="1:10" ht="11.25" customHeight="1" x14ac:dyDescent="0.2">
      <c r="A526" s="74">
        <v>44470</v>
      </c>
      <c r="B526" s="65">
        <v>0</v>
      </c>
      <c r="C526" s="65">
        <v>0</v>
      </c>
      <c r="D526" s="65">
        <v>45.755559999999996</v>
      </c>
      <c r="E526" s="65">
        <v>54.121687438255591</v>
      </c>
      <c r="F526" s="65">
        <v>48.958500000000001</v>
      </c>
      <c r="G526" s="65">
        <v>60.270730765478675</v>
      </c>
      <c r="H526" s="39">
        <v>0.18284395247824747</v>
      </c>
      <c r="I526" s="39">
        <v>0.23105754395005307</v>
      </c>
      <c r="J526" s="39">
        <v>0.20776596635952771</v>
      </c>
    </row>
    <row r="527" spans="1:10" ht="11.25" customHeight="1" x14ac:dyDescent="0.2">
      <c r="A527" s="74">
        <v>44501</v>
      </c>
      <c r="B527" s="65">
        <v>0</v>
      </c>
      <c r="C527" s="65">
        <v>0</v>
      </c>
      <c r="D527" s="65">
        <v>58.00508</v>
      </c>
      <c r="E527" s="65">
        <v>68.61095809101694</v>
      </c>
      <c r="F527" s="65">
        <v>62.0655</v>
      </c>
      <c r="G527" s="65">
        <v>76.406201994032017</v>
      </c>
      <c r="H527" s="39">
        <v>0.18284395247824747</v>
      </c>
      <c r="I527" s="39">
        <v>0.23105754395005307</v>
      </c>
      <c r="J527" s="39">
        <v>0.20776596635952727</v>
      </c>
    </row>
    <row r="528" spans="1:10" ht="11.25" customHeight="1" x14ac:dyDescent="0.2">
      <c r="A528" s="74">
        <v>44531</v>
      </c>
      <c r="B528" s="65">
        <v>0</v>
      </c>
      <c r="C528" s="65">
        <v>0</v>
      </c>
      <c r="D528" s="65">
        <v>59.986620000000002</v>
      </c>
      <c r="E528" s="65">
        <v>70.954810696610679</v>
      </c>
      <c r="F528" s="65">
        <v>64.185749999999999</v>
      </c>
      <c r="G528" s="65">
        <v>79.016351751592126</v>
      </c>
      <c r="H528" s="39">
        <v>0.18284395247824725</v>
      </c>
      <c r="I528" s="39">
        <v>0.23105754395005329</v>
      </c>
      <c r="J528" s="39">
        <v>0.20776596635952749</v>
      </c>
    </row>
    <row r="529" spans="1:10" ht="11.25" customHeight="1" x14ac:dyDescent="0.2">
      <c r="A529" s="74">
        <v>44562</v>
      </c>
      <c r="B529" s="65">
        <v>0</v>
      </c>
      <c r="C529" s="65">
        <v>0</v>
      </c>
      <c r="D529" s="65">
        <v>59.986620000000002</v>
      </c>
      <c r="E529" s="65">
        <v>70.954810696610679</v>
      </c>
      <c r="F529" s="65">
        <v>64.185749999999999</v>
      </c>
      <c r="G529" s="65">
        <v>79.016351751592126</v>
      </c>
      <c r="H529" s="39">
        <v>0.18284395247824725</v>
      </c>
      <c r="I529" s="39">
        <v>0.23105754395005329</v>
      </c>
      <c r="J529" s="39">
        <v>0.20776596635952749</v>
      </c>
    </row>
    <row r="530" spans="1:10" ht="11.25" customHeight="1" x14ac:dyDescent="0.2">
      <c r="A530" s="73" t="s">
        <v>36</v>
      </c>
      <c r="B530" s="65">
        <v>0</v>
      </c>
      <c r="C530" s="65">
        <v>0</v>
      </c>
      <c r="D530" s="65">
        <v>62.89230000000002</v>
      </c>
      <c r="E530" s="65">
        <v>72.920033947609795</v>
      </c>
      <c r="F530" s="65">
        <v>27.948749999999997</v>
      </c>
      <c r="G530" s="65">
        <v>34.406519531474046</v>
      </c>
      <c r="H530" s="39">
        <v>0.15944295164288436</v>
      </c>
      <c r="I530" s="39">
        <v>0.23105754395005329</v>
      </c>
      <c r="J530" s="39">
        <v>0.18147636425474833</v>
      </c>
    </row>
    <row r="531" spans="1:10" ht="11.25" customHeight="1" x14ac:dyDescent="0.2">
      <c r="A531" s="74">
        <v>44228</v>
      </c>
      <c r="B531" s="65">
        <v>0</v>
      </c>
      <c r="C531" s="65">
        <v>0</v>
      </c>
      <c r="D531" s="65">
        <v>6.9398400000000002</v>
      </c>
      <c r="E531" s="65">
        <v>8.0463485735293574</v>
      </c>
      <c r="F531" s="65">
        <v>3.0840000000000001</v>
      </c>
      <c r="G531" s="65">
        <v>3.7965814655419639</v>
      </c>
      <c r="H531" s="39">
        <v>0.1594429516428848</v>
      </c>
      <c r="I531" s="39">
        <v>0.23105754395005307</v>
      </c>
      <c r="J531" s="39">
        <v>0.18147636425474878</v>
      </c>
    </row>
    <row r="532" spans="1:10" ht="11.25" customHeight="1" x14ac:dyDescent="0.2">
      <c r="A532" s="74">
        <v>44256</v>
      </c>
      <c r="B532" s="65">
        <v>0</v>
      </c>
      <c r="C532" s="65">
        <v>0</v>
      </c>
      <c r="D532" s="65">
        <v>8.6748000000000012</v>
      </c>
      <c r="E532" s="65">
        <v>10.057935716911697</v>
      </c>
      <c r="F532" s="65">
        <v>3.855</v>
      </c>
      <c r="G532" s="65">
        <v>4.7457268319274544</v>
      </c>
      <c r="H532" s="39">
        <v>0.15944295164288458</v>
      </c>
      <c r="I532" s="39">
        <v>0.23105754395005307</v>
      </c>
      <c r="J532" s="39">
        <v>0.18147636425474856</v>
      </c>
    </row>
    <row r="533" spans="1:10" ht="11.25" customHeight="1" x14ac:dyDescent="0.2">
      <c r="A533" s="74">
        <v>44287</v>
      </c>
      <c r="B533" s="65">
        <v>0</v>
      </c>
      <c r="C533" s="65">
        <v>0</v>
      </c>
      <c r="D533" s="65">
        <v>4.3374000000000006</v>
      </c>
      <c r="E533" s="65">
        <v>5.0289678584558484</v>
      </c>
      <c r="F533" s="65">
        <v>1.9275</v>
      </c>
      <c r="G533" s="65">
        <v>2.3728634159637272</v>
      </c>
      <c r="H533" s="39">
        <v>0.15944295164288458</v>
      </c>
      <c r="I533" s="39">
        <v>0.23105754395005307</v>
      </c>
      <c r="J533" s="39">
        <v>0.18147636425474856</v>
      </c>
    </row>
    <row r="534" spans="1:10" ht="11.25" customHeight="1" x14ac:dyDescent="0.2">
      <c r="A534" s="74">
        <v>44317</v>
      </c>
      <c r="B534" s="65">
        <v>0</v>
      </c>
      <c r="C534" s="65">
        <v>0</v>
      </c>
      <c r="D534" s="65">
        <v>5.6386199999999995</v>
      </c>
      <c r="E534" s="65">
        <v>6.537658215992602</v>
      </c>
      <c r="F534" s="65">
        <v>2.5057499999999999</v>
      </c>
      <c r="G534" s="65">
        <v>3.0847224407528451</v>
      </c>
      <c r="H534" s="39">
        <v>0.1594429516428848</v>
      </c>
      <c r="I534" s="39">
        <v>0.23105754395005285</v>
      </c>
      <c r="J534" s="39">
        <v>0.18147636425474878</v>
      </c>
    </row>
    <row r="535" spans="1:10" ht="11.25" customHeight="1" x14ac:dyDescent="0.2">
      <c r="A535" s="74">
        <v>44348</v>
      </c>
      <c r="B535" s="65">
        <v>0</v>
      </c>
      <c r="C535" s="65">
        <v>0</v>
      </c>
      <c r="D535" s="65">
        <v>4.7711399999999999</v>
      </c>
      <c r="E535" s="65">
        <v>5.5318646443014323</v>
      </c>
      <c r="F535" s="65">
        <v>2.12025</v>
      </c>
      <c r="G535" s="65">
        <v>2.6101497575600998</v>
      </c>
      <c r="H535" s="39">
        <v>0.15944295164288458</v>
      </c>
      <c r="I535" s="39">
        <v>0.23105754395005307</v>
      </c>
      <c r="J535" s="39">
        <v>0.18147636425474878</v>
      </c>
    </row>
    <row r="536" spans="1:10" ht="11.25" customHeight="1" x14ac:dyDescent="0.2">
      <c r="A536" s="74">
        <v>44378</v>
      </c>
      <c r="B536" s="65">
        <v>0</v>
      </c>
      <c r="C536" s="65">
        <v>0</v>
      </c>
      <c r="D536" s="65">
        <v>4.3374000000000006</v>
      </c>
      <c r="E536" s="65">
        <v>5.0289678584558484</v>
      </c>
      <c r="F536" s="65">
        <v>1.9275</v>
      </c>
      <c r="G536" s="65">
        <v>2.3728634159637272</v>
      </c>
      <c r="H536" s="39">
        <v>0.15944295164288458</v>
      </c>
      <c r="I536" s="39">
        <v>0.23105754395005307</v>
      </c>
      <c r="J536" s="39">
        <v>0.18147636425474856</v>
      </c>
    </row>
    <row r="537" spans="1:10" ht="11.25" customHeight="1" x14ac:dyDescent="0.2">
      <c r="A537" s="74">
        <v>44409</v>
      </c>
      <c r="B537" s="65">
        <v>0</v>
      </c>
      <c r="C537" s="65">
        <v>0</v>
      </c>
      <c r="D537" s="65">
        <v>3.4699200000000001</v>
      </c>
      <c r="E537" s="65">
        <v>4.0231742867646787</v>
      </c>
      <c r="F537" s="65">
        <v>1.542</v>
      </c>
      <c r="G537" s="65">
        <v>1.8982907327709819</v>
      </c>
      <c r="H537" s="39">
        <v>0.1594429516428848</v>
      </c>
      <c r="I537" s="39">
        <v>0.23105754395005307</v>
      </c>
      <c r="J537" s="39">
        <v>0.18147636425474878</v>
      </c>
    </row>
    <row r="538" spans="1:10" ht="11.25" customHeight="1" x14ac:dyDescent="0.2">
      <c r="A538" s="74">
        <v>44440</v>
      </c>
      <c r="B538" s="65">
        <v>0</v>
      </c>
      <c r="C538" s="65">
        <v>0</v>
      </c>
      <c r="D538" s="65">
        <v>4.7711399999999999</v>
      </c>
      <c r="E538" s="65">
        <v>5.5318646443014323</v>
      </c>
      <c r="F538" s="65">
        <v>2.12025</v>
      </c>
      <c r="G538" s="65">
        <v>2.6101497575600998</v>
      </c>
      <c r="H538" s="39">
        <v>0.15944295164288458</v>
      </c>
      <c r="I538" s="39">
        <v>0.23105754395005307</v>
      </c>
      <c r="J538" s="39">
        <v>0.18147636425474878</v>
      </c>
    </row>
    <row r="539" spans="1:10" ht="11.25" customHeight="1" x14ac:dyDescent="0.2">
      <c r="A539" s="74">
        <v>44470</v>
      </c>
      <c r="B539" s="65">
        <v>0</v>
      </c>
      <c r="C539" s="65">
        <v>0</v>
      </c>
      <c r="D539" s="65">
        <v>5.2048800000000002</v>
      </c>
      <c r="E539" s="65">
        <v>6.034761430147018</v>
      </c>
      <c r="F539" s="65">
        <v>2.3130000000000002</v>
      </c>
      <c r="G539" s="65">
        <v>2.8474360991564729</v>
      </c>
      <c r="H539" s="39">
        <v>0.1594429516428848</v>
      </c>
      <c r="I539" s="39">
        <v>0.23105754395005307</v>
      </c>
      <c r="J539" s="39">
        <v>0.18147636425474878</v>
      </c>
    </row>
    <row r="540" spans="1:10" ht="11.25" customHeight="1" x14ac:dyDescent="0.2">
      <c r="A540" s="74">
        <v>44501</v>
      </c>
      <c r="B540" s="65">
        <v>0</v>
      </c>
      <c r="C540" s="65">
        <v>0</v>
      </c>
      <c r="D540" s="65">
        <v>4.3374000000000006</v>
      </c>
      <c r="E540" s="65">
        <v>5.0289678584558484</v>
      </c>
      <c r="F540" s="65">
        <v>1.9275</v>
      </c>
      <c r="G540" s="65">
        <v>2.3728634159637272</v>
      </c>
      <c r="H540" s="39">
        <v>0.15944295164288458</v>
      </c>
      <c r="I540" s="39">
        <v>0.23105754395005307</v>
      </c>
      <c r="J540" s="39">
        <v>0.18147636425474856</v>
      </c>
    </row>
    <row r="541" spans="1:10" ht="11.25" customHeight="1" x14ac:dyDescent="0.2">
      <c r="A541" s="74">
        <v>44531</v>
      </c>
      <c r="B541" s="65">
        <v>0</v>
      </c>
      <c r="C541" s="65">
        <v>0</v>
      </c>
      <c r="D541" s="65">
        <v>5.2048800000000002</v>
      </c>
      <c r="E541" s="65">
        <v>6.034761430147018</v>
      </c>
      <c r="F541" s="65">
        <v>2.3130000000000002</v>
      </c>
      <c r="G541" s="65">
        <v>2.8474360991564729</v>
      </c>
      <c r="H541" s="39">
        <v>0.1594429516428848</v>
      </c>
      <c r="I541" s="39">
        <v>0.23105754395005307</v>
      </c>
      <c r="J541" s="39">
        <v>0.18147636425474878</v>
      </c>
    </row>
    <row r="542" spans="1:10" ht="11.25" customHeight="1" x14ac:dyDescent="0.2">
      <c r="A542" s="74">
        <v>44562</v>
      </c>
      <c r="B542" s="65">
        <v>0</v>
      </c>
      <c r="C542" s="65">
        <v>0</v>
      </c>
      <c r="D542" s="65">
        <v>5.2048800000000002</v>
      </c>
      <c r="E542" s="65">
        <v>6.034761430147018</v>
      </c>
      <c r="F542" s="65">
        <v>2.3130000000000002</v>
      </c>
      <c r="G542" s="65">
        <v>2.8474360991564729</v>
      </c>
      <c r="H542" s="39">
        <v>0.1594429516428848</v>
      </c>
      <c r="I542" s="39">
        <v>0.23105754395005307</v>
      </c>
      <c r="J542" s="39">
        <v>0.18147636425474878</v>
      </c>
    </row>
    <row r="543" spans="1:10" ht="11.25" customHeight="1" x14ac:dyDescent="0.2">
      <c r="A543" s="73" t="s">
        <v>34</v>
      </c>
      <c r="B543" s="65">
        <v>0</v>
      </c>
      <c r="C543" s="65">
        <v>0</v>
      </c>
      <c r="D543" s="65">
        <v>114.09844000000001</v>
      </c>
      <c r="E543" s="65">
        <v>131.59089779037882</v>
      </c>
      <c r="F543" s="65">
        <v>53.553260000000009</v>
      </c>
      <c r="G543" s="65">
        <v>63.598385762415845</v>
      </c>
      <c r="H543" s="39">
        <v>0.1533102274700584</v>
      </c>
      <c r="I543" s="39">
        <v>0.18757262886359927</v>
      </c>
      <c r="J543" s="39">
        <v>0.1642547230525826</v>
      </c>
    </row>
    <row r="544" spans="1:10" ht="11.25" customHeight="1" x14ac:dyDescent="0.2">
      <c r="A544" s="74">
        <v>44228</v>
      </c>
      <c r="B544" s="65">
        <v>0</v>
      </c>
      <c r="C544" s="65">
        <v>0</v>
      </c>
      <c r="D544" s="65">
        <v>7.56074</v>
      </c>
      <c r="E544" s="65">
        <v>8.7198787692419693</v>
      </c>
      <c r="F544" s="65">
        <v>3.5487099999999998</v>
      </c>
      <c r="G544" s="65">
        <v>4.2143508637745448</v>
      </c>
      <c r="H544" s="39">
        <v>0.1533102274700584</v>
      </c>
      <c r="I544" s="39">
        <v>0.18757262886359971</v>
      </c>
      <c r="J544" s="39">
        <v>0.16425472305258282</v>
      </c>
    </row>
    <row r="545" spans="1:10" ht="11.25" customHeight="1" x14ac:dyDescent="0.2">
      <c r="A545" s="74">
        <v>44256</v>
      </c>
      <c r="B545" s="65">
        <v>0</v>
      </c>
      <c r="C545" s="65">
        <v>0</v>
      </c>
      <c r="D545" s="65">
        <v>9.6227600000000013</v>
      </c>
      <c r="E545" s="65">
        <v>11.09802752448978</v>
      </c>
      <c r="F545" s="65">
        <v>4.51654</v>
      </c>
      <c r="G545" s="65">
        <v>5.3637192811676027</v>
      </c>
      <c r="H545" s="39">
        <v>0.1533102274700584</v>
      </c>
      <c r="I545" s="39">
        <v>0.18757262886359971</v>
      </c>
      <c r="J545" s="39">
        <v>0.1642547230525826</v>
      </c>
    </row>
    <row r="546" spans="1:10" ht="11.25" customHeight="1" x14ac:dyDescent="0.2">
      <c r="A546" s="74">
        <v>44287</v>
      </c>
      <c r="B546" s="65">
        <v>0</v>
      </c>
      <c r="C546" s="65">
        <v>0</v>
      </c>
      <c r="D546" s="65">
        <v>8.9354200000000006</v>
      </c>
      <c r="E546" s="65">
        <v>10.305311272740509</v>
      </c>
      <c r="F546" s="65">
        <v>4.1939299999999999</v>
      </c>
      <c r="G546" s="65">
        <v>4.9805964753699161</v>
      </c>
      <c r="H546" s="39">
        <v>0.1533102274700584</v>
      </c>
      <c r="I546" s="39">
        <v>0.18757262886359949</v>
      </c>
      <c r="J546" s="39">
        <v>0.1642547230525826</v>
      </c>
    </row>
    <row r="547" spans="1:10" ht="11.25" customHeight="1" x14ac:dyDescent="0.2">
      <c r="A547" s="74">
        <v>44317</v>
      </c>
      <c r="B547" s="65">
        <v>0</v>
      </c>
      <c r="C547" s="65">
        <v>0</v>
      </c>
      <c r="D547" s="65">
        <v>10.3101</v>
      </c>
      <c r="E547" s="65">
        <v>11.890743776239049</v>
      </c>
      <c r="F547" s="65">
        <v>4.8391500000000001</v>
      </c>
      <c r="G547" s="65">
        <v>5.7468420869652883</v>
      </c>
      <c r="H547" s="39">
        <v>0.1533102274700584</v>
      </c>
      <c r="I547" s="39">
        <v>0.18757262886359971</v>
      </c>
      <c r="J547" s="39">
        <v>0.1642547230525826</v>
      </c>
    </row>
    <row r="548" spans="1:10" ht="11.25" customHeight="1" x14ac:dyDescent="0.2">
      <c r="A548" s="74">
        <v>44348</v>
      </c>
      <c r="B548" s="65">
        <v>0</v>
      </c>
      <c r="C548" s="65">
        <v>0</v>
      </c>
      <c r="D548" s="65">
        <v>8.9354200000000006</v>
      </c>
      <c r="E548" s="65">
        <v>10.305311272740509</v>
      </c>
      <c r="F548" s="65">
        <v>4.1939299999999999</v>
      </c>
      <c r="G548" s="65">
        <v>4.9805964753699161</v>
      </c>
      <c r="H548" s="39">
        <v>0.1533102274700584</v>
      </c>
      <c r="I548" s="39">
        <v>0.18757262886359949</v>
      </c>
      <c r="J548" s="39">
        <v>0.1642547230525826</v>
      </c>
    </row>
    <row r="549" spans="1:10" ht="11.25" customHeight="1" x14ac:dyDescent="0.2">
      <c r="A549" s="74">
        <v>44378</v>
      </c>
      <c r="B549" s="65">
        <v>0</v>
      </c>
      <c r="C549" s="65">
        <v>0</v>
      </c>
      <c r="D549" s="65">
        <v>8.9354200000000006</v>
      </c>
      <c r="E549" s="65">
        <v>10.305311272740509</v>
      </c>
      <c r="F549" s="65">
        <v>4.1939299999999999</v>
      </c>
      <c r="G549" s="65">
        <v>4.9805964753699161</v>
      </c>
      <c r="H549" s="39">
        <v>0.1533102274700584</v>
      </c>
      <c r="I549" s="39">
        <v>0.18757262886359949</v>
      </c>
      <c r="J549" s="39">
        <v>0.1642547230525826</v>
      </c>
    </row>
    <row r="550" spans="1:10" ht="11.25" customHeight="1" x14ac:dyDescent="0.2">
      <c r="A550" s="74">
        <v>44409</v>
      </c>
      <c r="B550" s="65">
        <v>0</v>
      </c>
      <c r="C550" s="65">
        <v>0</v>
      </c>
      <c r="D550" s="65">
        <v>8.2480799999999999</v>
      </c>
      <c r="E550" s="65">
        <v>9.51259502099124</v>
      </c>
      <c r="F550" s="65">
        <v>3.8713200000000003</v>
      </c>
      <c r="G550" s="65">
        <v>4.5974736695722305</v>
      </c>
      <c r="H550" s="39">
        <v>0.1533102274700584</v>
      </c>
      <c r="I550" s="39">
        <v>0.18757262886359949</v>
      </c>
      <c r="J550" s="39">
        <v>0.1642547230525826</v>
      </c>
    </row>
    <row r="551" spans="1:10" ht="11.25" customHeight="1" x14ac:dyDescent="0.2">
      <c r="A551" s="74">
        <v>44440</v>
      </c>
      <c r="B551" s="65">
        <v>0</v>
      </c>
      <c r="C551" s="65">
        <v>0</v>
      </c>
      <c r="D551" s="65">
        <v>8.9354200000000006</v>
      </c>
      <c r="E551" s="65">
        <v>10.305311272740509</v>
      </c>
      <c r="F551" s="65">
        <v>4.1939299999999999</v>
      </c>
      <c r="G551" s="65">
        <v>4.9805964753699161</v>
      </c>
      <c r="H551" s="39">
        <v>0.1533102274700584</v>
      </c>
      <c r="I551" s="39">
        <v>0.18757262886359949</v>
      </c>
      <c r="J551" s="39">
        <v>0.1642547230525826</v>
      </c>
    </row>
    <row r="552" spans="1:10" ht="11.25" customHeight="1" x14ac:dyDescent="0.2">
      <c r="A552" s="74">
        <v>44470</v>
      </c>
      <c r="B552" s="65">
        <v>0</v>
      </c>
      <c r="C552" s="65">
        <v>0</v>
      </c>
      <c r="D552" s="65">
        <v>10.3101</v>
      </c>
      <c r="E552" s="65">
        <v>11.890743776239049</v>
      </c>
      <c r="F552" s="65">
        <v>4.8391500000000001</v>
      </c>
      <c r="G552" s="65">
        <v>5.7468420869652883</v>
      </c>
      <c r="H552" s="39">
        <v>0.1533102274700584</v>
      </c>
      <c r="I552" s="39">
        <v>0.18757262886359971</v>
      </c>
      <c r="J552" s="39">
        <v>0.1642547230525826</v>
      </c>
    </row>
    <row r="553" spans="1:10" ht="11.25" customHeight="1" x14ac:dyDescent="0.2">
      <c r="A553" s="74">
        <v>44501</v>
      </c>
      <c r="B553" s="65">
        <v>0</v>
      </c>
      <c r="C553" s="65">
        <v>0</v>
      </c>
      <c r="D553" s="65">
        <v>10.3101</v>
      </c>
      <c r="E553" s="65">
        <v>11.890743776239049</v>
      </c>
      <c r="F553" s="65">
        <v>4.8391500000000001</v>
      </c>
      <c r="G553" s="65">
        <v>5.7468420869652883</v>
      </c>
      <c r="H553" s="39">
        <v>0.1533102274700584</v>
      </c>
      <c r="I553" s="39">
        <v>0.18757262886359971</v>
      </c>
      <c r="J553" s="39">
        <v>0.1642547230525826</v>
      </c>
    </row>
    <row r="554" spans="1:10" ht="11.25" customHeight="1" x14ac:dyDescent="0.2">
      <c r="A554" s="74">
        <v>44531</v>
      </c>
      <c r="B554" s="65">
        <v>0</v>
      </c>
      <c r="C554" s="65">
        <v>0</v>
      </c>
      <c r="D554" s="65">
        <v>10.997440000000001</v>
      </c>
      <c r="E554" s="65">
        <v>12.683460027988319</v>
      </c>
      <c r="F554" s="65">
        <v>5.1617600000000001</v>
      </c>
      <c r="G554" s="65">
        <v>6.129964892762974</v>
      </c>
      <c r="H554" s="39">
        <v>0.1533102274700584</v>
      </c>
      <c r="I554" s="39">
        <v>0.18757262886359949</v>
      </c>
      <c r="J554" s="39">
        <v>0.1642547230525826</v>
      </c>
    </row>
    <row r="555" spans="1:10" ht="11.25" customHeight="1" x14ac:dyDescent="0.2">
      <c r="A555" s="74">
        <v>44562</v>
      </c>
      <c r="B555" s="65">
        <v>0</v>
      </c>
      <c r="C555" s="65">
        <v>0</v>
      </c>
      <c r="D555" s="65">
        <v>10.997440000000001</v>
      </c>
      <c r="E555" s="65">
        <v>12.683460027988319</v>
      </c>
      <c r="F555" s="65">
        <v>5.1617600000000001</v>
      </c>
      <c r="G555" s="65">
        <v>6.129964892762974</v>
      </c>
      <c r="H555" s="39">
        <v>0.1533102274700584</v>
      </c>
      <c r="I555" s="39">
        <v>0.18757262886359949</v>
      </c>
      <c r="J555" s="39">
        <v>0.1642547230525826</v>
      </c>
    </row>
    <row r="556" spans="1:10" ht="11.25" customHeight="1" x14ac:dyDescent="0.2">
      <c r="A556" s="68" t="s">
        <v>23</v>
      </c>
      <c r="B556" s="65">
        <v>0</v>
      </c>
      <c r="C556" s="65">
        <v>0</v>
      </c>
      <c r="D556" s="65">
        <v>5632129.8614988001</v>
      </c>
      <c r="E556" s="65">
        <v>6598121.7893837262</v>
      </c>
      <c r="F556" s="65">
        <v>4559503.2049046</v>
      </c>
      <c r="G556" s="65">
        <v>5586872.5932860244</v>
      </c>
      <c r="H556" s="39">
        <v>0.1715144983585053</v>
      </c>
      <c r="I556" s="39">
        <v>0.22532485277700731</v>
      </c>
      <c r="J556" s="39">
        <v>0.19558801845382745</v>
      </c>
    </row>
    <row r="557" spans="1:10" ht="11.25" customHeight="1" x14ac:dyDescent="0.2">
      <c r="A557" s="69" t="s">
        <v>44</v>
      </c>
      <c r="B557" s="65">
        <v>0</v>
      </c>
      <c r="C557" s="65">
        <v>0</v>
      </c>
      <c r="D557" s="65">
        <v>5632129.8614988001</v>
      </c>
      <c r="E557" s="65">
        <v>6598121.7893837262</v>
      </c>
      <c r="F557" s="65">
        <v>4559503.2049046</v>
      </c>
      <c r="G557" s="65">
        <v>5586872.5932860244</v>
      </c>
      <c r="H557" s="39">
        <v>0.1715144983585053</v>
      </c>
      <c r="I557" s="39">
        <v>0.22532485277700731</v>
      </c>
      <c r="J557" s="39">
        <v>0.19558801845382745</v>
      </c>
    </row>
    <row r="558" spans="1:10" ht="11.25" customHeight="1" x14ac:dyDescent="0.2">
      <c r="A558" s="70" t="s">
        <v>52</v>
      </c>
      <c r="B558" s="65">
        <v>0</v>
      </c>
      <c r="C558" s="65">
        <v>0</v>
      </c>
      <c r="D558" s="65">
        <v>514906.28849880007</v>
      </c>
      <c r="E558" s="65">
        <v>603220.18227231165</v>
      </c>
      <c r="F558" s="65">
        <v>416843.52640459995</v>
      </c>
      <c r="G558" s="65">
        <v>510768.73262276524</v>
      </c>
      <c r="H558" s="39">
        <v>0.17151449835850574</v>
      </c>
      <c r="I558" s="39">
        <v>0.22532485277700776</v>
      </c>
      <c r="J558" s="39">
        <v>0.19558801845382789</v>
      </c>
    </row>
    <row r="559" spans="1:10" ht="11.25" customHeight="1" x14ac:dyDescent="0.2">
      <c r="A559" s="71" t="s">
        <v>53</v>
      </c>
      <c r="B559" s="65">
        <v>0</v>
      </c>
      <c r="C559" s="65">
        <v>0</v>
      </c>
      <c r="D559" s="65">
        <v>389918.90520000004</v>
      </c>
      <c r="E559" s="65">
        <v>456795.65062587569</v>
      </c>
      <c r="F559" s="65">
        <v>315659.71340000001</v>
      </c>
      <c r="G559" s="65">
        <v>386785.69184948748</v>
      </c>
      <c r="H559" s="39">
        <v>0.17151449835850507</v>
      </c>
      <c r="I559" s="39">
        <v>0.22532485277700798</v>
      </c>
      <c r="J559" s="39">
        <v>0.19558801845382767</v>
      </c>
    </row>
    <row r="560" spans="1:10" ht="11.25" customHeight="1" x14ac:dyDescent="0.2">
      <c r="A560" s="72" t="s">
        <v>25</v>
      </c>
      <c r="B560" s="65">
        <v>0</v>
      </c>
      <c r="C560" s="65">
        <v>0</v>
      </c>
      <c r="D560" s="65">
        <v>389918.90520000004</v>
      </c>
      <c r="E560" s="65">
        <v>456795.65062587569</v>
      </c>
      <c r="F560" s="65">
        <v>315659.71340000001</v>
      </c>
      <c r="G560" s="65">
        <v>386785.69184948748</v>
      </c>
      <c r="H560" s="39">
        <v>0.17151449835850507</v>
      </c>
      <c r="I560" s="39">
        <v>0.22532485277700798</v>
      </c>
      <c r="J560" s="39">
        <v>0.19558801845382767</v>
      </c>
    </row>
    <row r="561" spans="1:10" ht="11.25" customHeight="1" x14ac:dyDescent="0.2">
      <c r="A561" s="73" t="s">
        <v>25</v>
      </c>
      <c r="B561" s="65">
        <v>0</v>
      </c>
      <c r="C561" s="65">
        <v>0</v>
      </c>
      <c r="D561" s="65">
        <v>389918.90520000004</v>
      </c>
      <c r="E561" s="65">
        <v>456795.65062587569</v>
      </c>
      <c r="F561" s="65">
        <v>315659.71340000001</v>
      </c>
      <c r="G561" s="65">
        <v>386785.69184948748</v>
      </c>
      <c r="H561" s="39">
        <v>0.17151449835850507</v>
      </c>
      <c r="I561" s="39">
        <v>0.22532485277700798</v>
      </c>
      <c r="J561" s="39">
        <v>0.19558801845382767</v>
      </c>
    </row>
    <row r="562" spans="1:10" ht="11.25" customHeight="1" x14ac:dyDescent="0.2">
      <c r="A562" s="74">
        <v>44228</v>
      </c>
      <c r="B562" s="65">
        <v>0</v>
      </c>
      <c r="C562" s="65">
        <v>0</v>
      </c>
      <c r="D562" s="65">
        <v>32262.820920000002</v>
      </c>
      <c r="E562" s="65">
        <v>37796.362465724102</v>
      </c>
      <c r="F562" s="65">
        <v>26118.438139999998</v>
      </c>
      <c r="G562" s="65">
        <v>32003.571368660891</v>
      </c>
      <c r="H562" s="39">
        <v>0.17151449835850552</v>
      </c>
      <c r="I562" s="39">
        <v>0.22532485277700798</v>
      </c>
      <c r="J562" s="39">
        <v>0.19558801845382812</v>
      </c>
    </row>
    <row r="563" spans="1:10" ht="11.25" customHeight="1" x14ac:dyDescent="0.2">
      <c r="A563" s="74">
        <v>44256</v>
      </c>
      <c r="B563" s="65">
        <v>0</v>
      </c>
      <c r="C563" s="65">
        <v>0</v>
      </c>
      <c r="D563" s="65">
        <v>33496.483679999998</v>
      </c>
      <c r="E563" s="65">
        <v>39241.616275149077</v>
      </c>
      <c r="F563" s="65">
        <v>27117.152559999995</v>
      </c>
      <c r="G563" s="65">
        <v>33227.320968313659</v>
      </c>
      <c r="H563" s="39">
        <v>0.17151449835850596</v>
      </c>
      <c r="I563" s="39">
        <v>0.22532485277700798</v>
      </c>
      <c r="J563" s="39">
        <v>0.19558801845382834</v>
      </c>
    </row>
    <row r="564" spans="1:10" ht="11.25" customHeight="1" x14ac:dyDescent="0.2">
      <c r="A564" s="74">
        <v>44287</v>
      </c>
      <c r="B564" s="65">
        <v>0</v>
      </c>
      <c r="C564" s="65">
        <v>0</v>
      </c>
      <c r="D564" s="65">
        <v>28045.333800000004</v>
      </c>
      <c r="E564" s="65">
        <v>32855.515158003844</v>
      </c>
      <c r="F564" s="65">
        <v>22704.162099999998</v>
      </c>
      <c r="G564" s="65">
        <v>27819.974082607823</v>
      </c>
      <c r="H564" s="39">
        <v>0.17151449835850552</v>
      </c>
      <c r="I564" s="39">
        <v>0.22532485277700798</v>
      </c>
      <c r="J564" s="39">
        <v>0.19558801845382789</v>
      </c>
    </row>
    <row r="565" spans="1:10" ht="11.25" customHeight="1" x14ac:dyDescent="0.2">
      <c r="A565" s="74">
        <v>44317</v>
      </c>
      <c r="B565" s="65">
        <v>0</v>
      </c>
      <c r="C565" s="65">
        <v>0</v>
      </c>
      <c r="D565" s="65">
        <v>20720.55546</v>
      </c>
      <c r="E565" s="65">
        <v>24274.431135431496</v>
      </c>
      <c r="F565" s="65">
        <v>16774.371569999996</v>
      </c>
      <c r="G565" s="65">
        <v>20554.054374437073</v>
      </c>
      <c r="H565" s="39">
        <v>0.17151449835850574</v>
      </c>
      <c r="I565" s="39">
        <v>0.22532485277700798</v>
      </c>
      <c r="J565" s="39">
        <v>0.19558801845382812</v>
      </c>
    </row>
    <row r="566" spans="1:10" ht="11.25" customHeight="1" x14ac:dyDescent="0.2">
      <c r="A566" s="74">
        <v>44348</v>
      </c>
      <c r="B566" s="65">
        <v>0</v>
      </c>
      <c r="C566" s="65">
        <v>0</v>
      </c>
      <c r="D566" s="65">
        <v>25952.432219999999</v>
      </c>
      <c r="E566" s="65">
        <v>30403.650613396421</v>
      </c>
      <c r="F566" s="65">
        <v>21009.848990000002</v>
      </c>
      <c r="G566" s="65">
        <v>25743.890120538916</v>
      </c>
      <c r="H566" s="39">
        <v>0.17151449835850574</v>
      </c>
      <c r="I566" s="39">
        <v>0.22532485277700776</v>
      </c>
      <c r="J566" s="39">
        <v>0.19558801845382789</v>
      </c>
    </row>
    <row r="567" spans="1:10" ht="11.25" customHeight="1" x14ac:dyDescent="0.2">
      <c r="A567" s="74">
        <v>44378</v>
      </c>
      <c r="B567" s="65">
        <v>0</v>
      </c>
      <c r="C567" s="65">
        <v>0</v>
      </c>
      <c r="D567" s="65">
        <v>26511.93072</v>
      </c>
      <c r="E567" s="65">
        <v>31059.111217956259</v>
      </c>
      <c r="F567" s="65">
        <v>21462.792239999999</v>
      </c>
      <c r="G567" s="65">
        <v>26298.892741661508</v>
      </c>
      <c r="H567" s="39">
        <v>0.17151449835850574</v>
      </c>
      <c r="I567" s="39">
        <v>0.22532485277700798</v>
      </c>
      <c r="J567" s="39">
        <v>0.19558801845382812</v>
      </c>
    </row>
    <row r="568" spans="1:10" ht="11.25" customHeight="1" x14ac:dyDescent="0.2">
      <c r="A568" s="74">
        <v>44409</v>
      </c>
      <c r="B568" s="65">
        <v>0</v>
      </c>
      <c r="C568" s="65">
        <v>0</v>
      </c>
      <c r="D568" s="65">
        <v>25314.729660000001</v>
      </c>
      <c r="E568" s="65">
        <v>29656.572818716086</v>
      </c>
      <c r="F568" s="65">
        <v>20493.595469999997</v>
      </c>
      <c r="G568" s="65">
        <v>25111.311852149305</v>
      </c>
      <c r="H568" s="39">
        <v>0.17151449835850574</v>
      </c>
      <c r="I568" s="39">
        <v>0.22532485277700798</v>
      </c>
      <c r="J568" s="39">
        <v>0.19558801845382789</v>
      </c>
    </row>
    <row r="569" spans="1:10" ht="11.25" customHeight="1" x14ac:dyDescent="0.2">
      <c r="A569" s="74">
        <v>44440</v>
      </c>
      <c r="B569" s="65">
        <v>0</v>
      </c>
      <c r="C569" s="65">
        <v>0</v>
      </c>
      <c r="D569" s="65">
        <v>42149.222280000002</v>
      </c>
      <c r="E569" s="65">
        <v>49378.424995555353</v>
      </c>
      <c r="F569" s="65">
        <v>34121.99626</v>
      </c>
      <c r="G569" s="65">
        <v>41810.530043742117</v>
      </c>
      <c r="H569" s="39">
        <v>0.17151449835850574</v>
      </c>
      <c r="I569" s="39">
        <v>0.22532485277700798</v>
      </c>
      <c r="J569" s="39">
        <v>0.19558801845382789</v>
      </c>
    </row>
    <row r="570" spans="1:10" ht="11.25" customHeight="1" x14ac:dyDescent="0.2">
      <c r="A570" s="74">
        <v>44470</v>
      </c>
      <c r="B570" s="65">
        <v>0</v>
      </c>
      <c r="C570" s="65">
        <v>0</v>
      </c>
      <c r="D570" s="65">
        <v>38322.252540000009</v>
      </c>
      <c r="E570" s="65">
        <v>44895.074460366071</v>
      </c>
      <c r="F570" s="65">
        <v>31023.864430000001</v>
      </c>
      <c r="G570" s="65">
        <v>38014.312115263601</v>
      </c>
      <c r="H570" s="39">
        <v>0.17151449835850552</v>
      </c>
      <c r="I570" s="39">
        <v>0.22532485277700776</v>
      </c>
      <c r="J570" s="39">
        <v>0.19558801845382789</v>
      </c>
    </row>
    <row r="571" spans="1:10" ht="11.25" customHeight="1" x14ac:dyDescent="0.2">
      <c r="A571" s="74">
        <v>44501</v>
      </c>
      <c r="B571" s="65">
        <v>0</v>
      </c>
      <c r="C571" s="65">
        <v>0</v>
      </c>
      <c r="D571" s="65">
        <v>33624.225360000011</v>
      </c>
      <c r="E571" s="65">
        <v>39391.26750531375</v>
      </c>
      <c r="F571" s="65">
        <v>27220.56612</v>
      </c>
      <c r="G571" s="65">
        <v>33354.036173495806</v>
      </c>
      <c r="H571" s="39">
        <v>0.17151449835850552</v>
      </c>
      <c r="I571" s="39">
        <v>0.22532485277700776</v>
      </c>
      <c r="J571" s="39">
        <v>0.19558801845382767</v>
      </c>
    </row>
    <row r="572" spans="1:10" ht="11.25" customHeight="1" x14ac:dyDescent="0.2">
      <c r="A572" s="74">
        <v>44531</v>
      </c>
      <c r="B572" s="65">
        <v>0</v>
      </c>
      <c r="C572" s="65">
        <v>0</v>
      </c>
      <c r="D572" s="65">
        <v>41759.459279999995</v>
      </c>
      <c r="E572" s="65">
        <v>48921.811990131646</v>
      </c>
      <c r="F572" s="65">
        <v>33806.462759999995</v>
      </c>
      <c r="G572" s="65">
        <v>41423.89900430839</v>
      </c>
      <c r="H572" s="39">
        <v>0.17151449835850574</v>
      </c>
      <c r="I572" s="39">
        <v>0.22532485277700776</v>
      </c>
      <c r="J572" s="39">
        <v>0.19558801845382812</v>
      </c>
    </row>
    <row r="573" spans="1:10" ht="11.25" customHeight="1" x14ac:dyDescent="0.2">
      <c r="A573" s="74">
        <v>44562</v>
      </c>
      <c r="B573" s="65">
        <v>0</v>
      </c>
      <c r="C573" s="65">
        <v>0</v>
      </c>
      <c r="D573" s="65">
        <v>41759.459279999995</v>
      </c>
      <c r="E573" s="65">
        <v>48921.811990131646</v>
      </c>
      <c r="F573" s="65">
        <v>33806.462759999995</v>
      </c>
      <c r="G573" s="65">
        <v>41423.89900430839</v>
      </c>
      <c r="H573" s="39">
        <v>0.17151449835850574</v>
      </c>
      <c r="I573" s="39">
        <v>0.22532485277700776</v>
      </c>
      <c r="J573" s="39">
        <v>0.19558801845382812</v>
      </c>
    </row>
    <row r="574" spans="1:10" ht="11.25" customHeight="1" x14ac:dyDescent="0.2">
      <c r="A574" s="71" t="s">
        <v>54</v>
      </c>
      <c r="B574" s="65">
        <v>0</v>
      </c>
      <c r="C574" s="65">
        <v>0</v>
      </c>
      <c r="D574" s="65">
        <v>124987.38329879999</v>
      </c>
      <c r="E574" s="65">
        <v>146424.53164643596</v>
      </c>
      <c r="F574" s="65">
        <v>101183.8130046</v>
      </c>
      <c r="G574" s="65">
        <v>123983.04077327781</v>
      </c>
      <c r="H574" s="39">
        <v>0.17151449835850552</v>
      </c>
      <c r="I574" s="39">
        <v>0.22532485277700798</v>
      </c>
      <c r="J574" s="39">
        <v>0.19558801845382789</v>
      </c>
    </row>
    <row r="575" spans="1:10" ht="11.25" customHeight="1" x14ac:dyDescent="0.2">
      <c r="A575" s="72" t="s">
        <v>25</v>
      </c>
      <c r="B575" s="65">
        <v>0</v>
      </c>
      <c r="C575" s="65">
        <v>0</v>
      </c>
      <c r="D575" s="65">
        <v>124987.38329879999</v>
      </c>
      <c r="E575" s="65">
        <v>146424.53164643596</v>
      </c>
      <c r="F575" s="65">
        <v>101183.8130046</v>
      </c>
      <c r="G575" s="65">
        <v>123983.04077327781</v>
      </c>
      <c r="H575" s="39">
        <v>0.17151449835850552</v>
      </c>
      <c r="I575" s="39">
        <v>0.22532485277700798</v>
      </c>
      <c r="J575" s="39">
        <v>0.19558801845382789</v>
      </c>
    </row>
    <row r="576" spans="1:10" ht="11.25" customHeight="1" x14ac:dyDescent="0.2">
      <c r="A576" s="73" t="s">
        <v>25</v>
      </c>
      <c r="B576" s="65">
        <v>0</v>
      </c>
      <c r="C576" s="65">
        <v>0</v>
      </c>
      <c r="D576" s="65">
        <v>124987.38329879999</v>
      </c>
      <c r="E576" s="65">
        <v>146424.53164643596</v>
      </c>
      <c r="F576" s="65">
        <v>101183.8130046</v>
      </c>
      <c r="G576" s="65">
        <v>123983.04077327781</v>
      </c>
      <c r="H576" s="39">
        <v>0.17151449835850552</v>
      </c>
      <c r="I576" s="39">
        <v>0.22532485277700798</v>
      </c>
      <c r="J576" s="39">
        <v>0.19558801845382789</v>
      </c>
    </row>
    <row r="577" spans="1:10" ht="11.25" customHeight="1" x14ac:dyDescent="0.2">
      <c r="A577" s="74">
        <v>44228</v>
      </c>
      <c r="B577" s="65">
        <v>0</v>
      </c>
      <c r="C577" s="65">
        <v>0</v>
      </c>
      <c r="D577" s="65">
        <v>12123.7993998</v>
      </c>
      <c r="E577" s="65">
        <v>14203.206772055852</v>
      </c>
      <c r="F577" s="65">
        <v>9814.8486591000001</v>
      </c>
      <c r="G577" s="65">
        <v>12026.377988240321</v>
      </c>
      <c r="H577" s="39">
        <v>0.17151449835850596</v>
      </c>
      <c r="I577" s="39">
        <v>0.22532485277700798</v>
      </c>
      <c r="J577" s="39">
        <v>0.19558801845382812</v>
      </c>
    </row>
    <row r="578" spans="1:10" ht="11.25" customHeight="1" x14ac:dyDescent="0.2">
      <c r="A578" s="74">
        <v>44256</v>
      </c>
      <c r="B578" s="65">
        <v>0</v>
      </c>
      <c r="C578" s="65">
        <v>0</v>
      </c>
      <c r="D578" s="65">
        <v>10458.490462199999</v>
      </c>
      <c r="E578" s="65">
        <v>12252.273207411448</v>
      </c>
      <c r="F578" s="65">
        <v>8466.6941198999994</v>
      </c>
      <c r="G578" s="65">
        <v>10374.450725974424</v>
      </c>
      <c r="H578" s="39">
        <v>0.17151449835850574</v>
      </c>
      <c r="I578" s="39">
        <v>0.22532485277700776</v>
      </c>
      <c r="J578" s="39">
        <v>0.19558801845382789</v>
      </c>
    </row>
    <row r="579" spans="1:10" ht="11.25" customHeight="1" x14ac:dyDescent="0.2">
      <c r="A579" s="74">
        <v>44287</v>
      </c>
      <c r="B579" s="65">
        <v>0</v>
      </c>
      <c r="C579" s="65">
        <v>0</v>
      </c>
      <c r="D579" s="65">
        <v>7578.6900750000004</v>
      </c>
      <c r="E579" s="65">
        <v>8878.545301428212</v>
      </c>
      <c r="F579" s="65">
        <v>6135.3453374999999</v>
      </c>
      <c r="G579" s="65">
        <v>7517.7911224082891</v>
      </c>
      <c r="H579" s="39">
        <v>0.17151449835850574</v>
      </c>
      <c r="I579" s="39">
        <v>0.22532485277700798</v>
      </c>
      <c r="J579" s="39">
        <v>0.19558801845382812</v>
      </c>
    </row>
    <row r="580" spans="1:10" ht="11.25" customHeight="1" x14ac:dyDescent="0.2">
      <c r="A580" s="74">
        <v>44317</v>
      </c>
      <c r="B580" s="65">
        <v>0</v>
      </c>
      <c r="C580" s="65">
        <v>0</v>
      </c>
      <c r="D580" s="65">
        <v>5595.9078582000002</v>
      </c>
      <c r="E580" s="65">
        <v>6555.6871873595928</v>
      </c>
      <c r="F580" s="65">
        <v>4530.1796019000003</v>
      </c>
      <c r="G580" s="65">
        <v>5550.9416537515217</v>
      </c>
      <c r="H580" s="39">
        <v>0.17151449835850552</v>
      </c>
      <c r="I580" s="39">
        <v>0.22532485277700776</v>
      </c>
      <c r="J580" s="39">
        <v>0.19558801845382789</v>
      </c>
    </row>
    <row r="581" spans="1:10" ht="11.25" customHeight="1" x14ac:dyDescent="0.2">
      <c r="A581" s="74">
        <v>44348</v>
      </c>
      <c r="B581" s="65">
        <v>0</v>
      </c>
      <c r="C581" s="65">
        <v>0</v>
      </c>
      <c r="D581" s="65">
        <v>8078.3913870000006</v>
      </c>
      <c r="E581" s="65">
        <v>9463.9526332849782</v>
      </c>
      <c r="F581" s="65">
        <v>6539.8796415000006</v>
      </c>
      <c r="G581" s="65">
        <v>8013.4770589003383</v>
      </c>
      <c r="H581" s="39">
        <v>0.17151449835850574</v>
      </c>
      <c r="I581" s="39">
        <v>0.22532485277700776</v>
      </c>
      <c r="J581" s="39">
        <v>0.19558801845382789</v>
      </c>
    </row>
    <row r="582" spans="1:10" ht="11.25" customHeight="1" x14ac:dyDescent="0.2">
      <c r="A582" s="74">
        <v>44378</v>
      </c>
      <c r="B582" s="65">
        <v>0</v>
      </c>
      <c r="C582" s="65">
        <v>0</v>
      </c>
      <c r="D582" s="65">
        <v>9840.8569248000003</v>
      </c>
      <c r="E582" s="65">
        <v>11528.706563674899</v>
      </c>
      <c r="F582" s="65">
        <v>7966.6875215999999</v>
      </c>
      <c r="G582" s="65">
        <v>9761.7802145249461</v>
      </c>
      <c r="H582" s="39">
        <v>0.17151449835850574</v>
      </c>
      <c r="I582" s="39">
        <v>0.22532485277700798</v>
      </c>
      <c r="J582" s="39">
        <v>0.19558801845382812</v>
      </c>
    </row>
    <row r="583" spans="1:10" ht="11.25" customHeight="1" x14ac:dyDescent="0.2">
      <c r="A583" s="74">
        <v>44409</v>
      </c>
      <c r="B583" s="65">
        <v>0</v>
      </c>
      <c r="C583" s="65">
        <v>0</v>
      </c>
      <c r="D583" s="65">
        <v>8948.4555600000003</v>
      </c>
      <c r="E583" s="65">
        <v>10483.24542645678</v>
      </c>
      <c r="F583" s="65">
        <v>7244.2420199999997</v>
      </c>
      <c r="G583" s="65">
        <v>8876.5497866375135</v>
      </c>
      <c r="H583" s="39">
        <v>0.17151449835850552</v>
      </c>
      <c r="I583" s="39">
        <v>0.22532485277700776</v>
      </c>
      <c r="J583" s="39">
        <v>0.19558801845382789</v>
      </c>
    </row>
    <row r="584" spans="1:10" ht="11.25" customHeight="1" x14ac:dyDescent="0.2">
      <c r="A584" s="74">
        <v>44440</v>
      </c>
      <c r="B584" s="65">
        <v>0</v>
      </c>
      <c r="C584" s="65">
        <v>0</v>
      </c>
      <c r="D584" s="65">
        <v>13237.400068200001</v>
      </c>
      <c r="E584" s="65">
        <v>15507.806100468171</v>
      </c>
      <c r="F584" s="65">
        <v>10716.366546900001</v>
      </c>
      <c r="G584" s="65">
        <v>13131.030261384694</v>
      </c>
      <c r="H584" s="39">
        <v>0.17151449835850552</v>
      </c>
      <c r="I584" s="39">
        <v>0.22532485277700776</v>
      </c>
      <c r="J584" s="39">
        <v>0.19558801845382789</v>
      </c>
    </row>
    <row r="585" spans="1:10" ht="11.25" customHeight="1" x14ac:dyDescent="0.2">
      <c r="A585" s="74">
        <v>44470</v>
      </c>
      <c r="B585" s="65">
        <v>0</v>
      </c>
      <c r="C585" s="65">
        <v>0</v>
      </c>
      <c r="D585" s="65">
        <v>13181.5910358</v>
      </c>
      <c r="E585" s="65">
        <v>15442.425009872211</v>
      </c>
      <c r="F585" s="65">
        <v>10671.186221100001</v>
      </c>
      <c r="G585" s="65">
        <v>13075.669685325392</v>
      </c>
      <c r="H585" s="39">
        <v>0.17151449835850552</v>
      </c>
      <c r="I585" s="39">
        <v>0.22532485277700776</v>
      </c>
      <c r="J585" s="39">
        <v>0.19558801845382789</v>
      </c>
    </row>
    <row r="586" spans="1:10" ht="11.25" customHeight="1" x14ac:dyDescent="0.2">
      <c r="A586" s="74">
        <v>44501</v>
      </c>
      <c r="B586" s="65">
        <v>0</v>
      </c>
      <c r="C586" s="65">
        <v>0</v>
      </c>
      <c r="D586" s="65">
        <v>11891.4654474</v>
      </c>
      <c r="E586" s="65">
        <v>13931.024178358315</v>
      </c>
      <c r="F586" s="65">
        <v>9626.7621932999991</v>
      </c>
      <c r="G586" s="65">
        <v>11795.910967224589</v>
      </c>
      <c r="H586" s="39">
        <v>0.17151449835850574</v>
      </c>
      <c r="I586" s="39">
        <v>0.22532485277700798</v>
      </c>
      <c r="J586" s="39">
        <v>0.19558801845382789</v>
      </c>
    </row>
    <row r="587" spans="1:10" ht="11.25" customHeight="1" x14ac:dyDescent="0.2">
      <c r="A587" s="74">
        <v>44531</v>
      </c>
      <c r="B587" s="65">
        <v>0</v>
      </c>
      <c r="C587" s="65">
        <v>0</v>
      </c>
      <c r="D587" s="65">
        <v>12026.1675402</v>
      </c>
      <c r="E587" s="65">
        <v>14088.829633032747</v>
      </c>
      <c r="F587" s="65">
        <v>9735.810570900001</v>
      </c>
      <c r="G587" s="65">
        <v>11929.530654452879</v>
      </c>
      <c r="H587" s="39">
        <v>0.17151449835850552</v>
      </c>
      <c r="I587" s="39">
        <v>0.22532485277700776</v>
      </c>
      <c r="J587" s="39">
        <v>0.19558801845382789</v>
      </c>
    </row>
    <row r="588" spans="1:10" ht="11.25" customHeight="1" x14ac:dyDescent="0.2">
      <c r="A588" s="74">
        <v>44562</v>
      </c>
      <c r="B588" s="65">
        <v>0</v>
      </c>
      <c r="C588" s="65">
        <v>0</v>
      </c>
      <c r="D588" s="65">
        <v>12026.1675402</v>
      </c>
      <c r="E588" s="65">
        <v>14088.829633032747</v>
      </c>
      <c r="F588" s="65">
        <v>9735.810570900001</v>
      </c>
      <c r="G588" s="65">
        <v>11929.530654452879</v>
      </c>
      <c r="H588" s="39">
        <v>0.17151449835850552</v>
      </c>
      <c r="I588" s="39">
        <v>0.22532485277700776</v>
      </c>
      <c r="J588" s="39">
        <v>0.19558801845382789</v>
      </c>
    </row>
    <row r="589" spans="1:10" ht="11.25" customHeight="1" x14ac:dyDescent="0.2">
      <c r="A589" s="70" t="s">
        <v>25</v>
      </c>
      <c r="B589" s="65">
        <v>0</v>
      </c>
      <c r="C589" s="65">
        <v>0</v>
      </c>
      <c r="D589" s="65">
        <v>5117223.5729999999</v>
      </c>
      <c r="E589" s="65">
        <v>5994901.6071114149</v>
      </c>
      <c r="F589" s="65">
        <v>4142659.6784999995</v>
      </c>
      <c r="G589" s="65">
        <v>5076103.8606632594</v>
      </c>
      <c r="H589" s="39">
        <v>0.17151449835850507</v>
      </c>
      <c r="I589" s="39">
        <v>0.22532485277700798</v>
      </c>
      <c r="J589" s="39">
        <v>0.19558801845382789</v>
      </c>
    </row>
    <row r="590" spans="1:10" ht="11.25" customHeight="1" x14ac:dyDescent="0.2">
      <c r="A590" s="71" t="s">
        <v>25</v>
      </c>
      <c r="B590" s="65">
        <v>0</v>
      </c>
      <c r="C590" s="65">
        <v>0</v>
      </c>
      <c r="D590" s="65">
        <v>5117223.5729999999</v>
      </c>
      <c r="E590" s="65">
        <v>5994901.6071114149</v>
      </c>
      <c r="F590" s="65">
        <v>4142659.6784999995</v>
      </c>
      <c r="G590" s="65">
        <v>5076103.8606632594</v>
      </c>
      <c r="H590" s="39">
        <v>0.17151449835850507</v>
      </c>
      <c r="I590" s="39">
        <v>0.22532485277700798</v>
      </c>
      <c r="J590" s="39">
        <v>0.19558801845382789</v>
      </c>
    </row>
    <row r="591" spans="1:10" ht="11.25" customHeight="1" x14ac:dyDescent="0.2">
      <c r="A591" s="72" t="s">
        <v>25</v>
      </c>
      <c r="B591" s="65">
        <v>0</v>
      </c>
      <c r="C591" s="65">
        <v>0</v>
      </c>
      <c r="D591" s="65">
        <v>5117223.5729999999</v>
      </c>
      <c r="E591" s="65">
        <v>5994901.6071114149</v>
      </c>
      <c r="F591" s="65">
        <v>4142659.6784999995</v>
      </c>
      <c r="G591" s="65">
        <v>5076103.8606632594</v>
      </c>
      <c r="H591" s="39">
        <v>0.17151449835850507</v>
      </c>
      <c r="I591" s="39">
        <v>0.22532485277700798</v>
      </c>
      <c r="J591" s="39">
        <v>0.19558801845382789</v>
      </c>
    </row>
    <row r="592" spans="1:10" ht="11.25" customHeight="1" x14ac:dyDescent="0.2">
      <c r="A592" s="73" t="s">
        <v>25</v>
      </c>
      <c r="B592" s="65">
        <v>0</v>
      </c>
      <c r="C592" s="65">
        <v>0</v>
      </c>
      <c r="D592" s="65">
        <v>5117223.5729999999</v>
      </c>
      <c r="E592" s="65">
        <v>5994901.6071114149</v>
      </c>
      <c r="F592" s="65">
        <v>4142659.6784999995</v>
      </c>
      <c r="G592" s="65">
        <v>5076103.8606632594</v>
      </c>
      <c r="H592" s="39">
        <v>0.17151449835850507</v>
      </c>
      <c r="I592" s="39">
        <v>0.22532485277700798</v>
      </c>
      <c r="J592" s="39">
        <v>0.19558801845382789</v>
      </c>
    </row>
    <row r="593" spans="1:10" ht="11.25" customHeight="1" x14ac:dyDescent="0.2">
      <c r="A593" s="74">
        <v>44228</v>
      </c>
      <c r="B593" s="65">
        <v>0</v>
      </c>
      <c r="C593" s="65">
        <v>0</v>
      </c>
      <c r="D593" s="65">
        <v>433680.99192000006</v>
      </c>
      <c r="E593" s="65">
        <v>508063.56969677802</v>
      </c>
      <c r="F593" s="65">
        <v>351087.40763999999</v>
      </c>
      <c r="G593" s="65">
        <v>430196.12607834436</v>
      </c>
      <c r="H593" s="39">
        <v>0.17151449835850574</v>
      </c>
      <c r="I593" s="39">
        <v>0.22532485277700798</v>
      </c>
      <c r="J593" s="39">
        <v>0.19558801845382789</v>
      </c>
    </row>
    <row r="594" spans="1:10" ht="11.25" customHeight="1" x14ac:dyDescent="0.2">
      <c r="A594" s="74">
        <v>44256</v>
      </c>
      <c r="B594" s="65">
        <v>0</v>
      </c>
      <c r="C594" s="65">
        <v>0</v>
      </c>
      <c r="D594" s="65">
        <v>465602.58162000001</v>
      </c>
      <c r="E594" s="65">
        <v>545460.17484097939</v>
      </c>
      <c r="F594" s="65">
        <v>376929.60129000002</v>
      </c>
      <c r="G594" s="65">
        <v>461861.20820796548</v>
      </c>
      <c r="H594" s="39">
        <v>0.17151449835850552</v>
      </c>
      <c r="I594" s="39">
        <v>0.22532485277700776</v>
      </c>
      <c r="J594" s="39">
        <v>0.19558801845382789</v>
      </c>
    </row>
    <row r="595" spans="1:10" ht="11.25" customHeight="1" x14ac:dyDescent="0.2">
      <c r="A595" s="74">
        <v>44287</v>
      </c>
      <c r="B595" s="65">
        <v>0</v>
      </c>
      <c r="C595" s="65">
        <v>0</v>
      </c>
      <c r="D595" s="65">
        <v>454207.67172000004</v>
      </c>
      <c r="E595" s="65">
        <v>532110.87268564047</v>
      </c>
      <c r="F595" s="65">
        <v>367704.82673999999</v>
      </c>
      <c r="G595" s="65">
        <v>450557.86269058561</v>
      </c>
      <c r="H595" s="39">
        <v>0.1715144983585053</v>
      </c>
      <c r="I595" s="39">
        <v>0.22532485277700776</v>
      </c>
      <c r="J595" s="39">
        <v>0.19558801845382745</v>
      </c>
    </row>
    <row r="596" spans="1:10" ht="11.25" customHeight="1" x14ac:dyDescent="0.2">
      <c r="A596" s="74">
        <v>44317</v>
      </c>
      <c r="B596" s="65">
        <v>0</v>
      </c>
      <c r="C596" s="65">
        <v>0</v>
      </c>
      <c r="D596" s="65">
        <v>419172.75576000003</v>
      </c>
      <c r="E596" s="65">
        <v>491066.96068972885</v>
      </c>
      <c r="F596" s="65">
        <v>339342.23291999998</v>
      </c>
      <c r="G596" s="65">
        <v>415804.47159372008</v>
      </c>
      <c r="H596" s="39">
        <v>0.17151449835850574</v>
      </c>
      <c r="I596" s="39">
        <v>0.22532485277700776</v>
      </c>
      <c r="J596" s="39">
        <v>0.19558801845382812</v>
      </c>
    </row>
    <row r="597" spans="1:10" ht="11.25" customHeight="1" x14ac:dyDescent="0.2">
      <c r="A597" s="74">
        <v>44348</v>
      </c>
      <c r="B597" s="65">
        <v>0</v>
      </c>
      <c r="C597" s="65">
        <v>0</v>
      </c>
      <c r="D597" s="65">
        <v>397800.16452000005</v>
      </c>
      <c r="E597" s="65">
        <v>466028.66018457891</v>
      </c>
      <c r="F597" s="65">
        <v>322040.00433999998</v>
      </c>
      <c r="G597" s="65">
        <v>394603.62090621749</v>
      </c>
      <c r="H597" s="39">
        <v>0.17151449835850574</v>
      </c>
      <c r="I597" s="39">
        <v>0.22532485277700798</v>
      </c>
      <c r="J597" s="39">
        <v>0.19558801845382812</v>
      </c>
    </row>
    <row r="598" spans="1:10" ht="11.25" customHeight="1" x14ac:dyDescent="0.2">
      <c r="A598" s="74">
        <v>44378</v>
      </c>
      <c r="B598" s="65">
        <v>0</v>
      </c>
      <c r="C598" s="65">
        <v>0</v>
      </c>
      <c r="D598" s="65">
        <v>423975.39030000003</v>
      </c>
      <c r="E598" s="65">
        <v>496693.31668365619</v>
      </c>
      <c r="F598" s="65">
        <v>343230.21635</v>
      </c>
      <c r="G598" s="65">
        <v>420568.51431768428</v>
      </c>
      <c r="H598" s="39">
        <v>0.17151449835850574</v>
      </c>
      <c r="I598" s="39">
        <v>0.22532485277700776</v>
      </c>
      <c r="J598" s="39">
        <v>0.19558801845382789</v>
      </c>
    </row>
    <row r="599" spans="1:10" ht="11.25" customHeight="1" x14ac:dyDescent="0.2">
      <c r="A599" s="74">
        <v>44409</v>
      </c>
      <c r="B599" s="65">
        <v>0</v>
      </c>
      <c r="C599" s="65">
        <v>0</v>
      </c>
      <c r="D599" s="65">
        <v>395780.68926000007</v>
      </c>
      <c r="E599" s="65">
        <v>463662.81563841255</v>
      </c>
      <c r="F599" s="65">
        <v>320405.13366999995</v>
      </c>
      <c r="G599" s="65">
        <v>392600.37324319029</v>
      </c>
      <c r="H599" s="39">
        <v>0.17151449835850552</v>
      </c>
      <c r="I599" s="39">
        <v>0.2253248527770082</v>
      </c>
      <c r="J599" s="39">
        <v>0.19558801845382789</v>
      </c>
    </row>
    <row r="600" spans="1:10" ht="11.25" customHeight="1" x14ac:dyDescent="0.2">
      <c r="A600" s="74">
        <v>44440</v>
      </c>
      <c r="B600" s="65">
        <v>0</v>
      </c>
      <c r="C600" s="65">
        <v>0</v>
      </c>
      <c r="D600" s="65">
        <v>405420.40836000006</v>
      </c>
      <c r="E600" s="65">
        <v>474955.88632416597</v>
      </c>
      <c r="F600" s="65">
        <v>328208.98962000001</v>
      </c>
      <c r="G600" s="65">
        <v>402162.63188621704</v>
      </c>
      <c r="H600" s="39">
        <v>0.17151449835850552</v>
      </c>
      <c r="I600" s="39">
        <v>0.22532485277700798</v>
      </c>
      <c r="J600" s="39">
        <v>0.19558801845382789</v>
      </c>
    </row>
    <row r="601" spans="1:10" ht="11.25" customHeight="1" x14ac:dyDescent="0.2">
      <c r="A601" s="74">
        <v>44470</v>
      </c>
      <c r="B601" s="65">
        <v>0</v>
      </c>
      <c r="C601" s="65">
        <v>0</v>
      </c>
      <c r="D601" s="65">
        <v>423228.55409999995</v>
      </c>
      <c r="E601" s="65">
        <v>495818.38724745717</v>
      </c>
      <c r="F601" s="65">
        <v>342625.61344999995</v>
      </c>
      <c r="G601" s="65">
        <v>419827.67935825326</v>
      </c>
      <c r="H601" s="39">
        <v>0.17151449835850574</v>
      </c>
      <c r="I601" s="39">
        <v>0.22532485277700798</v>
      </c>
      <c r="J601" s="39">
        <v>0.19558801845382812</v>
      </c>
    </row>
    <row r="602" spans="1:10" ht="11.25" customHeight="1" x14ac:dyDescent="0.2">
      <c r="A602" s="74">
        <v>44501</v>
      </c>
      <c r="B602" s="65">
        <v>0</v>
      </c>
      <c r="C602" s="65">
        <v>0</v>
      </c>
      <c r="D602" s="65">
        <v>423764.91827999998</v>
      </c>
      <c r="E602" s="65">
        <v>496446.74566072732</v>
      </c>
      <c r="F602" s="65">
        <v>343059.82825999992</v>
      </c>
      <c r="G602" s="65">
        <v>420359.73355639004</v>
      </c>
      <c r="H602" s="39">
        <v>0.17151449835850574</v>
      </c>
      <c r="I602" s="39">
        <v>0.22532485277700798</v>
      </c>
      <c r="J602" s="39">
        <v>0.19558801845382789</v>
      </c>
    </row>
    <row r="603" spans="1:10" ht="11.25" customHeight="1" x14ac:dyDescent="0.2">
      <c r="A603" s="74">
        <v>44531</v>
      </c>
      <c r="B603" s="65">
        <v>0</v>
      </c>
      <c r="C603" s="65">
        <v>0</v>
      </c>
      <c r="D603" s="65">
        <v>437294.72357999999</v>
      </c>
      <c r="E603" s="65">
        <v>512297.10872964514</v>
      </c>
      <c r="F603" s="65">
        <v>354012.91210999998</v>
      </c>
      <c r="G603" s="65">
        <v>433780.81941234553</v>
      </c>
      <c r="H603" s="39">
        <v>0.17151449835850574</v>
      </c>
      <c r="I603" s="39">
        <v>0.22532485277700776</v>
      </c>
      <c r="J603" s="39">
        <v>0.19558801845382812</v>
      </c>
    </row>
    <row r="604" spans="1:10" ht="11.25" customHeight="1" x14ac:dyDescent="0.2">
      <c r="A604" s="74">
        <v>44562</v>
      </c>
      <c r="B604" s="65">
        <v>0</v>
      </c>
      <c r="C604" s="65">
        <v>0</v>
      </c>
      <c r="D604" s="65">
        <v>437294.72357999999</v>
      </c>
      <c r="E604" s="65">
        <v>512297.10872964514</v>
      </c>
      <c r="F604" s="65">
        <v>354012.91210999998</v>
      </c>
      <c r="G604" s="65">
        <v>433780.81941234553</v>
      </c>
      <c r="H604" s="39">
        <v>0.17151449835850574</v>
      </c>
      <c r="I604" s="39">
        <v>0.22532485277700776</v>
      </c>
      <c r="J604" s="39">
        <v>0.19558801845382812</v>
      </c>
    </row>
    <row r="605" spans="1:10" ht="11.25" customHeight="1" x14ac:dyDescent="0.2">
      <c r="A605" s="67" t="s">
        <v>37</v>
      </c>
      <c r="B605" s="65">
        <v>0</v>
      </c>
      <c r="C605" s="65">
        <v>0</v>
      </c>
      <c r="D605" s="65">
        <v>26892123.134295009</v>
      </c>
      <c r="E605" s="65">
        <v>29503507.834361874</v>
      </c>
      <c r="F605" s="65">
        <v>21773794.700126998</v>
      </c>
      <c r="G605" s="65">
        <v>24985302.306048628</v>
      </c>
      <c r="H605" s="39">
        <v>9.7105932730787048E-2</v>
      </c>
      <c r="I605" s="39">
        <v>0.14749416214082678</v>
      </c>
      <c r="J605" s="39">
        <v>0.11965031309591145</v>
      </c>
    </row>
    <row r="606" spans="1:10" ht="11.25" customHeight="1" x14ac:dyDescent="0.2">
      <c r="A606" s="68" t="s">
        <v>33</v>
      </c>
      <c r="B606" s="65">
        <v>0</v>
      </c>
      <c r="C606" s="65">
        <v>0</v>
      </c>
      <c r="D606" s="65">
        <v>38097.972120000013</v>
      </c>
      <c r="E606" s="65">
        <v>41910.351594287546</v>
      </c>
      <c r="F606" s="65">
        <v>34016.429730000003</v>
      </c>
      <c r="G606" s="65">
        <v>39083.247810786641</v>
      </c>
      <c r="H606" s="39">
        <v>0.10006777952063772</v>
      </c>
      <c r="I606" s="39">
        <v>0.14895208347859246</v>
      </c>
      <c r="J606" s="39">
        <v>0.12312655069292799</v>
      </c>
    </row>
    <row r="607" spans="1:10" ht="11.25" customHeight="1" x14ac:dyDescent="0.2">
      <c r="A607" s="69" t="s">
        <v>42</v>
      </c>
      <c r="B607" s="65">
        <v>0</v>
      </c>
      <c r="C607" s="65">
        <v>0</v>
      </c>
      <c r="D607" s="65">
        <v>38097.972120000013</v>
      </c>
      <c r="E607" s="65">
        <v>41910.351594287546</v>
      </c>
      <c r="F607" s="65">
        <v>34016.429730000003</v>
      </c>
      <c r="G607" s="65">
        <v>39083.247810786641</v>
      </c>
      <c r="H607" s="39">
        <v>0.10006777952063772</v>
      </c>
      <c r="I607" s="39">
        <v>0.14895208347859246</v>
      </c>
      <c r="J607" s="39">
        <v>0.12312655069292799</v>
      </c>
    </row>
    <row r="608" spans="1:10" ht="11.25" customHeight="1" x14ac:dyDescent="0.2">
      <c r="A608" s="70" t="s">
        <v>25</v>
      </c>
      <c r="B608" s="65">
        <v>0</v>
      </c>
      <c r="C608" s="65">
        <v>0</v>
      </c>
      <c r="D608" s="65">
        <v>38097.972120000013</v>
      </c>
      <c r="E608" s="65">
        <v>41910.351594287546</v>
      </c>
      <c r="F608" s="65">
        <v>34016.429730000003</v>
      </c>
      <c r="G608" s="65">
        <v>39083.247810786641</v>
      </c>
      <c r="H608" s="39">
        <v>0.10006777952063772</v>
      </c>
      <c r="I608" s="39">
        <v>0.14895208347859246</v>
      </c>
      <c r="J608" s="39">
        <v>0.12312655069292799</v>
      </c>
    </row>
    <row r="609" spans="1:10" ht="11.25" customHeight="1" x14ac:dyDescent="0.2">
      <c r="A609" s="71" t="s">
        <v>25</v>
      </c>
      <c r="B609" s="65">
        <v>0</v>
      </c>
      <c r="C609" s="65">
        <v>0</v>
      </c>
      <c r="D609" s="65">
        <v>38097.972120000013</v>
      </c>
      <c r="E609" s="65">
        <v>41910.351594287546</v>
      </c>
      <c r="F609" s="65">
        <v>34016.429730000003</v>
      </c>
      <c r="G609" s="65">
        <v>39083.247810786641</v>
      </c>
      <c r="H609" s="39">
        <v>0.10006777952063772</v>
      </c>
      <c r="I609" s="39">
        <v>0.14895208347859246</v>
      </c>
      <c r="J609" s="39">
        <v>0.12312655069292799</v>
      </c>
    </row>
    <row r="610" spans="1:10" ht="11.25" customHeight="1" x14ac:dyDescent="0.2">
      <c r="A610" s="72" t="s">
        <v>25</v>
      </c>
      <c r="B610" s="65">
        <v>0</v>
      </c>
      <c r="C610" s="65">
        <v>0</v>
      </c>
      <c r="D610" s="65">
        <v>38097.972120000013</v>
      </c>
      <c r="E610" s="65">
        <v>41910.351594287546</v>
      </c>
      <c r="F610" s="65">
        <v>34016.429730000003</v>
      </c>
      <c r="G610" s="65">
        <v>39083.247810786641</v>
      </c>
      <c r="H610" s="39">
        <v>0.10006777952063772</v>
      </c>
      <c r="I610" s="39">
        <v>0.14895208347859246</v>
      </c>
      <c r="J610" s="39">
        <v>0.12312655069292799</v>
      </c>
    </row>
    <row r="611" spans="1:10" ht="11.25" customHeight="1" x14ac:dyDescent="0.2">
      <c r="A611" s="73" t="s">
        <v>35</v>
      </c>
      <c r="B611" s="65">
        <v>0</v>
      </c>
      <c r="C611" s="65">
        <v>0</v>
      </c>
      <c r="D611" s="65">
        <v>27676.665200000003</v>
      </c>
      <c r="E611" s="65">
        <v>30637.159879370258</v>
      </c>
      <c r="F611" s="65">
        <v>29292.196079999998</v>
      </c>
      <c r="G611" s="65">
        <v>33759.283169928196</v>
      </c>
      <c r="H611" s="39">
        <v>0.10696717462081584</v>
      </c>
      <c r="I611" s="39">
        <v>0.15250092815602234</v>
      </c>
      <c r="J611" s="39">
        <v>0.13037967764165326</v>
      </c>
    </row>
    <row r="612" spans="1:10" ht="11.25" customHeight="1" x14ac:dyDescent="0.2">
      <c r="A612" s="74">
        <v>44228</v>
      </c>
      <c r="B612" s="65">
        <v>0</v>
      </c>
      <c r="C612" s="65">
        <v>0</v>
      </c>
      <c r="D612" s="65">
        <v>1905.3886500000001</v>
      </c>
      <c r="E612" s="65">
        <v>2109.2026904450704</v>
      </c>
      <c r="F612" s="65">
        <v>2016.6092100000001</v>
      </c>
      <c r="G612" s="65">
        <v>2324.1439862529828</v>
      </c>
      <c r="H612" s="39">
        <v>0.10696717462081562</v>
      </c>
      <c r="I612" s="39">
        <v>0.15250092815602212</v>
      </c>
      <c r="J612" s="39">
        <v>0.13037967764165281</v>
      </c>
    </row>
    <row r="613" spans="1:10" ht="11.25" customHeight="1" x14ac:dyDescent="0.2">
      <c r="A613" s="74">
        <v>44256</v>
      </c>
      <c r="B613" s="65">
        <v>0</v>
      </c>
      <c r="C613" s="65">
        <v>0</v>
      </c>
      <c r="D613" s="65">
        <v>2172.9749999999999</v>
      </c>
      <c r="E613" s="65">
        <v>2405.4119962716668</v>
      </c>
      <c r="F613" s="65">
        <v>2299.8150000000001</v>
      </c>
      <c r="G613" s="65">
        <v>2650.5389220871421</v>
      </c>
      <c r="H613" s="39">
        <v>0.10696717462081562</v>
      </c>
      <c r="I613" s="39">
        <v>0.15250092815602212</v>
      </c>
      <c r="J613" s="39">
        <v>0.13037967764165304</v>
      </c>
    </row>
    <row r="614" spans="1:10" ht="11.25" customHeight="1" x14ac:dyDescent="0.2">
      <c r="A614" s="74">
        <v>44287</v>
      </c>
      <c r="B614" s="65">
        <v>0</v>
      </c>
      <c r="C614" s="65">
        <v>0</v>
      </c>
      <c r="D614" s="65">
        <v>1967.8875499999999</v>
      </c>
      <c r="E614" s="65">
        <v>2178.3869211949791</v>
      </c>
      <c r="F614" s="65">
        <v>2082.7562699999999</v>
      </c>
      <c r="G614" s="65">
        <v>2400.3785342977749</v>
      </c>
      <c r="H614" s="39">
        <v>0.10696717462081562</v>
      </c>
      <c r="I614" s="39">
        <v>0.15250092815602234</v>
      </c>
      <c r="J614" s="39">
        <v>0.13037967764165304</v>
      </c>
    </row>
    <row r="615" spans="1:10" ht="11.25" customHeight="1" x14ac:dyDescent="0.2">
      <c r="A615" s="74">
        <v>44317</v>
      </c>
      <c r="B615" s="65">
        <v>0</v>
      </c>
      <c r="C615" s="65">
        <v>0</v>
      </c>
      <c r="D615" s="65">
        <v>1923.1863499999997</v>
      </c>
      <c r="E615" s="65">
        <v>2128.9041601288191</v>
      </c>
      <c r="F615" s="65">
        <v>2035.4457899999998</v>
      </c>
      <c r="G615" s="65">
        <v>2345.8531621862676</v>
      </c>
      <c r="H615" s="39">
        <v>0.10696717462081584</v>
      </c>
      <c r="I615" s="39">
        <v>0.15250092815602212</v>
      </c>
      <c r="J615" s="39">
        <v>0.13037967764165304</v>
      </c>
    </row>
    <row r="616" spans="1:10" ht="11.25" customHeight="1" x14ac:dyDescent="0.2">
      <c r="A616" s="74">
        <v>44348</v>
      </c>
      <c r="B616" s="65">
        <v>0</v>
      </c>
      <c r="C616" s="65">
        <v>0</v>
      </c>
      <c r="D616" s="65">
        <v>1802.3275499999997</v>
      </c>
      <c r="E616" s="65">
        <v>1995.1174357647569</v>
      </c>
      <c r="F616" s="65">
        <v>1907.5322699999999</v>
      </c>
      <c r="G616" s="65">
        <v>2198.4327116625636</v>
      </c>
      <c r="H616" s="39">
        <v>0.10696717462081584</v>
      </c>
      <c r="I616" s="39">
        <v>0.15250092815602212</v>
      </c>
      <c r="J616" s="39">
        <v>0.13037967764165304</v>
      </c>
    </row>
    <row r="617" spans="1:10" ht="11.25" customHeight="1" x14ac:dyDescent="0.2">
      <c r="A617" s="74">
        <v>44378</v>
      </c>
      <c r="B617" s="65">
        <v>0</v>
      </c>
      <c r="C617" s="65">
        <v>0</v>
      </c>
      <c r="D617" s="65">
        <v>1956.5053</v>
      </c>
      <c r="E617" s="65">
        <v>2165.7871440716517</v>
      </c>
      <c r="F617" s="65">
        <v>2070.7096200000001</v>
      </c>
      <c r="G617" s="65">
        <v>2386.4947589916042</v>
      </c>
      <c r="H617" s="39">
        <v>0.10696717462081584</v>
      </c>
      <c r="I617" s="39">
        <v>0.15250092815602212</v>
      </c>
      <c r="J617" s="39">
        <v>0.13037967764165304</v>
      </c>
    </row>
    <row r="618" spans="1:10" ht="11.25" customHeight="1" x14ac:dyDescent="0.2">
      <c r="A618" s="74">
        <v>44409</v>
      </c>
      <c r="B618" s="65">
        <v>0</v>
      </c>
      <c r="C618" s="65">
        <v>0</v>
      </c>
      <c r="D618" s="65">
        <v>1921.1168499999999</v>
      </c>
      <c r="E618" s="65">
        <v>2126.6132915609414</v>
      </c>
      <c r="F618" s="65">
        <v>2033.25549</v>
      </c>
      <c r="G618" s="65">
        <v>2343.3288394033275</v>
      </c>
      <c r="H618" s="39">
        <v>0.10696717462081584</v>
      </c>
      <c r="I618" s="39">
        <v>0.15250092815602212</v>
      </c>
      <c r="J618" s="39">
        <v>0.13037967764165304</v>
      </c>
    </row>
    <row r="619" spans="1:10" ht="11.25" customHeight="1" x14ac:dyDescent="0.2">
      <c r="A619" s="74">
        <v>44440</v>
      </c>
      <c r="B619" s="65">
        <v>0</v>
      </c>
      <c r="C619" s="65">
        <v>0</v>
      </c>
      <c r="D619" s="65">
        <v>2178.9765499999999</v>
      </c>
      <c r="E619" s="65">
        <v>2412.0555151185126</v>
      </c>
      <c r="F619" s="65">
        <v>2306.16687</v>
      </c>
      <c r="G619" s="65">
        <v>2657.8594581576685</v>
      </c>
      <c r="H619" s="39">
        <v>0.10696717462081584</v>
      </c>
      <c r="I619" s="39">
        <v>0.15250092815602212</v>
      </c>
      <c r="J619" s="39">
        <v>0.13037967764165304</v>
      </c>
    </row>
    <row r="620" spans="1:10" ht="11.25" customHeight="1" x14ac:dyDescent="0.2">
      <c r="A620" s="74">
        <v>44470</v>
      </c>
      <c r="B620" s="65">
        <v>0</v>
      </c>
      <c r="C620" s="65">
        <v>0</v>
      </c>
      <c r="D620" s="65">
        <v>2688.6944000000003</v>
      </c>
      <c r="E620" s="65">
        <v>2976.2964433868092</v>
      </c>
      <c r="F620" s="65">
        <v>2845.6377600000001</v>
      </c>
      <c r="G620" s="65">
        <v>3279.6001595958242</v>
      </c>
      <c r="H620" s="39">
        <v>0.10696717462081562</v>
      </c>
      <c r="I620" s="39">
        <v>0.15250092815602234</v>
      </c>
      <c r="J620" s="39">
        <v>0.13037967764165304</v>
      </c>
    </row>
    <row r="621" spans="1:10" ht="11.25" customHeight="1" x14ac:dyDescent="0.2">
      <c r="A621" s="74">
        <v>44501</v>
      </c>
      <c r="B621" s="65">
        <v>0</v>
      </c>
      <c r="C621" s="65">
        <v>0</v>
      </c>
      <c r="D621" s="65">
        <v>2940.3455999999996</v>
      </c>
      <c r="E621" s="65">
        <v>3254.8660612407471</v>
      </c>
      <c r="F621" s="65">
        <v>3111.9782399999999</v>
      </c>
      <c r="G621" s="65">
        <v>3586.5578100013445</v>
      </c>
      <c r="H621" s="39">
        <v>0.10696717462081584</v>
      </c>
      <c r="I621" s="39">
        <v>0.15250092815602234</v>
      </c>
      <c r="J621" s="39">
        <v>0.13037967764165326</v>
      </c>
    </row>
    <row r="622" spans="1:10" ht="11.25" customHeight="1" x14ac:dyDescent="0.2">
      <c r="A622" s="74">
        <v>44531</v>
      </c>
      <c r="B622" s="65">
        <v>0</v>
      </c>
      <c r="C622" s="65">
        <v>0</v>
      </c>
      <c r="D622" s="65">
        <v>3109.6306999999997</v>
      </c>
      <c r="E622" s="65">
        <v>3442.2591100931495</v>
      </c>
      <c r="F622" s="65">
        <v>3291.1447799999996</v>
      </c>
      <c r="G622" s="65">
        <v>3793.0474136458474</v>
      </c>
      <c r="H622" s="39">
        <v>0.10696717462081584</v>
      </c>
      <c r="I622" s="39">
        <v>0.15250092815602234</v>
      </c>
      <c r="J622" s="39">
        <v>0.13037967764165304</v>
      </c>
    </row>
    <row r="623" spans="1:10" ht="11.25" customHeight="1" x14ac:dyDescent="0.2">
      <c r="A623" s="74">
        <v>44562</v>
      </c>
      <c r="B623" s="65">
        <v>0</v>
      </c>
      <c r="C623" s="65">
        <v>0</v>
      </c>
      <c r="D623" s="65">
        <v>3109.6306999999997</v>
      </c>
      <c r="E623" s="65">
        <v>3442.2591100931495</v>
      </c>
      <c r="F623" s="65">
        <v>3291.1447799999996</v>
      </c>
      <c r="G623" s="65">
        <v>3793.0474136458474</v>
      </c>
      <c r="H623" s="39">
        <v>0.10696717462081584</v>
      </c>
      <c r="I623" s="39">
        <v>0.15250092815602234</v>
      </c>
      <c r="J623" s="39">
        <v>0.13037967764165304</v>
      </c>
    </row>
    <row r="624" spans="1:10" ht="11.25" customHeight="1" x14ac:dyDescent="0.2">
      <c r="A624" s="73" t="s">
        <v>36</v>
      </c>
      <c r="B624" s="65">
        <v>0</v>
      </c>
      <c r="C624" s="65">
        <v>0</v>
      </c>
      <c r="D624" s="65">
        <v>4014.6073999999999</v>
      </c>
      <c r="E624" s="65">
        <v>4356.7607230352532</v>
      </c>
      <c r="F624" s="65">
        <v>1759.9060500000001</v>
      </c>
      <c r="G624" s="65">
        <v>2028.2933560923987</v>
      </c>
      <c r="H624" s="39">
        <v>8.5227094194877839E-2</v>
      </c>
      <c r="I624" s="39">
        <v>0.15250092815602212</v>
      </c>
      <c r="J624" s="39">
        <v>0.10573022894728079</v>
      </c>
    </row>
    <row r="625" spans="1:10" ht="11.25" customHeight="1" x14ac:dyDescent="0.2">
      <c r="A625" s="74">
        <v>44228</v>
      </c>
      <c r="B625" s="65">
        <v>0</v>
      </c>
      <c r="C625" s="65">
        <v>0</v>
      </c>
      <c r="D625" s="65">
        <v>302.28219999999999</v>
      </c>
      <c r="E625" s="65">
        <v>328.04483353283484</v>
      </c>
      <c r="F625" s="65">
        <v>132.51315</v>
      </c>
      <c r="G625" s="65">
        <v>152.72152836787819</v>
      </c>
      <c r="H625" s="39">
        <v>8.5227094194877617E-2</v>
      </c>
      <c r="I625" s="39">
        <v>0.15250092815602234</v>
      </c>
      <c r="J625" s="39">
        <v>0.10573022894728079</v>
      </c>
    </row>
    <row r="626" spans="1:10" ht="11.25" customHeight="1" x14ac:dyDescent="0.2">
      <c r="A626" s="74">
        <v>44256</v>
      </c>
      <c r="B626" s="65">
        <v>0</v>
      </c>
      <c r="C626" s="65">
        <v>0</v>
      </c>
      <c r="D626" s="65">
        <v>344.75159999999994</v>
      </c>
      <c r="E626" s="65">
        <v>374.13377708703479</v>
      </c>
      <c r="F626" s="65">
        <v>151.13069999999999</v>
      </c>
      <c r="G626" s="65">
        <v>174.17827202286932</v>
      </c>
      <c r="H626" s="39">
        <v>8.5227094194877839E-2</v>
      </c>
      <c r="I626" s="39">
        <v>0.15250092815602212</v>
      </c>
      <c r="J626" s="39">
        <v>0.10573022894728079</v>
      </c>
    </row>
    <row r="627" spans="1:10" ht="11.25" customHeight="1" x14ac:dyDescent="0.2">
      <c r="A627" s="74">
        <v>44287</v>
      </c>
      <c r="B627" s="65">
        <v>0</v>
      </c>
      <c r="C627" s="65">
        <v>0</v>
      </c>
      <c r="D627" s="65">
        <v>265.30884000000003</v>
      </c>
      <c r="E627" s="65">
        <v>287.92034149741374</v>
      </c>
      <c r="F627" s="65">
        <v>116.30493000000001</v>
      </c>
      <c r="G627" s="65">
        <v>134.04153977412119</v>
      </c>
      <c r="H627" s="39">
        <v>8.5227094194877617E-2</v>
      </c>
      <c r="I627" s="39">
        <v>0.15250092815602212</v>
      </c>
      <c r="J627" s="39">
        <v>0.10573022894728057</v>
      </c>
    </row>
    <row r="628" spans="1:10" ht="11.25" customHeight="1" x14ac:dyDescent="0.2">
      <c r="A628" s="74">
        <v>44317</v>
      </c>
      <c r="B628" s="65">
        <v>0</v>
      </c>
      <c r="C628" s="65">
        <v>0</v>
      </c>
      <c r="D628" s="65">
        <v>284.79479999999995</v>
      </c>
      <c r="E628" s="65">
        <v>309.06703324581133</v>
      </c>
      <c r="F628" s="65">
        <v>124.84709999999998</v>
      </c>
      <c r="G628" s="65">
        <v>143.88639862758771</v>
      </c>
      <c r="H628" s="39">
        <v>8.5227094194877839E-2</v>
      </c>
      <c r="I628" s="39">
        <v>0.15250092815602234</v>
      </c>
      <c r="J628" s="39">
        <v>0.10573022894728079</v>
      </c>
    </row>
    <row r="629" spans="1:10" ht="11.25" customHeight="1" x14ac:dyDescent="0.2">
      <c r="A629" s="74">
        <v>44348</v>
      </c>
      <c r="B629" s="65">
        <v>0</v>
      </c>
      <c r="C629" s="65">
        <v>0</v>
      </c>
      <c r="D629" s="65">
        <v>262.81063999999998</v>
      </c>
      <c r="E629" s="65">
        <v>285.20922717069612</v>
      </c>
      <c r="F629" s="65">
        <v>115.20978000000001</v>
      </c>
      <c r="G629" s="65">
        <v>132.77937838265112</v>
      </c>
      <c r="H629" s="39">
        <v>8.5227094194877839E-2</v>
      </c>
      <c r="I629" s="39">
        <v>0.15250092815602212</v>
      </c>
      <c r="J629" s="39">
        <v>0.10573022894728079</v>
      </c>
    </row>
    <row r="630" spans="1:10" ht="11.25" customHeight="1" x14ac:dyDescent="0.2">
      <c r="A630" s="74">
        <v>44378</v>
      </c>
      <c r="B630" s="65">
        <v>0</v>
      </c>
      <c r="C630" s="65">
        <v>0</v>
      </c>
      <c r="D630" s="65">
        <v>302.78183999999999</v>
      </c>
      <c r="E630" s="65">
        <v>328.58705639817839</v>
      </c>
      <c r="F630" s="65">
        <v>132.73218</v>
      </c>
      <c r="G630" s="65">
        <v>152.9739606461722</v>
      </c>
      <c r="H630" s="39">
        <v>8.5227094194877839E-2</v>
      </c>
      <c r="I630" s="39">
        <v>0.15250092815602212</v>
      </c>
      <c r="J630" s="39">
        <v>0.10573022894728079</v>
      </c>
    </row>
    <row r="631" spans="1:10" ht="11.25" customHeight="1" x14ac:dyDescent="0.2">
      <c r="A631" s="74">
        <v>44409</v>
      </c>
      <c r="B631" s="65">
        <v>0</v>
      </c>
      <c r="C631" s="65">
        <v>0</v>
      </c>
      <c r="D631" s="65">
        <v>297.78543999999999</v>
      </c>
      <c r="E631" s="65">
        <v>323.16482774474309</v>
      </c>
      <c r="F631" s="65">
        <v>130.54187999999999</v>
      </c>
      <c r="G631" s="65">
        <v>150.44963786323206</v>
      </c>
      <c r="H631" s="39">
        <v>8.5227094194877617E-2</v>
      </c>
      <c r="I631" s="39">
        <v>0.15250092815602212</v>
      </c>
      <c r="J631" s="39">
        <v>0.10573022894728079</v>
      </c>
    </row>
    <row r="632" spans="1:10" ht="11.25" customHeight="1" x14ac:dyDescent="0.2">
      <c r="A632" s="74">
        <v>44440</v>
      </c>
      <c r="B632" s="65">
        <v>0</v>
      </c>
      <c r="C632" s="65">
        <v>0</v>
      </c>
      <c r="D632" s="65">
        <v>301.28291999999999</v>
      </c>
      <c r="E632" s="65">
        <v>326.96038780214781</v>
      </c>
      <c r="F632" s="65">
        <v>132.07508999999999</v>
      </c>
      <c r="G632" s="65">
        <v>152.21666381129018</v>
      </c>
      <c r="H632" s="39">
        <v>8.5227094194877839E-2</v>
      </c>
      <c r="I632" s="39">
        <v>0.15250092815602234</v>
      </c>
      <c r="J632" s="39">
        <v>0.10573022894728079</v>
      </c>
    </row>
    <row r="633" spans="1:10" ht="11.25" customHeight="1" x14ac:dyDescent="0.2">
      <c r="A633" s="74">
        <v>44470</v>
      </c>
      <c r="B633" s="65">
        <v>0</v>
      </c>
      <c r="C633" s="65">
        <v>0</v>
      </c>
      <c r="D633" s="65">
        <v>371.23251999999997</v>
      </c>
      <c r="E633" s="65">
        <v>402.87158895024186</v>
      </c>
      <c r="F633" s="65">
        <v>162.73928999999998</v>
      </c>
      <c r="G633" s="65">
        <v>187.55718277245205</v>
      </c>
      <c r="H633" s="39">
        <v>8.5227094194877839E-2</v>
      </c>
      <c r="I633" s="39">
        <v>0.15250092815602234</v>
      </c>
      <c r="J633" s="39">
        <v>0.10573022894728079</v>
      </c>
    </row>
    <row r="634" spans="1:10" ht="11.25" customHeight="1" x14ac:dyDescent="0.2">
      <c r="A634" s="74">
        <v>44501</v>
      </c>
      <c r="B634" s="65">
        <v>0</v>
      </c>
      <c r="C634" s="65">
        <v>0</v>
      </c>
      <c r="D634" s="65">
        <v>397.21379999999999</v>
      </c>
      <c r="E634" s="65">
        <v>431.06717794810538</v>
      </c>
      <c r="F634" s="65">
        <v>174.12885</v>
      </c>
      <c r="G634" s="65">
        <v>200.68366124374077</v>
      </c>
      <c r="H634" s="39">
        <v>8.5227094194877839E-2</v>
      </c>
      <c r="I634" s="39">
        <v>0.15250092815602234</v>
      </c>
      <c r="J634" s="39">
        <v>0.10573022894728079</v>
      </c>
    </row>
    <row r="635" spans="1:10" ht="11.25" customHeight="1" x14ac:dyDescent="0.2">
      <c r="A635" s="74">
        <v>44531</v>
      </c>
      <c r="B635" s="65">
        <v>0</v>
      </c>
      <c r="C635" s="65">
        <v>0</v>
      </c>
      <c r="D635" s="65">
        <v>442.18139999999994</v>
      </c>
      <c r="E635" s="65">
        <v>479.86723582902295</v>
      </c>
      <c r="F635" s="65">
        <v>193.84154999999998</v>
      </c>
      <c r="G635" s="65">
        <v>223.402566290202</v>
      </c>
      <c r="H635" s="39">
        <v>8.5227094194878061E-2</v>
      </c>
      <c r="I635" s="39">
        <v>0.15250092815602234</v>
      </c>
      <c r="J635" s="39">
        <v>0.10573022894728101</v>
      </c>
    </row>
    <row r="636" spans="1:10" ht="11.25" customHeight="1" x14ac:dyDescent="0.2">
      <c r="A636" s="74">
        <v>44562</v>
      </c>
      <c r="B636" s="65">
        <v>0</v>
      </c>
      <c r="C636" s="65">
        <v>0</v>
      </c>
      <c r="D636" s="65">
        <v>442.18139999999994</v>
      </c>
      <c r="E636" s="65">
        <v>479.86723582902295</v>
      </c>
      <c r="F636" s="65">
        <v>193.84154999999998</v>
      </c>
      <c r="G636" s="65">
        <v>223.402566290202</v>
      </c>
      <c r="H636" s="39">
        <v>8.5227094194878061E-2</v>
      </c>
      <c r="I636" s="39">
        <v>0.15250092815602234</v>
      </c>
      <c r="J636" s="39">
        <v>0.10573022894728101</v>
      </c>
    </row>
    <row r="637" spans="1:10" ht="11.25" customHeight="1" x14ac:dyDescent="0.2">
      <c r="A637" s="73" t="s">
        <v>34</v>
      </c>
      <c r="B637" s="65">
        <v>0</v>
      </c>
      <c r="C637" s="65">
        <v>0</v>
      </c>
      <c r="D637" s="65">
        <v>6406.6995200000001</v>
      </c>
      <c r="E637" s="65">
        <v>6916.4309918820454</v>
      </c>
      <c r="F637" s="65">
        <v>2964.3275999999996</v>
      </c>
      <c r="G637" s="65">
        <v>3295.671284766051</v>
      </c>
      <c r="H637" s="39">
        <v>7.956225671124395E-2</v>
      </c>
      <c r="I637" s="39">
        <v>0.11177701302853693</v>
      </c>
      <c r="J637" s="39">
        <v>8.9752718232245954E-2</v>
      </c>
    </row>
    <row r="638" spans="1:10" ht="11.25" customHeight="1" x14ac:dyDescent="0.2">
      <c r="A638" s="74">
        <v>44228</v>
      </c>
      <c r="B638" s="65">
        <v>0</v>
      </c>
      <c r="C638" s="65">
        <v>0</v>
      </c>
      <c r="D638" s="65">
        <v>440.52992000000006</v>
      </c>
      <c r="E638" s="65">
        <v>475.57947458402384</v>
      </c>
      <c r="F638" s="65">
        <v>203.82960000000003</v>
      </c>
      <c r="G638" s="65">
        <v>226.61306385480148</v>
      </c>
      <c r="H638" s="39">
        <v>7.956225671124395E-2</v>
      </c>
      <c r="I638" s="39">
        <v>0.11177701302853693</v>
      </c>
      <c r="J638" s="39">
        <v>8.9752718232245954E-2</v>
      </c>
    </row>
    <row r="639" spans="1:10" ht="11.25" customHeight="1" x14ac:dyDescent="0.2">
      <c r="A639" s="74">
        <v>44256</v>
      </c>
      <c r="B639" s="65">
        <v>0</v>
      </c>
      <c r="C639" s="65">
        <v>0</v>
      </c>
      <c r="D639" s="65">
        <v>522.9312000000001</v>
      </c>
      <c r="E639" s="65">
        <v>564.53678637671896</v>
      </c>
      <c r="F639" s="65">
        <v>241.95600000000002</v>
      </c>
      <c r="G639" s="65">
        <v>269.0011189643327</v>
      </c>
      <c r="H639" s="39">
        <v>7.956225671124395E-2</v>
      </c>
      <c r="I639" s="39">
        <v>0.11177701302853693</v>
      </c>
      <c r="J639" s="39">
        <v>8.9752718232245954E-2</v>
      </c>
    </row>
    <row r="640" spans="1:10" ht="11.25" customHeight="1" x14ac:dyDescent="0.2">
      <c r="A640" s="74">
        <v>44287</v>
      </c>
      <c r="B640" s="65">
        <v>0</v>
      </c>
      <c r="C640" s="65">
        <v>0</v>
      </c>
      <c r="D640" s="65">
        <v>446.86847999999998</v>
      </c>
      <c r="E640" s="65">
        <v>482.42234472192337</v>
      </c>
      <c r="F640" s="65">
        <v>206.76239999999999</v>
      </c>
      <c r="G640" s="65">
        <v>229.87368347861153</v>
      </c>
      <c r="H640" s="39">
        <v>7.956225671124395E-2</v>
      </c>
      <c r="I640" s="39">
        <v>0.11177701302853693</v>
      </c>
      <c r="J640" s="39">
        <v>8.9752718232245954E-2</v>
      </c>
    </row>
    <row r="641" spans="1:10" ht="11.25" customHeight="1" x14ac:dyDescent="0.2">
      <c r="A641" s="74">
        <v>44317</v>
      </c>
      <c r="B641" s="65">
        <v>0</v>
      </c>
      <c r="C641" s="65">
        <v>0</v>
      </c>
      <c r="D641" s="65">
        <v>408.83712000000003</v>
      </c>
      <c r="E641" s="65">
        <v>441.36512389452571</v>
      </c>
      <c r="F641" s="65">
        <v>189.16560000000001</v>
      </c>
      <c r="G641" s="65">
        <v>210.30996573575101</v>
      </c>
      <c r="H641" s="39">
        <v>7.956225671124395E-2</v>
      </c>
      <c r="I641" s="39">
        <v>0.11177701302853693</v>
      </c>
      <c r="J641" s="39">
        <v>8.9752718232245954E-2</v>
      </c>
    </row>
    <row r="642" spans="1:10" ht="11.25" customHeight="1" x14ac:dyDescent="0.2">
      <c r="A642" s="74">
        <v>44348</v>
      </c>
      <c r="B642" s="65">
        <v>0</v>
      </c>
      <c r="C642" s="65">
        <v>0</v>
      </c>
      <c r="D642" s="65">
        <v>401.70624000000004</v>
      </c>
      <c r="E642" s="65">
        <v>433.6668949893886</v>
      </c>
      <c r="F642" s="65">
        <v>185.86620000000002</v>
      </c>
      <c r="G642" s="65">
        <v>206.64176865896465</v>
      </c>
      <c r="H642" s="39">
        <v>7.956225671124395E-2</v>
      </c>
      <c r="I642" s="39">
        <v>0.11177701302853671</v>
      </c>
      <c r="J642" s="39">
        <v>8.9752718232245954E-2</v>
      </c>
    </row>
    <row r="643" spans="1:10" ht="11.25" customHeight="1" x14ac:dyDescent="0.2">
      <c r="A643" s="74">
        <v>44378</v>
      </c>
      <c r="B643" s="65">
        <v>0</v>
      </c>
      <c r="C643" s="65">
        <v>0</v>
      </c>
      <c r="D643" s="65">
        <v>481.73056000000003</v>
      </c>
      <c r="E643" s="65">
        <v>520.05813048037135</v>
      </c>
      <c r="F643" s="65">
        <v>222.89280000000002</v>
      </c>
      <c r="G643" s="65">
        <v>247.80709140956705</v>
      </c>
      <c r="H643" s="39">
        <v>7.956225671124395E-2</v>
      </c>
      <c r="I643" s="39">
        <v>0.11177701302853671</v>
      </c>
      <c r="J643" s="39">
        <v>8.9752718232245954E-2</v>
      </c>
    </row>
    <row r="644" spans="1:10" ht="11.25" customHeight="1" x14ac:dyDescent="0.2">
      <c r="A644" s="74">
        <v>44409</v>
      </c>
      <c r="B644" s="65">
        <v>0</v>
      </c>
      <c r="C644" s="65">
        <v>0</v>
      </c>
      <c r="D644" s="65">
        <v>482.52288000000004</v>
      </c>
      <c r="E644" s="65">
        <v>520.91348924760882</v>
      </c>
      <c r="F644" s="65">
        <v>223.2594</v>
      </c>
      <c r="G644" s="65">
        <v>248.21466886254331</v>
      </c>
      <c r="H644" s="39">
        <v>7.956225671124395E-2</v>
      </c>
      <c r="I644" s="39">
        <v>0.11177701302853671</v>
      </c>
      <c r="J644" s="39">
        <v>8.9752718232245954E-2</v>
      </c>
    </row>
    <row r="645" spans="1:10" ht="11.25" customHeight="1" x14ac:dyDescent="0.2">
      <c r="A645" s="74">
        <v>44440</v>
      </c>
      <c r="B645" s="65">
        <v>0</v>
      </c>
      <c r="C645" s="65">
        <v>0</v>
      </c>
      <c r="D645" s="65">
        <v>493.61536000000001</v>
      </c>
      <c r="E645" s="65">
        <v>532.88851198893315</v>
      </c>
      <c r="F645" s="65">
        <v>228.39180000000002</v>
      </c>
      <c r="G645" s="65">
        <v>253.920753204211</v>
      </c>
      <c r="H645" s="39">
        <v>7.956225671124395E-2</v>
      </c>
      <c r="I645" s="39">
        <v>0.11177701302853693</v>
      </c>
      <c r="J645" s="39">
        <v>8.9752718232245954E-2</v>
      </c>
    </row>
    <row r="646" spans="1:10" ht="11.25" customHeight="1" x14ac:dyDescent="0.2">
      <c r="A646" s="74">
        <v>44470</v>
      </c>
      <c r="B646" s="65">
        <v>0</v>
      </c>
      <c r="C646" s="65">
        <v>0</v>
      </c>
      <c r="D646" s="65">
        <v>638.60991999999999</v>
      </c>
      <c r="E646" s="65">
        <v>689.41916639338706</v>
      </c>
      <c r="F646" s="65">
        <v>295.4796</v>
      </c>
      <c r="G646" s="65">
        <v>328.50742709886686</v>
      </c>
      <c r="H646" s="39">
        <v>7.9562256711244173E-2</v>
      </c>
      <c r="I646" s="39">
        <v>0.11177701302853693</v>
      </c>
      <c r="J646" s="39">
        <v>8.9752718232245954E-2</v>
      </c>
    </row>
    <row r="647" spans="1:10" ht="11.25" customHeight="1" x14ac:dyDescent="0.2">
      <c r="A647" s="74">
        <v>44501</v>
      </c>
      <c r="B647" s="65">
        <v>0</v>
      </c>
      <c r="C647" s="65">
        <v>0</v>
      </c>
      <c r="D647" s="65">
        <v>644.15616</v>
      </c>
      <c r="E647" s="65">
        <v>695.40667776404916</v>
      </c>
      <c r="F647" s="65">
        <v>298.04579999999999</v>
      </c>
      <c r="G647" s="65">
        <v>331.36046926970067</v>
      </c>
      <c r="H647" s="39">
        <v>7.956225671124395E-2</v>
      </c>
      <c r="I647" s="39">
        <v>0.11177701302853693</v>
      </c>
      <c r="J647" s="39">
        <v>8.9752718232245954E-2</v>
      </c>
    </row>
    <row r="648" spans="1:10" ht="11.25" customHeight="1" x14ac:dyDescent="0.2">
      <c r="A648" s="74">
        <v>44531</v>
      </c>
      <c r="B648" s="65">
        <v>0</v>
      </c>
      <c r="C648" s="65">
        <v>0</v>
      </c>
      <c r="D648" s="65">
        <v>722.59584000000007</v>
      </c>
      <c r="E648" s="65">
        <v>780.08719572055702</v>
      </c>
      <c r="F648" s="65">
        <v>334.33920000000001</v>
      </c>
      <c r="G648" s="65">
        <v>371.71063711435056</v>
      </c>
      <c r="H648" s="39">
        <v>7.956225671124395E-2</v>
      </c>
      <c r="I648" s="39">
        <v>0.11177701302853671</v>
      </c>
      <c r="J648" s="39">
        <v>8.9752718232245954E-2</v>
      </c>
    </row>
    <row r="649" spans="1:10" ht="11.25" customHeight="1" x14ac:dyDescent="0.2">
      <c r="A649" s="74">
        <v>44562</v>
      </c>
      <c r="B649" s="65">
        <v>0</v>
      </c>
      <c r="C649" s="65">
        <v>0</v>
      </c>
      <c r="D649" s="65">
        <v>722.59584000000007</v>
      </c>
      <c r="E649" s="65">
        <v>780.08719572055702</v>
      </c>
      <c r="F649" s="65">
        <v>334.33920000000001</v>
      </c>
      <c r="G649" s="65">
        <v>371.71063711435056</v>
      </c>
      <c r="H649" s="39">
        <v>7.956225671124395E-2</v>
      </c>
      <c r="I649" s="39">
        <v>0.11177701302853671</v>
      </c>
      <c r="J649" s="39">
        <v>8.9752718232245954E-2</v>
      </c>
    </row>
    <row r="650" spans="1:10" ht="11.25" customHeight="1" x14ac:dyDescent="0.2">
      <c r="A650" s="68" t="s">
        <v>23</v>
      </c>
      <c r="B650" s="65">
        <v>0</v>
      </c>
      <c r="C650" s="65">
        <v>0</v>
      </c>
      <c r="D650" s="65">
        <v>26854025.162175007</v>
      </c>
      <c r="E650" s="65">
        <v>29461597.482767582</v>
      </c>
      <c r="F650" s="65">
        <v>21739778.270396996</v>
      </c>
      <c r="G650" s="65">
        <v>24946219.058237843</v>
      </c>
      <c r="H650" s="39">
        <v>9.7101730740368986E-2</v>
      </c>
      <c r="I650" s="39">
        <v>0.14749188091798615</v>
      </c>
      <c r="J650" s="39">
        <v>0.11964515427364852</v>
      </c>
    </row>
    <row r="651" spans="1:10" ht="11.25" customHeight="1" x14ac:dyDescent="0.2">
      <c r="A651" s="69" t="s">
        <v>42</v>
      </c>
      <c r="B651" s="65">
        <v>0</v>
      </c>
      <c r="C651" s="65">
        <v>0</v>
      </c>
      <c r="D651" s="65">
        <v>22334705.775000002</v>
      </c>
      <c r="E651" s="65">
        <v>24495297.698027518</v>
      </c>
      <c r="F651" s="65">
        <v>18081146.061000001</v>
      </c>
      <c r="G651" s="65">
        <v>20741070.222996652</v>
      </c>
      <c r="H651" s="39">
        <v>9.6736977186686612E-2</v>
      </c>
      <c r="I651" s="39">
        <v>0.14711037414458739</v>
      </c>
      <c r="J651" s="39">
        <v>0.1192729057050419</v>
      </c>
    </row>
    <row r="652" spans="1:10" ht="11.25" customHeight="1" x14ac:dyDescent="0.2">
      <c r="A652" s="70" t="s">
        <v>25</v>
      </c>
      <c r="B652" s="65">
        <v>0</v>
      </c>
      <c r="C652" s="65">
        <v>0</v>
      </c>
      <c r="D652" s="65">
        <v>22334705.775000002</v>
      </c>
      <c r="E652" s="65">
        <v>24495297.698027518</v>
      </c>
      <c r="F652" s="65">
        <v>18081146.061000001</v>
      </c>
      <c r="G652" s="65">
        <v>20741070.222996652</v>
      </c>
      <c r="H652" s="39">
        <v>9.6736977186686612E-2</v>
      </c>
      <c r="I652" s="39">
        <v>0.14711037414458739</v>
      </c>
      <c r="J652" s="39">
        <v>0.1192729057050419</v>
      </c>
    </row>
    <row r="653" spans="1:10" ht="11.25" customHeight="1" x14ac:dyDescent="0.2">
      <c r="A653" s="71" t="s">
        <v>25</v>
      </c>
      <c r="B653" s="65">
        <v>0</v>
      </c>
      <c r="C653" s="65">
        <v>0</v>
      </c>
      <c r="D653" s="65">
        <v>22334705.775000002</v>
      </c>
      <c r="E653" s="65">
        <v>24495297.698027518</v>
      </c>
      <c r="F653" s="65">
        <v>18081146.061000001</v>
      </c>
      <c r="G653" s="65">
        <v>20741070.222996652</v>
      </c>
      <c r="H653" s="39">
        <v>9.6736977186686612E-2</v>
      </c>
      <c r="I653" s="39">
        <v>0.14711037414458739</v>
      </c>
      <c r="J653" s="39">
        <v>0.1192729057050419</v>
      </c>
    </row>
    <row r="654" spans="1:10" ht="11.25" customHeight="1" x14ac:dyDescent="0.2">
      <c r="A654" s="72" t="s">
        <v>25</v>
      </c>
      <c r="B654" s="65">
        <v>0</v>
      </c>
      <c r="C654" s="65">
        <v>0</v>
      </c>
      <c r="D654" s="65">
        <v>22334705.775000002</v>
      </c>
      <c r="E654" s="65">
        <v>24495297.698027518</v>
      </c>
      <c r="F654" s="65">
        <v>18081146.061000001</v>
      </c>
      <c r="G654" s="65">
        <v>20741070.222996652</v>
      </c>
      <c r="H654" s="39">
        <v>9.6736977186686612E-2</v>
      </c>
      <c r="I654" s="39">
        <v>0.14711037414458739</v>
      </c>
      <c r="J654" s="39">
        <v>0.1192729057050419</v>
      </c>
    </row>
    <row r="655" spans="1:10" ht="11.25" customHeight="1" x14ac:dyDescent="0.2">
      <c r="A655" s="73" t="s">
        <v>25</v>
      </c>
      <c r="B655" s="65">
        <v>0</v>
      </c>
      <c r="C655" s="65">
        <v>0</v>
      </c>
      <c r="D655" s="65">
        <v>22334705.775000002</v>
      </c>
      <c r="E655" s="65">
        <v>24495297.698027518</v>
      </c>
      <c r="F655" s="65">
        <v>18081146.061000001</v>
      </c>
      <c r="G655" s="65">
        <v>20741070.222996652</v>
      </c>
      <c r="H655" s="39">
        <v>9.6736977186686612E-2</v>
      </c>
      <c r="I655" s="39">
        <v>0.14711037414458739</v>
      </c>
      <c r="J655" s="39">
        <v>0.1192729057050419</v>
      </c>
    </row>
    <row r="656" spans="1:10" ht="11.25" customHeight="1" x14ac:dyDescent="0.2">
      <c r="A656" s="74">
        <v>44228</v>
      </c>
      <c r="B656" s="65">
        <v>0</v>
      </c>
      <c r="C656" s="65">
        <v>0</v>
      </c>
      <c r="D656" s="65">
        <v>1856130.273</v>
      </c>
      <c r="E656" s="65">
        <v>2035686.7048747188</v>
      </c>
      <c r="F656" s="65">
        <v>1502637.3265200001</v>
      </c>
      <c r="G656" s="65">
        <v>1723690.8658279807</v>
      </c>
      <c r="H656" s="39">
        <v>9.6736977186686168E-2</v>
      </c>
      <c r="I656" s="39">
        <v>0.14711037414458783</v>
      </c>
      <c r="J656" s="39">
        <v>0.11927290570504212</v>
      </c>
    </row>
    <row r="657" spans="1:10" ht="11.25" customHeight="1" x14ac:dyDescent="0.2">
      <c r="A657" s="74">
        <v>44256</v>
      </c>
      <c r="B657" s="65">
        <v>0</v>
      </c>
      <c r="C657" s="65">
        <v>0</v>
      </c>
      <c r="D657" s="65">
        <v>1992843.6457499999</v>
      </c>
      <c r="E657" s="65">
        <v>2185625.3160455506</v>
      </c>
      <c r="F657" s="65">
        <v>1613314.1577300003</v>
      </c>
      <c r="G657" s="65">
        <v>1850649.407086421</v>
      </c>
      <c r="H657" s="39">
        <v>9.673697718668639E-2</v>
      </c>
      <c r="I657" s="39">
        <v>0.14711037414458761</v>
      </c>
      <c r="J657" s="39">
        <v>0.1192729057050419</v>
      </c>
    </row>
    <row r="658" spans="1:10" ht="11.25" customHeight="1" x14ac:dyDescent="0.2">
      <c r="A658" s="74">
        <v>44287</v>
      </c>
      <c r="B658" s="65">
        <v>0</v>
      </c>
      <c r="C658" s="65">
        <v>0</v>
      </c>
      <c r="D658" s="65">
        <v>1838425.7745000003</v>
      </c>
      <c r="E658" s="65">
        <v>2016269.5267072227</v>
      </c>
      <c r="F658" s="65">
        <v>1488304.58238</v>
      </c>
      <c r="G658" s="65">
        <v>1707249.6263350265</v>
      </c>
      <c r="H658" s="39">
        <v>9.6736977186686168E-2</v>
      </c>
      <c r="I658" s="39">
        <v>0.14711037414458783</v>
      </c>
      <c r="J658" s="39">
        <v>0.11927290570504212</v>
      </c>
    </row>
    <row r="659" spans="1:10" ht="11.25" customHeight="1" x14ac:dyDescent="0.2">
      <c r="A659" s="74">
        <v>44317</v>
      </c>
      <c r="B659" s="65">
        <v>0</v>
      </c>
      <c r="C659" s="65">
        <v>0</v>
      </c>
      <c r="D659" s="65">
        <v>1875570.4169999999</v>
      </c>
      <c r="E659" s="65">
        <v>2057007.4296413523</v>
      </c>
      <c r="F659" s="65">
        <v>1518375.1690800001</v>
      </c>
      <c r="G659" s="65">
        <v>1741743.9082952107</v>
      </c>
      <c r="H659" s="39">
        <v>9.6736977186686168E-2</v>
      </c>
      <c r="I659" s="39">
        <v>0.14711037414458783</v>
      </c>
      <c r="J659" s="39">
        <v>0.1192729057050419</v>
      </c>
    </row>
    <row r="660" spans="1:10" ht="11.25" customHeight="1" x14ac:dyDescent="0.2">
      <c r="A660" s="74">
        <v>44348</v>
      </c>
      <c r="B660" s="65">
        <v>0</v>
      </c>
      <c r="C660" s="65">
        <v>0</v>
      </c>
      <c r="D660" s="65">
        <v>1709815.1287500001</v>
      </c>
      <c r="E660" s="65">
        <v>1875217.47585334</v>
      </c>
      <c r="F660" s="65">
        <v>1384187.3446500003</v>
      </c>
      <c r="G660" s="65">
        <v>1587815.6628076653</v>
      </c>
      <c r="H660" s="39">
        <v>9.673697718668639E-2</v>
      </c>
      <c r="I660" s="39">
        <v>0.14711037414458783</v>
      </c>
      <c r="J660" s="39">
        <v>0.11927290570504212</v>
      </c>
    </row>
    <row r="661" spans="1:10" ht="11.25" customHeight="1" x14ac:dyDescent="0.2">
      <c r="A661" s="74">
        <v>44378</v>
      </c>
      <c r="B661" s="65">
        <v>0</v>
      </c>
      <c r="C661" s="65">
        <v>0</v>
      </c>
      <c r="D661" s="65">
        <v>1829932.713</v>
      </c>
      <c r="E661" s="65">
        <v>2006954.872110652</v>
      </c>
      <c r="F661" s="65">
        <v>1481428.9921200001</v>
      </c>
      <c r="G661" s="65">
        <v>1699362.5654194134</v>
      </c>
      <c r="H661" s="39">
        <v>9.673697718668639E-2</v>
      </c>
      <c r="I661" s="39">
        <v>0.14711037414458805</v>
      </c>
      <c r="J661" s="39">
        <v>0.11927290570504212</v>
      </c>
    </row>
    <row r="662" spans="1:10" ht="11.25" customHeight="1" x14ac:dyDescent="0.2">
      <c r="A662" s="74">
        <v>44409</v>
      </c>
      <c r="B662" s="65">
        <v>0</v>
      </c>
      <c r="C662" s="65">
        <v>0</v>
      </c>
      <c r="D662" s="65">
        <v>1715528.7000000002</v>
      </c>
      <c r="E662" s="65">
        <v>1881483.7607150055</v>
      </c>
      <c r="F662" s="65">
        <v>1388812.7880000002</v>
      </c>
      <c r="G662" s="65">
        <v>1593121.5568594683</v>
      </c>
      <c r="H662" s="39">
        <v>9.6736977186686168E-2</v>
      </c>
      <c r="I662" s="39">
        <v>0.14711037414458783</v>
      </c>
      <c r="J662" s="39">
        <v>0.1192729057050419</v>
      </c>
    </row>
    <row r="663" spans="1:10" ht="11.25" customHeight="1" x14ac:dyDescent="0.2">
      <c r="A663" s="74">
        <v>44440</v>
      </c>
      <c r="B663" s="65">
        <v>0</v>
      </c>
      <c r="C663" s="65">
        <v>0</v>
      </c>
      <c r="D663" s="65">
        <v>1710025.7264999999</v>
      </c>
      <c r="E663" s="65">
        <v>1875448.4461930771</v>
      </c>
      <c r="F663" s="65">
        <v>1384357.8348599998</v>
      </c>
      <c r="G663" s="65">
        <v>1588011.2338962462</v>
      </c>
      <c r="H663" s="39">
        <v>9.673697718668639E-2</v>
      </c>
      <c r="I663" s="39">
        <v>0.14711037414458805</v>
      </c>
      <c r="J663" s="39">
        <v>0.11927290570504212</v>
      </c>
    </row>
    <row r="664" spans="1:10" ht="11.25" customHeight="1" x14ac:dyDescent="0.2">
      <c r="A664" s="74">
        <v>44470</v>
      </c>
      <c r="B664" s="65">
        <v>0</v>
      </c>
      <c r="C664" s="65">
        <v>0</v>
      </c>
      <c r="D664" s="65">
        <v>1869075.60525</v>
      </c>
      <c r="E664" s="65">
        <v>2049884.329435261</v>
      </c>
      <c r="F664" s="65">
        <v>1513117.26951</v>
      </c>
      <c r="G664" s="65">
        <v>1735712.5171522533</v>
      </c>
      <c r="H664" s="39">
        <v>9.6736977186686168E-2</v>
      </c>
      <c r="I664" s="39">
        <v>0.14711037414458783</v>
      </c>
      <c r="J664" s="39">
        <v>0.11927290570504212</v>
      </c>
    </row>
    <row r="665" spans="1:10" ht="11.25" customHeight="1" x14ac:dyDescent="0.2">
      <c r="A665" s="74">
        <v>44501</v>
      </c>
      <c r="B665" s="65">
        <v>0</v>
      </c>
      <c r="C665" s="65">
        <v>0</v>
      </c>
      <c r="D665" s="65">
        <v>1908759.4222499998</v>
      </c>
      <c r="E665" s="65">
        <v>2093407.0389350706</v>
      </c>
      <c r="F665" s="65">
        <v>1545243.45459</v>
      </c>
      <c r="G665" s="65">
        <v>1772564.7973392103</v>
      </c>
      <c r="H665" s="39">
        <v>9.673697718668639E-2</v>
      </c>
      <c r="I665" s="39">
        <v>0.14711037414458783</v>
      </c>
      <c r="J665" s="39">
        <v>0.1192729057050419</v>
      </c>
    </row>
    <row r="666" spans="1:10" ht="11.25" customHeight="1" x14ac:dyDescent="0.2">
      <c r="A666" s="74">
        <v>44531</v>
      </c>
      <c r="B666" s="65">
        <v>0</v>
      </c>
      <c r="C666" s="65">
        <v>0</v>
      </c>
      <c r="D666" s="65">
        <v>2014299.1845000002</v>
      </c>
      <c r="E666" s="65">
        <v>2209156.3987581371</v>
      </c>
      <c r="F666" s="65">
        <v>1630683.57078</v>
      </c>
      <c r="G666" s="65">
        <v>1870574.0409888786</v>
      </c>
      <c r="H666" s="39">
        <v>9.6736977186686168E-2</v>
      </c>
      <c r="I666" s="39">
        <v>0.14711037414458805</v>
      </c>
      <c r="J666" s="39">
        <v>0.11927290570504212</v>
      </c>
    </row>
    <row r="667" spans="1:10" ht="11.25" customHeight="1" x14ac:dyDescent="0.2">
      <c r="A667" s="74">
        <v>44562</v>
      </c>
      <c r="B667" s="65">
        <v>0</v>
      </c>
      <c r="C667" s="65">
        <v>0</v>
      </c>
      <c r="D667" s="65">
        <v>2014299.1845000002</v>
      </c>
      <c r="E667" s="65">
        <v>2209156.3987581371</v>
      </c>
      <c r="F667" s="65">
        <v>1630683.57078</v>
      </c>
      <c r="G667" s="65">
        <v>1870574.0409888786</v>
      </c>
      <c r="H667" s="39">
        <v>9.6736977186686168E-2</v>
      </c>
      <c r="I667" s="39">
        <v>0.14711037414458805</v>
      </c>
      <c r="J667" s="39">
        <v>0.11927290570504212</v>
      </c>
    </row>
    <row r="668" spans="1:10" ht="11.25" customHeight="1" x14ac:dyDescent="0.2">
      <c r="A668" s="69" t="s">
        <v>51</v>
      </c>
      <c r="B668" s="65">
        <v>0</v>
      </c>
      <c r="C668" s="65">
        <v>0</v>
      </c>
      <c r="D668" s="65">
        <v>21680.423999999999</v>
      </c>
      <c r="E668" s="65">
        <v>23777.722681885683</v>
      </c>
      <c r="F668" s="65">
        <v>17551.46976</v>
      </c>
      <c r="G668" s="65">
        <v>20133.473043181024</v>
      </c>
      <c r="H668" s="39">
        <v>9.6736977186686168E-2</v>
      </c>
      <c r="I668" s="39">
        <v>0.14711037414458805</v>
      </c>
      <c r="J668" s="39">
        <v>0.1192729057050419</v>
      </c>
    </row>
    <row r="669" spans="1:10" ht="11.25" customHeight="1" x14ac:dyDescent="0.2">
      <c r="A669" s="70" t="s">
        <v>25</v>
      </c>
      <c r="B669" s="65">
        <v>0</v>
      </c>
      <c r="C669" s="65">
        <v>0</v>
      </c>
      <c r="D669" s="65">
        <v>21680.423999999999</v>
      </c>
      <c r="E669" s="65">
        <v>23777.722681885683</v>
      </c>
      <c r="F669" s="65">
        <v>17551.46976</v>
      </c>
      <c r="G669" s="65">
        <v>20133.473043181024</v>
      </c>
      <c r="H669" s="39">
        <v>9.6736977186686168E-2</v>
      </c>
      <c r="I669" s="39">
        <v>0.14711037414458805</v>
      </c>
      <c r="J669" s="39">
        <v>0.1192729057050419</v>
      </c>
    </row>
    <row r="670" spans="1:10" ht="11.25" customHeight="1" x14ac:dyDescent="0.2">
      <c r="A670" s="71" t="s">
        <v>25</v>
      </c>
      <c r="B670" s="65">
        <v>0</v>
      </c>
      <c r="C670" s="65">
        <v>0</v>
      </c>
      <c r="D670" s="65">
        <v>21680.423999999999</v>
      </c>
      <c r="E670" s="65">
        <v>23777.722681885683</v>
      </c>
      <c r="F670" s="65">
        <v>17551.46976</v>
      </c>
      <c r="G670" s="65">
        <v>20133.473043181024</v>
      </c>
      <c r="H670" s="39">
        <v>9.6736977186686168E-2</v>
      </c>
      <c r="I670" s="39">
        <v>0.14711037414458805</v>
      </c>
      <c r="J670" s="39">
        <v>0.1192729057050419</v>
      </c>
    </row>
    <row r="671" spans="1:10" ht="11.25" customHeight="1" x14ac:dyDescent="0.2">
      <c r="A671" s="72" t="s">
        <v>25</v>
      </c>
      <c r="B671" s="65">
        <v>0</v>
      </c>
      <c r="C671" s="65">
        <v>0</v>
      </c>
      <c r="D671" s="65">
        <v>21680.423999999999</v>
      </c>
      <c r="E671" s="65">
        <v>23777.722681885683</v>
      </c>
      <c r="F671" s="65">
        <v>17551.46976</v>
      </c>
      <c r="G671" s="65">
        <v>20133.473043181024</v>
      </c>
      <c r="H671" s="39">
        <v>9.6736977186686168E-2</v>
      </c>
      <c r="I671" s="39">
        <v>0.14711037414458805</v>
      </c>
      <c r="J671" s="39">
        <v>0.1192729057050419</v>
      </c>
    </row>
    <row r="672" spans="1:10" ht="11.25" customHeight="1" x14ac:dyDescent="0.2">
      <c r="A672" s="73" t="s">
        <v>25</v>
      </c>
      <c r="B672" s="65">
        <v>0</v>
      </c>
      <c r="C672" s="65">
        <v>0</v>
      </c>
      <c r="D672" s="65">
        <v>21680.423999999999</v>
      </c>
      <c r="E672" s="65">
        <v>23777.722681885683</v>
      </c>
      <c r="F672" s="65">
        <v>17551.46976</v>
      </c>
      <c r="G672" s="65">
        <v>20133.473043181024</v>
      </c>
      <c r="H672" s="39">
        <v>9.6736977186686168E-2</v>
      </c>
      <c r="I672" s="39">
        <v>0.14711037414458805</v>
      </c>
      <c r="J672" s="39">
        <v>0.1192729057050419</v>
      </c>
    </row>
    <row r="673" spans="1:10" ht="11.25" customHeight="1" x14ac:dyDescent="0.2">
      <c r="A673" s="74">
        <v>44228</v>
      </c>
      <c r="B673" s="65">
        <v>0</v>
      </c>
      <c r="C673" s="65">
        <v>0</v>
      </c>
      <c r="D673" s="65">
        <v>1619.6310000000001</v>
      </c>
      <c r="E673" s="65">
        <v>1776.3092070978498</v>
      </c>
      <c r="F673" s="65">
        <v>1311.1784400000001</v>
      </c>
      <c r="G673" s="65">
        <v>1504.0663908787171</v>
      </c>
      <c r="H673" s="39">
        <v>9.6736977186686168E-2</v>
      </c>
      <c r="I673" s="39">
        <v>0.14711037414458783</v>
      </c>
      <c r="J673" s="39">
        <v>0.1192729057050419</v>
      </c>
    </row>
    <row r="674" spans="1:10" ht="11.25" customHeight="1" x14ac:dyDescent="0.2">
      <c r="A674" s="74">
        <v>44256</v>
      </c>
      <c r="B674" s="65">
        <v>0</v>
      </c>
      <c r="C674" s="65">
        <v>0</v>
      </c>
      <c r="D674" s="65">
        <v>1820.2275</v>
      </c>
      <c r="E674" s="65">
        <v>1996.3108061420789</v>
      </c>
      <c r="F674" s="65">
        <v>1473.5721000000001</v>
      </c>
      <c r="G674" s="65">
        <v>1690.3498429600263</v>
      </c>
      <c r="H674" s="39">
        <v>9.6736977186686168E-2</v>
      </c>
      <c r="I674" s="39">
        <v>0.14711037414458805</v>
      </c>
      <c r="J674" s="39">
        <v>0.1192729057050419</v>
      </c>
    </row>
    <row r="675" spans="1:10" ht="11.25" customHeight="1" x14ac:dyDescent="0.2">
      <c r="A675" s="74">
        <v>44287</v>
      </c>
      <c r="B675" s="65">
        <v>0</v>
      </c>
      <c r="C675" s="65">
        <v>0</v>
      </c>
      <c r="D675" s="65">
        <v>1847.6595</v>
      </c>
      <c r="E675" s="65">
        <v>2026.3964949002641</v>
      </c>
      <c r="F675" s="65">
        <v>1495.7797800000001</v>
      </c>
      <c r="G675" s="65">
        <v>1715.8245030737096</v>
      </c>
      <c r="H675" s="39">
        <v>9.6736977186686168E-2</v>
      </c>
      <c r="I675" s="39">
        <v>0.14711037414458805</v>
      </c>
      <c r="J675" s="39">
        <v>0.11927290570504212</v>
      </c>
    </row>
    <row r="676" spans="1:10" ht="11.25" customHeight="1" x14ac:dyDescent="0.2">
      <c r="A676" s="74">
        <v>44317</v>
      </c>
      <c r="B676" s="65">
        <v>0</v>
      </c>
      <c r="C676" s="65">
        <v>0</v>
      </c>
      <c r="D676" s="65">
        <v>1877.3775000000001</v>
      </c>
      <c r="E676" s="65">
        <v>2058.989324388298</v>
      </c>
      <c r="F676" s="65">
        <v>1519.8381000000002</v>
      </c>
      <c r="G676" s="65">
        <v>1743.4220515301997</v>
      </c>
      <c r="H676" s="39">
        <v>9.6736977186686168E-2</v>
      </c>
      <c r="I676" s="39">
        <v>0.14711037414458783</v>
      </c>
      <c r="J676" s="39">
        <v>0.1192729057050419</v>
      </c>
    </row>
    <row r="677" spans="1:10" ht="11.25" customHeight="1" x14ac:dyDescent="0.2">
      <c r="A677" s="74">
        <v>44348</v>
      </c>
      <c r="B677" s="65">
        <v>0</v>
      </c>
      <c r="C677" s="65">
        <v>0</v>
      </c>
      <c r="D677" s="65">
        <v>1696.7835</v>
      </c>
      <c r="E677" s="65">
        <v>1860.9252067302455</v>
      </c>
      <c r="F677" s="65">
        <v>1373.6375399999999</v>
      </c>
      <c r="G677" s="65">
        <v>1575.7138724484514</v>
      </c>
      <c r="H677" s="39">
        <v>9.6736977186686168E-2</v>
      </c>
      <c r="I677" s="39">
        <v>0.14711037414458805</v>
      </c>
      <c r="J677" s="39">
        <v>0.1192729057050419</v>
      </c>
    </row>
    <row r="678" spans="1:10" ht="11.25" customHeight="1" x14ac:dyDescent="0.2">
      <c r="A678" s="74">
        <v>44378</v>
      </c>
      <c r="B678" s="65">
        <v>0</v>
      </c>
      <c r="C678" s="65">
        <v>0</v>
      </c>
      <c r="D678" s="65">
        <v>1912.5247499999998</v>
      </c>
      <c r="E678" s="65">
        <v>2097.5366131097226</v>
      </c>
      <c r="F678" s="65">
        <v>1548.29169</v>
      </c>
      <c r="G678" s="65">
        <v>1776.0614598008563</v>
      </c>
      <c r="H678" s="39">
        <v>9.6736977186686168E-2</v>
      </c>
      <c r="I678" s="39">
        <v>0.14711037414458783</v>
      </c>
      <c r="J678" s="39">
        <v>0.1192729057050419</v>
      </c>
    </row>
    <row r="679" spans="1:10" ht="11.25" customHeight="1" x14ac:dyDescent="0.2">
      <c r="A679" s="74">
        <v>44409</v>
      </c>
      <c r="B679" s="65">
        <v>0</v>
      </c>
      <c r="C679" s="65">
        <v>0</v>
      </c>
      <c r="D679" s="65">
        <v>1707.9277500000001</v>
      </c>
      <c r="E679" s="65">
        <v>1873.1475177882585</v>
      </c>
      <c r="F679" s="65">
        <v>1382.6594100000002</v>
      </c>
      <c r="G679" s="65">
        <v>1586.0629531196353</v>
      </c>
      <c r="H679" s="39">
        <v>9.6736977186686168E-2</v>
      </c>
      <c r="I679" s="39">
        <v>0.14711037414458783</v>
      </c>
      <c r="J679" s="39">
        <v>0.11927290570504212</v>
      </c>
    </row>
    <row r="680" spans="1:10" ht="11.25" customHeight="1" x14ac:dyDescent="0.2">
      <c r="A680" s="74">
        <v>44440</v>
      </c>
      <c r="B680" s="65">
        <v>0</v>
      </c>
      <c r="C680" s="65">
        <v>0</v>
      </c>
      <c r="D680" s="65">
        <v>1697.9265</v>
      </c>
      <c r="E680" s="65">
        <v>1862.1787770951701</v>
      </c>
      <c r="F680" s="65">
        <v>1374.56286</v>
      </c>
      <c r="G680" s="65">
        <v>1576.7753166198549</v>
      </c>
      <c r="H680" s="39">
        <v>9.6736977186686168E-2</v>
      </c>
      <c r="I680" s="39">
        <v>0.14711037414458805</v>
      </c>
      <c r="J680" s="39">
        <v>0.11927290570504212</v>
      </c>
    </row>
    <row r="681" spans="1:10" ht="11.25" customHeight="1" x14ac:dyDescent="0.2">
      <c r="A681" s="74">
        <v>44470</v>
      </c>
      <c r="B681" s="65">
        <v>0</v>
      </c>
      <c r="C681" s="65">
        <v>0</v>
      </c>
      <c r="D681" s="65">
        <v>1865.66175</v>
      </c>
      <c r="E681" s="65">
        <v>2046.1402281478231</v>
      </c>
      <c r="F681" s="65">
        <v>1510.35357</v>
      </c>
      <c r="G681" s="65">
        <v>1732.5422487733142</v>
      </c>
      <c r="H681" s="39">
        <v>9.6736977186686168E-2</v>
      </c>
      <c r="I681" s="39">
        <v>0.14711037414458805</v>
      </c>
      <c r="J681" s="39">
        <v>0.1192729057050419</v>
      </c>
    </row>
    <row r="682" spans="1:10" ht="11.25" customHeight="1" x14ac:dyDescent="0.2">
      <c r="A682" s="74">
        <v>44501</v>
      </c>
      <c r="B682" s="65">
        <v>0</v>
      </c>
      <c r="C682" s="65">
        <v>0</v>
      </c>
      <c r="D682" s="65">
        <v>1749.64725</v>
      </c>
      <c r="E682" s="65">
        <v>1918.9028361079984</v>
      </c>
      <c r="F682" s="65">
        <v>1416.4335900000001</v>
      </c>
      <c r="G682" s="65">
        <v>1624.805665375862</v>
      </c>
      <c r="H682" s="39">
        <v>9.673697718668639E-2</v>
      </c>
      <c r="I682" s="39">
        <v>0.14711037414458783</v>
      </c>
      <c r="J682" s="39">
        <v>0.11927290570504212</v>
      </c>
    </row>
    <row r="683" spans="1:10" ht="11.25" customHeight="1" x14ac:dyDescent="0.2">
      <c r="A683" s="74">
        <v>44531</v>
      </c>
      <c r="B683" s="65">
        <v>0</v>
      </c>
      <c r="C683" s="65">
        <v>0</v>
      </c>
      <c r="D683" s="65">
        <v>1942.5285000000001</v>
      </c>
      <c r="E683" s="65">
        <v>2130.4428351889878</v>
      </c>
      <c r="F683" s="65">
        <v>1572.5813400000002</v>
      </c>
      <c r="G683" s="65">
        <v>1803.9243693001974</v>
      </c>
      <c r="H683" s="39">
        <v>9.6736977186686168E-2</v>
      </c>
      <c r="I683" s="39">
        <v>0.14711037414458783</v>
      </c>
      <c r="J683" s="39">
        <v>0.11927290570504212</v>
      </c>
    </row>
    <row r="684" spans="1:10" ht="11.25" customHeight="1" x14ac:dyDescent="0.2">
      <c r="A684" s="74">
        <v>44562</v>
      </c>
      <c r="B684" s="65">
        <v>0</v>
      </c>
      <c r="C684" s="65">
        <v>0</v>
      </c>
      <c r="D684" s="65">
        <v>1942.5285000000001</v>
      </c>
      <c r="E684" s="65">
        <v>2130.4428351889878</v>
      </c>
      <c r="F684" s="65">
        <v>1572.5813400000002</v>
      </c>
      <c r="G684" s="65">
        <v>1803.9243693001974</v>
      </c>
      <c r="H684" s="39">
        <v>9.6736977186686168E-2</v>
      </c>
      <c r="I684" s="39">
        <v>0.14711037414458783</v>
      </c>
      <c r="J684" s="39">
        <v>0.11927290570504212</v>
      </c>
    </row>
    <row r="685" spans="1:10" ht="11.25" customHeight="1" x14ac:dyDescent="0.2">
      <c r="A685" s="69" t="s">
        <v>38</v>
      </c>
      <c r="B685" s="65">
        <v>0</v>
      </c>
      <c r="C685" s="65">
        <v>0</v>
      </c>
      <c r="D685" s="65">
        <v>1525553.24175</v>
      </c>
      <c r="E685" s="65">
        <v>1673130.6508942451</v>
      </c>
      <c r="F685" s="65">
        <v>1235017.4327700001</v>
      </c>
      <c r="G685" s="65">
        <v>1416701.3093798829</v>
      </c>
      <c r="H685" s="39">
        <v>9.673697718668639E-2</v>
      </c>
      <c r="I685" s="39">
        <v>0.14711037414458805</v>
      </c>
      <c r="J685" s="39">
        <v>0.11927290570504212</v>
      </c>
    </row>
    <row r="686" spans="1:10" ht="11.25" customHeight="1" x14ac:dyDescent="0.2">
      <c r="A686" s="70" t="s">
        <v>25</v>
      </c>
      <c r="B686" s="65">
        <v>0</v>
      </c>
      <c r="C686" s="65">
        <v>0</v>
      </c>
      <c r="D686" s="65">
        <v>1525553.24175</v>
      </c>
      <c r="E686" s="65">
        <v>1673130.6508942451</v>
      </c>
      <c r="F686" s="65">
        <v>1235017.4327700001</v>
      </c>
      <c r="G686" s="65">
        <v>1416701.3093798829</v>
      </c>
      <c r="H686" s="39">
        <v>9.673697718668639E-2</v>
      </c>
      <c r="I686" s="39">
        <v>0.14711037414458805</v>
      </c>
      <c r="J686" s="39">
        <v>0.11927290570504212</v>
      </c>
    </row>
    <row r="687" spans="1:10" ht="11.25" customHeight="1" x14ac:dyDescent="0.2">
      <c r="A687" s="71" t="s">
        <v>25</v>
      </c>
      <c r="B687" s="65">
        <v>0</v>
      </c>
      <c r="C687" s="65">
        <v>0</v>
      </c>
      <c r="D687" s="65">
        <v>1525553.24175</v>
      </c>
      <c r="E687" s="65">
        <v>1673130.6508942451</v>
      </c>
      <c r="F687" s="65">
        <v>1235017.4327700001</v>
      </c>
      <c r="G687" s="65">
        <v>1416701.3093798829</v>
      </c>
      <c r="H687" s="39">
        <v>9.673697718668639E-2</v>
      </c>
      <c r="I687" s="39">
        <v>0.14711037414458805</v>
      </c>
      <c r="J687" s="39">
        <v>0.11927290570504212</v>
      </c>
    </row>
    <row r="688" spans="1:10" ht="11.25" customHeight="1" x14ac:dyDescent="0.2">
      <c r="A688" s="72" t="s">
        <v>25</v>
      </c>
      <c r="B688" s="65">
        <v>0</v>
      </c>
      <c r="C688" s="65">
        <v>0</v>
      </c>
      <c r="D688" s="65">
        <v>1525553.24175</v>
      </c>
      <c r="E688" s="65">
        <v>1673130.6508942451</v>
      </c>
      <c r="F688" s="65">
        <v>1235017.4327700001</v>
      </c>
      <c r="G688" s="65">
        <v>1416701.3093798829</v>
      </c>
      <c r="H688" s="39">
        <v>9.673697718668639E-2</v>
      </c>
      <c r="I688" s="39">
        <v>0.14711037414458805</v>
      </c>
      <c r="J688" s="39">
        <v>0.11927290570504212</v>
      </c>
    </row>
    <row r="689" spans="1:10" ht="11.25" customHeight="1" x14ac:dyDescent="0.2">
      <c r="A689" s="73" t="s">
        <v>25</v>
      </c>
      <c r="B689" s="65">
        <v>0</v>
      </c>
      <c r="C689" s="65">
        <v>0</v>
      </c>
      <c r="D689" s="65">
        <v>1525553.24175</v>
      </c>
      <c r="E689" s="65">
        <v>1673130.6508942451</v>
      </c>
      <c r="F689" s="65">
        <v>1235017.4327700001</v>
      </c>
      <c r="G689" s="65">
        <v>1416701.3093798829</v>
      </c>
      <c r="H689" s="39">
        <v>9.673697718668639E-2</v>
      </c>
      <c r="I689" s="39">
        <v>0.14711037414458805</v>
      </c>
      <c r="J689" s="39">
        <v>0.11927290570504212</v>
      </c>
    </row>
    <row r="690" spans="1:10" ht="11.25" customHeight="1" x14ac:dyDescent="0.2">
      <c r="A690" s="74">
        <v>44228</v>
      </c>
      <c r="B690" s="65">
        <v>0</v>
      </c>
      <c r="C690" s="65">
        <v>0</v>
      </c>
      <c r="D690" s="65">
        <v>122651.32950000001</v>
      </c>
      <c r="E690" s="65">
        <v>134516.24836375826</v>
      </c>
      <c r="F690" s="65">
        <v>99292.850580000013</v>
      </c>
      <c r="G690" s="65">
        <v>113899.85897870647</v>
      </c>
      <c r="H690" s="39">
        <v>9.673697718668639E-2</v>
      </c>
      <c r="I690" s="39">
        <v>0.14711037414458783</v>
      </c>
      <c r="J690" s="39">
        <v>0.11927290570504212</v>
      </c>
    </row>
    <row r="691" spans="1:10" ht="11.25" customHeight="1" x14ac:dyDescent="0.2">
      <c r="A691" s="74">
        <v>44256</v>
      </c>
      <c r="B691" s="65">
        <v>0</v>
      </c>
      <c r="C691" s="65">
        <v>0</v>
      </c>
      <c r="D691" s="65">
        <v>125974.602</v>
      </c>
      <c r="E691" s="65">
        <v>138161.00419977587</v>
      </c>
      <c r="F691" s="65">
        <v>101983.21848</v>
      </c>
      <c r="G691" s="65">
        <v>116986.00790706206</v>
      </c>
      <c r="H691" s="39">
        <v>9.6736977186686168E-2</v>
      </c>
      <c r="I691" s="39">
        <v>0.14711037414458805</v>
      </c>
      <c r="J691" s="39">
        <v>0.11927290570504212</v>
      </c>
    </row>
    <row r="692" spans="1:10" ht="11.25" customHeight="1" x14ac:dyDescent="0.2">
      <c r="A692" s="74">
        <v>44287</v>
      </c>
      <c r="B692" s="65">
        <v>0</v>
      </c>
      <c r="C692" s="65">
        <v>0</v>
      </c>
      <c r="D692" s="65">
        <v>141884.01899999997</v>
      </c>
      <c r="E692" s="65">
        <v>155609.45010915835</v>
      </c>
      <c r="F692" s="65">
        <v>114862.74756000002</v>
      </c>
      <c r="G692" s="65">
        <v>131760.24932882696</v>
      </c>
      <c r="H692" s="39">
        <v>9.673697718668639E-2</v>
      </c>
      <c r="I692" s="39">
        <v>0.14711037414458783</v>
      </c>
      <c r="J692" s="39">
        <v>0.11927290570504212</v>
      </c>
    </row>
    <row r="693" spans="1:10" ht="11.25" customHeight="1" x14ac:dyDescent="0.2">
      <c r="A693" s="74">
        <v>44317</v>
      </c>
      <c r="B693" s="65">
        <v>0</v>
      </c>
      <c r="C693" s="65">
        <v>0</v>
      </c>
      <c r="D693" s="65">
        <v>127581.65999999999</v>
      </c>
      <c r="E693" s="65">
        <v>139923.52413285954</v>
      </c>
      <c r="F693" s="65">
        <v>103284.21840000001</v>
      </c>
      <c r="G693" s="65">
        <v>118478.39841205534</v>
      </c>
      <c r="H693" s="39">
        <v>9.6736977186686168E-2</v>
      </c>
      <c r="I693" s="39">
        <v>0.14711037414458783</v>
      </c>
      <c r="J693" s="39">
        <v>0.1192729057050419</v>
      </c>
    </row>
    <row r="694" spans="1:10" ht="11.25" customHeight="1" x14ac:dyDescent="0.2">
      <c r="A694" s="74">
        <v>44348</v>
      </c>
      <c r="B694" s="65">
        <v>0</v>
      </c>
      <c r="C694" s="65">
        <v>0</v>
      </c>
      <c r="D694" s="65">
        <v>120809.9565</v>
      </c>
      <c r="E694" s="65">
        <v>132496.74650586507</v>
      </c>
      <c r="F694" s="65">
        <v>97802.160059999995</v>
      </c>
      <c r="G694" s="65">
        <v>112189.87241857548</v>
      </c>
      <c r="H694" s="39">
        <v>9.673697718668639E-2</v>
      </c>
      <c r="I694" s="39">
        <v>0.14711037414458805</v>
      </c>
      <c r="J694" s="39">
        <v>0.11927290570504212</v>
      </c>
    </row>
    <row r="695" spans="1:10" ht="11.25" customHeight="1" x14ac:dyDescent="0.2">
      <c r="A695" s="74">
        <v>44378</v>
      </c>
      <c r="B695" s="65">
        <v>0</v>
      </c>
      <c r="C695" s="65">
        <v>0</v>
      </c>
      <c r="D695" s="65">
        <v>137102.27849999999</v>
      </c>
      <c r="E695" s="65">
        <v>150365.1384874972</v>
      </c>
      <c r="F695" s="65">
        <v>110991.67134</v>
      </c>
      <c r="G695" s="65">
        <v>127319.69763776053</v>
      </c>
      <c r="H695" s="39">
        <v>9.673697718668639E-2</v>
      </c>
      <c r="I695" s="39">
        <v>0.14711037414458783</v>
      </c>
      <c r="J695" s="39">
        <v>0.1192729057050419</v>
      </c>
    </row>
    <row r="696" spans="1:10" ht="11.25" customHeight="1" x14ac:dyDescent="0.2">
      <c r="A696" s="74">
        <v>44409</v>
      </c>
      <c r="B696" s="65">
        <v>0</v>
      </c>
      <c r="C696" s="65">
        <v>0</v>
      </c>
      <c r="D696" s="65">
        <v>129836.51325</v>
      </c>
      <c r="E696" s="65">
        <v>142396.50507026413</v>
      </c>
      <c r="F696" s="65">
        <v>105109.64343000001</v>
      </c>
      <c r="G696" s="65">
        <v>120572.36240119152</v>
      </c>
      <c r="H696" s="39">
        <v>9.6736977186686168E-2</v>
      </c>
      <c r="I696" s="39">
        <v>0.14711037414458783</v>
      </c>
      <c r="J696" s="39">
        <v>0.1192729057050419</v>
      </c>
    </row>
    <row r="697" spans="1:10" ht="11.25" customHeight="1" x14ac:dyDescent="0.2">
      <c r="A697" s="74">
        <v>44440</v>
      </c>
      <c r="B697" s="65">
        <v>0</v>
      </c>
      <c r="C697" s="65">
        <v>0</v>
      </c>
      <c r="D697" s="65">
        <v>129910.52249999999</v>
      </c>
      <c r="E697" s="65">
        <v>142477.67375139298</v>
      </c>
      <c r="F697" s="65">
        <v>105169.55790000001</v>
      </c>
      <c r="G697" s="65">
        <v>120641.09091128991</v>
      </c>
      <c r="H697" s="39">
        <v>9.6736977186686168E-2</v>
      </c>
      <c r="I697" s="39">
        <v>0.14711037414458783</v>
      </c>
      <c r="J697" s="39">
        <v>0.1192729057050419</v>
      </c>
    </row>
    <row r="698" spans="1:10" ht="11.25" customHeight="1" x14ac:dyDescent="0.2">
      <c r="A698" s="74">
        <v>44470</v>
      </c>
      <c r="B698" s="65">
        <v>0</v>
      </c>
      <c r="C698" s="65">
        <v>0</v>
      </c>
      <c r="D698" s="65">
        <v>128946.402</v>
      </c>
      <c r="E698" s="65">
        <v>141420.28714857929</v>
      </c>
      <c r="F698" s="65">
        <v>104389.05048000001</v>
      </c>
      <c r="G698" s="65">
        <v>119745.76275271107</v>
      </c>
      <c r="H698" s="39">
        <v>9.673697718668639E-2</v>
      </c>
      <c r="I698" s="39">
        <v>0.14711037414458783</v>
      </c>
      <c r="J698" s="39">
        <v>0.11927290570504212</v>
      </c>
    </row>
    <row r="699" spans="1:10" ht="11.25" customHeight="1" x14ac:dyDescent="0.2">
      <c r="A699" s="74">
        <v>44501</v>
      </c>
      <c r="B699" s="65">
        <v>0</v>
      </c>
      <c r="C699" s="65">
        <v>0</v>
      </c>
      <c r="D699" s="65">
        <v>117032.34150000001</v>
      </c>
      <c r="E699" s="65">
        <v>128353.69644978998</v>
      </c>
      <c r="F699" s="65">
        <v>94743.977460000009</v>
      </c>
      <c r="G699" s="65">
        <v>108681.79943208701</v>
      </c>
      <c r="H699" s="39">
        <v>9.6736977186686168E-2</v>
      </c>
      <c r="I699" s="39">
        <v>0.14711037414458783</v>
      </c>
      <c r="J699" s="39">
        <v>0.1192729057050419</v>
      </c>
    </row>
    <row r="700" spans="1:10" ht="11.25" customHeight="1" x14ac:dyDescent="0.2">
      <c r="A700" s="74">
        <v>44531</v>
      </c>
      <c r="B700" s="65">
        <v>0</v>
      </c>
      <c r="C700" s="65">
        <v>0</v>
      </c>
      <c r="D700" s="65">
        <v>121911.80849999998</v>
      </c>
      <c r="E700" s="65">
        <v>133705.18833765216</v>
      </c>
      <c r="F700" s="65">
        <v>98694.168539999999</v>
      </c>
      <c r="G700" s="65">
        <v>113213.10459980842</v>
      </c>
      <c r="H700" s="39">
        <v>9.673697718668639E-2</v>
      </c>
      <c r="I700" s="39">
        <v>0.14711037414458783</v>
      </c>
      <c r="J700" s="39">
        <v>0.11927290570504212</v>
      </c>
    </row>
    <row r="701" spans="1:10" ht="11.25" customHeight="1" x14ac:dyDescent="0.2">
      <c r="A701" s="74">
        <v>44562</v>
      </c>
      <c r="B701" s="65">
        <v>0</v>
      </c>
      <c r="C701" s="65">
        <v>0</v>
      </c>
      <c r="D701" s="65">
        <v>121911.80849999998</v>
      </c>
      <c r="E701" s="65">
        <v>133705.18833765216</v>
      </c>
      <c r="F701" s="65">
        <v>98694.168539999999</v>
      </c>
      <c r="G701" s="65">
        <v>113213.10459980842</v>
      </c>
      <c r="H701" s="39">
        <v>9.673697718668639E-2</v>
      </c>
      <c r="I701" s="39">
        <v>0.14711037414458783</v>
      </c>
      <c r="J701" s="39">
        <v>0.11927290570504212</v>
      </c>
    </row>
    <row r="702" spans="1:10" ht="11.25" customHeight="1" x14ac:dyDescent="0.2">
      <c r="A702" s="69" t="s">
        <v>45</v>
      </c>
      <c r="B702" s="65">
        <v>0</v>
      </c>
      <c r="C702" s="65">
        <v>0</v>
      </c>
      <c r="D702" s="65">
        <v>2692243.6312500001</v>
      </c>
      <c r="E702" s="65">
        <v>2952683.141987233</v>
      </c>
      <c r="F702" s="65">
        <v>2179516.0777500002</v>
      </c>
      <c r="G702" s="65">
        <v>2500145.5034019477</v>
      </c>
      <c r="H702" s="39">
        <v>9.6736977186685724E-2</v>
      </c>
      <c r="I702" s="39">
        <v>0.1471103741445885</v>
      </c>
      <c r="J702" s="39">
        <v>0.1192729057050419</v>
      </c>
    </row>
    <row r="703" spans="1:10" ht="11.25" customHeight="1" x14ac:dyDescent="0.2">
      <c r="A703" s="70" t="s">
        <v>25</v>
      </c>
      <c r="B703" s="65">
        <v>0</v>
      </c>
      <c r="C703" s="65">
        <v>0</v>
      </c>
      <c r="D703" s="65">
        <v>2692243.6312500001</v>
      </c>
      <c r="E703" s="65">
        <v>2952683.141987233</v>
      </c>
      <c r="F703" s="65">
        <v>2179516.0777500002</v>
      </c>
      <c r="G703" s="65">
        <v>2500145.5034019477</v>
      </c>
      <c r="H703" s="39">
        <v>9.6736977186685724E-2</v>
      </c>
      <c r="I703" s="39">
        <v>0.1471103741445885</v>
      </c>
      <c r="J703" s="39">
        <v>0.1192729057050419</v>
      </c>
    </row>
    <row r="704" spans="1:10" ht="11.25" customHeight="1" x14ac:dyDescent="0.2">
      <c r="A704" s="71" t="s">
        <v>25</v>
      </c>
      <c r="B704" s="65">
        <v>0</v>
      </c>
      <c r="C704" s="65">
        <v>0</v>
      </c>
      <c r="D704" s="65">
        <v>2692243.6312500001</v>
      </c>
      <c r="E704" s="65">
        <v>2952683.141987233</v>
      </c>
      <c r="F704" s="65">
        <v>2179516.0777500002</v>
      </c>
      <c r="G704" s="65">
        <v>2500145.5034019477</v>
      </c>
      <c r="H704" s="39">
        <v>9.6736977186685724E-2</v>
      </c>
      <c r="I704" s="39">
        <v>0.1471103741445885</v>
      </c>
      <c r="J704" s="39">
        <v>0.1192729057050419</v>
      </c>
    </row>
    <row r="705" spans="1:10" ht="11.25" customHeight="1" x14ac:dyDescent="0.2">
      <c r="A705" s="72" t="s">
        <v>25</v>
      </c>
      <c r="B705" s="65">
        <v>0</v>
      </c>
      <c r="C705" s="65">
        <v>0</v>
      </c>
      <c r="D705" s="65">
        <v>2692243.6312500001</v>
      </c>
      <c r="E705" s="65">
        <v>2952683.141987233</v>
      </c>
      <c r="F705" s="65">
        <v>2179516.0777500002</v>
      </c>
      <c r="G705" s="65">
        <v>2500145.5034019477</v>
      </c>
      <c r="H705" s="39">
        <v>9.6736977186685724E-2</v>
      </c>
      <c r="I705" s="39">
        <v>0.1471103741445885</v>
      </c>
      <c r="J705" s="39">
        <v>0.1192729057050419</v>
      </c>
    </row>
    <row r="706" spans="1:10" ht="11.25" customHeight="1" x14ac:dyDescent="0.2">
      <c r="A706" s="73" t="s">
        <v>25</v>
      </c>
      <c r="B706" s="65">
        <v>0</v>
      </c>
      <c r="C706" s="65">
        <v>0</v>
      </c>
      <c r="D706" s="65">
        <v>2692243.6312500001</v>
      </c>
      <c r="E706" s="65">
        <v>2952683.141987233</v>
      </c>
      <c r="F706" s="65">
        <v>2179516.0777500002</v>
      </c>
      <c r="G706" s="65">
        <v>2500145.5034019477</v>
      </c>
      <c r="H706" s="39">
        <v>9.6736977186685724E-2</v>
      </c>
      <c r="I706" s="39">
        <v>0.1471103741445885</v>
      </c>
      <c r="J706" s="39">
        <v>0.1192729057050419</v>
      </c>
    </row>
    <row r="707" spans="1:10" ht="11.25" customHeight="1" x14ac:dyDescent="0.2">
      <c r="A707" s="74">
        <v>44228</v>
      </c>
      <c r="B707" s="65">
        <v>0</v>
      </c>
      <c r="C707" s="65">
        <v>0</v>
      </c>
      <c r="D707" s="65">
        <v>228866.89049999998</v>
      </c>
      <c r="E707" s="65">
        <v>251006.78166508631</v>
      </c>
      <c r="F707" s="65">
        <v>185280.06221999999</v>
      </c>
      <c r="G707" s="65">
        <v>212536.68149471673</v>
      </c>
      <c r="H707" s="39">
        <v>9.673697718668639E-2</v>
      </c>
      <c r="I707" s="39">
        <v>0.14711037414458805</v>
      </c>
      <c r="J707" s="39">
        <v>0.11927290570504212</v>
      </c>
    </row>
    <row r="708" spans="1:10" ht="11.25" customHeight="1" x14ac:dyDescent="0.2">
      <c r="A708" s="74">
        <v>44256</v>
      </c>
      <c r="B708" s="65">
        <v>0</v>
      </c>
      <c r="C708" s="65">
        <v>0</v>
      </c>
      <c r="D708" s="65">
        <v>233882.08875000002</v>
      </c>
      <c r="E708" s="65">
        <v>256507.1350337833</v>
      </c>
      <c r="F708" s="65">
        <v>189340.13505000001</v>
      </c>
      <c r="G708" s="65">
        <v>217194.03315779232</v>
      </c>
      <c r="H708" s="39">
        <v>9.6736977186686168E-2</v>
      </c>
      <c r="I708" s="39">
        <v>0.14711037414458783</v>
      </c>
      <c r="J708" s="39">
        <v>0.1192729057050419</v>
      </c>
    </row>
    <row r="709" spans="1:10" ht="11.25" customHeight="1" x14ac:dyDescent="0.2">
      <c r="A709" s="74">
        <v>44287</v>
      </c>
      <c r="B709" s="65">
        <v>0</v>
      </c>
      <c r="C709" s="65">
        <v>0</v>
      </c>
      <c r="D709" s="65">
        <v>226463.44725000003</v>
      </c>
      <c r="E709" s="65">
        <v>248370.83658024159</v>
      </c>
      <c r="F709" s="65">
        <v>183334.34559000001</v>
      </c>
      <c r="G709" s="65">
        <v>210304.72976329809</v>
      </c>
      <c r="H709" s="39">
        <v>9.6736977186686168E-2</v>
      </c>
      <c r="I709" s="39">
        <v>0.14711037414458783</v>
      </c>
      <c r="J709" s="39">
        <v>0.11927290570504212</v>
      </c>
    </row>
    <row r="710" spans="1:10" ht="11.25" customHeight="1" x14ac:dyDescent="0.2">
      <c r="A710" s="74">
        <v>44317</v>
      </c>
      <c r="B710" s="65">
        <v>0</v>
      </c>
      <c r="C710" s="65">
        <v>0</v>
      </c>
      <c r="D710" s="65">
        <v>221911.73549999998</v>
      </c>
      <c r="E710" s="65">
        <v>243378.80599452145</v>
      </c>
      <c r="F710" s="65">
        <v>179649.49002</v>
      </c>
      <c r="G710" s="65">
        <v>206077.79371172661</v>
      </c>
      <c r="H710" s="39">
        <v>9.673697718668639E-2</v>
      </c>
      <c r="I710" s="39">
        <v>0.14711037414458783</v>
      </c>
      <c r="J710" s="39">
        <v>0.1192729057050419</v>
      </c>
    </row>
    <row r="711" spans="1:10" ht="11.25" customHeight="1" x14ac:dyDescent="0.2">
      <c r="A711" s="74">
        <v>44348</v>
      </c>
      <c r="B711" s="65">
        <v>0</v>
      </c>
      <c r="C711" s="65">
        <v>0</v>
      </c>
      <c r="D711" s="65">
        <v>194061.96899999998</v>
      </c>
      <c r="E711" s="65">
        <v>212834.93726795641</v>
      </c>
      <c r="F711" s="65">
        <v>157103.60556</v>
      </c>
      <c r="G711" s="65">
        <v>180215.17575339536</v>
      </c>
      <c r="H711" s="39">
        <v>9.673697718668639E-2</v>
      </c>
      <c r="I711" s="39">
        <v>0.14711037414458805</v>
      </c>
      <c r="J711" s="39">
        <v>0.1192729057050419</v>
      </c>
    </row>
    <row r="712" spans="1:10" ht="11.25" customHeight="1" x14ac:dyDescent="0.2">
      <c r="A712" s="74">
        <v>44378</v>
      </c>
      <c r="B712" s="65">
        <v>0</v>
      </c>
      <c r="C712" s="65">
        <v>0</v>
      </c>
      <c r="D712" s="65">
        <v>206151.76575000002</v>
      </c>
      <c r="E712" s="65">
        <v>226094.26441035286</v>
      </c>
      <c r="F712" s="65">
        <v>166890.94653000004</v>
      </c>
      <c r="G712" s="65">
        <v>191442.33611537275</v>
      </c>
      <c r="H712" s="39">
        <v>9.6736977186686168E-2</v>
      </c>
      <c r="I712" s="39">
        <v>0.14711037414458783</v>
      </c>
      <c r="J712" s="39">
        <v>0.1192729057050419</v>
      </c>
    </row>
    <row r="713" spans="1:10" ht="11.25" customHeight="1" x14ac:dyDescent="0.2">
      <c r="A713" s="74">
        <v>44409</v>
      </c>
      <c r="B713" s="65">
        <v>0</v>
      </c>
      <c r="C713" s="65">
        <v>0</v>
      </c>
      <c r="D713" s="65">
        <v>196150.8015</v>
      </c>
      <c r="E713" s="65">
        <v>215125.83710985573</v>
      </c>
      <c r="F713" s="65">
        <v>158794.62786000001</v>
      </c>
      <c r="G713" s="65">
        <v>182154.96497663524</v>
      </c>
      <c r="H713" s="39">
        <v>9.6736977186686168E-2</v>
      </c>
      <c r="I713" s="39">
        <v>0.14711037414458805</v>
      </c>
      <c r="J713" s="39">
        <v>0.11927290570504212</v>
      </c>
    </row>
    <row r="714" spans="1:10" ht="11.25" customHeight="1" x14ac:dyDescent="0.2">
      <c r="A714" s="74">
        <v>44440</v>
      </c>
      <c r="B714" s="65">
        <v>0</v>
      </c>
      <c r="C714" s="65">
        <v>0</v>
      </c>
      <c r="D714" s="65">
        <v>196508.84625</v>
      </c>
      <c r="E714" s="65">
        <v>215518.51802666826</v>
      </c>
      <c r="F714" s="65">
        <v>159084.48434999998</v>
      </c>
      <c r="G714" s="65">
        <v>182487.46236332733</v>
      </c>
      <c r="H714" s="39">
        <v>9.6736977186686168E-2</v>
      </c>
      <c r="I714" s="39">
        <v>0.14711037414458805</v>
      </c>
      <c r="J714" s="39">
        <v>0.11927290570504212</v>
      </c>
    </row>
    <row r="715" spans="1:10" ht="11.25" customHeight="1" x14ac:dyDescent="0.2">
      <c r="A715" s="74">
        <v>44470</v>
      </c>
      <c r="B715" s="65">
        <v>0</v>
      </c>
      <c r="C715" s="65">
        <v>0</v>
      </c>
      <c r="D715" s="65">
        <v>230015.03399999999</v>
      </c>
      <c r="E715" s="65">
        <v>252265.99309665282</v>
      </c>
      <c r="F715" s="65">
        <v>186209.54616</v>
      </c>
      <c r="G715" s="65">
        <v>213602.90216489154</v>
      </c>
      <c r="H715" s="39">
        <v>9.6736977186686168E-2</v>
      </c>
      <c r="I715" s="39">
        <v>0.14711037414458805</v>
      </c>
      <c r="J715" s="39">
        <v>0.1192729057050419</v>
      </c>
    </row>
    <row r="716" spans="1:10" ht="11.25" customHeight="1" x14ac:dyDescent="0.2">
      <c r="A716" s="74">
        <v>44501</v>
      </c>
      <c r="B716" s="65">
        <v>0</v>
      </c>
      <c r="C716" s="65">
        <v>0</v>
      </c>
      <c r="D716" s="65">
        <v>238180.91175</v>
      </c>
      <c r="E716" s="65">
        <v>261221.81317626388</v>
      </c>
      <c r="F716" s="65">
        <v>192820.26357000001</v>
      </c>
      <c r="G716" s="65">
        <v>221186.12468644077</v>
      </c>
      <c r="H716" s="39">
        <v>9.6736977186686168E-2</v>
      </c>
      <c r="I716" s="39">
        <v>0.14711037414458805</v>
      </c>
      <c r="J716" s="39">
        <v>0.1192729057050419</v>
      </c>
    </row>
    <row r="717" spans="1:10" ht="11.25" customHeight="1" x14ac:dyDescent="0.2">
      <c r="A717" s="74">
        <v>44531</v>
      </c>
      <c r="B717" s="65">
        <v>0</v>
      </c>
      <c r="C717" s="65">
        <v>0</v>
      </c>
      <c r="D717" s="65">
        <v>260025.0705</v>
      </c>
      <c r="E717" s="65">
        <v>285179.10981292499</v>
      </c>
      <c r="F717" s="65">
        <v>210504.28542000003</v>
      </c>
      <c r="G717" s="65">
        <v>241471.64960717535</v>
      </c>
      <c r="H717" s="39">
        <v>9.6736977186686168E-2</v>
      </c>
      <c r="I717" s="39">
        <v>0.14711037414458783</v>
      </c>
      <c r="J717" s="39">
        <v>0.11927290570504212</v>
      </c>
    </row>
    <row r="718" spans="1:10" ht="11.25" customHeight="1" x14ac:dyDescent="0.2">
      <c r="A718" s="74">
        <v>44562</v>
      </c>
      <c r="B718" s="65">
        <v>0</v>
      </c>
      <c r="C718" s="65">
        <v>0</v>
      </c>
      <c r="D718" s="65">
        <v>260025.0705</v>
      </c>
      <c r="E718" s="65">
        <v>285179.10981292499</v>
      </c>
      <c r="F718" s="65">
        <v>210504.28542000003</v>
      </c>
      <c r="G718" s="65">
        <v>241471.64960717535</v>
      </c>
      <c r="H718" s="39">
        <v>9.6736977186686168E-2</v>
      </c>
      <c r="I718" s="39">
        <v>0.14711037414458783</v>
      </c>
      <c r="J718" s="39">
        <v>0.11927290570504212</v>
      </c>
    </row>
    <row r="719" spans="1:10" ht="11.25" customHeight="1" x14ac:dyDescent="0.2">
      <c r="A719" s="69" t="s">
        <v>49</v>
      </c>
      <c r="B719" s="65">
        <v>0</v>
      </c>
      <c r="C719" s="65">
        <v>0</v>
      </c>
      <c r="D719" s="65">
        <v>279842.09017499996</v>
      </c>
      <c r="E719" s="65">
        <v>316708.26917669101</v>
      </c>
      <c r="F719" s="65">
        <v>226547.22911699998</v>
      </c>
      <c r="G719" s="65">
        <v>268168.54941617756</v>
      </c>
      <c r="H719" s="39">
        <v>0.13173922113945302</v>
      </c>
      <c r="I719" s="39">
        <v>0.18372027970239402</v>
      </c>
      <c r="J719" s="39">
        <v>0.15499438141903266</v>
      </c>
    </row>
    <row r="720" spans="1:10" ht="11.25" customHeight="1" x14ac:dyDescent="0.2">
      <c r="A720" s="70" t="s">
        <v>50</v>
      </c>
      <c r="B720" s="65">
        <v>0</v>
      </c>
      <c r="C720" s="65">
        <v>0</v>
      </c>
      <c r="D720" s="65">
        <v>279842.09017499996</v>
      </c>
      <c r="E720" s="65">
        <v>316708.26917669101</v>
      </c>
      <c r="F720" s="65">
        <v>226547.22911699998</v>
      </c>
      <c r="G720" s="65">
        <v>268168.54941617756</v>
      </c>
      <c r="H720" s="39">
        <v>0.13173922113945302</v>
      </c>
      <c r="I720" s="39">
        <v>0.18372027970239402</v>
      </c>
      <c r="J720" s="39">
        <v>0.15499438141903266</v>
      </c>
    </row>
    <row r="721" spans="1:10" ht="11.25" customHeight="1" x14ac:dyDescent="0.2">
      <c r="A721" s="71" t="s">
        <v>25</v>
      </c>
      <c r="B721" s="65">
        <v>0</v>
      </c>
      <c r="C721" s="65">
        <v>0</v>
      </c>
      <c r="D721" s="65">
        <v>279842.09017499996</v>
      </c>
      <c r="E721" s="65">
        <v>316708.26917669101</v>
      </c>
      <c r="F721" s="65">
        <v>226547.22911699998</v>
      </c>
      <c r="G721" s="65">
        <v>268168.54941617756</v>
      </c>
      <c r="H721" s="39">
        <v>0.13173922113945302</v>
      </c>
      <c r="I721" s="39">
        <v>0.18372027970239402</v>
      </c>
      <c r="J721" s="39">
        <v>0.15499438141903266</v>
      </c>
    </row>
    <row r="722" spans="1:10" ht="11.25" customHeight="1" x14ac:dyDescent="0.2">
      <c r="A722" s="72" t="s">
        <v>25</v>
      </c>
      <c r="B722" s="65">
        <v>0</v>
      </c>
      <c r="C722" s="65">
        <v>0</v>
      </c>
      <c r="D722" s="65">
        <v>279842.09017499996</v>
      </c>
      <c r="E722" s="65">
        <v>316708.26917669101</v>
      </c>
      <c r="F722" s="65">
        <v>226547.22911699998</v>
      </c>
      <c r="G722" s="65">
        <v>268168.54941617756</v>
      </c>
      <c r="H722" s="39">
        <v>0.13173922113945302</v>
      </c>
      <c r="I722" s="39">
        <v>0.18372027970239402</v>
      </c>
      <c r="J722" s="39">
        <v>0.15499438141903266</v>
      </c>
    </row>
    <row r="723" spans="1:10" ht="11.25" customHeight="1" x14ac:dyDescent="0.2">
      <c r="A723" s="73" t="s">
        <v>25</v>
      </c>
      <c r="B723" s="65">
        <v>0</v>
      </c>
      <c r="C723" s="65">
        <v>0</v>
      </c>
      <c r="D723" s="65">
        <v>279842.09017499996</v>
      </c>
      <c r="E723" s="65">
        <v>316708.26917669101</v>
      </c>
      <c r="F723" s="65">
        <v>226547.22911699998</v>
      </c>
      <c r="G723" s="65">
        <v>268168.54941617756</v>
      </c>
      <c r="H723" s="39">
        <v>0.13173922113945302</v>
      </c>
      <c r="I723" s="39">
        <v>0.18372027970239402</v>
      </c>
      <c r="J723" s="39">
        <v>0.15499438141903266</v>
      </c>
    </row>
    <row r="724" spans="1:10" ht="11.25" customHeight="1" x14ac:dyDescent="0.2">
      <c r="A724" s="74">
        <v>44228</v>
      </c>
      <c r="B724" s="65">
        <v>0</v>
      </c>
      <c r="C724" s="65">
        <v>0</v>
      </c>
      <c r="D724" s="65">
        <v>21026.399399999998</v>
      </c>
      <c r="E724" s="65">
        <v>23796.400880323057</v>
      </c>
      <c r="F724" s="65">
        <v>17022.001656</v>
      </c>
      <c r="G724" s="65">
        <v>20149.288561334935</v>
      </c>
      <c r="H724" s="39">
        <v>0.1317392211394528</v>
      </c>
      <c r="I724" s="39">
        <v>0.18372027970239402</v>
      </c>
      <c r="J724" s="39">
        <v>0.15499438141903266</v>
      </c>
    </row>
    <row r="725" spans="1:10" ht="11.25" customHeight="1" x14ac:dyDescent="0.2">
      <c r="A725" s="74">
        <v>44256</v>
      </c>
      <c r="B725" s="65">
        <v>0</v>
      </c>
      <c r="C725" s="65">
        <v>0</v>
      </c>
      <c r="D725" s="65">
        <v>23888.385674999998</v>
      </c>
      <c r="E725" s="65">
        <v>27035.42299810336</v>
      </c>
      <c r="F725" s="65">
        <v>19338.933537000001</v>
      </c>
      <c r="G725" s="65">
        <v>22891.887815563648</v>
      </c>
      <c r="H725" s="39">
        <v>0.1317392211394528</v>
      </c>
      <c r="I725" s="39">
        <v>0.18372027970239402</v>
      </c>
      <c r="J725" s="39">
        <v>0.15499438141903266</v>
      </c>
    </row>
    <row r="726" spans="1:10" ht="11.25" customHeight="1" x14ac:dyDescent="0.2">
      <c r="A726" s="74">
        <v>44287</v>
      </c>
      <c r="B726" s="65">
        <v>0</v>
      </c>
      <c r="C726" s="65">
        <v>0</v>
      </c>
      <c r="D726" s="65">
        <v>23049.263654999999</v>
      </c>
      <c r="E726" s="65">
        <v>26085.755696747598</v>
      </c>
      <c r="F726" s="65">
        <v>18659.619112200002</v>
      </c>
      <c r="G726" s="65">
        <v>22087.769554633524</v>
      </c>
      <c r="H726" s="39">
        <v>0.1317392211394528</v>
      </c>
      <c r="I726" s="39">
        <v>0.18372027970239402</v>
      </c>
      <c r="J726" s="39">
        <v>0.15499438141903266</v>
      </c>
    </row>
    <row r="727" spans="1:10" ht="11.25" customHeight="1" x14ac:dyDescent="0.2">
      <c r="A727" s="74">
        <v>44317</v>
      </c>
      <c r="B727" s="65">
        <v>0</v>
      </c>
      <c r="C727" s="65">
        <v>0</v>
      </c>
      <c r="D727" s="65">
        <v>26064.891989999996</v>
      </c>
      <c r="E727" s="65">
        <v>29498.660559846558</v>
      </c>
      <c r="F727" s="65">
        <v>21100.932507599999</v>
      </c>
      <c r="G727" s="65">
        <v>24977.60172987761</v>
      </c>
      <c r="H727" s="39">
        <v>0.1317392211394528</v>
      </c>
      <c r="I727" s="39">
        <v>0.18372027970239402</v>
      </c>
      <c r="J727" s="39">
        <v>0.15499438141903266</v>
      </c>
    </row>
    <row r="728" spans="1:10" ht="11.25" customHeight="1" x14ac:dyDescent="0.2">
      <c r="A728" s="74">
        <v>44348</v>
      </c>
      <c r="B728" s="65">
        <v>0</v>
      </c>
      <c r="C728" s="65">
        <v>0</v>
      </c>
      <c r="D728" s="65">
        <v>21230.001989999997</v>
      </c>
      <c r="E728" s="65">
        <v>24026.825916951631</v>
      </c>
      <c r="F728" s="65">
        <v>17186.8289076</v>
      </c>
      <c r="G728" s="65">
        <v>20344.397921701464</v>
      </c>
      <c r="H728" s="39">
        <v>0.1317392211394528</v>
      </c>
      <c r="I728" s="39">
        <v>0.18372027970239402</v>
      </c>
      <c r="J728" s="39">
        <v>0.15499438141903288</v>
      </c>
    </row>
    <row r="729" spans="1:10" ht="11.25" customHeight="1" x14ac:dyDescent="0.2">
      <c r="A729" s="74">
        <v>44378</v>
      </c>
      <c r="B729" s="65">
        <v>0</v>
      </c>
      <c r="C729" s="65">
        <v>0</v>
      </c>
      <c r="D729" s="65">
        <v>24366.502574999999</v>
      </c>
      <c r="E729" s="65">
        <v>27576.526646122969</v>
      </c>
      <c r="F729" s="65">
        <v>19725.994892999999</v>
      </c>
      <c r="G729" s="65">
        <v>23350.060192149958</v>
      </c>
      <c r="H729" s="39">
        <v>0.1317392211394528</v>
      </c>
      <c r="I729" s="39">
        <v>0.18372027970239424</v>
      </c>
      <c r="J729" s="39">
        <v>0.15499438141903266</v>
      </c>
    </row>
    <row r="730" spans="1:10" ht="11.25" customHeight="1" x14ac:dyDescent="0.2">
      <c r="A730" s="74">
        <v>44409</v>
      </c>
      <c r="B730" s="65">
        <v>0</v>
      </c>
      <c r="C730" s="65">
        <v>0</v>
      </c>
      <c r="D730" s="65">
        <v>21547.224494999995</v>
      </c>
      <c r="E730" s="65">
        <v>24385.839067688234</v>
      </c>
      <c r="F730" s="65">
        <v>17443.637593799998</v>
      </c>
      <c r="G730" s="65">
        <v>20648.387571560132</v>
      </c>
      <c r="H730" s="39">
        <v>0.1317392211394528</v>
      </c>
      <c r="I730" s="39">
        <v>0.18372027970239424</v>
      </c>
      <c r="J730" s="39">
        <v>0.15499438141903288</v>
      </c>
    </row>
    <row r="731" spans="1:10" ht="11.25" customHeight="1" x14ac:dyDescent="0.2">
      <c r="A731" s="74">
        <v>44440</v>
      </c>
      <c r="B731" s="65">
        <v>0</v>
      </c>
      <c r="C731" s="65">
        <v>0</v>
      </c>
      <c r="D731" s="65">
        <v>21847.524884999999</v>
      </c>
      <c r="E731" s="65">
        <v>24725.700797174712</v>
      </c>
      <c r="F731" s="65">
        <v>17686.7469174</v>
      </c>
      <c r="G731" s="65">
        <v>20936.161008090185</v>
      </c>
      <c r="H731" s="39">
        <v>0.1317392211394528</v>
      </c>
      <c r="I731" s="39">
        <v>0.18372027970239402</v>
      </c>
      <c r="J731" s="39">
        <v>0.15499438141903288</v>
      </c>
    </row>
    <row r="732" spans="1:10" ht="11.25" customHeight="1" x14ac:dyDescent="0.2">
      <c r="A732" s="74">
        <v>44470</v>
      </c>
      <c r="B732" s="65">
        <v>0</v>
      </c>
      <c r="C732" s="65">
        <v>0</v>
      </c>
      <c r="D732" s="65">
        <v>23620.049279999999</v>
      </c>
      <c r="E732" s="65">
        <v>26731.736175422691</v>
      </c>
      <c r="F732" s="65">
        <v>19121.700787199999</v>
      </c>
      <c r="G732" s="65">
        <v>22634.745004209875</v>
      </c>
      <c r="H732" s="39">
        <v>0.1317392211394528</v>
      </c>
      <c r="I732" s="39">
        <v>0.18372027970239424</v>
      </c>
      <c r="J732" s="39">
        <v>0.15499438141903266</v>
      </c>
    </row>
    <row r="733" spans="1:10" ht="11.25" customHeight="1" x14ac:dyDescent="0.2">
      <c r="A733" s="74">
        <v>44501</v>
      </c>
      <c r="B733" s="65">
        <v>0</v>
      </c>
      <c r="C733" s="65">
        <v>0</v>
      </c>
      <c r="D733" s="65">
        <v>23362.188479999997</v>
      </c>
      <c r="E733" s="65">
        <v>26439.904994468296</v>
      </c>
      <c r="F733" s="65">
        <v>18912.9485952</v>
      </c>
      <c r="G733" s="65">
        <v>22387.640801107143</v>
      </c>
      <c r="H733" s="39">
        <v>0.1317392211394528</v>
      </c>
      <c r="I733" s="39">
        <v>0.18372027970239402</v>
      </c>
      <c r="J733" s="39">
        <v>0.15499438141903288</v>
      </c>
    </row>
    <row r="734" spans="1:10" ht="11.25" customHeight="1" x14ac:dyDescent="0.2">
      <c r="A734" s="74">
        <v>44531</v>
      </c>
      <c r="B734" s="65">
        <v>0</v>
      </c>
      <c r="C734" s="65">
        <v>0</v>
      </c>
      <c r="D734" s="65">
        <v>24919.828874999999</v>
      </c>
      <c r="E734" s="65">
        <v>28202.747721920947</v>
      </c>
      <c r="F734" s="65">
        <v>20173.942305</v>
      </c>
      <c r="G734" s="65">
        <v>23880.304627974561</v>
      </c>
      <c r="H734" s="39">
        <v>0.1317392211394528</v>
      </c>
      <c r="I734" s="39">
        <v>0.18372027970239402</v>
      </c>
      <c r="J734" s="39">
        <v>0.15499438141903288</v>
      </c>
    </row>
    <row r="735" spans="1:10" ht="11.25" customHeight="1" x14ac:dyDescent="0.2">
      <c r="A735" s="74">
        <v>44562</v>
      </c>
      <c r="B735" s="65">
        <v>0</v>
      </c>
      <c r="C735" s="65">
        <v>0</v>
      </c>
      <c r="D735" s="65">
        <v>24919.828874999999</v>
      </c>
      <c r="E735" s="65">
        <v>28202.747721920947</v>
      </c>
      <c r="F735" s="65">
        <v>20173.942305</v>
      </c>
      <c r="G735" s="65">
        <v>23880.304627974561</v>
      </c>
      <c r="H735" s="39">
        <v>0.1317392211394528</v>
      </c>
      <c r="I735" s="39">
        <v>0.18372027970239402</v>
      </c>
      <c r="J735" s="39">
        <v>0.15499438141903288</v>
      </c>
    </row>
    <row r="736" spans="1:10" ht="11.25" customHeight="1" x14ac:dyDescent="0.2">
      <c r="A736" s="67" t="s">
        <v>46</v>
      </c>
      <c r="B736" s="65">
        <v>0</v>
      </c>
      <c r="C736" s="65">
        <v>0</v>
      </c>
      <c r="D736" s="65">
        <v>5587876.4485999998</v>
      </c>
      <c r="E736" s="65">
        <v>6128528.2122568153</v>
      </c>
      <c r="F736" s="65">
        <v>4523705.2720500007</v>
      </c>
      <c r="G736" s="65">
        <v>5189250.4259815738</v>
      </c>
      <c r="H736" s="39">
        <v>9.6754423371739229E-2</v>
      </c>
      <c r="I736" s="39">
        <v>0.14712389819993055</v>
      </c>
      <c r="J736" s="39">
        <v>0.11928864849354648</v>
      </c>
    </row>
    <row r="737" spans="1:10" ht="11.25" customHeight="1" x14ac:dyDescent="0.2">
      <c r="A737" s="68" t="s">
        <v>23</v>
      </c>
      <c r="B737" s="65">
        <v>0</v>
      </c>
      <c r="C737" s="65">
        <v>0</v>
      </c>
      <c r="D737" s="65">
        <v>5587876.4485999998</v>
      </c>
      <c r="E737" s="65">
        <v>6128528.2122568153</v>
      </c>
      <c r="F737" s="65">
        <v>4523705.2720500007</v>
      </c>
      <c r="G737" s="65">
        <v>5189250.4259815738</v>
      </c>
      <c r="H737" s="39">
        <v>9.6754423371739229E-2</v>
      </c>
      <c r="I737" s="39">
        <v>0.14712389819993055</v>
      </c>
      <c r="J737" s="39">
        <v>0.11928864849354648</v>
      </c>
    </row>
    <row r="738" spans="1:10" ht="11.25" customHeight="1" x14ac:dyDescent="0.2">
      <c r="A738" s="69" t="s">
        <v>47</v>
      </c>
      <c r="B738" s="65">
        <v>0</v>
      </c>
      <c r="C738" s="65">
        <v>0</v>
      </c>
      <c r="D738" s="65">
        <v>5587876.4485999998</v>
      </c>
      <c r="E738" s="65">
        <v>6128528.2122568153</v>
      </c>
      <c r="F738" s="65">
        <v>4523705.2720500007</v>
      </c>
      <c r="G738" s="65">
        <v>5189250.4259815738</v>
      </c>
      <c r="H738" s="39">
        <v>9.6754423371739229E-2</v>
      </c>
      <c r="I738" s="39">
        <v>0.14712389819993055</v>
      </c>
      <c r="J738" s="39">
        <v>0.11928864849354648</v>
      </c>
    </row>
    <row r="739" spans="1:10" ht="11.25" customHeight="1" x14ac:dyDescent="0.2">
      <c r="A739" s="70" t="s">
        <v>48</v>
      </c>
      <c r="B739" s="65">
        <v>0</v>
      </c>
      <c r="C739" s="65">
        <v>0</v>
      </c>
      <c r="D739" s="65">
        <v>5587876.4485999998</v>
      </c>
      <c r="E739" s="65">
        <v>6128528.2122568153</v>
      </c>
      <c r="F739" s="65">
        <v>4523705.2720500007</v>
      </c>
      <c r="G739" s="65">
        <v>5189250.4259815738</v>
      </c>
      <c r="H739" s="39">
        <v>9.6754423371739229E-2</v>
      </c>
      <c r="I739" s="39">
        <v>0.14712389819993055</v>
      </c>
      <c r="J739" s="39">
        <v>0.11928864849354648</v>
      </c>
    </row>
    <row r="740" spans="1:10" ht="11.25" customHeight="1" x14ac:dyDescent="0.2">
      <c r="A740" s="71" t="s">
        <v>25</v>
      </c>
      <c r="B740" s="65">
        <v>0</v>
      </c>
      <c r="C740" s="65">
        <v>0</v>
      </c>
      <c r="D740" s="65">
        <v>5587876.4485999998</v>
      </c>
      <c r="E740" s="65">
        <v>6128528.2122568153</v>
      </c>
      <c r="F740" s="65">
        <v>4523705.2720500007</v>
      </c>
      <c r="G740" s="65">
        <v>5189250.4259815738</v>
      </c>
      <c r="H740" s="39">
        <v>9.6754423371739229E-2</v>
      </c>
      <c r="I740" s="39">
        <v>0.14712389819993055</v>
      </c>
      <c r="J740" s="39">
        <v>0.11928864849354648</v>
      </c>
    </row>
    <row r="741" spans="1:10" ht="11.25" customHeight="1" x14ac:dyDescent="0.2">
      <c r="A741" s="72" t="s">
        <v>25</v>
      </c>
      <c r="B741" s="65">
        <v>0</v>
      </c>
      <c r="C741" s="65">
        <v>0</v>
      </c>
      <c r="D741" s="65">
        <v>5587876.4485999998</v>
      </c>
      <c r="E741" s="65">
        <v>6128528.2122568153</v>
      </c>
      <c r="F741" s="65">
        <v>4523705.2720500007</v>
      </c>
      <c r="G741" s="65">
        <v>5189250.4259815738</v>
      </c>
      <c r="H741" s="39">
        <v>9.6754423371739229E-2</v>
      </c>
      <c r="I741" s="39">
        <v>0.14712389819993055</v>
      </c>
      <c r="J741" s="39">
        <v>0.11928864849354648</v>
      </c>
    </row>
    <row r="742" spans="1:10" ht="11.25" customHeight="1" x14ac:dyDescent="0.2">
      <c r="A742" s="73" t="s">
        <v>25</v>
      </c>
      <c r="B742" s="65">
        <v>0</v>
      </c>
      <c r="C742" s="65">
        <v>0</v>
      </c>
      <c r="D742" s="65">
        <v>5587876.4485999998</v>
      </c>
      <c r="E742" s="65">
        <v>6128528.2122568153</v>
      </c>
      <c r="F742" s="65">
        <v>4523705.2720500007</v>
      </c>
      <c r="G742" s="65">
        <v>5189250.4259815738</v>
      </c>
      <c r="H742" s="39">
        <v>9.6754423371739229E-2</v>
      </c>
      <c r="I742" s="39">
        <v>0.14712389819993055</v>
      </c>
      <c r="J742" s="39">
        <v>0.11928864849354648</v>
      </c>
    </row>
    <row r="743" spans="1:10" ht="11.25" customHeight="1" x14ac:dyDescent="0.2">
      <c r="A743" s="74">
        <v>44228</v>
      </c>
      <c r="B743" s="65">
        <v>0</v>
      </c>
      <c r="C743" s="65">
        <v>0</v>
      </c>
      <c r="D743" s="65">
        <v>481560.55671999994</v>
      </c>
      <c r="E743" s="65">
        <v>528153.67070401739</v>
      </c>
      <c r="F743" s="65">
        <v>389850.78665999998</v>
      </c>
      <c r="G743" s="65">
        <v>447207.1541097287</v>
      </c>
      <c r="H743" s="39">
        <v>9.6754423371739451E-2</v>
      </c>
      <c r="I743" s="39">
        <v>0.14712389819993055</v>
      </c>
      <c r="J743" s="39">
        <v>0.1192886484935467</v>
      </c>
    </row>
    <row r="744" spans="1:10" ht="11.25" customHeight="1" x14ac:dyDescent="0.2">
      <c r="A744" s="74">
        <v>44256</v>
      </c>
      <c r="B744" s="65">
        <v>0</v>
      </c>
      <c r="C744" s="65">
        <v>0</v>
      </c>
      <c r="D744" s="65">
        <v>481067.86012000003</v>
      </c>
      <c r="E744" s="65">
        <v>527613.30352858722</v>
      </c>
      <c r="F744" s="65">
        <v>389451.92061000003</v>
      </c>
      <c r="G744" s="65">
        <v>446749.60533159313</v>
      </c>
      <c r="H744" s="39">
        <v>9.6754423371739451E-2</v>
      </c>
      <c r="I744" s="39">
        <v>0.14712389819993055</v>
      </c>
      <c r="J744" s="39">
        <v>0.1192886484935467</v>
      </c>
    </row>
    <row r="745" spans="1:10" ht="11.25" customHeight="1" x14ac:dyDescent="0.2">
      <c r="A745" s="74">
        <v>44287</v>
      </c>
      <c r="B745" s="65">
        <v>0</v>
      </c>
      <c r="C745" s="65">
        <v>0</v>
      </c>
      <c r="D745" s="65">
        <v>482580.68227999995</v>
      </c>
      <c r="E745" s="65">
        <v>529272.49792434194</v>
      </c>
      <c r="F745" s="65">
        <v>390676.63659000001</v>
      </c>
      <c r="G745" s="65">
        <v>448154.50630075845</v>
      </c>
      <c r="H745" s="39">
        <v>9.6754423371739451E-2</v>
      </c>
      <c r="I745" s="39">
        <v>0.14712389819993055</v>
      </c>
      <c r="J745" s="39">
        <v>0.1192886484935467</v>
      </c>
    </row>
    <row r="746" spans="1:10" ht="11.25" customHeight="1" x14ac:dyDescent="0.2">
      <c r="A746" s="74">
        <v>44317</v>
      </c>
      <c r="B746" s="65">
        <v>0</v>
      </c>
      <c r="C746" s="65">
        <v>0</v>
      </c>
      <c r="D746" s="65">
        <v>487403.92267999996</v>
      </c>
      <c r="E746" s="65">
        <v>534562.40816802718</v>
      </c>
      <c r="F746" s="65">
        <v>394581.32529000001</v>
      </c>
      <c r="G746" s="65">
        <v>452633.66802355967</v>
      </c>
      <c r="H746" s="39">
        <v>9.6754423371739229E-2</v>
      </c>
      <c r="I746" s="39">
        <v>0.14712389819993055</v>
      </c>
      <c r="J746" s="39">
        <v>0.1192886484935467</v>
      </c>
    </row>
    <row r="747" spans="1:10" ht="11.25" customHeight="1" x14ac:dyDescent="0.2">
      <c r="A747" s="74">
        <v>44348</v>
      </c>
      <c r="B747" s="65">
        <v>0</v>
      </c>
      <c r="C747" s="65">
        <v>0</v>
      </c>
      <c r="D747" s="65">
        <v>526542.89191999997</v>
      </c>
      <c r="E747" s="65">
        <v>577488.24580820766</v>
      </c>
      <c r="F747" s="65">
        <v>426266.55726000003</v>
      </c>
      <c r="G747" s="65">
        <v>488980.55483635515</v>
      </c>
      <c r="H747" s="39">
        <v>9.6754423371739451E-2</v>
      </c>
      <c r="I747" s="39">
        <v>0.14712389819993055</v>
      </c>
      <c r="J747" s="39">
        <v>0.1192886484935467</v>
      </c>
    </row>
    <row r="748" spans="1:10" ht="11.25" customHeight="1" x14ac:dyDescent="0.2">
      <c r="A748" s="74">
        <v>44378</v>
      </c>
      <c r="B748" s="65">
        <v>0</v>
      </c>
      <c r="C748" s="65">
        <v>0</v>
      </c>
      <c r="D748" s="65">
        <v>484622.81932000001</v>
      </c>
      <c r="E748" s="65">
        <v>531512.22075609316</v>
      </c>
      <c r="F748" s="65">
        <v>392329.86320999998</v>
      </c>
      <c r="G748" s="65">
        <v>450050.96206570073</v>
      </c>
      <c r="H748" s="39">
        <v>9.6754423371739229E-2</v>
      </c>
      <c r="I748" s="39">
        <v>0.14712389819993055</v>
      </c>
      <c r="J748" s="39">
        <v>0.1192886484935467</v>
      </c>
    </row>
    <row r="749" spans="1:10" ht="11.25" customHeight="1" x14ac:dyDescent="0.2">
      <c r="A749" s="74">
        <v>44409</v>
      </c>
      <c r="B749" s="65">
        <v>0</v>
      </c>
      <c r="C749" s="65">
        <v>0</v>
      </c>
      <c r="D749" s="65">
        <v>453158.28720000002</v>
      </c>
      <c r="E749" s="65">
        <v>497003.35597416107</v>
      </c>
      <c r="F749" s="65">
        <v>366857.52660000004</v>
      </c>
      <c r="G749" s="65">
        <v>420831.03599737678</v>
      </c>
      <c r="H749" s="39">
        <v>9.6754423371739229E-2</v>
      </c>
      <c r="I749" s="39">
        <v>0.14712389819993055</v>
      </c>
      <c r="J749" s="39">
        <v>0.11928864849354648</v>
      </c>
    </row>
    <row r="750" spans="1:10" ht="11.25" customHeight="1" x14ac:dyDescent="0.2">
      <c r="A750" s="74">
        <v>44440</v>
      </c>
      <c r="B750" s="65">
        <v>0</v>
      </c>
      <c r="C750" s="65">
        <v>0</v>
      </c>
      <c r="D750" s="65">
        <v>436744.02531999996</v>
      </c>
      <c r="E750" s="65">
        <v>479000.94165088888</v>
      </c>
      <c r="F750" s="65">
        <v>353569.24371000001</v>
      </c>
      <c r="G750" s="65">
        <v>405587.72912821651</v>
      </c>
      <c r="H750" s="39">
        <v>9.6754423371739451E-2</v>
      </c>
      <c r="I750" s="39">
        <v>0.14712389819993055</v>
      </c>
      <c r="J750" s="39">
        <v>0.1192886484935467</v>
      </c>
    </row>
    <row r="751" spans="1:10" ht="11.25" customHeight="1" x14ac:dyDescent="0.2">
      <c r="A751" s="74">
        <v>44470</v>
      </c>
      <c r="B751" s="65">
        <v>0</v>
      </c>
      <c r="C751" s="65">
        <v>0</v>
      </c>
      <c r="D751" s="65">
        <v>449112.51731999998</v>
      </c>
      <c r="E751" s="65">
        <v>492566.13996232691</v>
      </c>
      <c r="F751" s="65">
        <v>363582.24471000006</v>
      </c>
      <c r="G751" s="65">
        <v>417073.88186801632</v>
      </c>
      <c r="H751" s="39">
        <v>9.6754423371739451E-2</v>
      </c>
      <c r="I751" s="39">
        <v>0.14712389819993055</v>
      </c>
      <c r="J751" s="39">
        <v>0.11928864849354648</v>
      </c>
    </row>
    <row r="752" spans="1:10" ht="11.25" customHeight="1" x14ac:dyDescent="0.2">
      <c r="A752" s="74">
        <v>44501</v>
      </c>
      <c r="B752" s="65">
        <v>0</v>
      </c>
      <c r="C752" s="65">
        <v>0</v>
      </c>
      <c r="D752" s="65">
        <v>426553.45660000003</v>
      </c>
      <c r="E752" s="65">
        <v>467824.39033055527</v>
      </c>
      <c r="F752" s="65">
        <v>345319.39605000004</v>
      </c>
      <c r="G752" s="65">
        <v>396124.13172092178</v>
      </c>
      <c r="H752" s="39">
        <v>9.6754423371739229E-2</v>
      </c>
      <c r="I752" s="39">
        <v>0.14712389819993055</v>
      </c>
      <c r="J752" s="39">
        <v>0.1192886484935467</v>
      </c>
    </row>
    <row r="753" spans="1:10" ht="11.25" customHeight="1" x14ac:dyDescent="0.2">
      <c r="A753" s="74">
        <v>44531</v>
      </c>
      <c r="B753" s="65">
        <v>0</v>
      </c>
      <c r="C753" s="65">
        <v>0</v>
      </c>
      <c r="D753" s="65">
        <v>439264.71455999999</v>
      </c>
      <c r="E753" s="65">
        <v>481765.51872480451</v>
      </c>
      <c r="F753" s="65">
        <v>355609.88568000001</v>
      </c>
      <c r="G753" s="65">
        <v>407928.59829967329</v>
      </c>
      <c r="H753" s="39">
        <v>9.6754423371739451E-2</v>
      </c>
      <c r="I753" s="39">
        <v>0.14712389819993055</v>
      </c>
      <c r="J753" s="39">
        <v>0.1192886484935467</v>
      </c>
    </row>
    <row r="754" spans="1:10" ht="11.25" customHeight="1" x14ac:dyDescent="0.2">
      <c r="A754" s="74">
        <v>44562</v>
      </c>
      <c r="B754" s="65">
        <v>0</v>
      </c>
      <c r="C754" s="65">
        <v>0</v>
      </c>
      <c r="D754" s="65">
        <v>439264.71455999999</v>
      </c>
      <c r="E754" s="65">
        <v>481765.51872480451</v>
      </c>
      <c r="F754" s="65">
        <v>355609.88568000001</v>
      </c>
      <c r="G754" s="65">
        <v>407928.59829967329</v>
      </c>
      <c r="H754" s="39">
        <v>9.6754423371739451E-2</v>
      </c>
      <c r="I754" s="39">
        <v>0.14712389819993055</v>
      </c>
      <c r="J754" s="39">
        <v>0.1192886484935467</v>
      </c>
    </row>
    <row r="755" spans="1:10" ht="11.25" customHeight="1" x14ac:dyDescent="0.2">
      <c r="A755" s="66" t="s">
        <v>61</v>
      </c>
      <c r="B755" s="65">
        <v>4468333.72</v>
      </c>
      <c r="C755" s="65">
        <v>4226988.2065791059</v>
      </c>
      <c r="D755" s="65">
        <v>124249.01293999999</v>
      </c>
      <c r="E755" s="65">
        <v>136002.98991014875</v>
      </c>
      <c r="F755" s="65">
        <v>0</v>
      </c>
      <c r="G755" s="65">
        <v>0</v>
      </c>
      <c r="H755" s="39">
        <v>-4.9991812842916095E-2</v>
      </c>
      <c r="I755" s="39">
        <v>0</v>
      </c>
      <c r="J755" s="39">
        <v>-4.9991812842916095E-2</v>
      </c>
    </row>
    <row r="756" spans="1:10" ht="11.25" customHeight="1" x14ac:dyDescent="0.2">
      <c r="A756" s="67" t="s">
        <v>56</v>
      </c>
      <c r="B756" s="65">
        <v>4406618.88</v>
      </c>
      <c r="C756" s="65">
        <v>4164549.2626871956</v>
      </c>
      <c r="D756" s="65">
        <v>120038.43566</v>
      </c>
      <c r="E756" s="65">
        <v>131400.0154340525</v>
      </c>
      <c r="F756" s="65">
        <v>0</v>
      </c>
      <c r="G756" s="65">
        <v>0</v>
      </c>
      <c r="H756" s="39">
        <v>-5.0966534785086615E-2</v>
      </c>
      <c r="I756" s="39">
        <v>0</v>
      </c>
      <c r="J756" s="39">
        <v>-5.0966534785086615E-2</v>
      </c>
    </row>
    <row r="757" spans="1:10" ht="11.25" customHeight="1" x14ac:dyDescent="0.2">
      <c r="A757" s="68" t="s">
        <v>59</v>
      </c>
      <c r="B757" s="65">
        <v>4406618.88</v>
      </c>
      <c r="C757" s="65">
        <v>4164549.2626871956</v>
      </c>
      <c r="D757" s="65">
        <v>120038.43566</v>
      </c>
      <c r="E757" s="65">
        <v>131400.0154340525</v>
      </c>
      <c r="F757" s="65">
        <v>0</v>
      </c>
      <c r="G757" s="65">
        <v>0</v>
      </c>
      <c r="H757" s="39">
        <v>-5.0966534785086615E-2</v>
      </c>
      <c r="I757" s="39">
        <v>0</v>
      </c>
      <c r="J757" s="39">
        <v>-5.0966534785086615E-2</v>
      </c>
    </row>
    <row r="758" spans="1:10" ht="11.25" customHeight="1" x14ac:dyDescent="0.2">
      <c r="A758" s="69" t="s">
        <v>25</v>
      </c>
      <c r="B758" s="65">
        <v>4406618.88</v>
      </c>
      <c r="C758" s="65">
        <v>4164549.2626871956</v>
      </c>
      <c r="D758" s="65">
        <v>120038.43566</v>
      </c>
      <c r="E758" s="65">
        <v>131400.0154340525</v>
      </c>
      <c r="F758" s="65">
        <v>0</v>
      </c>
      <c r="G758" s="65">
        <v>0</v>
      </c>
      <c r="H758" s="39">
        <v>-5.0966534785086615E-2</v>
      </c>
      <c r="I758" s="39">
        <v>0</v>
      </c>
      <c r="J758" s="39">
        <v>-5.0966534785086615E-2</v>
      </c>
    </row>
    <row r="759" spans="1:10" ht="11.25" customHeight="1" x14ac:dyDescent="0.2">
      <c r="A759" s="70" t="s">
        <v>25</v>
      </c>
      <c r="B759" s="65">
        <v>4406618.88</v>
      </c>
      <c r="C759" s="65">
        <v>4164549.2626871956</v>
      </c>
      <c r="D759" s="65">
        <v>120038.43566</v>
      </c>
      <c r="E759" s="65">
        <v>131400.0154340525</v>
      </c>
      <c r="F759" s="65">
        <v>0</v>
      </c>
      <c r="G759" s="65">
        <v>0</v>
      </c>
      <c r="H759" s="39">
        <v>-5.0966534785086615E-2</v>
      </c>
      <c r="I759" s="39">
        <v>0</v>
      </c>
      <c r="J759" s="39">
        <v>-5.0966534785086615E-2</v>
      </c>
    </row>
    <row r="760" spans="1:10" ht="11.25" customHeight="1" x14ac:dyDescent="0.2">
      <c r="A760" s="71" t="s">
        <v>25</v>
      </c>
      <c r="B760" s="65">
        <v>4406618.88</v>
      </c>
      <c r="C760" s="65">
        <v>4164549.2626871956</v>
      </c>
      <c r="D760" s="65">
        <v>120038.43566</v>
      </c>
      <c r="E760" s="65">
        <v>131400.0154340525</v>
      </c>
      <c r="F760" s="65">
        <v>0</v>
      </c>
      <c r="G760" s="65">
        <v>0</v>
      </c>
      <c r="H760" s="39">
        <v>-5.0966534785086615E-2</v>
      </c>
      <c r="I760" s="39">
        <v>0</v>
      </c>
      <c r="J760" s="39">
        <v>-5.0966534785086615E-2</v>
      </c>
    </row>
    <row r="761" spans="1:10" ht="11.25" customHeight="1" x14ac:dyDescent="0.2">
      <c r="A761" s="72" t="s">
        <v>60</v>
      </c>
      <c r="B761" s="65">
        <v>4406618.88</v>
      </c>
      <c r="C761" s="65">
        <v>4164549.2626871956</v>
      </c>
      <c r="D761" s="65">
        <v>120038.43566</v>
      </c>
      <c r="E761" s="65">
        <v>131400.0154340525</v>
      </c>
      <c r="F761" s="65">
        <v>0</v>
      </c>
      <c r="G761" s="65">
        <v>0</v>
      </c>
      <c r="H761" s="39">
        <v>-5.0966534785086615E-2</v>
      </c>
      <c r="I761" s="39">
        <v>0</v>
      </c>
      <c r="J761" s="39">
        <v>-5.0966534785086615E-2</v>
      </c>
    </row>
    <row r="762" spans="1:10" ht="11.25" customHeight="1" x14ac:dyDescent="0.2">
      <c r="A762" s="73" t="s">
        <v>35</v>
      </c>
      <c r="B762" s="65">
        <v>1477862.3999999999</v>
      </c>
      <c r="C762" s="65">
        <v>1362362.6946574745</v>
      </c>
      <c r="D762" s="65">
        <v>0</v>
      </c>
      <c r="E762" s="65">
        <v>0</v>
      </c>
      <c r="F762" s="65">
        <v>0</v>
      </c>
      <c r="G762" s="65">
        <v>0</v>
      </c>
      <c r="H762" s="39">
        <v>-7.8153220044386629E-2</v>
      </c>
      <c r="I762" s="39">
        <v>0</v>
      </c>
      <c r="J762" s="39">
        <v>-7.8153220044386629E-2</v>
      </c>
    </row>
    <row r="763" spans="1:10" ht="11.25" customHeight="1" x14ac:dyDescent="0.2">
      <c r="A763" s="74">
        <v>44228</v>
      </c>
      <c r="B763" s="65">
        <v>120960</v>
      </c>
      <c r="C763" s="65">
        <v>111506.58650343098</v>
      </c>
      <c r="D763" s="65">
        <v>0</v>
      </c>
      <c r="E763" s="65">
        <v>0</v>
      </c>
      <c r="F763" s="65">
        <v>0</v>
      </c>
      <c r="G763" s="65">
        <v>0</v>
      </c>
      <c r="H763" s="39">
        <v>-7.815322004438674E-2</v>
      </c>
      <c r="I763" s="39">
        <v>0</v>
      </c>
      <c r="J763" s="39">
        <v>-7.815322004438674E-2</v>
      </c>
    </row>
    <row r="764" spans="1:10" ht="11.25" customHeight="1" x14ac:dyDescent="0.2">
      <c r="A764" s="74">
        <v>44256</v>
      </c>
      <c r="B764" s="65">
        <v>120960</v>
      </c>
      <c r="C764" s="65">
        <v>111506.58650343098</v>
      </c>
      <c r="D764" s="65">
        <v>0</v>
      </c>
      <c r="E764" s="65">
        <v>0</v>
      </c>
      <c r="F764" s="65">
        <v>0</v>
      </c>
      <c r="G764" s="65">
        <v>0</v>
      </c>
      <c r="H764" s="39">
        <v>-7.815322004438674E-2</v>
      </c>
      <c r="I764" s="39">
        <v>0</v>
      </c>
      <c r="J764" s="39">
        <v>-7.815322004438674E-2</v>
      </c>
    </row>
    <row r="765" spans="1:10" ht="11.25" customHeight="1" x14ac:dyDescent="0.2">
      <c r="A765" s="74">
        <v>44287</v>
      </c>
      <c r="B765" s="65">
        <v>120960</v>
      </c>
      <c r="C765" s="65">
        <v>111506.58650343098</v>
      </c>
      <c r="D765" s="65">
        <v>0</v>
      </c>
      <c r="E765" s="65">
        <v>0</v>
      </c>
      <c r="F765" s="65">
        <v>0</v>
      </c>
      <c r="G765" s="65">
        <v>0</v>
      </c>
      <c r="H765" s="39">
        <v>-7.815322004438674E-2</v>
      </c>
      <c r="I765" s="39">
        <v>0</v>
      </c>
      <c r="J765" s="39">
        <v>-7.815322004438674E-2</v>
      </c>
    </row>
    <row r="766" spans="1:10" ht="11.25" customHeight="1" x14ac:dyDescent="0.2">
      <c r="A766" s="74">
        <v>44317</v>
      </c>
      <c r="B766" s="65">
        <v>120960</v>
      </c>
      <c r="C766" s="65">
        <v>111506.58650343098</v>
      </c>
      <c r="D766" s="65">
        <v>0</v>
      </c>
      <c r="E766" s="65">
        <v>0</v>
      </c>
      <c r="F766" s="65">
        <v>0</v>
      </c>
      <c r="G766" s="65">
        <v>0</v>
      </c>
      <c r="H766" s="39">
        <v>-7.815322004438674E-2</v>
      </c>
      <c r="I766" s="39">
        <v>0</v>
      </c>
      <c r="J766" s="39">
        <v>-7.815322004438674E-2</v>
      </c>
    </row>
    <row r="767" spans="1:10" ht="11.25" customHeight="1" x14ac:dyDescent="0.2">
      <c r="A767" s="74">
        <v>44348</v>
      </c>
      <c r="B767" s="65">
        <v>120960</v>
      </c>
      <c r="C767" s="65">
        <v>111506.58650343098</v>
      </c>
      <c r="D767" s="65">
        <v>0</v>
      </c>
      <c r="E767" s="65">
        <v>0</v>
      </c>
      <c r="F767" s="65">
        <v>0</v>
      </c>
      <c r="G767" s="65">
        <v>0</v>
      </c>
      <c r="H767" s="39">
        <v>-7.815322004438674E-2</v>
      </c>
      <c r="I767" s="39">
        <v>0</v>
      </c>
      <c r="J767" s="39">
        <v>-7.815322004438674E-2</v>
      </c>
    </row>
    <row r="768" spans="1:10" ht="11.25" customHeight="1" x14ac:dyDescent="0.2">
      <c r="A768" s="74">
        <v>44378</v>
      </c>
      <c r="B768" s="65">
        <v>120960</v>
      </c>
      <c r="C768" s="65">
        <v>111506.58650343098</v>
      </c>
      <c r="D768" s="65">
        <v>0</v>
      </c>
      <c r="E768" s="65">
        <v>0</v>
      </c>
      <c r="F768" s="65">
        <v>0</v>
      </c>
      <c r="G768" s="65">
        <v>0</v>
      </c>
      <c r="H768" s="39">
        <v>-7.815322004438674E-2</v>
      </c>
      <c r="I768" s="39">
        <v>0</v>
      </c>
      <c r="J768" s="39">
        <v>-7.815322004438674E-2</v>
      </c>
    </row>
    <row r="769" spans="1:10" ht="11.25" customHeight="1" x14ac:dyDescent="0.2">
      <c r="A769" s="74">
        <v>44409</v>
      </c>
      <c r="B769" s="65">
        <v>120960</v>
      </c>
      <c r="C769" s="65">
        <v>111506.58650343098</v>
      </c>
      <c r="D769" s="65">
        <v>0</v>
      </c>
      <c r="E769" s="65">
        <v>0</v>
      </c>
      <c r="F769" s="65">
        <v>0</v>
      </c>
      <c r="G769" s="65">
        <v>0</v>
      </c>
      <c r="H769" s="39">
        <v>-7.815322004438674E-2</v>
      </c>
      <c r="I769" s="39">
        <v>0</v>
      </c>
      <c r="J769" s="39">
        <v>-7.815322004438674E-2</v>
      </c>
    </row>
    <row r="770" spans="1:10" ht="11.25" customHeight="1" x14ac:dyDescent="0.2">
      <c r="A770" s="74">
        <v>44440</v>
      </c>
      <c r="B770" s="65">
        <v>120960</v>
      </c>
      <c r="C770" s="65">
        <v>111506.58650343098</v>
      </c>
      <c r="D770" s="65">
        <v>0</v>
      </c>
      <c r="E770" s="65">
        <v>0</v>
      </c>
      <c r="F770" s="65">
        <v>0</v>
      </c>
      <c r="G770" s="65">
        <v>0</v>
      </c>
      <c r="H770" s="39">
        <v>-7.815322004438674E-2</v>
      </c>
      <c r="I770" s="39">
        <v>0</v>
      </c>
      <c r="J770" s="39">
        <v>-7.815322004438674E-2</v>
      </c>
    </row>
    <row r="771" spans="1:10" ht="11.25" customHeight="1" x14ac:dyDescent="0.2">
      <c r="A771" s="74">
        <v>44470</v>
      </c>
      <c r="B771" s="65">
        <v>120960</v>
      </c>
      <c r="C771" s="65">
        <v>111506.58650343098</v>
      </c>
      <c r="D771" s="65">
        <v>0</v>
      </c>
      <c r="E771" s="65">
        <v>0</v>
      </c>
      <c r="F771" s="65">
        <v>0</v>
      </c>
      <c r="G771" s="65">
        <v>0</v>
      </c>
      <c r="H771" s="39">
        <v>-7.815322004438674E-2</v>
      </c>
      <c r="I771" s="39">
        <v>0</v>
      </c>
      <c r="J771" s="39">
        <v>-7.815322004438674E-2</v>
      </c>
    </row>
    <row r="772" spans="1:10" ht="11.25" customHeight="1" x14ac:dyDescent="0.2">
      <c r="A772" s="74">
        <v>44501</v>
      </c>
      <c r="B772" s="65">
        <v>120960</v>
      </c>
      <c r="C772" s="65">
        <v>111506.58650343098</v>
      </c>
      <c r="D772" s="65">
        <v>0</v>
      </c>
      <c r="E772" s="65">
        <v>0</v>
      </c>
      <c r="F772" s="65">
        <v>0</v>
      </c>
      <c r="G772" s="65">
        <v>0</v>
      </c>
      <c r="H772" s="39">
        <v>-7.815322004438674E-2</v>
      </c>
      <c r="I772" s="39">
        <v>0</v>
      </c>
      <c r="J772" s="39">
        <v>-7.815322004438674E-2</v>
      </c>
    </row>
    <row r="773" spans="1:10" ht="11.25" customHeight="1" x14ac:dyDescent="0.2">
      <c r="A773" s="74">
        <v>44531</v>
      </c>
      <c r="B773" s="65">
        <v>134131.19999999998</v>
      </c>
      <c r="C773" s="65">
        <v>123648.41481158236</v>
      </c>
      <c r="D773" s="65">
        <v>0</v>
      </c>
      <c r="E773" s="65">
        <v>0</v>
      </c>
      <c r="F773" s="65">
        <v>0</v>
      </c>
      <c r="G773" s="65">
        <v>0</v>
      </c>
      <c r="H773" s="39">
        <v>-7.8153220044386518E-2</v>
      </c>
      <c r="I773" s="39">
        <v>0</v>
      </c>
      <c r="J773" s="39">
        <v>-7.8153220044386518E-2</v>
      </c>
    </row>
    <row r="774" spans="1:10" ht="11.25" customHeight="1" x14ac:dyDescent="0.2">
      <c r="A774" s="74">
        <v>44562</v>
      </c>
      <c r="B774" s="65">
        <v>134131.19999999998</v>
      </c>
      <c r="C774" s="65">
        <v>123648.41481158236</v>
      </c>
      <c r="D774" s="65">
        <v>0</v>
      </c>
      <c r="E774" s="65">
        <v>0</v>
      </c>
      <c r="F774" s="65">
        <v>0</v>
      </c>
      <c r="G774" s="65">
        <v>0</v>
      </c>
      <c r="H774" s="39">
        <v>-7.8153220044386518E-2</v>
      </c>
      <c r="I774" s="39">
        <v>0</v>
      </c>
      <c r="J774" s="39">
        <v>-7.8153220044386518E-2</v>
      </c>
    </row>
    <row r="775" spans="1:10" ht="11.25" customHeight="1" x14ac:dyDescent="0.2">
      <c r="A775" s="73" t="s">
        <v>25</v>
      </c>
      <c r="B775" s="65">
        <v>0</v>
      </c>
      <c r="C775" s="65">
        <v>0</v>
      </c>
      <c r="D775" s="65">
        <v>120038.43566</v>
      </c>
      <c r="E775" s="65">
        <v>131400.0154340525</v>
      </c>
      <c r="F775" s="65">
        <v>0</v>
      </c>
      <c r="G775" s="65">
        <v>0</v>
      </c>
      <c r="H775" s="39">
        <v>9.4649515478803181E-2</v>
      </c>
      <c r="I775" s="39">
        <v>0</v>
      </c>
      <c r="J775" s="39">
        <v>9.4649515478803181E-2</v>
      </c>
    </row>
    <row r="776" spans="1:10" ht="11.25" customHeight="1" x14ac:dyDescent="0.2">
      <c r="A776" s="74">
        <v>44228</v>
      </c>
      <c r="B776" s="65">
        <v>0</v>
      </c>
      <c r="C776" s="65">
        <v>0</v>
      </c>
      <c r="D776" s="65">
        <v>10385.360699999999</v>
      </c>
      <c r="E776" s="65">
        <v>11368.330058327607</v>
      </c>
      <c r="F776" s="65">
        <v>0</v>
      </c>
      <c r="G776" s="65">
        <v>0</v>
      </c>
      <c r="H776" s="39">
        <v>9.4649515478803403E-2</v>
      </c>
      <c r="I776" s="39">
        <v>0</v>
      </c>
      <c r="J776" s="39">
        <v>9.4649515478803403E-2</v>
      </c>
    </row>
    <row r="777" spans="1:10" ht="11.25" customHeight="1" x14ac:dyDescent="0.2">
      <c r="A777" s="74">
        <v>44256</v>
      </c>
      <c r="B777" s="65">
        <v>0</v>
      </c>
      <c r="C777" s="65">
        <v>0</v>
      </c>
      <c r="D777" s="65">
        <v>10070.895119999999</v>
      </c>
      <c r="E777" s="65">
        <v>11024.100463545847</v>
      </c>
      <c r="F777" s="65">
        <v>0</v>
      </c>
      <c r="G777" s="65">
        <v>0</v>
      </c>
      <c r="H777" s="39">
        <v>9.4649515478803625E-2</v>
      </c>
      <c r="I777" s="39">
        <v>0</v>
      </c>
      <c r="J777" s="39">
        <v>9.4649515478803625E-2</v>
      </c>
    </row>
    <row r="778" spans="1:10" ht="11.25" customHeight="1" x14ac:dyDescent="0.2">
      <c r="A778" s="74">
        <v>44287</v>
      </c>
      <c r="B778" s="65">
        <v>0</v>
      </c>
      <c r="C778" s="65">
        <v>0</v>
      </c>
      <c r="D778" s="65">
        <v>10597.784339999998</v>
      </c>
      <c r="E778" s="65">
        <v>11600.859492929851</v>
      </c>
      <c r="F778" s="65">
        <v>0</v>
      </c>
      <c r="G778" s="65">
        <v>0</v>
      </c>
      <c r="H778" s="39">
        <v>9.4649515478803625E-2</v>
      </c>
      <c r="I778" s="39">
        <v>0</v>
      </c>
      <c r="J778" s="39">
        <v>9.4649515478803625E-2</v>
      </c>
    </row>
    <row r="779" spans="1:10" ht="11.25" customHeight="1" x14ac:dyDescent="0.2">
      <c r="A779" s="74">
        <v>44317</v>
      </c>
      <c r="B779" s="65">
        <v>0</v>
      </c>
      <c r="C779" s="65">
        <v>0</v>
      </c>
      <c r="D779" s="65">
        <v>9070.7330999999995</v>
      </c>
      <c r="E779" s="65">
        <v>9929.2735929525461</v>
      </c>
      <c r="F779" s="65">
        <v>0</v>
      </c>
      <c r="G779" s="65">
        <v>0</v>
      </c>
      <c r="H779" s="39">
        <v>9.4649515478803625E-2</v>
      </c>
      <c r="I779" s="39">
        <v>0</v>
      </c>
      <c r="J779" s="39">
        <v>9.4649515478803625E-2</v>
      </c>
    </row>
    <row r="780" spans="1:10" ht="11.25" customHeight="1" x14ac:dyDescent="0.2">
      <c r="A780" s="74">
        <v>44348</v>
      </c>
      <c r="B780" s="65">
        <v>0</v>
      </c>
      <c r="C780" s="65">
        <v>0</v>
      </c>
      <c r="D780" s="65">
        <v>9837.8051199999991</v>
      </c>
      <c r="E780" s="65">
        <v>10768.948607982893</v>
      </c>
      <c r="F780" s="65">
        <v>0</v>
      </c>
      <c r="G780" s="65">
        <v>0</v>
      </c>
      <c r="H780" s="39">
        <v>9.4649515478803625E-2</v>
      </c>
      <c r="I780" s="39">
        <v>0</v>
      </c>
      <c r="J780" s="39">
        <v>9.4649515478803625E-2</v>
      </c>
    </row>
    <row r="781" spans="1:10" ht="11.25" customHeight="1" x14ac:dyDescent="0.2">
      <c r="A781" s="74">
        <v>44378</v>
      </c>
      <c r="B781" s="65">
        <v>0</v>
      </c>
      <c r="C781" s="65">
        <v>0</v>
      </c>
      <c r="D781" s="65">
        <v>9189.8292199999996</v>
      </c>
      <c r="E781" s="65">
        <v>10059.64210300595</v>
      </c>
      <c r="F781" s="65">
        <v>0</v>
      </c>
      <c r="G781" s="65">
        <v>0</v>
      </c>
      <c r="H781" s="39">
        <v>9.4649515478803403E-2</v>
      </c>
      <c r="I781" s="39">
        <v>0</v>
      </c>
      <c r="J781" s="39">
        <v>9.4649515478803403E-2</v>
      </c>
    </row>
    <row r="782" spans="1:10" ht="11.25" customHeight="1" x14ac:dyDescent="0.2">
      <c r="A782" s="74">
        <v>44409</v>
      </c>
      <c r="B782" s="65">
        <v>0</v>
      </c>
      <c r="C782" s="65">
        <v>0</v>
      </c>
      <c r="D782" s="65">
        <v>9394.0303600000007</v>
      </c>
      <c r="E782" s="65">
        <v>10283.17078196717</v>
      </c>
      <c r="F782" s="65">
        <v>0</v>
      </c>
      <c r="G782" s="65">
        <v>0</v>
      </c>
      <c r="H782" s="39">
        <v>9.4649515478803403E-2</v>
      </c>
      <c r="I782" s="39">
        <v>0</v>
      </c>
      <c r="J782" s="39">
        <v>9.4649515478803403E-2</v>
      </c>
    </row>
    <row r="783" spans="1:10" ht="11.25" customHeight="1" x14ac:dyDescent="0.2">
      <c r="A783" s="74">
        <v>44440</v>
      </c>
      <c r="B783" s="65">
        <v>0</v>
      </c>
      <c r="C783" s="65">
        <v>0</v>
      </c>
      <c r="D783" s="65">
        <v>9342.5961199999983</v>
      </c>
      <c r="E783" s="65">
        <v>10226.868316072148</v>
      </c>
      <c r="F783" s="65">
        <v>0</v>
      </c>
      <c r="G783" s="65">
        <v>0</v>
      </c>
      <c r="H783" s="39">
        <v>9.4649515478803625E-2</v>
      </c>
      <c r="I783" s="39">
        <v>0</v>
      </c>
      <c r="J783" s="39">
        <v>9.4649515478803625E-2</v>
      </c>
    </row>
    <row r="784" spans="1:10" ht="11.25" customHeight="1" x14ac:dyDescent="0.2">
      <c r="A784" s="74">
        <v>44470</v>
      </c>
      <c r="B784" s="65">
        <v>0</v>
      </c>
      <c r="C784" s="65">
        <v>0</v>
      </c>
      <c r="D784" s="65">
        <v>9982.1435999999994</v>
      </c>
      <c r="E784" s="65">
        <v>10926.94865517984</v>
      </c>
      <c r="F784" s="65">
        <v>0</v>
      </c>
      <c r="G784" s="65">
        <v>0</v>
      </c>
      <c r="H784" s="39">
        <v>9.4649515478803625E-2</v>
      </c>
      <c r="I784" s="39">
        <v>0</v>
      </c>
      <c r="J784" s="39">
        <v>9.4649515478803625E-2</v>
      </c>
    </row>
    <row r="785" spans="1:10" ht="11.25" customHeight="1" x14ac:dyDescent="0.2">
      <c r="A785" s="74">
        <v>44501</v>
      </c>
      <c r="B785" s="65">
        <v>0</v>
      </c>
      <c r="C785" s="65">
        <v>0</v>
      </c>
      <c r="D785" s="65">
        <v>10364.534180000001</v>
      </c>
      <c r="E785" s="65">
        <v>11345.532318300498</v>
      </c>
      <c r="F785" s="65">
        <v>0</v>
      </c>
      <c r="G785" s="65">
        <v>0</v>
      </c>
      <c r="H785" s="39">
        <v>9.4649515478803403E-2</v>
      </c>
      <c r="I785" s="39">
        <v>0</v>
      </c>
      <c r="J785" s="39">
        <v>9.4649515478803403E-2</v>
      </c>
    </row>
    <row r="786" spans="1:10" ht="11.25" customHeight="1" x14ac:dyDescent="0.2">
      <c r="A786" s="74">
        <v>44531</v>
      </c>
      <c r="B786" s="65">
        <v>0</v>
      </c>
      <c r="C786" s="65">
        <v>0</v>
      </c>
      <c r="D786" s="65">
        <v>10901.3619</v>
      </c>
      <c r="E786" s="65">
        <v>11933.17052189409</v>
      </c>
      <c r="F786" s="65">
        <v>0</v>
      </c>
      <c r="G786" s="65">
        <v>0</v>
      </c>
      <c r="H786" s="39">
        <v>9.4649515478803625E-2</v>
      </c>
      <c r="I786" s="39">
        <v>0</v>
      </c>
      <c r="J786" s="39">
        <v>9.4649515478803625E-2</v>
      </c>
    </row>
    <row r="787" spans="1:10" ht="11.25" customHeight="1" x14ac:dyDescent="0.2">
      <c r="A787" s="74">
        <v>44562</v>
      </c>
      <c r="B787" s="65">
        <v>0</v>
      </c>
      <c r="C787" s="65">
        <v>0</v>
      </c>
      <c r="D787" s="65">
        <v>10901.3619</v>
      </c>
      <c r="E787" s="65">
        <v>11933.17052189409</v>
      </c>
      <c r="F787" s="65">
        <v>0</v>
      </c>
      <c r="G787" s="65">
        <v>0</v>
      </c>
      <c r="H787" s="39">
        <v>9.4649515478803625E-2</v>
      </c>
      <c r="I787" s="39">
        <v>0</v>
      </c>
      <c r="J787" s="39">
        <v>9.4649515478803625E-2</v>
      </c>
    </row>
    <row r="788" spans="1:10" ht="11.25" customHeight="1" x14ac:dyDescent="0.2">
      <c r="A788" s="73" t="s">
        <v>34</v>
      </c>
      <c r="B788" s="65">
        <v>2928756.48</v>
      </c>
      <c r="C788" s="65">
        <v>2802186.5680297213</v>
      </c>
      <c r="D788" s="65">
        <v>0</v>
      </c>
      <c r="E788" s="65">
        <v>0</v>
      </c>
      <c r="F788" s="65">
        <v>0</v>
      </c>
      <c r="G788" s="65">
        <v>0</v>
      </c>
      <c r="H788" s="39">
        <v>-4.3216263569403557E-2</v>
      </c>
      <c r="I788" s="39">
        <v>0</v>
      </c>
      <c r="J788" s="39">
        <v>-4.3216263569403557E-2</v>
      </c>
    </row>
    <row r="789" spans="1:10" ht="11.25" customHeight="1" x14ac:dyDescent="0.2">
      <c r="A789" s="74">
        <v>44228</v>
      </c>
      <c r="B789" s="65">
        <v>243360</v>
      </c>
      <c r="C789" s="65">
        <v>232842.89009774997</v>
      </c>
      <c r="D789" s="65">
        <v>0</v>
      </c>
      <c r="E789" s="65">
        <v>0</v>
      </c>
      <c r="F789" s="65">
        <v>0</v>
      </c>
      <c r="G789" s="65">
        <v>0</v>
      </c>
      <c r="H789" s="39">
        <v>-4.3216263569403446E-2</v>
      </c>
      <c r="I789" s="39">
        <v>0</v>
      </c>
      <c r="J789" s="39">
        <v>-4.3216263569403446E-2</v>
      </c>
    </row>
    <row r="790" spans="1:10" ht="11.25" customHeight="1" x14ac:dyDescent="0.2">
      <c r="A790" s="74">
        <v>44256</v>
      </c>
      <c r="B790" s="65">
        <v>243360</v>
      </c>
      <c r="C790" s="65">
        <v>232842.89009774997</v>
      </c>
      <c r="D790" s="65">
        <v>0</v>
      </c>
      <c r="E790" s="65">
        <v>0</v>
      </c>
      <c r="F790" s="65">
        <v>0</v>
      </c>
      <c r="G790" s="65">
        <v>0</v>
      </c>
      <c r="H790" s="39">
        <v>-4.3216263569403446E-2</v>
      </c>
      <c r="I790" s="39">
        <v>0</v>
      </c>
      <c r="J790" s="39">
        <v>-4.3216263569403446E-2</v>
      </c>
    </row>
    <row r="791" spans="1:10" ht="11.25" customHeight="1" x14ac:dyDescent="0.2">
      <c r="A791" s="74">
        <v>44287</v>
      </c>
      <c r="B791" s="65">
        <v>243360</v>
      </c>
      <c r="C791" s="65">
        <v>232842.89009774997</v>
      </c>
      <c r="D791" s="65">
        <v>0</v>
      </c>
      <c r="E791" s="65">
        <v>0</v>
      </c>
      <c r="F791" s="65">
        <v>0</v>
      </c>
      <c r="G791" s="65">
        <v>0</v>
      </c>
      <c r="H791" s="39">
        <v>-4.3216263569403446E-2</v>
      </c>
      <c r="I791" s="39">
        <v>0</v>
      </c>
      <c r="J791" s="39">
        <v>-4.3216263569403446E-2</v>
      </c>
    </row>
    <row r="792" spans="1:10" ht="11.25" customHeight="1" x14ac:dyDescent="0.2">
      <c r="A792" s="74">
        <v>44317</v>
      </c>
      <c r="B792" s="65">
        <v>243360</v>
      </c>
      <c r="C792" s="65">
        <v>232842.89009774997</v>
      </c>
      <c r="D792" s="65">
        <v>0</v>
      </c>
      <c r="E792" s="65">
        <v>0</v>
      </c>
      <c r="F792" s="65">
        <v>0</v>
      </c>
      <c r="G792" s="65">
        <v>0</v>
      </c>
      <c r="H792" s="39">
        <v>-4.3216263569403446E-2</v>
      </c>
      <c r="I792" s="39">
        <v>0</v>
      </c>
      <c r="J792" s="39">
        <v>-4.3216263569403446E-2</v>
      </c>
    </row>
    <row r="793" spans="1:10" ht="11.25" customHeight="1" x14ac:dyDescent="0.2">
      <c r="A793" s="74">
        <v>44348</v>
      </c>
      <c r="B793" s="65">
        <v>243360</v>
      </c>
      <c r="C793" s="65">
        <v>232842.89009774997</v>
      </c>
      <c r="D793" s="65">
        <v>0</v>
      </c>
      <c r="E793" s="65">
        <v>0</v>
      </c>
      <c r="F793" s="65">
        <v>0</v>
      </c>
      <c r="G793" s="65">
        <v>0</v>
      </c>
      <c r="H793" s="39">
        <v>-4.3216263569403446E-2</v>
      </c>
      <c r="I793" s="39">
        <v>0</v>
      </c>
      <c r="J793" s="39">
        <v>-4.3216263569403446E-2</v>
      </c>
    </row>
    <row r="794" spans="1:10" ht="11.25" customHeight="1" x14ac:dyDescent="0.2">
      <c r="A794" s="74">
        <v>44378</v>
      </c>
      <c r="B794" s="65">
        <v>243360</v>
      </c>
      <c r="C794" s="65">
        <v>232842.89009774997</v>
      </c>
      <c r="D794" s="65">
        <v>0</v>
      </c>
      <c r="E794" s="65">
        <v>0</v>
      </c>
      <c r="F794" s="65">
        <v>0</v>
      </c>
      <c r="G794" s="65">
        <v>0</v>
      </c>
      <c r="H794" s="39">
        <v>-4.3216263569403446E-2</v>
      </c>
      <c r="I794" s="39">
        <v>0</v>
      </c>
      <c r="J794" s="39">
        <v>-4.3216263569403446E-2</v>
      </c>
    </row>
    <row r="795" spans="1:10" ht="11.25" customHeight="1" x14ac:dyDescent="0.2">
      <c r="A795" s="74">
        <v>44409</v>
      </c>
      <c r="B795" s="65">
        <v>243360</v>
      </c>
      <c r="C795" s="65">
        <v>232842.89009774997</v>
      </c>
      <c r="D795" s="65">
        <v>0</v>
      </c>
      <c r="E795" s="65">
        <v>0</v>
      </c>
      <c r="F795" s="65">
        <v>0</v>
      </c>
      <c r="G795" s="65">
        <v>0</v>
      </c>
      <c r="H795" s="39">
        <v>-4.3216263569403446E-2</v>
      </c>
      <c r="I795" s="39">
        <v>0</v>
      </c>
      <c r="J795" s="39">
        <v>-4.3216263569403446E-2</v>
      </c>
    </row>
    <row r="796" spans="1:10" ht="11.25" customHeight="1" x14ac:dyDescent="0.2">
      <c r="A796" s="74">
        <v>44440</v>
      </c>
      <c r="B796" s="65">
        <v>243360</v>
      </c>
      <c r="C796" s="65">
        <v>232842.89009774997</v>
      </c>
      <c r="D796" s="65">
        <v>0</v>
      </c>
      <c r="E796" s="65">
        <v>0</v>
      </c>
      <c r="F796" s="65">
        <v>0</v>
      </c>
      <c r="G796" s="65">
        <v>0</v>
      </c>
      <c r="H796" s="39">
        <v>-4.3216263569403446E-2</v>
      </c>
      <c r="I796" s="39">
        <v>0</v>
      </c>
      <c r="J796" s="39">
        <v>-4.3216263569403446E-2</v>
      </c>
    </row>
    <row r="797" spans="1:10" ht="11.25" customHeight="1" x14ac:dyDescent="0.2">
      <c r="A797" s="74">
        <v>44470</v>
      </c>
      <c r="B797" s="65">
        <v>251796.47999999998</v>
      </c>
      <c r="C797" s="65">
        <v>240914.77695447195</v>
      </c>
      <c r="D797" s="65">
        <v>0</v>
      </c>
      <c r="E797" s="65">
        <v>0</v>
      </c>
      <c r="F797" s="65">
        <v>0</v>
      </c>
      <c r="G797" s="65">
        <v>0</v>
      </c>
      <c r="H797" s="39">
        <v>-4.3216263569403446E-2</v>
      </c>
      <c r="I797" s="39">
        <v>0</v>
      </c>
      <c r="J797" s="39">
        <v>-4.3216263569403446E-2</v>
      </c>
    </row>
    <row r="798" spans="1:10" ht="11.25" customHeight="1" x14ac:dyDescent="0.2">
      <c r="A798" s="74">
        <v>44501</v>
      </c>
      <c r="B798" s="65">
        <v>243360</v>
      </c>
      <c r="C798" s="65">
        <v>232842.89009774997</v>
      </c>
      <c r="D798" s="65">
        <v>0</v>
      </c>
      <c r="E798" s="65">
        <v>0</v>
      </c>
      <c r="F798" s="65">
        <v>0</v>
      </c>
      <c r="G798" s="65">
        <v>0</v>
      </c>
      <c r="H798" s="39">
        <v>-4.3216263569403446E-2</v>
      </c>
      <c r="I798" s="39">
        <v>0</v>
      </c>
      <c r="J798" s="39">
        <v>-4.3216263569403446E-2</v>
      </c>
    </row>
    <row r="799" spans="1:10" ht="11.25" customHeight="1" x14ac:dyDescent="0.2">
      <c r="A799" s="74">
        <v>44531</v>
      </c>
      <c r="B799" s="65">
        <v>243360</v>
      </c>
      <c r="C799" s="65">
        <v>232842.89009774997</v>
      </c>
      <c r="D799" s="65">
        <v>0</v>
      </c>
      <c r="E799" s="65">
        <v>0</v>
      </c>
      <c r="F799" s="65">
        <v>0</v>
      </c>
      <c r="G799" s="65">
        <v>0</v>
      </c>
      <c r="H799" s="39">
        <v>-4.3216263569403446E-2</v>
      </c>
      <c r="I799" s="39">
        <v>0</v>
      </c>
      <c r="J799" s="39">
        <v>-4.3216263569403446E-2</v>
      </c>
    </row>
    <row r="800" spans="1:10" ht="11.25" customHeight="1" x14ac:dyDescent="0.2">
      <c r="A800" s="74">
        <v>44562</v>
      </c>
      <c r="B800" s="65">
        <v>243360</v>
      </c>
      <c r="C800" s="65">
        <v>232842.89009774997</v>
      </c>
      <c r="D800" s="65">
        <v>0</v>
      </c>
      <c r="E800" s="65">
        <v>0</v>
      </c>
      <c r="F800" s="65">
        <v>0</v>
      </c>
      <c r="G800" s="65">
        <v>0</v>
      </c>
      <c r="H800" s="39">
        <v>-4.3216263569403446E-2</v>
      </c>
      <c r="I800" s="39">
        <v>0</v>
      </c>
      <c r="J800" s="39">
        <v>-4.3216263569403446E-2</v>
      </c>
    </row>
    <row r="801" spans="1:10" ht="11.25" customHeight="1" x14ac:dyDescent="0.2">
      <c r="A801" s="67" t="s">
        <v>39</v>
      </c>
      <c r="B801" s="65">
        <v>61714.84</v>
      </c>
      <c r="C801" s="65">
        <v>62438.94389190746</v>
      </c>
      <c r="D801" s="65">
        <v>4210.5772799999995</v>
      </c>
      <c r="E801" s="65">
        <v>4602.9744760962576</v>
      </c>
      <c r="F801" s="65">
        <v>0</v>
      </c>
      <c r="G801" s="65">
        <v>0</v>
      </c>
      <c r="H801" s="39">
        <v>1.6935821327632938E-2</v>
      </c>
      <c r="I801" s="39">
        <v>0</v>
      </c>
      <c r="J801" s="39">
        <v>1.6935821327632938E-2</v>
      </c>
    </row>
    <row r="802" spans="1:10" ht="11.25" customHeight="1" x14ac:dyDescent="0.2">
      <c r="A802" s="68" t="s">
        <v>59</v>
      </c>
      <c r="B802" s="65">
        <v>61714.84</v>
      </c>
      <c r="C802" s="65">
        <v>62438.94389190746</v>
      </c>
      <c r="D802" s="65">
        <v>4210.5772799999995</v>
      </c>
      <c r="E802" s="65">
        <v>4602.9744760962576</v>
      </c>
      <c r="F802" s="65">
        <v>0</v>
      </c>
      <c r="G802" s="65">
        <v>0</v>
      </c>
      <c r="H802" s="39">
        <v>1.6935821327632938E-2</v>
      </c>
      <c r="I802" s="39">
        <v>0</v>
      </c>
      <c r="J802" s="39">
        <v>1.6935821327632938E-2</v>
      </c>
    </row>
    <row r="803" spans="1:10" ht="11.25" customHeight="1" x14ac:dyDescent="0.2">
      <c r="A803" s="69" t="s">
        <v>25</v>
      </c>
      <c r="B803" s="65">
        <v>61714.84</v>
      </c>
      <c r="C803" s="65">
        <v>62438.94389190746</v>
      </c>
      <c r="D803" s="65">
        <v>4210.5772799999995</v>
      </c>
      <c r="E803" s="65">
        <v>4602.9744760962576</v>
      </c>
      <c r="F803" s="65">
        <v>0</v>
      </c>
      <c r="G803" s="65">
        <v>0</v>
      </c>
      <c r="H803" s="39">
        <v>1.6935821327632938E-2</v>
      </c>
      <c r="I803" s="39">
        <v>0</v>
      </c>
      <c r="J803" s="39">
        <v>1.6935821327632938E-2</v>
      </c>
    </row>
    <row r="804" spans="1:10" ht="11.25" customHeight="1" x14ac:dyDescent="0.2">
      <c r="A804" s="70" t="s">
        <v>25</v>
      </c>
      <c r="B804" s="65">
        <v>61714.84</v>
      </c>
      <c r="C804" s="65">
        <v>62438.94389190746</v>
      </c>
      <c r="D804" s="65">
        <v>4210.5772799999995</v>
      </c>
      <c r="E804" s="65">
        <v>4602.9744760962576</v>
      </c>
      <c r="F804" s="65">
        <v>0</v>
      </c>
      <c r="G804" s="65">
        <v>0</v>
      </c>
      <c r="H804" s="39">
        <v>1.6935821327632938E-2</v>
      </c>
      <c r="I804" s="39">
        <v>0</v>
      </c>
      <c r="J804" s="39">
        <v>1.6935821327632938E-2</v>
      </c>
    </row>
    <row r="805" spans="1:10" ht="11.25" customHeight="1" x14ac:dyDescent="0.2">
      <c r="A805" s="71" t="s">
        <v>25</v>
      </c>
      <c r="B805" s="65">
        <v>61714.84</v>
      </c>
      <c r="C805" s="65">
        <v>62438.94389190746</v>
      </c>
      <c r="D805" s="65">
        <v>4210.5772799999995</v>
      </c>
      <c r="E805" s="65">
        <v>4602.9744760962576</v>
      </c>
      <c r="F805" s="65">
        <v>0</v>
      </c>
      <c r="G805" s="65">
        <v>0</v>
      </c>
      <c r="H805" s="39">
        <v>1.6935821327632938E-2</v>
      </c>
      <c r="I805" s="39">
        <v>0</v>
      </c>
      <c r="J805" s="39">
        <v>1.6935821327632938E-2</v>
      </c>
    </row>
    <row r="806" spans="1:10" ht="11.25" customHeight="1" x14ac:dyDescent="0.2">
      <c r="A806" s="72" t="s">
        <v>60</v>
      </c>
      <c r="B806" s="65">
        <v>61714.84</v>
      </c>
      <c r="C806" s="65">
        <v>62438.94389190746</v>
      </c>
      <c r="D806" s="65">
        <v>4210.5772799999995</v>
      </c>
      <c r="E806" s="65">
        <v>4602.9744760962576</v>
      </c>
      <c r="F806" s="65">
        <v>0</v>
      </c>
      <c r="G806" s="65">
        <v>0</v>
      </c>
      <c r="H806" s="39">
        <v>1.6935821327632938E-2</v>
      </c>
      <c r="I806" s="39">
        <v>0</v>
      </c>
      <c r="J806" s="39">
        <v>1.6935821327632938E-2</v>
      </c>
    </row>
    <row r="807" spans="1:10" ht="11.25" customHeight="1" x14ac:dyDescent="0.2">
      <c r="A807" s="73" t="s">
        <v>35</v>
      </c>
      <c r="B807" s="65">
        <v>21323.279999999999</v>
      </c>
      <c r="C807" s="65">
        <v>21389.362911372591</v>
      </c>
      <c r="D807" s="65">
        <v>0</v>
      </c>
      <c r="E807" s="65">
        <v>0</v>
      </c>
      <c r="F807" s="65">
        <v>0</v>
      </c>
      <c r="G807" s="65">
        <v>0</v>
      </c>
      <c r="H807" s="39">
        <v>3.0990969200137553E-3</v>
      </c>
      <c r="I807" s="39">
        <v>0</v>
      </c>
      <c r="J807" s="39">
        <v>3.0990969200137553E-3</v>
      </c>
    </row>
    <row r="808" spans="1:10" ht="11.25" customHeight="1" x14ac:dyDescent="0.2">
      <c r="A808" s="74">
        <v>44228</v>
      </c>
      <c r="B808" s="65">
        <v>1773</v>
      </c>
      <c r="C808" s="65">
        <v>1778.4946988391841</v>
      </c>
      <c r="D808" s="65">
        <v>0</v>
      </c>
      <c r="E808" s="65">
        <v>0</v>
      </c>
      <c r="F808" s="65">
        <v>0</v>
      </c>
      <c r="G808" s="65">
        <v>0</v>
      </c>
      <c r="H808" s="39">
        <v>3.0990969200135332E-3</v>
      </c>
      <c r="I808" s="39">
        <v>0</v>
      </c>
      <c r="J808" s="39">
        <v>3.0990969200135332E-3</v>
      </c>
    </row>
    <row r="809" spans="1:10" ht="11.25" customHeight="1" x14ac:dyDescent="0.2">
      <c r="A809" s="74">
        <v>44256</v>
      </c>
      <c r="B809" s="65">
        <v>1773</v>
      </c>
      <c r="C809" s="65">
        <v>1778.4946988391841</v>
      </c>
      <c r="D809" s="65">
        <v>0</v>
      </c>
      <c r="E809" s="65">
        <v>0</v>
      </c>
      <c r="F809" s="65">
        <v>0</v>
      </c>
      <c r="G809" s="65">
        <v>0</v>
      </c>
      <c r="H809" s="39">
        <v>3.0990969200135332E-3</v>
      </c>
      <c r="I809" s="39">
        <v>0</v>
      </c>
      <c r="J809" s="39">
        <v>3.0990969200135332E-3</v>
      </c>
    </row>
    <row r="810" spans="1:10" ht="11.25" customHeight="1" x14ac:dyDescent="0.2">
      <c r="A810" s="74">
        <v>44287</v>
      </c>
      <c r="B810" s="65">
        <v>1773</v>
      </c>
      <c r="C810" s="65">
        <v>1778.4946988391841</v>
      </c>
      <c r="D810" s="65">
        <v>0</v>
      </c>
      <c r="E810" s="65">
        <v>0</v>
      </c>
      <c r="F810" s="65">
        <v>0</v>
      </c>
      <c r="G810" s="65">
        <v>0</v>
      </c>
      <c r="H810" s="39">
        <v>3.0990969200135332E-3</v>
      </c>
      <c r="I810" s="39">
        <v>0</v>
      </c>
      <c r="J810" s="39">
        <v>3.0990969200135332E-3</v>
      </c>
    </row>
    <row r="811" spans="1:10" ht="11.25" customHeight="1" x14ac:dyDescent="0.2">
      <c r="A811" s="74">
        <v>44317</v>
      </c>
      <c r="B811" s="65">
        <v>1773</v>
      </c>
      <c r="C811" s="65">
        <v>1778.4946988391841</v>
      </c>
      <c r="D811" s="65">
        <v>0</v>
      </c>
      <c r="E811" s="65">
        <v>0</v>
      </c>
      <c r="F811" s="65">
        <v>0</v>
      </c>
      <c r="G811" s="65">
        <v>0</v>
      </c>
      <c r="H811" s="39">
        <v>3.0990969200135332E-3</v>
      </c>
      <c r="I811" s="39">
        <v>0</v>
      </c>
      <c r="J811" s="39">
        <v>3.0990969200135332E-3</v>
      </c>
    </row>
    <row r="812" spans="1:10" ht="11.25" customHeight="1" x14ac:dyDescent="0.2">
      <c r="A812" s="74">
        <v>44348</v>
      </c>
      <c r="B812" s="65">
        <v>1773</v>
      </c>
      <c r="C812" s="65">
        <v>1778.4946988391841</v>
      </c>
      <c r="D812" s="65">
        <v>0</v>
      </c>
      <c r="E812" s="65">
        <v>0</v>
      </c>
      <c r="F812" s="65">
        <v>0</v>
      </c>
      <c r="G812" s="65">
        <v>0</v>
      </c>
      <c r="H812" s="39">
        <v>3.0990969200135332E-3</v>
      </c>
      <c r="I812" s="39">
        <v>0</v>
      </c>
      <c r="J812" s="39">
        <v>3.0990969200135332E-3</v>
      </c>
    </row>
    <row r="813" spans="1:10" ht="11.25" customHeight="1" x14ac:dyDescent="0.2">
      <c r="A813" s="74">
        <v>44378</v>
      </c>
      <c r="B813" s="65">
        <v>1773</v>
      </c>
      <c r="C813" s="65">
        <v>1778.4946988391841</v>
      </c>
      <c r="D813" s="65">
        <v>0</v>
      </c>
      <c r="E813" s="65">
        <v>0</v>
      </c>
      <c r="F813" s="65">
        <v>0</v>
      </c>
      <c r="G813" s="65">
        <v>0</v>
      </c>
      <c r="H813" s="39">
        <v>3.0990969200135332E-3</v>
      </c>
      <c r="I813" s="39">
        <v>0</v>
      </c>
      <c r="J813" s="39">
        <v>3.0990969200135332E-3</v>
      </c>
    </row>
    <row r="814" spans="1:10" ht="11.25" customHeight="1" x14ac:dyDescent="0.2">
      <c r="A814" s="74">
        <v>44409</v>
      </c>
      <c r="B814" s="65">
        <v>1773</v>
      </c>
      <c r="C814" s="65">
        <v>1778.4946988391841</v>
      </c>
      <c r="D814" s="65">
        <v>0</v>
      </c>
      <c r="E814" s="65">
        <v>0</v>
      </c>
      <c r="F814" s="65">
        <v>0</v>
      </c>
      <c r="G814" s="65">
        <v>0</v>
      </c>
      <c r="H814" s="39">
        <v>3.0990969200135332E-3</v>
      </c>
      <c r="I814" s="39">
        <v>0</v>
      </c>
      <c r="J814" s="39">
        <v>3.0990969200135332E-3</v>
      </c>
    </row>
    <row r="815" spans="1:10" ht="11.25" customHeight="1" x14ac:dyDescent="0.2">
      <c r="A815" s="74">
        <v>44440</v>
      </c>
      <c r="B815" s="65">
        <v>1773</v>
      </c>
      <c r="C815" s="65">
        <v>1778.4946988391841</v>
      </c>
      <c r="D815" s="65">
        <v>0</v>
      </c>
      <c r="E815" s="65">
        <v>0</v>
      </c>
      <c r="F815" s="65">
        <v>0</v>
      </c>
      <c r="G815" s="65">
        <v>0</v>
      </c>
      <c r="H815" s="39">
        <v>3.0990969200135332E-3</v>
      </c>
      <c r="I815" s="39">
        <v>0</v>
      </c>
      <c r="J815" s="39">
        <v>3.0990969200135332E-3</v>
      </c>
    </row>
    <row r="816" spans="1:10" ht="11.25" customHeight="1" x14ac:dyDescent="0.2">
      <c r="A816" s="74">
        <v>44470</v>
      </c>
      <c r="B816" s="65">
        <v>1773</v>
      </c>
      <c r="C816" s="65">
        <v>1778.4946988391841</v>
      </c>
      <c r="D816" s="65">
        <v>0</v>
      </c>
      <c r="E816" s="65">
        <v>0</v>
      </c>
      <c r="F816" s="65">
        <v>0</v>
      </c>
      <c r="G816" s="65">
        <v>0</v>
      </c>
      <c r="H816" s="39">
        <v>3.0990969200135332E-3</v>
      </c>
      <c r="I816" s="39">
        <v>0</v>
      </c>
      <c r="J816" s="39">
        <v>3.0990969200135332E-3</v>
      </c>
    </row>
    <row r="817" spans="1:10" ht="11.25" customHeight="1" x14ac:dyDescent="0.2">
      <c r="A817" s="74">
        <v>44501</v>
      </c>
      <c r="B817" s="65">
        <v>1773</v>
      </c>
      <c r="C817" s="65">
        <v>1778.4946988391841</v>
      </c>
      <c r="D817" s="65">
        <v>0</v>
      </c>
      <c r="E817" s="65">
        <v>0</v>
      </c>
      <c r="F817" s="65">
        <v>0</v>
      </c>
      <c r="G817" s="65">
        <v>0</v>
      </c>
      <c r="H817" s="39">
        <v>3.0990969200135332E-3</v>
      </c>
      <c r="I817" s="39">
        <v>0</v>
      </c>
      <c r="J817" s="39">
        <v>3.0990969200135332E-3</v>
      </c>
    </row>
    <row r="818" spans="1:10" ht="11.25" customHeight="1" x14ac:dyDescent="0.2">
      <c r="A818" s="74">
        <v>44531</v>
      </c>
      <c r="B818" s="65">
        <v>1796.64</v>
      </c>
      <c r="C818" s="65">
        <v>1802.2079614903732</v>
      </c>
      <c r="D818" s="65">
        <v>0</v>
      </c>
      <c r="E818" s="65">
        <v>0</v>
      </c>
      <c r="F818" s="65">
        <v>0</v>
      </c>
      <c r="G818" s="65">
        <v>0</v>
      </c>
      <c r="H818" s="39">
        <v>3.0990969200135332E-3</v>
      </c>
      <c r="I818" s="39">
        <v>0</v>
      </c>
      <c r="J818" s="39">
        <v>3.0990969200135332E-3</v>
      </c>
    </row>
    <row r="819" spans="1:10" ht="11.25" customHeight="1" x14ac:dyDescent="0.2">
      <c r="A819" s="74">
        <v>44562</v>
      </c>
      <c r="B819" s="65">
        <v>1796.64</v>
      </c>
      <c r="C819" s="65">
        <v>1802.2079614903732</v>
      </c>
      <c r="D819" s="65">
        <v>0</v>
      </c>
      <c r="E819" s="65">
        <v>0</v>
      </c>
      <c r="F819" s="65">
        <v>0</v>
      </c>
      <c r="G819" s="65">
        <v>0</v>
      </c>
      <c r="H819" s="39">
        <v>3.0990969200135332E-3</v>
      </c>
      <c r="I819" s="39">
        <v>0</v>
      </c>
      <c r="J819" s="39">
        <v>3.0990969200135332E-3</v>
      </c>
    </row>
    <row r="820" spans="1:10" ht="11.25" customHeight="1" x14ac:dyDescent="0.2">
      <c r="A820" s="73" t="s">
        <v>25</v>
      </c>
      <c r="B820" s="65">
        <v>0</v>
      </c>
      <c r="C820" s="65">
        <v>0</v>
      </c>
      <c r="D820" s="65">
        <v>4210.5772799999995</v>
      </c>
      <c r="E820" s="65">
        <v>4602.9744760962576</v>
      </c>
      <c r="F820" s="65">
        <v>0</v>
      </c>
      <c r="G820" s="65">
        <v>0</v>
      </c>
      <c r="H820" s="39">
        <v>9.3193206062295086E-2</v>
      </c>
      <c r="I820" s="39">
        <v>0</v>
      </c>
      <c r="J820" s="39">
        <v>9.3193206062295086E-2</v>
      </c>
    </row>
    <row r="821" spans="1:10" ht="11.25" customHeight="1" x14ac:dyDescent="0.2">
      <c r="A821" s="74">
        <v>44228</v>
      </c>
      <c r="B821" s="65">
        <v>0</v>
      </c>
      <c r="C821" s="65">
        <v>0</v>
      </c>
      <c r="D821" s="65">
        <v>367.26335999999998</v>
      </c>
      <c r="E821" s="65">
        <v>401.48980998761084</v>
      </c>
      <c r="F821" s="65">
        <v>0</v>
      </c>
      <c r="G821" s="65">
        <v>0</v>
      </c>
      <c r="H821" s="39">
        <v>9.3193206062295086E-2</v>
      </c>
      <c r="I821" s="39">
        <v>0</v>
      </c>
      <c r="J821" s="39">
        <v>9.3193206062295086E-2</v>
      </c>
    </row>
    <row r="822" spans="1:10" ht="11.25" customHeight="1" x14ac:dyDescent="0.2">
      <c r="A822" s="74">
        <v>44256</v>
      </c>
      <c r="B822" s="65">
        <v>0</v>
      </c>
      <c r="C822" s="65">
        <v>0</v>
      </c>
      <c r="D822" s="65">
        <v>327.53087999999997</v>
      </c>
      <c r="E822" s="65">
        <v>358.0545327916048</v>
      </c>
      <c r="F822" s="65">
        <v>0</v>
      </c>
      <c r="G822" s="65">
        <v>0</v>
      </c>
      <c r="H822" s="39">
        <v>9.3193206062295086E-2</v>
      </c>
      <c r="I822" s="39">
        <v>0</v>
      </c>
      <c r="J822" s="39">
        <v>9.3193206062295086E-2</v>
      </c>
    </row>
    <row r="823" spans="1:10" ht="11.25" customHeight="1" x14ac:dyDescent="0.2">
      <c r="A823" s="74">
        <v>44287</v>
      </c>
      <c r="B823" s="65">
        <v>0</v>
      </c>
      <c r="C823" s="65">
        <v>0</v>
      </c>
      <c r="D823" s="65">
        <v>332.73792000000003</v>
      </c>
      <c r="E823" s="65">
        <v>363.74683354329943</v>
      </c>
      <c r="F823" s="65">
        <v>0</v>
      </c>
      <c r="G823" s="65">
        <v>0</v>
      </c>
      <c r="H823" s="39">
        <v>9.3193206062294864E-2</v>
      </c>
      <c r="I823" s="39">
        <v>0</v>
      </c>
      <c r="J823" s="39">
        <v>9.3193206062294864E-2</v>
      </c>
    </row>
    <row r="824" spans="1:10" ht="11.25" customHeight="1" x14ac:dyDescent="0.2">
      <c r="A824" s="74">
        <v>44317</v>
      </c>
      <c r="B824" s="65">
        <v>0</v>
      </c>
      <c r="C824" s="65">
        <v>0</v>
      </c>
      <c r="D824" s="65">
        <v>335.24928</v>
      </c>
      <c r="E824" s="65">
        <v>366.49223523327606</v>
      </c>
      <c r="F824" s="65">
        <v>0</v>
      </c>
      <c r="G824" s="65">
        <v>0</v>
      </c>
      <c r="H824" s="39">
        <v>9.3193206062295086E-2</v>
      </c>
      <c r="I824" s="39">
        <v>0</v>
      </c>
      <c r="J824" s="39">
        <v>9.3193206062295086E-2</v>
      </c>
    </row>
    <row r="825" spans="1:10" ht="11.25" customHeight="1" x14ac:dyDescent="0.2">
      <c r="A825" s="74">
        <v>44348</v>
      </c>
      <c r="B825" s="65">
        <v>0</v>
      </c>
      <c r="C825" s="65">
        <v>0</v>
      </c>
      <c r="D825" s="65">
        <v>321.74207999999999</v>
      </c>
      <c r="E825" s="65">
        <v>351.72625596035141</v>
      </c>
      <c r="F825" s="65">
        <v>0</v>
      </c>
      <c r="G825" s="65">
        <v>0</v>
      </c>
      <c r="H825" s="39">
        <v>9.3193206062295086E-2</v>
      </c>
      <c r="I825" s="39">
        <v>0</v>
      </c>
      <c r="J825" s="39">
        <v>9.3193206062295086E-2</v>
      </c>
    </row>
    <row r="826" spans="1:10" ht="11.25" customHeight="1" x14ac:dyDescent="0.2">
      <c r="A826" s="74">
        <v>44378</v>
      </c>
      <c r="B826" s="65">
        <v>0</v>
      </c>
      <c r="C826" s="65">
        <v>0</v>
      </c>
      <c r="D826" s="65">
        <v>322.88255999999996</v>
      </c>
      <c r="E826" s="65">
        <v>352.97302094800131</v>
      </c>
      <c r="F826" s="65">
        <v>0</v>
      </c>
      <c r="G826" s="65">
        <v>0</v>
      </c>
      <c r="H826" s="39">
        <v>9.3193206062295086E-2</v>
      </c>
      <c r="I826" s="39">
        <v>0</v>
      </c>
      <c r="J826" s="39">
        <v>9.3193206062295086E-2</v>
      </c>
    </row>
    <row r="827" spans="1:10" ht="11.25" customHeight="1" x14ac:dyDescent="0.2">
      <c r="A827" s="74">
        <v>44409</v>
      </c>
      <c r="B827" s="65">
        <v>0</v>
      </c>
      <c r="C827" s="65">
        <v>0</v>
      </c>
      <c r="D827" s="65">
        <v>339.24671999999998</v>
      </c>
      <c r="E827" s="65">
        <v>370.86220948291771</v>
      </c>
      <c r="F827" s="65">
        <v>0</v>
      </c>
      <c r="G827" s="65">
        <v>0</v>
      </c>
      <c r="H827" s="39">
        <v>9.3193206062295086E-2</v>
      </c>
      <c r="I827" s="39">
        <v>0</v>
      </c>
      <c r="J827" s="39">
        <v>9.3193206062295086E-2</v>
      </c>
    </row>
    <row r="828" spans="1:10" ht="11.25" customHeight="1" x14ac:dyDescent="0.2">
      <c r="A828" s="74">
        <v>44440</v>
      </c>
      <c r="B828" s="65">
        <v>0</v>
      </c>
      <c r="C828" s="65">
        <v>0</v>
      </c>
      <c r="D828" s="65">
        <v>321.41951999999998</v>
      </c>
      <c r="E828" s="65">
        <v>351.37363555980397</v>
      </c>
      <c r="F828" s="65">
        <v>0</v>
      </c>
      <c r="G828" s="65">
        <v>0</v>
      </c>
      <c r="H828" s="39">
        <v>9.3193206062295086E-2</v>
      </c>
      <c r="I828" s="39">
        <v>0</v>
      </c>
      <c r="J828" s="39">
        <v>9.3193206062295086E-2</v>
      </c>
    </row>
    <row r="829" spans="1:10" ht="11.25" customHeight="1" x14ac:dyDescent="0.2">
      <c r="A829" s="74">
        <v>44470</v>
      </c>
      <c r="B829" s="65">
        <v>0</v>
      </c>
      <c r="C829" s="65">
        <v>0</v>
      </c>
      <c r="D829" s="65">
        <v>336.5856</v>
      </c>
      <c r="E829" s="65">
        <v>367.95309117840122</v>
      </c>
      <c r="F829" s="65">
        <v>0</v>
      </c>
      <c r="G829" s="65">
        <v>0</v>
      </c>
      <c r="H829" s="39">
        <v>9.3193206062295086E-2</v>
      </c>
      <c r="I829" s="39">
        <v>0</v>
      </c>
      <c r="J829" s="39">
        <v>9.3193206062295086E-2</v>
      </c>
    </row>
    <row r="830" spans="1:10" ht="11.25" customHeight="1" x14ac:dyDescent="0.2">
      <c r="A830" s="74">
        <v>44501</v>
      </c>
      <c r="B830" s="65">
        <v>0</v>
      </c>
      <c r="C830" s="65">
        <v>0</v>
      </c>
      <c r="D830" s="65">
        <v>368.44991999999996</v>
      </c>
      <c r="E830" s="65">
        <v>402.78694931819609</v>
      </c>
      <c r="F830" s="65">
        <v>0</v>
      </c>
      <c r="G830" s="65">
        <v>0</v>
      </c>
      <c r="H830" s="39">
        <v>9.3193206062295086E-2</v>
      </c>
      <c r="I830" s="39">
        <v>0</v>
      </c>
      <c r="J830" s="39">
        <v>9.3193206062295086E-2</v>
      </c>
    </row>
    <row r="831" spans="1:10" ht="11.25" customHeight="1" x14ac:dyDescent="0.2">
      <c r="A831" s="74">
        <v>44531</v>
      </c>
      <c r="B831" s="65">
        <v>0</v>
      </c>
      <c r="C831" s="65">
        <v>0</v>
      </c>
      <c r="D831" s="65">
        <v>418.73471999999998</v>
      </c>
      <c r="E831" s="65">
        <v>457.75795104639741</v>
      </c>
      <c r="F831" s="65">
        <v>0</v>
      </c>
      <c r="G831" s="65">
        <v>0</v>
      </c>
      <c r="H831" s="39">
        <v>9.3193206062295086E-2</v>
      </c>
      <c r="I831" s="39">
        <v>0</v>
      </c>
      <c r="J831" s="39">
        <v>9.3193206062295086E-2</v>
      </c>
    </row>
    <row r="832" spans="1:10" ht="11.25" customHeight="1" x14ac:dyDescent="0.2">
      <c r="A832" s="74">
        <v>44562</v>
      </c>
      <c r="B832" s="65">
        <v>0</v>
      </c>
      <c r="C832" s="65">
        <v>0</v>
      </c>
      <c r="D832" s="65">
        <v>418.73471999999998</v>
      </c>
      <c r="E832" s="65">
        <v>457.75795104639741</v>
      </c>
      <c r="F832" s="65">
        <v>0</v>
      </c>
      <c r="G832" s="65">
        <v>0</v>
      </c>
      <c r="H832" s="39">
        <v>9.3193206062295086E-2</v>
      </c>
      <c r="I832" s="39">
        <v>0</v>
      </c>
      <c r="J832" s="39">
        <v>9.3193206062295086E-2</v>
      </c>
    </row>
    <row r="833" spans="1:10" ht="11.25" customHeight="1" x14ac:dyDescent="0.2">
      <c r="A833" s="73" t="s">
        <v>34</v>
      </c>
      <c r="B833" s="65">
        <v>40391.56</v>
      </c>
      <c r="C833" s="65">
        <v>41049.580980534862</v>
      </c>
      <c r="D833" s="65">
        <v>0</v>
      </c>
      <c r="E833" s="65">
        <v>0</v>
      </c>
      <c r="F833" s="65">
        <v>0</v>
      </c>
      <c r="G833" s="65">
        <v>0</v>
      </c>
      <c r="H833" s="39">
        <v>1.6291051411108315E-2</v>
      </c>
      <c r="I833" s="39">
        <v>0</v>
      </c>
      <c r="J833" s="39">
        <v>1.6291051411108315E-2</v>
      </c>
    </row>
    <row r="834" spans="1:10" ht="11.25" customHeight="1" x14ac:dyDescent="0.2">
      <c r="A834" s="74">
        <v>44228</v>
      </c>
      <c r="B834" s="65">
        <v>3358.5</v>
      </c>
      <c r="C834" s="65">
        <v>3413.2134961642073</v>
      </c>
      <c r="D834" s="65">
        <v>0</v>
      </c>
      <c r="E834" s="65">
        <v>0</v>
      </c>
      <c r="F834" s="65">
        <v>0</v>
      </c>
      <c r="G834" s="65">
        <v>0</v>
      </c>
      <c r="H834" s="39">
        <v>1.6291051411108315E-2</v>
      </c>
      <c r="I834" s="39">
        <v>0</v>
      </c>
      <c r="J834" s="39">
        <v>1.6291051411108315E-2</v>
      </c>
    </row>
    <row r="835" spans="1:10" ht="11.25" customHeight="1" x14ac:dyDescent="0.2">
      <c r="A835" s="74">
        <v>44256</v>
      </c>
      <c r="B835" s="65">
        <v>3358.5</v>
      </c>
      <c r="C835" s="65">
        <v>3413.2134961642073</v>
      </c>
      <c r="D835" s="65">
        <v>0</v>
      </c>
      <c r="E835" s="65">
        <v>0</v>
      </c>
      <c r="F835" s="65">
        <v>0</v>
      </c>
      <c r="G835" s="65">
        <v>0</v>
      </c>
      <c r="H835" s="39">
        <v>1.6291051411108315E-2</v>
      </c>
      <c r="I835" s="39">
        <v>0</v>
      </c>
      <c r="J835" s="39">
        <v>1.6291051411108315E-2</v>
      </c>
    </row>
    <row r="836" spans="1:10" ht="11.25" customHeight="1" x14ac:dyDescent="0.2">
      <c r="A836" s="74">
        <v>44287</v>
      </c>
      <c r="B836" s="65">
        <v>3358.5</v>
      </c>
      <c r="C836" s="65">
        <v>3413.2134961642073</v>
      </c>
      <c r="D836" s="65">
        <v>0</v>
      </c>
      <c r="E836" s="65">
        <v>0</v>
      </c>
      <c r="F836" s="65">
        <v>0</v>
      </c>
      <c r="G836" s="65">
        <v>0</v>
      </c>
      <c r="H836" s="39">
        <v>1.6291051411108315E-2</v>
      </c>
      <c r="I836" s="39">
        <v>0</v>
      </c>
      <c r="J836" s="39">
        <v>1.6291051411108315E-2</v>
      </c>
    </row>
    <row r="837" spans="1:10" ht="11.25" customHeight="1" x14ac:dyDescent="0.2">
      <c r="A837" s="74">
        <v>44317</v>
      </c>
      <c r="B837" s="65">
        <v>3358.5</v>
      </c>
      <c r="C837" s="65">
        <v>3413.2134961642073</v>
      </c>
      <c r="D837" s="65">
        <v>0</v>
      </c>
      <c r="E837" s="65">
        <v>0</v>
      </c>
      <c r="F837" s="65">
        <v>0</v>
      </c>
      <c r="G837" s="65">
        <v>0</v>
      </c>
      <c r="H837" s="39">
        <v>1.6291051411108315E-2</v>
      </c>
      <c r="I837" s="39">
        <v>0</v>
      </c>
      <c r="J837" s="39">
        <v>1.6291051411108315E-2</v>
      </c>
    </row>
    <row r="838" spans="1:10" ht="11.25" customHeight="1" x14ac:dyDescent="0.2">
      <c r="A838" s="74">
        <v>44348</v>
      </c>
      <c r="B838" s="65">
        <v>3358.5</v>
      </c>
      <c r="C838" s="65">
        <v>3413.2134961642073</v>
      </c>
      <c r="D838" s="65">
        <v>0</v>
      </c>
      <c r="E838" s="65">
        <v>0</v>
      </c>
      <c r="F838" s="65">
        <v>0</v>
      </c>
      <c r="G838" s="65">
        <v>0</v>
      </c>
      <c r="H838" s="39">
        <v>1.6291051411108315E-2</v>
      </c>
      <c r="I838" s="39">
        <v>0</v>
      </c>
      <c r="J838" s="39">
        <v>1.6291051411108315E-2</v>
      </c>
    </row>
    <row r="839" spans="1:10" ht="11.25" customHeight="1" x14ac:dyDescent="0.2">
      <c r="A839" s="74">
        <v>44378</v>
      </c>
      <c r="B839" s="65">
        <v>3358.5</v>
      </c>
      <c r="C839" s="65">
        <v>3413.2134961642073</v>
      </c>
      <c r="D839" s="65">
        <v>0</v>
      </c>
      <c r="E839" s="65">
        <v>0</v>
      </c>
      <c r="F839" s="65">
        <v>0</v>
      </c>
      <c r="G839" s="65">
        <v>0</v>
      </c>
      <c r="H839" s="39">
        <v>1.6291051411108315E-2</v>
      </c>
      <c r="I839" s="39">
        <v>0</v>
      </c>
      <c r="J839" s="39">
        <v>1.6291051411108315E-2</v>
      </c>
    </row>
    <row r="840" spans="1:10" ht="11.25" customHeight="1" x14ac:dyDescent="0.2">
      <c r="A840" s="74">
        <v>44409</v>
      </c>
      <c r="B840" s="65">
        <v>3358.5</v>
      </c>
      <c r="C840" s="65">
        <v>3413.2134961642073</v>
      </c>
      <c r="D840" s="65">
        <v>0</v>
      </c>
      <c r="E840" s="65">
        <v>0</v>
      </c>
      <c r="F840" s="65">
        <v>0</v>
      </c>
      <c r="G840" s="65">
        <v>0</v>
      </c>
      <c r="H840" s="39">
        <v>1.6291051411108315E-2</v>
      </c>
      <c r="I840" s="39">
        <v>0</v>
      </c>
      <c r="J840" s="39">
        <v>1.6291051411108315E-2</v>
      </c>
    </row>
    <row r="841" spans="1:10" ht="11.25" customHeight="1" x14ac:dyDescent="0.2">
      <c r="A841" s="74">
        <v>44440</v>
      </c>
      <c r="B841" s="65">
        <v>3358.5</v>
      </c>
      <c r="C841" s="65">
        <v>3413.2134961642073</v>
      </c>
      <c r="D841" s="65">
        <v>0</v>
      </c>
      <c r="E841" s="65">
        <v>0</v>
      </c>
      <c r="F841" s="65">
        <v>0</v>
      </c>
      <c r="G841" s="65">
        <v>0</v>
      </c>
      <c r="H841" s="39">
        <v>1.6291051411108315E-2</v>
      </c>
      <c r="I841" s="39">
        <v>0</v>
      </c>
      <c r="J841" s="39">
        <v>1.6291051411108315E-2</v>
      </c>
    </row>
    <row r="842" spans="1:10" ht="11.25" customHeight="1" x14ac:dyDescent="0.2">
      <c r="A842" s="74">
        <v>44470</v>
      </c>
      <c r="B842" s="65">
        <v>3358.5</v>
      </c>
      <c r="C842" s="65">
        <v>3413.2134961642073</v>
      </c>
      <c r="D842" s="65">
        <v>0</v>
      </c>
      <c r="E842" s="65">
        <v>0</v>
      </c>
      <c r="F842" s="65">
        <v>0</v>
      </c>
      <c r="G842" s="65">
        <v>0</v>
      </c>
      <c r="H842" s="39">
        <v>1.6291051411108315E-2</v>
      </c>
      <c r="I842" s="39">
        <v>0</v>
      </c>
      <c r="J842" s="39">
        <v>1.6291051411108315E-2</v>
      </c>
    </row>
    <row r="843" spans="1:10" ht="11.25" customHeight="1" x14ac:dyDescent="0.2">
      <c r="A843" s="74">
        <v>44501</v>
      </c>
      <c r="B843" s="65">
        <v>3358.5</v>
      </c>
      <c r="C843" s="65">
        <v>3413.2134961642073</v>
      </c>
      <c r="D843" s="65">
        <v>0</v>
      </c>
      <c r="E843" s="65">
        <v>0</v>
      </c>
      <c r="F843" s="65">
        <v>0</v>
      </c>
      <c r="G843" s="65">
        <v>0</v>
      </c>
      <c r="H843" s="39">
        <v>1.6291051411108315E-2</v>
      </c>
      <c r="I843" s="39">
        <v>0</v>
      </c>
      <c r="J843" s="39">
        <v>1.6291051411108315E-2</v>
      </c>
    </row>
    <row r="844" spans="1:10" ht="11.25" customHeight="1" x14ac:dyDescent="0.2">
      <c r="A844" s="74">
        <v>44531</v>
      </c>
      <c r="B844" s="65">
        <v>3403.28</v>
      </c>
      <c r="C844" s="65">
        <v>3458.7230094463966</v>
      </c>
      <c r="D844" s="65">
        <v>0</v>
      </c>
      <c r="E844" s="65">
        <v>0</v>
      </c>
      <c r="F844" s="65">
        <v>0</v>
      </c>
      <c r="G844" s="65">
        <v>0</v>
      </c>
      <c r="H844" s="39">
        <v>1.6291051411108315E-2</v>
      </c>
      <c r="I844" s="39">
        <v>0</v>
      </c>
      <c r="J844" s="39">
        <v>1.6291051411108315E-2</v>
      </c>
    </row>
    <row r="845" spans="1:10" ht="11.25" customHeight="1" x14ac:dyDescent="0.2">
      <c r="A845" s="74">
        <v>44562</v>
      </c>
      <c r="B845" s="65">
        <v>3403.28</v>
      </c>
      <c r="C845" s="65">
        <v>3458.7230094463966</v>
      </c>
      <c r="D845" s="65">
        <v>0</v>
      </c>
      <c r="E845" s="65">
        <v>0</v>
      </c>
      <c r="F845" s="65">
        <v>0</v>
      </c>
      <c r="G845" s="65">
        <v>0</v>
      </c>
      <c r="H845" s="39">
        <v>1.6291051411108315E-2</v>
      </c>
      <c r="I845" s="39">
        <v>0</v>
      </c>
      <c r="J845" s="39">
        <v>1.6291051411108315E-2</v>
      </c>
    </row>
    <row r="846" spans="1:10" ht="11.25" customHeight="1" x14ac:dyDescent="0.2">
      <c r="A846" s="66" t="s">
        <v>57</v>
      </c>
      <c r="B846" s="65">
        <v>5613126.1635465873</v>
      </c>
      <c r="C846" s="65">
        <v>5620176.6431841608</v>
      </c>
      <c r="D846" s="65">
        <v>8040792.0397672998</v>
      </c>
      <c r="E846" s="65">
        <v>9431374.9561072588</v>
      </c>
      <c r="F846" s="65">
        <v>0</v>
      </c>
      <c r="G846" s="65">
        <v>0</v>
      </c>
      <c r="H846" s="39">
        <v>0.1023613423755767</v>
      </c>
      <c r="I846" s="39">
        <v>0</v>
      </c>
      <c r="J846" s="39">
        <v>0.1023613423755767</v>
      </c>
    </row>
    <row r="847" spans="1:10" ht="11.25" customHeight="1" x14ac:dyDescent="0.2">
      <c r="A847" s="67" t="s">
        <v>56</v>
      </c>
      <c r="B847" s="65">
        <v>2359244.56</v>
      </c>
      <c r="C847" s="65">
        <v>2165733.5946763698</v>
      </c>
      <c r="D847" s="65">
        <v>2305746.5398599999</v>
      </c>
      <c r="E847" s="65">
        <v>2784321.7880170522</v>
      </c>
      <c r="F847" s="65">
        <v>0</v>
      </c>
      <c r="G847" s="65">
        <v>0</v>
      </c>
      <c r="H847" s="39">
        <v>6.110714398618633E-2</v>
      </c>
      <c r="I847" s="39">
        <v>0</v>
      </c>
      <c r="J847" s="39">
        <v>6.110714398618633E-2</v>
      </c>
    </row>
    <row r="848" spans="1:10" ht="11.25" customHeight="1" x14ac:dyDescent="0.2">
      <c r="A848" s="68" t="s">
        <v>40</v>
      </c>
      <c r="B848" s="65">
        <v>2359244.56</v>
      </c>
      <c r="C848" s="65">
        <v>2165733.5946763698</v>
      </c>
      <c r="D848" s="65">
        <v>2305746.5398599999</v>
      </c>
      <c r="E848" s="65">
        <v>2784321.7880170522</v>
      </c>
      <c r="F848" s="65">
        <v>0</v>
      </c>
      <c r="G848" s="65">
        <v>0</v>
      </c>
      <c r="H848" s="39">
        <v>6.110714398618633E-2</v>
      </c>
      <c r="I848" s="39">
        <v>0</v>
      </c>
      <c r="J848" s="39">
        <v>6.110714398618633E-2</v>
      </c>
    </row>
    <row r="849" spans="1:10" ht="11.25" customHeight="1" x14ac:dyDescent="0.2">
      <c r="A849" s="69" t="s">
        <v>38</v>
      </c>
      <c r="B849" s="65">
        <v>2359244.56</v>
      </c>
      <c r="C849" s="65">
        <v>2165733.5946763698</v>
      </c>
      <c r="D849" s="65">
        <v>2305746.5398599999</v>
      </c>
      <c r="E849" s="65">
        <v>2784321.7880170522</v>
      </c>
      <c r="F849" s="65">
        <v>0</v>
      </c>
      <c r="G849" s="65">
        <v>0</v>
      </c>
      <c r="H849" s="39">
        <v>6.110714398618633E-2</v>
      </c>
      <c r="I849" s="39">
        <v>0</v>
      </c>
      <c r="J849" s="39">
        <v>6.110714398618633E-2</v>
      </c>
    </row>
    <row r="850" spans="1:10" ht="11.25" customHeight="1" x14ac:dyDescent="0.2">
      <c r="A850" s="70" t="s">
        <v>25</v>
      </c>
      <c r="B850" s="65">
        <v>2359244.56</v>
      </c>
      <c r="C850" s="65">
        <v>2165733.5946763698</v>
      </c>
      <c r="D850" s="65">
        <v>2305746.5398599999</v>
      </c>
      <c r="E850" s="65">
        <v>2784321.7880170522</v>
      </c>
      <c r="F850" s="65">
        <v>0</v>
      </c>
      <c r="G850" s="65">
        <v>0</v>
      </c>
      <c r="H850" s="39">
        <v>6.110714398618633E-2</v>
      </c>
      <c r="I850" s="39">
        <v>0</v>
      </c>
      <c r="J850" s="39">
        <v>6.110714398618633E-2</v>
      </c>
    </row>
    <row r="851" spans="1:10" ht="11.25" customHeight="1" x14ac:dyDescent="0.2">
      <c r="A851" s="71" t="s">
        <v>25</v>
      </c>
      <c r="B851" s="65">
        <v>2359244.56</v>
      </c>
      <c r="C851" s="65">
        <v>2165733.5946763698</v>
      </c>
      <c r="D851" s="65">
        <v>2305746.5398599999</v>
      </c>
      <c r="E851" s="65">
        <v>2784321.7880170522</v>
      </c>
      <c r="F851" s="65">
        <v>0</v>
      </c>
      <c r="G851" s="65">
        <v>0</v>
      </c>
      <c r="H851" s="39">
        <v>6.110714398618633E-2</v>
      </c>
      <c r="I851" s="39">
        <v>0</v>
      </c>
      <c r="J851" s="39">
        <v>6.110714398618633E-2</v>
      </c>
    </row>
    <row r="852" spans="1:10" ht="11.25" customHeight="1" x14ac:dyDescent="0.2">
      <c r="A852" s="72" t="s">
        <v>25</v>
      </c>
      <c r="B852" s="65">
        <v>2359244.56</v>
      </c>
      <c r="C852" s="65">
        <v>2165733.5946763698</v>
      </c>
      <c r="D852" s="65">
        <v>2305746.5398599999</v>
      </c>
      <c r="E852" s="65">
        <v>2784321.7880170522</v>
      </c>
      <c r="F852" s="65">
        <v>0</v>
      </c>
      <c r="G852" s="65">
        <v>0</v>
      </c>
      <c r="H852" s="39">
        <v>6.110714398618633E-2</v>
      </c>
      <c r="I852" s="39">
        <v>0</v>
      </c>
      <c r="J852" s="39">
        <v>6.110714398618633E-2</v>
      </c>
    </row>
    <row r="853" spans="1:10" ht="11.25" customHeight="1" x14ac:dyDescent="0.2">
      <c r="A853" s="73" t="s">
        <v>35</v>
      </c>
      <c r="B853" s="65">
        <v>791938.56000000006</v>
      </c>
      <c r="C853" s="65">
        <v>709369.40629399056</v>
      </c>
      <c r="D853" s="65">
        <v>0</v>
      </c>
      <c r="E853" s="65">
        <v>0</v>
      </c>
      <c r="F853" s="65">
        <v>0</v>
      </c>
      <c r="G853" s="65">
        <v>0</v>
      </c>
      <c r="H853" s="39">
        <v>-0.10426207016111133</v>
      </c>
      <c r="I853" s="39">
        <v>0</v>
      </c>
      <c r="J853" s="39">
        <v>-0.10426207016111133</v>
      </c>
    </row>
    <row r="854" spans="1:10" ht="11.25" customHeight="1" x14ac:dyDescent="0.2">
      <c r="A854" s="74">
        <v>44228</v>
      </c>
      <c r="B854" s="65">
        <v>67126.080000000002</v>
      </c>
      <c r="C854" s="65">
        <v>60127.375937399636</v>
      </c>
      <c r="D854" s="65">
        <v>0</v>
      </c>
      <c r="E854" s="65">
        <v>0</v>
      </c>
      <c r="F854" s="65">
        <v>0</v>
      </c>
      <c r="G854" s="65">
        <v>0</v>
      </c>
      <c r="H854" s="39">
        <v>-0.10426207016111122</v>
      </c>
      <c r="I854" s="39">
        <v>0</v>
      </c>
      <c r="J854" s="39">
        <v>-0.10426207016111122</v>
      </c>
    </row>
    <row r="855" spans="1:10" ht="11.25" customHeight="1" x14ac:dyDescent="0.2">
      <c r="A855" s="74">
        <v>44256</v>
      </c>
      <c r="B855" s="65">
        <v>67038.720000000001</v>
      </c>
      <c r="C855" s="65">
        <v>60049.124271848916</v>
      </c>
      <c r="D855" s="65">
        <v>0</v>
      </c>
      <c r="E855" s="65">
        <v>0</v>
      </c>
      <c r="F855" s="65">
        <v>0</v>
      </c>
      <c r="G855" s="65">
        <v>0</v>
      </c>
      <c r="H855" s="39">
        <v>-0.10426207016111111</v>
      </c>
      <c r="I855" s="39">
        <v>0</v>
      </c>
      <c r="J855" s="39">
        <v>-0.10426207016111111</v>
      </c>
    </row>
    <row r="856" spans="1:10" ht="11.25" customHeight="1" x14ac:dyDescent="0.2">
      <c r="A856" s="74">
        <v>44287</v>
      </c>
      <c r="B856" s="65">
        <v>66548.160000000003</v>
      </c>
      <c r="C856" s="65">
        <v>59609.711072987149</v>
      </c>
      <c r="D856" s="65">
        <v>0</v>
      </c>
      <c r="E856" s="65">
        <v>0</v>
      </c>
      <c r="F856" s="65">
        <v>0</v>
      </c>
      <c r="G856" s="65">
        <v>0</v>
      </c>
      <c r="H856" s="39">
        <v>-0.10426207016111122</v>
      </c>
      <c r="I856" s="39">
        <v>0</v>
      </c>
      <c r="J856" s="39">
        <v>-0.10426207016111122</v>
      </c>
    </row>
    <row r="857" spans="1:10" ht="11.25" customHeight="1" x14ac:dyDescent="0.2">
      <c r="A857" s="74">
        <v>44317</v>
      </c>
      <c r="B857" s="65">
        <v>65849.279999999999</v>
      </c>
      <c r="C857" s="65">
        <v>58983.697748581348</v>
      </c>
      <c r="D857" s="65">
        <v>0</v>
      </c>
      <c r="E857" s="65">
        <v>0</v>
      </c>
      <c r="F857" s="65">
        <v>0</v>
      </c>
      <c r="G857" s="65">
        <v>0</v>
      </c>
      <c r="H857" s="39">
        <v>-0.10426207016111111</v>
      </c>
      <c r="I857" s="39">
        <v>0</v>
      </c>
      <c r="J857" s="39">
        <v>-0.10426207016111111</v>
      </c>
    </row>
    <row r="858" spans="1:10" ht="11.25" customHeight="1" x14ac:dyDescent="0.2">
      <c r="A858" s="74">
        <v>44348</v>
      </c>
      <c r="B858" s="65">
        <v>67650.239999999991</v>
      </c>
      <c r="C858" s="65">
        <v>60596.885930703989</v>
      </c>
      <c r="D858" s="65">
        <v>0</v>
      </c>
      <c r="E858" s="65">
        <v>0</v>
      </c>
      <c r="F858" s="65">
        <v>0</v>
      </c>
      <c r="G858" s="65">
        <v>0</v>
      </c>
      <c r="H858" s="39">
        <v>-0.10426207016111111</v>
      </c>
      <c r="I858" s="39">
        <v>0</v>
      </c>
      <c r="J858" s="39">
        <v>-0.10426207016111111</v>
      </c>
    </row>
    <row r="859" spans="1:10" ht="11.25" customHeight="1" x14ac:dyDescent="0.2">
      <c r="A859" s="74">
        <v>44378</v>
      </c>
      <c r="B859" s="65">
        <v>64471.68</v>
      </c>
      <c r="C859" s="65">
        <v>57749.729176435292</v>
      </c>
      <c r="D859" s="65">
        <v>0</v>
      </c>
      <c r="E859" s="65">
        <v>0</v>
      </c>
      <c r="F859" s="65">
        <v>0</v>
      </c>
      <c r="G859" s="65">
        <v>0</v>
      </c>
      <c r="H859" s="39">
        <v>-0.10426207016111122</v>
      </c>
      <c r="I859" s="39">
        <v>0</v>
      </c>
      <c r="J859" s="39">
        <v>-0.10426207016111122</v>
      </c>
    </row>
    <row r="860" spans="1:10" ht="11.25" customHeight="1" x14ac:dyDescent="0.2">
      <c r="A860" s="74">
        <v>44409</v>
      </c>
      <c r="B860" s="65">
        <v>65304.959999999999</v>
      </c>
      <c r="C860" s="65">
        <v>58496.12967861144</v>
      </c>
      <c r="D860" s="65">
        <v>0</v>
      </c>
      <c r="E860" s="65">
        <v>0</v>
      </c>
      <c r="F860" s="65">
        <v>0</v>
      </c>
      <c r="G860" s="65">
        <v>0</v>
      </c>
      <c r="H860" s="39">
        <v>-0.10426207016111122</v>
      </c>
      <c r="I860" s="39">
        <v>0</v>
      </c>
      <c r="J860" s="39">
        <v>-0.10426207016111122</v>
      </c>
    </row>
    <row r="861" spans="1:10" ht="11.25" customHeight="1" x14ac:dyDescent="0.2">
      <c r="A861" s="74">
        <v>44440</v>
      </c>
      <c r="B861" s="65">
        <v>64626.239999999998</v>
      </c>
      <c r="C861" s="65">
        <v>57888.174430871193</v>
      </c>
      <c r="D861" s="65">
        <v>0</v>
      </c>
      <c r="E861" s="65">
        <v>0</v>
      </c>
      <c r="F861" s="65">
        <v>0</v>
      </c>
      <c r="G861" s="65">
        <v>0</v>
      </c>
      <c r="H861" s="39">
        <v>-0.10426207016111111</v>
      </c>
      <c r="I861" s="39">
        <v>0</v>
      </c>
      <c r="J861" s="39">
        <v>-0.10426207016111111</v>
      </c>
    </row>
    <row r="862" spans="1:10" ht="11.25" customHeight="1" x14ac:dyDescent="0.2">
      <c r="A862" s="74">
        <v>44470</v>
      </c>
      <c r="B862" s="65">
        <v>64310.399999999994</v>
      </c>
      <c r="C862" s="65">
        <v>57605.264563110875</v>
      </c>
      <c r="D862" s="65">
        <v>0</v>
      </c>
      <c r="E862" s="65">
        <v>0</v>
      </c>
      <c r="F862" s="65">
        <v>0</v>
      </c>
      <c r="G862" s="65">
        <v>0</v>
      </c>
      <c r="H862" s="39">
        <v>-0.10426207016111111</v>
      </c>
      <c r="I862" s="39">
        <v>0</v>
      </c>
      <c r="J862" s="39">
        <v>-0.10426207016111111</v>
      </c>
    </row>
    <row r="863" spans="1:10" ht="11.25" customHeight="1" x14ac:dyDescent="0.2">
      <c r="A863" s="74">
        <v>44501</v>
      </c>
      <c r="B863" s="65">
        <v>66091.199999999997</v>
      </c>
      <c r="C863" s="65">
        <v>59200.394668567969</v>
      </c>
      <c r="D863" s="65">
        <v>0</v>
      </c>
      <c r="E863" s="65">
        <v>0</v>
      </c>
      <c r="F863" s="65">
        <v>0</v>
      </c>
      <c r="G863" s="65">
        <v>0</v>
      </c>
      <c r="H863" s="39">
        <v>-0.10426207016111111</v>
      </c>
      <c r="I863" s="39">
        <v>0</v>
      </c>
      <c r="J863" s="39">
        <v>-0.10426207016111111</v>
      </c>
    </row>
    <row r="864" spans="1:10" ht="11.25" customHeight="1" x14ac:dyDescent="0.2">
      <c r="A864" s="74">
        <v>44531</v>
      </c>
      <c r="B864" s="65">
        <v>66460.800000000003</v>
      </c>
      <c r="C864" s="65">
        <v>59531.459407436421</v>
      </c>
      <c r="D864" s="65">
        <v>0</v>
      </c>
      <c r="E864" s="65">
        <v>0</v>
      </c>
      <c r="F864" s="65">
        <v>0</v>
      </c>
      <c r="G864" s="65">
        <v>0</v>
      </c>
      <c r="H864" s="39">
        <v>-0.10426207016111122</v>
      </c>
      <c r="I864" s="39">
        <v>0</v>
      </c>
      <c r="J864" s="39">
        <v>-0.10426207016111122</v>
      </c>
    </row>
    <row r="865" spans="1:10" ht="11.25" customHeight="1" x14ac:dyDescent="0.2">
      <c r="A865" s="74">
        <v>44562</v>
      </c>
      <c r="B865" s="65">
        <v>66460.800000000003</v>
      </c>
      <c r="C865" s="65">
        <v>59531.459407436421</v>
      </c>
      <c r="D865" s="65">
        <v>0</v>
      </c>
      <c r="E865" s="65">
        <v>0</v>
      </c>
      <c r="F865" s="65">
        <v>0</v>
      </c>
      <c r="G865" s="65">
        <v>0</v>
      </c>
      <c r="H865" s="39">
        <v>-0.10426207016111122</v>
      </c>
      <c r="I865" s="39">
        <v>0</v>
      </c>
      <c r="J865" s="39">
        <v>-0.10426207016111122</v>
      </c>
    </row>
    <row r="866" spans="1:10" ht="11.25" customHeight="1" x14ac:dyDescent="0.2">
      <c r="A866" s="73" t="s">
        <v>25</v>
      </c>
      <c r="B866" s="65">
        <v>0</v>
      </c>
      <c r="C866" s="65">
        <v>0</v>
      </c>
      <c r="D866" s="65">
        <v>2305746.5398599999</v>
      </c>
      <c r="E866" s="65">
        <v>2784321.7880170522</v>
      </c>
      <c r="F866" s="65">
        <v>0</v>
      </c>
      <c r="G866" s="65">
        <v>0</v>
      </c>
      <c r="H866" s="39">
        <v>0.20755761306969611</v>
      </c>
      <c r="I866" s="39">
        <v>0</v>
      </c>
      <c r="J866" s="39">
        <v>0.20755761306969611</v>
      </c>
    </row>
    <row r="867" spans="1:10" ht="11.25" customHeight="1" x14ac:dyDescent="0.2">
      <c r="A867" s="74">
        <v>44228</v>
      </c>
      <c r="B867" s="65">
        <v>0</v>
      </c>
      <c r="C867" s="65">
        <v>0</v>
      </c>
      <c r="D867" s="65">
        <v>182467.25362</v>
      </c>
      <c r="E867" s="65">
        <v>220339.72124475005</v>
      </c>
      <c r="F867" s="65">
        <v>0</v>
      </c>
      <c r="G867" s="65">
        <v>0</v>
      </c>
      <c r="H867" s="39">
        <v>0.20755761306969589</v>
      </c>
      <c r="I867" s="39">
        <v>0</v>
      </c>
      <c r="J867" s="39">
        <v>0.20755761306969589</v>
      </c>
    </row>
    <row r="868" spans="1:10" ht="11.25" customHeight="1" x14ac:dyDescent="0.2">
      <c r="A868" s="74">
        <v>44256</v>
      </c>
      <c r="B868" s="65">
        <v>0</v>
      </c>
      <c r="C868" s="65">
        <v>0</v>
      </c>
      <c r="D868" s="65">
        <v>182663.95326000001</v>
      </c>
      <c r="E868" s="65">
        <v>220577.2473925201</v>
      </c>
      <c r="F868" s="65">
        <v>0</v>
      </c>
      <c r="G868" s="65">
        <v>0</v>
      </c>
      <c r="H868" s="39">
        <v>0.20755761306969589</v>
      </c>
      <c r="I868" s="39">
        <v>0</v>
      </c>
      <c r="J868" s="39">
        <v>0.20755761306969589</v>
      </c>
    </row>
    <row r="869" spans="1:10" ht="11.25" customHeight="1" x14ac:dyDescent="0.2">
      <c r="A869" s="74">
        <v>44287</v>
      </c>
      <c r="B869" s="65">
        <v>0</v>
      </c>
      <c r="C869" s="65">
        <v>0</v>
      </c>
      <c r="D869" s="65">
        <v>186003.75615999999</v>
      </c>
      <c r="E869" s="65">
        <v>224610.25181056737</v>
      </c>
      <c r="F869" s="65">
        <v>0</v>
      </c>
      <c r="G869" s="65">
        <v>0</v>
      </c>
      <c r="H869" s="39">
        <v>0.20755761306969611</v>
      </c>
      <c r="I869" s="39">
        <v>0</v>
      </c>
      <c r="J869" s="39">
        <v>0.20755761306969611</v>
      </c>
    </row>
    <row r="870" spans="1:10" ht="11.25" customHeight="1" x14ac:dyDescent="0.2">
      <c r="A870" s="74">
        <v>44317</v>
      </c>
      <c r="B870" s="65">
        <v>0</v>
      </c>
      <c r="C870" s="65">
        <v>0</v>
      </c>
      <c r="D870" s="65">
        <v>182410.51206000001</v>
      </c>
      <c r="E870" s="65">
        <v>220271.2025419946</v>
      </c>
      <c r="F870" s="65">
        <v>0</v>
      </c>
      <c r="G870" s="65">
        <v>0</v>
      </c>
      <c r="H870" s="39">
        <v>0.20755761306969589</v>
      </c>
      <c r="I870" s="39">
        <v>0</v>
      </c>
      <c r="J870" s="39">
        <v>0.20755761306969589</v>
      </c>
    </row>
    <row r="871" spans="1:10" ht="11.25" customHeight="1" x14ac:dyDescent="0.2">
      <c r="A871" s="74">
        <v>44348</v>
      </c>
      <c r="B871" s="65">
        <v>0</v>
      </c>
      <c r="C871" s="65">
        <v>0</v>
      </c>
      <c r="D871" s="65">
        <v>193330.00287999999</v>
      </c>
      <c r="E871" s="65">
        <v>233457.11681253024</v>
      </c>
      <c r="F871" s="65">
        <v>0</v>
      </c>
      <c r="G871" s="65">
        <v>0</v>
      </c>
      <c r="H871" s="39">
        <v>0.20755761306969589</v>
      </c>
      <c r="I871" s="39">
        <v>0</v>
      </c>
      <c r="J871" s="39">
        <v>0.20755761306969589</v>
      </c>
    </row>
    <row r="872" spans="1:10" ht="11.25" customHeight="1" x14ac:dyDescent="0.2">
      <c r="A872" s="74">
        <v>44378</v>
      </c>
      <c r="B872" s="65">
        <v>0</v>
      </c>
      <c r="C872" s="65">
        <v>0</v>
      </c>
      <c r="D872" s="65">
        <v>183168.9731</v>
      </c>
      <c r="E872" s="65">
        <v>221187.08794506337</v>
      </c>
      <c r="F872" s="65">
        <v>0</v>
      </c>
      <c r="G872" s="65">
        <v>0</v>
      </c>
      <c r="H872" s="39">
        <v>0.20755761306969611</v>
      </c>
      <c r="I872" s="39">
        <v>0</v>
      </c>
      <c r="J872" s="39">
        <v>0.20755761306969611</v>
      </c>
    </row>
    <row r="873" spans="1:10" ht="11.25" customHeight="1" x14ac:dyDescent="0.2">
      <c r="A873" s="74">
        <v>44409</v>
      </c>
      <c r="B873" s="65">
        <v>0</v>
      </c>
      <c r="C873" s="65">
        <v>0</v>
      </c>
      <c r="D873" s="65">
        <v>203469.84604</v>
      </c>
      <c r="E873" s="65">
        <v>245701.56161572092</v>
      </c>
      <c r="F873" s="65">
        <v>0</v>
      </c>
      <c r="G873" s="65">
        <v>0</v>
      </c>
      <c r="H873" s="39">
        <v>0.20755761306969589</v>
      </c>
      <c r="I873" s="39">
        <v>0</v>
      </c>
      <c r="J873" s="39">
        <v>0.20755761306969589</v>
      </c>
    </row>
    <row r="874" spans="1:10" ht="11.25" customHeight="1" x14ac:dyDescent="0.2">
      <c r="A874" s="74">
        <v>44440</v>
      </c>
      <c r="B874" s="65">
        <v>0</v>
      </c>
      <c r="C874" s="65">
        <v>0</v>
      </c>
      <c r="D874" s="65">
        <v>198593.96329999997</v>
      </c>
      <c r="E874" s="65">
        <v>239813.6522925988</v>
      </c>
      <c r="F874" s="65">
        <v>0</v>
      </c>
      <c r="G874" s="65">
        <v>0</v>
      </c>
      <c r="H874" s="39">
        <v>0.20755761306969611</v>
      </c>
      <c r="I874" s="39">
        <v>0</v>
      </c>
      <c r="J874" s="39">
        <v>0.20755761306969611</v>
      </c>
    </row>
    <row r="875" spans="1:10" ht="11.25" customHeight="1" x14ac:dyDescent="0.2">
      <c r="A875" s="74">
        <v>44470</v>
      </c>
      <c r="B875" s="65">
        <v>0</v>
      </c>
      <c r="C875" s="65">
        <v>0</v>
      </c>
      <c r="D875" s="65">
        <v>195254.95864</v>
      </c>
      <c r="E875" s="65">
        <v>235781.61179534061</v>
      </c>
      <c r="F875" s="65">
        <v>0</v>
      </c>
      <c r="G875" s="65">
        <v>0</v>
      </c>
      <c r="H875" s="39">
        <v>0.20755761306969589</v>
      </c>
      <c r="I875" s="39">
        <v>0</v>
      </c>
      <c r="J875" s="39">
        <v>0.20755761306969589</v>
      </c>
    </row>
    <row r="876" spans="1:10" ht="11.25" customHeight="1" x14ac:dyDescent="0.2">
      <c r="A876" s="74">
        <v>44501</v>
      </c>
      <c r="B876" s="65">
        <v>0</v>
      </c>
      <c r="C876" s="65">
        <v>0</v>
      </c>
      <c r="D876" s="65">
        <v>203200.37351999999</v>
      </c>
      <c r="E876" s="65">
        <v>245376.15802268186</v>
      </c>
      <c r="F876" s="65">
        <v>0</v>
      </c>
      <c r="G876" s="65">
        <v>0</v>
      </c>
      <c r="H876" s="39">
        <v>0.20755761306969611</v>
      </c>
      <c r="I876" s="39">
        <v>0</v>
      </c>
      <c r="J876" s="39">
        <v>0.20755761306969611</v>
      </c>
    </row>
    <row r="877" spans="1:10" ht="11.25" customHeight="1" x14ac:dyDescent="0.2">
      <c r="A877" s="74">
        <v>44531</v>
      </c>
      <c r="B877" s="65">
        <v>0</v>
      </c>
      <c r="C877" s="65">
        <v>0</v>
      </c>
      <c r="D877" s="65">
        <v>197591.47364000001</v>
      </c>
      <c r="E877" s="65">
        <v>238603.08827164216</v>
      </c>
      <c r="F877" s="65">
        <v>0</v>
      </c>
      <c r="G877" s="65">
        <v>0</v>
      </c>
      <c r="H877" s="39">
        <v>0.20755761306969589</v>
      </c>
      <c r="I877" s="39">
        <v>0</v>
      </c>
      <c r="J877" s="39">
        <v>0.20755761306969589</v>
      </c>
    </row>
    <row r="878" spans="1:10" ht="11.25" customHeight="1" x14ac:dyDescent="0.2">
      <c r="A878" s="74">
        <v>44562</v>
      </c>
      <c r="B878" s="65">
        <v>0</v>
      </c>
      <c r="C878" s="65">
        <v>0</v>
      </c>
      <c r="D878" s="65">
        <v>197591.47364000001</v>
      </c>
      <c r="E878" s="65">
        <v>238603.08827164216</v>
      </c>
      <c r="F878" s="65">
        <v>0</v>
      </c>
      <c r="G878" s="65">
        <v>0</v>
      </c>
      <c r="H878" s="39">
        <v>0.20755761306969589</v>
      </c>
      <c r="I878" s="39">
        <v>0</v>
      </c>
      <c r="J878" s="39">
        <v>0.20755761306969589</v>
      </c>
    </row>
    <row r="879" spans="1:10" ht="11.25" customHeight="1" x14ac:dyDescent="0.2">
      <c r="A879" s="73" t="s">
        <v>34</v>
      </c>
      <c r="B879" s="65">
        <v>1567306</v>
      </c>
      <c r="C879" s="65">
        <v>1456364.1883823792</v>
      </c>
      <c r="D879" s="65">
        <v>0</v>
      </c>
      <c r="E879" s="65">
        <v>0</v>
      </c>
      <c r="F879" s="65">
        <v>0</v>
      </c>
      <c r="G879" s="65">
        <v>0</v>
      </c>
      <c r="H879" s="39">
        <v>-7.078503599017727E-2</v>
      </c>
      <c r="I879" s="39">
        <v>0</v>
      </c>
      <c r="J879" s="39">
        <v>-7.078503599017727E-2</v>
      </c>
    </row>
    <row r="880" spans="1:10" ht="11.25" customHeight="1" x14ac:dyDescent="0.2">
      <c r="A880" s="74">
        <v>44228</v>
      </c>
      <c r="B880" s="65">
        <v>132969.19999999998</v>
      </c>
      <c r="C880" s="65">
        <v>123556.97039241491</v>
      </c>
      <c r="D880" s="65">
        <v>0</v>
      </c>
      <c r="E880" s="65">
        <v>0</v>
      </c>
      <c r="F880" s="65">
        <v>0</v>
      </c>
      <c r="G880" s="65">
        <v>0</v>
      </c>
      <c r="H880" s="39">
        <v>-7.078503599017727E-2</v>
      </c>
      <c r="I880" s="39">
        <v>0</v>
      </c>
      <c r="J880" s="39">
        <v>-7.078503599017727E-2</v>
      </c>
    </row>
    <row r="881" spans="1:10" ht="11.25" customHeight="1" x14ac:dyDescent="0.2">
      <c r="A881" s="74">
        <v>44256</v>
      </c>
      <c r="B881" s="65">
        <v>133685.76000000001</v>
      </c>
      <c r="C881" s="65">
        <v>124222.80866702579</v>
      </c>
      <c r="D881" s="65">
        <v>0</v>
      </c>
      <c r="E881" s="65">
        <v>0</v>
      </c>
      <c r="F881" s="65">
        <v>0</v>
      </c>
      <c r="G881" s="65">
        <v>0</v>
      </c>
      <c r="H881" s="39">
        <v>-7.0785035990177381E-2</v>
      </c>
      <c r="I881" s="39">
        <v>0</v>
      </c>
      <c r="J881" s="39">
        <v>-7.0785035990177381E-2</v>
      </c>
    </row>
    <row r="882" spans="1:10" ht="11.25" customHeight="1" x14ac:dyDescent="0.2">
      <c r="A882" s="74">
        <v>44287</v>
      </c>
      <c r="B882" s="65">
        <v>133158.47999999998</v>
      </c>
      <c r="C882" s="65">
        <v>123732.85220080269</v>
      </c>
      <c r="D882" s="65">
        <v>0</v>
      </c>
      <c r="E882" s="65">
        <v>0</v>
      </c>
      <c r="F882" s="65">
        <v>0</v>
      </c>
      <c r="G882" s="65">
        <v>0</v>
      </c>
      <c r="H882" s="39">
        <v>-7.0785035990177159E-2</v>
      </c>
      <c r="I882" s="39">
        <v>0</v>
      </c>
      <c r="J882" s="39">
        <v>-7.0785035990177159E-2</v>
      </c>
    </row>
    <row r="883" spans="1:10" ht="11.25" customHeight="1" x14ac:dyDescent="0.2">
      <c r="A883" s="74">
        <v>44317</v>
      </c>
      <c r="B883" s="65">
        <v>130806</v>
      </c>
      <c r="C883" s="65">
        <v>121546.89258226886</v>
      </c>
      <c r="D883" s="65">
        <v>0</v>
      </c>
      <c r="E883" s="65">
        <v>0</v>
      </c>
      <c r="F883" s="65">
        <v>0</v>
      </c>
      <c r="G883" s="65">
        <v>0</v>
      </c>
      <c r="H883" s="39">
        <v>-7.0785035990177381E-2</v>
      </c>
      <c r="I883" s="39">
        <v>0</v>
      </c>
      <c r="J883" s="39">
        <v>-7.0785035990177381E-2</v>
      </c>
    </row>
    <row r="884" spans="1:10" ht="11.25" customHeight="1" x14ac:dyDescent="0.2">
      <c r="A884" s="74">
        <v>44348</v>
      </c>
      <c r="B884" s="65">
        <v>132158</v>
      </c>
      <c r="C884" s="65">
        <v>122803.19121361015</v>
      </c>
      <c r="D884" s="65">
        <v>0</v>
      </c>
      <c r="E884" s="65">
        <v>0</v>
      </c>
      <c r="F884" s="65">
        <v>0</v>
      </c>
      <c r="G884" s="65">
        <v>0</v>
      </c>
      <c r="H884" s="39">
        <v>-7.078503599017727E-2</v>
      </c>
      <c r="I884" s="39">
        <v>0</v>
      </c>
      <c r="J884" s="39">
        <v>-7.078503599017727E-2</v>
      </c>
    </row>
    <row r="885" spans="1:10" ht="11.25" customHeight="1" x14ac:dyDescent="0.2">
      <c r="A885" s="74">
        <v>44378</v>
      </c>
      <c r="B885" s="65">
        <v>128440</v>
      </c>
      <c r="C885" s="65">
        <v>119348.36997742162</v>
      </c>
      <c r="D885" s="65">
        <v>0</v>
      </c>
      <c r="E885" s="65">
        <v>0</v>
      </c>
      <c r="F885" s="65">
        <v>0</v>
      </c>
      <c r="G885" s="65">
        <v>0</v>
      </c>
      <c r="H885" s="39">
        <v>-7.0785035990177381E-2</v>
      </c>
      <c r="I885" s="39">
        <v>0</v>
      </c>
      <c r="J885" s="39">
        <v>-7.0785035990177381E-2</v>
      </c>
    </row>
    <row r="886" spans="1:10" ht="11.25" customHeight="1" x14ac:dyDescent="0.2">
      <c r="A886" s="74">
        <v>44409</v>
      </c>
      <c r="B886" s="65">
        <v>128967.28</v>
      </c>
      <c r="C886" s="65">
        <v>119838.32644364472</v>
      </c>
      <c r="D886" s="65">
        <v>0</v>
      </c>
      <c r="E886" s="65">
        <v>0</v>
      </c>
      <c r="F886" s="65">
        <v>0</v>
      </c>
      <c r="G886" s="65">
        <v>0</v>
      </c>
      <c r="H886" s="39">
        <v>-7.0785035990177381E-2</v>
      </c>
      <c r="I886" s="39">
        <v>0</v>
      </c>
      <c r="J886" s="39">
        <v>-7.0785035990177381E-2</v>
      </c>
    </row>
    <row r="887" spans="1:10" ht="11.25" customHeight="1" x14ac:dyDescent="0.2">
      <c r="A887" s="74">
        <v>44440</v>
      </c>
      <c r="B887" s="65">
        <v>128440</v>
      </c>
      <c r="C887" s="65">
        <v>119348.36997742162</v>
      </c>
      <c r="D887" s="65">
        <v>0</v>
      </c>
      <c r="E887" s="65">
        <v>0</v>
      </c>
      <c r="F887" s="65">
        <v>0</v>
      </c>
      <c r="G887" s="65">
        <v>0</v>
      </c>
      <c r="H887" s="39">
        <v>-7.0785035990177381E-2</v>
      </c>
      <c r="I887" s="39">
        <v>0</v>
      </c>
      <c r="J887" s="39">
        <v>-7.0785035990177381E-2</v>
      </c>
    </row>
    <row r="888" spans="1:10" ht="11.25" customHeight="1" x14ac:dyDescent="0.2">
      <c r="A888" s="74">
        <v>44470</v>
      </c>
      <c r="B888" s="65">
        <v>128764.48</v>
      </c>
      <c r="C888" s="65">
        <v>119649.88164894353</v>
      </c>
      <c r="D888" s="65">
        <v>0</v>
      </c>
      <c r="E888" s="65">
        <v>0</v>
      </c>
      <c r="F888" s="65">
        <v>0</v>
      </c>
      <c r="G888" s="65">
        <v>0</v>
      </c>
      <c r="H888" s="39">
        <v>-7.0785035990177381E-2</v>
      </c>
      <c r="I888" s="39">
        <v>0</v>
      </c>
      <c r="J888" s="39">
        <v>-7.0785035990177381E-2</v>
      </c>
    </row>
    <row r="889" spans="1:10" ht="11.25" customHeight="1" x14ac:dyDescent="0.2">
      <c r="A889" s="74">
        <v>44501</v>
      </c>
      <c r="B889" s="65">
        <v>128818.56</v>
      </c>
      <c r="C889" s="65">
        <v>119700.13359419718</v>
      </c>
      <c r="D889" s="65">
        <v>0</v>
      </c>
      <c r="E889" s="65">
        <v>0</v>
      </c>
      <c r="F889" s="65">
        <v>0</v>
      </c>
      <c r="G889" s="65">
        <v>0</v>
      </c>
      <c r="H889" s="39">
        <v>-7.0785035990177381E-2</v>
      </c>
      <c r="I889" s="39">
        <v>0</v>
      </c>
      <c r="J889" s="39">
        <v>-7.0785035990177381E-2</v>
      </c>
    </row>
    <row r="890" spans="1:10" ht="11.25" customHeight="1" x14ac:dyDescent="0.2">
      <c r="A890" s="74">
        <v>44531</v>
      </c>
      <c r="B890" s="65">
        <v>130549.12</v>
      </c>
      <c r="C890" s="65">
        <v>121308.19584231402</v>
      </c>
      <c r="D890" s="65">
        <v>0</v>
      </c>
      <c r="E890" s="65">
        <v>0</v>
      </c>
      <c r="F890" s="65">
        <v>0</v>
      </c>
      <c r="G890" s="65">
        <v>0</v>
      </c>
      <c r="H890" s="39">
        <v>-7.0785035990177381E-2</v>
      </c>
      <c r="I890" s="39">
        <v>0</v>
      </c>
      <c r="J890" s="39">
        <v>-7.0785035990177381E-2</v>
      </c>
    </row>
    <row r="891" spans="1:10" ht="11.25" customHeight="1" x14ac:dyDescent="0.2">
      <c r="A891" s="74">
        <v>44562</v>
      </c>
      <c r="B891" s="65">
        <v>130549.12</v>
      </c>
      <c r="C891" s="65">
        <v>121308.19584231402</v>
      </c>
      <c r="D891" s="65">
        <v>0</v>
      </c>
      <c r="E891" s="65">
        <v>0</v>
      </c>
      <c r="F891" s="65">
        <v>0</v>
      </c>
      <c r="G891" s="65">
        <v>0</v>
      </c>
      <c r="H891" s="39">
        <v>-7.0785035990177381E-2</v>
      </c>
      <c r="I891" s="39">
        <v>0</v>
      </c>
      <c r="J891" s="39">
        <v>-7.0785035990177381E-2</v>
      </c>
    </row>
    <row r="892" spans="1:10" ht="11.25" customHeight="1" x14ac:dyDescent="0.2">
      <c r="A892" s="67" t="s">
        <v>39</v>
      </c>
      <c r="B892" s="65">
        <v>3253881.6035465859</v>
      </c>
      <c r="C892" s="65">
        <v>3454443.0485077924</v>
      </c>
      <c r="D892" s="65">
        <v>5735045.4999073008</v>
      </c>
      <c r="E892" s="65">
        <v>6647053.1680902122</v>
      </c>
      <c r="F892" s="65">
        <v>0</v>
      </c>
      <c r="G892" s="65">
        <v>0</v>
      </c>
      <c r="H892" s="39">
        <v>0.12377106859801179</v>
      </c>
      <c r="I892" s="39">
        <v>0</v>
      </c>
      <c r="J892" s="39">
        <v>0.12377106859801179</v>
      </c>
    </row>
    <row r="893" spans="1:10" ht="11.25" customHeight="1" x14ac:dyDescent="0.2">
      <c r="A893" s="68" t="s">
        <v>40</v>
      </c>
      <c r="B893" s="65">
        <v>1327396.4093359008</v>
      </c>
      <c r="C893" s="65">
        <v>1417095.0026947383</v>
      </c>
      <c r="D893" s="65">
        <v>872482.83479999995</v>
      </c>
      <c r="E893" s="65">
        <v>1057028.8495073838</v>
      </c>
      <c r="F893" s="65">
        <v>0</v>
      </c>
      <c r="G893" s="65">
        <v>0</v>
      </c>
      <c r="H893" s="39">
        <v>0.12466348268763405</v>
      </c>
      <c r="I893" s="39">
        <v>0</v>
      </c>
      <c r="J893" s="39">
        <v>0.12466348268763405</v>
      </c>
    </row>
    <row r="894" spans="1:10" ht="11.25" customHeight="1" x14ac:dyDescent="0.2">
      <c r="A894" s="69" t="s">
        <v>38</v>
      </c>
      <c r="B894" s="65">
        <v>1327396.4093359008</v>
      </c>
      <c r="C894" s="65">
        <v>1417095.0026947383</v>
      </c>
      <c r="D894" s="65">
        <v>872482.83479999995</v>
      </c>
      <c r="E894" s="65">
        <v>1057028.8495073838</v>
      </c>
      <c r="F894" s="65">
        <v>0</v>
      </c>
      <c r="G894" s="65">
        <v>0</v>
      </c>
      <c r="H894" s="39">
        <v>0.12466348268763405</v>
      </c>
      <c r="I894" s="39">
        <v>0</v>
      </c>
      <c r="J894" s="39">
        <v>0.12466348268763405</v>
      </c>
    </row>
    <row r="895" spans="1:10" ht="11.25" customHeight="1" x14ac:dyDescent="0.2">
      <c r="A895" s="70" t="s">
        <v>25</v>
      </c>
      <c r="B895" s="65">
        <v>1327396.4093359008</v>
      </c>
      <c r="C895" s="65">
        <v>1417095.0026947383</v>
      </c>
      <c r="D895" s="65">
        <v>872482.83479999995</v>
      </c>
      <c r="E895" s="65">
        <v>1057028.8495073838</v>
      </c>
      <c r="F895" s="65">
        <v>0</v>
      </c>
      <c r="G895" s="65">
        <v>0</v>
      </c>
      <c r="H895" s="39">
        <v>0.12466348268763405</v>
      </c>
      <c r="I895" s="39">
        <v>0</v>
      </c>
      <c r="J895" s="39">
        <v>0.12466348268763405</v>
      </c>
    </row>
    <row r="896" spans="1:10" ht="11.25" customHeight="1" x14ac:dyDescent="0.2">
      <c r="A896" s="71" t="s">
        <v>58</v>
      </c>
      <c r="B896" s="65">
        <v>1327396.4093359008</v>
      </c>
      <c r="C896" s="65">
        <v>1417095.0026947383</v>
      </c>
      <c r="D896" s="65">
        <v>872482.83479999995</v>
      </c>
      <c r="E896" s="65">
        <v>1057028.8495073838</v>
      </c>
      <c r="F896" s="65">
        <v>0</v>
      </c>
      <c r="G896" s="65">
        <v>0</v>
      </c>
      <c r="H896" s="39">
        <v>0.12466348268763405</v>
      </c>
      <c r="I896" s="39">
        <v>0</v>
      </c>
      <c r="J896" s="39">
        <v>0.12466348268763405</v>
      </c>
    </row>
    <row r="897" spans="1:10" ht="11.25" customHeight="1" x14ac:dyDescent="0.2">
      <c r="A897" s="72" t="s">
        <v>25</v>
      </c>
      <c r="B897" s="65">
        <v>1327396.4093359008</v>
      </c>
      <c r="C897" s="65">
        <v>1417095.0026947383</v>
      </c>
      <c r="D897" s="65">
        <v>872482.83479999995</v>
      </c>
      <c r="E897" s="65">
        <v>1057028.8495073838</v>
      </c>
      <c r="F897" s="65">
        <v>0</v>
      </c>
      <c r="G897" s="65">
        <v>0</v>
      </c>
      <c r="H897" s="39">
        <v>0.12466348268763405</v>
      </c>
      <c r="I897" s="39">
        <v>0</v>
      </c>
      <c r="J897" s="39">
        <v>0.12466348268763405</v>
      </c>
    </row>
    <row r="898" spans="1:10" ht="11.25" customHeight="1" x14ac:dyDescent="0.2">
      <c r="A898" s="73" t="s">
        <v>35</v>
      </c>
      <c r="B898" s="65">
        <v>465392.24072362564</v>
      </c>
      <c r="C898" s="65">
        <v>492174.02501933929</v>
      </c>
      <c r="D898" s="65">
        <v>0</v>
      </c>
      <c r="E898" s="65">
        <v>0</v>
      </c>
      <c r="F898" s="65">
        <v>0</v>
      </c>
      <c r="G898" s="65">
        <v>0</v>
      </c>
      <c r="H898" s="39">
        <v>5.7546692772684427E-2</v>
      </c>
      <c r="I898" s="39">
        <v>0</v>
      </c>
      <c r="J898" s="39">
        <v>5.7546692772684427E-2</v>
      </c>
    </row>
    <row r="899" spans="1:10" ht="11.25" customHeight="1" x14ac:dyDescent="0.2">
      <c r="A899" s="74">
        <v>44228</v>
      </c>
      <c r="B899" s="65">
        <v>40500.275893862396</v>
      </c>
      <c r="C899" s="65">
        <v>42830.932827935452</v>
      </c>
      <c r="D899" s="65">
        <v>0</v>
      </c>
      <c r="E899" s="65">
        <v>0</v>
      </c>
      <c r="F899" s="65">
        <v>0</v>
      </c>
      <c r="G899" s="65">
        <v>0</v>
      </c>
      <c r="H899" s="39">
        <v>5.7546692772684427E-2</v>
      </c>
      <c r="I899" s="39">
        <v>0</v>
      </c>
      <c r="J899" s="39">
        <v>5.7546692772684427E-2</v>
      </c>
    </row>
    <row r="900" spans="1:10" ht="11.25" customHeight="1" x14ac:dyDescent="0.2">
      <c r="A900" s="74">
        <v>44256</v>
      </c>
      <c r="B900" s="65">
        <v>40861.904014008003</v>
      </c>
      <c r="C900" s="65">
        <v>43213.371450409039</v>
      </c>
      <c r="D900" s="65">
        <v>0</v>
      </c>
      <c r="E900" s="65">
        <v>0</v>
      </c>
      <c r="F900" s="65">
        <v>0</v>
      </c>
      <c r="G900" s="65">
        <v>0</v>
      </c>
      <c r="H900" s="39">
        <v>5.7546692772684427E-2</v>
      </c>
      <c r="I900" s="39">
        <v>0</v>
      </c>
      <c r="J900" s="39">
        <v>5.7546692772684427E-2</v>
      </c>
    </row>
    <row r="901" spans="1:10" ht="11.25" customHeight="1" x14ac:dyDescent="0.2">
      <c r="A901" s="74">
        <v>44287</v>
      </c>
      <c r="B901" s="65">
        <v>39863.604033791999</v>
      </c>
      <c r="C901" s="65">
        <v>42157.622607936573</v>
      </c>
      <c r="D901" s="65">
        <v>0</v>
      </c>
      <c r="E901" s="65">
        <v>0</v>
      </c>
      <c r="F901" s="65">
        <v>0</v>
      </c>
      <c r="G901" s="65">
        <v>0</v>
      </c>
      <c r="H901" s="39">
        <v>5.7546692772684427E-2</v>
      </c>
      <c r="I901" s="39">
        <v>0</v>
      </c>
      <c r="J901" s="39">
        <v>5.7546692772684427E-2</v>
      </c>
    </row>
    <row r="902" spans="1:10" ht="11.25" customHeight="1" x14ac:dyDescent="0.2">
      <c r="A902" s="74">
        <v>44317</v>
      </c>
      <c r="B902" s="65">
        <v>39962.430694032002</v>
      </c>
      <c r="C902" s="65">
        <v>42262.136415631154</v>
      </c>
      <c r="D902" s="65">
        <v>0</v>
      </c>
      <c r="E902" s="65">
        <v>0</v>
      </c>
      <c r="F902" s="65">
        <v>0</v>
      </c>
      <c r="G902" s="65">
        <v>0</v>
      </c>
      <c r="H902" s="39">
        <v>5.7546692772684427E-2</v>
      </c>
      <c r="I902" s="39">
        <v>0</v>
      </c>
      <c r="J902" s="39">
        <v>5.7546692772684427E-2</v>
      </c>
    </row>
    <row r="903" spans="1:10" ht="11.25" customHeight="1" x14ac:dyDescent="0.2">
      <c r="A903" s="74">
        <v>44348</v>
      </c>
      <c r="B903" s="65">
        <v>40077.580446842396</v>
      </c>
      <c r="C903" s="65">
        <v>42383.912655889377</v>
      </c>
      <c r="D903" s="65">
        <v>0</v>
      </c>
      <c r="E903" s="65">
        <v>0</v>
      </c>
      <c r="F903" s="65">
        <v>0</v>
      </c>
      <c r="G903" s="65">
        <v>0</v>
      </c>
      <c r="H903" s="39">
        <v>5.7546692772684427E-2</v>
      </c>
      <c r="I903" s="39">
        <v>0</v>
      </c>
      <c r="J903" s="39">
        <v>5.7546692772684427E-2</v>
      </c>
    </row>
    <row r="904" spans="1:10" ht="11.25" customHeight="1" x14ac:dyDescent="0.2">
      <c r="A904" s="74">
        <v>44378</v>
      </c>
      <c r="B904" s="65">
        <v>39738.510445972803</v>
      </c>
      <c r="C904" s="65">
        <v>42025.330297851309</v>
      </c>
      <c r="D904" s="65">
        <v>0</v>
      </c>
      <c r="E904" s="65">
        <v>0</v>
      </c>
      <c r="F904" s="65">
        <v>0</v>
      </c>
      <c r="G904" s="65">
        <v>0</v>
      </c>
      <c r="H904" s="39">
        <v>5.7546692772684427E-2</v>
      </c>
      <c r="I904" s="39">
        <v>0</v>
      </c>
      <c r="J904" s="39">
        <v>5.7546692772684427E-2</v>
      </c>
    </row>
    <row r="905" spans="1:10" ht="11.25" customHeight="1" x14ac:dyDescent="0.2">
      <c r="A905" s="74">
        <v>44409</v>
      </c>
      <c r="B905" s="65">
        <v>39866.990514304802</v>
      </c>
      <c r="C905" s="65">
        <v>42161.203969203023</v>
      </c>
      <c r="D905" s="65">
        <v>0</v>
      </c>
      <c r="E905" s="65">
        <v>0</v>
      </c>
      <c r="F905" s="65">
        <v>0</v>
      </c>
      <c r="G905" s="65">
        <v>0</v>
      </c>
      <c r="H905" s="39">
        <v>5.7546692772684427E-2</v>
      </c>
      <c r="I905" s="39">
        <v>0</v>
      </c>
      <c r="J905" s="39">
        <v>5.7546692772684427E-2</v>
      </c>
    </row>
    <row r="906" spans="1:10" ht="11.25" customHeight="1" x14ac:dyDescent="0.2">
      <c r="A906" s="74">
        <v>44440</v>
      </c>
      <c r="B906" s="65">
        <v>36136.669820512805</v>
      </c>
      <c r="C906" s="65">
        <v>38216.215656501787</v>
      </c>
      <c r="D906" s="65">
        <v>0</v>
      </c>
      <c r="E906" s="65">
        <v>0</v>
      </c>
      <c r="F906" s="65">
        <v>0</v>
      </c>
      <c r="G906" s="65">
        <v>0</v>
      </c>
      <c r="H906" s="39">
        <v>5.7546692772684205E-2</v>
      </c>
      <c r="I906" s="39">
        <v>0</v>
      </c>
      <c r="J906" s="39">
        <v>5.7546692772684205E-2</v>
      </c>
    </row>
    <row r="907" spans="1:10" ht="11.25" customHeight="1" x14ac:dyDescent="0.2">
      <c r="A907" s="74">
        <v>44470</v>
      </c>
      <c r="B907" s="65">
        <v>36888.427884184799</v>
      </c>
      <c r="C907" s="65">
        <v>39011.234910503306</v>
      </c>
      <c r="D907" s="65">
        <v>0</v>
      </c>
      <c r="E907" s="65">
        <v>0</v>
      </c>
      <c r="F907" s="65">
        <v>0</v>
      </c>
      <c r="G907" s="65">
        <v>0</v>
      </c>
      <c r="H907" s="39">
        <v>5.7546692772684427E-2</v>
      </c>
      <c r="I907" s="39">
        <v>0</v>
      </c>
      <c r="J907" s="39">
        <v>5.7546692772684427E-2</v>
      </c>
    </row>
    <row r="908" spans="1:10" ht="11.25" customHeight="1" x14ac:dyDescent="0.2">
      <c r="A908" s="74">
        <v>44501</v>
      </c>
      <c r="B908" s="65">
        <v>37564.951135219198</v>
      </c>
      <c r="C908" s="65">
        <v>39726.689837218561</v>
      </c>
      <c r="D908" s="65">
        <v>0</v>
      </c>
      <c r="E908" s="65">
        <v>0</v>
      </c>
      <c r="F908" s="65">
        <v>0</v>
      </c>
      <c r="G908" s="65">
        <v>0</v>
      </c>
      <c r="H908" s="39">
        <v>5.7546692772684427E-2</v>
      </c>
      <c r="I908" s="39">
        <v>0</v>
      </c>
      <c r="J908" s="39">
        <v>5.7546692772684427E-2</v>
      </c>
    </row>
    <row r="909" spans="1:10" ht="11.25" customHeight="1" x14ac:dyDescent="0.2">
      <c r="A909" s="74">
        <v>44531</v>
      </c>
      <c r="B909" s="65">
        <v>36965.447920447201</v>
      </c>
      <c r="C909" s="65">
        <v>39092.687195129838</v>
      </c>
      <c r="D909" s="65">
        <v>0</v>
      </c>
      <c r="E909" s="65">
        <v>0</v>
      </c>
      <c r="F909" s="65">
        <v>0</v>
      </c>
      <c r="G909" s="65">
        <v>0</v>
      </c>
      <c r="H909" s="39">
        <v>5.7546692772684205E-2</v>
      </c>
      <c r="I909" s="39">
        <v>0</v>
      </c>
      <c r="J909" s="39">
        <v>5.7546692772684205E-2</v>
      </c>
    </row>
    <row r="910" spans="1:10" ht="11.25" customHeight="1" x14ac:dyDescent="0.2">
      <c r="A910" s="74">
        <v>44562</v>
      </c>
      <c r="B910" s="65">
        <v>36965.447920447201</v>
      </c>
      <c r="C910" s="65">
        <v>39092.687195129838</v>
      </c>
      <c r="D910" s="65">
        <v>0</v>
      </c>
      <c r="E910" s="65">
        <v>0</v>
      </c>
      <c r="F910" s="65">
        <v>0</v>
      </c>
      <c r="G910" s="65">
        <v>0</v>
      </c>
      <c r="H910" s="39">
        <v>5.7546692772684205E-2</v>
      </c>
      <c r="I910" s="39">
        <v>0</v>
      </c>
      <c r="J910" s="39">
        <v>5.7546692772684205E-2</v>
      </c>
    </row>
    <row r="911" spans="1:10" ht="11.25" customHeight="1" x14ac:dyDescent="0.2">
      <c r="A911" s="73" t="s">
        <v>25</v>
      </c>
      <c r="B911" s="65">
        <v>0</v>
      </c>
      <c r="C911" s="65">
        <v>0</v>
      </c>
      <c r="D911" s="65">
        <v>872482.83479999995</v>
      </c>
      <c r="E911" s="65">
        <v>1057028.8495073838</v>
      </c>
      <c r="F911" s="65">
        <v>0</v>
      </c>
      <c r="G911" s="65">
        <v>0</v>
      </c>
      <c r="H911" s="39">
        <v>0.211518218292154</v>
      </c>
      <c r="I911" s="39">
        <v>0</v>
      </c>
      <c r="J911" s="39">
        <v>0.211518218292154</v>
      </c>
    </row>
    <row r="912" spans="1:10" ht="11.25" customHeight="1" x14ac:dyDescent="0.2">
      <c r="A912" s="74">
        <v>44228</v>
      </c>
      <c r="B912" s="65">
        <v>0</v>
      </c>
      <c r="C912" s="65">
        <v>0</v>
      </c>
      <c r="D912" s="65">
        <v>76612.122900000002</v>
      </c>
      <c r="E912" s="65">
        <v>92816.982635387525</v>
      </c>
      <c r="F912" s="65">
        <v>0</v>
      </c>
      <c r="G912" s="65">
        <v>0</v>
      </c>
      <c r="H912" s="39">
        <v>0.211518218292154</v>
      </c>
      <c r="I912" s="39">
        <v>0</v>
      </c>
      <c r="J912" s="39">
        <v>0.211518218292154</v>
      </c>
    </row>
    <row r="913" spans="1:10" ht="11.25" customHeight="1" x14ac:dyDescent="0.2">
      <c r="A913" s="74">
        <v>44256</v>
      </c>
      <c r="B913" s="65">
        <v>0</v>
      </c>
      <c r="C913" s="65">
        <v>0</v>
      </c>
      <c r="D913" s="65">
        <v>74262.705299999987</v>
      </c>
      <c r="E913" s="65">
        <v>89970.6204106113</v>
      </c>
      <c r="F913" s="65">
        <v>0</v>
      </c>
      <c r="G913" s="65">
        <v>0</v>
      </c>
      <c r="H913" s="39">
        <v>0.21151821829215423</v>
      </c>
      <c r="I913" s="39">
        <v>0</v>
      </c>
      <c r="J913" s="39">
        <v>0.21151821829215423</v>
      </c>
    </row>
    <row r="914" spans="1:10" ht="11.25" customHeight="1" x14ac:dyDescent="0.2">
      <c r="A914" s="74">
        <v>44287</v>
      </c>
      <c r="B914" s="65">
        <v>0</v>
      </c>
      <c r="C914" s="65">
        <v>0</v>
      </c>
      <c r="D914" s="65">
        <v>73093.758299999987</v>
      </c>
      <c r="E914" s="65">
        <v>88554.419823893331</v>
      </c>
      <c r="F914" s="65">
        <v>0</v>
      </c>
      <c r="G914" s="65">
        <v>0</v>
      </c>
      <c r="H914" s="39">
        <v>0.211518218292154</v>
      </c>
      <c r="I914" s="39">
        <v>0</v>
      </c>
      <c r="J914" s="39">
        <v>0.211518218292154</v>
      </c>
    </row>
    <row r="915" spans="1:10" ht="11.25" customHeight="1" x14ac:dyDescent="0.2">
      <c r="A915" s="74">
        <v>44317</v>
      </c>
      <c r="B915" s="65">
        <v>0</v>
      </c>
      <c r="C915" s="65">
        <v>0</v>
      </c>
      <c r="D915" s="65">
        <v>73493.548649999997</v>
      </c>
      <c r="E915" s="65">
        <v>89038.773116415745</v>
      </c>
      <c r="F915" s="65">
        <v>0</v>
      </c>
      <c r="G915" s="65">
        <v>0</v>
      </c>
      <c r="H915" s="39">
        <v>0.21151821829215423</v>
      </c>
      <c r="I915" s="39">
        <v>0</v>
      </c>
      <c r="J915" s="39">
        <v>0.21151821829215423</v>
      </c>
    </row>
    <row r="916" spans="1:10" ht="11.25" customHeight="1" x14ac:dyDescent="0.2">
      <c r="A916" s="74">
        <v>44348</v>
      </c>
      <c r="B916" s="65">
        <v>0</v>
      </c>
      <c r="C916" s="65">
        <v>0</v>
      </c>
      <c r="D916" s="65">
        <v>73994.519700000004</v>
      </c>
      <c r="E916" s="65">
        <v>89645.708670327702</v>
      </c>
      <c r="F916" s="65">
        <v>0</v>
      </c>
      <c r="G916" s="65">
        <v>0</v>
      </c>
      <c r="H916" s="39">
        <v>0.211518218292154</v>
      </c>
      <c r="I916" s="39">
        <v>0</v>
      </c>
      <c r="J916" s="39">
        <v>0.211518218292154</v>
      </c>
    </row>
    <row r="917" spans="1:10" ht="11.25" customHeight="1" x14ac:dyDescent="0.2">
      <c r="A917" s="74">
        <v>44378</v>
      </c>
      <c r="B917" s="65">
        <v>0</v>
      </c>
      <c r="C917" s="65">
        <v>0</v>
      </c>
      <c r="D917" s="65">
        <v>64324.866150000002</v>
      </c>
      <c r="E917" s="65">
        <v>77930.747229929286</v>
      </c>
      <c r="F917" s="65">
        <v>0</v>
      </c>
      <c r="G917" s="65">
        <v>0</v>
      </c>
      <c r="H917" s="39">
        <v>0.211518218292154</v>
      </c>
      <c r="I917" s="39">
        <v>0</v>
      </c>
      <c r="J917" s="39">
        <v>0.211518218292154</v>
      </c>
    </row>
    <row r="918" spans="1:10" ht="11.25" customHeight="1" x14ac:dyDescent="0.2">
      <c r="A918" s="74">
        <v>44409</v>
      </c>
      <c r="B918" s="65">
        <v>0</v>
      </c>
      <c r="C918" s="65">
        <v>0</v>
      </c>
      <c r="D918" s="65">
        <v>70603.875</v>
      </c>
      <c r="E918" s="65">
        <v>85537.880844521947</v>
      </c>
      <c r="F918" s="65">
        <v>0</v>
      </c>
      <c r="G918" s="65">
        <v>0</v>
      </c>
      <c r="H918" s="39">
        <v>0.211518218292154</v>
      </c>
      <c r="I918" s="39">
        <v>0</v>
      </c>
      <c r="J918" s="39">
        <v>0.211518218292154</v>
      </c>
    </row>
    <row r="919" spans="1:10" ht="11.25" customHeight="1" x14ac:dyDescent="0.2">
      <c r="A919" s="74">
        <v>44440</v>
      </c>
      <c r="B919" s="65">
        <v>0</v>
      </c>
      <c r="C919" s="65">
        <v>0</v>
      </c>
      <c r="D919" s="65">
        <v>67212.924750000006</v>
      </c>
      <c r="E919" s="65">
        <v>81429.682839324625</v>
      </c>
      <c r="F919" s="65">
        <v>0</v>
      </c>
      <c r="G919" s="65">
        <v>0</v>
      </c>
      <c r="H919" s="39">
        <v>0.211518218292154</v>
      </c>
      <c r="I919" s="39">
        <v>0</v>
      </c>
      <c r="J919" s="39">
        <v>0.211518218292154</v>
      </c>
    </row>
    <row r="920" spans="1:10" ht="11.25" customHeight="1" x14ac:dyDescent="0.2">
      <c r="A920" s="74">
        <v>44470</v>
      </c>
      <c r="B920" s="65">
        <v>0</v>
      </c>
      <c r="C920" s="65">
        <v>0</v>
      </c>
      <c r="D920" s="65">
        <v>69180.361199999999</v>
      </c>
      <c r="E920" s="65">
        <v>83813.267941831655</v>
      </c>
      <c r="F920" s="65">
        <v>0</v>
      </c>
      <c r="G920" s="65">
        <v>0</v>
      </c>
      <c r="H920" s="39">
        <v>0.211518218292154</v>
      </c>
      <c r="I920" s="39">
        <v>0</v>
      </c>
      <c r="J920" s="39">
        <v>0.211518218292154</v>
      </c>
    </row>
    <row r="921" spans="1:10" ht="11.25" customHeight="1" x14ac:dyDescent="0.2">
      <c r="A921" s="74">
        <v>44501</v>
      </c>
      <c r="B921" s="65">
        <v>0</v>
      </c>
      <c r="C921" s="65">
        <v>0</v>
      </c>
      <c r="D921" s="65">
        <v>77896.524149999997</v>
      </c>
      <c r="E921" s="65">
        <v>94373.058149359742</v>
      </c>
      <c r="F921" s="65">
        <v>0</v>
      </c>
      <c r="G921" s="65">
        <v>0</v>
      </c>
      <c r="H921" s="39">
        <v>0.211518218292154</v>
      </c>
      <c r="I921" s="39">
        <v>0</v>
      </c>
      <c r="J921" s="39">
        <v>0.211518218292154</v>
      </c>
    </row>
    <row r="922" spans="1:10" ht="11.25" customHeight="1" x14ac:dyDescent="0.2">
      <c r="A922" s="74">
        <v>44531</v>
      </c>
      <c r="B922" s="65">
        <v>0</v>
      </c>
      <c r="C922" s="65">
        <v>0</v>
      </c>
      <c r="D922" s="65">
        <v>75903.814350000001</v>
      </c>
      <c r="E922" s="65">
        <v>91958.853922890441</v>
      </c>
      <c r="F922" s="65">
        <v>0</v>
      </c>
      <c r="G922" s="65">
        <v>0</v>
      </c>
      <c r="H922" s="39">
        <v>0.21151821829215423</v>
      </c>
      <c r="I922" s="39">
        <v>0</v>
      </c>
      <c r="J922" s="39">
        <v>0.21151821829215423</v>
      </c>
    </row>
    <row r="923" spans="1:10" ht="11.25" customHeight="1" x14ac:dyDescent="0.2">
      <c r="A923" s="74">
        <v>44562</v>
      </c>
      <c r="B923" s="65">
        <v>0</v>
      </c>
      <c r="C923" s="65">
        <v>0</v>
      </c>
      <c r="D923" s="65">
        <v>75903.814350000001</v>
      </c>
      <c r="E923" s="65">
        <v>91958.853922890441</v>
      </c>
      <c r="F923" s="65">
        <v>0</v>
      </c>
      <c r="G923" s="65">
        <v>0</v>
      </c>
      <c r="H923" s="39">
        <v>0.21151821829215423</v>
      </c>
      <c r="I923" s="39">
        <v>0</v>
      </c>
      <c r="J923" s="39">
        <v>0.21151821829215423</v>
      </c>
    </row>
    <row r="924" spans="1:10" ht="11.25" customHeight="1" x14ac:dyDescent="0.2">
      <c r="A924" s="73" t="s">
        <v>34</v>
      </c>
      <c r="B924" s="65">
        <v>862004.16861227539</v>
      </c>
      <c r="C924" s="65">
        <v>924920.97767539916</v>
      </c>
      <c r="D924" s="65">
        <v>0</v>
      </c>
      <c r="E924" s="65">
        <v>0</v>
      </c>
      <c r="F924" s="65">
        <v>0</v>
      </c>
      <c r="G924" s="65">
        <v>0</v>
      </c>
      <c r="H924" s="39">
        <v>7.2988984687176517E-2</v>
      </c>
      <c r="I924" s="39">
        <v>0</v>
      </c>
      <c r="J924" s="39">
        <v>7.2988984687176517E-2</v>
      </c>
    </row>
    <row r="925" spans="1:10" ht="11.25" customHeight="1" x14ac:dyDescent="0.2">
      <c r="A925" s="74">
        <v>44228</v>
      </c>
      <c r="B925" s="65">
        <v>75105.834224914986</v>
      </c>
      <c r="C925" s="65">
        <v>80587.732809074936</v>
      </c>
      <c r="D925" s="65">
        <v>0</v>
      </c>
      <c r="E925" s="65">
        <v>0</v>
      </c>
      <c r="F925" s="65">
        <v>0</v>
      </c>
      <c r="G925" s="65">
        <v>0</v>
      </c>
      <c r="H925" s="39">
        <v>7.2988984687176739E-2</v>
      </c>
      <c r="I925" s="39">
        <v>0</v>
      </c>
      <c r="J925" s="39">
        <v>7.2988984687176739E-2</v>
      </c>
    </row>
    <row r="926" spans="1:10" ht="11.25" customHeight="1" x14ac:dyDescent="0.2">
      <c r="A926" s="74">
        <v>44256</v>
      </c>
      <c r="B926" s="65">
        <v>74268.593464198901</v>
      </c>
      <c r="C926" s="65">
        <v>79689.382695295455</v>
      </c>
      <c r="D926" s="65">
        <v>0</v>
      </c>
      <c r="E926" s="65">
        <v>0</v>
      </c>
      <c r="F926" s="65">
        <v>0</v>
      </c>
      <c r="G926" s="65">
        <v>0</v>
      </c>
      <c r="H926" s="39">
        <v>7.2988984687176517E-2</v>
      </c>
      <c r="I926" s="39">
        <v>0</v>
      </c>
      <c r="J926" s="39">
        <v>7.2988984687176517E-2</v>
      </c>
    </row>
    <row r="927" spans="1:10" ht="11.25" customHeight="1" x14ac:dyDescent="0.2">
      <c r="A927" s="74">
        <v>44287</v>
      </c>
      <c r="B927" s="65">
        <v>73384.5620585695</v>
      </c>
      <c r="C927" s="65">
        <v>78740.826734937582</v>
      </c>
      <c r="D927" s="65">
        <v>0</v>
      </c>
      <c r="E927" s="65">
        <v>0</v>
      </c>
      <c r="F927" s="65">
        <v>0</v>
      </c>
      <c r="G927" s="65">
        <v>0</v>
      </c>
      <c r="H927" s="39">
        <v>7.2988984687176517E-2</v>
      </c>
      <c r="I927" s="39">
        <v>0</v>
      </c>
      <c r="J927" s="39">
        <v>7.2988984687176517E-2</v>
      </c>
    </row>
    <row r="928" spans="1:10" ht="11.25" customHeight="1" x14ac:dyDescent="0.2">
      <c r="A928" s="74">
        <v>44317</v>
      </c>
      <c r="B928" s="65">
        <v>74130.261048411397</v>
      </c>
      <c r="C928" s="65">
        <v>79540.953536930305</v>
      </c>
      <c r="D928" s="65">
        <v>0</v>
      </c>
      <c r="E928" s="65">
        <v>0</v>
      </c>
      <c r="F928" s="65">
        <v>0</v>
      </c>
      <c r="G928" s="65">
        <v>0</v>
      </c>
      <c r="H928" s="39">
        <v>7.2988984687176739E-2</v>
      </c>
      <c r="I928" s="39">
        <v>0</v>
      </c>
      <c r="J928" s="39">
        <v>7.2988984687176739E-2</v>
      </c>
    </row>
    <row r="929" spans="1:10" ht="11.25" customHeight="1" x14ac:dyDescent="0.2">
      <c r="A929" s="74">
        <v>44348</v>
      </c>
      <c r="B929" s="65">
        <v>73434.620253465793</v>
      </c>
      <c r="C929" s="65">
        <v>78794.538626654641</v>
      </c>
      <c r="D929" s="65">
        <v>0</v>
      </c>
      <c r="E929" s="65">
        <v>0</v>
      </c>
      <c r="F929" s="65">
        <v>0</v>
      </c>
      <c r="G929" s="65">
        <v>0</v>
      </c>
      <c r="H929" s="39">
        <v>7.2988984687176739E-2</v>
      </c>
      <c r="I929" s="39">
        <v>0</v>
      </c>
      <c r="J929" s="39">
        <v>7.2988984687176739E-2</v>
      </c>
    </row>
    <row r="930" spans="1:10" ht="11.25" customHeight="1" x14ac:dyDescent="0.2">
      <c r="A930" s="74">
        <v>44378</v>
      </c>
      <c r="B930" s="65">
        <v>73269.421143581596</v>
      </c>
      <c r="C930" s="65">
        <v>78617.28180146878</v>
      </c>
      <c r="D930" s="65">
        <v>0</v>
      </c>
      <c r="E930" s="65">
        <v>0</v>
      </c>
      <c r="F930" s="65">
        <v>0</v>
      </c>
      <c r="G930" s="65">
        <v>0</v>
      </c>
      <c r="H930" s="39">
        <v>7.2988984687176739E-2</v>
      </c>
      <c r="I930" s="39">
        <v>0</v>
      </c>
      <c r="J930" s="39">
        <v>7.2988984687176739E-2</v>
      </c>
    </row>
    <row r="931" spans="1:10" ht="11.25" customHeight="1" x14ac:dyDescent="0.2">
      <c r="A931" s="74">
        <v>44409</v>
      </c>
      <c r="B931" s="65">
        <v>73516.000430685395</v>
      </c>
      <c r="C931" s="65">
        <v>78881.858660383165</v>
      </c>
      <c r="D931" s="65">
        <v>0</v>
      </c>
      <c r="E931" s="65">
        <v>0</v>
      </c>
      <c r="F931" s="65">
        <v>0</v>
      </c>
      <c r="G931" s="65">
        <v>0</v>
      </c>
      <c r="H931" s="39">
        <v>7.2988984687176739E-2</v>
      </c>
      <c r="I931" s="39">
        <v>0</v>
      </c>
      <c r="J931" s="39">
        <v>7.2988984687176739E-2</v>
      </c>
    </row>
    <row r="932" spans="1:10" ht="11.25" customHeight="1" x14ac:dyDescent="0.2">
      <c r="A932" s="74">
        <v>44440</v>
      </c>
      <c r="B932" s="65">
        <v>65685.446834094706</v>
      </c>
      <c r="C932" s="65">
        <v>70479.760907238786</v>
      </c>
      <c r="D932" s="65">
        <v>0</v>
      </c>
      <c r="E932" s="65">
        <v>0</v>
      </c>
      <c r="F932" s="65">
        <v>0</v>
      </c>
      <c r="G932" s="65">
        <v>0</v>
      </c>
      <c r="H932" s="39">
        <v>7.2988984687176517E-2</v>
      </c>
      <c r="I932" s="39">
        <v>0</v>
      </c>
      <c r="J932" s="39">
        <v>7.2988984687176517E-2</v>
      </c>
    </row>
    <row r="933" spans="1:10" ht="11.25" customHeight="1" x14ac:dyDescent="0.2">
      <c r="A933" s="74">
        <v>44470</v>
      </c>
      <c r="B933" s="65">
        <v>69569.063942143999</v>
      </c>
      <c r="C933" s="65">
        <v>74646.839284918358</v>
      </c>
      <c r="D933" s="65">
        <v>0</v>
      </c>
      <c r="E933" s="65">
        <v>0</v>
      </c>
      <c r="F933" s="65">
        <v>0</v>
      </c>
      <c r="G933" s="65">
        <v>0</v>
      </c>
      <c r="H933" s="39">
        <v>7.2988984687176517E-2</v>
      </c>
      <c r="I933" s="39">
        <v>0</v>
      </c>
      <c r="J933" s="39">
        <v>7.2988984687176517E-2</v>
      </c>
    </row>
    <row r="934" spans="1:10" ht="11.25" customHeight="1" x14ac:dyDescent="0.2">
      <c r="A934" s="74">
        <v>44501</v>
      </c>
      <c r="B934" s="65">
        <v>69232.312248984599</v>
      </c>
      <c r="C934" s="65">
        <v>74285.508427583569</v>
      </c>
      <c r="D934" s="65">
        <v>0</v>
      </c>
      <c r="E934" s="65">
        <v>0</v>
      </c>
      <c r="F934" s="65">
        <v>0</v>
      </c>
      <c r="G934" s="65">
        <v>0</v>
      </c>
      <c r="H934" s="39">
        <v>7.2988984687176739E-2</v>
      </c>
      <c r="I934" s="39">
        <v>0</v>
      </c>
      <c r="J934" s="39">
        <v>7.2988984687176739E-2</v>
      </c>
    </row>
    <row r="935" spans="1:10" ht="11.25" customHeight="1" x14ac:dyDescent="0.2">
      <c r="A935" s="74">
        <v>44531</v>
      </c>
      <c r="B935" s="65">
        <v>70204.026481612207</v>
      </c>
      <c r="C935" s="65">
        <v>75328.147095456734</v>
      </c>
      <c r="D935" s="65">
        <v>0</v>
      </c>
      <c r="E935" s="65">
        <v>0</v>
      </c>
      <c r="F935" s="65">
        <v>0</v>
      </c>
      <c r="G935" s="65">
        <v>0</v>
      </c>
      <c r="H935" s="39">
        <v>7.2988984687176517E-2</v>
      </c>
      <c r="I935" s="39">
        <v>0</v>
      </c>
      <c r="J935" s="39">
        <v>7.2988984687176517E-2</v>
      </c>
    </row>
    <row r="936" spans="1:10" ht="11.25" customHeight="1" x14ac:dyDescent="0.2">
      <c r="A936" s="74">
        <v>44562</v>
      </c>
      <c r="B936" s="65">
        <v>70204.026481612207</v>
      </c>
      <c r="C936" s="65">
        <v>75328.147095456734</v>
      </c>
      <c r="D936" s="65">
        <v>0</v>
      </c>
      <c r="E936" s="65">
        <v>0</v>
      </c>
      <c r="F936" s="65">
        <v>0</v>
      </c>
      <c r="G936" s="65">
        <v>0</v>
      </c>
      <c r="H936" s="39">
        <v>7.2988984687176517E-2</v>
      </c>
      <c r="I936" s="39">
        <v>0</v>
      </c>
      <c r="J936" s="39">
        <v>7.2988984687176517E-2</v>
      </c>
    </row>
    <row r="937" spans="1:10" ht="11.25" customHeight="1" x14ac:dyDescent="0.2">
      <c r="A937" s="68" t="s">
        <v>41</v>
      </c>
      <c r="B937" s="65">
        <v>1926485.1942106846</v>
      </c>
      <c r="C937" s="65">
        <v>2037348.0458130524</v>
      </c>
      <c r="D937" s="65">
        <v>4862562.6651073005</v>
      </c>
      <c r="E937" s="65">
        <v>5590024.3185828282</v>
      </c>
      <c r="F937" s="65">
        <v>0</v>
      </c>
      <c r="G937" s="65">
        <v>0</v>
      </c>
      <c r="H937" s="39">
        <v>0.12348189649706076</v>
      </c>
      <c r="I937" s="39">
        <v>0</v>
      </c>
      <c r="J937" s="39">
        <v>0.12348189649706076</v>
      </c>
    </row>
    <row r="938" spans="1:10" ht="11.25" customHeight="1" x14ac:dyDescent="0.2">
      <c r="A938" s="69" t="s">
        <v>42</v>
      </c>
      <c r="B938" s="65">
        <v>28459.200000000001</v>
      </c>
      <c r="C938" s="65">
        <v>30096.932838956382</v>
      </c>
      <c r="D938" s="65">
        <v>67949.977310000002</v>
      </c>
      <c r="E938" s="65">
        <v>76205.500520900518</v>
      </c>
      <c r="F938" s="65">
        <v>0</v>
      </c>
      <c r="G938" s="65">
        <v>0</v>
      </c>
      <c r="H938" s="39">
        <v>0.10261736824125678</v>
      </c>
      <c r="I938" s="39">
        <v>0</v>
      </c>
      <c r="J938" s="39">
        <v>0.10261736824125678</v>
      </c>
    </row>
    <row r="939" spans="1:10" ht="11.25" customHeight="1" x14ac:dyDescent="0.2">
      <c r="A939" s="70" t="s">
        <v>25</v>
      </c>
      <c r="B939" s="65">
        <v>28459.200000000001</v>
      </c>
      <c r="C939" s="65">
        <v>30096.932838956382</v>
      </c>
      <c r="D939" s="65">
        <v>67949.977310000002</v>
      </c>
      <c r="E939" s="65">
        <v>76205.500520900518</v>
      </c>
      <c r="F939" s="65">
        <v>0</v>
      </c>
      <c r="G939" s="65">
        <v>0</v>
      </c>
      <c r="H939" s="39">
        <v>0.10261736824125678</v>
      </c>
      <c r="I939" s="39">
        <v>0</v>
      </c>
      <c r="J939" s="39">
        <v>0.10261736824125678</v>
      </c>
    </row>
    <row r="940" spans="1:10" ht="11.25" customHeight="1" x14ac:dyDescent="0.2">
      <c r="A940" s="71" t="s">
        <v>25</v>
      </c>
      <c r="B940" s="65">
        <v>28459.200000000001</v>
      </c>
      <c r="C940" s="65">
        <v>30096.932838956382</v>
      </c>
      <c r="D940" s="65">
        <v>67949.977310000002</v>
      </c>
      <c r="E940" s="65">
        <v>76205.500520900518</v>
      </c>
      <c r="F940" s="65">
        <v>0</v>
      </c>
      <c r="G940" s="65">
        <v>0</v>
      </c>
      <c r="H940" s="39">
        <v>0.10261736824125678</v>
      </c>
      <c r="I940" s="39">
        <v>0</v>
      </c>
      <c r="J940" s="39">
        <v>0.10261736824125678</v>
      </c>
    </row>
    <row r="941" spans="1:10" ht="11.25" customHeight="1" x14ac:dyDescent="0.2">
      <c r="A941" s="72" t="s">
        <v>25</v>
      </c>
      <c r="B941" s="65">
        <v>28459.200000000001</v>
      </c>
      <c r="C941" s="65">
        <v>30096.932838956382</v>
      </c>
      <c r="D941" s="65">
        <v>67949.977310000002</v>
      </c>
      <c r="E941" s="65">
        <v>76205.500520900518</v>
      </c>
      <c r="F941" s="65">
        <v>0</v>
      </c>
      <c r="G941" s="65">
        <v>0</v>
      </c>
      <c r="H941" s="39">
        <v>0.10261736824125678</v>
      </c>
      <c r="I941" s="39">
        <v>0</v>
      </c>
      <c r="J941" s="39">
        <v>0.10261736824125678</v>
      </c>
    </row>
    <row r="942" spans="1:10" ht="11.25" customHeight="1" x14ac:dyDescent="0.2">
      <c r="A942" s="73" t="s">
        <v>35</v>
      </c>
      <c r="B942" s="65">
        <v>0</v>
      </c>
      <c r="C942" s="65">
        <v>0</v>
      </c>
      <c r="D942" s="65">
        <v>21489.986250000002</v>
      </c>
      <c r="E942" s="65">
        <v>26035.509852722884</v>
      </c>
      <c r="F942" s="65">
        <v>0</v>
      </c>
      <c r="G942" s="65">
        <v>0</v>
      </c>
      <c r="H942" s="39">
        <v>0.21151821829215378</v>
      </c>
      <c r="I942" s="39">
        <v>0</v>
      </c>
      <c r="J942" s="39">
        <v>0.21151821829215378</v>
      </c>
    </row>
    <row r="943" spans="1:10" ht="11.25" customHeight="1" x14ac:dyDescent="0.2">
      <c r="A943" s="74">
        <v>44228</v>
      </c>
      <c r="B943" s="65">
        <v>0</v>
      </c>
      <c r="C943" s="65">
        <v>0</v>
      </c>
      <c r="D943" s="65">
        <v>862.00020000000006</v>
      </c>
      <c r="E943" s="65">
        <v>1044.3289464714805</v>
      </c>
      <c r="F943" s="65">
        <v>0</v>
      </c>
      <c r="G943" s="65">
        <v>0</v>
      </c>
      <c r="H943" s="39">
        <v>0.211518218292154</v>
      </c>
      <c r="I943" s="39">
        <v>0</v>
      </c>
      <c r="J943" s="39">
        <v>0.211518218292154</v>
      </c>
    </row>
    <row r="944" spans="1:10" ht="11.25" customHeight="1" x14ac:dyDescent="0.2">
      <c r="A944" s="74">
        <v>44256</v>
      </c>
      <c r="B944" s="65">
        <v>0</v>
      </c>
      <c r="C944" s="65">
        <v>0</v>
      </c>
      <c r="D944" s="65">
        <v>765.66464999999994</v>
      </c>
      <c r="E944" s="65">
        <v>927.61667257728573</v>
      </c>
      <c r="F944" s="65">
        <v>0</v>
      </c>
      <c r="G944" s="65">
        <v>0</v>
      </c>
      <c r="H944" s="39">
        <v>0.21151821829215423</v>
      </c>
      <c r="I944" s="39">
        <v>0</v>
      </c>
      <c r="J944" s="39">
        <v>0.21151821829215423</v>
      </c>
    </row>
    <row r="945" spans="1:10" ht="11.25" customHeight="1" x14ac:dyDescent="0.2">
      <c r="A945" s="74">
        <v>44409</v>
      </c>
      <c r="B945" s="65">
        <v>0</v>
      </c>
      <c r="C945" s="65">
        <v>0</v>
      </c>
      <c r="D945" s="65">
        <v>9849.4478999999992</v>
      </c>
      <c r="E945" s="65">
        <v>11932.785570969398</v>
      </c>
      <c r="F945" s="65">
        <v>0</v>
      </c>
      <c r="G945" s="65">
        <v>0</v>
      </c>
      <c r="H945" s="39">
        <v>0.211518218292154</v>
      </c>
      <c r="I945" s="39">
        <v>0</v>
      </c>
      <c r="J945" s="39">
        <v>0.211518218292154</v>
      </c>
    </row>
    <row r="946" spans="1:10" ht="11.25" customHeight="1" x14ac:dyDescent="0.2">
      <c r="A946" s="74">
        <v>44440</v>
      </c>
      <c r="B946" s="65">
        <v>0</v>
      </c>
      <c r="C946" s="65">
        <v>0</v>
      </c>
      <c r="D946" s="65">
        <v>10012.8735</v>
      </c>
      <c r="E946" s="65">
        <v>12130.778662704723</v>
      </c>
      <c r="F946" s="65">
        <v>0</v>
      </c>
      <c r="G946" s="65">
        <v>0</v>
      </c>
      <c r="H946" s="39">
        <v>0.21151821829215378</v>
      </c>
      <c r="I946" s="39">
        <v>0</v>
      </c>
      <c r="J946" s="39">
        <v>0.21151821829215378</v>
      </c>
    </row>
    <row r="947" spans="1:10" ht="11.25" customHeight="1" x14ac:dyDescent="0.2">
      <c r="A947" s="73" t="s">
        <v>25</v>
      </c>
      <c r="B947" s="65">
        <v>28459.200000000001</v>
      </c>
      <c r="C947" s="65">
        <v>30096.932838956382</v>
      </c>
      <c r="D947" s="65">
        <v>0</v>
      </c>
      <c r="E947" s="65">
        <v>0</v>
      </c>
      <c r="F947" s="65">
        <v>0</v>
      </c>
      <c r="G947" s="65">
        <v>0</v>
      </c>
      <c r="H947" s="39">
        <v>5.7546692772684427E-2</v>
      </c>
      <c r="I947" s="39">
        <v>0</v>
      </c>
      <c r="J947" s="39">
        <v>5.7546692772684427E-2</v>
      </c>
    </row>
    <row r="948" spans="1:10" ht="11.25" customHeight="1" x14ac:dyDescent="0.2">
      <c r="A948" s="74">
        <v>44228</v>
      </c>
      <c r="B948" s="65">
        <v>2217.6</v>
      </c>
      <c r="C948" s="65">
        <v>2345.215545892705</v>
      </c>
      <c r="D948" s="65">
        <v>0</v>
      </c>
      <c r="E948" s="65">
        <v>0</v>
      </c>
      <c r="F948" s="65">
        <v>0</v>
      </c>
      <c r="G948" s="65">
        <v>0</v>
      </c>
      <c r="H948" s="39">
        <v>5.7546692772684427E-2</v>
      </c>
      <c r="I948" s="39">
        <v>0</v>
      </c>
      <c r="J948" s="39">
        <v>5.7546692772684427E-2</v>
      </c>
    </row>
    <row r="949" spans="1:10" ht="11.25" customHeight="1" x14ac:dyDescent="0.2">
      <c r="A949" s="74">
        <v>44256</v>
      </c>
      <c r="B949" s="65">
        <v>2217.6</v>
      </c>
      <c r="C949" s="65">
        <v>2345.215545892705</v>
      </c>
      <c r="D949" s="65">
        <v>0</v>
      </c>
      <c r="E949" s="65">
        <v>0</v>
      </c>
      <c r="F949" s="65">
        <v>0</v>
      </c>
      <c r="G949" s="65">
        <v>0</v>
      </c>
      <c r="H949" s="39">
        <v>5.7546692772684427E-2</v>
      </c>
      <c r="I949" s="39">
        <v>0</v>
      </c>
      <c r="J949" s="39">
        <v>5.7546692772684427E-2</v>
      </c>
    </row>
    <row r="950" spans="1:10" ht="11.25" customHeight="1" x14ac:dyDescent="0.2">
      <c r="A950" s="74">
        <v>44409</v>
      </c>
      <c r="B950" s="65">
        <v>12012</v>
      </c>
      <c r="C950" s="65">
        <v>12703.250873585484</v>
      </c>
      <c r="D950" s="65">
        <v>0</v>
      </c>
      <c r="E950" s="65">
        <v>0</v>
      </c>
      <c r="F950" s="65">
        <v>0</v>
      </c>
      <c r="G950" s="65">
        <v>0</v>
      </c>
      <c r="H950" s="39">
        <v>5.7546692772684427E-2</v>
      </c>
      <c r="I950" s="39">
        <v>0</v>
      </c>
      <c r="J950" s="39">
        <v>5.7546692772684427E-2</v>
      </c>
    </row>
    <row r="951" spans="1:10" ht="11.25" customHeight="1" x14ac:dyDescent="0.2">
      <c r="A951" s="74">
        <v>44440</v>
      </c>
      <c r="B951" s="65">
        <v>12012</v>
      </c>
      <c r="C951" s="65">
        <v>12703.250873585484</v>
      </c>
      <c r="D951" s="65">
        <v>0</v>
      </c>
      <c r="E951" s="65">
        <v>0</v>
      </c>
      <c r="F951" s="65">
        <v>0</v>
      </c>
      <c r="G951" s="65">
        <v>0</v>
      </c>
      <c r="H951" s="39">
        <v>5.7546692772684427E-2</v>
      </c>
      <c r="I951" s="39">
        <v>0</v>
      </c>
      <c r="J951" s="39">
        <v>5.7546692772684427E-2</v>
      </c>
    </row>
    <row r="952" spans="1:10" ht="11.25" customHeight="1" x14ac:dyDescent="0.2">
      <c r="A952" s="73" t="s">
        <v>34</v>
      </c>
      <c r="B952" s="65">
        <v>0</v>
      </c>
      <c r="C952" s="65">
        <v>0</v>
      </c>
      <c r="D952" s="65">
        <v>46459.991059999993</v>
      </c>
      <c r="E952" s="65">
        <v>50169.990668177648</v>
      </c>
      <c r="F952" s="65">
        <v>0</v>
      </c>
      <c r="G952" s="65">
        <v>0</v>
      </c>
      <c r="H952" s="39">
        <v>7.9853644469850105E-2</v>
      </c>
      <c r="I952" s="39">
        <v>0</v>
      </c>
      <c r="J952" s="39">
        <v>7.9853644469850105E-2</v>
      </c>
    </row>
    <row r="953" spans="1:10" ht="11.25" customHeight="1" x14ac:dyDescent="0.2">
      <c r="A953" s="74">
        <v>44228</v>
      </c>
      <c r="B953" s="65">
        <v>0</v>
      </c>
      <c r="C953" s="65">
        <v>0</v>
      </c>
      <c r="D953" s="65">
        <v>3006.9786599999998</v>
      </c>
      <c r="E953" s="65">
        <v>3247.0968648440657</v>
      </c>
      <c r="F953" s="65">
        <v>0</v>
      </c>
      <c r="G953" s="65">
        <v>0</v>
      </c>
      <c r="H953" s="39">
        <v>7.9853644469850105E-2</v>
      </c>
      <c r="I953" s="39">
        <v>0</v>
      </c>
      <c r="J953" s="39">
        <v>7.9853644469850105E-2</v>
      </c>
    </row>
    <row r="954" spans="1:10" ht="11.25" customHeight="1" x14ac:dyDescent="0.2">
      <c r="A954" s="74">
        <v>44256</v>
      </c>
      <c r="B954" s="65">
        <v>0</v>
      </c>
      <c r="C954" s="65">
        <v>0</v>
      </c>
      <c r="D954" s="65">
        <v>2713.4537499999997</v>
      </c>
      <c r="E954" s="65">
        <v>2930.1329210378808</v>
      </c>
      <c r="F954" s="65">
        <v>0</v>
      </c>
      <c r="G954" s="65">
        <v>0</v>
      </c>
      <c r="H954" s="39">
        <v>7.9853644469849883E-2</v>
      </c>
      <c r="I954" s="39">
        <v>0</v>
      </c>
      <c r="J954" s="39">
        <v>7.9853644469849883E-2</v>
      </c>
    </row>
    <row r="955" spans="1:10" ht="11.25" customHeight="1" x14ac:dyDescent="0.2">
      <c r="A955" s="74">
        <v>44409</v>
      </c>
      <c r="B955" s="65">
        <v>0</v>
      </c>
      <c r="C955" s="65">
        <v>0</v>
      </c>
      <c r="D955" s="65">
        <v>20060.681549999998</v>
      </c>
      <c r="E955" s="65">
        <v>21662.600082316578</v>
      </c>
      <c r="F955" s="65">
        <v>0</v>
      </c>
      <c r="G955" s="65">
        <v>0</v>
      </c>
      <c r="H955" s="39">
        <v>7.9853644469850105E-2</v>
      </c>
      <c r="I955" s="39">
        <v>0</v>
      </c>
      <c r="J955" s="39">
        <v>7.9853644469850105E-2</v>
      </c>
    </row>
    <row r="956" spans="1:10" ht="11.25" customHeight="1" x14ac:dyDescent="0.2">
      <c r="A956" s="74">
        <v>44440</v>
      </c>
      <c r="B956" s="65">
        <v>0</v>
      </c>
      <c r="C956" s="65">
        <v>0</v>
      </c>
      <c r="D956" s="65">
        <v>20678.877099999998</v>
      </c>
      <c r="E956" s="65">
        <v>22330.160799979119</v>
      </c>
      <c r="F956" s="65">
        <v>0</v>
      </c>
      <c r="G956" s="65">
        <v>0</v>
      </c>
      <c r="H956" s="39">
        <v>7.9853644469849883E-2</v>
      </c>
      <c r="I956" s="39">
        <v>0</v>
      </c>
      <c r="J956" s="39">
        <v>7.9853644469849883E-2</v>
      </c>
    </row>
    <row r="957" spans="1:10" ht="11.25" customHeight="1" x14ac:dyDescent="0.2">
      <c r="A957" s="69" t="s">
        <v>38</v>
      </c>
      <c r="B957" s="65">
        <v>1898025.9942106847</v>
      </c>
      <c r="C957" s="65">
        <v>2007251.1129740961</v>
      </c>
      <c r="D957" s="65">
        <v>4794612.6877973005</v>
      </c>
      <c r="E957" s="65">
        <v>5513818.8180619273</v>
      </c>
      <c r="F957" s="65">
        <v>0</v>
      </c>
      <c r="G957" s="65">
        <v>0</v>
      </c>
      <c r="H957" s="39">
        <v>0.12378245537968957</v>
      </c>
      <c r="I957" s="39">
        <v>0</v>
      </c>
      <c r="J957" s="39">
        <v>0.12378245537968957</v>
      </c>
    </row>
    <row r="958" spans="1:10" ht="11.25" customHeight="1" x14ac:dyDescent="0.2">
      <c r="A958" s="70" t="s">
        <v>25</v>
      </c>
      <c r="B958" s="65">
        <v>1898025.9942106847</v>
      </c>
      <c r="C958" s="65">
        <v>2007251.1129740961</v>
      </c>
      <c r="D958" s="65">
        <v>4794612.6877973005</v>
      </c>
      <c r="E958" s="65">
        <v>5513818.8180619273</v>
      </c>
      <c r="F958" s="65">
        <v>0</v>
      </c>
      <c r="G958" s="65">
        <v>0</v>
      </c>
      <c r="H958" s="39">
        <v>0.12378245537968957</v>
      </c>
      <c r="I958" s="39">
        <v>0</v>
      </c>
      <c r="J958" s="39">
        <v>0.12378245537968957</v>
      </c>
    </row>
    <row r="959" spans="1:10" ht="11.25" customHeight="1" x14ac:dyDescent="0.2">
      <c r="A959" s="71" t="s">
        <v>58</v>
      </c>
      <c r="B959" s="65">
        <v>1322965.3542106845</v>
      </c>
      <c r="C959" s="65">
        <v>1399097.6349983525</v>
      </c>
      <c r="D959" s="65">
        <v>3951020.2553972998</v>
      </c>
      <c r="E959" s="65">
        <v>4538501.6924720071</v>
      </c>
      <c r="F959" s="65">
        <v>0</v>
      </c>
      <c r="G959" s="65">
        <v>0</v>
      </c>
      <c r="H959" s="39">
        <v>0.12582774527359808</v>
      </c>
      <c r="I959" s="39">
        <v>0</v>
      </c>
      <c r="J959" s="39">
        <v>0.12582774527359808</v>
      </c>
    </row>
    <row r="960" spans="1:10" ht="11.25" customHeight="1" x14ac:dyDescent="0.2">
      <c r="A960" s="72" t="s">
        <v>25</v>
      </c>
      <c r="B960" s="65">
        <v>1322965.3542106845</v>
      </c>
      <c r="C960" s="65">
        <v>1399097.6349983525</v>
      </c>
      <c r="D960" s="65">
        <v>3951020.2553972998</v>
      </c>
      <c r="E960" s="65">
        <v>4538501.6924720071</v>
      </c>
      <c r="F960" s="65">
        <v>0</v>
      </c>
      <c r="G960" s="65">
        <v>0</v>
      </c>
      <c r="H960" s="39">
        <v>0.12582774527359808</v>
      </c>
      <c r="I960" s="39">
        <v>0</v>
      </c>
      <c r="J960" s="39">
        <v>0.12582774527359808</v>
      </c>
    </row>
    <row r="961" spans="1:10" ht="11.25" customHeight="1" x14ac:dyDescent="0.2">
      <c r="A961" s="73" t="s">
        <v>35</v>
      </c>
      <c r="B961" s="65">
        <v>0</v>
      </c>
      <c r="C961" s="65">
        <v>0</v>
      </c>
      <c r="D961" s="65">
        <v>2065689.0643499997</v>
      </c>
      <c r="E961" s="65">
        <v>2502619.9347868985</v>
      </c>
      <c r="F961" s="65">
        <v>0</v>
      </c>
      <c r="G961" s="65">
        <v>0</v>
      </c>
      <c r="H961" s="39">
        <v>0.21151821829215423</v>
      </c>
      <c r="I961" s="39">
        <v>0</v>
      </c>
      <c r="J961" s="39">
        <v>0.21151821829215423</v>
      </c>
    </row>
    <row r="962" spans="1:10" ht="11.25" customHeight="1" x14ac:dyDescent="0.2">
      <c r="A962" s="74">
        <v>44228</v>
      </c>
      <c r="B962" s="65">
        <v>0</v>
      </c>
      <c r="C962" s="65">
        <v>0</v>
      </c>
      <c r="D962" s="65">
        <v>164628.37574999998</v>
      </c>
      <c r="E962" s="65">
        <v>199450.27646897125</v>
      </c>
      <c r="F962" s="65">
        <v>0</v>
      </c>
      <c r="G962" s="65">
        <v>0</v>
      </c>
      <c r="H962" s="39">
        <v>0.21151821829215423</v>
      </c>
      <c r="I962" s="39">
        <v>0</v>
      </c>
      <c r="J962" s="39">
        <v>0.21151821829215423</v>
      </c>
    </row>
    <row r="963" spans="1:10" ht="11.25" customHeight="1" x14ac:dyDescent="0.2">
      <c r="A963" s="74">
        <v>44256</v>
      </c>
      <c r="B963" s="65">
        <v>0</v>
      </c>
      <c r="C963" s="65">
        <v>0</v>
      </c>
      <c r="D963" s="65">
        <v>151155.10485</v>
      </c>
      <c r="E963" s="65">
        <v>183127.16331363574</v>
      </c>
      <c r="F963" s="65">
        <v>0</v>
      </c>
      <c r="G963" s="65">
        <v>0</v>
      </c>
      <c r="H963" s="39">
        <v>0.211518218292154</v>
      </c>
      <c r="I963" s="39">
        <v>0</v>
      </c>
      <c r="J963" s="39">
        <v>0.211518218292154</v>
      </c>
    </row>
    <row r="964" spans="1:10" ht="11.25" customHeight="1" x14ac:dyDescent="0.2">
      <c r="A964" s="74">
        <v>44287</v>
      </c>
      <c r="B964" s="65">
        <v>0</v>
      </c>
      <c r="C964" s="65">
        <v>0</v>
      </c>
      <c r="D964" s="65">
        <v>153441.57915000001</v>
      </c>
      <c r="E964" s="65">
        <v>185897.26858374252</v>
      </c>
      <c r="F964" s="65">
        <v>0</v>
      </c>
      <c r="G964" s="65">
        <v>0</v>
      </c>
      <c r="H964" s="39">
        <v>0.211518218292154</v>
      </c>
      <c r="I964" s="39">
        <v>0</v>
      </c>
      <c r="J964" s="39">
        <v>0.211518218292154</v>
      </c>
    </row>
    <row r="965" spans="1:10" ht="11.25" customHeight="1" x14ac:dyDescent="0.2">
      <c r="A965" s="74">
        <v>44317</v>
      </c>
      <c r="B965" s="65">
        <v>0</v>
      </c>
      <c r="C965" s="65">
        <v>0</v>
      </c>
      <c r="D965" s="65">
        <v>159373.22129999998</v>
      </c>
      <c r="E965" s="65">
        <v>193083.56111285716</v>
      </c>
      <c r="F965" s="65">
        <v>0</v>
      </c>
      <c r="G965" s="65">
        <v>0</v>
      </c>
      <c r="H965" s="39">
        <v>0.21151821829215423</v>
      </c>
      <c r="I965" s="39">
        <v>0</v>
      </c>
      <c r="J965" s="39">
        <v>0.21151821829215423</v>
      </c>
    </row>
    <row r="966" spans="1:10" ht="11.25" customHeight="1" x14ac:dyDescent="0.2">
      <c r="A966" s="74">
        <v>44348</v>
      </c>
      <c r="B966" s="65">
        <v>0</v>
      </c>
      <c r="C966" s="65">
        <v>0</v>
      </c>
      <c r="D966" s="65">
        <v>159965.07165</v>
      </c>
      <c r="E966" s="65">
        <v>193800.59859438476</v>
      </c>
      <c r="F966" s="65">
        <v>0</v>
      </c>
      <c r="G966" s="65">
        <v>0</v>
      </c>
      <c r="H966" s="39">
        <v>0.211518218292154</v>
      </c>
      <c r="I966" s="39">
        <v>0</v>
      </c>
      <c r="J966" s="39">
        <v>0.211518218292154</v>
      </c>
    </row>
    <row r="967" spans="1:10" ht="11.25" customHeight="1" x14ac:dyDescent="0.2">
      <c r="A967" s="74">
        <v>44378</v>
      </c>
      <c r="B967" s="65">
        <v>0</v>
      </c>
      <c r="C967" s="65">
        <v>0</v>
      </c>
      <c r="D967" s="65">
        <v>168819.25589999999</v>
      </c>
      <c r="E967" s="65">
        <v>204527.60412137519</v>
      </c>
      <c r="F967" s="65">
        <v>0</v>
      </c>
      <c r="G967" s="65">
        <v>0</v>
      </c>
      <c r="H967" s="39">
        <v>0.211518218292154</v>
      </c>
      <c r="I967" s="39">
        <v>0</v>
      </c>
      <c r="J967" s="39">
        <v>0.211518218292154</v>
      </c>
    </row>
    <row r="968" spans="1:10" ht="11.25" customHeight="1" x14ac:dyDescent="0.2">
      <c r="A968" s="74">
        <v>44409</v>
      </c>
      <c r="B968" s="65">
        <v>0</v>
      </c>
      <c r="C968" s="65">
        <v>0</v>
      </c>
      <c r="D968" s="65">
        <v>170513.00685000001</v>
      </c>
      <c r="E968" s="65">
        <v>206579.61425454984</v>
      </c>
      <c r="F968" s="65">
        <v>0</v>
      </c>
      <c r="G968" s="65">
        <v>0</v>
      </c>
      <c r="H968" s="39">
        <v>0.211518218292154</v>
      </c>
      <c r="I968" s="39">
        <v>0</v>
      </c>
      <c r="J968" s="39">
        <v>0.211518218292154</v>
      </c>
    </row>
    <row r="969" spans="1:10" ht="11.25" customHeight="1" x14ac:dyDescent="0.2">
      <c r="A969" s="74">
        <v>44440</v>
      </c>
      <c r="B969" s="65">
        <v>0</v>
      </c>
      <c r="C969" s="65">
        <v>0</v>
      </c>
      <c r="D969" s="65">
        <v>171637.2126</v>
      </c>
      <c r="E969" s="65">
        <v>207941.61000178364</v>
      </c>
      <c r="F969" s="65">
        <v>0</v>
      </c>
      <c r="G969" s="65">
        <v>0</v>
      </c>
      <c r="H969" s="39">
        <v>0.211518218292154</v>
      </c>
      <c r="I969" s="39">
        <v>0</v>
      </c>
      <c r="J969" s="39">
        <v>0.211518218292154</v>
      </c>
    </row>
    <row r="970" spans="1:10" ht="11.25" customHeight="1" x14ac:dyDescent="0.2">
      <c r="A970" s="74">
        <v>44470</v>
      </c>
      <c r="B970" s="65">
        <v>0</v>
      </c>
      <c r="C970" s="65">
        <v>0</v>
      </c>
      <c r="D970" s="65">
        <v>182233.86119999998</v>
      </c>
      <c r="E970" s="65">
        <v>220779.64283352369</v>
      </c>
      <c r="F970" s="65">
        <v>0</v>
      </c>
      <c r="G970" s="65">
        <v>0</v>
      </c>
      <c r="H970" s="39">
        <v>0.211518218292154</v>
      </c>
      <c r="I970" s="39">
        <v>0</v>
      </c>
      <c r="J970" s="39">
        <v>0.211518218292154</v>
      </c>
    </row>
    <row r="971" spans="1:10" ht="11.25" customHeight="1" x14ac:dyDescent="0.2">
      <c r="A971" s="74">
        <v>44501</v>
      </c>
      <c r="B971" s="65">
        <v>0</v>
      </c>
      <c r="C971" s="65">
        <v>0</v>
      </c>
      <c r="D971" s="65">
        <v>191109.65219999998</v>
      </c>
      <c r="E971" s="65">
        <v>231532.82533177722</v>
      </c>
      <c r="F971" s="65">
        <v>0</v>
      </c>
      <c r="G971" s="65">
        <v>0</v>
      </c>
      <c r="H971" s="39">
        <v>0.211518218292154</v>
      </c>
      <c r="I971" s="39">
        <v>0</v>
      </c>
      <c r="J971" s="39">
        <v>0.211518218292154</v>
      </c>
    </row>
    <row r="972" spans="1:10" ht="11.25" customHeight="1" x14ac:dyDescent="0.2">
      <c r="A972" s="74">
        <v>44531</v>
      </c>
      <c r="B972" s="65">
        <v>0</v>
      </c>
      <c r="C972" s="65">
        <v>0</v>
      </c>
      <c r="D972" s="65">
        <v>196406.36145</v>
      </c>
      <c r="E972" s="65">
        <v>237949.88508514882</v>
      </c>
      <c r="F972" s="65">
        <v>0</v>
      </c>
      <c r="G972" s="65">
        <v>0</v>
      </c>
      <c r="H972" s="39">
        <v>0.21151821829215423</v>
      </c>
      <c r="I972" s="39">
        <v>0</v>
      </c>
      <c r="J972" s="39">
        <v>0.21151821829215423</v>
      </c>
    </row>
    <row r="973" spans="1:10" ht="11.25" customHeight="1" x14ac:dyDescent="0.2">
      <c r="A973" s="74">
        <v>44562</v>
      </c>
      <c r="B973" s="65">
        <v>0</v>
      </c>
      <c r="C973" s="65">
        <v>0</v>
      </c>
      <c r="D973" s="65">
        <v>196406.36145</v>
      </c>
      <c r="E973" s="65">
        <v>237949.88508514882</v>
      </c>
      <c r="F973" s="65">
        <v>0</v>
      </c>
      <c r="G973" s="65">
        <v>0</v>
      </c>
      <c r="H973" s="39">
        <v>0.21151821829215423</v>
      </c>
      <c r="I973" s="39">
        <v>0</v>
      </c>
      <c r="J973" s="39">
        <v>0.21151821829215423</v>
      </c>
    </row>
    <row r="974" spans="1:10" ht="11.25" customHeight="1" x14ac:dyDescent="0.2">
      <c r="A974" s="73" t="s">
        <v>25</v>
      </c>
      <c r="B974" s="65">
        <v>1322965.3542106845</v>
      </c>
      <c r="C974" s="65">
        <v>1399097.6349983525</v>
      </c>
      <c r="D974" s="65">
        <v>0</v>
      </c>
      <c r="E974" s="65">
        <v>0</v>
      </c>
      <c r="F974" s="65">
        <v>0</v>
      </c>
      <c r="G974" s="65">
        <v>0</v>
      </c>
      <c r="H974" s="39">
        <v>5.7546692772684427E-2</v>
      </c>
      <c r="I974" s="39">
        <v>0</v>
      </c>
      <c r="J974" s="39">
        <v>5.7546692772684427E-2</v>
      </c>
    </row>
    <row r="975" spans="1:10" ht="11.25" customHeight="1" x14ac:dyDescent="0.2">
      <c r="A975" s="74">
        <v>44228</v>
      </c>
      <c r="B975" s="65">
        <v>108725.332200408</v>
      </c>
      <c r="C975" s="65">
        <v>114982.11548915293</v>
      </c>
      <c r="D975" s="65">
        <v>0</v>
      </c>
      <c r="E975" s="65">
        <v>0</v>
      </c>
      <c r="F975" s="65">
        <v>0</v>
      </c>
      <c r="G975" s="65">
        <v>0</v>
      </c>
      <c r="H975" s="39">
        <v>5.7546692772684427E-2</v>
      </c>
      <c r="I975" s="39">
        <v>0</v>
      </c>
      <c r="J975" s="39">
        <v>5.7546692772684427E-2</v>
      </c>
    </row>
    <row r="976" spans="1:10" ht="11.25" customHeight="1" x14ac:dyDescent="0.2">
      <c r="A976" s="74">
        <v>44256</v>
      </c>
      <c r="B976" s="65">
        <v>103556.76018866641</v>
      </c>
      <c r="C976" s="65">
        <v>109516.10925177814</v>
      </c>
      <c r="D976" s="65">
        <v>0</v>
      </c>
      <c r="E976" s="65">
        <v>0</v>
      </c>
      <c r="F976" s="65">
        <v>0</v>
      </c>
      <c r="G976" s="65">
        <v>0</v>
      </c>
      <c r="H976" s="39">
        <v>5.7546692772684205E-2</v>
      </c>
      <c r="I976" s="39">
        <v>0</v>
      </c>
      <c r="J976" s="39">
        <v>5.7546692772684205E-2</v>
      </c>
    </row>
    <row r="977" spans="1:10" ht="11.25" customHeight="1" x14ac:dyDescent="0.2">
      <c r="A977" s="74">
        <v>44287</v>
      </c>
      <c r="B977" s="65">
        <v>103015.40567915521</v>
      </c>
      <c r="C977" s="65">
        <v>108943.601580627</v>
      </c>
      <c r="D977" s="65">
        <v>0</v>
      </c>
      <c r="E977" s="65">
        <v>0</v>
      </c>
      <c r="F977" s="65">
        <v>0</v>
      </c>
      <c r="G977" s="65">
        <v>0</v>
      </c>
      <c r="H977" s="39">
        <v>5.7546692772684427E-2</v>
      </c>
      <c r="I977" s="39">
        <v>0</v>
      </c>
      <c r="J977" s="39">
        <v>5.7546692772684427E-2</v>
      </c>
    </row>
    <row r="978" spans="1:10" ht="11.25" customHeight="1" x14ac:dyDescent="0.2">
      <c r="A978" s="74">
        <v>44317</v>
      </c>
      <c r="B978" s="65">
        <v>104713.1914752</v>
      </c>
      <c r="C978" s="65">
        <v>110739.08933427061</v>
      </c>
      <c r="D978" s="65">
        <v>0</v>
      </c>
      <c r="E978" s="65">
        <v>0</v>
      </c>
      <c r="F978" s="65">
        <v>0</v>
      </c>
      <c r="G978" s="65">
        <v>0</v>
      </c>
      <c r="H978" s="39">
        <v>5.7546692772684427E-2</v>
      </c>
      <c r="I978" s="39">
        <v>0</v>
      </c>
      <c r="J978" s="39">
        <v>5.7546692772684427E-2</v>
      </c>
    </row>
    <row r="979" spans="1:10" ht="11.25" customHeight="1" x14ac:dyDescent="0.2">
      <c r="A979" s="74">
        <v>44348</v>
      </c>
      <c r="B979" s="65">
        <v>105217.1101208304</v>
      </c>
      <c r="C979" s="65">
        <v>111272.00683138354</v>
      </c>
      <c r="D979" s="65">
        <v>0</v>
      </c>
      <c r="E979" s="65">
        <v>0</v>
      </c>
      <c r="F979" s="65">
        <v>0</v>
      </c>
      <c r="G979" s="65">
        <v>0</v>
      </c>
      <c r="H979" s="39">
        <v>5.7546692772684427E-2</v>
      </c>
      <c r="I979" s="39">
        <v>0</v>
      </c>
      <c r="J979" s="39">
        <v>5.7546692772684427E-2</v>
      </c>
    </row>
    <row r="980" spans="1:10" ht="11.25" customHeight="1" x14ac:dyDescent="0.2">
      <c r="A980" s="74">
        <v>44378</v>
      </c>
      <c r="B980" s="65">
        <v>113974.7461168008</v>
      </c>
      <c r="C980" s="65">
        <v>120533.61581542905</v>
      </c>
      <c r="D980" s="65">
        <v>0</v>
      </c>
      <c r="E980" s="65">
        <v>0</v>
      </c>
      <c r="F980" s="65">
        <v>0</v>
      </c>
      <c r="G980" s="65">
        <v>0</v>
      </c>
      <c r="H980" s="39">
        <v>5.7546692772684427E-2</v>
      </c>
      <c r="I980" s="39">
        <v>0</v>
      </c>
      <c r="J980" s="39">
        <v>5.7546692772684427E-2</v>
      </c>
    </row>
    <row r="981" spans="1:10" ht="11.25" customHeight="1" x14ac:dyDescent="0.2">
      <c r="A981" s="74">
        <v>44409</v>
      </c>
      <c r="B981" s="65">
        <v>109200.25914336</v>
      </c>
      <c r="C981" s="65">
        <v>115484.37290698047</v>
      </c>
      <c r="D981" s="65">
        <v>0</v>
      </c>
      <c r="E981" s="65">
        <v>0</v>
      </c>
      <c r="F981" s="65">
        <v>0</v>
      </c>
      <c r="G981" s="65">
        <v>0</v>
      </c>
      <c r="H981" s="39">
        <v>5.7546692772684427E-2</v>
      </c>
      <c r="I981" s="39">
        <v>0</v>
      </c>
      <c r="J981" s="39">
        <v>5.7546692772684427E-2</v>
      </c>
    </row>
    <row r="982" spans="1:10" ht="11.25" customHeight="1" x14ac:dyDescent="0.2">
      <c r="A982" s="74">
        <v>44440</v>
      </c>
      <c r="B982" s="65">
        <v>109449.41837454239</v>
      </c>
      <c r="C982" s="65">
        <v>115747.87042789119</v>
      </c>
      <c r="D982" s="65">
        <v>0</v>
      </c>
      <c r="E982" s="65">
        <v>0</v>
      </c>
      <c r="F982" s="65">
        <v>0</v>
      </c>
      <c r="G982" s="65">
        <v>0</v>
      </c>
      <c r="H982" s="39">
        <v>5.7546692772684427E-2</v>
      </c>
      <c r="I982" s="39">
        <v>0</v>
      </c>
      <c r="J982" s="39">
        <v>5.7546692772684427E-2</v>
      </c>
    </row>
    <row r="983" spans="1:10" ht="11.25" customHeight="1" x14ac:dyDescent="0.2">
      <c r="A983" s="74">
        <v>44470</v>
      </c>
      <c r="B983" s="65">
        <v>142561.21976933759</v>
      </c>
      <c r="C983" s="65">
        <v>150765.1464847028</v>
      </c>
      <c r="D983" s="65">
        <v>0</v>
      </c>
      <c r="E983" s="65">
        <v>0</v>
      </c>
      <c r="F983" s="65">
        <v>0</v>
      </c>
      <c r="G983" s="65">
        <v>0</v>
      </c>
      <c r="H983" s="39">
        <v>5.7546692772684427E-2</v>
      </c>
      <c r="I983" s="39">
        <v>0</v>
      </c>
      <c r="J983" s="39">
        <v>5.7546692772684427E-2</v>
      </c>
    </row>
    <row r="984" spans="1:10" ht="11.25" customHeight="1" x14ac:dyDescent="0.2">
      <c r="A984" s="74">
        <v>44501</v>
      </c>
      <c r="B984" s="65">
        <v>98896.46323418399</v>
      </c>
      <c r="C984" s="65">
        <v>104587.62762022666</v>
      </c>
      <c r="D984" s="65">
        <v>0</v>
      </c>
      <c r="E984" s="65">
        <v>0</v>
      </c>
      <c r="F984" s="65">
        <v>0</v>
      </c>
      <c r="G984" s="65">
        <v>0</v>
      </c>
      <c r="H984" s="39">
        <v>5.7546692772684427E-2</v>
      </c>
      <c r="I984" s="39">
        <v>0</v>
      </c>
      <c r="J984" s="39">
        <v>5.7546692772684427E-2</v>
      </c>
    </row>
    <row r="985" spans="1:10" ht="11.25" customHeight="1" x14ac:dyDescent="0.2">
      <c r="A985" s="74">
        <v>44531</v>
      </c>
      <c r="B985" s="65">
        <v>111827.7239541</v>
      </c>
      <c r="C985" s="65">
        <v>118263.03962795515</v>
      </c>
      <c r="D985" s="65">
        <v>0</v>
      </c>
      <c r="E985" s="65">
        <v>0</v>
      </c>
      <c r="F985" s="65">
        <v>0</v>
      </c>
      <c r="G985" s="65">
        <v>0</v>
      </c>
      <c r="H985" s="39">
        <v>5.7546692772684427E-2</v>
      </c>
      <c r="I985" s="39">
        <v>0</v>
      </c>
      <c r="J985" s="39">
        <v>5.7546692772684427E-2</v>
      </c>
    </row>
    <row r="986" spans="1:10" ht="11.25" customHeight="1" x14ac:dyDescent="0.2">
      <c r="A986" s="74">
        <v>44562</v>
      </c>
      <c r="B986" s="65">
        <v>111827.7239541</v>
      </c>
      <c r="C986" s="65">
        <v>118263.03962795515</v>
      </c>
      <c r="D986" s="65">
        <v>0</v>
      </c>
      <c r="E986" s="65">
        <v>0</v>
      </c>
      <c r="F986" s="65">
        <v>0</v>
      </c>
      <c r="G986" s="65">
        <v>0</v>
      </c>
      <c r="H986" s="39">
        <v>5.7546692772684427E-2</v>
      </c>
      <c r="I986" s="39">
        <v>0</v>
      </c>
      <c r="J986" s="39">
        <v>5.7546692772684427E-2</v>
      </c>
    </row>
    <row r="987" spans="1:10" ht="11.25" customHeight="1" x14ac:dyDescent="0.2">
      <c r="A987" s="73" t="s">
        <v>34</v>
      </c>
      <c r="B987" s="65">
        <v>0</v>
      </c>
      <c r="C987" s="65">
        <v>0</v>
      </c>
      <c r="D987" s="65">
        <v>1885331.1910473004</v>
      </c>
      <c r="E987" s="65">
        <v>2035881.75768511</v>
      </c>
      <c r="F987" s="65">
        <v>0</v>
      </c>
      <c r="G987" s="65">
        <v>0</v>
      </c>
      <c r="H987" s="39">
        <v>7.9853644469849883E-2</v>
      </c>
      <c r="I987" s="39">
        <v>0</v>
      </c>
      <c r="J987" s="39">
        <v>7.9853644469849883E-2</v>
      </c>
    </row>
    <row r="988" spans="1:10" ht="11.25" customHeight="1" x14ac:dyDescent="0.2">
      <c r="A988" s="74">
        <v>44228</v>
      </c>
      <c r="B988" s="65">
        <v>0</v>
      </c>
      <c r="C988" s="65">
        <v>0</v>
      </c>
      <c r="D988" s="65">
        <v>153329.18933174398</v>
      </c>
      <c r="E988" s="65">
        <v>165573.08390349138</v>
      </c>
      <c r="F988" s="65">
        <v>0</v>
      </c>
      <c r="G988" s="65">
        <v>0</v>
      </c>
      <c r="H988" s="39">
        <v>7.9853644469849883E-2</v>
      </c>
      <c r="I988" s="39">
        <v>0</v>
      </c>
      <c r="J988" s="39">
        <v>7.9853644469849883E-2</v>
      </c>
    </row>
    <row r="989" spans="1:10" ht="11.25" customHeight="1" x14ac:dyDescent="0.2">
      <c r="A989" s="74">
        <v>44256</v>
      </c>
      <c r="B989" s="65">
        <v>0</v>
      </c>
      <c r="C989" s="65">
        <v>0</v>
      </c>
      <c r="D989" s="65">
        <v>119084.69161151379</v>
      </c>
      <c r="E989" s="65">
        <v>128594.03823726134</v>
      </c>
      <c r="F989" s="65">
        <v>0</v>
      </c>
      <c r="G989" s="65">
        <v>0</v>
      </c>
      <c r="H989" s="39">
        <v>7.9853644469850105E-2</v>
      </c>
      <c r="I989" s="39">
        <v>0</v>
      </c>
      <c r="J989" s="39">
        <v>7.9853644469850105E-2</v>
      </c>
    </row>
    <row r="990" spans="1:10" ht="11.25" customHeight="1" x14ac:dyDescent="0.2">
      <c r="A990" s="74">
        <v>44287</v>
      </c>
      <c r="B990" s="65">
        <v>0</v>
      </c>
      <c r="C990" s="65">
        <v>0</v>
      </c>
      <c r="D990" s="65">
        <v>146847.62127450458</v>
      </c>
      <c r="E990" s="65">
        <v>158573.93901500205</v>
      </c>
      <c r="F990" s="65">
        <v>0</v>
      </c>
      <c r="G990" s="65">
        <v>0</v>
      </c>
      <c r="H990" s="39">
        <v>7.9853644469850105E-2</v>
      </c>
      <c r="I990" s="39">
        <v>0</v>
      </c>
      <c r="J990" s="39">
        <v>7.9853644469850105E-2</v>
      </c>
    </row>
    <row r="991" spans="1:10" ht="11.25" customHeight="1" x14ac:dyDescent="0.2">
      <c r="A991" s="74">
        <v>44317</v>
      </c>
      <c r="B991" s="65">
        <v>0</v>
      </c>
      <c r="C991" s="65">
        <v>0</v>
      </c>
      <c r="D991" s="65">
        <v>133614.09241764832</v>
      </c>
      <c r="E991" s="65">
        <v>144283.66464972889</v>
      </c>
      <c r="F991" s="65">
        <v>0</v>
      </c>
      <c r="G991" s="65">
        <v>0</v>
      </c>
      <c r="H991" s="39">
        <v>7.9853644469849883E-2</v>
      </c>
      <c r="I991" s="39">
        <v>0</v>
      </c>
      <c r="J991" s="39">
        <v>7.9853644469849883E-2</v>
      </c>
    </row>
    <row r="992" spans="1:10" ht="11.25" customHeight="1" x14ac:dyDescent="0.2">
      <c r="A992" s="74">
        <v>44348</v>
      </c>
      <c r="B992" s="65">
        <v>0</v>
      </c>
      <c r="C992" s="65">
        <v>0</v>
      </c>
      <c r="D992" s="65">
        <v>138298.24216991238</v>
      </c>
      <c r="E992" s="65">
        <v>149341.86083095375</v>
      </c>
      <c r="F992" s="65">
        <v>0</v>
      </c>
      <c r="G992" s="65">
        <v>0</v>
      </c>
      <c r="H992" s="39">
        <v>7.9853644469849883E-2</v>
      </c>
      <c r="I992" s="39">
        <v>0</v>
      </c>
      <c r="J992" s="39">
        <v>7.9853644469849883E-2</v>
      </c>
    </row>
    <row r="993" spans="1:10" ht="11.25" customHeight="1" x14ac:dyDescent="0.2">
      <c r="A993" s="74">
        <v>44378</v>
      </c>
      <c r="B993" s="65">
        <v>0</v>
      </c>
      <c r="C993" s="65">
        <v>0</v>
      </c>
      <c r="D993" s="65">
        <v>149907.52220838677</v>
      </c>
      <c r="E993" s="65">
        <v>161878.18419017142</v>
      </c>
      <c r="F993" s="65">
        <v>0</v>
      </c>
      <c r="G993" s="65">
        <v>0</v>
      </c>
      <c r="H993" s="39">
        <v>7.9853644469849883E-2</v>
      </c>
      <c r="I993" s="39">
        <v>0</v>
      </c>
      <c r="J993" s="39">
        <v>7.9853644469849883E-2</v>
      </c>
    </row>
    <row r="994" spans="1:10" ht="11.25" customHeight="1" x14ac:dyDescent="0.2">
      <c r="A994" s="74">
        <v>44409</v>
      </c>
      <c r="B994" s="65">
        <v>0</v>
      </c>
      <c r="C994" s="65">
        <v>0</v>
      </c>
      <c r="D994" s="65">
        <v>152710.81179493127</v>
      </c>
      <c r="E994" s="65">
        <v>164905.32666670589</v>
      </c>
      <c r="F994" s="65">
        <v>0</v>
      </c>
      <c r="G994" s="65">
        <v>0</v>
      </c>
      <c r="H994" s="39">
        <v>7.9853644469850105E-2</v>
      </c>
      <c r="I994" s="39">
        <v>0</v>
      </c>
      <c r="J994" s="39">
        <v>7.9853644469850105E-2</v>
      </c>
    </row>
    <row r="995" spans="1:10" ht="11.25" customHeight="1" x14ac:dyDescent="0.2">
      <c r="A995" s="74">
        <v>44440</v>
      </c>
      <c r="B995" s="65">
        <v>0</v>
      </c>
      <c r="C995" s="65">
        <v>0</v>
      </c>
      <c r="D995" s="65">
        <v>160522.60076450693</v>
      </c>
      <c r="E995" s="65">
        <v>173340.91545533153</v>
      </c>
      <c r="F995" s="65">
        <v>0</v>
      </c>
      <c r="G995" s="65">
        <v>0</v>
      </c>
      <c r="H995" s="39">
        <v>7.9853644469849883E-2</v>
      </c>
      <c r="I995" s="39">
        <v>0</v>
      </c>
      <c r="J995" s="39">
        <v>7.9853644469849883E-2</v>
      </c>
    </row>
    <row r="996" spans="1:10" ht="11.25" customHeight="1" x14ac:dyDescent="0.2">
      <c r="A996" s="74">
        <v>44470</v>
      </c>
      <c r="B996" s="65">
        <v>0</v>
      </c>
      <c r="C996" s="65">
        <v>0</v>
      </c>
      <c r="D996" s="65">
        <v>205565.90289318829</v>
      </c>
      <c r="E996" s="65">
        <v>221981.08941794466</v>
      </c>
      <c r="F996" s="65">
        <v>0</v>
      </c>
      <c r="G996" s="65">
        <v>0</v>
      </c>
      <c r="H996" s="39">
        <v>7.9853644469850105E-2</v>
      </c>
      <c r="I996" s="39">
        <v>0</v>
      </c>
      <c r="J996" s="39">
        <v>7.9853644469850105E-2</v>
      </c>
    </row>
    <row r="997" spans="1:10" ht="11.25" customHeight="1" x14ac:dyDescent="0.2">
      <c r="A997" s="74">
        <v>44501</v>
      </c>
      <c r="B997" s="65">
        <v>0</v>
      </c>
      <c r="C997" s="65">
        <v>0</v>
      </c>
      <c r="D997" s="65">
        <v>151290.712474434</v>
      </c>
      <c r="E997" s="65">
        <v>163371.82723995775</v>
      </c>
      <c r="F997" s="65">
        <v>0</v>
      </c>
      <c r="G997" s="65">
        <v>0</v>
      </c>
      <c r="H997" s="39">
        <v>7.9853644469850105E-2</v>
      </c>
      <c r="I997" s="39">
        <v>0</v>
      </c>
      <c r="J997" s="39">
        <v>7.9853644469850105E-2</v>
      </c>
    </row>
    <row r="998" spans="1:10" ht="11.25" customHeight="1" x14ac:dyDescent="0.2">
      <c r="A998" s="74">
        <v>44531</v>
      </c>
      <c r="B998" s="65">
        <v>0</v>
      </c>
      <c r="C998" s="65">
        <v>0</v>
      </c>
      <c r="D998" s="65">
        <v>187079.90205326493</v>
      </c>
      <c r="E998" s="65">
        <v>202018.9140392807</v>
      </c>
      <c r="F998" s="65">
        <v>0</v>
      </c>
      <c r="G998" s="65">
        <v>0</v>
      </c>
      <c r="H998" s="39">
        <v>7.9853644469849883E-2</v>
      </c>
      <c r="I998" s="39">
        <v>0</v>
      </c>
      <c r="J998" s="39">
        <v>7.9853644469849883E-2</v>
      </c>
    </row>
    <row r="999" spans="1:10" ht="11.25" customHeight="1" x14ac:dyDescent="0.2">
      <c r="A999" s="74">
        <v>44562</v>
      </c>
      <c r="B999" s="65">
        <v>0</v>
      </c>
      <c r="C999" s="65">
        <v>0</v>
      </c>
      <c r="D999" s="65">
        <v>187079.90205326493</v>
      </c>
      <c r="E999" s="65">
        <v>202018.9140392807</v>
      </c>
      <c r="F999" s="65">
        <v>0</v>
      </c>
      <c r="G999" s="65">
        <v>0</v>
      </c>
      <c r="H999" s="39">
        <v>7.9853644469849883E-2</v>
      </c>
      <c r="I999" s="39">
        <v>0</v>
      </c>
      <c r="J999" s="39">
        <v>7.9853644469849883E-2</v>
      </c>
    </row>
    <row r="1000" spans="1:10" ht="11.25" customHeight="1" x14ac:dyDescent="0.2">
      <c r="A1000" s="71" t="s">
        <v>25</v>
      </c>
      <c r="B1000" s="65">
        <v>575060.64</v>
      </c>
      <c r="C1000" s="65">
        <v>608153.47797574312</v>
      </c>
      <c r="D1000" s="65">
        <v>843592.43240000028</v>
      </c>
      <c r="E1000" s="65">
        <v>975317.12558991858</v>
      </c>
      <c r="F1000" s="65">
        <v>0</v>
      </c>
      <c r="G1000" s="65">
        <v>0</v>
      </c>
      <c r="H1000" s="39">
        <v>0.11617888430385026</v>
      </c>
      <c r="I1000" s="39">
        <v>0</v>
      </c>
      <c r="J1000" s="39">
        <v>0.11617888430385026</v>
      </c>
    </row>
    <row r="1001" spans="1:10" ht="11.25" customHeight="1" x14ac:dyDescent="0.2">
      <c r="A1001" s="72" t="s">
        <v>25</v>
      </c>
      <c r="B1001" s="65">
        <v>575060.64</v>
      </c>
      <c r="C1001" s="65">
        <v>608153.47797574312</v>
      </c>
      <c r="D1001" s="65">
        <v>843592.43240000028</v>
      </c>
      <c r="E1001" s="65">
        <v>975317.12558991858</v>
      </c>
      <c r="F1001" s="65">
        <v>0</v>
      </c>
      <c r="G1001" s="65">
        <v>0</v>
      </c>
      <c r="H1001" s="39">
        <v>0.11617888430385026</v>
      </c>
      <c r="I1001" s="39">
        <v>0</v>
      </c>
      <c r="J1001" s="39">
        <v>0.11617888430385026</v>
      </c>
    </row>
    <row r="1002" spans="1:10" ht="11.25" customHeight="1" x14ac:dyDescent="0.2">
      <c r="A1002" s="73" t="s">
        <v>35</v>
      </c>
      <c r="B1002" s="65">
        <v>0</v>
      </c>
      <c r="C1002" s="65">
        <v>0</v>
      </c>
      <c r="D1002" s="65">
        <v>488823.69149999996</v>
      </c>
      <c r="E1002" s="65">
        <v>592218.80778507353</v>
      </c>
      <c r="F1002" s="65">
        <v>0</v>
      </c>
      <c r="G1002" s="65">
        <v>0</v>
      </c>
      <c r="H1002" s="39">
        <v>0.211518218292154</v>
      </c>
      <c r="I1002" s="39">
        <v>0</v>
      </c>
      <c r="J1002" s="39">
        <v>0.211518218292154</v>
      </c>
    </row>
    <row r="1003" spans="1:10" ht="11.25" customHeight="1" x14ac:dyDescent="0.2">
      <c r="A1003" s="74">
        <v>44228</v>
      </c>
      <c r="B1003" s="65">
        <v>0</v>
      </c>
      <c r="C1003" s="65">
        <v>0</v>
      </c>
      <c r="D1003" s="65">
        <v>35675.974349999997</v>
      </c>
      <c r="E1003" s="65">
        <v>43222.092880348588</v>
      </c>
      <c r="F1003" s="65">
        <v>0</v>
      </c>
      <c r="G1003" s="65">
        <v>0</v>
      </c>
      <c r="H1003" s="39">
        <v>0.21151821829215423</v>
      </c>
      <c r="I1003" s="39">
        <v>0</v>
      </c>
      <c r="J1003" s="39">
        <v>0.21151821829215423</v>
      </c>
    </row>
    <row r="1004" spans="1:10" ht="11.25" customHeight="1" x14ac:dyDescent="0.2">
      <c r="A1004" s="74">
        <v>44256</v>
      </c>
      <c r="B1004" s="65">
        <v>0</v>
      </c>
      <c r="C1004" s="65">
        <v>0</v>
      </c>
      <c r="D1004" s="65">
        <v>42042.414150000004</v>
      </c>
      <c r="E1004" s="65">
        <v>50935.150683708845</v>
      </c>
      <c r="F1004" s="65">
        <v>0</v>
      </c>
      <c r="G1004" s="65">
        <v>0</v>
      </c>
      <c r="H1004" s="39">
        <v>0.211518218292154</v>
      </c>
      <c r="I1004" s="39">
        <v>0</v>
      </c>
      <c r="J1004" s="39">
        <v>0.211518218292154</v>
      </c>
    </row>
    <row r="1005" spans="1:10" ht="11.25" customHeight="1" x14ac:dyDescent="0.2">
      <c r="A1005" s="74">
        <v>44287</v>
      </c>
      <c r="B1005" s="65">
        <v>0</v>
      </c>
      <c r="C1005" s="65">
        <v>0</v>
      </c>
      <c r="D1005" s="65">
        <v>43664.9283</v>
      </c>
      <c r="E1005" s="65">
        <v>52900.85613587065</v>
      </c>
      <c r="F1005" s="65">
        <v>0</v>
      </c>
      <c r="G1005" s="65">
        <v>0</v>
      </c>
      <c r="H1005" s="39">
        <v>0.211518218292154</v>
      </c>
      <c r="I1005" s="39">
        <v>0</v>
      </c>
      <c r="J1005" s="39">
        <v>0.211518218292154</v>
      </c>
    </row>
    <row r="1006" spans="1:10" ht="11.25" customHeight="1" x14ac:dyDescent="0.2">
      <c r="A1006" s="74">
        <v>44317</v>
      </c>
      <c r="B1006" s="65">
        <v>0</v>
      </c>
      <c r="C1006" s="65">
        <v>0</v>
      </c>
      <c r="D1006" s="65">
        <v>31585.838399999997</v>
      </c>
      <c r="E1006" s="65">
        <v>38266.8186616319</v>
      </c>
      <c r="F1006" s="65">
        <v>0</v>
      </c>
      <c r="G1006" s="65">
        <v>0</v>
      </c>
      <c r="H1006" s="39">
        <v>0.211518218292154</v>
      </c>
      <c r="I1006" s="39">
        <v>0</v>
      </c>
      <c r="J1006" s="39">
        <v>0.211518218292154</v>
      </c>
    </row>
    <row r="1007" spans="1:10" ht="11.25" customHeight="1" x14ac:dyDescent="0.2">
      <c r="A1007" s="74">
        <v>44348</v>
      </c>
      <c r="B1007" s="65">
        <v>0</v>
      </c>
      <c r="C1007" s="65">
        <v>0</v>
      </c>
      <c r="D1007" s="65">
        <v>36126.747899999995</v>
      </c>
      <c r="E1007" s="65">
        <v>43768.213248497814</v>
      </c>
      <c r="F1007" s="65">
        <v>0</v>
      </c>
      <c r="G1007" s="65">
        <v>0</v>
      </c>
      <c r="H1007" s="39">
        <v>0.211518218292154</v>
      </c>
      <c r="I1007" s="39">
        <v>0</v>
      </c>
      <c r="J1007" s="39">
        <v>0.211518218292154</v>
      </c>
    </row>
    <row r="1008" spans="1:10" ht="11.25" customHeight="1" x14ac:dyDescent="0.2">
      <c r="A1008" s="74">
        <v>44378</v>
      </c>
      <c r="B1008" s="65">
        <v>0</v>
      </c>
      <c r="C1008" s="65">
        <v>0</v>
      </c>
      <c r="D1008" s="65">
        <v>37452.616649999996</v>
      </c>
      <c r="E1008" s="65">
        <v>45374.527394187062</v>
      </c>
      <c r="F1008" s="65">
        <v>0</v>
      </c>
      <c r="G1008" s="65">
        <v>0</v>
      </c>
      <c r="H1008" s="39">
        <v>0.21151821829215423</v>
      </c>
      <c r="I1008" s="39">
        <v>0</v>
      </c>
      <c r="J1008" s="39">
        <v>0.21151821829215423</v>
      </c>
    </row>
    <row r="1009" spans="1:10" ht="11.25" customHeight="1" x14ac:dyDescent="0.2">
      <c r="A1009" s="74">
        <v>44409</v>
      </c>
      <c r="B1009" s="65">
        <v>0</v>
      </c>
      <c r="C1009" s="65">
        <v>0</v>
      </c>
      <c r="D1009" s="65">
        <v>43256.189699999995</v>
      </c>
      <c r="E1009" s="65">
        <v>52405.66187545142</v>
      </c>
      <c r="F1009" s="65">
        <v>0</v>
      </c>
      <c r="G1009" s="65">
        <v>0</v>
      </c>
      <c r="H1009" s="39">
        <v>0.211518218292154</v>
      </c>
      <c r="I1009" s="39">
        <v>0</v>
      </c>
      <c r="J1009" s="39">
        <v>0.211518218292154</v>
      </c>
    </row>
    <row r="1010" spans="1:10" ht="11.25" customHeight="1" x14ac:dyDescent="0.2">
      <c r="A1010" s="74">
        <v>44440</v>
      </c>
      <c r="B1010" s="65">
        <v>0</v>
      </c>
      <c r="C1010" s="65">
        <v>0</v>
      </c>
      <c r="D1010" s="65">
        <v>46216.270799999998</v>
      </c>
      <c r="E1010" s="65">
        <v>55991.854055723699</v>
      </c>
      <c r="F1010" s="65">
        <v>0</v>
      </c>
      <c r="G1010" s="65">
        <v>0</v>
      </c>
      <c r="H1010" s="39">
        <v>0.211518218292154</v>
      </c>
      <c r="I1010" s="39">
        <v>0</v>
      </c>
      <c r="J1010" s="39">
        <v>0.211518218292154</v>
      </c>
    </row>
    <row r="1011" spans="1:10" ht="11.25" customHeight="1" x14ac:dyDescent="0.2">
      <c r="A1011" s="74">
        <v>44470</v>
      </c>
      <c r="B1011" s="65">
        <v>0</v>
      </c>
      <c r="C1011" s="65">
        <v>0</v>
      </c>
      <c r="D1011" s="65">
        <v>43735.1175</v>
      </c>
      <c r="E1011" s="65">
        <v>52985.891630398008</v>
      </c>
      <c r="F1011" s="65">
        <v>0</v>
      </c>
      <c r="G1011" s="65">
        <v>0</v>
      </c>
      <c r="H1011" s="39">
        <v>0.211518218292154</v>
      </c>
      <c r="I1011" s="39">
        <v>0</v>
      </c>
      <c r="J1011" s="39">
        <v>0.211518218292154</v>
      </c>
    </row>
    <row r="1012" spans="1:10" ht="11.25" customHeight="1" x14ac:dyDescent="0.2">
      <c r="A1012" s="74">
        <v>44501</v>
      </c>
      <c r="B1012" s="65">
        <v>0</v>
      </c>
      <c r="C1012" s="65">
        <v>0</v>
      </c>
      <c r="D1012" s="65">
        <v>45901.248749999999</v>
      </c>
      <c r="E1012" s="65">
        <v>55610.19910298496</v>
      </c>
      <c r="F1012" s="65">
        <v>0</v>
      </c>
      <c r="G1012" s="65">
        <v>0</v>
      </c>
      <c r="H1012" s="39">
        <v>0.211518218292154</v>
      </c>
      <c r="I1012" s="39">
        <v>0</v>
      </c>
      <c r="J1012" s="39">
        <v>0.211518218292154</v>
      </c>
    </row>
    <row r="1013" spans="1:10" ht="11.25" customHeight="1" x14ac:dyDescent="0.2">
      <c r="A1013" s="74">
        <v>44531</v>
      </c>
      <c r="B1013" s="65">
        <v>0</v>
      </c>
      <c r="C1013" s="65">
        <v>0</v>
      </c>
      <c r="D1013" s="65">
        <v>41583.172500000001</v>
      </c>
      <c r="E1013" s="65">
        <v>50378.771058135295</v>
      </c>
      <c r="F1013" s="65">
        <v>0</v>
      </c>
      <c r="G1013" s="65">
        <v>0</v>
      </c>
      <c r="H1013" s="39">
        <v>0.211518218292154</v>
      </c>
      <c r="I1013" s="39">
        <v>0</v>
      </c>
      <c r="J1013" s="39">
        <v>0.211518218292154</v>
      </c>
    </row>
    <row r="1014" spans="1:10" ht="11.25" customHeight="1" x14ac:dyDescent="0.2">
      <c r="A1014" s="74">
        <v>44562</v>
      </c>
      <c r="B1014" s="65">
        <v>0</v>
      </c>
      <c r="C1014" s="65">
        <v>0</v>
      </c>
      <c r="D1014" s="65">
        <v>41583.172500000001</v>
      </c>
      <c r="E1014" s="65">
        <v>50378.771058135295</v>
      </c>
      <c r="F1014" s="65">
        <v>0</v>
      </c>
      <c r="G1014" s="65">
        <v>0</v>
      </c>
      <c r="H1014" s="39">
        <v>0.211518218292154</v>
      </c>
      <c r="I1014" s="39">
        <v>0</v>
      </c>
      <c r="J1014" s="39">
        <v>0.211518218292154</v>
      </c>
    </row>
    <row r="1015" spans="1:10" ht="11.25" customHeight="1" x14ac:dyDescent="0.2">
      <c r="A1015" s="73" t="s">
        <v>25</v>
      </c>
      <c r="B1015" s="65">
        <v>575060.64</v>
      </c>
      <c r="C1015" s="65">
        <v>608153.47797574312</v>
      </c>
      <c r="D1015" s="65">
        <v>0</v>
      </c>
      <c r="E1015" s="65">
        <v>0</v>
      </c>
      <c r="F1015" s="65">
        <v>0</v>
      </c>
      <c r="G1015" s="65">
        <v>0</v>
      </c>
      <c r="H1015" s="39">
        <v>5.7546692772684205E-2</v>
      </c>
      <c r="I1015" s="39">
        <v>0</v>
      </c>
      <c r="J1015" s="39">
        <v>5.7546692772684205E-2</v>
      </c>
    </row>
    <row r="1016" spans="1:10" ht="11.25" customHeight="1" x14ac:dyDescent="0.2">
      <c r="A1016" s="74">
        <v>44228</v>
      </c>
      <c r="B1016" s="65">
        <v>46200</v>
      </c>
      <c r="C1016" s="65">
        <v>48858.657206098018</v>
      </c>
      <c r="D1016" s="65">
        <v>0</v>
      </c>
      <c r="E1016" s="65">
        <v>0</v>
      </c>
      <c r="F1016" s="65">
        <v>0</v>
      </c>
      <c r="G1016" s="65">
        <v>0</v>
      </c>
      <c r="H1016" s="39">
        <v>5.7546692772684427E-2</v>
      </c>
      <c r="I1016" s="39">
        <v>0</v>
      </c>
      <c r="J1016" s="39">
        <v>5.7546692772684427E-2</v>
      </c>
    </row>
    <row r="1017" spans="1:10" ht="11.25" customHeight="1" x14ac:dyDescent="0.2">
      <c r="A1017" s="74">
        <v>44256</v>
      </c>
      <c r="B1017" s="65">
        <v>54220.32</v>
      </c>
      <c r="C1017" s="65">
        <v>57340.520097076638</v>
      </c>
      <c r="D1017" s="65">
        <v>0</v>
      </c>
      <c r="E1017" s="65">
        <v>0</v>
      </c>
      <c r="F1017" s="65">
        <v>0</v>
      </c>
      <c r="G1017" s="65">
        <v>0</v>
      </c>
      <c r="H1017" s="39">
        <v>5.7546692772684427E-2</v>
      </c>
      <c r="I1017" s="39">
        <v>0</v>
      </c>
      <c r="J1017" s="39">
        <v>5.7546692772684427E-2</v>
      </c>
    </row>
    <row r="1018" spans="1:10" ht="11.25" customHeight="1" x14ac:dyDescent="0.2">
      <c r="A1018" s="74">
        <v>44287</v>
      </c>
      <c r="B1018" s="65">
        <v>54220.32</v>
      </c>
      <c r="C1018" s="65">
        <v>57340.520097076638</v>
      </c>
      <c r="D1018" s="65">
        <v>0</v>
      </c>
      <c r="E1018" s="65">
        <v>0</v>
      </c>
      <c r="F1018" s="65">
        <v>0</v>
      </c>
      <c r="G1018" s="65">
        <v>0</v>
      </c>
      <c r="H1018" s="39">
        <v>5.7546692772684427E-2</v>
      </c>
      <c r="I1018" s="39">
        <v>0</v>
      </c>
      <c r="J1018" s="39">
        <v>5.7546692772684427E-2</v>
      </c>
    </row>
    <row r="1019" spans="1:10" ht="11.25" customHeight="1" x14ac:dyDescent="0.2">
      <c r="A1019" s="74">
        <v>44317</v>
      </c>
      <c r="B1019" s="65">
        <v>46200</v>
      </c>
      <c r="C1019" s="65">
        <v>48858.657206098018</v>
      </c>
      <c r="D1019" s="65">
        <v>0</v>
      </c>
      <c r="E1019" s="65">
        <v>0</v>
      </c>
      <c r="F1019" s="65">
        <v>0</v>
      </c>
      <c r="G1019" s="65">
        <v>0</v>
      </c>
      <c r="H1019" s="39">
        <v>5.7546692772684427E-2</v>
      </c>
      <c r="I1019" s="39">
        <v>0</v>
      </c>
      <c r="J1019" s="39">
        <v>5.7546692772684427E-2</v>
      </c>
    </row>
    <row r="1020" spans="1:10" ht="11.25" customHeight="1" x14ac:dyDescent="0.2">
      <c r="A1020" s="74">
        <v>44348</v>
      </c>
      <c r="B1020" s="65">
        <v>46200</v>
      </c>
      <c r="C1020" s="65">
        <v>48858.657206098018</v>
      </c>
      <c r="D1020" s="65">
        <v>0</v>
      </c>
      <c r="E1020" s="65">
        <v>0</v>
      </c>
      <c r="F1020" s="65">
        <v>0</v>
      </c>
      <c r="G1020" s="65">
        <v>0</v>
      </c>
      <c r="H1020" s="39">
        <v>5.7546692772684427E-2</v>
      </c>
      <c r="I1020" s="39">
        <v>0</v>
      </c>
      <c r="J1020" s="39">
        <v>5.7546692772684427E-2</v>
      </c>
    </row>
    <row r="1021" spans="1:10" ht="11.25" customHeight="1" x14ac:dyDescent="0.2">
      <c r="A1021" s="74">
        <v>44378</v>
      </c>
      <c r="B1021" s="65">
        <v>47124</v>
      </c>
      <c r="C1021" s="65">
        <v>49835.830350219978</v>
      </c>
      <c r="D1021" s="65">
        <v>0</v>
      </c>
      <c r="E1021" s="65">
        <v>0</v>
      </c>
      <c r="F1021" s="65">
        <v>0</v>
      </c>
      <c r="G1021" s="65">
        <v>0</v>
      </c>
      <c r="H1021" s="39">
        <v>5.7546692772684427E-2</v>
      </c>
      <c r="I1021" s="39">
        <v>0</v>
      </c>
      <c r="J1021" s="39">
        <v>5.7546692772684427E-2</v>
      </c>
    </row>
    <row r="1022" spans="1:10" ht="11.25" customHeight="1" x14ac:dyDescent="0.2">
      <c r="A1022" s="74">
        <v>44409</v>
      </c>
      <c r="B1022" s="65">
        <v>47124</v>
      </c>
      <c r="C1022" s="65">
        <v>49835.830350219978</v>
      </c>
      <c r="D1022" s="65">
        <v>0</v>
      </c>
      <c r="E1022" s="65">
        <v>0</v>
      </c>
      <c r="F1022" s="65">
        <v>0</v>
      </c>
      <c r="G1022" s="65">
        <v>0</v>
      </c>
      <c r="H1022" s="39">
        <v>5.7546692772684427E-2</v>
      </c>
      <c r="I1022" s="39">
        <v>0</v>
      </c>
      <c r="J1022" s="39">
        <v>5.7546692772684427E-2</v>
      </c>
    </row>
    <row r="1023" spans="1:10" ht="11.25" customHeight="1" x14ac:dyDescent="0.2">
      <c r="A1023" s="74">
        <v>44440</v>
      </c>
      <c r="B1023" s="65">
        <v>47124</v>
      </c>
      <c r="C1023" s="65">
        <v>49835.830350219978</v>
      </c>
      <c r="D1023" s="65">
        <v>0</v>
      </c>
      <c r="E1023" s="65">
        <v>0</v>
      </c>
      <c r="F1023" s="65">
        <v>0</v>
      </c>
      <c r="G1023" s="65">
        <v>0</v>
      </c>
      <c r="H1023" s="39">
        <v>5.7546692772684427E-2</v>
      </c>
      <c r="I1023" s="39">
        <v>0</v>
      </c>
      <c r="J1023" s="39">
        <v>5.7546692772684427E-2</v>
      </c>
    </row>
    <row r="1024" spans="1:10" ht="11.25" customHeight="1" x14ac:dyDescent="0.2">
      <c r="A1024" s="74">
        <v>44470</v>
      </c>
      <c r="B1024" s="65">
        <v>47124</v>
      </c>
      <c r="C1024" s="65">
        <v>49835.830350219978</v>
      </c>
      <c r="D1024" s="65">
        <v>0</v>
      </c>
      <c r="E1024" s="65">
        <v>0</v>
      </c>
      <c r="F1024" s="65">
        <v>0</v>
      </c>
      <c r="G1024" s="65">
        <v>0</v>
      </c>
      <c r="H1024" s="39">
        <v>5.7546692772684427E-2</v>
      </c>
      <c r="I1024" s="39">
        <v>0</v>
      </c>
      <c r="J1024" s="39">
        <v>5.7546692772684427E-2</v>
      </c>
    </row>
    <row r="1025" spans="1:10" ht="11.25" customHeight="1" x14ac:dyDescent="0.2">
      <c r="A1025" s="74">
        <v>44501</v>
      </c>
      <c r="B1025" s="65">
        <v>47124</v>
      </c>
      <c r="C1025" s="65">
        <v>49835.830350219978</v>
      </c>
      <c r="D1025" s="65">
        <v>0</v>
      </c>
      <c r="E1025" s="65">
        <v>0</v>
      </c>
      <c r="F1025" s="65">
        <v>0</v>
      </c>
      <c r="G1025" s="65">
        <v>0</v>
      </c>
      <c r="H1025" s="39">
        <v>5.7546692772684427E-2</v>
      </c>
      <c r="I1025" s="39">
        <v>0</v>
      </c>
      <c r="J1025" s="39">
        <v>5.7546692772684427E-2</v>
      </c>
    </row>
    <row r="1026" spans="1:10" ht="11.25" customHeight="1" x14ac:dyDescent="0.2">
      <c r="A1026" s="74">
        <v>44531</v>
      </c>
      <c r="B1026" s="65">
        <v>46200</v>
      </c>
      <c r="C1026" s="65">
        <v>48858.657206098018</v>
      </c>
      <c r="D1026" s="65">
        <v>0</v>
      </c>
      <c r="E1026" s="65">
        <v>0</v>
      </c>
      <c r="F1026" s="65">
        <v>0</v>
      </c>
      <c r="G1026" s="65">
        <v>0</v>
      </c>
      <c r="H1026" s="39">
        <v>5.7546692772684427E-2</v>
      </c>
      <c r="I1026" s="39">
        <v>0</v>
      </c>
      <c r="J1026" s="39">
        <v>5.7546692772684427E-2</v>
      </c>
    </row>
    <row r="1027" spans="1:10" ht="11.25" customHeight="1" x14ac:dyDescent="0.2">
      <c r="A1027" s="74">
        <v>44562</v>
      </c>
      <c r="B1027" s="65">
        <v>46200</v>
      </c>
      <c r="C1027" s="65">
        <v>48858.657206098018</v>
      </c>
      <c r="D1027" s="65">
        <v>0</v>
      </c>
      <c r="E1027" s="65">
        <v>0</v>
      </c>
      <c r="F1027" s="65">
        <v>0</v>
      </c>
      <c r="G1027" s="65">
        <v>0</v>
      </c>
      <c r="H1027" s="39">
        <v>5.7546692772684427E-2</v>
      </c>
      <c r="I1027" s="39">
        <v>0</v>
      </c>
      <c r="J1027" s="39">
        <v>5.7546692772684427E-2</v>
      </c>
    </row>
    <row r="1028" spans="1:10" ht="11.25" customHeight="1" x14ac:dyDescent="0.2">
      <c r="A1028" s="73" t="s">
        <v>34</v>
      </c>
      <c r="B1028" s="65">
        <v>0</v>
      </c>
      <c r="C1028" s="65">
        <v>0</v>
      </c>
      <c r="D1028" s="65">
        <v>354768.74089999998</v>
      </c>
      <c r="E1028" s="65">
        <v>383098.31780484499</v>
      </c>
      <c r="F1028" s="65">
        <v>0</v>
      </c>
      <c r="G1028" s="65">
        <v>0</v>
      </c>
      <c r="H1028" s="39">
        <v>7.9853644469850327E-2</v>
      </c>
      <c r="I1028" s="39">
        <v>0</v>
      </c>
      <c r="J1028" s="39">
        <v>7.9853644469850327E-2</v>
      </c>
    </row>
    <row r="1029" spans="1:10" ht="11.25" customHeight="1" x14ac:dyDescent="0.2">
      <c r="A1029" s="74">
        <v>44228</v>
      </c>
      <c r="B1029" s="65">
        <v>0</v>
      </c>
      <c r="C1029" s="65">
        <v>0</v>
      </c>
      <c r="D1029" s="65">
        <v>22385.28558</v>
      </c>
      <c r="E1029" s="65">
        <v>24172.832216061379</v>
      </c>
      <c r="F1029" s="65">
        <v>0</v>
      </c>
      <c r="G1029" s="65">
        <v>0</v>
      </c>
      <c r="H1029" s="39">
        <v>7.9853644469849883E-2</v>
      </c>
      <c r="I1029" s="39">
        <v>0</v>
      </c>
      <c r="J1029" s="39">
        <v>7.9853644469849883E-2</v>
      </c>
    </row>
    <row r="1030" spans="1:10" ht="11.25" customHeight="1" x14ac:dyDescent="0.2">
      <c r="A1030" s="74">
        <v>44256</v>
      </c>
      <c r="B1030" s="65">
        <v>0</v>
      </c>
      <c r="C1030" s="65">
        <v>0</v>
      </c>
      <c r="D1030" s="65">
        <v>29732.846429999998</v>
      </c>
      <c r="E1030" s="65">
        <v>32107.122577897866</v>
      </c>
      <c r="F1030" s="65">
        <v>0</v>
      </c>
      <c r="G1030" s="65">
        <v>0</v>
      </c>
      <c r="H1030" s="39">
        <v>7.9853644469849883E-2</v>
      </c>
      <c r="I1030" s="39">
        <v>0</v>
      </c>
      <c r="J1030" s="39">
        <v>7.9853644469849883E-2</v>
      </c>
    </row>
    <row r="1031" spans="1:10" ht="11.25" customHeight="1" x14ac:dyDescent="0.2">
      <c r="A1031" s="74">
        <v>44287</v>
      </c>
      <c r="B1031" s="65">
        <v>0</v>
      </c>
      <c r="C1031" s="65">
        <v>0</v>
      </c>
      <c r="D1031" s="65">
        <v>39125.643549999993</v>
      </c>
      <c r="E1031" s="65">
        <v>42249.968779695773</v>
      </c>
      <c r="F1031" s="65">
        <v>0</v>
      </c>
      <c r="G1031" s="65">
        <v>0</v>
      </c>
      <c r="H1031" s="39">
        <v>7.9853644469850105E-2</v>
      </c>
      <c r="I1031" s="39">
        <v>0</v>
      </c>
      <c r="J1031" s="39">
        <v>7.9853644469850105E-2</v>
      </c>
    </row>
    <row r="1032" spans="1:10" ht="11.25" customHeight="1" x14ac:dyDescent="0.2">
      <c r="A1032" s="74">
        <v>44317</v>
      </c>
      <c r="B1032" s="65">
        <v>0</v>
      </c>
      <c r="C1032" s="65">
        <v>0</v>
      </c>
      <c r="D1032" s="65">
        <v>19658.618490000001</v>
      </c>
      <c r="E1032" s="65">
        <v>21228.430821668877</v>
      </c>
      <c r="F1032" s="65">
        <v>0</v>
      </c>
      <c r="G1032" s="65">
        <v>0</v>
      </c>
      <c r="H1032" s="39">
        <v>7.9853644469849883E-2</v>
      </c>
      <c r="I1032" s="39">
        <v>0</v>
      </c>
      <c r="J1032" s="39">
        <v>7.9853644469849883E-2</v>
      </c>
    </row>
    <row r="1033" spans="1:10" ht="11.25" customHeight="1" x14ac:dyDescent="0.2">
      <c r="A1033" s="74">
        <v>44348</v>
      </c>
      <c r="B1033" s="65">
        <v>0</v>
      </c>
      <c r="C1033" s="65">
        <v>0</v>
      </c>
      <c r="D1033" s="65">
        <v>23074.266879999999</v>
      </c>
      <c r="E1033" s="65">
        <v>24916.831183837952</v>
      </c>
      <c r="F1033" s="65">
        <v>0</v>
      </c>
      <c r="G1033" s="65">
        <v>0</v>
      </c>
      <c r="H1033" s="39">
        <v>7.9853644469849883E-2</v>
      </c>
      <c r="I1033" s="39">
        <v>0</v>
      </c>
      <c r="J1033" s="39">
        <v>7.9853644469849883E-2</v>
      </c>
    </row>
    <row r="1034" spans="1:10" ht="11.25" customHeight="1" x14ac:dyDescent="0.2">
      <c r="A1034" s="74">
        <v>44378</v>
      </c>
      <c r="B1034" s="65">
        <v>0</v>
      </c>
      <c r="C1034" s="65">
        <v>0</v>
      </c>
      <c r="D1034" s="65">
        <v>25317.703249999999</v>
      </c>
      <c r="E1034" s="65">
        <v>27339.414124118663</v>
      </c>
      <c r="F1034" s="65">
        <v>0</v>
      </c>
      <c r="G1034" s="65">
        <v>0</v>
      </c>
      <c r="H1034" s="39">
        <v>7.9853644469849883E-2</v>
      </c>
      <c r="I1034" s="39">
        <v>0</v>
      </c>
      <c r="J1034" s="39">
        <v>7.9853644469849883E-2</v>
      </c>
    </row>
    <row r="1035" spans="1:10" ht="11.25" customHeight="1" x14ac:dyDescent="0.2">
      <c r="A1035" s="74">
        <v>44409</v>
      </c>
      <c r="B1035" s="65">
        <v>0</v>
      </c>
      <c r="C1035" s="65">
        <v>0</v>
      </c>
      <c r="D1035" s="65">
        <v>27455.4329</v>
      </c>
      <c r="E1035" s="65">
        <v>29647.849277562418</v>
      </c>
      <c r="F1035" s="65">
        <v>0</v>
      </c>
      <c r="G1035" s="65">
        <v>0</v>
      </c>
      <c r="H1035" s="39">
        <v>7.9853644469849883E-2</v>
      </c>
      <c r="I1035" s="39">
        <v>0</v>
      </c>
      <c r="J1035" s="39">
        <v>7.9853644469849883E-2</v>
      </c>
    </row>
    <row r="1036" spans="1:10" ht="11.25" customHeight="1" x14ac:dyDescent="0.2">
      <c r="A1036" s="74">
        <v>44440</v>
      </c>
      <c r="B1036" s="65">
        <v>0</v>
      </c>
      <c r="C1036" s="65">
        <v>0</v>
      </c>
      <c r="D1036" s="65">
        <v>26677.733459999996</v>
      </c>
      <c r="E1036" s="65">
        <v>28808.047702976255</v>
      </c>
      <c r="F1036" s="65">
        <v>0</v>
      </c>
      <c r="G1036" s="65">
        <v>0</v>
      </c>
      <c r="H1036" s="39">
        <v>7.9853644469849883E-2</v>
      </c>
      <c r="I1036" s="39">
        <v>0</v>
      </c>
      <c r="J1036" s="39">
        <v>7.9853644469849883E-2</v>
      </c>
    </row>
    <row r="1037" spans="1:10" ht="11.25" customHeight="1" x14ac:dyDescent="0.2">
      <c r="A1037" s="74">
        <v>44470</v>
      </c>
      <c r="B1037" s="65">
        <v>0</v>
      </c>
      <c r="C1037" s="65">
        <v>0</v>
      </c>
      <c r="D1037" s="65">
        <v>30050.910399999997</v>
      </c>
      <c r="E1037" s="65">
        <v>32450.585115076916</v>
      </c>
      <c r="F1037" s="65">
        <v>0</v>
      </c>
      <c r="G1037" s="65">
        <v>0</v>
      </c>
      <c r="H1037" s="39">
        <v>7.9853644469850105E-2</v>
      </c>
      <c r="I1037" s="39">
        <v>0</v>
      </c>
      <c r="J1037" s="39">
        <v>7.9853644469850105E-2</v>
      </c>
    </row>
    <row r="1038" spans="1:10" ht="11.25" customHeight="1" x14ac:dyDescent="0.2">
      <c r="A1038" s="74">
        <v>44501</v>
      </c>
      <c r="B1038" s="65">
        <v>0</v>
      </c>
      <c r="C1038" s="65">
        <v>0</v>
      </c>
      <c r="D1038" s="65">
        <v>35504.244579999999</v>
      </c>
      <c r="E1038" s="65">
        <v>38339.38790386192</v>
      </c>
      <c r="F1038" s="65">
        <v>0</v>
      </c>
      <c r="G1038" s="65">
        <v>0</v>
      </c>
      <c r="H1038" s="39">
        <v>7.9853644469850105E-2</v>
      </c>
      <c r="I1038" s="39">
        <v>0</v>
      </c>
      <c r="J1038" s="39">
        <v>7.9853644469850105E-2</v>
      </c>
    </row>
    <row r="1039" spans="1:10" ht="11.25" customHeight="1" x14ac:dyDescent="0.2">
      <c r="A1039" s="74">
        <v>44531</v>
      </c>
      <c r="B1039" s="65">
        <v>0</v>
      </c>
      <c r="C1039" s="65">
        <v>0</v>
      </c>
      <c r="D1039" s="65">
        <v>37893.027689999995</v>
      </c>
      <c r="E1039" s="65">
        <v>40918.924051043439</v>
      </c>
      <c r="F1039" s="65">
        <v>0</v>
      </c>
      <c r="G1039" s="65">
        <v>0</v>
      </c>
      <c r="H1039" s="39">
        <v>7.9853644469850105E-2</v>
      </c>
      <c r="I1039" s="39">
        <v>0</v>
      </c>
      <c r="J1039" s="39">
        <v>7.9853644469850105E-2</v>
      </c>
    </row>
    <row r="1040" spans="1:10" ht="11.25" customHeight="1" x14ac:dyDescent="0.2">
      <c r="A1040" s="74">
        <v>44562</v>
      </c>
      <c r="B1040" s="65">
        <v>0</v>
      </c>
      <c r="C1040" s="65">
        <v>0</v>
      </c>
      <c r="D1040" s="65">
        <v>37893.027689999995</v>
      </c>
      <c r="E1040" s="65">
        <v>40918.924051043439</v>
      </c>
      <c r="F1040" s="65">
        <v>0</v>
      </c>
      <c r="G1040" s="65">
        <v>0</v>
      </c>
      <c r="H1040" s="39">
        <v>7.9853644469850105E-2</v>
      </c>
      <c r="I1040" s="39">
        <v>0</v>
      </c>
      <c r="J1040" s="39">
        <v>7.9853644469850105E-2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EA3B5-811A-42D1-A274-43C75E0D344C}">
  <dimension ref="A1:G409"/>
  <sheetViews>
    <sheetView showGridLines="0" workbookViewId="0"/>
  </sheetViews>
  <sheetFormatPr defaultRowHeight="11.25" customHeight="1" x14ac:dyDescent="0.2"/>
  <cols>
    <col min="1" max="1" width="34.7109375" style="14" bestFit="1" customWidth="1"/>
    <col min="2" max="2" width="20.42578125" style="38" bestFit="1" customWidth="1"/>
    <col min="3" max="3" width="21.85546875" style="38" bestFit="1" customWidth="1"/>
    <col min="4" max="4" width="20.28515625" style="38" bestFit="1" customWidth="1"/>
    <col min="5" max="5" width="21.7109375" style="38" bestFit="1" customWidth="1"/>
    <col min="6" max="6" width="14.85546875" style="38" bestFit="1" customWidth="1"/>
    <col min="7" max="7" width="14.7109375" style="38" bestFit="1" customWidth="1"/>
    <col min="8" max="16384" width="9.140625" style="14"/>
  </cols>
  <sheetData>
    <row r="1" spans="1:7" ht="11.25" customHeight="1" x14ac:dyDescent="0.2">
      <c r="A1" s="64" t="s">
        <v>897</v>
      </c>
      <c r="B1" s="65" t="s">
        <v>923</v>
      </c>
      <c r="C1" s="65" t="s">
        <v>924</v>
      </c>
      <c r="D1" s="65" t="s">
        <v>925</v>
      </c>
      <c r="E1" s="65" t="s">
        <v>926</v>
      </c>
      <c r="F1" s="65" t="s">
        <v>927</v>
      </c>
      <c r="G1" s="65" t="s">
        <v>928</v>
      </c>
    </row>
    <row r="2" spans="1:7" ht="11.25" customHeight="1" x14ac:dyDescent="0.2">
      <c r="A2" s="66" t="s">
        <v>913</v>
      </c>
      <c r="B2" s="65">
        <v>64872.971400000002</v>
      </c>
      <c r="C2" s="65">
        <v>238835.18852699999</v>
      </c>
      <c r="D2" s="65">
        <v>34584.268489714377</v>
      </c>
      <c r="E2" s="65">
        <v>137058.50025774696</v>
      </c>
      <c r="F2" s="65">
        <v>303708.15992699994</v>
      </c>
      <c r="G2" s="65">
        <v>171642.76874746132</v>
      </c>
    </row>
    <row r="3" spans="1:7" ht="11.25" customHeight="1" x14ac:dyDescent="0.2">
      <c r="A3" s="67" t="s">
        <v>39</v>
      </c>
      <c r="B3" s="65">
        <v>64872.971400000002</v>
      </c>
      <c r="C3" s="65">
        <v>206512.46601899998</v>
      </c>
      <c r="D3" s="65">
        <v>34584.268489714377</v>
      </c>
      <c r="E3" s="65">
        <v>118969.52648683346</v>
      </c>
      <c r="F3" s="65">
        <v>271385.43741899997</v>
      </c>
      <c r="G3" s="65">
        <v>153553.79497654783</v>
      </c>
    </row>
    <row r="4" spans="1:7" ht="11.25" customHeight="1" x14ac:dyDescent="0.2">
      <c r="A4" s="68" t="s">
        <v>40</v>
      </c>
      <c r="B4" s="65">
        <v>55277.416199999992</v>
      </c>
      <c r="C4" s="65">
        <v>157402.83858480002</v>
      </c>
      <c r="D4" s="65">
        <v>29510.394656175526</v>
      </c>
      <c r="E4" s="65">
        <v>91050.64727289266</v>
      </c>
      <c r="F4" s="65">
        <v>212680.2547848</v>
      </c>
      <c r="G4" s="65">
        <v>120561.04192906819</v>
      </c>
    </row>
    <row r="5" spans="1:7" ht="11.25" customHeight="1" x14ac:dyDescent="0.2">
      <c r="A5" s="69" t="s">
        <v>49</v>
      </c>
      <c r="B5" s="65">
        <v>55277.416199999992</v>
      </c>
      <c r="C5" s="65">
        <v>157402.83858480002</v>
      </c>
      <c r="D5" s="65">
        <v>29510.394656175526</v>
      </c>
      <c r="E5" s="65">
        <v>91050.64727289266</v>
      </c>
      <c r="F5" s="65">
        <v>212680.2547848</v>
      </c>
      <c r="G5" s="65">
        <v>120561.04192906819</v>
      </c>
    </row>
    <row r="6" spans="1:7" ht="11.25" customHeight="1" x14ac:dyDescent="0.2">
      <c r="A6" s="70" t="s">
        <v>50</v>
      </c>
      <c r="B6" s="65">
        <v>55277.416199999992</v>
      </c>
      <c r="C6" s="65">
        <v>157402.83858480002</v>
      </c>
      <c r="D6" s="65">
        <v>29510.394656175526</v>
      </c>
      <c r="E6" s="65">
        <v>91050.64727289266</v>
      </c>
      <c r="F6" s="65">
        <v>212680.2547848</v>
      </c>
      <c r="G6" s="65">
        <v>120561.04192906819</v>
      </c>
    </row>
    <row r="7" spans="1:7" ht="11.25" customHeight="1" x14ac:dyDescent="0.2">
      <c r="A7" s="71" t="s">
        <v>25</v>
      </c>
      <c r="B7" s="65">
        <v>55277.416199999992</v>
      </c>
      <c r="C7" s="65">
        <v>157402.83858480002</v>
      </c>
      <c r="D7" s="65">
        <v>29510.394656175526</v>
      </c>
      <c r="E7" s="65">
        <v>91050.64727289266</v>
      </c>
      <c r="F7" s="65">
        <v>212680.2547848</v>
      </c>
      <c r="G7" s="65">
        <v>120561.04192906819</v>
      </c>
    </row>
    <row r="8" spans="1:7" ht="11.25" customHeight="1" x14ac:dyDescent="0.2">
      <c r="A8" s="72" t="s">
        <v>25</v>
      </c>
      <c r="B8" s="65">
        <v>55277.416199999992</v>
      </c>
      <c r="C8" s="65">
        <v>157402.83858480002</v>
      </c>
      <c r="D8" s="65">
        <v>29510.394656175526</v>
      </c>
      <c r="E8" s="65">
        <v>91050.64727289266</v>
      </c>
      <c r="F8" s="65">
        <v>212680.2547848</v>
      </c>
      <c r="G8" s="65">
        <v>120561.04192906819</v>
      </c>
    </row>
    <row r="9" spans="1:7" ht="11.25" customHeight="1" x14ac:dyDescent="0.2">
      <c r="A9" s="73" t="s">
        <v>35</v>
      </c>
      <c r="B9" s="65">
        <v>18861.7968</v>
      </c>
      <c r="C9" s="65">
        <v>136127.70024480001</v>
      </c>
      <c r="D9" s="65">
        <v>9973.6154127951977</v>
      </c>
      <c r="E9" s="65">
        <v>79111.153124510471</v>
      </c>
      <c r="F9" s="65">
        <v>154989.49704480002</v>
      </c>
      <c r="G9" s="65">
        <v>89084.768537305674</v>
      </c>
    </row>
    <row r="10" spans="1:7" ht="11.25" customHeight="1" x14ac:dyDescent="0.2">
      <c r="A10" s="74">
        <v>44228</v>
      </c>
      <c r="B10" s="65">
        <v>1567.8431999999998</v>
      </c>
      <c r="C10" s="65">
        <v>10689.809882400001</v>
      </c>
      <c r="D10" s="65">
        <v>829.03369547307102</v>
      </c>
      <c r="E10" s="65">
        <v>6212.4254281652466</v>
      </c>
      <c r="F10" s="65">
        <v>12257.6530824</v>
      </c>
      <c r="G10" s="65">
        <v>7041.4591236383176</v>
      </c>
    </row>
    <row r="11" spans="1:7" ht="11.25" customHeight="1" x14ac:dyDescent="0.2">
      <c r="A11" s="74">
        <v>44256</v>
      </c>
      <c r="B11" s="65">
        <v>1582.2575999999999</v>
      </c>
      <c r="C11" s="65">
        <v>11289.902342399999</v>
      </c>
      <c r="D11" s="65">
        <v>836.65564599722234</v>
      </c>
      <c r="E11" s="65">
        <v>6561.1715423400319</v>
      </c>
      <c r="F11" s="65">
        <v>12872.159942399998</v>
      </c>
      <c r="G11" s="65">
        <v>7397.8271883372545</v>
      </c>
    </row>
    <row r="12" spans="1:7" ht="11.25" customHeight="1" x14ac:dyDescent="0.2">
      <c r="A12" s="74">
        <v>44287</v>
      </c>
      <c r="B12" s="65">
        <v>1581.1487999999999</v>
      </c>
      <c r="C12" s="65">
        <v>11002.188938399999</v>
      </c>
      <c r="D12" s="65">
        <v>836.06934211074929</v>
      </c>
      <c r="E12" s="65">
        <v>6393.9657560167034</v>
      </c>
      <c r="F12" s="65">
        <v>12583.337738399998</v>
      </c>
      <c r="G12" s="65">
        <v>7230.0350981274523</v>
      </c>
    </row>
    <row r="13" spans="1:7" ht="11.25" customHeight="1" x14ac:dyDescent="0.2">
      <c r="A13" s="74">
        <v>44317</v>
      </c>
      <c r="B13" s="65">
        <v>1545.6672000000001</v>
      </c>
      <c r="C13" s="65">
        <v>10913.912697600001</v>
      </c>
      <c r="D13" s="65">
        <v>817.30761774360758</v>
      </c>
      <c r="E13" s="65">
        <v>6342.6636684134737</v>
      </c>
      <c r="F13" s="65">
        <v>12459.579897600001</v>
      </c>
      <c r="G13" s="65">
        <v>7159.9712861570815</v>
      </c>
    </row>
    <row r="14" spans="1:7" ht="11.25" customHeight="1" x14ac:dyDescent="0.2">
      <c r="A14" s="74">
        <v>44348</v>
      </c>
      <c r="B14" s="65">
        <v>1558.9727999999998</v>
      </c>
      <c r="C14" s="65">
        <v>11642.629046399998</v>
      </c>
      <c r="D14" s="65">
        <v>824.34326438128562</v>
      </c>
      <c r="E14" s="65">
        <v>6766.1600659180158</v>
      </c>
      <c r="F14" s="65">
        <v>13201.601846399997</v>
      </c>
      <c r="G14" s="65">
        <v>7590.5033302993015</v>
      </c>
    </row>
    <row r="15" spans="1:7" ht="11.25" customHeight="1" x14ac:dyDescent="0.2">
      <c r="A15" s="74">
        <v>44378</v>
      </c>
      <c r="B15" s="65">
        <v>1580.04</v>
      </c>
      <c r="C15" s="65">
        <v>10926.757749599999</v>
      </c>
      <c r="D15" s="65">
        <v>835.48303822427602</v>
      </c>
      <c r="E15" s="65">
        <v>6350.1286213498479</v>
      </c>
      <c r="F15" s="65">
        <v>12506.797749599998</v>
      </c>
      <c r="G15" s="65">
        <v>7185.6116595741241</v>
      </c>
    </row>
    <row r="16" spans="1:7" ht="11.25" customHeight="1" x14ac:dyDescent="0.2">
      <c r="A16" s="74">
        <v>44409</v>
      </c>
      <c r="B16" s="65">
        <v>1547.8847999999998</v>
      </c>
      <c r="C16" s="65">
        <v>11184.777806400001</v>
      </c>
      <c r="D16" s="65">
        <v>818.48022551655401</v>
      </c>
      <c r="E16" s="65">
        <v>6500.078001130687</v>
      </c>
      <c r="F16" s="65">
        <v>12732.662606400001</v>
      </c>
      <c r="G16" s="65">
        <v>7318.5582266472411</v>
      </c>
    </row>
    <row r="17" spans="1:7" ht="11.25" customHeight="1" x14ac:dyDescent="0.2">
      <c r="A17" s="74">
        <v>44440</v>
      </c>
      <c r="B17" s="65">
        <v>1565.6256000000001</v>
      </c>
      <c r="C17" s="65">
        <v>11046.665915999998</v>
      </c>
      <c r="D17" s="65">
        <v>827.8610877001247</v>
      </c>
      <c r="E17" s="65">
        <v>6419.8137280246156</v>
      </c>
      <c r="F17" s="65">
        <v>12612.291515999998</v>
      </c>
      <c r="G17" s="65">
        <v>7247.6748157247403</v>
      </c>
    </row>
    <row r="18" spans="1:7" ht="11.25" customHeight="1" x14ac:dyDescent="0.2">
      <c r="A18" s="74">
        <v>44470</v>
      </c>
      <c r="B18" s="65">
        <v>1585.5840000000001</v>
      </c>
      <c r="C18" s="65">
        <v>11402.119238399999</v>
      </c>
      <c r="D18" s="65">
        <v>838.41455765664193</v>
      </c>
      <c r="E18" s="65">
        <v>6626.3868367044306</v>
      </c>
      <c r="F18" s="65">
        <v>12987.703238399999</v>
      </c>
      <c r="G18" s="65">
        <v>7464.8013943610722</v>
      </c>
    </row>
    <row r="19" spans="1:7" ht="11.25" customHeight="1" x14ac:dyDescent="0.2">
      <c r="A19" s="74">
        <v>44501</v>
      </c>
      <c r="B19" s="65">
        <v>1582.2575999999999</v>
      </c>
      <c r="C19" s="65">
        <v>11862.870465599999</v>
      </c>
      <c r="D19" s="65">
        <v>836.65564599722234</v>
      </c>
      <c r="E19" s="65">
        <v>6894.1542405596037</v>
      </c>
      <c r="F19" s="65">
        <v>13445.128065599998</v>
      </c>
      <c r="G19" s="65">
        <v>7730.8098865568263</v>
      </c>
    </row>
    <row r="20" spans="1:7" ht="11.25" customHeight="1" x14ac:dyDescent="0.2">
      <c r="A20" s="74">
        <v>44531</v>
      </c>
      <c r="B20" s="65">
        <v>1582.2575999999999</v>
      </c>
      <c r="C20" s="65">
        <v>12083.0330808</v>
      </c>
      <c r="D20" s="65">
        <v>836.65564599722234</v>
      </c>
      <c r="E20" s="65">
        <v>7022.1026179439123</v>
      </c>
      <c r="F20" s="65">
        <v>13665.290680800001</v>
      </c>
      <c r="G20" s="65">
        <v>7858.7582639411348</v>
      </c>
    </row>
    <row r="21" spans="1:7" ht="11.25" customHeight="1" x14ac:dyDescent="0.2">
      <c r="A21" s="74">
        <v>44562</v>
      </c>
      <c r="B21" s="65">
        <v>1582.2575999999999</v>
      </c>
      <c r="C21" s="65">
        <v>12083.0330808</v>
      </c>
      <c r="D21" s="65">
        <v>836.65564599722234</v>
      </c>
      <c r="E21" s="65">
        <v>7022.1026179439123</v>
      </c>
      <c r="F21" s="65">
        <v>13665.290680800001</v>
      </c>
      <c r="G21" s="65">
        <v>7858.7582639411348</v>
      </c>
    </row>
    <row r="22" spans="1:7" ht="11.25" customHeight="1" x14ac:dyDescent="0.2">
      <c r="A22" s="73" t="s">
        <v>34</v>
      </c>
      <c r="B22" s="65">
        <v>36415.619399999996</v>
      </c>
      <c r="C22" s="65">
        <v>21275.138340000001</v>
      </c>
      <c r="D22" s="65">
        <v>19536.779243380326</v>
      </c>
      <c r="E22" s="65">
        <v>11939.494148382171</v>
      </c>
      <c r="F22" s="65">
        <v>57690.757740000001</v>
      </c>
      <c r="G22" s="65">
        <v>31476.273391762497</v>
      </c>
    </row>
    <row r="23" spans="1:7" ht="11.25" customHeight="1" x14ac:dyDescent="0.2">
      <c r="A23" s="74">
        <v>44228</v>
      </c>
      <c r="B23" s="65">
        <v>3031.1189999999997</v>
      </c>
      <c r="C23" s="65">
        <v>1737.695925</v>
      </c>
      <c r="D23" s="65">
        <v>1626.1786491380051</v>
      </c>
      <c r="E23" s="65">
        <v>975.18568371410379</v>
      </c>
      <c r="F23" s="65">
        <v>4768.8149249999997</v>
      </c>
      <c r="G23" s="65">
        <v>2601.3643328521089</v>
      </c>
    </row>
    <row r="24" spans="1:7" ht="11.25" customHeight="1" x14ac:dyDescent="0.2">
      <c r="A24" s="74">
        <v>44256</v>
      </c>
      <c r="B24" s="65">
        <v>3022.2365999999997</v>
      </c>
      <c r="C24" s="65">
        <v>1906.4071349999999</v>
      </c>
      <c r="D24" s="65">
        <v>1621.4132904592122</v>
      </c>
      <c r="E24" s="65">
        <v>1069.8655148094574</v>
      </c>
      <c r="F24" s="65">
        <v>4928.6437349999997</v>
      </c>
      <c r="G24" s="65">
        <v>2691.2788052686697</v>
      </c>
    </row>
    <row r="25" spans="1:7" ht="11.25" customHeight="1" x14ac:dyDescent="0.2">
      <c r="A25" s="74">
        <v>44287</v>
      </c>
      <c r="B25" s="65">
        <v>3017.7953999999995</v>
      </c>
      <c r="C25" s="65">
        <v>1644.6019950000002</v>
      </c>
      <c r="D25" s="65">
        <v>1619.0306111198161</v>
      </c>
      <c r="E25" s="65">
        <v>922.94186678929702</v>
      </c>
      <c r="F25" s="65">
        <v>4662.397395</v>
      </c>
      <c r="G25" s="65">
        <v>2541.972477909113</v>
      </c>
    </row>
    <row r="26" spans="1:7" ht="11.25" customHeight="1" x14ac:dyDescent="0.2">
      <c r="A26" s="74">
        <v>44317</v>
      </c>
      <c r="B26" s="65">
        <v>2986.7069999999994</v>
      </c>
      <c r="C26" s="65">
        <v>1582.0552800000003</v>
      </c>
      <c r="D26" s="65">
        <v>1602.3518557440414</v>
      </c>
      <c r="E26" s="65">
        <v>887.84098397440175</v>
      </c>
      <c r="F26" s="65">
        <v>4568.7622799999999</v>
      </c>
      <c r="G26" s="65">
        <v>2490.1928397184429</v>
      </c>
    </row>
    <row r="27" spans="1:7" ht="11.25" customHeight="1" x14ac:dyDescent="0.2">
      <c r="A27" s="74">
        <v>44348</v>
      </c>
      <c r="B27" s="65">
        <v>3059.9867999999997</v>
      </c>
      <c r="C27" s="65">
        <v>1651.1988150000002</v>
      </c>
      <c r="D27" s="65">
        <v>1641.6660648440813</v>
      </c>
      <c r="E27" s="65">
        <v>926.64396698386304</v>
      </c>
      <c r="F27" s="65">
        <v>4711.1856150000003</v>
      </c>
      <c r="G27" s="65">
        <v>2568.3100318279444</v>
      </c>
    </row>
    <row r="28" spans="1:7" ht="11.25" customHeight="1" x14ac:dyDescent="0.2">
      <c r="A28" s="74">
        <v>44378</v>
      </c>
      <c r="B28" s="65">
        <v>3115.5017999999995</v>
      </c>
      <c r="C28" s="65">
        <v>1759.3817399999998</v>
      </c>
      <c r="D28" s="65">
        <v>1671.4495565865354</v>
      </c>
      <c r="E28" s="65">
        <v>987.35564741340454</v>
      </c>
      <c r="F28" s="65">
        <v>4874.8835399999989</v>
      </c>
      <c r="G28" s="65">
        <v>2658.8052039999402</v>
      </c>
    </row>
    <row r="29" spans="1:7" ht="11.25" customHeight="1" x14ac:dyDescent="0.2">
      <c r="A29" s="74">
        <v>44409</v>
      </c>
      <c r="B29" s="65">
        <v>2680.2641999999996</v>
      </c>
      <c r="C29" s="65">
        <v>1743.6773699999999</v>
      </c>
      <c r="D29" s="65">
        <v>1437.9469813256937</v>
      </c>
      <c r="E29" s="65">
        <v>978.54243874126621</v>
      </c>
      <c r="F29" s="65">
        <v>4423.941569999999</v>
      </c>
      <c r="G29" s="65">
        <v>2416.4894200669601</v>
      </c>
    </row>
    <row r="30" spans="1:7" ht="11.25" customHeight="1" x14ac:dyDescent="0.2">
      <c r="A30" s="74">
        <v>44440</v>
      </c>
      <c r="B30" s="65">
        <v>2980.0451999999996</v>
      </c>
      <c r="C30" s="65">
        <v>1750.9880249999999</v>
      </c>
      <c r="D30" s="65">
        <v>1598.777836734947</v>
      </c>
      <c r="E30" s="65">
        <v>982.64513933002024</v>
      </c>
      <c r="F30" s="65">
        <v>4731.0332249999992</v>
      </c>
      <c r="G30" s="65">
        <v>2581.4229760649673</v>
      </c>
    </row>
    <row r="31" spans="1:7" ht="11.25" customHeight="1" x14ac:dyDescent="0.2">
      <c r="A31" s="74">
        <v>44470</v>
      </c>
      <c r="B31" s="65">
        <v>3124.3841999999995</v>
      </c>
      <c r="C31" s="65">
        <v>1745.6219550000001</v>
      </c>
      <c r="D31" s="65">
        <v>1676.214915265328</v>
      </c>
      <c r="E31" s="65">
        <v>979.63372947026141</v>
      </c>
      <c r="F31" s="65">
        <v>4870.0061549999991</v>
      </c>
      <c r="G31" s="65">
        <v>2655.8486447355895</v>
      </c>
    </row>
    <row r="32" spans="1:7" ht="11.25" customHeight="1" x14ac:dyDescent="0.2">
      <c r="A32" s="74">
        <v>44501</v>
      </c>
      <c r="B32" s="65">
        <v>3126.6047999999996</v>
      </c>
      <c r="C32" s="65">
        <v>1780.59987</v>
      </c>
      <c r="D32" s="65">
        <v>1677.4062549350265</v>
      </c>
      <c r="E32" s="65">
        <v>999.26314878547817</v>
      </c>
      <c r="F32" s="65">
        <v>4907.2046699999992</v>
      </c>
      <c r="G32" s="65">
        <v>2676.6694037205048</v>
      </c>
    </row>
    <row r="33" spans="1:7" ht="11.25" customHeight="1" x14ac:dyDescent="0.2">
      <c r="A33" s="74">
        <v>44531</v>
      </c>
      <c r="B33" s="65">
        <v>3135.4871999999996</v>
      </c>
      <c r="C33" s="65">
        <v>1986.4551149999998</v>
      </c>
      <c r="D33" s="65">
        <v>1682.1716136138189</v>
      </c>
      <c r="E33" s="65">
        <v>1114.7880141853091</v>
      </c>
      <c r="F33" s="65">
        <v>5121.9423149999993</v>
      </c>
      <c r="G33" s="65">
        <v>2796.9596277991277</v>
      </c>
    </row>
    <row r="34" spans="1:7" ht="11.25" customHeight="1" x14ac:dyDescent="0.2">
      <c r="A34" s="74">
        <v>44562</v>
      </c>
      <c r="B34" s="65">
        <v>3135.4871999999996</v>
      </c>
      <c r="C34" s="65">
        <v>1986.4551149999998</v>
      </c>
      <c r="D34" s="65">
        <v>1682.1716136138189</v>
      </c>
      <c r="E34" s="65">
        <v>1114.7880141853091</v>
      </c>
      <c r="F34" s="65">
        <v>5121.9423149999993</v>
      </c>
      <c r="G34" s="65">
        <v>2796.9596277991277</v>
      </c>
    </row>
    <row r="35" spans="1:7" ht="11.25" customHeight="1" x14ac:dyDescent="0.2">
      <c r="A35" s="68" t="s">
        <v>41</v>
      </c>
      <c r="B35" s="65">
        <v>9595.5552000000007</v>
      </c>
      <c r="C35" s="65">
        <v>49109.627434199996</v>
      </c>
      <c r="D35" s="65">
        <v>5073.8738335388671</v>
      </c>
      <c r="E35" s="65">
        <v>27918.879213940858</v>
      </c>
      <c r="F35" s="65">
        <v>58705.182634199999</v>
      </c>
      <c r="G35" s="65">
        <v>32992.753047479724</v>
      </c>
    </row>
    <row r="36" spans="1:7" ht="11.25" customHeight="1" x14ac:dyDescent="0.2">
      <c r="A36" s="69" t="s">
        <v>49</v>
      </c>
      <c r="B36" s="65">
        <v>9595.5552000000007</v>
      </c>
      <c r="C36" s="65">
        <v>49109.627434199996</v>
      </c>
      <c r="D36" s="65">
        <v>5073.8738335388671</v>
      </c>
      <c r="E36" s="65">
        <v>27918.879213940858</v>
      </c>
      <c r="F36" s="65">
        <v>58705.182634199999</v>
      </c>
      <c r="G36" s="65">
        <v>32992.753047479724</v>
      </c>
    </row>
    <row r="37" spans="1:7" ht="11.25" customHeight="1" x14ac:dyDescent="0.2">
      <c r="A37" s="70" t="s">
        <v>50</v>
      </c>
      <c r="B37" s="65">
        <v>9595.5552000000007</v>
      </c>
      <c r="C37" s="65">
        <v>49109.627434199996</v>
      </c>
      <c r="D37" s="65">
        <v>5073.8738335388671</v>
      </c>
      <c r="E37" s="65">
        <v>27918.879213940858</v>
      </c>
      <c r="F37" s="65">
        <v>58705.182634199999</v>
      </c>
      <c r="G37" s="65">
        <v>32992.753047479724</v>
      </c>
    </row>
    <row r="38" spans="1:7" ht="11.25" customHeight="1" x14ac:dyDescent="0.2">
      <c r="A38" s="71" t="s">
        <v>25</v>
      </c>
      <c r="B38" s="65">
        <v>9595.5552000000007</v>
      </c>
      <c r="C38" s="65">
        <v>49109.627434199996</v>
      </c>
      <c r="D38" s="65">
        <v>5073.8738335388671</v>
      </c>
      <c r="E38" s="65">
        <v>27918.879213940858</v>
      </c>
      <c r="F38" s="65">
        <v>58705.182634199999</v>
      </c>
      <c r="G38" s="65">
        <v>32992.753047479724</v>
      </c>
    </row>
    <row r="39" spans="1:7" ht="11.25" customHeight="1" x14ac:dyDescent="0.2">
      <c r="A39" s="72" t="s">
        <v>25</v>
      </c>
      <c r="B39" s="65">
        <v>9595.5552000000007</v>
      </c>
      <c r="C39" s="65">
        <v>49109.627434199996</v>
      </c>
      <c r="D39" s="65">
        <v>5073.8738335388671</v>
      </c>
      <c r="E39" s="65">
        <v>27918.879213940858</v>
      </c>
      <c r="F39" s="65">
        <v>58705.182634199999</v>
      </c>
      <c r="G39" s="65">
        <v>32992.753047479724</v>
      </c>
    </row>
    <row r="40" spans="1:7" ht="11.25" customHeight="1" x14ac:dyDescent="0.2">
      <c r="A40" s="73" t="s">
        <v>35</v>
      </c>
      <c r="B40" s="65">
        <v>0</v>
      </c>
      <c r="C40" s="65">
        <v>32206.832301599999</v>
      </c>
      <c r="D40" s="65">
        <v>0</v>
      </c>
      <c r="E40" s="65">
        <v>18717.128382286301</v>
      </c>
      <c r="F40" s="65">
        <v>32206.832301599999</v>
      </c>
      <c r="G40" s="65">
        <v>18717.128382286301</v>
      </c>
    </row>
    <row r="41" spans="1:7" ht="11.25" customHeight="1" x14ac:dyDescent="0.2">
      <c r="A41" s="74">
        <v>44228</v>
      </c>
      <c r="B41" s="65">
        <v>0</v>
      </c>
      <c r="C41" s="65">
        <v>2606.3004528000001</v>
      </c>
      <c r="D41" s="65">
        <v>0</v>
      </c>
      <c r="E41" s="65">
        <v>1514.6618494189838</v>
      </c>
      <c r="F41" s="65">
        <v>2606.3004528000001</v>
      </c>
      <c r="G41" s="65">
        <v>1514.6618494189838</v>
      </c>
    </row>
    <row r="42" spans="1:7" ht="11.25" customHeight="1" x14ac:dyDescent="0.2">
      <c r="A42" s="74">
        <v>44256</v>
      </c>
      <c r="B42" s="65">
        <v>0</v>
      </c>
      <c r="C42" s="65">
        <v>2875.3530696000003</v>
      </c>
      <c r="D42" s="65">
        <v>0</v>
      </c>
      <c r="E42" s="65">
        <v>1671.0228452187941</v>
      </c>
      <c r="F42" s="65">
        <v>2875.3530696000003</v>
      </c>
      <c r="G42" s="65">
        <v>1671.0228452187941</v>
      </c>
    </row>
    <row r="43" spans="1:7" ht="11.25" customHeight="1" x14ac:dyDescent="0.2">
      <c r="A43" s="74">
        <v>44287</v>
      </c>
      <c r="B43" s="65">
        <v>0</v>
      </c>
      <c r="C43" s="65">
        <v>2955.15</v>
      </c>
      <c r="D43" s="65">
        <v>0</v>
      </c>
      <c r="E43" s="65">
        <v>1717.3971479388717</v>
      </c>
      <c r="F43" s="65">
        <v>2955.15</v>
      </c>
      <c r="G43" s="65">
        <v>1717.3971479388717</v>
      </c>
    </row>
    <row r="44" spans="1:7" ht="11.25" customHeight="1" x14ac:dyDescent="0.2">
      <c r="A44" s="74">
        <v>44317</v>
      </c>
      <c r="B44" s="65">
        <v>0</v>
      </c>
      <c r="C44" s="65">
        <v>2813.9174711999999</v>
      </c>
      <c r="D44" s="65">
        <v>0</v>
      </c>
      <c r="E44" s="65">
        <v>1635.3193034445769</v>
      </c>
      <c r="F44" s="65">
        <v>2813.9174711999999</v>
      </c>
      <c r="G44" s="65">
        <v>1635.3193034445769</v>
      </c>
    </row>
    <row r="45" spans="1:7" ht="11.25" customHeight="1" x14ac:dyDescent="0.2">
      <c r="A45" s="74">
        <v>44348</v>
      </c>
      <c r="B45" s="65">
        <v>0</v>
      </c>
      <c r="C45" s="65">
        <v>2448.5033232000005</v>
      </c>
      <c r="D45" s="65">
        <v>0</v>
      </c>
      <c r="E45" s="65">
        <v>1422.9574214447759</v>
      </c>
      <c r="F45" s="65">
        <v>2448.5033232000005</v>
      </c>
      <c r="G45" s="65">
        <v>1422.9574214447759</v>
      </c>
    </row>
    <row r="46" spans="1:7" ht="11.25" customHeight="1" x14ac:dyDescent="0.2">
      <c r="A46" s="74">
        <v>44378</v>
      </c>
      <c r="B46" s="65">
        <v>0</v>
      </c>
      <c r="C46" s="65">
        <v>2797.9990631999999</v>
      </c>
      <c r="D46" s="65">
        <v>0</v>
      </c>
      <c r="E46" s="65">
        <v>1626.0682574743466</v>
      </c>
      <c r="F46" s="65">
        <v>2797.9990631999999</v>
      </c>
      <c r="G46" s="65">
        <v>1626.0682574743466</v>
      </c>
    </row>
    <row r="47" spans="1:7" ht="11.25" customHeight="1" x14ac:dyDescent="0.2">
      <c r="A47" s="74">
        <v>44409</v>
      </c>
      <c r="B47" s="65">
        <v>0</v>
      </c>
      <c r="C47" s="65">
        <v>2772.3089591999997</v>
      </c>
      <c r="D47" s="65">
        <v>0</v>
      </c>
      <c r="E47" s="65">
        <v>1611.1383516015978</v>
      </c>
      <c r="F47" s="65">
        <v>2772.3089591999997</v>
      </c>
      <c r="G47" s="65">
        <v>1611.1383516015978</v>
      </c>
    </row>
    <row r="48" spans="1:7" ht="11.25" customHeight="1" x14ac:dyDescent="0.2">
      <c r="A48" s="74">
        <v>44440</v>
      </c>
      <c r="B48" s="65">
        <v>0</v>
      </c>
      <c r="C48" s="65">
        <v>2664.5996519999999</v>
      </c>
      <c r="D48" s="65">
        <v>0</v>
      </c>
      <c r="E48" s="65">
        <v>1548.5426603535218</v>
      </c>
      <c r="F48" s="65">
        <v>2664.5996519999999</v>
      </c>
      <c r="G48" s="65">
        <v>1548.5426603535218</v>
      </c>
    </row>
    <row r="49" spans="1:7" ht="11.25" customHeight="1" x14ac:dyDescent="0.2">
      <c r="A49" s="74">
        <v>44470</v>
      </c>
      <c r="B49" s="65">
        <v>0</v>
      </c>
      <c r="C49" s="65">
        <v>2374.2226728000001</v>
      </c>
      <c r="D49" s="65">
        <v>0</v>
      </c>
      <c r="E49" s="65">
        <v>1379.7889267341843</v>
      </c>
      <c r="F49" s="65">
        <v>2374.2226728000001</v>
      </c>
      <c r="G49" s="65">
        <v>1379.7889267341843</v>
      </c>
    </row>
    <row r="50" spans="1:7" ht="11.25" customHeight="1" x14ac:dyDescent="0.2">
      <c r="A50" s="74">
        <v>44501</v>
      </c>
      <c r="B50" s="65">
        <v>0</v>
      </c>
      <c r="C50" s="65">
        <v>2409.3692568000001</v>
      </c>
      <c r="D50" s="65">
        <v>0</v>
      </c>
      <c r="E50" s="65">
        <v>1400.2145034803375</v>
      </c>
      <c r="F50" s="65">
        <v>2409.3692568000001</v>
      </c>
      <c r="G50" s="65">
        <v>1400.2145034803375</v>
      </c>
    </row>
    <row r="51" spans="1:7" ht="11.25" customHeight="1" x14ac:dyDescent="0.2">
      <c r="A51" s="74">
        <v>44531</v>
      </c>
      <c r="B51" s="65">
        <v>0</v>
      </c>
      <c r="C51" s="65">
        <v>2744.5541904000002</v>
      </c>
      <c r="D51" s="65">
        <v>0</v>
      </c>
      <c r="E51" s="65">
        <v>1595.008557588156</v>
      </c>
      <c r="F51" s="65">
        <v>2744.5541904000002</v>
      </c>
      <c r="G51" s="65">
        <v>1595.008557588156</v>
      </c>
    </row>
    <row r="52" spans="1:7" ht="11.25" customHeight="1" x14ac:dyDescent="0.2">
      <c r="A52" s="74">
        <v>44562</v>
      </c>
      <c r="B52" s="65">
        <v>0</v>
      </c>
      <c r="C52" s="65">
        <v>2744.5541904000002</v>
      </c>
      <c r="D52" s="65">
        <v>0</v>
      </c>
      <c r="E52" s="65">
        <v>1595.008557588156</v>
      </c>
      <c r="F52" s="65">
        <v>2744.5541904000002</v>
      </c>
      <c r="G52" s="65">
        <v>1595.008557588156</v>
      </c>
    </row>
    <row r="53" spans="1:7" ht="11.25" customHeight="1" x14ac:dyDescent="0.2">
      <c r="A53" s="73" t="s">
        <v>25</v>
      </c>
      <c r="B53" s="65">
        <v>9595.5552000000007</v>
      </c>
      <c r="C53" s="65">
        <v>0</v>
      </c>
      <c r="D53" s="65">
        <v>5073.8738335388671</v>
      </c>
      <c r="E53" s="65">
        <v>0</v>
      </c>
      <c r="F53" s="65">
        <v>9595.5552000000007</v>
      </c>
      <c r="G53" s="65">
        <v>5073.8738335388671</v>
      </c>
    </row>
    <row r="54" spans="1:7" ht="11.25" customHeight="1" x14ac:dyDescent="0.2">
      <c r="A54" s="74">
        <v>44228</v>
      </c>
      <c r="B54" s="65">
        <v>776.15999999999985</v>
      </c>
      <c r="C54" s="65">
        <v>0</v>
      </c>
      <c r="D54" s="65">
        <v>410.41272053122333</v>
      </c>
      <c r="E54" s="65">
        <v>0</v>
      </c>
      <c r="F54" s="65">
        <v>776.15999999999985</v>
      </c>
      <c r="G54" s="65">
        <v>410.41272053122333</v>
      </c>
    </row>
    <row r="55" spans="1:7" ht="11.25" customHeight="1" x14ac:dyDescent="0.2">
      <c r="A55" s="74">
        <v>44256</v>
      </c>
      <c r="B55" s="65">
        <v>776.15999999999985</v>
      </c>
      <c r="C55" s="65">
        <v>0</v>
      </c>
      <c r="D55" s="65">
        <v>410.41272053122333</v>
      </c>
      <c r="E55" s="65">
        <v>0</v>
      </c>
      <c r="F55" s="65">
        <v>776.15999999999985</v>
      </c>
      <c r="G55" s="65">
        <v>410.41272053122333</v>
      </c>
    </row>
    <row r="56" spans="1:7" ht="11.25" customHeight="1" x14ac:dyDescent="0.2">
      <c r="A56" s="74">
        <v>44287</v>
      </c>
      <c r="B56" s="65">
        <v>787.24799999999993</v>
      </c>
      <c r="C56" s="65">
        <v>0</v>
      </c>
      <c r="D56" s="65">
        <v>416.27575939595505</v>
      </c>
      <c r="E56" s="65">
        <v>0</v>
      </c>
      <c r="F56" s="65">
        <v>787.24799999999993</v>
      </c>
      <c r="G56" s="65">
        <v>416.27575939595505</v>
      </c>
    </row>
    <row r="57" spans="1:7" ht="11.25" customHeight="1" x14ac:dyDescent="0.2">
      <c r="A57" s="74">
        <v>44317</v>
      </c>
      <c r="B57" s="65">
        <v>779.48639999999989</v>
      </c>
      <c r="C57" s="65">
        <v>0</v>
      </c>
      <c r="D57" s="65">
        <v>412.17163219064281</v>
      </c>
      <c r="E57" s="65">
        <v>0</v>
      </c>
      <c r="F57" s="65">
        <v>779.48639999999989</v>
      </c>
      <c r="G57" s="65">
        <v>412.17163219064281</v>
      </c>
    </row>
    <row r="58" spans="1:7" ht="11.25" customHeight="1" x14ac:dyDescent="0.2">
      <c r="A58" s="74">
        <v>44348</v>
      </c>
      <c r="B58" s="65">
        <v>786.13919999999985</v>
      </c>
      <c r="C58" s="65">
        <v>0</v>
      </c>
      <c r="D58" s="65">
        <v>415.68945550948195</v>
      </c>
      <c r="E58" s="65">
        <v>0</v>
      </c>
      <c r="F58" s="65">
        <v>786.13919999999985</v>
      </c>
      <c r="G58" s="65">
        <v>415.68945550948195</v>
      </c>
    </row>
    <row r="59" spans="1:7" ht="11.25" customHeight="1" x14ac:dyDescent="0.2">
      <c r="A59" s="74">
        <v>44378</v>
      </c>
      <c r="B59" s="65">
        <v>790.57439999999997</v>
      </c>
      <c r="C59" s="65">
        <v>0</v>
      </c>
      <c r="D59" s="65">
        <v>418.03467105537464</v>
      </c>
      <c r="E59" s="65">
        <v>0</v>
      </c>
      <c r="F59" s="65">
        <v>790.57439999999997</v>
      </c>
      <c r="G59" s="65">
        <v>418.03467105537464</v>
      </c>
    </row>
    <row r="60" spans="1:7" ht="11.25" customHeight="1" x14ac:dyDescent="0.2">
      <c r="A60" s="74">
        <v>44409</v>
      </c>
      <c r="B60" s="65">
        <v>787.24799999999993</v>
      </c>
      <c r="C60" s="65">
        <v>0</v>
      </c>
      <c r="D60" s="65">
        <v>416.27575939595505</v>
      </c>
      <c r="E60" s="65">
        <v>0</v>
      </c>
      <c r="F60" s="65">
        <v>787.24799999999993</v>
      </c>
      <c r="G60" s="65">
        <v>416.27575939595505</v>
      </c>
    </row>
    <row r="61" spans="1:7" ht="11.25" customHeight="1" x14ac:dyDescent="0.2">
      <c r="A61" s="74">
        <v>44440</v>
      </c>
      <c r="B61" s="65">
        <v>854.88479999999993</v>
      </c>
      <c r="C61" s="65">
        <v>0</v>
      </c>
      <c r="D61" s="65">
        <v>452.04029647081876</v>
      </c>
      <c r="E61" s="65">
        <v>0</v>
      </c>
      <c r="F61" s="65">
        <v>854.88479999999993</v>
      </c>
      <c r="G61" s="65">
        <v>452.04029647081876</v>
      </c>
    </row>
    <row r="62" spans="1:7" ht="11.25" customHeight="1" x14ac:dyDescent="0.2">
      <c r="A62" s="74">
        <v>44470</v>
      </c>
      <c r="B62" s="65">
        <v>828.27359999999987</v>
      </c>
      <c r="C62" s="65">
        <v>0</v>
      </c>
      <c r="D62" s="65">
        <v>437.96900319546256</v>
      </c>
      <c r="E62" s="65">
        <v>0</v>
      </c>
      <c r="F62" s="65">
        <v>828.27359999999987</v>
      </c>
      <c r="G62" s="65">
        <v>437.96900319546256</v>
      </c>
    </row>
    <row r="63" spans="1:7" ht="11.25" customHeight="1" x14ac:dyDescent="0.2">
      <c r="A63" s="74">
        <v>44501</v>
      </c>
      <c r="B63" s="65">
        <v>788.35680000000002</v>
      </c>
      <c r="C63" s="65">
        <v>0</v>
      </c>
      <c r="D63" s="65">
        <v>416.86206328242827</v>
      </c>
      <c r="E63" s="65">
        <v>0</v>
      </c>
      <c r="F63" s="65">
        <v>788.35680000000002</v>
      </c>
      <c r="G63" s="65">
        <v>416.86206328242827</v>
      </c>
    </row>
    <row r="64" spans="1:7" ht="11.25" customHeight="1" x14ac:dyDescent="0.2">
      <c r="A64" s="74">
        <v>44531</v>
      </c>
      <c r="B64" s="65">
        <v>820.51199999999994</v>
      </c>
      <c r="C64" s="65">
        <v>0</v>
      </c>
      <c r="D64" s="65">
        <v>433.86487599015038</v>
      </c>
      <c r="E64" s="65">
        <v>0</v>
      </c>
      <c r="F64" s="65">
        <v>820.51199999999994</v>
      </c>
      <c r="G64" s="65">
        <v>433.86487599015038</v>
      </c>
    </row>
    <row r="65" spans="1:7" ht="11.25" customHeight="1" x14ac:dyDescent="0.2">
      <c r="A65" s="74">
        <v>44562</v>
      </c>
      <c r="B65" s="65">
        <v>820.51199999999994</v>
      </c>
      <c r="C65" s="65">
        <v>0</v>
      </c>
      <c r="D65" s="65">
        <v>433.86487599015038</v>
      </c>
      <c r="E65" s="65">
        <v>0</v>
      </c>
      <c r="F65" s="65">
        <v>820.51199999999994</v>
      </c>
      <c r="G65" s="65">
        <v>433.86487599015038</v>
      </c>
    </row>
    <row r="66" spans="1:7" ht="11.25" customHeight="1" x14ac:dyDescent="0.2">
      <c r="A66" s="73" t="s">
        <v>34</v>
      </c>
      <c r="B66" s="65">
        <v>0</v>
      </c>
      <c r="C66" s="65">
        <v>16902.795132599997</v>
      </c>
      <c r="D66" s="65">
        <v>0</v>
      </c>
      <c r="E66" s="65">
        <v>9201.7508316545482</v>
      </c>
      <c r="F66" s="65">
        <v>16902.795132599997</v>
      </c>
      <c r="G66" s="65">
        <v>9201.7508316545482</v>
      </c>
    </row>
    <row r="67" spans="1:7" ht="11.25" customHeight="1" x14ac:dyDescent="0.2">
      <c r="A67" s="74">
        <v>44228</v>
      </c>
      <c r="B67" s="65">
        <v>0</v>
      </c>
      <c r="C67" s="65">
        <v>1311.8514509999998</v>
      </c>
      <c r="D67" s="65">
        <v>0</v>
      </c>
      <c r="E67" s="65">
        <v>714.16177534831502</v>
      </c>
      <c r="F67" s="65">
        <v>1311.8514509999998</v>
      </c>
      <c r="G67" s="65">
        <v>714.16177534831502</v>
      </c>
    </row>
    <row r="68" spans="1:7" ht="11.25" customHeight="1" x14ac:dyDescent="0.2">
      <c r="A68" s="74">
        <v>44256</v>
      </c>
      <c r="B68" s="65">
        <v>0</v>
      </c>
      <c r="C68" s="65">
        <v>1470.9090167999998</v>
      </c>
      <c r="D68" s="65">
        <v>0</v>
      </c>
      <c r="E68" s="65">
        <v>800.75148296171881</v>
      </c>
      <c r="F68" s="65">
        <v>1470.9090167999998</v>
      </c>
      <c r="G68" s="65">
        <v>800.75148296171881</v>
      </c>
    </row>
    <row r="69" spans="1:7" ht="11.25" customHeight="1" x14ac:dyDescent="0.2">
      <c r="A69" s="74">
        <v>44287</v>
      </c>
      <c r="B69" s="65">
        <v>0</v>
      </c>
      <c r="C69" s="65">
        <v>1462.3389354000001</v>
      </c>
      <c r="D69" s="65">
        <v>0</v>
      </c>
      <c r="E69" s="65">
        <v>796.08599698551484</v>
      </c>
      <c r="F69" s="65">
        <v>1462.3389354000001</v>
      </c>
      <c r="G69" s="65">
        <v>796.08599698551484</v>
      </c>
    </row>
    <row r="70" spans="1:7" ht="11.25" customHeight="1" x14ac:dyDescent="0.2">
      <c r="A70" s="74">
        <v>44317</v>
      </c>
      <c r="B70" s="65">
        <v>0</v>
      </c>
      <c r="C70" s="65">
        <v>1464.4617995999999</v>
      </c>
      <c r="D70" s="65">
        <v>0</v>
      </c>
      <c r="E70" s="65">
        <v>797.24166782365717</v>
      </c>
      <c r="F70" s="65">
        <v>1464.4617995999999</v>
      </c>
      <c r="G70" s="65">
        <v>797.24166782365717</v>
      </c>
    </row>
    <row r="71" spans="1:7" ht="11.25" customHeight="1" x14ac:dyDescent="0.2">
      <c r="A71" s="74">
        <v>44348</v>
      </c>
      <c r="B71" s="65">
        <v>0</v>
      </c>
      <c r="C71" s="65">
        <v>1446.3781415999999</v>
      </c>
      <c r="D71" s="65">
        <v>0</v>
      </c>
      <c r="E71" s="65">
        <v>787.39706438763005</v>
      </c>
      <c r="F71" s="65">
        <v>1446.3781415999999</v>
      </c>
      <c r="G71" s="65">
        <v>787.39706438763005</v>
      </c>
    </row>
    <row r="72" spans="1:7" ht="11.25" customHeight="1" x14ac:dyDescent="0.2">
      <c r="A72" s="74">
        <v>44378</v>
      </c>
      <c r="B72" s="65">
        <v>0</v>
      </c>
      <c r="C72" s="65">
        <v>1446.2208923999997</v>
      </c>
      <c r="D72" s="65">
        <v>0</v>
      </c>
      <c r="E72" s="65">
        <v>787.31145914035994</v>
      </c>
      <c r="F72" s="65">
        <v>1446.2208923999997</v>
      </c>
      <c r="G72" s="65">
        <v>787.31145914035994</v>
      </c>
    </row>
    <row r="73" spans="1:7" ht="11.25" customHeight="1" x14ac:dyDescent="0.2">
      <c r="A73" s="74">
        <v>44409</v>
      </c>
      <c r="B73" s="65">
        <v>0</v>
      </c>
      <c r="C73" s="65">
        <v>1525.7889875999997</v>
      </c>
      <c r="D73" s="65">
        <v>0</v>
      </c>
      <c r="E73" s="65">
        <v>830.62771425887956</v>
      </c>
      <c r="F73" s="65">
        <v>1525.7889875999997</v>
      </c>
      <c r="G73" s="65">
        <v>830.62771425887956</v>
      </c>
    </row>
    <row r="74" spans="1:7" ht="11.25" customHeight="1" x14ac:dyDescent="0.2">
      <c r="A74" s="74">
        <v>44440</v>
      </c>
      <c r="B74" s="65">
        <v>0</v>
      </c>
      <c r="C74" s="65">
        <v>1419.4885284</v>
      </c>
      <c r="D74" s="65">
        <v>0</v>
      </c>
      <c r="E74" s="65">
        <v>772.75856710449386</v>
      </c>
      <c r="F74" s="65">
        <v>1419.4885284</v>
      </c>
      <c r="G74" s="65">
        <v>772.75856710449386</v>
      </c>
    </row>
    <row r="75" spans="1:7" ht="11.25" customHeight="1" x14ac:dyDescent="0.2">
      <c r="A75" s="74">
        <v>44470</v>
      </c>
      <c r="B75" s="65">
        <v>0</v>
      </c>
      <c r="C75" s="65">
        <v>1150.5137718000001</v>
      </c>
      <c r="D75" s="65">
        <v>0</v>
      </c>
      <c r="E75" s="65">
        <v>626.33079164949925</v>
      </c>
      <c r="F75" s="65">
        <v>1150.5137718000001</v>
      </c>
      <c r="G75" s="65">
        <v>626.33079164949925</v>
      </c>
    </row>
    <row r="76" spans="1:7" ht="11.25" customHeight="1" x14ac:dyDescent="0.2">
      <c r="A76" s="74">
        <v>44501</v>
      </c>
      <c r="B76" s="65">
        <v>0</v>
      </c>
      <c r="C76" s="65">
        <v>1129.3637543999998</v>
      </c>
      <c r="D76" s="65">
        <v>0</v>
      </c>
      <c r="E76" s="65">
        <v>614.81688589171108</v>
      </c>
      <c r="F76" s="65">
        <v>1129.3637543999998</v>
      </c>
      <c r="G76" s="65">
        <v>614.81688589171108</v>
      </c>
    </row>
    <row r="77" spans="1:7" ht="11.25" customHeight="1" x14ac:dyDescent="0.2">
      <c r="A77" s="74">
        <v>44531</v>
      </c>
      <c r="B77" s="65">
        <v>0</v>
      </c>
      <c r="C77" s="65">
        <v>1537.7399267999999</v>
      </c>
      <c r="D77" s="65">
        <v>0</v>
      </c>
      <c r="E77" s="65">
        <v>837.13371305138435</v>
      </c>
      <c r="F77" s="65">
        <v>1537.7399267999999</v>
      </c>
      <c r="G77" s="65">
        <v>837.13371305138435</v>
      </c>
    </row>
    <row r="78" spans="1:7" ht="11.25" customHeight="1" x14ac:dyDescent="0.2">
      <c r="A78" s="74">
        <v>44562</v>
      </c>
      <c r="B78" s="65">
        <v>0</v>
      </c>
      <c r="C78" s="65">
        <v>1537.7399267999999</v>
      </c>
      <c r="D78" s="65">
        <v>0</v>
      </c>
      <c r="E78" s="65">
        <v>837.13371305138435</v>
      </c>
      <c r="F78" s="65">
        <v>1537.7399267999999</v>
      </c>
      <c r="G78" s="65">
        <v>837.13371305138435</v>
      </c>
    </row>
    <row r="79" spans="1:7" ht="11.25" customHeight="1" x14ac:dyDescent="0.2">
      <c r="A79" s="67" t="s">
        <v>37</v>
      </c>
      <c r="B79" s="65">
        <v>0</v>
      </c>
      <c r="C79" s="65">
        <v>32322.722507999999</v>
      </c>
      <c r="D79" s="65">
        <v>0</v>
      </c>
      <c r="E79" s="65">
        <v>18088.973770913461</v>
      </c>
      <c r="F79" s="65">
        <v>32322.722507999995</v>
      </c>
      <c r="G79" s="65">
        <v>18088.973770913461</v>
      </c>
    </row>
    <row r="80" spans="1:7" ht="11.25" customHeight="1" x14ac:dyDescent="0.2">
      <c r="A80" s="68" t="s">
        <v>23</v>
      </c>
      <c r="B80" s="65">
        <v>0</v>
      </c>
      <c r="C80" s="65">
        <v>32322.722507999999</v>
      </c>
      <c r="D80" s="65">
        <v>0</v>
      </c>
      <c r="E80" s="65">
        <v>18088.973770913461</v>
      </c>
      <c r="F80" s="65">
        <v>32322.722507999995</v>
      </c>
      <c r="G80" s="65">
        <v>18088.973770913461</v>
      </c>
    </row>
    <row r="81" spans="1:7" ht="11.25" customHeight="1" x14ac:dyDescent="0.2">
      <c r="A81" s="69" t="s">
        <v>49</v>
      </c>
      <c r="B81" s="65">
        <v>0</v>
      </c>
      <c r="C81" s="65">
        <v>32322.722507999999</v>
      </c>
      <c r="D81" s="65">
        <v>0</v>
      </c>
      <c r="E81" s="65">
        <v>18088.973770913461</v>
      </c>
      <c r="F81" s="65">
        <v>32322.722507999995</v>
      </c>
      <c r="G81" s="65">
        <v>18088.973770913461</v>
      </c>
    </row>
    <row r="82" spans="1:7" ht="11.25" customHeight="1" x14ac:dyDescent="0.2">
      <c r="A82" s="70" t="s">
        <v>50</v>
      </c>
      <c r="B82" s="65">
        <v>0</v>
      </c>
      <c r="C82" s="65">
        <v>32322.722507999999</v>
      </c>
      <c r="D82" s="65">
        <v>0</v>
      </c>
      <c r="E82" s="65">
        <v>18088.973770913461</v>
      </c>
      <c r="F82" s="65">
        <v>32322.722507999995</v>
      </c>
      <c r="G82" s="65">
        <v>18088.973770913461</v>
      </c>
    </row>
    <row r="83" spans="1:7" ht="11.25" customHeight="1" x14ac:dyDescent="0.2">
      <c r="A83" s="71" t="s">
        <v>25</v>
      </c>
      <c r="B83" s="65">
        <v>0</v>
      </c>
      <c r="C83" s="65">
        <v>32322.722507999999</v>
      </c>
      <c r="D83" s="65">
        <v>0</v>
      </c>
      <c r="E83" s="65">
        <v>18088.973770913461</v>
      </c>
      <c r="F83" s="65">
        <v>32322.722507999995</v>
      </c>
      <c r="G83" s="65">
        <v>18088.973770913461</v>
      </c>
    </row>
    <row r="84" spans="1:7" ht="11.25" customHeight="1" x14ac:dyDescent="0.2">
      <c r="A84" s="72" t="s">
        <v>25</v>
      </c>
      <c r="B84" s="65">
        <v>0</v>
      </c>
      <c r="C84" s="65">
        <v>32322.722507999999</v>
      </c>
      <c r="D84" s="65">
        <v>0</v>
      </c>
      <c r="E84" s="65">
        <v>18088.973770913461</v>
      </c>
      <c r="F84" s="65">
        <v>32322.722507999995</v>
      </c>
      <c r="G84" s="65">
        <v>18088.973770913461</v>
      </c>
    </row>
    <row r="85" spans="1:7" ht="11.25" customHeight="1" x14ac:dyDescent="0.2">
      <c r="A85" s="73" t="s">
        <v>25</v>
      </c>
      <c r="B85" s="65">
        <v>0</v>
      </c>
      <c r="C85" s="65">
        <v>32322.722507999999</v>
      </c>
      <c r="D85" s="65">
        <v>0</v>
      </c>
      <c r="E85" s="65">
        <v>18088.973770913461</v>
      </c>
      <c r="F85" s="65">
        <v>32322.722507999995</v>
      </c>
      <c r="G85" s="65">
        <v>18088.973770913461</v>
      </c>
    </row>
    <row r="86" spans="1:7" ht="11.25" customHeight="1" x14ac:dyDescent="0.2">
      <c r="A86" s="74">
        <v>44228</v>
      </c>
      <c r="B86" s="65">
        <v>0</v>
      </c>
      <c r="C86" s="65">
        <v>2428.6213440000006</v>
      </c>
      <c r="D86" s="65">
        <v>0</v>
      </c>
      <c r="E86" s="65">
        <v>1359.1450342780822</v>
      </c>
      <c r="F86" s="65">
        <v>2428.6213440000006</v>
      </c>
      <c r="G86" s="65">
        <v>1359.1450342780822</v>
      </c>
    </row>
    <row r="87" spans="1:7" ht="11.25" customHeight="1" x14ac:dyDescent="0.2">
      <c r="A87" s="74">
        <v>44256</v>
      </c>
      <c r="B87" s="65">
        <v>0</v>
      </c>
      <c r="C87" s="65">
        <v>2759.1905879999999</v>
      </c>
      <c r="D87" s="65">
        <v>0</v>
      </c>
      <c r="E87" s="65">
        <v>1544.1436334123816</v>
      </c>
      <c r="F87" s="65">
        <v>2759.1905879999999</v>
      </c>
      <c r="G87" s="65">
        <v>1544.1436334123816</v>
      </c>
    </row>
    <row r="88" spans="1:7" ht="11.25" customHeight="1" x14ac:dyDescent="0.2">
      <c r="A88" s="74">
        <v>44287</v>
      </c>
      <c r="B88" s="65">
        <v>0</v>
      </c>
      <c r="C88" s="65">
        <v>2662.2691128000006</v>
      </c>
      <c r="D88" s="65">
        <v>0</v>
      </c>
      <c r="E88" s="65">
        <v>1489.9028428262202</v>
      </c>
      <c r="F88" s="65">
        <v>2662.2691128000006</v>
      </c>
      <c r="G88" s="65">
        <v>1489.9028428262202</v>
      </c>
    </row>
    <row r="89" spans="1:7" ht="11.25" customHeight="1" x14ac:dyDescent="0.2">
      <c r="A89" s="74">
        <v>44317</v>
      </c>
      <c r="B89" s="65">
        <v>0</v>
      </c>
      <c r="C89" s="65">
        <v>3010.5845423999999</v>
      </c>
      <c r="D89" s="65">
        <v>0</v>
      </c>
      <c r="E89" s="65">
        <v>1684.8328543213661</v>
      </c>
      <c r="F89" s="65">
        <v>3010.5845423999999</v>
      </c>
      <c r="G89" s="65">
        <v>1684.8328543213661</v>
      </c>
    </row>
    <row r="90" spans="1:7" ht="11.25" customHeight="1" x14ac:dyDescent="0.2">
      <c r="A90" s="74">
        <v>44348</v>
      </c>
      <c r="B90" s="65">
        <v>0</v>
      </c>
      <c r="C90" s="65">
        <v>2452.1381423999997</v>
      </c>
      <c r="D90" s="65">
        <v>0</v>
      </c>
      <c r="E90" s="65">
        <v>1372.305891917106</v>
      </c>
      <c r="F90" s="65">
        <v>2452.1381423999997</v>
      </c>
      <c r="G90" s="65">
        <v>1372.305891917106</v>
      </c>
    </row>
    <row r="91" spans="1:7" ht="11.25" customHeight="1" x14ac:dyDescent="0.2">
      <c r="A91" s="74">
        <v>44378</v>
      </c>
      <c r="B91" s="65">
        <v>0</v>
      </c>
      <c r="C91" s="65">
        <v>2814.4147320000002</v>
      </c>
      <c r="D91" s="65">
        <v>0</v>
      </c>
      <c r="E91" s="65">
        <v>1575.0490774723585</v>
      </c>
      <c r="F91" s="65">
        <v>2814.4147320000002</v>
      </c>
      <c r="G91" s="65">
        <v>1575.0490774723585</v>
      </c>
    </row>
    <row r="92" spans="1:7" ht="11.25" customHeight="1" x14ac:dyDescent="0.2">
      <c r="A92" s="74">
        <v>44409</v>
      </c>
      <c r="B92" s="65">
        <v>0</v>
      </c>
      <c r="C92" s="65">
        <v>2488.7784311999999</v>
      </c>
      <c r="D92" s="65">
        <v>0</v>
      </c>
      <c r="E92" s="65">
        <v>1392.8111331726298</v>
      </c>
      <c r="F92" s="65">
        <v>2488.7784311999999</v>
      </c>
      <c r="G92" s="65">
        <v>1392.8111331726298</v>
      </c>
    </row>
    <row r="93" spans="1:7" ht="11.25" customHeight="1" x14ac:dyDescent="0.2">
      <c r="A93" s="74">
        <v>44440</v>
      </c>
      <c r="B93" s="65">
        <v>0</v>
      </c>
      <c r="C93" s="65">
        <v>2523.4641576000004</v>
      </c>
      <c r="D93" s="65">
        <v>0</v>
      </c>
      <c r="E93" s="65">
        <v>1412.222530059739</v>
      </c>
      <c r="F93" s="65">
        <v>2523.4641576000004</v>
      </c>
      <c r="G93" s="65">
        <v>1412.222530059739</v>
      </c>
    </row>
    <row r="94" spans="1:7" ht="11.25" customHeight="1" x14ac:dyDescent="0.2">
      <c r="A94" s="74">
        <v>44470</v>
      </c>
      <c r="B94" s="65">
        <v>0</v>
      </c>
      <c r="C94" s="65">
        <v>2728.1968128000003</v>
      </c>
      <c r="D94" s="65">
        <v>0</v>
      </c>
      <c r="E94" s="65">
        <v>1526.7983869989453</v>
      </c>
      <c r="F94" s="65">
        <v>2728.1968128000003</v>
      </c>
      <c r="G94" s="65">
        <v>1526.7983869989453</v>
      </c>
    </row>
    <row r="95" spans="1:7" ht="11.25" customHeight="1" x14ac:dyDescent="0.2">
      <c r="A95" s="74">
        <v>44501</v>
      </c>
      <c r="B95" s="65">
        <v>0</v>
      </c>
      <c r="C95" s="65">
        <v>2698.4130048000002</v>
      </c>
      <c r="D95" s="65">
        <v>0</v>
      </c>
      <c r="E95" s="65">
        <v>1510.1302823373846</v>
      </c>
      <c r="F95" s="65">
        <v>2698.4130048000002</v>
      </c>
      <c r="G95" s="65">
        <v>1510.1302823373846</v>
      </c>
    </row>
    <row r="96" spans="1:7" ht="11.25" customHeight="1" x14ac:dyDescent="0.2">
      <c r="A96" s="74">
        <v>44531</v>
      </c>
      <c r="B96" s="65">
        <v>0</v>
      </c>
      <c r="C96" s="65">
        <v>2878.3258199999996</v>
      </c>
      <c r="D96" s="65">
        <v>0</v>
      </c>
      <c r="E96" s="65">
        <v>1610.8160520586241</v>
      </c>
      <c r="F96" s="65">
        <v>2878.3258199999996</v>
      </c>
      <c r="G96" s="65">
        <v>1610.8160520586241</v>
      </c>
    </row>
    <row r="97" spans="1:7" ht="11.25" customHeight="1" x14ac:dyDescent="0.2">
      <c r="A97" s="74">
        <v>44562</v>
      </c>
      <c r="B97" s="65">
        <v>0</v>
      </c>
      <c r="C97" s="65">
        <v>2878.3258199999996</v>
      </c>
      <c r="D97" s="65">
        <v>0</v>
      </c>
      <c r="E97" s="65">
        <v>1610.8160520586241</v>
      </c>
      <c r="F97" s="65">
        <v>2878.3258199999996</v>
      </c>
      <c r="G97" s="65">
        <v>1610.8160520586241</v>
      </c>
    </row>
    <row r="98" spans="1:7" ht="11.25" customHeight="1" x14ac:dyDescent="0.2">
      <c r="A98" s="66" t="s">
        <v>915</v>
      </c>
      <c r="B98" s="65">
        <v>0</v>
      </c>
      <c r="C98" s="65">
        <v>13219422.070980005</v>
      </c>
      <c r="D98" s="65">
        <v>0</v>
      </c>
      <c r="E98" s="65">
        <v>14632252.958888302</v>
      </c>
      <c r="F98" s="65">
        <v>13219422.070980005</v>
      </c>
      <c r="G98" s="65">
        <v>14632252.958888296</v>
      </c>
    </row>
    <row r="99" spans="1:7" ht="11.25" customHeight="1" x14ac:dyDescent="0.2">
      <c r="A99" s="67" t="s">
        <v>22</v>
      </c>
      <c r="B99" s="65">
        <v>0</v>
      </c>
      <c r="C99" s="65">
        <v>13219422.070980005</v>
      </c>
      <c r="D99" s="65">
        <v>0</v>
      </c>
      <c r="E99" s="65">
        <v>14632252.958888302</v>
      </c>
      <c r="F99" s="65">
        <v>13219422.070980005</v>
      </c>
      <c r="G99" s="65">
        <v>14632252.958888296</v>
      </c>
    </row>
    <row r="100" spans="1:7" ht="11.25" customHeight="1" x14ac:dyDescent="0.2">
      <c r="A100" s="68" t="s">
        <v>23</v>
      </c>
      <c r="B100" s="65">
        <v>0</v>
      </c>
      <c r="C100" s="65">
        <v>13219422.070980005</v>
      </c>
      <c r="D100" s="65">
        <v>0</v>
      </c>
      <c r="E100" s="65">
        <v>14632252.958888302</v>
      </c>
      <c r="F100" s="65">
        <v>13219422.070980005</v>
      </c>
      <c r="G100" s="65">
        <v>14632252.958888296</v>
      </c>
    </row>
    <row r="101" spans="1:7" ht="11.25" customHeight="1" x14ac:dyDescent="0.2">
      <c r="A101" s="69" t="s">
        <v>24</v>
      </c>
      <c r="B101" s="65">
        <v>0</v>
      </c>
      <c r="C101" s="65">
        <v>13219422.070980005</v>
      </c>
      <c r="D101" s="65">
        <v>0</v>
      </c>
      <c r="E101" s="65">
        <v>14632252.958888302</v>
      </c>
      <c r="F101" s="65">
        <v>13219422.070980005</v>
      </c>
      <c r="G101" s="65">
        <v>14632252.958888296</v>
      </c>
    </row>
    <row r="102" spans="1:7" ht="11.25" customHeight="1" x14ac:dyDescent="0.2">
      <c r="A102" s="70" t="s">
        <v>29</v>
      </c>
      <c r="B102" s="65">
        <v>0</v>
      </c>
      <c r="C102" s="65">
        <v>6336855.2986000013</v>
      </c>
      <c r="D102" s="65">
        <v>0</v>
      </c>
      <c r="E102" s="65">
        <v>7013929.9855581895</v>
      </c>
      <c r="F102" s="65">
        <v>6336855.2986000013</v>
      </c>
      <c r="G102" s="65">
        <v>7013929.9855581885</v>
      </c>
    </row>
    <row r="103" spans="1:7" ht="11.25" customHeight="1" x14ac:dyDescent="0.2">
      <c r="A103" s="71" t="s">
        <v>25</v>
      </c>
      <c r="B103" s="65">
        <v>0</v>
      </c>
      <c r="C103" s="65">
        <v>6336855.2986000013</v>
      </c>
      <c r="D103" s="65">
        <v>0</v>
      </c>
      <c r="E103" s="65">
        <v>7013929.9855581895</v>
      </c>
      <c r="F103" s="65">
        <v>6336855.2986000013</v>
      </c>
      <c r="G103" s="65">
        <v>7013929.9855581885</v>
      </c>
    </row>
    <row r="104" spans="1:7" ht="11.25" customHeight="1" x14ac:dyDescent="0.2">
      <c r="A104" s="72" t="s">
        <v>25</v>
      </c>
      <c r="B104" s="65">
        <v>0</v>
      </c>
      <c r="C104" s="65">
        <v>6336855.2986000013</v>
      </c>
      <c r="D104" s="65">
        <v>0</v>
      </c>
      <c r="E104" s="65">
        <v>7013929.9855581895</v>
      </c>
      <c r="F104" s="65">
        <v>6336855.2986000013</v>
      </c>
      <c r="G104" s="65">
        <v>7013929.9855581885</v>
      </c>
    </row>
    <row r="105" spans="1:7" ht="11.25" customHeight="1" x14ac:dyDescent="0.2">
      <c r="A105" s="73" t="s">
        <v>25</v>
      </c>
      <c r="B105" s="65">
        <v>0</v>
      </c>
      <c r="C105" s="65">
        <v>6336855.2986000013</v>
      </c>
      <c r="D105" s="65">
        <v>0</v>
      </c>
      <c r="E105" s="65">
        <v>7013929.9855581895</v>
      </c>
      <c r="F105" s="65">
        <v>6336855.2986000013</v>
      </c>
      <c r="G105" s="65">
        <v>7013929.9855581885</v>
      </c>
    </row>
    <row r="106" spans="1:7" ht="11.25" customHeight="1" x14ac:dyDescent="0.2">
      <c r="A106" s="74">
        <v>44228</v>
      </c>
      <c r="B106" s="65">
        <v>0</v>
      </c>
      <c r="C106" s="65">
        <v>517022.27520000015</v>
      </c>
      <c r="D106" s="65">
        <v>0</v>
      </c>
      <c r="E106" s="65">
        <v>572264.61207469401</v>
      </c>
      <c r="F106" s="65">
        <v>517022.27520000015</v>
      </c>
      <c r="G106" s="65">
        <v>572264.61207469401</v>
      </c>
    </row>
    <row r="107" spans="1:7" ht="11.25" customHeight="1" x14ac:dyDescent="0.2">
      <c r="A107" s="74">
        <v>44256</v>
      </c>
      <c r="B107" s="65">
        <v>0</v>
      </c>
      <c r="C107" s="65">
        <v>519858.05320000014</v>
      </c>
      <c r="D107" s="65">
        <v>0</v>
      </c>
      <c r="E107" s="65">
        <v>575403.38476388261</v>
      </c>
      <c r="F107" s="65">
        <v>519858.05320000014</v>
      </c>
      <c r="G107" s="65">
        <v>575403.38476388261</v>
      </c>
    </row>
    <row r="108" spans="1:7" ht="11.25" customHeight="1" x14ac:dyDescent="0.2">
      <c r="A108" s="74">
        <v>44287</v>
      </c>
      <c r="B108" s="65">
        <v>0</v>
      </c>
      <c r="C108" s="65">
        <v>519565.46800000017</v>
      </c>
      <c r="D108" s="65">
        <v>0</v>
      </c>
      <c r="E108" s="65">
        <v>575079.53768028831</v>
      </c>
      <c r="F108" s="65">
        <v>519565.46800000017</v>
      </c>
      <c r="G108" s="65">
        <v>575079.53768028831</v>
      </c>
    </row>
    <row r="109" spans="1:7" ht="11.25" customHeight="1" x14ac:dyDescent="0.2">
      <c r="A109" s="74">
        <v>44317</v>
      </c>
      <c r="B109" s="65">
        <v>0</v>
      </c>
      <c r="C109" s="65">
        <v>520957.88780000008</v>
      </c>
      <c r="D109" s="65">
        <v>0</v>
      </c>
      <c r="E109" s="65">
        <v>576620.73351442115</v>
      </c>
      <c r="F109" s="65">
        <v>520957.88780000008</v>
      </c>
      <c r="G109" s="65">
        <v>576620.73351442115</v>
      </c>
    </row>
    <row r="110" spans="1:7" ht="11.25" customHeight="1" x14ac:dyDescent="0.2">
      <c r="A110" s="74">
        <v>44348</v>
      </c>
      <c r="B110" s="65">
        <v>0</v>
      </c>
      <c r="C110" s="65">
        <v>523832.18020000012</v>
      </c>
      <c r="D110" s="65">
        <v>0</v>
      </c>
      <c r="E110" s="65">
        <v>579802.13575601508</v>
      </c>
      <c r="F110" s="65">
        <v>523832.18020000012</v>
      </c>
      <c r="G110" s="65">
        <v>579802.13575601508</v>
      </c>
    </row>
    <row r="111" spans="1:7" ht="11.25" customHeight="1" x14ac:dyDescent="0.2">
      <c r="A111" s="74">
        <v>44378</v>
      </c>
      <c r="B111" s="65">
        <v>0</v>
      </c>
      <c r="C111" s="65">
        <v>529864.34279999998</v>
      </c>
      <c r="D111" s="65">
        <v>0</v>
      </c>
      <c r="E111" s="65">
        <v>586478.8175081216</v>
      </c>
      <c r="F111" s="65">
        <v>529864.34279999998</v>
      </c>
      <c r="G111" s="65">
        <v>586478.8175081216</v>
      </c>
    </row>
    <row r="112" spans="1:7" ht="11.25" customHeight="1" x14ac:dyDescent="0.2">
      <c r="A112" s="74">
        <v>44409</v>
      </c>
      <c r="B112" s="65">
        <v>0</v>
      </c>
      <c r="C112" s="65">
        <v>534870.28300000005</v>
      </c>
      <c r="D112" s="65">
        <v>0</v>
      </c>
      <c r="E112" s="65">
        <v>592019.62796065758</v>
      </c>
      <c r="F112" s="65">
        <v>534870.28300000005</v>
      </c>
      <c r="G112" s="65">
        <v>592019.62796065758</v>
      </c>
    </row>
    <row r="113" spans="1:7" ht="11.25" customHeight="1" x14ac:dyDescent="0.2">
      <c r="A113" s="74">
        <v>44440</v>
      </c>
      <c r="B113" s="65">
        <v>0</v>
      </c>
      <c r="C113" s="65">
        <v>527247.2272000002</v>
      </c>
      <c r="D113" s="65">
        <v>0</v>
      </c>
      <c r="E113" s="65">
        <v>583582.07066484634</v>
      </c>
      <c r="F113" s="65">
        <v>527247.2272000002</v>
      </c>
      <c r="G113" s="65">
        <v>583582.07066484634</v>
      </c>
    </row>
    <row r="114" spans="1:7" ht="11.25" customHeight="1" x14ac:dyDescent="0.2">
      <c r="A114" s="74">
        <v>44470</v>
      </c>
      <c r="B114" s="65">
        <v>0</v>
      </c>
      <c r="C114" s="65">
        <v>534991.10640000016</v>
      </c>
      <c r="D114" s="65">
        <v>0</v>
      </c>
      <c r="E114" s="65">
        <v>592153.36099199334</v>
      </c>
      <c r="F114" s="65">
        <v>534991.10640000016</v>
      </c>
      <c r="G114" s="65">
        <v>592153.36099199334</v>
      </c>
    </row>
    <row r="115" spans="1:7" ht="11.25" customHeight="1" x14ac:dyDescent="0.2">
      <c r="A115" s="74">
        <v>44501</v>
      </c>
      <c r="B115" s="65">
        <v>0</v>
      </c>
      <c r="C115" s="65">
        <v>536840.41879999998</v>
      </c>
      <c r="D115" s="65">
        <v>0</v>
      </c>
      <c r="E115" s="65">
        <v>594200.26708086825</v>
      </c>
      <c r="F115" s="65">
        <v>536840.41879999998</v>
      </c>
      <c r="G115" s="65">
        <v>594200.26708086825</v>
      </c>
    </row>
    <row r="116" spans="1:7" ht="11.25" customHeight="1" x14ac:dyDescent="0.2">
      <c r="A116" s="74">
        <v>44531</v>
      </c>
      <c r="B116" s="65">
        <v>0</v>
      </c>
      <c r="C116" s="65">
        <v>535903.02800000017</v>
      </c>
      <c r="D116" s="65">
        <v>0</v>
      </c>
      <c r="E116" s="65">
        <v>593162.71878120012</v>
      </c>
      <c r="F116" s="65">
        <v>535903.02800000017</v>
      </c>
      <c r="G116" s="65">
        <v>593162.71878120012</v>
      </c>
    </row>
    <row r="117" spans="1:7" ht="11.25" customHeight="1" x14ac:dyDescent="0.2">
      <c r="A117" s="74">
        <v>44562</v>
      </c>
      <c r="B117" s="65">
        <v>0</v>
      </c>
      <c r="C117" s="65">
        <v>535903.02800000017</v>
      </c>
      <c r="D117" s="65">
        <v>0</v>
      </c>
      <c r="E117" s="65">
        <v>593162.71878120012</v>
      </c>
      <c r="F117" s="65">
        <v>535903.02800000017</v>
      </c>
      <c r="G117" s="65">
        <v>593162.71878120012</v>
      </c>
    </row>
    <row r="118" spans="1:7" ht="11.25" customHeight="1" x14ac:dyDescent="0.2">
      <c r="A118" s="70" t="s">
        <v>30</v>
      </c>
      <c r="B118" s="65">
        <v>0</v>
      </c>
      <c r="C118" s="65">
        <v>6251241.8920200011</v>
      </c>
      <c r="D118" s="65">
        <v>0</v>
      </c>
      <c r="E118" s="65">
        <v>6919475.3530853475</v>
      </c>
      <c r="F118" s="65">
        <v>6251241.8920199992</v>
      </c>
      <c r="G118" s="65">
        <v>6919475.3530853484</v>
      </c>
    </row>
    <row r="119" spans="1:7" ht="11.25" customHeight="1" x14ac:dyDescent="0.2">
      <c r="A119" s="71" t="s">
        <v>25</v>
      </c>
      <c r="B119" s="65">
        <v>0</v>
      </c>
      <c r="C119" s="65">
        <v>6251241.8920200011</v>
      </c>
      <c r="D119" s="65">
        <v>0</v>
      </c>
      <c r="E119" s="65">
        <v>6919475.3530853475</v>
      </c>
      <c r="F119" s="65">
        <v>6251241.8920199992</v>
      </c>
      <c r="G119" s="65">
        <v>6919475.3530853484</v>
      </c>
    </row>
    <row r="120" spans="1:7" ht="11.25" customHeight="1" x14ac:dyDescent="0.2">
      <c r="A120" s="72" t="s">
        <v>25</v>
      </c>
      <c r="B120" s="65">
        <v>0</v>
      </c>
      <c r="C120" s="65">
        <v>6251241.8920200011</v>
      </c>
      <c r="D120" s="65">
        <v>0</v>
      </c>
      <c r="E120" s="65">
        <v>6919475.3530853475</v>
      </c>
      <c r="F120" s="65">
        <v>6251241.8920199992</v>
      </c>
      <c r="G120" s="65">
        <v>6919475.3530853484</v>
      </c>
    </row>
    <row r="121" spans="1:7" ht="11.25" customHeight="1" x14ac:dyDescent="0.2">
      <c r="A121" s="73" t="s">
        <v>25</v>
      </c>
      <c r="B121" s="65">
        <v>0</v>
      </c>
      <c r="C121" s="65">
        <v>6251241.8920200011</v>
      </c>
      <c r="D121" s="65">
        <v>0</v>
      </c>
      <c r="E121" s="65">
        <v>6919475.3530853475</v>
      </c>
      <c r="F121" s="65">
        <v>6251241.8920199992</v>
      </c>
      <c r="G121" s="65">
        <v>6919475.3530853484</v>
      </c>
    </row>
    <row r="122" spans="1:7" ht="11.25" customHeight="1" x14ac:dyDescent="0.2">
      <c r="A122" s="74">
        <v>44228</v>
      </c>
      <c r="B122" s="65">
        <v>0</v>
      </c>
      <c r="C122" s="65">
        <v>512299.30923000013</v>
      </c>
      <c r="D122" s="65">
        <v>0</v>
      </c>
      <c r="E122" s="65">
        <v>567062.1141928276</v>
      </c>
      <c r="F122" s="65">
        <v>512299.30923000013</v>
      </c>
      <c r="G122" s="65">
        <v>567062.1141928276</v>
      </c>
    </row>
    <row r="123" spans="1:7" ht="11.25" customHeight="1" x14ac:dyDescent="0.2">
      <c r="A123" s="74">
        <v>44256</v>
      </c>
      <c r="B123" s="65">
        <v>0</v>
      </c>
      <c r="C123" s="65">
        <v>535446.87239999999</v>
      </c>
      <c r="D123" s="65">
        <v>0</v>
      </c>
      <c r="E123" s="65">
        <v>592684.06189625349</v>
      </c>
      <c r="F123" s="65">
        <v>535446.87239999999</v>
      </c>
      <c r="G123" s="65">
        <v>592684.06189625349</v>
      </c>
    </row>
    <row r="124" spans="1:7" ht="11.25" customHeight="1" x14ac:dyDescent="0.2">
      <c r="A124" s="74">
        <v>44287</v>
      </c>
      <c r="B124" s="65">
        <v>0</v>
      </c>
      <c r="C124" s="65">
        <v>539002.46379000007</v>
      </c>
      <c r="D124" s="65">
        <v>0</v>
      </c>
      <c r="E124" s="65">
        <v>596619.73218604899</v>
      </c>
      <c r="F124" s="65">
        <v>539002.46379000007</v>
      </c>
      <c r="G124" s="65">
        <v>596619.73218604899</v>
      </c>
    </row>
    <row r="125" spans="1:7" ht="11.25" customHeight="1" x14ac:dyDescent="0.2">
      <c r="A125" s="74">
        <v>44317</v>
      </c>
      <c r="B125" s="65">
        <v>0</v>
      </c>
      <c r="C125" s="65">
        <v>515509.91097000008</v>
      </c>
      <c r="D125" s="65">
        <v>0</v>
      </c>
      <c r="E125" s="65">
        <v>570615.91677993641</v>
      </c>
      <c r="F125" s="65">
        <v>515509.91097000008</v>
      </c>
      <c r="G125" s="65">
        <v>570615.91677993641</v>
      </c>
    </row>
    <row r="126" spans="1:7" ht="11.25" customHeight="1" x14ac:dyDescent="0.2">
      <c r="A126" s="74">
        <v>44348</v>
      </c>
      <c r="B126" s="65">
        <v>0</v>
      </c>
      <c r="C126" s="65">
        <v>497765.21064000012</v>
      </c>
      <c r="D126" s="65">
        <v>0</v>
      </c>
      <c r="E126" s="65">
        <v>550974.37695437635</v>
      </c>
      <c r="F126" s="65">
        <v>497765.21064000012</v>
      </c>
      <c r="G126" s="65">
        <v>550974.37695437635</v>
      </c>
    </row>
    <row r="127" spans="1:7" ht="11.25" customHeight="1" x14ac:dyDescent="0.2">
      <c r="A127" s="74">
        <v>44378</v>
      </c>
      <c r="B127" s="65">
        <v>0</v>
      </c>
      <c r="C127" s="65">
        <v>516761.43021000014</v>
      </c>
      <c r="D127" s="65">
        <v>0</v>
      </c>
      <c r="E127" s="65">
        <v>572001.21856231452</v>
      </c>
      <c r="F127" s="65">
        <v>516761.43021000014</v>
      </c>
      <c r="G127" s="65">
        <v>572001.21856231452</v>
      </c>
    </row>
    <row r="128" spans="1:7" ht="11.25" customHeight="1" x14ac:dyDescent="0.2">
      <c r="A128" s="74">
        <v>44409</v>
      </c>
      <c r="B128" s="65">
        <v>0</v>
      </c>
      <c r="C128" s="65">
        <v>497210.93364000012</v>
      </c>
      <c r="D128" s="65">
        <v>0</v>
      </c>
      <c r="E128" s="65">
        <v>550360.84989742818</v>
      </c>
      <c r="F128" s="65">
        <v>497210.93364000012</v>
      </c>
      <c r="G128" s="65">
        <v>550360.84989742818</v>
      </c>
    </row>
    <row r="129" spans="1:7" ht="11.25" customHeight="1" x14ac:dyDescent="0.2">
      <c r="A129" s="74">
        <v>44440</v>
      </c>
      <c r="B129" s="65">
        <v>0</v>
      </c>
      <c r="C129" s="65">
        <v>497613.07116000011</v>
      </c>
      <c r="D129" s="65">
        <v>0</v>
      </c>
      <c r="E129" s="65">
        <v>550805.97435529681</v>
      </c>
      <c r="F129" s="65">
        <v>497613.07116000011</v>
      </c>
      <c r="G129" s="65">
        <v>550805.97435529681</v>
      </c>
    </row>
    <row r="130" spans="1:7" ht="11.25" customHeight="1" x14ac:dyDescent="0.2">
      <c r="A130" s="74">
        <v>44470</v>
      </c>
      <c r="B130" s="65">
        <v>0</v>
      </c>
      <c r="C130" s="65">
        <v>525684.33426000015</v>
      </c>
      <c r="D130" s="65">
        <v>0</v>
      </c>
      <c r="E130" s="65">
        <v>581877.94637390936</v>
      </c>
      <c r="F130" s="65">
        <v>525684.33426000015</v>
      </c>
      <c r="G130" s="65">
        <v>581877.94637390936</v>
      </c>
    </row>
    <row r="131" spans="1:7" ht="11.25" customHeight="1" x14ac:dyDescent="0.2">
      <c r="A131" s="74">
        <v>44501</v>
      </c>
      <c r="B131" s="65">
        <v>0</v>
      </c>
      <c r="C131" s="65">
        <v>529570.00716000015</v>
      </c>
      <c r="D131" s="65">
        <v>0</v>
      </c>
      <c r="E131" s="65">
        <v>586178.9826041701</v>
      </c>
      <c r="F131" s="65">
        <v>529570.00716000015</v>
      </c>
      <c r="G131" s="65">
        <v>586178.9826041701</v>
      </c>
    </row>
    <row r="132" spans="1:7" ht="11.25" customHeight="1" x14ac:dyDescent="0.2">
      <c r="A132" s="74">
        <v>44531</v>
      </c>
      <c r="B132" s="65">
        <v>0</v>
      </c>
      <c r="C132" s="65">
        <v>542189.17428000015</v>
      </c>
      <c r="D132" s="65">
        <v>0</v>
      </c>
      <c r="E132" s="65">
        <v>600147.08964139258</v>
      </c>
      <c r="F132" s="65">
        <v>542189.17428000015</v>
      </c>
      <c r="G132" s="65">
        <v>600147.08964139258</v>
      </c>
    </row>
    <row r="133" spans="1:7" ht="11.25" customHeight="1" x14ac:dyDescent="0.2">
      <c r="A133" s="74">
        <v>44562</v>
      </c>
      <c r="B133" s="65">
        <v>0</v>
      </c>
      <c r="C133" s="65">
        <v>542189.17428000015</v>
      </c>
      <c r="D133" s="65">
        <v>0</v>
      </c>
      <c r="E133" s="65">
        <v>600147.08964139258</v>
      </c>
      <c r="F133" s="65">
        <v>542189.17428000015</v>
      </c>
      <c r="G133" s="65">
        <v>600147.08964139258</v>
      </c>
    </row>
    <row r="134" spans="1:7" ht="11.25" customHeight="1" x14ac:dyDescent="0.2">
      <c r="A134" s="70" t="s">
        <v>31</v>
      </c>
      <c r="B134" s="65">
        <v>0</v>
      </c>
      <c r="C134" s="65">
        <v>631324.88036000088</v>
      </c>
      <c r="D134" s="65">
        <v>0</v>
      </c>
      <c r="E134" s="65">
        <v>698847.62024476507</v>
      </c>
      <c r="F134" s="65">
        <v>631324.88036000053</v>
      </c>
      <c r="G134" s="65">
        <v>698847.62024476519</v>
      </c>
    </row>
    <row r="135" spans="1:7" ht="11.25" customHeight="1" x14ac:dyDescent="0.2">
      <c r="A135" s="71" t="s">
        <v>25</v>
      </c>
      <c r="B135" s="65">
        <v>0</v>
      </c>
      <c r="C135" s="65">
        <v>631324.88036000088</v>
      </c>
      <c r="D135" s="65">
        <v>0</v>
      </c>
      <c r="E135" s="65">
        <v>698847.62024476507</v>
      </c>
      <c r="F135" s="65">
        <v>631324.88036000053</v>
      </c>
      <c r="G135" s="65">
        <v>698847.62024476519</v>
      </c>
    </row>
    <row r="136" spans="1:7" ht="11.25" customHeight="1" x14ac:dyDescent="0.2">
      <c r="A136" s="72" t="s">
        <v>25</v>
      </c>
      <c r="B136" s="65">
        <v>0</v>
      </c>
      <c r="C136" s="65">
        <v>631324.88036000088</v>
      </c>
      <c r="D136" s="65">
        <v>0</v>
      </c>
      <c r="E136" s="65">
        <v>698847.62024476507</v>
      </c>
      <c r="F136" s="65">
        <v>631324.88036000053</v>
      </c>
      <c r="G136" s="65">
        <v>698847.62024476519</v>
      </c>
    </row>
    <row r="137" spans="1:7" ht="11.25" customHeight="1" x14ac:dyDescent="0.2">
      <c r="A137" s="73" t="s">
        <v>25</v>
      </c>
      <c r="B137" s="65">
        <v>0</v>
      </c>
      <c r="C137" s="65">
        <v>631324.88036000088</v>
      </c>
      <c r="D137" s="65">
        <v>0</v>
      </c>
      <c r="E137" s="65">
        <v>698847.62024476507</v>
      </c>
      <c r="F137" s="65">
        <v>631324.88036000053</v>
      </c>
      <c r="G137" s="65">
        <v>698847.62024476519</v>
      </c>
    </row>
    <row r="138" spans="1:7" ht="11.25" customHeight="1" x14ac:dyDescent="0.2">
      <c r="A138" s="74">
        <v>44228</v>
      </c>
      <c r="B138" s="65">
        <v>0</v>
      </c>
      <c r="C138" s="65">
        <v>52119.761840000065</v>
      </c>
      <c r="D138" s="65">
        <v>0</v>
      </c>
      <c r="E138" s="65">
        <v>57694.180385917971</v>
      </c>
      <c r="F138" s="65">
        <v>52119.761840000065</v>
      </c>
      <c r="G138" s="65">
        <v>57694.180385917971</v>
      </c>
    </row>
    <row r="139" spans="1:7" ht="11.25" customHeight="1" x14ac:dyDescent="0.2">
      <c r="A139" s="74">
        <v>44256</v>
      </c>
      <c r="B139" s="65">
        <v>0</v>
      </c>
      <c r="C139" s="65">
        <v>60395.257840000071</v>
      </c>
      <c r="D139" s="65">
        <v>0</v>
      </c>
      <c r="E139" s="65">
        <v>66854.774029316381</v>
      </c>
      <c r="F139" s="65">
        <v>60395.257840000071</v>
      </c>
      <c r="G139" s="65">
        <v>66854.774029316381</v>
      </c>
    </row>
    <row r="140" spans="1:7" ht="11.25" customHeight="1" x14ac:dyDescent="0.2">
      <c r="A140" s="74">
        <v>44287</v>
      </c>
      <c r="B140" s="65">
        <v>0</v>
      </c>
      <c r="C140" s="65">
        <v>62321.269640000071</v>
      </c>
      <c r="D140" s="65">
        <v>0</v>
      </c>
      <c r="E140" s="65">
        <v>68986.780552211232</v>
      </c>
      <c r="F140" s="65">
        <v>62321.269640000071</v>
      </c>
      <c r="G140" s="65">
        <v>68986.780552211232</v>
      </c>
    </row>
    <row r="141" spans="1:7" ht="11.25" customHeight="1" x14ac:dyDescent="0.2">
      <c r="A141" s="74">
        <v>44317</v>
      </c>
      <c r="B141" s="65">
        <v>0</v>
      </c>
      <c r="C141" s="65">
        <v>52820.264420000065</v>
      </c>
      <c r="D141" s="65">
        <v>0</v>
      </c>
      <c r="E141" s="65">
        <v>58469.604539531494</v>
      </c>
      <c r="F141" s="65">
        <v>52820.264420000065</v>
      </c>
      <c r="G141" s="65">
        <v>58469.604539531494</v>
      </c>
    </row>
    <row r="142" spans="1:7" ht="11.25" customHeight="1" x14ac:dyDescent="0.2">
      <c r="A142" s="74">
        <v>44348</v>
      </c>
      <c r="B142" s="65">
        <v>0</v>
      </c>
      <c r="C142" s="65">
        <v>46174.544220000054</v>
      </c>
      <c r="D142" s="65">
        <v>0</v>
      </c>
      <c r="E142" s="65">
        <v>51113.097785141872</v>
      </c>
      <c r="F142" s="65">
        <v>46174.544220000054</v>
      </c>
      <c r="G142" s="65">
        <v>51113.097785141872</v>
      </c>
    </row>
    <row r="143" spans="1:7" ht="11.25" customHeight="1" x14ac:dyDescent="0.2">
      <c r="A143" s="74">
        <v>44378</v>
      </c>
      <c r="B143" s="65">
        <v>0</v>
      </c>
      <c r="C143" s="65">
        <v>51197.273380000064</v>
      </c>
      <c r="D143" s="65">
        <v>0</v>
      </c>
      <c r="E143" s="65">
        <v>56673.028067943997</v>
      </c>
      <c r="F143" s="65">
        <v>51197.273380000064</v>
      </c>
      <c r="G143" s="65">
        <v>56673.028067943997</v>
      </c>
    </row>
    <row r="144" spans="1:7" ht="11.25" customHeight="1" x14ac:dyDescent="0.2">
      <c r="A144" s="74">
        <v>44409</v>
      </c>
      <c r="B144" s="65">
        <v>0</v>
      </c>
      <c r="C144" s="65">
        <v>43635.849480000055</v>
      </c>
      <c r="D144" s="65">
        <v>0</v>
      </c>
      <c r="E144" s="65">
        <v>48302.879413001647</v>
      </c>
      <c r="F144" s="65">
        <v>43635.849480000055</v>
      </c>
      <c r="G144" s="65">
        <v>48302.879413001647</v>
      </c>
    </row>
    <row r="145" spans="1:7" ht="11.25" customHeight="1" x14ac:dyDescent="0.2">
      <c r="A145" s="74">
        <v>44440</v>
      </c>
      <c r="B145" s="65">
        <v>0</v>
      </c>
      <c r="C145" s="65">
        <v>44431.673160000057</v>
      </c>
      <c r="D145" s="65">
        <v>0</v>
      </c>
      <c r="E145" s="65">
        <v>49183.819642357557</v>
      </c>
      <c r="F145" s="65">
        <v>44431.673160000057</v>
      </c>
      <c r="G145" s="65">
        <v>49183.819642357557</v>
      </c>
    </row>
    <row r="146" spans="1:7" ht="11.25" customHeight="1" x14ac:dyDescent="0.2">
      <c r="A146" s="74">
        <v>44470</v>
      </c>
      <c r="B146" s="65">
        <v>0</v>
      </c>
      <c r="C146" s="65">
        <v>51128.995760000056</v>
      </c>
      <c r="D146" s="65">
        <v>0</v>
      </c>
      <c r="E146" s="65">
        <v>56597.447881359592</v>
      </c>
      <c r="F146" s="65">
        <v>51128.995760000056</v>
      </c>
      <c r="G146" s="65">
        <v>56597.447881359592</v>
      </c>
    </row>
    <row r="147" spans="1:7" ht="11.25" customHeight="1" x14ac:dyDescent="0.2">
      <c r="A147" s="74">
        <v>44501</v>
      </c>
      <c r="B147" s="65">
        <v>0</v>
      </c>
      <c r="C147" s="65">
        <v>52381.835140000076</v>
      </c>
      <c r="D147" s="65">
        <v>0</v>
      </c>
      <c r="E147" s="65">
        <v>57984.283481380095</v>
      </c>
      <c r="F147" s="65">
        <v>52381.835140000076</v>
      </c>
      <c r="G147" s="65">
        <v>57984.283481380095</v>
      </c>
    </row>
    <row r="148" spans="1:7" ht="11.25" customHeight="1" x14ac:dyDescent="0.2">
      <c r="A148" s="74">
        <v>44531</v>
      </c>
      <c r="B148" s="65">
        <v>0</v>
      </c>
      <c r="C148" s="65">
        <v>57359.077740000073</v>
      </c>
      <c r="D148" s="65">
        <v>0</v>
      </c>
      <c r="E148" s="65">
        <v>63493.862233301632</v>
      </c>
      <c r="F148" s="65">
        <v>57359.077740000073</v>
      </c>
      <c r="G148" s="65">
        <v>63493.862233301632</v>
      </c>
    </row>
    <row r="149" spans="1:7" ht="11.25" customHeight="1" x14ac:dyDescent="0.2">
      <c r="A149" s="74">
        <v>44562</v>
      </c>
      <c r="B149" s="65">
        <v>0</v>
      </c>
      <c r="C149" s="65">
        <v>57359.077740000073</v>
      </c>
      <c r="D149" s="65">
        <v>0</v>
      </c>
      <c r="E149" s="65">
        <v>63493.862233301632</v>
      </c>
      <c r="F149" s="65">
        <v>57359.077740000073</v>
      </c>
      <c r="G149" s="65">
        <v>63493.862233301632</v>
      </c>
    </row>
    <row r="150" spans="1:7" ht="11.25" customHeight="1" x14ac:dyDescent="0.2">
      <c r="A150" s="70" t="s">
        <v>32</v>
      </c>
      <c r="B150" s="65">
        <v>0</v>
      </c>
      <c r="C150" s="65">
        <v>8.3305820908208264E-11</v>
      </c>
      <c r="D150" s="65">
        <v>0</v>
      </c>
      <c r="E150" s="65">
        <v>0</v>
      </c>
      <c r="F150" s="65">
        <v>8.3305820908208277E-11</v>
      </c>
      <c r="G150" s="65">
        <v>0</v>
      </c>
    </row>
    <row r="151" spans="1:7" ht="11.25" customHeight="1" x14ac:dyDescent="0.2">
      <c r="A151" s="71" t="s">
        <v>25</v>
      </c>
      <c r="B151" s="65">
        <v>0</v>
      </c>
      <c r="C151" s="65">
        <v>8.3305820908208264E-11</v>
      </c>
      <c r="D151" s="65">
        <v>0</v>
      </c>
      <c r="E151" s="65">
        <v>0</v>
      </c>
      <c r="F151" s="65">
        <v>8.3305820908208277E-11</v>
      </c>
      <c r="G151" s="65">
        <v>0</v>
      </c>
    </row>
    <row r="152" spans="1:7" ht="11.25" customHeight="1" x14ac:dyDescent="0.2">
      <c r="A152" s="72" t="s">
        <v>25</v>
      </c>
      <c r="B152" s="65">
        <v>0</v>
      </c>
      <c r="C152" s="65">
        <v>8.3305820908208264E-11</v>
      </c>
      <c r="D152" s="65">
        <v>0</v>
      </c>
      <c r="E152" s="65">
        <v>0</v>
      </c>
      <c r="F152" s="65">
        <v>8.3305820908208277E-11</v>
      </c>
      <c r="G152" s="65">
        <v>0</v>
      </c>
    </row>
    <row r="153" spans="1:7" ht="11.25" customHeight="1" x14ac:dyDescent="0.2">
      <c r="A153" s="73" t="s">
        <v>25</v>
      </c>
      <c r="B153" s="65">
        <v>0</v>
      </c>
      <c r="C153" s="65">
        <v>8.3305820908208264E-11</v>
      </c>
      <c r="D153" s="65">
        <v>0</v>
      </c>
      <c r="E153" s="65">
        <v>0</v>
      </c>
      <c r="F153" s="65">
        <v>8.3305820908208277E-11</v>
      </c>
      <c r="G153" s="65">
        <v>0</v>
      </c>
    </row>
    <row r="154" spans="1:7" ht="11.25" customHeight="1" x14ac:dyDescent="0.2">
      <c r="A154" s="74">
        <v>44228</v>
      </c>
      <c r="B154" s="65">
        <v>0</v>
      </c>
      <c r="C154" s="65">
        <v>6.5512324454175543E-12</v>
      </c>
      <c r="D154" s="65">
        <v>0</v>
      </c>
      <c r="E154" s="65">
        <v>0</v>
      </c>
      <c r="F154" s="65">
        <v>6.5512324454175543E-12</v>
      </c>
      <c r="G154" s="65">
        <v>0</v>
      </c>
    </row>
    <row r="155" spans="1:7" ht="11.25" customHeight="1" x14ac:dyDescent="0.2">
      <c r="A155" s="74">
        <v>44256</v>
      </c>
      <c r="B155" s="65">
        <v>0</v>
      </c>
      <c r="C155" s="65">
        <v>8.2233100329176521E-12</v>
      </c>
      <c r="D155" s="65">
        <v>0</v>
      </c>
      <c r="E155" s="65">
        <v>0</v>
      </c>
      <c r="F155" s="65">
        <v>8.2233100329176521E-12</v>
      </c>
      <c r="G155" s="65">
        <v>0</v>
      </c>
    </row>
    <row r="156" spans="1:7" ht="11.25" customHeight="1" x14ac:dyDescent="0.2">
      <c r="A156" s="74">
        <v>44287</v>
      </c>
      <c r="B156" s="65">
        <v>0</v>
      </c>
      <c r="C156" s="65">
        <v>8.299878118123161E-12</v>
      </c>
      <c r="D156" s="65">
        <v>0</v>
      </c>
      <c r="E156" s="65">
        <v>0</v>
      </c>
      <c r="F156" s="65">
        <v>8.299878118123161E-12</v>
      </c>
      <c r="G156" s="65">
        <v>0</v>
      </c>
    </row>
    <row r="157" spans="1:7" ht="11.25" customHeight="1" x14ac:dyDescent="0.2">
      <c r="A157" s="74">
        <v>44317</v>
      </c>
      <c r="B157" s="65">
        <v>0</v>
      </c>
      <c r="C157" s="65">
        <v>6.86117118675611E-12</v>
      </c>
      <c r="D157" s="65">
        <v>0</v>
      </c>
      <c r="E157" s="65">
        <v>0</v>
      </c>
      <c r="F157" s="65">
        <v>6.86117118675611E-12</v>
      </c>
      <c r="G157" s="65">
        <v>0</v>
      </c>
    </row>
    <row r="158" spans="1:7" ht="11.25" customHeight="1" x14ac:dyDescent="0.2">
      <c r="A158" s="74">
        <v>44348</v>
      </c>
      <c r="B158" s="65">
        <v>0</v>
      </c>
      <c r="C158" s="65">
        <v>5.7261502206529259E-12</v>
      </c>
      <c r="D158" s="65">
        <v>0</v>
      </c>
      <c r="E158" s="65">
        <v>0</v>
      </c>
      <c r="F158" s="65">
        <v>5.7261502206529259E-12</v>
      </c>
      <c r="G158" s="65">
        <v>0</v>
      </c>
    </row>
    <row r="159" spans="1:7" ht="11.25" customHeight="1" x14ac:dyDescent="0.2">
      <c r="A159" s="74">
        <v>44378</v>
      </c>
      <c r="B159" s="65">
        <v>0</v>
      </c>
      <c r="C159" s="65">
        <v>6.1074274526617954E-12</v>
      </c>
      <c r="D159" s="65">
        <v>0</v>
      </c>
      <c r="E159" s="65">
        <v>0</v>
      </c>
      <c r="F159" s="65">
        <v>6.1074274526617954E-12</v>
      </c>
      <c r="G159" s="65">
        <v>0</v>
      </c>
    </row>
    <row r="160" spans="1:7" ht="11.25" customHeight="1" x14ac:dyDescent="0.2">
      <c r="A160" s="74">
        <v>44409</v>
      </c>
      <c r="B160" s="65">
        <v>0</v>
      </c>
      <c r="C160" s="65">
        <v>5.3306337122194238E-12</v>
      </c>
      <c r="D160" s="65">
        <v>0</v>
      </c>
      <c r="E160" s="65">
        <v>0</v>
      </c>
      <c r="F160" s="65">
        <v>5.3306337122194238E-12</v>
      </c>
      <c r="G160" s="65">
        <v>0</v>
      </c>
    </row>
    <row r="161" spans="1:7" ht="11.25" customHeight="1" x14ac:dyDescent="0.2">
      <c r="A161" s="74">
        <v>44440</v>
      </c>
      <c r="B161" s="65">
        <v>0</v>
      </c>
      <c r="C161" s="65">
        <v>5.7331988045916658E-12</v>
      </c>
      <c r="D161" s="65">
        <v>0</v>
      </c>
      <c r="E161" s="65">
        <v>0</v>
      </c>
      <c r="F161" s="65">
        <v>5.7331988045916658E-12</v>
      </c>
      <c r="G161" s="65">
        <v>0</v>
      </c>
    </row>
    <row r="162" spans="1:7" ht="11.25" customHeight="1" x14ac:dyDescent="0.2">
      <c r="A162" s="74">
        <v>44470</v>
      </c>
      <c r="B162" s="65">
        <v>0</v>
      </c>
      <c r="C162" s="65">
        <v>6.6555116973177069E-12</v>
      </c>
      <c r="D162" s="65">
        <v>0</v>
      </c>
      <c r="E162" s="65">
        <v>0</v>
      </c>
      <c r="F162" s="65">
        <v>6.6555116973177069E-12</v>
      </c>
      <c r="G162" s="65">
        <v>0</v>
      </c>
    </row>
    <row r="163" spans="1:7" ht="11.25" customHeight="1" x14ac:dyDescent="0.2">
      <c r="A163" s="74">
        <v>44501</v>
      </c>
      <c r="B163" s="65">
        <v>0</v>
      </c>
      <c r="C163" s="65">
        <v>7.0362773385568291E-12</v>
      </c>
      <c r="D163" s="65">
        <v>0</v>
      </c>
      <c r="E163" s="65">
        <v>0</v>
      </c>
      <c r="F163" s="65">
        <v>7.0362773385568291E-12</v>
      </c>
      <c r="G163" s="65">
        <v>0</v>
      </c>
    </row>
    <row r="164" spans="1:7" ht="11.25" customHeight="1" x14ac:dyDescent="0.2">
      <c r="A164" s="74">
        <v>44531</v>
      </c>
      <c r="B164" s="65">
        <v>0</v>
      </c>
      <c r="C164" s="65">
        <v>8.3905149494967183E-12</v>
      </c>
      <c r="D164" s="65">
        <v>0</v>
      </c>
      <c r="E164" s="65">
        <v>0</v>
      </c>
      <c r="F164" s="65">
        <v>8.3905149494967183E-12</v>
      </c>
      <c r="G164" s="65">
        <v>0</v>
      </c>
    </row>
    <row r="165" spans="1:7" ht="11.25" customHeight="1" x14ac:dyDescent="0.2">
      <c r="A165" s="74">
        <v>44562</v>
      </c>
      <c r="B165" s="65">
        <v>0</v>
      </c>
      <c r="C165" s="65">
        <v>8.3905149494967183E-12</v>
      </c>
      <c r="D165" s="65">
        <v>0</v>
      </c>
      <c r="E165" s="65">
        <v>0</v>
      </c>
      <c r="F165" s="65">
        <v>8.3905149494967183E-12</v>
      </c>
      <c r="G165" s="65">
        <v>0</v>
      </c>
    </row>
    <row r="166" spans="1:7" ht="11.25" customHeight="1" x14ac:dyDescent="0.2">
      <c r="A166" s="66" t="s">
        <v>912</v>
      </c>
      <c r="B166" s="65">
        <v>2909374.1464534146</v>
      </c>
      <c r="C166" s="65">
        <v>1857817.3813326999</v>
      </c>
      <c r="D166" s="65">
        <v>3089788.4297749382</v>
      </c>
      <c r="E166" s="65">
        <v>2006170.8699915486</v>
      </c>
      <c r="F166" s="65">
        <v>4767191.5277861143</v>
      </c>
      <c r="G166" s="65">
        <v>5095959.2997664865</v>
      </c>
    </row>
    <row r="167" spans="1:7" ht="11.25" customHeight="1" x14ac:dyDescent="0.2">
      <c r="A167" s="67" t="s">
        <v>39</v>
      </c>
      <c r="B167" s="65">
        <v>2909374.1464534146</v>
      </c>
      <c r="C167" s="65">
        <v>1857817.3813326999</v>
      </c>
      <c r="D167" s="65">
        <v>3089788.4297749382</v>
      </c>
      <c r="E167" s="65">
        <v>2006170.8699915486</v>
      </c>
      <c r="F167" s="65">
        <v>4767191.5277861143</v>
      </c>
      <c r="G167" s="65">
        <v>5095959.2997664865</v>
      </c>
    </row>
    <row r="168" spans="1:7" ht="11.25" customHeight="1" x14ac:dyDescent="0.2">
      <c r="A168" s="68" t="s">
        <v>40</v>
      </c>
      <c r="B168" s="65">
        <v>1296292.5406640994</v>
      </c>
      <c r="C168" s="65">
        <v>0</v>
      </c>
      <c r="D168" s="65">
        <v>1383879.3123999964</v>
      </c>
      <c r="E168" s="65">
        <v>0</v>
      </c>
      <c r="F168" s="65">
        <v>1296292.5406640994</v>
      </c>
      <c r="G168" s="65">
        <v>1383879.3123999964</v>
      </c>
    </row>
    <row r="169" spans="1:7" ht="11.25" customHeight="1" x14ac:dyDescent="0.2">
      <c r="A169" s="69" t="s">
        <v>38</v>
      </c>
      <c r="B169" s="65">
        <v>1296292.5406640994</v>
      </c>
      <c r="C169" s="65">
        <v>0</v>
      </c>
      <c r="D169" s="65">
        <v>1383879.3123999964</v>
      </c>
      <c r="E169" s="65">
        <v>0</v>
      </c>
      <c r="F169" s="65">
        <v>1296292.5406640994</v>
      </c>
      <c r="G169" s="65">
        <v>1383879.3123999964</v>
      </c>
    </row>
    <row r="170" spans="1:7" ht="11.25" customHeight="1" x14ac:dyDescent="0.2">
      <c r="A170" s="70" t="s">
        <v>25</v>
      </c>
      <c r="B170" s="65">
        <v>1296292.5406640994</v>
      </c>
      <c r="C170" s="65">
        <v>0</v>
      </c>
      <c r="D170" s="65">
        <v>1383879.3123999964</v>
      </c>
      <c r="E170" s="65">
        <v>0</v>
      </c>
      <c r="F170" s="65">
        <v>1296292.5406640994</v>
      </c>
      <c r="G170" s="65">
        <v>1383879.3123999964</v>
      </c>
    </row>
    <row r="171" spans="1:7" ht="11.25" customHeight="1" x14ac:dyDescent="0.2">
      <c r="A171" s="71" t="s">
        <v>58</v>
      </c>
      <c r="B171" s="65">
        <v>1296292.5406640994</v>
      </c>
      <c r="C171" s="65">
        <v>0</v>
      </c>
      <c r="D171" s="65">
        <v>1383879.3123999964</v>
      </c>
      <c r="E171" s="65">
        <v>0</v>
      </c>
      <c r="F171" s="65">
        <v>1296292.5406640994</v>
      </c>
      <c r="G171" s="65">
        <v>1383879.3123999964</v>
      </c>
    </row>
    <row r="172" spans="1:7" ht="11.25" customHeight="1" x14ac:dyDescent="0.2">
      <c r="A172" s="72" t="s">
        <v>25</v>
      </c>
      <c r="B172" s="65">
        <v>1296292.5406640994</v>
      </c>
      <c r="C172" s="65">
        <v>0</v>
      </c>
      <c r="D172" s="65">
        <v>1383879.3123999964</v>
      </c>
      <c r="E172" s="65">
        <v>0</v>
      </c>
      <c r="F172" s="65">
        <v>1296292.5406640994</v>
      </c>
      <c r="G172" s="65">
        <v>1383879.3123999964</v>
      </c>
    </row>
    <row r="173" spans="1:7" ht="11.25" customHeight="1" x14ac:dyDescent="0.2">
      <c r="A173" s="73" t="s">
        <v>35</v>
      </c>
      <c r="B173" s="65">
        <v>455133.51927637449</v>
      </c>
      <c r="C173" s="65">
        <v>0</v>
      </c>
      <c r="D173" s="65">
        <v>481324.94808072259</v>
      </c>
      <c r="E173" s="65">
        <v>0</v>
      </c>
      <c r="F173" s="65">
        <v>455133.51927637449</v>
      </c>
      <c r="G173" s="65">
        <v>481324.94808072259</v>
      </c>
    </row>
    <row r="174" spans="1:7" ht="11.25" customHeight="1" x14ac:dyDescent="0.2">
      <c r="A174" s="74">
        <v>44228</v>
      </c>
      <c r="B174" s="65">
        <v>39924.684106137604</v>
      </c>
      <c r="C174" s="65">
        <v>0</v>
      </c>
      <c r="D174" s="65">
        <v>42222.217636439978</v>
      </c>
      <c r="E174" s="65">
        <v>0</v>
      </c>
      <c r="F174" s="65">
        <v>39924.684106137604</v>
      </c>
      <c r="G174" s="65">
        <v>42222.217636439978</v>
      </c>
    </row>
    <row r="175" spans="1:7" ht="11.25" customHeight="1" x14ac:dyDescent="0.2">
      <c r="A175" s="74">
        <v>44256</v>
      </c>
      <c r="B175" s="65">
        <v>40357.695985991995</v>
      </c>
      <c r="C175" s="65">
        <v>0</v>
      </c>
      <c r="D175" s="65">
        <v>42680.147917911279</v>
      </c>
      <c r="E175" s="65">
        <v>0</v>
      </c>
      <c r="F175" s="65">
        <v>40357.695985991995</v>
      </c>
      <c r="G175" s="65">
        <v>42680.147917911279</v>
      </c>
    </row>
    <row r="176" spans="1:7" ht="11.25" customHeight="1" x14ac:dyDescent="0.2">
      <c r="A176" s="74">
        <v>44287</v>
      </c>
      <c r="B176" s="65">
        <v>39452.555966207998</v>
      </c>
      <c r="C176" s="65">
        <v>0</v>
      </c>
      <c r="D176" s="65">
        <v>41722.920083492507</v>
      </c>
      <c r="E176" s="65">
        <v>0</v>
      </c>
      <c r="F176" s="65">
        <v>39452.555966207998</v>
      </c>
      <c r="G176" s="65">
        <v>41722.920083492507</v>
      </c>
    </row>
    <row r="177" spans="1:7" ht="11.25" customHeight="1" x14ac:dyDescent="0.2">
      <c r="A177" s="74">
        <v>44317</v>
      </c>
      <c r="B177" s="65">
        <v>39021.089305967995</v>
      </c>
      <c r="C177" s="65">
        <v>0</v>
      </c>
      <c r="D177" s="65">
        <v>41266.623943914019</v>
      </c>
      <c r="E177" s="65">
        <v>0</v>
      </c>
      <c r="F177" s="65">
        <v>39021.089305967995</v>
      </c>
      <c r="G177" s="65">
        <v>41266.623943914019</v>
      </c>
    </row>
    <row r="178" spans="1:7" ht="11.25" customHeight="1" x14ac:dyDescent="0.2">
      <c r="A178" s="74">
        <v>44348</v>
      </c>
      <c r="B178" s="65">
        <v>39404.899553157607</v>
      </c>
      <c r="C178" s="65">
        <v>0</v>
      </c>
      <c r="D178" s="65">
        <v>41672.52120148165</v>
      </c>
      <c r="E178" s="65">
        <v>0</v>
      </c>
      <c r="F178" s="65">
        <v>39404.899553157607</v>
      </c>
      <c r="G178" s="65">
        <v>41672.52120148165</v>
      </c>
    </row>
    <row r="179" spans="1:7" ht="11.25" customHeight="1" x14ac:dyDescent="0.2">
      <c r="A179" s="74">
        <v>44378</v>
      </c>
      <c r="B179" s="65">
        <v>39226.529554027198</v>
      </c>
      <c r="C179" s="65">
        <v>0</v>
      </c>
      <c r="D179" s="65">
        <v>41483.886598811427</v>
      </c>
      <c r="E179" s="65">
        <v>0</v>
      </c>
      <c r="F179" s="65">
        <v>39226.529554027198</v>
      </c>
      <c r="G179" s="65">
        <v>41483.886598811427</v>
      </c>
    </row>
    <row r="180" spans="1:7" ht="11.25" customHeight="1" x14ac:dyDescent="0.2">
      <c r="A180" s="74">
        <v>44409</v>
      </c>
      <c r="B180" s="65">
        <v>39098.049485695199</v>
      </c>
      <c r="C180" s="65">
        <v>0</v>
      </c>
      <c r="D180" s="65">
        <v>41348.012927459713</v>
      </c>
      <c r="E180" s="65">
        <v>0</v>
      </c>
      <c r="F180" s="65">
        <v>39098.049485695199</v>
      </c>
      <c r="G180" s="65">
        <v>41348.012927459713</v>
      </c>
    </row>
    <row r="181" spans="1:7" ht="11.25" customHeight="1" x14ac:dyDescent="0.2">
      <c r="A181" s="74">
        <v>44440</v>
      </c>
      <c r="B181" s="65">
        <v>35362.450179487198</v>
      </c>
      <c r="C181" s="65">
        <v>0</v>
      </c>
      <c r="D181" s="65">
        <v>37397.442235655508</v>
      </c>
      <c r="E181" s="65">
        <v>0</v>
      </c>
      <c r="F181" s="65">
        <v>35362.450179487198</v>
      </c>
      <c r="G181" s="65">
        <v>37397.442235655508</v>
      </c>
    </row>
    <row r="182" spans="1:7" ht="11.25" customHeight="1" x14ac:dyDescent="0.2">
      <c r="A182" s="74">
        <v>44470</v>
      </c>
      <c r="B182" s="65">
        <v>35312.932115815202</v>
      </c>
      <c r="C182" s="65">
        <v>0</v>
      </c>
      <c r="D182" s="65">
        <v>37345.074571186677</v>
      </c>
      <c r="E182" s="65">
        <v>0</v>
      </c>
      <c r="F182" s="65">
        <v>35312.932115815202</v>
      </c>
      <c r="G182" s="65">
        <v>37345.074571186677</v>
      </c>
    </row>
    <row r="183" spans="1:7" ht="11.25" customHeight="1" x14ac:dyDescent="0.2">
      <c r="A183" s="74">
        <v>44501</v>
      </c>
      <c r="B183" s="65">
        <v>36687.688864780801</v>
      </c>
      <c r="C183" s="65">
        <v>0</v>
      </c>
      <c r="D183" s="65">
        <v>38798.944024422177</v>
      </c>
      <c r="E183" s="65">
        <v>0</v>
      </c>
      <c r="F183" s="65">
        <v>36687.688864780801</v>
      </c>
      <c r="G183" s="65">
        <v>38798.944024422177</v>
      </c>
    </row>
    <row r="184" spans="1:7" ht="11.25" customHeight="1" x14ac:dyDescent="0.2">
      <c r="A184" s="74">
        <v>44531</v>
      </c>
      <c r="B184" s="65">
        <v>35642.472079552797</v>
      </c>
      <c r="C184" s="65">
        <v>0</v>
      </c>
      <c r="D184" s="65">
        <v>37693.578469973807</v>
      </c>
      <c r="E184" s="65">
        <v>0</v>
      </c>
      <c r="F184" s="65">
        <v>35642.472079552797</v>
      </c>
      <c r="G184" s="65">
        <v>37693.578469973807</v>
      </c>
    </row>
    <row r="185" spans="1:7" ht="11.25" customHeight="1" x14ac:dyDescent="0.2">
      <c r="A185" s="74">
        <v>44562</v>
      </c>
      <c r="B185" s="65">
        <v>35642.472079552797</v>
      </c>
      <c r="C185" s="65">
        <v>0</v>
      </c>
      <c r="D185" s="65">
        <v>37693.578469973807</v>
      </c>
      <c r="E185" s="65">
        <v>0</v>
      </c>
      <c r="F185" s="65">
        <v>35642.472079552797</v>
      </c>
      <c r="G185" s="65">
        <v>37693.578469973807</v>
      </c>
    </row>
    <row r="186" spans="1:7" ht="11.25" customHeight="1" x14ac:dyDescent="0.2">
      <c r="A186" s="73" t="s">
        <v>25</v>
      </c>
      <c r="B186" s="65">
        <v>0</v>
      </c>
      <c r="C186" s="65">
        <v>0</v>
      </c>
      <c r="D186" s="65">
        <v>0</v>
      </c>
      <c r="E186" s="65">
        <v>0</v>
      </c>
      <c r="F186" s="65">
        <v>0</v>
      </c>
      <c r="G186" s="65">
        <v>0</v>
      </c>
    </row>
    <row r="187" spans="1:7" ht="11.25" customHeight="1" x14ac:dyDescent="0.2">
      <c r="A187" s="74">
        <v>44228</v>
      </c>
      <c r="B187" s="65">
        <v>0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</row>
    <row r="188" spans="1:7" ht="11.25" customHeight="1" x14ac:dyDescent="0.2">
      <c r="A188" s="74">
        <v>44256</v>
      </c>
      <c r="B188" s="65">
        <v>0</v>
      </c>
      <c r="C188" s="65">
        <v>0</v>
      </c>
      <c r="D188" s="65">
        <v>0</v>
      </c>
      <c r="E188" s="65">
        <v>0</v>
      </c>
      <c r="F188" s="65">
        <v>0</v>
      </c>
      <c r="G188" s="65">
        <v>0</v>
      </c>
    </row>
    <row r="189" spans="1:7" ht="11.25" customHeight="1" x14ac:dyDescent="0.2">
      <c r="A189" s="74">
        <v>44287</v>
      </c>
      <c r="B189" s="65">
        <v>0</v>
      </c>
      <c r="C189" s="65">
        <v>0</v>
      </c>
      <c r="D189" s="65">
        <v>0</v>
      </c>
      <c r="E189" s="65">
        <v>0</v>
      </c>
      <c r="F189" s="65">
        <v>0</v>
      </c>
      <c r="G189" s="65">
        <v>0</v>
      </c>
    </row>
    <row r="190" spans="1:7" ht="11.25" customHeight="1" x14ac:dyDescent="0.2">
      <c r="A190" s="74">
        <v>44317</v>
      </c>
      <c r="B190" s="65">
        <v>0</v>
      </c>
      <c r="C190" s="65">
        <v>0</v>
      </c>
      <c r="D190" s="65">
        <v>0</v>
      </c>
      <c r="E190" s="65">
        <v>0</v>
      </c>
      <c r="F190" s="65">
        <v>0</v>
      </c>
      <c r="G190" s="65">
        <v>0</v>
      </c>
    </row>
    <row r="191" spans="1:7" ht="11.25" customHeight="1" x14ac:dyDescent="0.2">
      <c r="A191" s="74">
        <v>44348</v>
      </c>
      <c r="B191" s="65">
        <v>0</v>
      </c>
      <c r="C191" s="65">
        <v>0</v>
      </c>
      <c r="D191" s="65">
        <v>0</v>
      </c>
      <c r="E191" s="65">
        <v>0</v>
      </c>
      <c r="F191" s="65">
        <v>0</v>
      </c>
      <c r="G191" s="65">
        <v>0</v>
      </c>
    </row>
    <row r="192" spans="1:7" ht="11.25" customHeight="1" x14ac:dyDescent="0.2">
      <c r="A192" s="74">
        <v>44378</v>
      </c>
      <c r="B192" s="65">
        <v>0</v>
      </c>
      <c r="C192" s="65">
        <v>0</v>
      </c>
      <c r="D192" s="65">
        <v>0</v>
      </c>
      <c r="E192" s="65">
        <v>0</v>
      </c>
      <c r="F192" s="65">
        <v>0</v>
      </c>
      <c r="G192" s="65">
        <v>0</v>
      </c>
    </row>
    <row r="193" spans="1:7" ht="11.25" customHeight="1" x14ac:dyDescent="0.2">
      <c r="A193" s="74">
        <v>44409</v>
      </c>
      <c r="B193" s="65">
        <v>0</v>
      </c>
      <c r="C193" s="65">
        <v>0</v>
      </c>
      <c r="D193" s="65">
        <v>0</v>
      </c>
      <c r="E193" s="65">
        <v>0</v>
      </c>
      <c r="F193" s="65">
        <v>0</v>
      </c>
      <c r="G193" s="65">
        <v>0</v>
      </c>
    </row>
    <row r="194" spans="1:7" ht="11.25" customHeight="1" x14ac:dyDescent="0.2">
      <c r="A194" s="74">
        <v>44440</v>
      </c>
      <c r="B194" s="65">
        <v>0</v>
      </c>
      <c r="C194" s="65">
        <v>0</v>
      </c>
      <c r="D194" s="65">
        <v>0</v>
      </c>
      <c r="E194" s="65">
        <v>0</v>
      </c>
      <c r="F194" s="65">
        <v>0</v>
      </c>
      <c r="G194" s="65">
        <v>0</v>
      </c>
    </row>
    <row r="195" spans="1:7" ht="11.25" customHeight="1" x14ac:dyDescent="0.2">
      <c r="A195" s="74">
        <v>44470</v>
      </c>
      <c r="B195" s="65">
        <v>0</v>
      </c>
      <c r="C195" s="65">
        <v>0</v>
      </c>
      <c r="D195" s="65">
        <v>0</v>
      </c>
      <c r="E195" s="65">
        <v>0</v>
      </c>
      <c r="F195" s="65">
        <v>0</v>
      </c>
      <c r="G195" s="65">
        <v>0</v>
      </c>
    </row>
    <row r="196" spans="1:7" ht="11.25" customHeight="1" x14ac:dyDescent="0.2">
      <c r="A196" s="74">
        <v>44501</v>
      </c>
      <c r="B196" s="65">
        <v>0</v>
      </c>
      <c r="C196" s="65">
        <v>0</v>
      </c>
      <c r="D196" s="65">
        <v>0</v>
      </c>
      <c r="E196" s="65">
        <v>0</v>
      </c>
      <c r="F196" s="65">
        <v>0</v>
      </c>
      <c r="G196" s="65">
        <v>0</v>
      </c>
    </row>
    <row r="197" spans="1:7" ht="11.25" customHeight="1" x14ac:dyDescent="0.2">
      <c r="A197" s="74">
        <v>44531</v>
      </c>
      <c r="B197" s="65">
        <v>0</v>
      </c>
      <c r="C197" s="65">
        <v>0</v>
      </c>
      <c r="D197" s="65">
        <v>0</v>
      </c>
      <c r="E197" s="65">
        <v>0</v>
      </c>
      <c r="F197" s="65">
        <v>0</v>
      </c>
      <c r="G197" s="65">
        <v>0</v>
      </c>
    </row>
    <row r="198" spans="1:7" ht="11.25" customHeight="1" x14ac:dyDescent="0.2">
      <c r="A198" s="74">
        <v>44562</v>
      </c>
      <c r="B198" s="65">
        <v>0</v>
      </c>
      <c r="C198" s="65">
        <v>0</v>
      </c>
      <c r="D198" s="65">
        <v>0</v>
      </c>
      <c r="E198" s="65">
        <v>0</v>
      </c>
      <c r="F198" s="65">
        <v>0</v>
      </c>
      <c r="G198" s="65">
        <v>0</v>
      </c>
    </row>
    <row r="199" spans="1:7" ht="11.25" customHeight="1" x14ac:dyDescent="0.2">
      <c r="A199" s="73" t="s">
        <v>34</v>
      </c>
      <c r="B199" s="65">
        <v>841159.02138772467</v>
      </c>
      <c r="C199" s="65">
        <v>0</v>
      </c>
      <c r="D199" s="65">
        <v>902554.36431927374</v>
      </c>
      <c r="E199" s="65">
        <v>0</v>
      </c>
      <c r="F199" s="65">
        <v>841159.02138772467</v>
      </c>
      <c r="G199" s="65">
        <v>902554.36431927374</v>
      </c>
    </row>
    <row r="200" spans="1:7" ht="11.25" customHeight="1" x14ac:dyDescent="0.2">
      <c r="A200" s="74">
        <v>44228</v>
      </c>
      <c r="B200" s="65">
        <v>74044.465775085002</v>
      </c>
      <c r="C200" s="65">
        <v>0</v>
      </c>
      <c r="D200" s="65">
        <v>79448.896153712849</v>
      </c>
      <c r="E200" s="65">
        <v>0</v>
      </c>
      <c r="F200" s="65">
        <v>74044.465775085002</v>
      </c>
      <c r="G200" s="65">
        <v>79448.896153712849</v>
      </c>
    </row>
    <row r="201" spans="1:7" ht="11.25" customHeight="1" x14ac:dyDescent="0.2">
      <c r="A201" s="74">
        <v>44256</v>
      </c>
      <c r="B201" s="65">
        <v>72920.176535801103</v>
      </c>
      <c r="C201" s="65">
        <v>0</v>
      </c>
      <c r="D201" s="65">
        <v>78242.5461843589</v>
      </c>
      <c r="E201" s="65">
        <v>0</v>
      </c>
      <c r="F201" s="65">
        <v>72920.176535801103</v>
      </c>
      <c r="G201" s="65">
        <v>78242.5461843589</v>
      </c>
    </row>
    <row r="202" spans="1:7" ht="11.25" customHeight="1" x14ac:dyDescent="0.2">
      <c r="A202" s="74">
        <v>44287</v>
      </c>
      <c r="B202" s="65">
        <v>72249.787941430492</v>
      </c>
      <c r="C202" s="65">
        <v>0</v>
      </c>
      <c r="D202" s="65">
        <v>77523.226607139324</v>
      </c>
      <c r="E202" s="65">
        <v>0</v>
      </c>
      <c r="F202" s="65">
        <v>72249.787941430492</v>
      </c>
      <c r="G202" s="65">
        <v>77523.226607139324</v>
      </c>
    </row>
    <row r="203" spans="1:7" ht="11.25" customHeight="1" x14ac:dyDescent="0.2">
      <c r="A203" s="74">
        <v>44317</v>
      </c>
      <c r="B203" s="65">
        <v>71467.078951588599</v>
      </c>
      <c r="C203" s="65">
        <v>0</v>
      </c>
      <c r="D203" s="65">
        <v>76683.388482823342</v>
      </c>
      <c r="E203" s="65">
        <v>0</v>
      </c>
      <c r="F203" s="65">
        <v>71467.078951588599</v>
      </c>
      <c r="G203" s="65">
        <v>76683.388482823342</v>
      </c>
    </row>
    <row r="204" spans="1:7" ht="11.25" customHeight="1" x14ac:dyDescent="0.2">
      <c r="A204" s="74">
        <v>44348</v>
      </c>
      <c r="B204" s="65">
        <v>72162.719746534203</v>
      </c>
      <c r="C204" s="65">
        <v>0</v>
      </c>
      <c r="D204" s="65">
        <v>77429.803393099006</v>
      </c>
      <c r="E204" s="65">
        <v>0</v>
      </c>
      <c r="F204" s="65">
        <v>72162.719746534203</v>
      </c>
      <c r="G204" s="65">
        <v>77429.803393099006</v>
      </c>
    </row>
    <row r="205" spans="1:7" ht="11.25" customHeight="1" x14ac:dyDescent="0.2">
      <c r="A205" s="74">
        <v>44378</v>
      </c>
      <c r="B205" s="65">
        <v>72327.918856418386</v>
      </c>
      <c r="C205" s="65">
        <v>0</v>
      </c>
      <c r="D205" s="65">
        <v>77607.060218284867</v>
      </c>
      <c r="E205" s="65">
        <v>0</v>
      </c>
      <c r="F205" s="65">
        <v>72327.918856418386</v>
      </c>
      <c r="G205" s="65">
        <v>77607.060218284867</v>
      </c>
    </row>
    <row r="206" spans="1:7" ht="11.25" customHeight="1" x14ac:dyDescent="0.2">
      <c r="A206" s="74">
        <v>44409</v>
      </c>
      <c r="B206" s="65">
        <v>72081.339569314587</v>
      </c>
      <c r="C206" s="65">
        <v>0</v>
      </c>
      <c r="D206" s="65">
        <v>77342.483359370483</v>
      </c>
      <c r="E206" s="65">
        <v>0</v>
      </c>
      <c r="F206" s="65">
        <v>72081.339569314587</v>
      </c>
      <c r="G206" s="65">
        <v>77342.483359370483</v>
      </c>
    </row>
    <row r="207" spans="1:7" ht="11.25" customHeight="1" x14ac:dyDescent="0.2">
      <c r="A207" s="74">
        <v>44440</v>
      </c>
      <c r="B207" s="65">
        <v>64256.663165905295</v>
      </c>
      <c r="C207" s="65">
        <v>0</v>
      </c>
      <c r="D207" s="65">
        <v>68946.691769770623</v>
      </c>
      <c r="E207" s="65">
        <v>0</v>
      </c>
      <c r="F207" s="65">
        <v>64256.663165905295</v>
      </c>
      <c r="G207" s="65">
        <v>68946.691769770623</v>
      </c>
    </row>
    <row r="208" spans="1:7" ht="11.25" customHeight="1" x14ac:dyDescent="0.2">
      <c r="A208" s="74">
        <v>44470</v>
      </c>
      <c r="B208" s="65">
        <v>66627.736057855989</v>
      </c>
      <c r="C208" s="65">
        <v>0</v>
      </c>
      <c r="D208" s="65">
        <v>71490.826864724091</v>
      </c>
      <c r="E208" s="65">
        <v>0</v>
      </c>
      <c r="F208" s="65">
        <v>66627.736057855989</v>
      </c>
      <c r="G208" s="65">
        <v>71490.826864724091</v>
      </c>
    </row>
    <row r="209" spans="1:7" ht="11.25" customHeight="1" x14ac:dyDescent="0.2">
      <c r="A209" s="74">
        <v>44501</v>
      </c>
      <c r="B209" s="65">
        <v>67630.667751015397</v>
      </c>
      <c r="C209" s="65">
        <v>0</v>
      </c>
      <c r="D209" s="65">
        <v>72566.961523877791</v>
      </c>
      <c r="E209" s="65">
        <v>0</v>
      </c>
      <c r="F209" s="65">
        <v>67630.667751015397</v>
      </c>
      <c r="G209" s="65">
        <v>72566.961523877791</v>
      </c>
    </row>
    <row r="210" spans="1:7" ht="11.25" customHeight="1" x14ac:dyDescent="0.2">
      <c r="A210" s="74">
        <v>44531</v>
      </c>
      <c r="B210" s="65">
        <v>67695.233518387788</v>
      </c>
      <c r="C210" s="65">
        <v>0</v>
      </c>
      <c r="D210" s="65">
        <v>72636.239881056244</v>
      </c>
      <c r="E210" s="65">
        <v>0</v>
      </c>
      <c r="F210" s="65">
        <v>67695.233518387788</v>
      </c>
      <c r="G210" s="65">
        <v>72636.239881056244</v>
      </c>
    </row>
    <row r="211" spans="1:7" ht="11.25" customHeight="1" x14ac:dyDescent="0.2">
      <c r="A211" s="74">
        <v>44562</v>
      </c>
      <c r="B211" s="65">
        <v>67695.233518387788</v>
      </c>
      <c r="C211" s="65">
        <v>0</v>
      </c>
      <c r="D211" s="65">
        <v>72636.239881056244</v>
      </c>
      <c r="E211" s="65">
        <v>0</v>
      </c>
      <c r="F211" s="65">
        <v>67695.233518387788</v>
      </c>
      <c r="G211" s="65">
        <v>72636.239881056244</v>
      </c>
    </row>
    <row r="212" spans="1:7" ht="11.25" customHeight="1" x14ac:dyDescent="0.2">
      <c r="A212" s="68" t="s">
        <v>41</v>
      </c>
      <c r="B212" s="65">
        <v>1613081.6057893154</v>
      </c>
      <c r="C212" s="65">
        <v>1857817.3813326999</v>
      </c>
      <c r="D212" s="65">
        <v>1705909.1173749412</v>
      </c>
      <c r="E212" s="65">
        <v>2006170.8699915486</v>
      </c>
      <c r="F212" s="65">
        <v>3470898.9871220151</v>
      </c>
      <c r="G212" s="65">
        <v>3712079.9873664901</v>
      </c>
    </row>
    <row r="213" spans="1:7" ht="11.25" customHeight="1" x14ac:dyDescent="0.2">
      <c r="A213" s="69" t="s">
        <v>38</v>
      </c>
      <c r="B213" s="65">
        <v>1613081.6057893154</v>
      </c>
      <c r="C213" s="65">
        <v>1857817.3813326999</v>
      </c>
      <c r="D213" s="65">
        <v>1705909.1173749412</v>
      </c>
      <c r="E213" s="65">
        <v>2006170.8699915486</v>
      </c>
      <c r="F213" s="65">
        <v>3470898.9871220151</v>
      </c>
      <c r="G213" s="65">
        <v>3712079.9873664901</v>
      </c>
    </row>
    <row r="214" spans="1:7" ht="11.25" customHeight="1" x14ac:dyDescent="0.2">
      <c r="A214" s="70" t="s">
        <v>25</v>
      </c>
      <c r="B214" s="65">
        <v>1613081.6057893154</v>
      </c>
      <c r="C214" s="65">
        <v>1857817.3813326999</v>
      </c>
      <c r="D214" s="65">
        <v>1705909.1173749412</v>
      </c>
      <c r="E214" s="65">
        <v>2006170.8699915486</v>
      </c>
      <c r="F214" s="65">
        <v>3470898.9871220151</v>
      </c>
      <c r="G214" s="65">
        <v>3712079.9873664901</v>
      </c>
    </row>
    <row r="215" spans="1:7" ht="11.25" customHeight="1" x14ac:dyDescent="0.2">
      <c r="A215" s="71" t="s">
        <v>58</v>
      </c>
      <c r="B215" s="65">
        <v>1613081.6057893154</v>
      </c>
      <c r="C215" s="65">
        <v>1857817.3813326999</v>
      </c>
      <c r="D215" s="65">
        <v>1705909.1173749412</v>
      </c>
      <c r="E215" s="65">
        <v>2006170.8699915486</v>
      </c>
      <c r="F215" s="65">
        <v>3470898.9871220151</v>
      </c>
      <c r="G215" s="65">
        <v>3712079.9873664901</v>
      </c>
    </row>
    <row r="216" spans="1:7" ht="11.25" customHeight="1" x14ac:dyDescent="0.2">
      <c r="A216" s="72" t="s">
        <v>25</v>
      </c>
      <c r="B216" s="65">
        <v>1613081.6057893154</v>
      </c>
      <c r="C216" s="65">
        <v>1857817.3813326999</v>
      </c>
      <c r="D216" s="65">
        <v>1705909.1173749412</v>
      </c>
      <c r="E216" s="65">
        <v>2006170.8699915486</v>
      </c>
      <c r="F216" s="65">
        <v>3470898.9871220151</v>
      </c>
      <c r="G216" s="65">
        <v>3712079.9873664901</v>
      </c>
    </row>
    <row r="217" spans="1:7" ht="11.25" customHeight="1" x14ac:dyDescent="0.2">
      <c r="A217" s="73" t="s">
        <v>35</v>
      </c>
      <c r="B217" s="65">
        <v>0</v>
      </c>
      <c r="C217" s="65">
        <v>0</v>
      </c>
      <c r="D217" s="65">
        <v>0</v>
      </c>
      <c r="E217" s="65">
        <v>0</v>
      </c>
      <c r="F217" s="65">
        <v>0</v>
      </c>
      <c r="G217" s="65">
        <v>0</v>
      </c>
    </row>
    <row r="218" spans="1:7" ht="11.25" customHeight="1" x14ac:dyDescent="0.2">
      <c r="A218" s="74">
        <v>44228</v>
      </c>
      <c r="B218" s="65">
        <v>0</v>
      </c>
      <c r="C218" s="65">
        <v>0</v>
      </c>
      <c r="D218" s="65">
        <v>0</v>
      </c>
      <c r="E218" s="65">
        <v>0</v>
      </c>
      <c r="F218" s="65">
        <v>0</v>
      </c>
      <c r="G218" s="65">
        <v>0</v>
      </c>
    </row>
    <row r="219" spans="1:7" ht="11.25" customHeight="1" x14ac:dyDescent="0.2">
      <c r="A219" s="74">
        <v>44256</v>
      </c>
      <c r="B219" s="65">
        <v>0</v>
      </c>
      <c r="C219" s="65">
        <v>0</v>
      </c>
      <c r="D219" s="65">
        <v>0</v>
      </c>
      <c r="E219" s="65">
        <v>0</v>
      </c>
      <c r="F219" s="65">
        <v>0</v>
      </c>
      <c r="G219" s="65">
        <v>0</v>
      </c>
    </row>
    <row r="220" spans="1:7" ht="11.25" customHeight="1" x14ac:dyDescent="0.2">
      <c r="A220" s="74">
        <v>44287</v>
      </c>
      <c r="B220" s="65">
        <v>0</v>
      </c>
      <c r="C220" s="65">
        <v>0</v>
      </c>
      <c r="D220" s="65">
        <v>0</v>
      </c>
      <c r="E220" s="65">
        <v>0</v>
      </c>
      <c r="F220" s="65">
        <v>0</v>
      </c>
      <c r="G220" s="65">
        <v>0</v>
      </c>
    </row>
    <row r="221" spans="1:7" ht="11.25" customHeight="1" x14ac:dyDescent="0.2">
      <c r="A221" s="74">
        <v>44317</v>
      </c>
      <c r="B221" s="65">
        <v>0</v>
      </c>
      <c r="C221" s="65">
        <v>0</v>
      </c>
      <c r="D221" s="65">
        <v>0</v>
      </c>
      <c r="E221" s="65">
        <v>0</v>
      </c>
      <c r="F221" s="65">
        <v>0</v>
      </c>
      <c r="G221" s="65">
        <v>0</v>
      </c>
    </row>
    <row r="222" spans="1:7" ht="11.25" customHeight="1" x14ac:dyDescent="0.2">
      <c r="A222" s="74">
        <v>44348</v>
      </c>
      <c r="B222" s="65">
        <v>0</v>
      </c>
      <c r="C222" s="65">
        <v>0</v>
      </c>
      <c r="D222" s="65">
        <v>0</v>
      </c>
      <c r="E222" s="65">
        <v>0</v>
      </c>
      <c r="F222" s="65">
        <v>0</v>
      </c>
      <c r="G222" s="65">
        <v>0</v>
      </c>
    </row>
    <row r="223" spans="1:7" ht="11.25" customHeight="1" x14ac:dyDescent="0.2">
      <c r="A223" s="74">
        <v>44378</v>
      </c>
      <c r="B223" s="65">
        <v>0</v>
      </c>
      <c r="C223" s="65">
        <v>0</v>
      </c>
      <c r="D223" s="65">
        <v>0</v>
      </c>
      <c r="E223" s="65">
        <v>0</v>
      </c>
      <c r="F223" s="65">
        <v>0</v>
      </c>
      <c r="G223" s="65">
        <v>0</v>
      </c>
    </row>
    <row r="224" spans="1:7" ht="11.25" customHeight="1" x14ac:dyDescent="0.2">
      <c r="A224" s="74">
        <v>44409</v>
      </c>
      <c r="B224" s="65">
        <v>0</v>
      </c>
      <c r="C224" s="65">
        <v>0</v>
      </c>
      <c r="D224" s="65">
        <v>0</v>
      </c>
      <c r="E224" s="65">
        <v>0</v>
      </c>
      <c r="F224" s="65">
        <v>0</v>
      </c>
      <c r="G224" s="65">
        <v>0</v>
      </c>
    </row>
    <row r="225" spans="1:7" ht="11.25" customHeight="1" x14ac:dyDescent="0.2">
      <c r="A225" s="74">
        <v>44440</v>
      </c>
      <c r="B225" s="65">
        <v>0</v>
      </c>
      <c r="C225" s="65">
        <v>0</v>
      </c>
      <c r="D225" s="65">
        <v>0</v>
      </c>
      <c r="E225" s="65">
        <v>0</v>
      </c>
      <c r="F225" s="65">
        <v>0</v>
      </c>
      <c r="G225" s="65">
        <v>0</v>
      </c>
    </row>
    <row r="226" spans="1:7" ht="11.25" customHeight="1" x14ac:dyDescent="0.2">
      <c r="A226" s="74">
        <v>44470</v>
      </c>
      <c r="B226" s="65">
        <v>0</v>
      </c>
      <c r="C226" s="65">
        <v>0</v>
      </c>
      <c r="D226" s="65">
        <v>0</v>
      </c>
      <c r="E226" s="65">
        <v>0</v>
      </c>
      <c r="F226" s="65">
        <v>0</v>
      </c>
      <c r="G226" s="65">
        <v>0</v>
      </c>
    </row>
    <row r="227" spans="1:7" ht="11.25" customHeight="1" x14ac:dyDescent="0.2">
      <c r="A227" s="74">
        <v>44501</v>
      </c>
      <c r="B227" s="65">
        <v>0</v>
      </c>
      <c r="C227" s="65">
        <v>0</v>
      </c>
      <c r="D227" s="65">
        <v>0</v>
      </c>
      <c r="E227" s="65">
        <v>0</v>
      </c>
      <c r="F227" s="65">
        <v>0</v>
      </c>
      <c r="G227" s="65">
        <v>0</v>
      </c>
    </row>
    <row r="228" spans="1:7" ht="11.25" customHeight="1" x14ac:dyDescent="0.2">
      <c r="A228" s="74">
        <v>44531</v>
      </c>
      <c r="B228" s="65">
        <v>0</v>
      </c>
      <c r="C228" s="65">
        <v>0</v>
      </c>
      <c r="D228" s="65">
        <v>0</v>
      </c>
      <c r="E228" s="65">
        <v>0</v>
      </c>
      <c r="F228" s="65">
        <v>0</v>
      </c>
      <c r="G228" s="65">
        <v>0</v>
      </c>
    </row>
    <row r="229" spans="1:7" ht="11.25" customHeight="1" x14ac:dyDescent="0.2">
      <c r="A229" s="74">
        <v>44562</v>
      </c>
      <c r="B229" s="65">
        <v>0</v>
      </c>
      <c r="C229" s="65">
        <v>0</v>
      </c>
      <c r="D229" s="65">
        <v>0</v>
      </c>
      <c r="E229" s="65">
        <v>0</v>
      </c>
      <c r="F229" s="65">
        <v>0</v>
      </c>
      <c r="G229" s="65">
        <v>0</v>
      </c>
    </row>
    <row r="230" spans="1:7" ht="11.25" customHeight="1" x14ac:dyDescent="0.2">
      <c r="A230" s="73" t="s">
        <v>25</v>
      </c>
      <c r="B230" s="65">
        <v>1613081.6057893154</v>
      </c>
      <c r="C230" s="65">
        <v>0</v>
      </c>
      <c r="D230" s="65">
        <v>1705909.1173749412</v>
      </c>
      <c r="E230" s="65">
        <v>0</v>
      </c>
      <c r="F230" s="65">
        <v>1613081.6057893154</v>
      </c>
      <c r="G230" s="65">
        <v>1705909.1173749412</v>
      </c>
    </row>
    <row r="231" spans="1:7" ht="11.25" customHeight="1" x14ac:dyDescent="0.2">
      <c r="A231" s="74">
        <v>44228</v>
      </c>
      <c r="B231" s="65">
        <v>124824.90779959201</v>
      </c>
      <c r="C231" s="65">
        <v>0</v>
      </c>
      <c r="D231" s="65">
        <v>132008.16841911379</v>
      </c>
      <c r="E231" s="65">
        <v>0</v>
      </c>
      <c r="F231" s="65">
        <v>124824.90779959201</v>
      </c>
      <c r="G231" s="65">
        <v>132008.16841911379</v>
      </c>
    </row>
    <row r="232" spans="1:7" ht="11.25" customHeight="1" x14ac:dyDescent="0.2">
      <c r="A232" s="74">
        <v>44256</v>
      </c>
      <c r="B232" s="65">
        <v>122398.1998113336</v>
      </c>
      <c r="C232" s="65">
        <v>0</v>
      </c>
      <c r="D232" s="65">
        <v>129441.81141180605</v>
      </c>
      <c r="E232" s="65">
        <v>0</v>
      </c>
      <c r="F232" s="65">
        <v>122398.1998113336</v>
      </c>
      <c r="G232" s="65">
        <v>129441.81141180605</v>
      </c>
    </row>
    <row r="233" spans="1:7" ht="11.25" customHeight="1" x14ac:dyDescent="0.2">
      <c r="A233" s="74">
        <v>44287</v>
      </c>
      <c r="B233" s="65">
        <v>124953.8743208448</v>
      </c>
      <c r="C233" s="65">
        <v>0</v>
      </c>
      <c r="D233" s="65">
        <v>132144.55653714307</v>
      </c>
      <c r="E233" s="65">
        <v>0</v>
      </c>
      <c r="F233" s="65">
        <v>124953.8743208448</v>
      </c>
      <c r="G233" s="65">
        <v>132144.55653714307</v>
      </c>
    </row>
    <row r="234" spans="1:7" ht="11.25" customHeight="1" x14ac:dyDescent="0.2">
      <c r="A234" s="74">
        <v>44317</v>
      </c>
      <c r="B234" s="65">
        <v>132237.3685248</v>
      </c>
      <c r="C234" s="65">
        <v>0</v>
      </c>
      <c r="D234" s="65">
        <v>139847.19174436491</v>
      </c>
      <c r="E234" s="65">
        <v>0</v>
      </c>
      <c r="F234" s="65">
        <v>132237.3685248</v>
      </c>
      <c r="G234" s="65">
        <v>139847.19174436491</v>
      </c>
    </row>
    <row r="235" spans="1:7" ht="11.25" customHeight="1" x14ac:dyDescent="0.2">
      <c r="A235" s="74">
        <v>44348</v>
      </c>
      <c r="B235" s="65">
        <v>131382.32987916959</v>
      </c>
      <c r="C235" s="65">
        <v>0</v>
      </c>
      <c r="D235" s="65">
        <v>138942.94845248564</v>
      </c>
      <c r="E235" s="65">
        <v>0</v>
      </c>
      <c r="F235" s="65">
        <v>131382.32987916959</v>
      </c>
      <c r="G235" s="65">
        <v>138942.94845248564</v>
      </c>
    </row>
    <row r="236" spans="1:7" ht="11.25" customHeight="1" x14ac:dyDescent="0.2">
      <c r="A236" s="74">
        <v>44378</v>
      </c>
      <c r="B236" s="65">
        <v>134710.6138831992</v>
      </c>
      <c r="C236" s="65">
        <v>0</v>
      </c>
      <c r="D236" s="65">
        <v>142462.76419355537</v>
      </c>
      <c r="E236" s="65">
        <v>0</v>
      </c>
      <c r="F236" s="65">
        <v>134710.6138831992</v>
      </c>
      <c r="G236" s="65">
        <v>142462.76419355537</v>
      </c>
    </row>
    <row r="237" spans="1:7" ht="11.25" customHeight="1" x14ac:dyDescent="0.2">
      <c r="A237" s="74">
        <v>44409</v>
      </c>
      <c r="B237" s="65">
        <v>129764.62085664</v>
      </c>
      <c r="C237" s="65">
        <v>0</v>
      </c>
      <c r="D237" s="65">
        <v>137232.14562584093</v>
      </c>
      <c r="E237" s="65">
        <v>0</v>
      </c>
      <c r="F237" s="65">
        <v>129764.62085664</v>
      </c>
      <c r="G237" s="65">
        <v>137232.14562584093</v>
      </c>
    </row>
    <row r="238" spans="1:7" ht="11.25" customHeight="1" x14ac:dyDescent="0.2">
      <c r="A238" s="74">
        <v>44440</v>
      </c>
      <c r="B238" s="65">
        <v>136297.6216254576</v>
      </c>
      <c r="C238" s="65">
        <v>0</v>
      </c>
      <c r="D238" s="65">
        <v>144141.09898278539</v>
      </c>
      <c r="E238" s="65">
        <v>0</v>
      </c>
      <c r="F238" s="65">
        <v>136297.6216254576</v>
      </c>
      <c r="G238" s="65">
        <v>144141.09898278539</v>
      </c>
    </row>
    <row r="239" spans="1:7" ht="11.25" customHeight="1" x14ac:dyDescent="0.2">
      <c r="A239" s="74">
        <v>44470</v>
      </c>
      <c r="B239" s="65">
        <v>117748.06023066241</v>
      </c>
      <c r="C239" s="65">
        <v>0</v>
      </c>
      <c r="D239" s="65">
        <v>124524.07167733587</v>
      </c>
      <c r="E239" s="65">
        <v>0</v>
      </c>
      <c r="F239" s="65">
        <v>117748.06023066241</v>
      </c>
      <c r="G239" s="65">
        <v>124524.07167733587</v>
      </c>
    </row>
    <row r="240" spans="1:7" ht="11.25" customHeight="1" x14ac:dyDescent="0.2">
      <c r="A240" s="74">
        <v>44501</v>
      </c>
      <c r="B240" s="65">
        <v>160359.45676581599</v>
      </c>
      <c r="C240" s="65">
        <v>0</v>
      </c>
      <c r="D240" s="65">
        <v>169587.61315751297</v>
      </c>
      <c r="E240" s="65">
        <v>0</v>
      </c>
      <c r="F240" s="65">
        <v>160359.45676581599</v>
      </c>
      <c r="G240" s="65">
        <v>169587.61315751297</v>
      </c>
    </row>
    <row r="241" spans="1:7" ht="11.25" customHeight="1" x14ac:dyDescent="0.2">
      <c r="A241" s="74">
        <v>44531</v>
      </c>
      <c r="B241" s="65">
        <v>149202.27604590001</v>
      </c>
      <c r="C241" s="65">
        <v>0</v>
      </c>
      <c r="D241" s="65">
        <v>157788.37358649867</v>
      </c>
      <c r="E241" s="65">
        <v>0</v>
      </c>
      <c r="F241" s="65">
        <v>149202.27604590001</v>
      </c>
      <c r="G241" s="65">
        <v>157788.37358649867</v>
      </c>
    </row>
    <row r="242" spans="1:7" ht="11.25" customHeight="1" x14ac:dyDescent="0.2">
      <c r="A242" s="74">
        <v>44562</v>
      </c>
      <c r="B242" s="65">
        <v>149202.27604590001</v>
      </c>
      <c r="C242" s="65">
        <v>0</v>
      </c>
      <c r="D242" s="65">
        <v>157788.37358649867</v>
      </c>
      <c r="E242" s="65">
        <v>0</v>
      </c>
      <c r="F242" s="65">
        <v>149202.27604590001</v>
      </c>
      <c r="G242" s="65">
        <v>157788.37358649867</v>
      </c>
    </row>
    <row r="243" spans="1:7" ht="11.25" customHeight="1" x14ac:dyDescent="0.2">
      <c r="A243" s="73" t="s">
        <v>34</v>
      </c>
      <c r="B243" s="65">
        <v>0</v>
      </c>
      <c r="C243" s="65">
        <v>1857817.3813326999</v>
      </c>
      <c r="D243" s="65">
        <v>0</v>
      </c>
      <c r="E243" s="65">
        <v>2006170.8699915486</v>
      </c>
      <c r="F243" s="65">
        <v>1857817.3813326999</v>
      </c>
      <c r="G243" s="65">
        <v>2006170.8699915486</v>
      </c>
    </row>
    <row r="244" spans="1:7" ht="11.25" customHeight="1" x14ac:dyDescent="0.2">
      <c r="A244" s="74">
        <v>44228</v>
      </c>
      <c r="B244" s="65">
        <v>0</v>
      </c>
      <c r="C244" s="65">
        <v>147980.26554825599</v>
      </c>
      <c r="D244" s="65">
        <v>0</v>
      </c>
      <c r="E244" s="65">
        <v>159797.02906190039</v>
      </c>
      <c r="F244" s="65">
        <v>147980.26554825599</v>
      </c>
      <c r="G244" s="65">
        <v>159797.02906190039</v>
      </c>
    </row>
    <row r="245" spans="1:7" ht="11.25" customHeight="1" x14ac:dyDescent="0.2">
      <c r="A245" s="74">
        <v>44256</v>
      </c>
      <c r="B245" s="65">
        <v>0</v>
      </c>
      <c r="C245" s="65">
        <v>113705.1010784862</v>
      </c>
      <c r="D245" s="65">
        <v>0</v>
      </c>
      <c r="E245" s="65">
        <v>122784.86779441599</v>
      </c>
      <c r="F245" s="65">
        <v>113705.1010784862</v>
      </c>
      <c r="G245" s="65">
        <v>122784.86779441599</v>
      </c>
    </row>
    <row r="246" spans="1:7" ht="11.25" customHeight="1" x14ac:dyDescent="0.2">
      <c r="A246" s="74">
        <v>44287</v>
      </c>
      <c r="B246" s="65">
        <v>0</v>
      </c>
      <c r="C246" s="65">
        <v>143829.8139554954</v>
      </c>
      <c r="D246" s="65">
        <v>0</v>
      </c>
      <c r="E246" s="65">
        <v>155315.14878326221</v>
      </c>
      <c r="F246" s="65">
        <v>143829.8139554954</v>
      </c>
      <c r="G246" s="65">
        <v>155315.14878326221</v>
      </c>
    </row>
    <row r="247" spans="1:7" ht="11.25" customHeight="1" x14ac:dyDescent="0.2">
      <c r="A247" s="74">
        <v>44317</v>
      </c>
      <c r="B247" s="65">
        <v>0</v>
      </c>
      <c r="C247" s="65">
        <v>132588.46189235165</v>
      </c>
      <c r="D247" s="65">
        <v>0</v>
      </c>
      <c r="E247" s="65">
        <v>143176.13378910776</v>
      </c>
      <c r="F247" s="65">
        <v>132588.46189235165</v>
      </c>
      <c r="G247" s="65">
        <v>143176.13378910776</v>
      </c>
    </row>
    <row r="248" spans="1:7" ht="11.25" customHeight="1" x14ac:dyDescent="0.2">
      <c r="A248" s="74">
        <v>44348</v>
      </c>
      <c r="B248" s="65">
        <v>0</v>
      </c>
      <c r="C248" s="65">
        <v>140752.39767008761</v>
      </c>
      <c r="D248" s="65">
        <v>0</v>
      </c>
      <c r="E248" s="65">
        <v>151991.98959191371</v>
      </c>
      <c r="F248" s="65">
        <v>140752.39767008761</v>
      </c>
      <c r="G248" s="65">
        <v>151991.98959191371</v>
      </c>
    </row>
    <row r="249" spans="1:7" ht="11.25" customHeight="1" x14ac:dyDescent="0.2">
      <c r="A249" s="74">
        <v>44378</v>
      </c>
      <c r="B249" s="65">
        <v>0</v>
      </c>
      <c r="C249" s="65">
        <v>147065.12572161324</v>
      </c>
      <c r="D249" s="65">
        <v>0</v>
      </c>
      <c r="E249" s="65">
        <v>158808.81198490073</v>
      </c>
      <c r="F249" s="65">
        <v>147065.12572161324</v>
      </c>
      <c r="G249" s="65">
        <v>158808.81198490073</v>
      </c>
    </row>
    <row r="250" spans="1:7" ht="11.25" customHeight="1" x14ac:dyDescent="0.2">
      <c r="A250" s="74">
        <v>44409</v>
      </c>
      <c r="B250" s="65">
        <v>0</v>
      </c>
      <c r="C250" s="65">
        <v>149475.44257506871</v>
      </c>
      <c r="D250" s="65">
        <v>0</v>
      </c>
      <c r="E250" s="65">
        <v>161411.60142343174</v>
      </c>
      <c r="F250" s="65">
        <v>149475.44257506871</v>
      </c>
      <c r="G250" s="65">
        <v>161411.60142343174</v>
      </c>
    </row>
    <row r="251" spans="1:7" ht="11.25" customHeight="1" x14ac:dyDescent="0.2">
      <c r="A251" s="74">
        <v>44440</v>
      </c>
      <c r="B251" s="65">
        <v>0</v>
      </c>
      <c r="C251" s="65">
        <v>157167.62047549302</v>
      </c>
      <c r="D251" s="65">
        <v>0</v>
      </c>
      <c r="E251" s="65">
        <v>169718.02776311536</v>
      </c>
      <c r="F251" s="65">
        <v>157167.62047549302</v>
      </c>
      <c r="G251" s="65">
        <v>169718.02776311536</v>
      </c>
    </row>
    <row r="252" spans="1:7" ht="11.25" customHeight="1" x14ac:dyDescent="0.2">
      <c r="A252" s="74">
        <v>44470</v>
      </c>
      <c r="B252" s="65">
        <v>0</v>
      </c>
      <c r="C252" s="65">
        <v>138416.97732681167</v>
      </c>
      <c r="D252" s="65">
        <v>0</v>
      </c>
      <c r="E252" s="65">
        <v>149470.07742285819</v>
      </c>
      <c r="F252" s="65">
        <v>138416.97732681167</v>
      </c>
      <c r="G252" s="65">
        <v>149470.07742285819</v>
      </c>
    </row>
    <row r="253" spans="1:7" ht="11.25" customHeight="1" x14ac:dyDescent="0.2">
      <c r="A253" s="74">
        <v>44501</v>
      </c>
      <c r="B253" s="65">
        <v>0</v>
      </c>
      <c r="C253" s="65">
        <v>197276.252915566</v>
      </c>
      <c r="D253" s="65">
        <v>0</v>
      </c>
      <c r="E253" s="65">
        <v>213029.4806782298</v>
      </c>
      <c r="F253" s="65">
        <v>197276.252915566</v>
      </c>
      <c r="G253" s="65">
        <v>213029.4806782298</v>
      </c>
    </row>
    <row r="254" spans="1:7" ht="11.25" customHeight="1" x14ac:dyDescent="0.2">
      <c r="A254" s="74">
        <v>44531</v>
      </c>
      <c r="B254" s="65">
        <v>0</v>
      </c>
      <c r="C254" s="65">
        <v>194779.96108673504</v>
      </c>
      <c r="D254" s="65">
        <v>0</v>
      </c>
      <c r="E254" s="65">
        <v>210333.85084920638</v>
      </c>
      <c r="F254" s="65">
        <v>194779.96108673504</v>
      </c>
      <c r="G254" s="65">
        <v>210333.85084920638</v>
      </c>
    </row>
    <row r="255" spans="1:7" ht="11.25" customHeight="1" x14ac:dyDescent="0.2">
      <c r="A255" s="74">
        <v>44562</v>
      </c>
      <c r="B255" s="65">
        <v>0</v>
      </c>
      <c r="C255" s="65">
        <v>194779.96108673504</v>
      </c>
      <c r="D255" s="65">
        <v>0</v>
      </c>
      <c r="E255" s="65">
        <v>210333.85084920638</v>
      </c>
      <c r="F255" s="65">
        <v>194779.96108673504</v>
      </c>
      <c r="G255" s="65">
        <v>210333.85084920638</v>
      </c>
    </row>
    <row r="256" spans="1:7" ht="11.25" customHeight="1" x14ac:dyDescent="0.2">
      <c r="A256" s="66" t="s">
        <v>916</v>
      </c>
      <c r="B256" s="65">
        <v>0</v>
      </c>
      <c r="C256" s="65">
        <v>725728.61481659999</v>
      </c>
      <c r="D256" s="65">
        <v>0</v>
      </c>
      <c r="E256" s="65">
        <v>795028.09511264914</v>
      </c>
      <c r="F256" s="65">
        <v>725728.61481659999</v>
      </c>
      <c r="G256" s="65">
        <v>795028.09511264914</v>
      </c>
    </row>
    <row r="257" spans="1:7" ht="11.25" customHeight="1" x14ac:dyDescent="0.2">
      <c r="A257" s="67" t="s">
        <v>43</v>
      </c>
      <c r="B257" s="65">
        <v>0</v>
      </c>
      <c r="C257" s="65">
        <v>725728.61481659999</v>
      </c>
      <c r="D257" s="65">
        <v>0</v>
      </c>
      <c r="E257" s="65">
        <v>795028.09511264914</v>
      </c>
      <c r="F257" s="65">
        <v>725728.61481659999</v>
      </c>
      <c r="G257" s="65">
        <v>795028.09511264914</v>
      </c>
    </row>
    <row r="258" spans="1:7" ht="11.25" customHeight="1" x14ac:dyDescent="0.2">
      <c r="A258" s="68" t="s">
        <v>23</v>
      </c>
      <c r="B258" s="65">
        <v>0</v>
      </c>
      <c r="C258" s="65">
        <v>725728.61481659999</v>
      </c>
      <c r="D258" s="65">
        <v>0</v>
      </c>
      <c r="E258" s="65">
        <v>795028.09511264914</v>
      </c>
      <c r="F258" s="65">
        <v>725728.61481659999</v>
      </c>
      <c r="G258" s="65">
        <v>795028.09511264914</v>
      </c>
    </row>
    <row r="259" spans="1:7" ht="11.25" customHeight="1" x14ac:dyDescent="0.2">
      <c r="A259" s="69" t="s">
        <v>44</v>
      </c>
      <c r="B259" s="65">
        <v>0</v>
      </c>
      <c r="C259" s="65">
        <v>725728.61481659999</v>
      </c>
      <c r="D259" s="65">
        <v>0</v>
      </c>
      <c r="E259" s="65">
        <v>795028.09511264914</v>
      </c>
      <c r="F259" s="65">
        <v>725728.61481659999</v>
      </c>
      <c r="G259" s="65">
        <v>795028.09511264914</v>
      </c>
    </row>
    <row r="260" spans="1:7" ht="11.25" customHeight="1" x14ac:dyDescent="0.2">
      <c r="A260" s="70" t="s">
        <v>52</v>
      </c>
      <c r="B260" s="65">
        <v>0</v>
      </c>
      <c r="C260" s="65">
        <v>725728.61481659999</v>
      </c>
      <c r="D260" s="65">
        <v>0</v>
      </c>
      <c r="E260" s="65">
        <v>795028.09511264914</v>
      </c>
      <c r="F260" s="65">
        <v>725728.61481659999</v>
      </c>
      <c r="G260" s="65">
        <v>795028.09511264914</v>
      </c>
    </row>
    <row r="261" spans="1:7" ht="11.25" customHeight="1" x14ac:dyDescent="0.2">
      <c r="A261" s="71" t="s">
        <v>54</v>
      </c>
      <c r="B261" s="65">
        <v>0</v>
      </c>
      <c r="C261" s="65">
        <v>725728.61481659999</v>
      </c>
      <c r="D261" s="65">
        <v>0</v>
      </c>
      <c r="E261" s="65">
        <v>795028.09511264914</v>
      </c>
      <c r="F261" s="65">
        <v>725728.61481659999</v>
      </c>
      <c r="G261" s="65">
        <v>795028.09511264914</v>
      </c>
    </row>
    <row r="262" spans="1:7" ht="11.25" customHeight="1" x14ac:dyDescent="0.2">
      <c r="A262" s="72" t="s">
        <v>25</v>
      </c>
      <c r="B262" s="65">
        <v>0</v>
      </c>
      <c r="C262" s="65">
        <v>725728.61481659999</v>
      </c>
      <c r="D262" s="65">
        <v>0</v>
      </c>
      <c r="E262" s="65">
        <v>795028.09511264914</v>
      </c>
      <c r="F262" s="65">
        <v>725728.61481659999</v>
      </c>
      <c r="G262" s="65">
        <v>795028.09511264914</v>
      </c>
    </row>
    <row r="263" spans="1:7" ht="11.25" customHeight="1" x14ac:dyDescent="0.2">
      <c r="A263" s="73" t="s">
        <v>25</v>
      </c>
      <c r="B263" s="65">
        <v>0</v>
      </c>
      <c r="C263" s="65">
        <v>725728.61481659999</v>
      </c>
      <c r="D263" s="65">
        <v>0</v>
      </c>
      <c r="E263" s="65">
        <v>795028.09511264914</v>
      </c>
      <c r="F263" s="65">
        <v>725728.61481659999</v>
      </c>
      <c r="G263" s="65">
        <v>795028.09511264914</v>
      </c>
    </row>
    <row r="264" spans="1:7" ht="11.25" customHeight="1" x14ac:dyDescent="0.2">
      <c r="A264" s="74">
        <v>44228</v>
      </c>
      <c r="B264" s="65">
        <v>0</v>
      </c>
      <c r="C264" s="65">
        <v>70395.810461100002</v>
      </c>
      <c r="D264" s="65">
        <v>0</v>
      </c>
      <c r="E264" s="65">
        <v>77117.87292408591</v>
      </c>
      <c r="F264" s="65">
        <v>70395.810461100002</v>
      </c>
      <c r="G264" s="65">
        <v>77117.87292408591</v>
      </c>
    </row>
    <row r="265" spans="1:7" ht="11.25" customHeight="1" x14ac:dyDescent="0.2">
      <c r="A265" s="74">
        <v>44256</v>
      </c>
      <c r="B265" s="65">
        <v>0</v>
      </c>
      <c r="C265" s="65">
        <v>60726.335697900002</v>
      </c>
      <c r="D265" s="65">
        <v>0</v>
      </c>
      <c r="E265" s="65">
        <v>66525.064614233808</v>
      </c>
      <c r="F265" s="65">
        <v>60726.335697900002</v>
      </c>
      <c r="G265" s="65">
        <v>66525.064614233808</v>
      </c>
    </row>
    <row r="266" spans="1:7" ht="11.25" customHeight="1" x14ac:dyDescent="0.2">
      <c r="A266" s="74">
        <v>44287</v>
      </c>
      <c r="B266" s="65">
        <v>0</v>
      </c>
      <c r="C266" s="65">
        <v>44005.019587500006</v>
      </c>
      <c r="D266" s="65">
        <v>0</v>
      </c>
      <c r="E266" s="65">
        <v>48207.037980562636</v>
      </c>
      <c r="F266" s="65">
        <v>44005.019587500006</v>
      </c>
      <c r="G266" s="65">
        <v>48207.037980562636</v>
      </c>
    </row>
    <row r="267" spans="1:7" ht="11.25" customHeight="1" x14ac:dyDescent="0.2">
      <c r="A267" s="74">
        <v>44317</v>
      </c>
      <c r="B267" s="65">
        <v>0</v>
      </c>
      <c r="C267" s="65">
        <v>32492.163219900001</v>
      </c>
      <c r="D267" s="65">
        <v>0</v>
      </c>
      <c r="E267" s="65">
        <v>35594.824433558366</v>
      </c>
      <c r="F267" s="65">
        <v>32492.163219900001</v>
      </c>
      <c r="G267" s="65">
        <v>35594.824433558366</v>
      </c>
    </row>
    <row r="268" spans="1:7" ht="11.25" customHeight="1" x14ac:dyDescent="0.2">
      <c r="A268" s="74">
        <v>44348</v>
      </c>
      <c r="B268" s="65">
        <v>0</v>
      </c>
      <c r="C268" s="65">
        <v>46906.492771499994</v>
      </c>
      <c r="D268" s="65">
        <v>0</v>
      </c>
      <c r="E268" s="65">
        <v>51385.571459057057</v>
      </c>
      <c r="F268" s="65">
        <v>46906.492771499994</v>
      </c>
      <c r="G268" s="65">
        <v>51385.571459057057</v>
      </c>
    </row>
    <row r="269" spans="1:7" ht="11.25" customHeight="1" x14ac:dyDescent="0.2">
      <c r="A269" s="74">
        <v>44378</v>
      </c>
      <c r="B269" s="65">
        <v>0</v>
      </c>
      <c r="C269" s="65">
        <v>57140.099073599995</v>
      </c>
      <c r="D269" s="65">
        <v>0</v>
      </c>
      <c r="E269" s="65">
        <v>62596.379960176215</v>
      </c>
      <c r="F269" s="65">
        <v>57140.099073599995</v>
      </c>
      <c r="G269" s="65">
        <v>62596.379960176215</v>
      </c>
    </row>
    <row r="270" spans="1:7" ht="11.25" customHeight="1" x14ac:dyDescent="0.2">
      <c r="A270" s="74">
        <v>44409</v>
      </c>
      <c r="B270" s="65">
        <v>0</v>
      </c>
      <c r="C270" s="65">
        <v>51958.446419999993</v>
      </c>
      <c r="D270" s="65">
        <v>0</v>
      </c>
      <c r="E270" s="65">
        <v>56919.933758908439</v>
      </c>
      <c r="F270" s="65">
        <v>51958.446419999993</v>
      </c>
      <c r="G270" s="65">
        <v>56919.933758908439</v>
      </c>
    </row>
    <row r="271" spans="1:7" ht="11.25" customHeight="1" x14ac:dyDescent="0.2">
      <c r="A271" s="74">
        <v>44440</v>
      </c>
      <c r="B271" s="65">
        <v>0</v>
      </c>
      <c r="C271" s="65">
        <v>76861.838064900003</v>
      </c>
      <c r="D271" s="65">
        <v>0</v>
      </c>
      <c r="E271" s="65">
        <v>84201.338428741568</v>
      </c>
      <c r="F271" s="65">
        <v>76861.838064900003</v>
      </c>
      <c r="G271" s="65">
        <v>84201.338428741568</v>
      </c>
    </row>
    <row r="272" spans="1:7" ht="11.25" customHeight="1" x14ac:dyDescent="0.2">
      <c r="A272" s="74">
        <v>44470</v>
      </c>
      <c r="B272" s="65">
        <v>0</v>
      </c>
      <c r="C272" s="65">
        <v>76537.787663099982</v>
      </c>
      <c r="D272" s="65">
        <v>0</v>
      </c>
      <c r="E272" s="65">
        <v>83846.344608181433</v>
      </c>
      <c r="F272" s="65">
        <v>76537.787663099982</v>
      </c>
      <c r="G272" s="65">
        <v>83846.344608181433</v>
      </c>
    </row>
    <row r="273" spans="1:7" ht="11.25" customHeight="1" x14ac:dyDescent="0.2">
      <c r="A273" s="74">
        <v>44501</v>
      </c>
      <c r="B273" s="65">
        <v>0</v>
      </c>
      <c r="C273" s="65">
        <v>69046.783119300002</v>
      </c>
      <c r="D273" s="65">
        <v>0</v>
      </c>
      <c r="E273" s="65">
        <v>75640.027602970702</v>
      </c>
      <c r="F273" s="65">
        <v>69046.783119300002</v>
      </c>
      <c r="G273" s="65">
        <v>75640.027602970702</v>
      </c>
    </row>
    <row r="274" spans="1:7" ht="11.25" customHeight="1" x14ac:dyDescent="0.2">
      <c r="A274" s="74">
        <v>44531</v>
      </c>
      <c r="B274" s="65">
        <v>0</v>
      </c>
      <c r="C274" s="65">
        <v>69828.91936889998</v>
      </c>
      <c r="D274" s="65">
        <v>0</v>
      </c>
      <c r="E274" s="65">
        <v>76496.849671086558</v>
      </c>
      <c r="F274" s="65">
        <v>69828.91936889998</v>
      </c>
      <c r="G274" s="65">
        <v>76496.849671086558</v>
      </c>
    </row>
    <row r="275" spans="1:7" ht="11.25" customHeight="1" x14ac:dyDescent="0.2">
      <c r="A275" s="74">
        <v>44562</v>
      </c>
      <c r="B275" s="65">
        <v>0</v>
      </c>
      <c r="C275" s="65">
        <v>69828.91936889998</v>
      </c>
      <c r="D275" s="65">
        <v>0</v>
      </c>
      <c r="E275" s="65">
        <v>76496.849671086558</v>
      </c>
      <c r="F275" s="65">
        <v>69828.91936889998</v>
      </c>
      <c r="G275" s="65">
        <v>76496.849671086558</v>
      </c>
    </row>
    <row r="276" spans="1:7" ht="11.25" customHeight="1" x14ac:dyDescent="0.2">
      <c r="A276" s="66" t="s">
        <v>914</v>
      </c>
      <c r="B276" s="65">
        <v>3440.9760000000001</v>
      </c>
      <c r="C276" s="65">
        <v>1377899.3174523835</v>
      </c>
      <c r="D276" s="65">
        <v>1819.4963943550902</v>
      </c>
      <c r="E276" s="65">
        <v>771390.0800048426</v>
      </c>
      <c r="F276" s="65">
        <v>1381340.2934523826</v>
      </c>
      <c r="G276" s="65">
        <v>773209.57639919769</v>
      </c>
    </row>
    <row r="277" spans="1:7" ht="11.25" customHeight="1" x14ac:dyDescent="0.2">
      <c r="A277" s="67" t="s">
        <v>39</v>
      </c>
      <c r="B277" s="65">
        <v>3440.9760000000001</v>
      </c>
      <c r="C277" s="65">
        <v>18866.033396000003</v>
      </c>
      <c r="D277" s="65">
        <v>1819.4963943550902</v>
      </c>
      <c r="E277" s="65">
        <v>10768.353264485131</v>
      </c>
      <c r="F277" s="65">
        <v>22307.009396000001</v>
      </c>
      <c r="G277" s="65">
        <v>12587.849658840221</v>
      </c>
    </row>
    <row r="278" spans="1:7" ht="11.25" customHeight="1" x14ac:dyDescent="0.2">
      <c r="A278" s="68" t="s">
        <v>41</v>
      </c>
      <c r="B278" s="65">
        <v>3440.9760000000001</v>
      </c>
      <c r="C278" s="65">
        <v>18866.033396000003</v>
      </c>
      <c r="D278" s="65">
        <v>1819.4963943550902</v>
      </c>
      <c r="E278" s="65">
        <v>10768.353264485131</v>
      </c>
      <c r="F278" s="65">
        <v>22307.009396000001</v>
      </c>
      <c r="G278" s="65">
        <v>12587.849658840221</v>
      </c>
    </row>
    <row r="279" spans="1:7" ht="11.25" customHeight="1" x14ac:dyDescent="0.2">
      <c r="A279" s="69" t="s">
        <v>44</v>
      </c>
      <c r="B279" s="65">
        <v>3440.9760000000001</v>
      </c>
      <c r="C279" s="65">
        <v>18866.033396000003</v>
      </c>
      <c r="D279" s="65">
        <v>1819.4963943550902</v>
      </c>
      <c r="E279" s="65">
        <v>10768.353264485131</v>
      </c>
      <c r="F279" s="65">
        <v>22307.009396000001</v>
      </c>
      <c r="G279" s="65">
        <v>12587.849658840221</v>
      </c>
    </row>
    <row r="280" spans="1:7" ht="11.25" customHeight="1" x14ac:dyDescent="0.2">
      <c r="A280" s="70" t="s">
        <v>25</v>
      </c>
      <c r="B280" s="65">
        <v>3440.9760000000001</v>
      </c>
      <c r="C280" s="65">
        <v>18866.033396000003</v>
      </c>
      <c r="D280" s="65">
        <v>1819.4963943550902</v>
      </c>
      <c r="E280" s="65">
        <v>10768.353264485131</v>
      </c>
      <c r="F280" s="65">
        <v>22307.009396000001</v>
      </c>
      <c r="G280" s="65">
        <v>12587.849658840221</v>
      </c>
    </row>
    <row r="281" spans="1:7" ht="11.25" customHeight="1" x14ac:dyDescent="0.2">
      <c r="A281" s="71" t="s">
        <v>25</v>
      </c>
      <c r="B281" s="65">
        <v>3440.9760000000001</v>
      </c>
      <c r="C281" s="65">
        <v>18866.033396000003</v>
      </c>
      <c r="D281" s="65">
        <v>1819.4963943550902</v>
      </c>
      <c r="E281" s="65">
        <v>10768.353264485131</v>
      </c>
      <c r="F281" s="65">
        <v>22307.009396000001</v>
      </c>
      <c r="G281" s="65">
        <v>12587.849658840221</v>
      </c>
    </row>
    <row r="282" spans="1:7" ht="11.25" customHeight="1" x14ac:dyDescent="0.2">
      <c r="A282" s="72" t="s">
        <v>25</v>
      </c>
      <c r="B282" s="65">
        <v>3440.9760000000001</v>
      </c>
      <c r="C282" s="65">
        <v>18866.033396000003</v>
      </c>
      <c r="D282" s="65">
        <v>1819.4963943550902</v>
      </c>
      <c r="E282" s="65">
        <v>10768.353264485131</v>
      </c>
      <c r="F282" s="65">
        <v>22307.009396000001</v>
      </c>
      <c r="G282" s="65">
        <v>12587.849658840221</v>
      </c>
    </row>
    <row r="283" spans="1:7" ht="11.25" customHeight="1" x14ac:dyDescent="0.2">
      <c r="A283" s="73" t="s">
        <v>35</v>
      </c>
      <c r="B283" s="65">
        <v>0</v>
      </c>
      <c r="C283" s="65">
        <v>13542.099647999999</v>
      </c>
      <c r="D283" s="65">
        <v>0</v>
      </c>
      <c r="E283" s="65">
        <v>7870.0449427539043</v>
      </c>
      <c r="F283" s="65">
        <v>13542.099647999999</v>
      </c>
      <c r="G283" s="65">
        <v>7870.0449427539043</v>
      </c>
    </row>
    <row r="284" spans="1:7" ht="11.25" customHeight="1" x14ac:dyDescent="0.2">
      <c r="A284" s="74">
        <v>44228</v>
      </c>
      <c r="B284" s="65">
        <v>0</v>
      </c>
      <c r="C284" s="65">
        <v>1035.0852863999999</v>
      </c>
      <c r="D284" s="65">
        <v>0</v>
      </c>
      <c r="E284" s="65">
        <v>601.54392120090358</v>
      </c>
      <c r="F284" s="65">
        <v>1035.0852863999999</v>
      </c>
      <c r="G284" s="65">
        <v>601.54392120090358</v>
      </c>
    </row>
    <row r="285" spans="1:7" ht="11.25" customHeight="1" x14ac:dyDescent="0.2">
      <c r="A285" s="74">
        <v>44256</v>
      </c>
      <c r="B285" s="65">
        <v>0</v>
      </c>
      <c r="C285" s="65">
        <v>1147.7855136000001</v>
      </c>
      <c r="D285" s="65">
        <v>0</v>
      </c>
      <c r="E285" s="65">
        <v>667.04010540994307</v>
      </c>
      <c r="F285" s="65">
        <v>1147.7855136000001</v>
      </c>
      <c r="G285" s="65">
        <v>667.04010540994307</v>
      </c>
    </row>
    <row r="286" spans="1:7" ht="11.25" customHeight="1" x14ac:dyDescent="0.2">
      <c r="A286" s="74">
        <v>44287</v>
      </c>
      <c r="B286" s="65">
        <v>0</v>
      </c>
      <c r="C286" s="65">
        <v>1219.4236031999999</v>
      </c>
      <c r="D286" s="65">
        <v>0</v>
      </c>
      <c r="E286" s="65">
        <v>708.6728654264665</v>
      </c>
      <c r="F286" s="65">
        <v>1219.4236031999999</v>
      </c>
      <c r="G286" s="65">
        <v>708.6728654264665</v>
      </c>
    </row>
    <row r="287" spans="1:7" ht="11.25" customHeight="1" x14ac:dyDescent="0.2">
      <c r="A287" s="74">
        <v>44317</v>
      </c>
      <c r="B287" s="65">
        <v>0</v>
      </c>
      <c r="C287" s="65">
        <v>1145.9152320000001</v>
      </c>
      <c r="D287" s="65">
        <v>0</v>
      </c>
      <c r="E287" s="65">
        <v>665.95318383720314</v>
      </c>
      <c r="F287" s="65">
        <v>1145.9152320000001</v>
      </c>
      <c r="G287" s="65">
        <v>665.95318383720314</v>
      </c>
    </row>
    <row r="288" spans="1:7" ht="11.25" customHeight="1" x14ac:dyDescent="0.2">
      <c r="A288" s="74">
        <v>44348</v>
      </c>
      <c r="B288" s="65">
        <v>0</v>
      </c>
      <c r="C288" s="65">
        <v>1105.6516415999999</v>
      </c>
      <c r="D288" s="65">
        <v>0</v>
      </c>
      <c r="E288" s="65">
        <v>642.55383851844124</v>
      </c>
      <c r="F288" s="65">
        <v>1105.6516415999999</v>
      </c>
      <c r="G288" s="65">
        <v>642.55383851844124</v>
      </c>
    </row>
    <row r="289" spans="1:7" ht="11.25" customHeight="1" x14ac:dyDescent="0.2">
      <c r="A289" s="74">
        <v>44378</v>
      </c>
      <c r="B289" s="65">
        <v>0</v>
      </c>
      <c r="C289" s="65">
        <v>1165.9629696000002</v>
      </c>
      <c r="D289" s="65">
        <v>0</v>
      </c>
      <c r="E289" s="65">
        <v>677.60400608882037</v>
      </c>
      <c r="F289" s="65">
        <v>1165.9629696000002</v>
      </c>
      <c r="G289" s="65">
        <v>677.60400608882037</v>
      </c>
    </row>
    <row r="290" spans="1:7" ht="11.25" customHeight="1" x14ac:dyDescent="0.2">
      <c r="A290" s="74">
        <v>44409</v>
      </c>
      <c r="B290" s="65">
        <v>0</v>
      </c>
      <c r="C290" s="65">
        <v>1125.8044512000001</v>
      </c>
      <c r="D290" s="65">
        <v>0</v>
      </c>
      <c r="E290" s="65">
        <v>654.26572377976311</v>
      </c>
      <c r="F290" s="65">
        <v>1125.8044512000001</v>
      </c>
      <c r="G290" s="65">
        <v>654.26572377976311</v>
      </c>
    </row>
    <row r="291" spans="1:7" ht="11.25" customHeight="1" x14ac:dyDescent="0.2">
      <c r="A291" s="74">
        <v>44440</v>
      </c>
      <c r="B291" s="65">
        <v>0</v>
      </c>
      <c r="C291" s="65">
        <v>1112.502336</v>
      </c>
      <c r="D291" s="65">
        <v>0</v>
      </c>
      <c r="E291" s="65">
        <v>646.53514675117412</v>
      </c>
      <c r="F291" s="65">
        <v>1112.502336</v>
      </c>
      <c r="G291" s="65">
        <v>646.53514675117412</v>
      </c>
    </row>
    <row r="292" spans="1:7" ht="11.25" customHeight="1" x14ac:dyDescent="0.2">
      <c r="A292" s="74">
        <v>44470</v>
      </c>
      <c r="B292" s="65">
        <v>0</v>
      </c>
      <c r="C292" s="65">
        <v>1071.3981696000001</v>
      </c>
      <c r="D292" s="65">
        <v>0</v>
      </c>
      <c r="E292" s="65">
        <v>622.64729735477636</v>
      </c>
      <c r="F292" s="65">
        <v>1071.3981696000001</v>
      </c>
      <c r="G292" s="65">
        <v>622.64729735477636</v>
      </c>
    </row>
    <row r="293" spans="1:7" ht="11.25" customHeight="1" x14ac:dyDescent="0.2">
      <c r="A293" s="74">
        <v>44501</v>
      </c>
      <c r="B293" s="65">
        <v>0</v>
      </c>
      <c r="C293" s="65">
        <v>1035.7577472</v>
      </c>
      <c r="D293" s="65">
        <v>0</v>
      </c>
      <c r="E293" s="65">
        <v>601.93472446301223</v>
      </c>
      <c r="F293" s="65">
        <v>1035.7577472</v>
      </c>
      <c r="G293" s="65">
        <v>601.93472446301223</v>
      </c>
    </row>
    <row r="294" spans="1:7" ht="11.25" customHeight="1" x14ac:dyDescent="0.2">
      <c r="A294" s="74">
        <v>44531</v>
      </c>
      <c r="B294" s="65">
        <v>0</v>
      </c>
      <c r="C294" s="65">
        <v>1188.4063488000002</v>
      </c>
      <c r="D294" s="65">
        <v>0</v>
      </c>
      <c r="E294" s="65">
        <v>690.64706496170004</v>
      </c>
      <c r="F294" s="65">
        <v>1188.4063488000002</v>
      </c>
      <c r="G294" s="65">
        <v>690.64706496170004</v>
      </c>
    </row>
    <row r="295" spans="1:7" ht="11.25" customHeight="1" x14ac:dyDescent="0.2">
      <c r="A295" s="74">
        <v>44562</v>
      </c>
      <c r="B295" s="65">
        <v>0</v>
      </c>
      <c r="C295" s="65">
        <v>1188.4063488000002</v>
      </c>
      <c r="D295" s="65">
        <v>0</v>
      </c>
      <c r="E295" s="65">
        <v>690.64706496170004</v>
      </c>
      <c r="F295" s="65">
        <v>1188.4063488000002</v>
      </c>
      <c r="G295" s="65">
        <v>690.64706496170004</v>
      </c>
    </row>
    <row r="296" spans="1:7" ht="11.25" customHeight="1" x14ac:dyDescent="0.2">
      <c r="A296" s="73" t="s">
        <v>25</v>
      </c>
      <c r="B296" s="65">
        <v>3440.9760000000001</v>
      </c>
      <c r="C296" s="65">
        <v>0</v>
      </c>
      <c r="D296" s="65">
        <v>1819.4963943550902</v>
      </c>
      <c r="E296" s="65">
        <v>0</v>
      </c>
      <c r="F296" s="65">
        <v>3440.9760000000001</v>
      </c>
      <c r="G296" s="65">
        <v>1819.4963943550902</v>
      </c>
    </row>
    <row r="297" spans="1:7" ht="11.25" customHeight="1" x14ac:dyDescent="0.2">
      <c r="A297" s="74">
        <v>44228</v>
      </c>
      <c r="B297" s="65">
        <v>276.46079999999995</v>
      </c>
      <c r="C297" s="65">
        <v>0</v>
      </c>
      <c r="D297" s="65">
        <v>146.18510236064529</v>
      </c>
      <c r="E297" s="65">
        <v>0</v>
      </c>
      <c r="F297" s="65">
        <v>276.46079999999995</v>
      </c>
      <c r="G297" s="65">
        <v>146.18510236064529</v>
      </c>
    </row>
    <row r="298" spans="1:7" ht="11.25" customHeight="1" x14ac:dyDescent="0.2">
      <c r="A298" s="74">
        <v>44256</v>
      </c>
      <c r="B298" s="65">
        <v>271.28639999999996</v>
      </c>
      <c r="C298" s="65">
        <v>0</v>
      </c>
      <c r="D298" s="65">
        <v>143.44901755710379</v>
      </c>
      <c r="E298" s="65">
        <v>0</v>
      </c>
      <c r="F298" s="65">
        <v>271.28639999999996</v>
      </c>
      <c r="G298" s="65">
        <v>143.44901755710379</v>
      </c>
    </row>
    <row r="299" spans="1:7" ht="11.25" customHeight="1" x14ac:dyDescent="0.2">
      <c r="A299" s="74">
        <v>44287</v>
      </c>
      <c r="B299" s="65">
        <v>297.15840000000003</v>
      </c>
      <c r="C299" s="65">
        <v>0</v>
      </c>
      <c r="D299" s="65">
        <v>157.12944157481124</v>
      </c>
      <c r="E299" s="65">
        <v>0</v>
      </c>
      <c r="F299" s="65">
        <v>297.15840000000003</v>
      </c>
      <c r="G299" s="65">
        <v>157.12944157481124</v>
      </c>
    </row>
    <row r="300" spans="1:7" ht="11.25" customHeight="1" x14ac:dyDescent="0.2">
      <c r="A300" s="74">
        <v>44317</v>
      </c>
      <c r="B300" s="65">
        <v>274.24320000000006</v>
      </c>
      <c r="C300" s="65">
        <v>0</v>
      </c>
      <c r="D300" s="65">
        <v>145.01249458769894</v>
      </c>
      <c r="E300" s="65">
        <v>0</v>
      </c>
      <c r="F300" s="65">
        <v>274.24320000000006</v>
      </c>
      <c r="G300" s="65">
        <v>145.01249458769894</v>
      </c>
    </row>
    <row r="301" spans="1:7" ht="11.25" customHeight="1" x14ac:dyDescent="0.2">
      <c r="A301" s="74">
        <v>44348</v>
      </c>
      <c r="B301" s="65">
        <v>271.28639999999996</v>
      </c>
      <c r="C301" s="65">
        <v>0</v>
      </c>
      <c r="D301" s="65">
        <v>143.44901755710379</v>
      </c>
      <c r="E301" s="65">
        <v>0</v>
      </c>
      <c r="F301" s="65">
        <v>271.28639999999996</v>
      </c>
      <c r="G301" s="65">
        <v>143.44901755710379</v>
      </c>
    </row>
    <row r="302" spans="1:7" ht="11.25" customHeight="1" x14ac:dyDescent="0.2">
      <c r="A302" s="74">
        <v>44378</v>
      </c>
      <c r="B302" s="65">
        <v>278.67840000000001</v>
      </c>
      <c r="C302" s="65">
        <v>0</v>
      </c>
      <c r="D302" s="65">
        <v>147.35771013359164</v>
      </c>
      <c r="E302" s="65">
        <v>0</v>
      </c>
      <c r="F302" s="65">
        <v>278.67840000000001</v>
      </c>
      <c r="G302" s="65">
        <v>147.35771013359164</v>
      </c>
    </row>
    <row r="303" spans="1:7" ht="11.25" customHeight="1" x14ac:dyDescent="0.2">
      <c r="A303" s="74">
        <v>44409</v>
      </c>
      <c r="B303" s="65">
        <v>276.46079999999995</v>
      </c>
      <c r="C303" s="65">
        <v>0</v>
      </c>
      <c r="D303" s="65">
        <v>146.18510236064529</v>
      </c>
      <c r="E303" s="65">
        <v>0</v>
      </c>
      <c r="F303" s="65">
        <v>276.46079999999995</v>
      </c>
      <c r="G303" s="65">
        <v>146.18510236064529</v>
      </c>
    </row>
    <row r="304" spans="1:7" ht="11.25" customHeight="1" x14ac:dyDescent="0.2">
      <c r="A304" s="74">
        <v>44440</v>
      </c>
      <c r="B304" s="65">
        <v>282.37440000000004</v>
      </c>
      <c r="C304" s="65">
        <v>0</v>
      </c>
      <c r="D304" s="65">
        <v>149.31205642183554</v>
      </c>
      <c r="E304" s="65">
        <v>0</v>
      </c>
      <c r="F304" s="65">
        <v>282.37440000000004</v>
      </c>
      <c r="G304" s="65">
        <v>149.31205642183554</v>
      </c>
    </row>
    <row r="305" spans="1:7" ht="11.25" customHeight="1" x14ac:dyDescent="0.2">
      <c r="A305" s="74">
        <v>44470</v>
      </c>
      <c r="B305" s="65">
        <v>314.89920000000001</v>
      </c>
      <c r="C305" s="65">
        <v>0</v>
      </c>
      <c r="D305" s="65">
        <v>166.51030375838204</v>
      </c>
      <c r="E305" s="65">
        <v>0</v>
      </c>
      <c r="F305" s="65">
        <v>314.89920000000001</v>
      </c>
      <c r="G305" s="65">
        <v>166.51030375838204</v>
      </c>
    </row>
    <row r="306" spans="1:7" ht="11.25" customHeight="1" x14ac:dyDescent="0.2">
      <c r="A306" s="74">
        <v>44501</v>
      </c>
      <c r="B306" s="65">
        <v>294.94080000000002</v>
      </c>
      <c r="C306" s="65">
        <v>0</v>
      </c>
      <c r="D306" s="65">
        <v>155.95683380186489</v>
      </c>
      <c r="E306" s="65">
        <v>0</v>
      </c>
      <c r="F306" s="65">
        <v>294.94080000000002</v>
      </c>
      <c r="G306" s="65">
        <v>155.95683380186489</v>
      </c>
    </row>
    <row r="307" spans="1:7" ht="11.25" customHeight="1" x14ac:dyDescent="0.2">
      <c r="A307" s="74">
        <v>44531</v>
      </c>
      <c r="B307" s="65">
        <v>301.59359999999998</v>
      </c>
      <c r="C307" s="65">
        <v>0</v>
      </c>
      <c r="D307" s="65">
        <v>159.47465712070394</v>
      </c>
      <c r="E307" s="65">
        <v>0</v>
      </c>
      <c r="F307" s="65">
        <v>301.59359999999998</v>
      </c>
      <c r="G307" s="65">
        <v>159.47465712070394</v>
      </c>
    </row>
    <row r="308" spans="1:7" ht="11.25" customHeight="1" x14ac:dyDescent="0.2">
      <c r="A308" s="74">
        <v>44562</v>
      </c>
      <c r="B308" s="65">
        <v>301.59359999999998</v>
      </c>
      <c r="C308" s="65">
        <v>0</v>
      </c>
      <c r="D308" s="65">
        <v>159.47465712070394</v>
      </c>
      <c r="E308" s="65">
        <v>0</v>
      </c>
      <c r="F308" s="65">
        <v>301.59359999999998</v>
      </c>
      <c r="G308" s="65">
        <v>159.47465712070394</v>
      </c>
    </row>
    <row r="309" spans="1:7" ht="11.25" customHeight="1" x14ac:dyDescent="0.2">
      <c r="A309" s="73" t="s">
        <v>34</v>
      </c>
      <c r="B309" s="65">
        <v>0</v>
      </c>
      <c r="C309" s="65">
        <v>5323.9337479999995</v>
      </c>
      <c r="D309" s="65">
        <v>0</v>
      </c>
      <c r="E309" s="65">
        <v>2898.308321731231</v>
      </c>
      <c r="F309" s="65">
        <v>5323.9337479999995</v>
      </c>
      <c r="G309" s="65">
        <v>2898.308321731231</v>
      </c>
    </row>
    <row r="310" spans="1:7" ht="11.25" customHeight="1" x14ac:dyDescent="0.2">
      <c r="A310" s="74">
        <v>44228</v>
      </c>
      <c r="B310" s="65">
        <v>0</v>
      </c>
      <c r="C310" s="65">
        <v>418.59737039999999</v>
      </c>
      <c r="D310" s="65">
        <v>0</v>
      </c>
      <c r="E310" s="65">
        <v>227.88116823221037</v>
      </c>
      <c r="F310" s="65">
        <v>418.59737039999999</v>
      </c>
      <c r="G310" s="65">
        <v>227.88116823221037</v>
      </c>
    </row>
    <row r="311" spans="1:7" ht="11.25" customHeight="1" x14ac:dyDescent="0.2">
      <c r="A311" s="74">
        <v>44256</v>
      </c>
      <c r="B311" s="65">
        <v>0</v>
      </c>
      <c r="C311" s="65">
        <v>502.2539448</v>
      </c>
      <c r="D311" s="65">
        <v>0</v>
      </c>
      <c r="E311" s="65">
        <v>273.42315977974454</v>
      </c>
      <c r="F311" s="65">
        <v>502.2539448</v>
      </c>
      <c r="G311" s="65">
        <v>273.42315977974454</v>
      </c>
    </row>
    <row r="312" spans="1:7" ht="11.25" customHeight="1" x14ac:dyDescent="0.2">
      <c r="A312" s="74">
        <v>44287</v>
      </c>
      <c r="B312" s="65">
        <v>0</v>
      </c>
      <c r="C312" s="65">
        <v>465.56246479999999</v>
      </c>
      <c r="D312" s="65">
        <v>0</v>
      </c>
      <c r="E312" s="65">
        <v>253.44860208345762</v>
      </c>
      <c r="F312" s="65">
        <v>465.56246479999999</v>
      </c>
      <c r="G312" s="65">
        <v>253.44860208345762</v>
      </c>
    </row>
    <row r="313" spans="1:7" ht="11.25" customHeight="1" x14ac:dyDescent="0.2">
      <c r="A313" s="74">
        <v>44317</v>
      </c>
      <c r="B313" s="65">
        <v>0</v>
      </c>
      <c r="C313" s="65">
        <v>467.76395359999992</v>
      </c>
      <c r="D313" s="65">
        <v>0</v>
      </c>
      <c r="E313" s="65">
        <v>254.64707554523483</v>
      </c>
      <c r="F313" s="65">
        <v>467.76395359999992</v>
      </c>
      <c r="G313" s="65">
        <v>254.64707554523483</v>
      </c>
    </row>
    <row r="314" spans="1:7" ht="11.25" customHeight="1" x14ac:dyDescent="0.2">
      <c r="A314" s="74">
        <v>44348</v>
      </c>
      <c r="B314" s="65">
        <v>0</v>
      </c>
      <c r="C314" s="65">
        <v>437.25760880000001</v>
      </c>
      <c r="D314" s="65">
        <v>0</v>
      </c>
      <c r="E314" s="65">
        <v>238.03965757489345</v>
      </c>
      <c r="F314" s="65">
        <v>437.25760880000001</v>
      </c>
      <c r="G314" s="65">
        <v>238.03965757489345</v>
      </c>
    </row>
    <row r="315" spans="1:7" ht="11.25" customHeight="1" x14ac:dyDescent="0.2">
      <c r="A315" s="74">
        <v>44378</v>
      </c>
      <c r="B315" s="65">
        <v>0</v>
      </c>
      <c r="C315" s="65">
        <v>427.82265680000006</v>
      </c>
      <c r="D315" s="65">
        <v>0</v>
      </c>
      <c r="E315" s="65">
        <v>232.90334273870542</v>
      </c>
      <c r="F315" s="65">
        <v>427.82265680000006</v>
      </c>
      <c r="G315" s="65">
        <v>232.90334273870542</v>
      </c>
    </row>
    <row r="316" spans="1:7" ht="11.25" customHeight="1" x14ac:dyDescent="0.2">
      <c r="A316" s="74">
        <v>44409</v>
      </c>
      <c r="B316" s="65">
        <v>0</v>
      </c>
      <c r="C316" s="65">
        <v>407.90442479999996</v>
      </c>
      <c r="D316" s="65">
        <v>0</v>
      </c>
      <c r="E316" s="65">
        <v>222.0600114178639</v>
      </c>
      <c r="F316" s="65">
        <v>407.90442479999996</v>
      </c>
      <c r="G316" s="65">
        <v>222.0600114178639</v>
      </c>
    </row>
    <row r="317" spans="1:7" ht="11.25" customHeight="1" x14ac:dyDescent="0.2">
      <c r="A317" s="74">
        <v>44440</v>
      </c>
      <c r="B317" s="65">
        <v>0</v>
      </c>
      <c r="C317" s="65">
        <v>444.59590480000003</v>
      </c>
      <c r="D317" s="65">
        <v>0</v>
      </c>
      <c r="E317" s="65">
        <v>242.03456911415077</v>
      </c>
      <c r="F317" s="65">
        <v>444.59590480000003</v>
      </c>
      <c r="G317" s="65">
        <v>242.03456911415077</v>
      </c>
    </row>
    <row r="318" spans="1:7" ht="11.25" customHeight="1" x14ac:dyDescent="0.2">
      <c r="A318" s="74">
        <v>44470</v>
      </c>
      <c r="B318" s="65">
        <v>0</v>
      </c>
      <c r="C318" s="65">
        <v>390.08284879999997</v>
      </c>
      <c r="D318" s="65">
        <v>0</v>
      </c>
      <c r="E318" s="65">
        <v>212.35808339395311</v>
      </c>
      <c r="F318" s="65">
        <v>390.08284879999997</v>
      </c>
      <c r="G318" s="65">
        <v>212.35808339395311</v>
      </c>
    </row>
    <row r="319" spans="1:7" ht="11.25" customHeight="1" x14ac:dyDescent="0.2">
      <c r="A319" s="74">
        <v>44501</v>
      </c>
      <c r="B319" s="65">
        <v>0</v>
      </c>
      <c r="C319" s="65">
        <v>355.48802479999995</v>
      </c>
      <c r="D319" s="65">
        <v>0</v>
      </c>
      <c r="E319" s="65">
        <v>193.52492899459691</v>
      </c>
      <c r="F319" s="65">
        <v>355.48802479999995</v>
      </c>
      <c r="G319" s="65">
        <v>193.52492899459691</v>
      </c>
    </row>
    <row r="320" spans="1:7" ht="11.25" customHeight="1" x14ac:dyDescent="0.2">
      <c r="A320" s="74">
        <v>44531</v>
      </c>
      <c r="B320" s="65">
        <v>0</v>
      </c>
      <c r="C320" s="65">
        <v>503.30227280000003</v>
      </c>
      <c r="D320" s="65">
        <v>0</v>
      </c>
      <c r="E320" s="65">
        <v>273.99386142820987</v>
      </c>
      <c r="F320" s="65">
        <v>503.30227280000003</v>
      </c>
      <c r="G320" s="65">
        <v>273.99386142820987</v>
      </c>
    </row>
    <row r="321" spans="1:7" ht="11.25" customHeight="1" x14ac:dyDescent="0.2">
      <c r="A321" s="74">
        <v>44562</v>
      </c>
      <c r="B321" s="65">
        <v>0</v>
      </c>
      <c r="C321" s="65">
        <v>503.30227280000003</v>
      </c>
      <c r="D321" s="65">
        <v>0</v>
      </c>
      <c r="E321" s="65">
        <v>273.99386142820987</v>
      </c>
      <c r="F321" s="65">
        <v>503.30227280000003</v>
      </c>
      <c r="G321" s="65">
        <v>273.99386142820987</v>
      </c>
    </row>
    <row r="322" spans="1:7" ht="11.25" customHeight="1" x14ac:dyDescent="0.2">
      <c r="A322" s="67" t="s">
        <v>43</v>
      </c>
      <c r="B322" s="65">
        <v>0</v>
      </c>
      <c r="C322" s="65">
        <v>1359033.2840563834</v>
      </c>
      <c r="D322" s="65">
        <v>0</v>
      </c>
      <c r="E322" s="65">
        <v>760621.72674035758</v>
      </c>
      <c r="F322" s="65">
        <v>1359033.2840563827</v>
      </c>
      <c r="G322" s="65">
        <v>760621.72674035758</v>
      </c>
    </row>
    <row r="323" spans="1:7" ht="11.25" customHeight="1" x14ac:dyDescent="0.2">
      <c r="A323" s="68" t="s">
        <v>33</v>
      </c>
      <c r="B323" s="65">
        <v>0</v>
      </c>
      <c r="C323" s="65">
        <v>96.710556382978666</v>
      </c>
      <c r="D323" s="65">
        <v>0</v>
      </c>
      <c r="E323" s="65">
        <v>116.18566056777057</v>
      </c>
      <c r="F323" s="65">
        <v>96.710556382978666</v>
      </c>
      <c r="G323" s="65">
        <v>116.18566056777057</v>
      </c>
    </row>
    <row r="324" spans="1:7" ht="11.25" customHeight="1" x14ac:dyDescent="0.2">
      <c r="A324" s="69" t="s">
        <v>44</v>
      </c>
      <c r="B324" s="65">
        <v>0</v>
      </c>
      <c r="C324" s="65">
        <v>96.710556382978666</v>
      </c>
      <c r="D324" s="65">
        <v>0</v>
      </c>
      <c r="E324" s="65">
        <v>116.18566056777057</v>
      </c>
      <c r="F324" s="65">
        <v>96.710556382978666</v>
      </c>
      <c r="G324" s="65">
        <v>116.18566056777057</v>
      </c>
    </row>
    <row r="325" spans="1:7" ht="11.25" customHeight="1" x14ac:dyDescent="0.2">
      <c r="A325" s="70" t="s">
        <v>25</v>
      </c>
      <c r="B325" s="65">
        <v>0</v>
      </c>
      <c r="C325" s="65">
        <v>96.710556382978666</v>
      </c>
      <c r="D325" s="65">
        <v>0</v>
      </c>
      <c r="E325" s="65">
        <v>116.18566056777057</v>
      </c>
      <c r="F325" s="65">
        <v>96.710556382978666</v>
      </c>
      <c r="G325" s="65">
        <v>116.18566056777057</v>
      </c>
    </row>
    <row r="326" spans="1:7" ht="11.25" customHeight="1" x14ac:dyDescent="0.2">
      <c r="A326" s="71" t="s">
        <v>25</v>
      </c>
      <c r="B326" s="65">
        <v>0</v>
      </c>
      <c r="C326" s="65">
        <v>96.710556382978666</v>
      </c>
      <c r="D326" s="65">
        <v>0</v>
      </c>
      <c r="E326" s="65">
        <v>116.18566056777057</v>
      </c>
      <c r="F326" s="65">
        <v>96.710556382978666</v>
      </c>
      <c r="G326" s="65">
        <v>116.18566056777057</v>
      </c>
    </row>
    <row r="327" spans="1:7" ht="11.25" customHeight="1" x14ac:dyDescent="0.2">
      <c r="A327" s="72" t="s">
        <v>25</v>
      </c>
      <c r="B327" s="65">
        <v>0</v>
      </c>
      <c r="C327" s="65">
        <v>96.710556382978666</v>
      </c>
      <c r="D327" s="65">
        <v>0</v>
      </c>
      <c r="E327" s="65">
        <v>116.18566056777057</v>
      </c>
      <c r="F327" s="65">
        <v>96.710556382978666</v>
      </c>
      <c r="G327" s="65">
        <v>116.18566056777057</v>
      </c>
    </row>
    <row r="328" spans="1:7" ht="11.25" customHeight="1" x14ac:dyDescent="0.2">
      <c r="A328" s="73" t="s">
        <v>35</v>
      </c>
      <c r="B328" s="65">
        <v>0</v>
      </c>
      <c r="C328" s="65">
        <v>80.211019148936174</v>
      </c>
      <c r="D328" s="65">
        <v>0</v>
      </c>
      <c r="E328" s="65">
        <v>96.876139055097454</v>
      </c>
      <c r="F328" s="65">
        <v>80.211019148936174</v>
      </c>
      <c r="G328" s="65">
        <v>96.876139055097454</v>
      </c>
    </row>
    <row r="329" spans="1:7" ht="11.25" customHeight="1" x14ac:dyDescent="0.2">
      <c r="A329" s="74">
        <v>44228</v>
      </c>
      <c r="B329" s="65">
        <v>0</v>
      </c>
      <c r="C329" s="65">
        <v>6.8548289361702119</v>
      </c>
      <c r="D329" s="65">
        <v>0</v>
      </c>
      <c r="E329" s="65">
        <v>8.279029094322869</v>
      </c>
      <c r="F329" s="65">
        <v>6.8548289361702119</v>
      </c>
      <c r="G329" s="65">
        <v>8.279029094322869</v>
      </c>
    </row>
    <row r="330" spans="1:7" ht="11.25" customHeight="1" x14ac:dyDescent="0.2">
      <c r="A330" s="74">
        <v>44256</v>
      </c>
      <c r="B330" s="65">
        <v>0</v>
      </c>
      <c r="C330" s="65">
        <v>8.2829182978723406</v>
      </c>
      <c r="D330" s="65">
        <v>0</v>
      </c>
      <c r="E330" s="65">
        <v>10.003826822306801</v>
      </c>
      <c r="F330" s="65">
        <v>8.2829182978723406</v>
      </c>
      <c r="G330" s="65">
        <v>10.003826822306801</v>
      </c>
    </row>
    <row r="331" spans="1:7" ht="11.25" customHeight="1" x14ac:dyDescent="0.2">
      <c r="A331" s="74">
        <v>44287</v>
      </c>
      <c r="B331" s="65">
        <v>0</v>
      </c>
      <c r="C331" s="65">
        <v>10.329846382978722</v>
      </c>
      <c r="D331" s="65">
        <v>0</v>
      </c>
      <c r="E331" s="65">
        <v>12.476036899083766</v>
      </c>
      <c r="F331" s="65">
        <v>10.329846382978722</v>
      </c>
      <c r="G331" s="65">
        <v>12.476036899083766</v>
      </c>
    </row>
    <row r="332" spans="1:7" ht="11.25" customHeight="1" x14ac:dyDescent="0.2">
      <c r="A332" s="74">
        <v>44317</v>
      </c>
      <c r="B332" s="65">
        <v>0</v>
      </c>
      <c r="C332" s="65">
        <v>6.6168140425531918</v>
      </c>
      <c r="D332" s="65">
        <v>0</v>
      </c>
      <c r="E332" s="65">
        <v>7.9915628063255486</v>
      </c>
      <c r="F332" s="65">
        <v>6.6168140425531918</v>
      </c>
      <c r="G332" s="65">
        <v>7.9915628063255486</v>
      </c>
    </row>
    <row r="333" spans="1:7" ht="11.25" customHeight="1" x14ac:dyDescent="0.2">
      <c r="A333" s="74">
        <v>44348</v>
      </c>
      <c r="B333" s="65">
        <v>0</v>
      </c>
      <c r="C333" s="65">
        <v>4.2366651063829783</v>
      </c>
      <c r="D333" s="65">
        <v>0</v>
      </c>
      <c r="E333" s="65">
        <v>5.1168999263523283</v>
      </c>
      <c r="F333" s="65">
        <v>4.2366651063829783</v>
      </c>
      <c r="G333" s="65">
        <v>5.1168999263523283</v>
      </c>
    </row>
    <row r="334" spans="1:7" ht="11.25" customHeight="1" x14ac:dyDescent="0.2">
      <c r="A334" s="74">
        <v>44378</v>
      </c>
      <c r="B334" s="65">
        <v>0</v>
      </c>
      <c r="C334" s="65">
        <v>5.7599604255319141</v>
      </c>
      <c r="D334" s="65">
        <v>0</v>
      </c>
      <c r="E334" s="65">
        <v>6.9566841695351886</v>
      </c>
      <c r="F334" s="65">
        <v>5.7599604255319141</v>
      </c>
      <c r="G334" s="65">
        <v>6.9566841695351886</v>
      </c>
    </row>
    <row r="335" spans="1:7" ht="11.25" customHeight="1" x14ac:dyDescent="0.2">
      <c r="A335" s="74">
        <v>44409</v>
      </c>
      <c r="B335" s="65">
        <v>0</v>
      </c>
      <c r="C335" s="65">
        <v>4.0224517021276602</v>
      </c>
      <c r="D335" s="65">
        <v>0</v>
      </c>
      <c r="E335" s="65">
        <v>4.8581802671547383</v>
      </c>
      <c r="F335" s="65">
        <v>4.0224517021276602</v>
      </c>
      <c r="G335" s="65">
        <v>4.8581802671547383</v>
      </c>
    </row>
    <row r="336" spans="1:7" ht="11.25" customHeight="1" x14ac:dyDescent="0.2">
      <c r="A336" s="74">
        <v>44440</v>
      </c>
      <c r="B336" s="65">
        <v>0</v>
      </c>
      <c r="C336" s="65">
        <v>4.5460844680851071</v>
      </c>
      <c r="D336" s="65">
        <v>0</v>
      </c>
      <c r="E336" s="65">
        <v>5.4906061007488471</v>
      </c>
      <c r="F336" s="65">
        <v>4.5460844680851071</v>
      </c>
      <c r="G336" s="65">
        <v>5.4906061007488471</v>
      </c>
    </row>
    <row r="337" spans="1:7" ht="11.25" customHeight="1" x14ac:dyDescent="0.2">
      <c r="A337" s="74">
        <v>44470</v>
      </c>
      <c r="B337" s="65">
        <v>0</v>
      </c>
      <c r="C337" s="65">
        <v>6.0455782978723391</v>
      </c>
      <c r="D337" s="65">
        <v>0</v>
      </c>
      <c r="E337" s="65">
        <v>7.3016437151319753</v>
      </c>
      <c r="F337" s="65">
        <v>6.0455782978723391</v>
      </c>
      <c r="G337" s="65">
        <v>7.3016437151319753</v>
      </c>
    </row>
    <row r="338" spans="1:7" ht="11.25" customHeight="1" x14ac:dyDescent="0.2">
      <c r="A338" s="74">
        <v>44501</v>
      </c>
      <c r="B338" s="65">
        <v>0</v>
      </c>
      <c r="C338" s="65">
        <v>7.6640795744680856</v>
      </c>
      <c r="D338" s="65">
        <v>0</v>
      </c>
      <c r="E338" s="65">
        <v>9.256414473513761</v>
      </c>
      <c r="F338" s="65">
        <v>7.6640795744680856</v>
      </c>
      <c r="G338" s="65">
        <v>9.256414473513761</v>
      </c>
    </row>
    <row r="339" spans="1:7" ht="11.25" customHeight="1" x14ac:dyDescent="0.2">
      <c r="A339" s="74">
        <v>44531</v>
      </c>
      <c r="B339" s="65">
        <v>0</v>
      </c>
      <c r="C339" s="65">
        <v>7.9258959574468086</v>
      </c>
      <c r="D339" s="65">
        <v>0</v>
      </c>
      <c r="E339" s="65">
        <v>9.5726273903108172</v>
      </c>
      <c r="F339" s="65">
        <v>7.9258959574468086</v>
      </c>
      <c r="G339" s="65">
        <v>9.5726273903108172</v>
      </c>
    </row>
    <row r="340" spans="1:7" ht="11.25" customHeight="1" x14ac:dyDescent="0.2">
      <c r="A340" s="74">
        <v>44562</v>
      </c>
      <c r="B340" s="65">
        <v>0</v>
      </c>
      <c r="C340" s="65">
        <v>7.9258959574468086</v>
      </c>
      <c r="D340" s="65">
        <v>0</v>
      </c>
      <c r="E340" s="65">
        <v>9.5726273903108172</v>
      </c>
      <c r="F340" s="65">
        <v>7.9258959574468086</v>
      </c>
      <c r="G340" s="65">
        <v>9.5726273903108172</v>
      </c>
    </row>
    <row r="341" spans="1:7" ht="11.25" customHeight="1" x14ac:dyDescent="0.2">
      <c r="A341" s="73" t="s">
        <v>36</v>
      </c>
      <c r="B341" s="65">
        <v>0</v>
      </c>
      <c r="C341" s="65">
        <v>5.7983648936170207</v>
      </c>
      <c r="D341" s="65">
        <v>0</v>
      </c>
      <c r="E341" s="65">
        <v>6.8506310731330124</v>
      </c>
      <c r="F341" s="65">
        <v>5.7983648936170207</v>
      </c>
      <c r="G341" s="65">
        <v>6.8506310731330124</v>
      </c>
    </row>
    <row r="342" spans="1:7" ht="11.25" customHeight="1" x14ac:dyDescent="0.2">
      <c r="A342" s="74">
        <v>44228</v>
      </c>
      <c r="B342" s="65">
        <v>0</v>
      </c>
      <c r="C342" s="65">
        <v>0.63981957446808513</v>
      </c>
      <c r="D342" s="65">
        <v>0</v>
      </c>
      <c r="E342" s="65">
        <v>0.75593170462157366</v>
      </c>
      <c r="F342" s="65">
        <v>0.63981957446808513</v>
      </c>
      <c r="G342" s="65">
        <v>0.75593170462157366</v>
      </c>
    </row>
    <row r="343" spans="1:7" ht="11.25" customHeight="1" x14ac:dyDescent="0.2">
      <c r="A343" s="74">
        <v>44256</v>
      </c>
      <c r="B343" s="65">
        <v>0</v>
      </c>
      <c r="C343" s="65">
        <v>0.79977446808510655</v>
      </c>
      <c r="D343" s="65">
        <v>0</v>
      </c>
      <c r="E343" s="65">
        <v>0.94491463077696702</v>
      </c>
      <c r="F343" s="65">
        <v>0.79977446808510655</v>
      </c>
      <c r="G343" s="65">
        <v>0.94491463077696702</v>
      </c>
    </row>
    <row r="344" spans="1:7" ht="11.25" customHeight="1" x14ac:dyDescent="0.2">
      <c r="A344" s="74">
        <v>44287</v>
      </c>
      <c r="B344" s="65">
        <v>0</v>
      </c>
      <c r="C344" s="65">
        <v>0.39988723404255327</v>
      </c>
      <c r="D344" s="65">
        <v>0</v>
      </c>
      <c r="E344" s="65">
        <v>0.47245731538848351</v>
      </c>
      <c r="F344" s="65">
        <v>0.39988723404255327</v>
      </c>
      <c r="G344" s="65">
        <v>0.47245731538848351</v>
      </c>
    </row>
    <row r="345" spans="1:7" ht="11.25" customHeight="1" x14ac:dyDescent="0.2">
      <c r="A345" s="74">
        <v>44317</v>
      </c>
      <c r="B345" s="65">
        <v>0</v>
      </c>
      <c r="C345" s="65">
        <v>0.51985340425531912</v>
      </c>
      <c r="D345" s="65">
        <v>0</v>
      </c>
      <c r="E345" s="65">
        <v>0.61419451000502856</v>
      </c>
      <c r="F345" s="65">
        <v>0.51985340425531912</v>
      </c>
      <c r="G345" s="65">
        <v>0.61419451000502856</v>
      </c>
    </row>
    <row r="346" spans="1:7" ht="11.25" customHeight="1" x14ac:dyDescent="0.2">
      <c r="A346" s="74">
        <v>44348</v>
      </c>
      <c r="B346" s="65">
        <v>0</v>
      </c>
      <c r="C346" s="65">
        <v>0.43987595744680846</v>
      </c>
      <c r="D346" s="65">
        <v>0</v>
      </c>
      <c r="E346" s="65">
        <v>0.51970304692733194</v>
      </c>
      <c r="F346" s="65">
        <v>0.43987595744680846</v>
      </c>
      <c r="G346" s="65">
        <v>0.51970304692733194</v>
      </c>
    </row>
    <row r="347" spans="1:7" ht="11.25" customHeight="1" x14ac:dyDescent="0.2">
      <c r="A347" s="74">
        <v>44378</v>
      </c>
      <c r="B347" s="65">
        <v>0</v>
      </c>
      <c r="C347" s="65">
        <v>0.39988723404255327</v>
      </c>
      <c r="D347" s="65">
        <v>0</v>
      </c>
      <c r="E347" s="65">
        <v>0.47245731538848351</v>
      </c>
      <c r="F347" s="65">
        <v>0.39988723404255327</v>
      </c>
      <c r="G347" s="65">
        <v>0.47245731538848351</v>
      </c>
    </row>
    <row r="348" spans="1:7" ht="11.25" customHeight="1" x14ac:dyDescent="0.2">
      <c r="A348" s="74">
        <v>44409</v>
      </c>
      <c r="B348" s="65">
        <v>0</v>
      </c>
      <c r="C348" s="65">
        <v>0.31990978723404256</v>
      </c>
      <c r="D348" s="65">
        <v>0</v>
      </c>
      <c r="E348" s="65">
        <v>0.37796585231078683</v>
      </c>
      <c r="F348" s="65">
        <v>0.31990978723404256</v>
      </c>
      <c r="G348" s="65">
        <v>0.37796585231078683</v>
      </c>
    </row>
    <row r="349" spans="1:7" ht="11.25" customHeight="1" x14ac:dyDescent="0.2">
      <c r="A349" s="74">
        <v>44440</v>
      </c>
      <c r="B349" s="65">
        <v>0</v>
      </c>
      <c r="C349" s="65">
        <v>0.43987595744680846</v>
      </c>
      <c r="D349" s="65">
        <v>0</v>
      </c>
      <c r="E349" s="65">
        <v>0.51970304692733194</v>
      </c>
      <c r="F349" s="65">
        <v>0.43987595744680846</v>
      </c>
      <c r="G349" s="65">
        <v>0.51970304692733194</v>
      </c>
    </row>
    <row r="350" spans="1:7" ht="11.25" customHeight="1" x14ac:dyDescent="0.2">
      <c r="A350" s="74">
        <v>44470</v>
      </c>
      <c r="B350" s="65">
        <v>0</v>
      </c>
      <c r="C350" s="65">
        <v>0.47986468085106382</v>
      </c>
      <c r="D350" s="65">
        <v>0</v>
      </c>
      <c r="E350" s="65">
        <v>0.5669487784661803</v>
      </c>
      <c r="F350" s="65">
        <v>0.47986468085106382</v>
      </c>
      <c r="G350" s="65">
        <v>0.5669487784661803</v>
      </c>
    </row>
    <row r="351" spans="1:7" ht="11.25" customHeight="1" x14ac:dyDescent="0.2">
      <c r="A351" s="74">
        <v>44501</v>
      </c>
      <c r="B351" s="65">
        <v>0</v>
      </c>
      <c r="C351" s="65">
        <v>0.39988723404255327</v>
      </c>
      <c r="D351" s="65">
        <v>0</v>
      </c>
      <c r="E351" s="65">
        <v>0.47245731538848351</v>
      </c>
      <c r="F351" s="65">
        <v>0.39988723404255327</v>
      </c>
      <c r="G351" s="65">
        <v>0.47245731538848351</v>
      </c>
    </row>
    <row r="352" spans="1:7" ht="11.25" customHeight="1" x14ac:dyDescent="0.2">
      <c r="A352" s="74">
        <v>44531</v>
      </c>
      <c r="B352" s="65">
        <v>0</v>
      </c>
      <c r="C352" s="65">
        <v>0.47986468085106382</v>
      </c>
      <c r="D352" s="65">
        <v>0</v>
      </c>
      <c r="E352" s="65">
        <v>0.5669487784661803</v>
      </c>
      <c r="F352" s="65">
        <v>0.47986468085106382</v>
      </c>
      <c r="G352" s="65">
        <v>0.5669487784661803</v>
      </c>
    </row>
    <row r="353" spans="1:7" ht="11.25" customHeight="1" x14ac:dyDescent="0.2">
      <c r="A353" s="74">
        <v>44562</v>
      </c>
      <c r="B353" s="65">
        <v>0</v>
      </c>
      <c r="C353" s="65">
        <v>0.47986468085106382</v>
      </c>
      <c r="D353" s="65">
        <v>0</v>
      </c>
      <c r="E353" s="65">
        <v>0.5669487784661803</v>
      </c>
      <c r="F353" s="65">
        <v>0.47986468085106382</v>
      </c>
      <c r="G353" s="65">
        <v>0.5669487784661803</v>
      </c>
    </row>
    <row r="354" spans="1:7" ht="11.25" customHeight="1" x14ac:dyDescent="0.2">
      <c r="A354" s="73" t="s">
        <v>34</v>
      </c>
      <c r="B354" s="65">
        <v>0</v>
      </c>
      <c r="C354" s="65">
        <v>10.701172340425533</v>
      </c>
      <c r="D354" s="65">
        <v>0</v>
      </c>
      <c r="E354" s="65">
        <v>12.458890439540083</v>
      </c>
      <c r="F354" s="65">
        <v>10.701172340425533</v>
      </c>
      <c r="G354" s="65">
        <v>12.458890439540083</v>
      </c>
    </row>
    <row r="355" spans="1:7" ht="11.25" customHeight="1" x14ac:dyDescent="0.2">
      <c r="A355" s="74">
        <v>44228</v>
      </c>
      <c r="B355" s="65">
        <v>0</v>
      </c>
      <c r="C355" s="65">
        <v>0.70911382978723403</v>
      </c>
      <c r="D355" s="65">
        <v>0</v>
      </c>
      <c r="E355" s="65">
        <v>0.82558912551169239</v>
      </c>
      <c r="F355" s="65">
        <v>0.70911382978723403</v>
      </c>
      <c r="G355" s="65">
        <v>0.82558912551169239</v>
      </c>
    </row>
    <row r="356" spans="1:7" ht="11.25" customHeight="1" x14ac:dyDescent="0.2">
      <c r="A356" s="74">
        <v>44256</v>
      </c>
      <c r="B356" s="65">
        <v>0</v>
      </c>
      <c r="C356" s="65">
        <v>0.90250851063829807</v>
      </c>
      <c r="D356" s="65">
        <v>0</v>
      </c>
      <c r="E356" s="65">
        <v>1.0507497961057906</v>
      </c>
      <c r="F356" s="65">
        <v>0.90250851063829807</v>
      </c>
      <c r="G356" s="65">
        <v>1.0507497961057906</v>
      </c>
    </row>
    <row r="357" spans="1:7" ht="11.25" customHeight="1" x14ac:dyDescent="0.2">
      <c r="A357" s="74">
        <v>44287</v>
      </c>
      <c r="B357" s="65">
        <v>0</v>
      </c>
      <c r="C357" s="65">
        <v>0.83804361702127661</v>
      </c>
      <c r="D357" s="65">
        <v>0</v>
      </c>
      <c r="E357" s="65">
        <v>0.97569623924109095</v>
      </c>
      <c r="F357" s="65">
        <v>0.83804361702127661</v>
      </c>
      <c r="G357" s="65">
        <v>0.97569623924109095</v>
      </c>
    </row>
    <row r="358" spans="1:7" ht="11.25" customHeight="1" x14ac:dyDescent="0.2">
      <c r="A358" s="74">
        <v>44317</v>
      </c>
      <c r="B358" s="65">
        <v>0</v>
      </c>
      <c r="C358" s="65">
        <v>0.96697340425531908</v>
      </c>
      <c r="D358" s="65">
        <v>0</v>
      </c>
      <c r="E358" s="65">
        <v>1.1258033529704894</v>
      </c>
      <c r="F358" s="65">
        <v>0.96697340425531908</v>
      </c>
      <c r="G358" s="65">
        <v>1.1258033529704894</v>
      </c>
    </row>
    <row r="359" spans="1:7" ht="11.25" customHeight="1" x14ac:dyDescent="0.2">
      <c r="A359" s="74">
        <v>44348</v>
      </c>
      <c r="B359" s="65">
        <v>0</v>
      </c>
      <c r="C359" s="65">
        <v>0.83804361702127661</v>
      </c>
      <c r="D359" s="65">
        <v>0</v>
      </c>
      <c r="E359" s="65">
        <v>0.97569623924109095</v>
      </c>
      <c r="F359" s="65">
        <v>0.83804361702127661</v>
      </c>
      <c r="G359" s="65">
        <v>0.97569623924109095</v>
      </c>
    </row>
    <row r="360" spans="1:7" ht="11.25" customHeight="1" x14ac:dyDescent="0.2">
      <c r="A360" s="74">
        <v>44378</v>
      </c>
      <c r="B360" s="65">
        <v>0</v>
      </c>
      <c r="C360" s="65">
        <v>0.83804361702127661</v>
      </c>
      <c r="D360" s="65">
        <v>0</v>
      </c>
      <c r="E360" s="65">
        <v>0.97569623924109095</v>
      </c>
      <c r="F360" s="65">
        <v>0.83804361702127661</v>
      </c>
      <c r="G360" s="65">
        <v>0.97569623924109095</v>
      </c>
    </row>
    <row r="361" spans="1:7" ht="11.25" customHeight="1" x14ac:dyDescent="0.2">
      <c r="A361" s="74">
        <v>44409</v>
      </c>
      <c r="B361" s="65">
        <v>0</v>
      </c>
      <c r="C361" s="65">
        <v>0.77357872340425538</v>
      </c>
      <c r="D361" s="65">
        <v>0</v>
      </c>
      <c r="E361" s="65">
        <v>0.90064268237639178</v>
      </c>
      <c r="F361" s="65">
        <v>0.77357872340425538</v>
      </c>
      <c r="G361" s="65">
        <v>0.90064268237639178</v>
      </c>
    </row>
    <row r="362" spans="1:7" ht="11.25" customHeight="1" x14ac:dyDescent="0.2">
      <c r="A362" s="74">
        <v>44440</v>
      </c>
      <c r="B362" s="65">
        <v>0</v>
      </c>
      <c r="C362" s="65">
        <v>0.83804361702127661</v>
      </c>
      <c r="D362" s="65">
        <v>0</v>
      </c>
      <c r="E362" s="65">
        <v>0.97569623924109095</v>
      </c>
      <c r="F362" s="65">
        <v>0.83804361702127661</v>
      </c>
      <c r="G362" s="65">
        <v>0.97569623924109095</v>
      </c>
    </row>
    <row r="363" spans="1:7" ht="11.25" customHeight="1" x14ac:dyDescent="0.2">
      <c r="A363" s="74">
        <v>44470</v>
      </c>
      <c r="B363" s="65">
        <v>0</v>
      </c>
      <c r="C363" s="65">
        <v>0.96697340425531908</v>
      </c>
      <c r="D363" s="65">
        <v>0</v>
      </c>
      <c r="E363" s="65">
        <v>1.1258033529704894</v>
      </c>
      <c r="F363" s="65">
        <v>0.96697340425531908</v>
      </c>
      <c r="G363" s="65">
        <v>1.1258033529704894</v>
      </c>
    </row>
    <row r="364" spans="1:7" ht="11.25" customHeight="1" x14ac:dyDescent="0.2">
      <c r="A364" s="74">
        <v>44501</v>
      </c>
      <c r="B364" s="65">
        <v>0</v>
      </c>
      <c r="C364" s="65">
        <v>0.96697340425531908</v>
      </c>
      <c r="D364" s="65">
        <v>0</v>
      </c>
      <c r="E364" s="65">
        <v>1.1258033529704894</v>
      </c>
      <c r="F364" s="65">
        <v>0.96697340425531908</v>
      </c>
      <c r="G364" s="65">
        <v>1.1258033529704894</v>
      </c>
    </row>
    <row r="365" spans="1:7" ht="11.25" customHeight="1" x14ac:dyDescent="0.2">
      <c r="A365" s="74">
        <v>44531</v>
      </c>
      <c r="B365" s="65">
        <v>0</v>
      </c>
      <c r="C365" s="65">
        <v>1.0314382978723406</v>
      </c>
      <c r="D365" s="65">
        <v>0</v>
      </c>
      <c r="E365" s="65">
        <v>1.2008569098351889</v>
      </c>
      <c r="F365" s="65">
        <v>1.0314382978723406</v>
      </c>
      <c r="G365" s="65">
        <v>1.2008569098351889</v>
      </c>
    </row>
    <row r="366" spans="1:7" ht="11.25" customHeight="1" x14ac:dyDescent="0.2">
      <c r="A366" s="74">
        <v>44562</v>
      </c>
      <c r="B366" s="65">
        <v>0</v>
      </c>
      <c r="C366" s="65">
        <v>1.0314382978723406</v>
      </c>
      <c r="D366" s="65">
        <v>0</v>
      </c>
      <c r="E366" s="65">
        <v>1.2008569098351889</v>
      </c>
      <c r="F366" s="65">
        <v>1.0314382978723406</v>
      </c>
      <c r="G366" s="65">
        <v>1.2008569098351889</v>
      </c>
    </row>
    <row r="367" spans="1:7" ht="11.25" customHeight="1" x14ac:dyDescent="0.2">
      <c r="A367" s="68" t="s">
        <v>23</v>
      </c>
      <c r="B367" s="65">
        <v>0</v>
      </c>
      <c r="C367" s="65">
        <v>1358936.5735000004</v>
      </c>
      <c r="D367" s="65">
        <v>0</v>
      </c>
      <c r="E367" s="65">
        <v>760505.54107978975</v>
      </c>
      <c r="F367" s="65">
        <v>1358936.5734999997</v>
      </c>
      <c r="G367" s="65">
        <v>760505.54107978975</v>
      </c>
    </row>
    <row r="368" spans="1:7" ht="11.25" customHeight="1" x14ac:dyDescent="0.2">
      <c r="A368" s="69" t="s">
        <v>44</v>
      </c>
      <c r="B368" s="65">
        <v>0</v>
      </c>
      <c r="C368" s="65">
        <v>1358936.5735000004</v>
      </c>
      <c r="D368" s="65">
        <v>0</v>
      </c>
      <c r="E368" s="65">
        <v>760505.54107978975</v>
      </c>
      <c r="F368" s="65">
        <v>1358936.5734999997</v>
      </c>
      <c r="G368" s="65">
        <v>760505.54107978975</v>
      </c>
    </row>
    <row r="369" spans="1:7" ht="11.25" customHeight="1" x14ac:dyDescent="0.2">
      <c r="A369" s="70" t="s">
        <v>52</v>
      </c>
      <c r="B369" s="65">
        <v>0</v>
      </c>
      <c r="C369" s="65">
        <v>96215.97100000002</v>
      </c>
      <c r="D369" s="65">
        <v>0</v>
      </c>
      <c r="E369" s="65">
        <v>53845.617604810424</v>
      </c>
      <c r="F369" s="65">
        <v>96215.970999999976</v>
      </c>
      <c r="G369" s="65">
        <v>53845.617604810432</v>
      </c>
    </row>
    <row r="370" spans="1:7" ht="11.25" customHeight="1" x14ac:dyDescent="0.2">
      <c r="A370" s="71" t="s">
        <v>53</v>
      </c>
      <c r="B370" s="65">
        <v>0</v>
      </c>
      <c r="C370" s="65">
        <v>96215.97100000002</v>
      </c>
      <c r="D370" s="65">
        <v>0</v>
      </c>
      <c r="E370" s="65">
        <v>53845.617604810424</v>
      </c>
      <c r="F370" s="65">
        <v>96215.970999999976</v>
      </c>
      <c r="G370" s="65">
        <v>53845.617604810432</v>
      </c>
    </row>
    <row r="371" spans="1:7" ht="11.25" customHeight="1" x14ac:dyDescent="0.2">
      <c r="A371" s="72" t="s">
        <v>25</v>
      </c>
      <c r="B371" s="65">
        <v>0</v>
      </c>
      <c r="C371" s="65">
        <v>96215.97100000002</v>
      </c>
      <c r="D371" s="65">
        <v>0</v>
      </c>
      <c r="E371" s="65">
        <v>53845.617604810424</v>
      </c>
      <c r="F371" s="65">
        <v>96215.970999999976</v>
      </c>
      <c r="G371" s="65">
        <v>53845.617604810432</v>
      </c>
    </row>
    <row r="372" spans="1:7" ht="11.25" customHeight="1" x14ac:dyDescent="0.2">
      <c r="A372" s="73" t="s">
        <v>25</v>
      </c>
      <c r="B372" s="65">
        <v>0</v>
      </c>
      <c r="C372" s="65">
        <v>96215.97100000002</v>
      </c>
      <c r="D372" s="65">
        <v>0</v>
      </c>
      <c r="E372" s="65">
        <v>53845.617604810424</v>
      </c>
      <c r="F372" s="65">
        <v>96215.970999999976</v>
      </c>
      <c r="G372" s="65">
        <v>53845.617604810432</v>
      </c>
    </row>
    <row r="373" spans="1:7" ht="11.25" customHeight="1" x14ac:dyDescent="0.2">
      <c r="A373" s="74">
        <v>44228</v>
      </c>
      <c r="B373" s="65">
        <v>0</v>
      </c>
      <c r="C373" s="65">
        <v>7961.1391000000012</v>
      </c>
      <c r="D373" s="65">
        <v>0</v>
      </c>
      <c r="E373" s="65">
        <v>4455.3149255990429</v>
      </c>
      <c r="F373" s="65">
        <v>7961.1391000000012</v>
      </c>
      <c r="G373" s="65">
        <v>4455.3149255990429</v>
      </c>
    </row>
    <row r="374" spans="1:7" ht="11.25" customHeight="1" x14ac:dyDescent="0.2">
      <c r="A374" s="74">
        <v>44256</v>
      </c>
      <c r="B374" s="65">
        <v>0</v>
      </c>
      <c r="C374" s="65">
        <v>8265.5564000000013</v>
      </c>
      <c r="D374" s="65">
        <v>0</v>
      </c>
      <c r="E374" s="65">
        <v>4625.676845327409</v>
      </c>
      <c r="F374" s="65">
        <v>8265.5564000000013</v>
      </c>
      <c r="G374" s="65">
        <v>4625.676845327409</v>
      </c>
    </row>
    <row r="375" spans="1:7" ht="11.25" customHeight="1" x14ac:dyDescent="0.2">
      <c r="A375" s="74">
        <v>44287</v>
      </c>
      <c r="B375" s="65">
        <v>0</v>
      </c>
      <c r="C375" s="65">
        <v>6920.4365000000007</v>
      </c>
      <c r="D375" s="65">
        <v>0</v>
      </c>
      <c r="E375" s="65">
        <v>3872.9035685496815</v>
      </c>
      <c r="F375" s="65">
        <v>6920.4365000000007</v>
      </c>
      <c r="G375" s="65">
        <v>3872.9035685496815</v>
      </c>
    </row>
    <row r="376" spans="1:7" ht="11.25" customHeight="1" x14ac:dyDescent="0.2">
      <c r="A376" s="74">
        <v>44317</v>
      </c>
      <c r="B376" s="65">
        <v>0</v>
      </c>
      <c r="C376" s="65">
        <v>5112.9820500000005</v>
      </c>
      <c r="D376" s="65">
        <v>0</v>
      </c>
      <c r="E376" s="65">
        <v>2861.392692119271</v>
      </c>
      <c r="F376" s="65">
        <v>5112.9820500000005</v>
      </c>
      <c r="G376" s="65">
        <v>2861.392692119271</v>
      </c>
    </row>
    <row r="377" spans="1:7" ht="11.25" customHeight="1" x14ac:dyDescent="0.2">
      <c r="A377" s="74">
        <v>44348</v>
      </c>
      <c r="B377" s="65">
        <v>0</v>
      </c>
      <c r="C377" s="65">
        <v>6403.9943500000008</v>
      </c>
      <c r="D377" s="65">
        <v>0</v>
      </c>
      <c r="E377" s="65">
        <v>3583.8855787618309</v>
      </c>
      <c r="F377" s="65">
        <v>6403.9943500000008</v>
      </c>
      <c r="G377" s="65">
        <v>3583.8855787618309</v>
      </c>
    </row>
    <row r="378" spans="1:7" ht="11.25" customHeight="1" x14ac:dyDescent="0.2">
      <c r="A378" s="74">
        <v>44378</v>
      </c>
      <c r="B378" s="65">
        <v>0</v>
      </c>
      <c r="C378" s="65">
        <v>6542.0556000000006</v>
      </c>
      <c r="D378" s="65">
        <v>0</v>
      </c>
      <c r="E378" s="65">
        <v>3661.1491889117729</v>
      </c>
      <c r="F378" s="65">
        <v>6542.0556000000006</v>
      </c>
      <c r="G378" s="65">
        <v>3661.1491889117729</v>
      </c>
    </row>
    <row r="379" spans="1:7" ht="11.25" customHeight="1" x14ac:dyDescent="0.2">
      <c r="A379" s="74">
        <v>44409</v>
      </c>
      <c r="B379" s="65">
        <v>0</v>
      </c>
      <c r="C379" s="65">
        <v>6246.6355500000009</v>
      </c>
      <c r="D379" s="65">
        <v>0</v>
      </c>
      <c r="E379" s="65">
        <v>3495.8224257999195</v>
      </c>
      <c r="F379" s="65">
        <v>6246.6355500000009</v>
      </c>
      <c r="G379" s="65">
        <v>3495.8224257999195</v>
      </c>
    </row>
    <row r="380" spans="1:7" ht="11.25" customHeight="1" x14ac:dyDescent="0.2">
      <c r="A380" s="74">
        <v>44440</v>
      </c>
      <c r="B380" s="65">
        <v>0</v>
      </c>
      <c r="C380" s="65">
        <v>10400.696900000003</v>
      </c>
      <c r="D380" s="65">
        <v>0</v>
      </c>
      <c r="E380" s="65">
        <v>5820.5715982530319</v>
      </c>
      <c r="F380" s="65">
        <v>10400.696900000003</v>
      </c>
      <c r="G380" s="65">
        <v>5820.5715982530319</v>
      </c>
    </row>
    <row r="381" spans="1:7" ht="11.25" customHeight="1" x14ac:dyDescent="0.2">
      <c r="A381" s="74">
        <v>44470</v>
      </c>
      <c r="B381" s="65">
        <v>0</v>
      </c>
      <c r="C381" s="65">
        <v>9456.3579500000033</v>
      </c>
      <c r="D381" s="65">
        <v>0</v>
      </c>
      <c r="E381" s="65">
        <v>5292.0885048274267</v>
      </c>
      <c r="F381" s="65">
        <v>9456.3579500000033</v>
      </c>
      <c r="G381" s="65">
        <v>5292.0885048274267</v>
      </c>
    </row>
    <row r="382" spans="1:7" ht="11.25" customHeight="1" x14ac:dyDescent="0.2">
      <c r="A382" s="74">
        <v>44501</v>
      </c>
      <c r="B382" s="65">
        <v>0</v>
      </c>
      <c r="C382" s="65">
        <v>8297.0778000000028</v>
      </c>
      <c r="D382" s="65">
        <v>0</v>
      </c>
      <c r="E382" s="65">
        <v>4643.3172560942276</v>
      </c>
      <c r="F382" s="65">
        <v>8297.0778000000028</v>
      </c>
      <c r="G382" s="65">
        <v>4643.3172560942276</v>
      </c>
    </row>
    <row r="383" spans="1:7" ht="11.25" customHeight="1" x14ac:dyDescent="0.2">
      <c r="A383" s="74">
        <v>44531</v>
      </c>
      <c r="B383" s="65">
        <v>0</v>
      </c>
      <c r="C383" s="65">
        <v>10304.519400000001</v>
      </c>
      <c r="D383" s="65">
        <v>0</v>
      </c>
      <c r="E383" s="65">
        <v>5766.7475102834087</v>
      </c>
      <c r="F383" s="65">
        <v>10304.519400000001</v>
      </c>
      <c r="G383" s="65">
        <v>5766.7475102834087</v>
      </c>
    </row>
    <row r="384" spans="1:7" ht="11.25" customHeight="1" x14ac:dyDescent="0.2">
      <c r="A384" s="74">
        <v>44562</v>
      </c>
      <c r="B384" s="65">
        <v>0</v>
      </c>
      <c r="C384" s="65">
        <v>10304.519400000001</v>
      </c>
      <c r="D384" s="65">
        <v>0</v>
      </c>
      <c r="E384" s="65">
        <v>5766.7475102834087</v>
      </c>
      <c r="F384" s="65">
        <v>10304.519400000001</v>
      </c>
      <c r="G384" s="65">
        <v>5766.7475102834087</v>
      </c>
    </row>
    <row r="385" spans="1:7" ht="11.25" customHeight="1" x14ac:dyDescent="0.2">
      <c r="A385" s="70" t="s">
        <v>25</v>
      </c>
      <c r="B385" s="65">
        <v>0</v>
      </c>
      <c r="C385" s="65">
        <v>1262720.6025000005</v>
      </c>
      <c r="D385" s="65">
        <v>0</v>
      </c>
      <c r="E385" s="65">
        <v>706659.92347497935</v>
      </c>
      <c r="F385" s="65">
        <v>1262720.6025</v>
      </c>
      <c r="G385" s="65">
        <v>706659.92347497935</v>
      </c>
    </row>
    <row r="386" spans="1:7" ht="11.25" customHeight="1" x14ac:dyDescent="0.2">
      <c r="A386" s="71" t="s">
        <v>25</v>
      </c>
      <c r="B386" s="65">
        <v>0</v>
      </c>
      <c r="C386" s="65">
        <v>1262720.6025000005</v>
      </c>
      <c r="D386" s="65">
        <v>0</v>
      </c>
      <c r="E386" s="65">
        <v>706659.92347497935</v>
      </c>
      <c r="F386" s="65">
        <v>1262720.6025</v>
      </c>
      <c r="G386" s="65">
        <v>706659.92347497935</v>
      </c>
    </row>
    <row r="387" spans="1:7" ht="11.25" customHeight="1" x14ac:dyDescent="0.2">
      <c r="A387" s="72" t="s">
        <v>25</v>
      </c>
      <c r="B387" s="65">
        <v>0</v>
      </c>
      <c r="C387" s="65">
        <v>1262720.6025000005</v>
      </c>
      <c r="D387" s="65">
        <v>0</v>
      </c>
      <c r="E387" s="65">
        <v>706659.92347497935</v>
      </c>
      <c r="F387" s="65">
        <v>1262720.6025</v>
      </c>
      <c r="G387" s="65">
        <v>706659.92347497935</v>
      </c>
    </row>
    <row r="388" spans="1:7" ht="11.25" customHeight="1" x14ac:dyDescent="0.2">
      <c r="A388" s="73" t="s">
        <v>25</v>
      </c>
      <c r="B388" s="65">
        <v>0</v>
      </c>
      <c r="C388" s="65">
        <v>1262720.6025000005</v>
      </c>
      <c r="D388" s="65">
        <v>0</v>
      </c>
      <c r="E388" s="65">
        <v>706659.92347497935</v>
      </c>
      <c r="F388" s="65">
        <v>1262720.6025</v>
      </c>
      <c r="G388" s="65">
        <v>706659.92347497935</v>
      </c>
    </row>
    <row r="389" spans="1:7" ht="11.25" customHeight="1" x14ac:dyDescent="0.2">
      <c r="A389" s="74">
        <v>44228</v>
      </c>
      <c r="B389" s="65">
        <v>0</v>
      </c>
      <c r="C389" s="65">
        <v>107014.65660000002</v>
      </c>
      <c r="D389" s="65">
        <v>0</v>
      </c>
      <c r="E389" s="65">
        <v>59888.916751603567</v>
      </c>
      <c r="F389" s="65">
        <v>107014.65660000002</v>
      </c>
      <c r="G389" s="65">
        <v>59888.916751603567</v>
      </c>
    </row>
    <row r="390" spans="1:7" ht="11.25" customHeight="1" x14ac:dyDescent="0.2">
      <c r="A390" s="74">
        <v>44256</v>
      </c>
      <c r="B390" s="65">
        <v>0</v>
      </c>
      <c r="C390" s="65">
        <v>114891.59385000002</v>
      </c>
      <c r="D390" s="65">
        <v>0</v>
      </c>
      <c r="E390" s="65">
        <v>64297.109556315656</v>
      </c>
      <c r="F390" s="65">
        <v>114891.59385000002</v>
      </c>
      <c r="G390" s="65">
        <v>64297.109556315656</v>
      </c>
    </row>
    <row r="391" spans="1:7" ht="11.25" customHeight="1" x14ac:dyDescent="0.2">
      <c r="A391" s="74">
        <v>44287</v>
      </c>
      <c r="B391" s="65">
        <v>0</v>
      </c>
      <c r="C391" s="65">
        <v>112079.79810000003</v>
      </c>
      <c r="D391" s="65">
        <v>0</v>
      </c>
      <c r="E391" s="65">
        <v>62723.536300610198</v>
      </c>
      <c r="F391" s="65">
        <v>112079.79810000003</v>
      </c>
      <c r="G391" s="65">
        <v>62723.536300610198</v>
      </c>
    </row>
    <row r="392" spans="1:7" ht="11.25" customHeight="1" x14ac:dyDescent="0.2">
      <c r="A392" s="74">
        <v>44317</v>
      </c>
      <c r="B392" s="65">
        <v>0</v>
      </c>
      <c r="C392" s="65">
        <v>103434.61980000003</v>
      </c>
      <c r="D392" s="65">
        <v>0</v>
      </c>
      <c r="E392" s="65">
        <v>57885.410571283996</v>
      </c>
      <c r="F392" s="65">
        <v>103434.61980000003</v>
      </c>
      <c r="G392" s="65">
        <v>57885.410571283996</v>
      </c>
    </row>
    <row r="393" spans="1:7" ht="11.25" customHeight="1" x14ac:dyDescent="0.2">
      <c r="A393" s="74">
        <v>44348</v>
      </c>
      <c r="B393" s="65">
        <v>0</v>
      </c>
      <c r="C393" s="65">
        <v>98160.742100000018</v>
      </c>
      <c r="D393" s="65">
        <v>0</v>
      </c>
      <c r="E393" s="65">
        <v>54933.975388774248</v>
      </c>
      <c r="F393" s="65">
        <v>98160.742100000018</v>
      </c>
      <c r="G393" s="65">
        <v>54933.975388774248</v>
      </c>
    </row>
    <row r="394" spans="1:7" ht="11.25" customHeight="1" x14ac:dyDescent="0.2">
      <c r="A394" s="74">
        <v>44378</v>
      </c>
      <c r="B394" s="65">
        <v>0</v>
      </c>
      <c r="C394" s="65">
        <v>104619.71275000002</v>
      </c>
      <c r="D394" s="65">
        <v>0</v>
      </c>
      <c r="E394" s="65">
        <v>58548.627510723869</v>
      </c>
      <c r="F394" s="65">
        <v>104619.71275000002</v>
      </c>
      <c r="G394" s="65">
        <v>58548.627510723869</v>
      </c>
    </row>
    <row r="395" spans="1:7" ht="11.25" customHeight="1" x14ac:dyDescent="0.2">
      <c r="A395" s="74">
        <v>44409</v>
      </c>
      <c r="B395" s="65">
        <v>0</v>
      </c>
      <c r="C395" s="65">
        <v>97662.418550000017</v>
      </c>
      <c r="D395" s="65">
        <v>0</v>
      </c>
      <c r="E395" s="65">
        <v>54655.097162655511</v>
      </c>
      <c r="F395" s="65">
        <v>97662.418550000017</v>
      </c>
      <c r="G395" s="65">
        <v>54655.097162655511</v>
      </c>
    </row>
    <row r="396" spans="1:7" ht="11.25" customHeight="1" x14ac:dyDescent="0.2">
      <c r="A396" s="74">
        <v>44440</v>
      </c>
      <c r="B396" s="65">
        <v>0</v>
      </c>
      <c r="C396" s="65">
        <v>100041.10530000002</v>
      </c>
      <c r="D396" s="65">
        <v>0</v>
      </c>
      <c r="E396" s="65">
        <v>55986.288396407435</v>
      </c>
      <c r="F396" s="65">
        <v>100041.10530000002</v>
      </c>
      <c r="G396" s="65">
        <v>55986.288396407435</v>
      </c>
    </row>
    <row r="397" spans="1:7" ht="11.25" customHeight="1" x14ac:dyDescent="0.2">
      <c r="A397" s="74">
        <v>44470</v>
      </c>
      <c r="B397" s="65">
        <v>0</v>
      </c>
      <c r="C397" s="65">
        <v>104435.42425000001</v>
      </c>
      <c r="D397" s="65">
        <v>0</v>
      </c>
      <c r="E397" s="65">
        <v>58445.493613130464</v>
      </c>
      <c r="F397" s="65">
        <v>104435.42425000001</v>
      </c>
      <c r="G397" s="65">
        <v>58445.493613130464</v>
      </c>
    </row>
    <row r="398" spans="1:7" ht="11.25" customHeight="1" x14ac:dyDescent="0.2">
      <c r="A398" s="74">
        <v>44501</v>
      </c>
      <c r="B398" s="65">
        <v>0</v>
      </c>
      <c r="C398" s="65">
        <v>104567.77690000001</v>
      </c>
      <c r="D398" s="65">
        <v>0</v>
      </c>
      <c r="E398" s="65">
        <v>58519.562503220273</v>
      </c>
      <c r="F398" s="65">
        <v>104567.77690000001</v>
      </c>
      <c r="G398" s="65">
        <v>58519.562503220273</v>
      </c>
    </row>
    <row r="399" spans="1:7" ht="11.25" customHeight="1" x14ac:dyDescent="0.2">
      <c r="A399" s="74">
        <v>44531</v>
      </c>
      <c r="B399" s="65">
        <v>0</v>
      </c>
      <c r="C399" s="65">
        <v>107906.37715000003</v>
      </c>
      <c r="D399" s="65">
        <v>0</v>
      </c>
      <c r="E399" s="65">
        <v>60387.952860127087</v>
      </c>
      <c r="F399" s="65">
        <v>107906.37715000003</v>
      </c>
      <c r="G399" s="65">
        <v>60387.952860127087</v>
      </c>
    </row>
    <row r="400" spans="1:7" ht="11.25" customHeight="1" x14ac:dyDescent="0.2">
      <c r="A400" s="74">
        <v>44562</v>
      </c>
      <c r="B400" s="65">
        <v>0</v>
      </c>
      <c r="C400" s="65">
        <v>107906.37715000003</v>
      </c>
      <c r="D400" s="65">
        <v>0</v>
      </c>
      <c r="E400" s="65">
        <v>60387.952860127087</v>
      </c>
      <c r="F400" s="65">
        <v>107906.37715000003</v>
      </c>
      <c r="G400" s="65">
        <v>60387.952860127087</v>
      </c>
    </row>
    <row r="401" spans="1:7" ht="11.25" customHeight="1" x14ac:dyDescent="0.2">
      <c r="A401" s="66" t="s">
        <v>922</v>
      </c>
      <c r="B401" s="65">
        <v>0</v>
      </c>
      <c r="C401" s="65">
        <v>0</v>
      </c>
      <c r="D401" s="65">
        <v>0</v>
      </c>
      <c r="E401" s="65">
        <v>0</v>
      </c>
      <c r="F401" s="65">
        <v>0</v>
      </c>
      <c r="G401" s="65">
        <v>0</v>
      </c>
    </row>
    <row r="402" spans="1:7" ht="11.25" customHeight="1" x14ac:dyDescent="0.2">
      <c r="A402" s="67" t="s">
        <v>22</v>
      </c>
      <c r="B402" s="65">
        <v>0</v>
      </c>
      <c r="C402" s="65">
        <v>0</v>
      </c>
      <c r="D402" s="65">
        <v>0</v>
      </c>
      <c r="E402" s="65">
        <v>0</v>
      </c>
      <c r="F402" s="65">
        <v>0</v>
      </c>
      <c r="G402" s="65">
        <v>0</v>
      </c>
    </row>
    <row r="403" spans="1:7" ht="11.25" customHeight="1" x14ac:dyDescent="0.2">
      <c r="A403" s="68" t="s">
        <v>23</v>
      </c>
      <c r="B403" s="65">
        <v>0</v>
      </c>
      <c r="C403" s="65">
        <v>0</v>
      </c>
      <c r="D403" s="65">
        <v>0</v>
      </c>
      <c r="E403" s="65">
        <v>0</v>
      </c>
      <c r="F403" s="65">
        <v>0</v>
      </c>
      <c r="G403" s="65">
        <v>0</v>
      </c>
    </row>
    <row r="404" spans="1:7" ht="11.25" customHeight="1" x14ac:dyDescent="0.2">
      <c r="A404" s="69" t="s">
        <v>24</v>
      </c>
      <c r="B404" s="65">
        <v>0</v>
      </c>
      <c r="C404" s="65">
        <v>0</v>
      </c>
      <c r="D404" s="65">
        <v>0</v>
      </c>
      <c r="E404" s="65">
        <v>0</v>
      </c>
      <c r="F404" s="65">
        <v>0</v>
      </c>
      <c r="G404" s="65">
        <v>0</v>
      </c>
    </row>
    <row r="405" spans="1:7" ht="11.25" customHeight="1" x14ac:dyDescent="0.2">
      <c r="A405" s="70" t="s">
        <v>24</v>
      </c>
      <c r="B405" s="65">
        <v>0</v>
      </c>
      <c r="C405" s="65">
        <v>0</v>
      </c>
      <c r="D405" s="65">
        <v>0</v>
      </c>
      <c r="E405" s="65">
        <v>0</v>
      </c>
      <c r="F405" s="65">
        <v>0</v>
      </c>
      <c r="G405" s="65">
        <v>0</v>
      </c>
    </row>
    <row r="406" spans="1:7" ht="11.25" customHeight="1" x14ac:dyDescent="0.2">
      <c r="A406" s="71" t="s">
        <v>25</v>
      </c>
      <c r="B406" s="65">
        <v>0</v>
      </c>
      <c r="C406" s="65">
        <v>0</v>
      </c>
      <c r="D406" s="65">
        <v>0</v>
      </c>
      <c r="E406" s="65">
        <v>0</v>
      </c>
      <c r="F406" s="65">
        <v>0</v>
      </c>
      <c r="G406" s="65">
        <v>0</v>
      </c>
    </row>
    <row r="407" spans="1:7" ht="11.25" customHeight="1" x14ac:dyDescent="0.2">
      <c r="A407" s="72" t="s">
        <v>25</v>
      </c>
      <c r="B407" s="65">
        <v>0</v>
      </c>
      <c r="C407" s="65">
        <v>0</v>
      </c>
      <c r="D407" s="65">
        <v>0</v>
      </c>
      <c r="E407" s="65">
        <v>0</v>
      </c>
      <c r="F407" s="65">
        <v>0</v>
      </c>
      <c r="G407" s="65">
        <v>0</v>
      </c>
    </row>
    <row r="408" spans="1:7" ht="11.25" customHeight="1" x14ac:dyDescent="0.2">
      <c r="A408" s="73" t="s">
        <v>25</v>
      </c>
      <c r="B408" s="65">
        <v>0</v>
      </c>
      <c r="C408" s="65">
        <v>0</v>
      </c>
      <c r="D408" s="65">
        <v>0</v>
      </c>
      <c r="E408" s="65">
        <v>0</v>
      </c>
      <c r="F408" s="65">
        <v>0</v>
      </c>
      <c r="G408" s="65">
        <v>0</v>
      </c>
    </row>
    <row r="409" spans="1:7" ht="11.25" customHeight="1" x14ac:dyDescent="0.2">
      <c r="A409" s="74">
        <v>44228</v>
      </c>
      <c r="B409" s="65">
        <v>0</v>
      </c>
      <c r="C409" s="65">
        <v>0</v>
      </c>
      <c r="D409" s="65">
        <v>0</v>
      </c>
      <c r="E409" s="65">
        <v>0</v>
      </c>
      <c r="F409" s="65">
        <v>0</v>
      </c>
      <c r="G409" s="65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4A1FF-CB57-454D-9BD5-8B808A56C5D7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8" bestFit="1" customWidth="1"/>
    <col min="2" max="2" width="11.140625" style="8" bestFit="1" customWidth="1"/>
    <col min="3" max="3" width="10.28515625" style="8" bestFit="1" customWidth="1"/>
    <col min="4" max="4" width="6.28515625" style="8" bestFit="1" customWidth="1"/>
    <col min="5" max="10" width="7.7109375" style="8" customWidth="1"/>
    <col min="11" max="12" width="9.140625" style="8"/>
    <col min="13" max="13" width="14.28515625" style="8" customWidth="1"/>
    <col min="14" max="14" width="16.7109375" style="8" customWidth="1"/>
    <col min="15" max="15" width="31.7109375" style="8" customWidth="1"/>
    <col min="16" max="22" width="7.7109375" style="8" customWidth="1"/>
    <col min="23" max="16384" width="9.140625" style="8"/>
  </cols>
  <sheetData>
    <row r="1" spans="1:22" ht="11.25" customHeight="1" x14ac:dyDescent="0.25">
      <c r="A1" s="95" t="s">
        <v>988</v>
      </c>
      <c r="B1" s="118"/>
      <c r="C1" s="118"/>
      <c r="D1" s="118"/>
      <c r="E1" s="118"/>
      <c r="F1" s="118"/>
      <c r="G1" s="118"/>
      <c r="H1" s="118"/>
      <c r="I1" s="118"/>
      <c r="J1" s="118"/>
      <c r="L1" s="95" t="s">
        <v>998</v>
      </c>
      <c r="M1" s="96"/>
      <c r="N1" s="96"/>
      <c r="O1" s="96"/>
      <c r="P1" s="96"/>
      <c r="Q1" s="96"/>
      <c r="R1" s="96"/>
      <c r="S1" s="96"/>
      <c r="T1" s="96"/>
      <c r="U1" s="96"/>
      <c r="V1" s="96"/>
    </row>
    <row r="2" spans="1:22" ht="11.25" customHeight="1" x14ac:dyDescent="0.25">
      <c r="A2" s="116" t="s">
        <v>68</v>
      </c>
      <c r="B2" s="116" t="s">
        <v>69</v>
      </c>
      <c r="C2" s="116" t="s">
        <v>989</v>
      </c>
      <c r="D2" s="116" t="s">
        <v>74</v>
      </c>
      <c r="E2" s="116" t="s">
        <v>990</v>
      </c>
      <c r="F2" s="119"/>
      <c r="G2" s="119"/>
      <c r="H2" s="116" t="s">
        <v>757</v>
      </c>
      <c r="I2" s="119"/>
      <c r="J2" s="119"/>
      <c r="L2" s="116" t="s">
        <v>68</v>
      </c>
      <c r="M2" s="116" t="s">
        <v>69</v>
      </c>
      <c r="N2" s="116" t="s">
        <v>70</v>
      </c>
      <c r="O2" s="116" t="s">
        <v>71</v>
      </c>
      <c r="P2" s="116" t="s">
        <v>74</v>
      </c>
      <c r="Q2" s="116" t="s">
        <v>990</v>
      </c>
      <c r="R2" s="121"/>
      <c r="S2" s="121"/>
      <c r="T2" s="116" t="s">
        <v>757</v>
      </c>
      <c r="U2" s="121"/>
      <c r="V2" s="121"/>
    </row>
    <row r="3" spans="1:22" ht="11.25" customHeight="1" x14ac:dyDescent="0.25">
      <c r="A3" s="119"/>
      <c r="B3" s="119"/>
      <c r="C3" s="119"/>
      <c r="D3" s="119"/>
      <c r="E3" s="116" t="s">
        <v>716</v>
      </c>
      <c r="F3" s="119"/>
      <c r="G3" s="30" t="s">
        <v>744</v>
      </c>
      <c r="H3" s="116" t="s">
        <v>716</v>
      </c>
      <c r="I3" s="119"/>
      <c r="J3" s="30" t="s">
        <v>744</v>
      </c>
      <c r="L3" s="121"/>
      <c r="M3" s="121"/>
      <c r="N3" s="121"/>
      <c r="O3" s="121"/>
      <c r="P3" s="121"/>
      <c r="Q3" s="116" t="s">
        <v>716</v>
      </c>
      <c r="R3" s="121"/>
      <c r="S3" s="30" t="s">
        <v>744</v>
      </c>
      <c r="T3" s="116" t="s">
        <v>716</v>
      </c>
      <c r="U3" s="121"/>
      <c r="V3" s="30" t="s">
        <v>744</v>
      </c>
    </row>
    <row r="4" spans="1:22" ht="11.25" customHeight="1" x14ac:dyDescent="0.25">
      <c r="A4" s="119"/>
      <c r="B4" s="119"/>
      <c r="C4" s="119"/>
      <c r="D4" s="119"/>
      <c r="E4" s="30" t="s">
        <v>991</v>
      </c>
      <c r="F4" s="30" t="s">
        <v>992</v>
      </c>
      <c r="G4" s="30" t="s">
        <v>992</v>
      </c>
      <c r="H4" s="30" t="s">
        <v>991</v>
      </c>
      <c r="I4" s="30" t="s">
        <v>992</v>
      </c>
      <c r="J4" s="30" t="s">
        <v>992</v>
      </c>
      <c r="L4" s="121"/>
      <c r="M4" s="121"/>
      <c r="N4" s="121"/>
      <c r="O4" s="121"/>
      <c r="P4" s="121"/>
      <c r="Q4" s="30" t="s">
        <v>991</v>
      </c>
      <c r="R4" s="30" t="s">
        <v>992</v>
      </c>
      <c r="S4" s="30" t="s">
        <v>992</v>
      </c>
      <c r="T4" s="30" t="s">
        <v>991</v>
      </c>
      <c r="U4" s="30" t="s">
        <v>992</v>
      </c>
      <c r="V4" s="30" t="s">
        <v>992</v>
      </c>
    </row>
    <row r="5" spans="1:22" ht="11.25" customHeight="1" x14ac:dyDescent="0.25">
      <c r="A5" s="120" t="s">
        <v>56</v>
      </c>
      <c r="B5" s="120" t="s">
        <v>40</v>
      </c>
      <c r="C5" s="120" t="s">
        <v>25</v>
      </c>
      <c r="D5" s="31" t="s">
        <v>993</v>
      </c>
      <c r="E5" s="29">
        <f ca="1">ROUND('TUSD BE'!$AM$5+'TUSD BF'!$AM$5+'TUSD CVA'!$AM$5,2)</f>
        <v>11.73</v>
      </c>
      <c r="F5" s="29">
        <f ca="1">ROUND('TUSD BE'!$AM$7+'TUSD BF'!$AM$7+'TUSD CVA'!$AM$7,2)</f>
        <v>37.840000000000003</v>
      </c>
      <c r="G5" s="29">
        <f>ROUND('TE BE'!$AA$5+'TE BF'!$AA$5+'TE CVA'!$AA$5,2)</f>
        <v>385.47</v>
      </c>
      <c r="H5" s="29">
        <f ca="1">ROUND('TUSD BE'!$AM$5,2)</f>
        <v>12.63</v>
      </c>
      <c r="I5" s="29">
        <f ca="1">ROUND('TUSD BE'!$AM$7,2)</f>
        <v>41.5</v>
      </c>
      <c r="J5" s="29">
        <f>ROUND('TE BE'!$AA$5,2)</f>
        <v>370.4</v>
      </c>
      <c r="L5" s="122" t="s">
        <v>22</v>
      </c>
      <c r="M5" s="122" t="s">
        <v>999</v>
      </c>
      <c r="N5" s="122" t="s">
        <v>1000</v>
      </c>
      <c r="O5" s="122" t="s">
        <v>1000</v>
      </c>
      <c r="P5" s="31" t="s">
        <v>993</v>
      </c>
      <c r="Q5" s="29">
        <v>0</v>
      </c>
      <c r="R5" s="29">
        <f ca="1">ROUND('TUSD BE'!$AM$27+'TUSD BF'!$AM$27+'TUSD CVA'!$AM$27,2)</f>
        <v>763.93</v>
      </c>
      <c r="S5" s="29">
        <f>ROUND('TE BE'!$AA$10+'TE BF'!$AA$10+'TE CVA'!$AA$10,2)</f>
        <v>385.47</v>
      </c>
      <c r="T5" s="29">
        <v>0</v>
      </c>
      <c r="U5" s="29">
        <f ca="1">ROUND('TUSD BE'!$AM$27,2)</f>
        <v>834.57</v>
      </c>
      <c r="V5" s="29">
        <f>ROUND('TE BE'!$AA$10,2)</f>
        <v>370.4</v>
      </c>
    </row>
    <row r="6" spans="1:22" ht="11.25" customHeight="1" x14ac:dyDescent="0.25">
      <c r="A6" s="119"/>
      <c r="B6" s="119"/>
      <c r="C6" s="119"/>
      <c r="D6" s="31" t="s">
        <v>994</v>
      </c>
      <c r="E6" s="29">
        <f ca="1">ROUND('TUSD BE'!$AM$6+'TUSD BF'!$AM$6+'TUSD CVA'!$AM$6,2)</f>
        <v>5.67</v>
      </c>
      <c r="F6" s="29">
        <f ca="1">ROUND('TUSD BE'!$AM$7+'TUSD BF'!$AM$7+'TUSD CVA'!$AM$7,2)</f>
        <v>37.840000000000003</v>
      </c>
      <c r="G6" s="29">
        <f>ROUND('TE BE'!$AA$6+'TE BF'!$AA$6+'TE CVA'!$AA$6,2)</f>
        <v>238.55</v>
      </c>
      <c r="H6" s="29">
        <f ca="1">ROUND('TUSD BE'!$AM$6,2)</f>
        <v>5.99</v>
      </c>
      <c r="I6" s="29">
        <f ca="1">ROUND('TUSD BE'!$AM$7,2)</f>
        <v>41.5</v>
      </c>
      <c r="J6" s="29">
        <f>ROUND('TE BE'!$AA$6,2)</f>
        <v>227.26</v>
      </c>
      <c r="L6" s="123"/>
      <c r="M6" s="123"/>
      <c r="N6" s="123"/>
      <c r="O6" s="123"/>
      <c r="P6" s="31" t="s">
        <v>1001</v>
      </c>
      <c r="Q6" s="29">
        <v>0</v>
      </c>
      <c r="R6" s="29">
        <f ca="1">ROUND('TUSD BE'!$AM$28+'TUSD BF'!$AM$28+'TUSD CVA'!$AM$28,2)</f>
        <v>485.66</v>
      </c>
      <c r="S6" s="29">
        <f>ROUND('TE BE'!$AA$11+'TE BF'!$AA$11+'TE CVA'!$AA$11,2)</f>
        <v>238.55</v>
      </c>
      <c r="T6" s="29">
        <v>0</v>
      </c>
      <c r="U6" s="29">
        <f ca="1">ROUND('TUSD BE'!$AM$28,2)</f>
        <v>530.02</v>
      </c>
      <c r="V6" s="29">
        <f>ROUND('TE BE'!$AA$11,2)</f>
        <v>227.26</v>
      </c>
    </row>
    <row r="7" spans="1:22" ht="11.25" customHeight="1" x14ac:dyDescent="0.25">
      <c r="A7" s="119"/>
      <c r="B7" s="120" t="s">
        <v>995</v>
      </c>
      <c r="C7" s="120" t="s">
        <v>25</v>
      </c>
      <c r="D7" s="31" t="s">
        <v>993</v>
      </c>
      <c r="E7" s="29">
        <f ca="1">ROUND('TUSD BE'!$AM$5+'TUSD BF'!$AM$5+'TUSD CVA'!$AM$5,2)</f>
        <v>11.73</v>
      </c>
      <c r="F7" s="29">
        <f ca="1">ROUND('TUSD BE'!$AM$8+'TUSD BF'!$AM$8+'TUSD CVA'!$AM$8,2)</f>
        <v>3.72</v>
      </c>
      <c r="G7" s="29">
        <v>0</v>
      </c>
      <c r="H7" s="29">
        <f ca="1">ROUND('TUSD BE'!$AM$5,2)</f>
        <v>12.63</v>
      </c>
      <c r="I7" s="29">
        <f ca="1">ROUND('TUSD BE'!$AM$8,2)</f>
        <v>3.65</v>
      </c>
      <c r="J7" s="29">
        <v>0</v>
      </c>
      <c r="L7" s="123"/>
      <c r="M7" s="124"/>
      <c r="N7" s="124"/>
      <c r="O7" s="124"/>
      <c r="P7" s="31" t="s">
        <v>994</v>
      </c>
      <c r="Q7" s="29">
        <v>0</v>
      </c>
      <c r="R7" s="29">
        <f ca="1">ROUND('TUSD BE'!$AM$29+'TUSD BF'!$AM$29+'TUSD CVA'!$AM$29,2)</f>
        <v>207.38</v>
      </c>
      <c r="S7" s="29">
        <f>ROUND('TE BE'!$AA$12+'TE BF'!$AA$12+'TE CVA'!$AA$12,2)</f>
        <v>238.55</v>
      </c>
      <c r="T7" s="29">
        <v>0</v>
      </c>
      <c r="U7" s="29">
        <f ca="1">ROUND('TUSD BE'!$AM$29,2)</f>
        <v>225.47</v>
      </c>
      <c r="V7" s="29">
        <f>ROUND('TE BE'!$AA$12,2)</f>
        <v>227.26</v>
      </c>
    </row>
    <row r="8" spans="1:22" ht="11.25" customHeight="1" x14ac:dyDescent="0.25">
      <c r="A8" s="119"/>
      <c r="B8" s="119"/>
      <c r="C8" s="119"/>
      <c r="D8" s="31" t="s">
        <v>994</v>
      </c>
      <c r="E8" s="29">
        <f ca="1">ROUND('TUSD BE'!$AM$6+'TUSD BF'!$AM$6+'TUSD CVA'!$AM$6,2)</f>
        <v>5.67</v>
      </c>
      <c r="F8" s="29">
        <f ca="1">ROUND('TUSD BE'!$AM$8+'TUSD BF'!$AM$8+'TUSD CVA'!$AM$8,2)</f>
        <v>3.72</v>
      </c>
      <c r="G8" s="29">
        <v>0</v>
      </c>
      <c r="H8" s="29">
        <f ca="1">ROUND('TUSD BE'!$AM$6,2)</f>
        <v>5.99</v>
      </c>
      <c r="I8" s="29">
        <f ca="1">ROUND('TUSD BE'!$AM$8,2)</f>
        <v>3.65</v>
      </c>
      <c r="J8" s="29">
        <v>0</v>
      </c>
      <c r="L8" s="123"/>
      <c r="M8" s="31" t="s">
        <v>1002</v>
      </c>
      <c r="N8" s="31" t="s">
        <v>1000</v>
      </c>
      <c r="O8" s="31" t="s">
        <v>1000</v>
      </c>
      <c r="P8" s="31" t="s">
        <v>996</v>
      </c>
      <c r="Q8" s="29">
        <v>0</v>
      </c>
      <c r="R8" s="29">
        <f ca="1">ROUND('TUSD BE'!$AM$35+'TUSD BF'!$AM$35+'TUSD CVA'!$AM$35,2)</f>
        <v>285.64999999999998</v>
      </c>
      <c r="S8" s="29">
        <f>ROUND('TE BE'!$AA$18+'TE BF'!$AA$18+'TE CVA'!$AA$18,2)</f>
        <v>250.79</v>
      </c>
      <c r="T8" s="29">
        <v>0</v>
      </c>
      <c r="U8" s="29">
        <f ca="1">ROUND('TUSD BE'!$AM$35,2)</f>
        <v>311.12</v>
      </c>
      <c r="V8" s="29">
        <f>ROUND('TE BE'!$AA$18,2)</f>
        <v>239.19</v>
      </c>
    </row>
    <row r="9" spans="1:22" ht="11.25" customHeight="1" x14ac:dyDescent="0.25">
      <c r="A9" s="119"/>
      <c r="B9" s="120" t="s">
        <v>59</v>
      </c>
      <c r="C9" s="120" t="s">
        <v>60</v>
      </c>
      <c r="D9" s="31" t="s">
        <v>993</v>
      </c>
      <c r="E9" s="29">
        <f ca="1">ROUND('TUSD BE'!$AM$9+'TUSD BF'!$AM$9+'TUSD CVA'!$AM$9-0*('TUSD BE'!$AC$9+'TUSD BF'!$AC$9+'TUSD CVA'!$AC$9),2)</f>
        <v>12.8</v>
      </c>
      <c r="F9" s="29">
        <f ca="1">ROUND('TUSD BE'!$AM$11+'TUSD BF'!$AM$11+'TUSD CVA'!$AM$11,2)</f>
        <v>3.12</v>
      </c>
      <c r="G9" s="29">
        <v>0</v>
      </c>
      <c r="H9" s="29">
        <f ca="1">ROUND('TUSD BE'!$AM$9-0*('TUSD BE'!$AC$9),2)</f>
        <v>12.63</v>
      </c>
      <c r="I9" s="29">
        <f ca="1">ROUND('TUSD BE'!$AM$11,2)</f>
        <v>2.81</v>
      </c>
      <c r="J9" s="29">
        <v>0</v>
      </c>
      <c r="L9" s="123"/>
      <c r="M9" s="31" t="s">
        <v>1004</v>
      </c>
      <c r="N9" s="31" t="s">
        <v>1000</v>
      </c>
      <c r="O9" s="31" t="s">
        <v>1000</v>
      </c>
      <c r="P9" s="31" t="s">
        <v>996</v>
      </c>
      <c r="Q9" s="29">
        <v>0</v>
      </c>
      <c r="R9" s="29">
        <f ca="1">ROUND('TUSD BE'!$AM$30+'TUSD BF'!$AM$30+'TUSD CVA'!$AM$30,2)</f>
        <v>285.64999999999998</v>
      </c>
      <c r="S9" s="29">
        <f>ROUND('TE BE'!$AA$13+'TE BF'!$AA$13+'TE CVA'!$AA$13,2)</f>
        <v>250.79</v>
      </c>
      <c r="T9" s="29">
        <v>0</v>
      </c>
      <c r="U9" s="29">
        <f ca="1">ROUND('TUSD BE'!$AM$30,2)</f>
        <v>311.12</v>
      </c>
      <c r="V9" s="29">
        <f>ROUND('TE BE'!$AA$13,2)</f>
        <v>239.19</v>
      </c>
    </row>
    <row r="10" spans="1:22" ht="11.25" customHeight="1" x14ac:dyDescent="0.25">
      <c r="A10" s="119"/>
      <c r="B10" s="119"/>
      <c r="C10" s="119"/>
      <c r="D10" s="31" t="s">
        <v>994</v>
      </c>
      <c r="E10" s="29">
        <f ca="1">ROUND('TUSD BE'!$AM$10+'TUSD BF'!$AM$10+'TUSD CVA'!$AM$10-0*('TUSD BE'!$AC$10+'TUSD BF'!$AC$10+'TUSD CVA'!$AC$10),2)</f>
        <v>6.18</v>
      </c>
      <c r="F10" s="29">
        <f ca="1">ROUND('TUSD BE'!$AM$11+'TUSD BF'!$AM$11+'TUSD CVA'!$AM$11,2)</f>
        <v>3.12</v>
      </c>
      <c r="G10" s="29">
        <v>0</v>
      </c>
      <c r="H10" s="29">
        <f ca="1">ROUND('TUSD BE'!$AM$10-0*('TUSD BE'!$AC$10),2)</f>
        <v>5.99</v>
      </c>
      <c r="I10" s="29">
        <f ca="1">ROUND('TUSD BE'!$AM$11,2)</f>
        <v>2.81</v>
      </c>
      <c r="J10" s="29">
        <v>0</v>
      </c>
      <c r="L10" s="123"/>
      <c r="M10" s="31" t="s">
        <v>1002</v>
      </c>
      <c r="N10" s="31" t="s">
        <v>1000</v>
      </c>
      <c r="O10" s="31" t="s">
        <v>1003</v>
      </c>
      <c r="P10" s="31" t="s">
        <v>996</v>
      </c>
      <c r="Q10" s="29">
        <v>0</v>
      </c>
      <c r="R10" s="29">
        <f ca="1">ROUND('TUSD BE'!$AM$36+'TUSD BF'!$AM$36+'TUSD CVA'!$AM$36,2)</f>
        <v>238.71</v>
      </c>
      <c r="S10" s="29">
        <f>ROUND('TE BE'!$AA$19+'TE BF'!$AA$19+'TE CVA'!$AA$19,2)</f>
        <v>250.79</v>
      </c>
      <c r="T10" s="29">
        <v>0</v>
      </c>
      <c r="U10" s="29">
        <f ca="1">ROUND('TUSD BE'!$AM$36,2)</f>
        <v>258.89999999999998</v>
      </c>
      <c r="V10" s="29">
        <f>ROUND('TE BE'!$AA$19,2)</f>
        <v>239.19</v>
      </c>
    </row>
    <row r="11" spans="1:22" ht="11.25" customHeight="1" x14ac:dyDescent="0.25">
      <c r="A11" s="119"/>
      <c r="B11" s="119"/>
      <c r="C11" s="119"/>
      <c r="D11" s="31" t="s">
        <v>996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L11" s="124"/>
      <c r="M11" s="31" t="s">
        <v>1004</v>
      </c>
      <c r="N11" s="31" t="s">
        <v>1000</v>
      </c>
      <c r="O11" s="31" t="s">
        <v>1003</v>
      </c>
      <c r="P11" s="31" t="s">
        <v>996</v>
      </c>
      <c r="Q11" s="29">
        <v>0</v>
      </c>
      <c r="R11" s="29">
        <f ca="1">ROUND('TUSD BE'!$AM$31+'TUSD BF'!$AM$31+'TUSD CVA'!$AM$31,2)</f>
        <v>238.71</v>
      </c>
      <c r="S11" s="29">
        <f>ROUND('TE BE'!$AA$14+'TE BF'!$AA$14+'TE CVA'!$AA$14,2)</f>
        <v>250.79</v>
      </c>
      <c r="T11" s="29">
        <v>0</v>
      </c>
      <c r="U11" s="29">
        <f ca="1">ROUND('TUSD BE'!$AM$31,2)</f>
        <v>258.89999999999998</v>
      </c>
      <c r="V11" s="29">
        <f>ROUND('TE BE'!$AA$14,2)</f>
        <v>239.19</v>
      </c>
    </row>
    <row r="12" spans="1:22" ht="11.25" customHeight="1" x14ac:dyDescent="0.25">
      <c r="A12" s="120" t="s">
        <v>39</v>
      </c>
      <c r="B12" s="120" t="s">
        <v>40</v>
      </c>
      <c r="C12" s="120" t="s">
        <v>25</v>
      </c>
      <c r="D12" s="31" t="s">
        <v>993</v>
      </c>
      <c r="E12" s="29">
        <f ca="1">ROUND('TUSD BE'!$AM$12+'TUSD BF'!$AM$12+'TUSD CVA'!$AM$12,2)</f>
        <v>36.18</v>
      </c>
      <c r="F12" s="29">
        <f ca="1">ROUND('TUSD BE'!$AM$14+'TUSD BF'!$AM$14+'TUSD CVA'!$AM$14,2)</f>
        <v>49.79</v>
      </c>
      <c r="G12" s="29">
        <f>ROUND('TE BE'!$AA$7+'TE BF'!$AA$7+'TE CVA'!$AA$7,2)</f>
        <v>385.47</v>
      </c>
      <c r="H12" s="29">
        <f ca="1">ROUND('TUSD BE'!$AM$12,2)</f>
        <v>39.47</v>
      </c>
      <c r="I12" s="29">
        <f ca="1">ROUND('TUSD BE'!$AM$14,2)</f>
        <v>54.31</v>
      </c>
      <c r="J12" s="29">
        <f>ROUND('TE BE'!$AA$7,2)</f>
        <v>370.4</v>
      </c>
      <c r="L12" s="122" t="s">
        <v>43</v>
      </c>
      <c r="M12" s="122" t="s">
        <v>999</v>
      </c>
      <c r="N12" s="122" t="s">
        <v>1005</v>
      </c>
      <c r="O12" s="122" t="s">
        <v>1006</v>
      </c>
      <c r="P12" s="31" t="s">
        <v>993</v>
      </c>
      <c r="Q12" s="29">
        <v>0</v>
      </c>
      <c r="R12" s="29">
        <f ca="1">ROUND(('TUSD BE'!$AM$40+'TUSD BF'!$AM$40+'TUSD CVA'!$AM$40)*(1-CUSTOS!$M$38),2)</f>
        <v>718.1</v>
      </c>
      <c r="S12" s="29">
        <f>ROUND(('TE BE'!$AA$23+'TE BF'!$AA$23+'TE CVA'!$AA$23)*(1-CUSTOS!$M$38),2)</f>
        <v>362.34</v>
      </c>
      <c r="T12" s="29">
        <v>0</v>
      </c>
      <c r="U12" s="29">
        <f ca="1">ROUND('TUSD BE'!$AM$40*(1-CUSTOS!$M$38),2)</f>
        <v>784.49</v>
      </c>
      <c r="V12" s="29">
        <f>ROUND('TE BE'!$AA$23*(1-CUSTOS!$M$38),2)</f>
        <v>348.18</v>
      </c>
    </row>
    <row r="13" spans="1:22" ht="11.25" customHeight="1" x14ac:dyDescent="0.25">
      <c r="A13" s="119"/>
      <c r="B13" s="119"/>
      <c r="C13" s="119"/>
      <c r="D13" s="31" t="s">
        <v>994</v>
      </c>
      <c r="E13" s="29">
        <f ca="1">ROUND('TUSD BE'!$AM$13+'TUSD BF'!$AM$13+'TUSD CVA'!$AM$13,2)</f>
        <v>17.86</v>
      </c>
      <c r="F13" s="29">
        <f ca="1">ROUND('TUSD BE'!$AM$14+'TUSD BF'!$AM$14+'TUSD CVA'!$AM$14,2)</f>
        <v>49.79</v>
      </c>
      <c r="G13" s="29">
        <f>ROUND('TE BE'!$AA$8+'TE BF'!$AA$8+'TE CVA'!$AA$8,2)</f>
        <v>238.55</v>
      </c>
      <c r="H13" s="29">
        <f ca="1">ROUND('TUSD BE'!$AM$13,2)</f>
        <v>19.36</v>
      </c>
      <c r="I13" s="29">
        <f ca="1">ROUND('TUSD BE'!$AM$14,2)</f>
        <v>54.31</v>
      </c>
      <c r="J13" s="29">
        <f>ROUND('TE BE'!$AA$8,2)</f>
        <v>227.26</v>
      </c>
      <c r="L13" s="123"/>
      <c r="M13" s="123"/>
      <c r="N13" s="123"/>
      <c r="O13" s="123"/>
      <c r="P13" s="31" t="s">
        <v>1001</v>
      </c>
      <c r="Q13" s="29">
        <v>0</v>
      </c>
      <c r="R13" s="29">
        <f ca="1">ROUND(('TUSD BE'!$AM$41+'TUSD BF'!$AM$41+'TUSD CVA'!$AM$41)*(1-CUSTOS!$M$38),2)</f>
        <v>456.52</v>
      </c>
      <c r="S13" s="29">
        <f>ROUND(('TE BE'!$AA$24+'TE BF'!$AA$24+'TE CVA'!$AA$24)*(1-CUSTOS!$M$38),2)</f>
        <v>224.24</v>
      </c>
      <c r="T13" s="29">
        <v>0</v>
      </c>
      <c r="U13" s="29">
        <f ca="1">ROUND('TUSD BE'!$AM$41*(1-CUSTOS!$M$38),2)</f>
        <v>498.22</v>
      </c>
      <c r="V13" s="29">
        <f>ROUND('TE BE'!$AA$24*(1-CUSTOS!$M$38),2)</f>
        <v>213.63</v>
      </c>
    </row>
    <row r="14" spans="1:22" ht="11.25" customHeight="1" x14ac:dyDescent="0.25">
      <c r="A14" s="119"/>
      <c r="B14" s="120" t="s">
        <v>995</v>
      </c>
      <c r="C14" s="120" t="s">
        <v>25</v>
      </c>
      <c r="D14" s="31" t="s">
        <v>993</v>
      </c>
      <c r="E14" s="29">
        <f ca="1">ROUND('TUSD BE'!$AM$12+'TUSD BF'!$AM$12+'TUSD CVA'!$AM$12,2)</f>
        <v>36.18</v>
      </c>
      <c r="F14" s="29">
        <f ca="1">ROUND('TUSD BE'!$AM$15+'TUSD BF'!$AM$15+'TUSD CVA'!$AM$15,2)</f>
        <v>8.25</v>
      </c>
      <c r="G14" s="29">
        <v>0</v>
      </c>
      <c r="H14" s="29">
        <f ca="1">ROUND('TUSD BE'!$AM$12,2)</f>
        <v>39.47</v>
      </c>
      <c r="I14" s="29">
        <f ca="1">ROUND('TUSD BE'!$AM$15,2)</f>
        <v>8.14</v>
      </c>
      <c r="J14" s="29">
        <v>0</v>
      </c>
      <c r="L14" s="123"/>
      <c r="M14" s="124"/>
      <c r="N14" s="124"/>
      <c r="O14" s="124"/>
      <c r="P14" s="31" t="s">
        <v>994</v>
      </c>
      <c r="Q14" s="29">
        <v>0</v>
      </c>
      <c r="R14" s="29">
        <f ca="1">ROUND(('TUSD BE'!$AM$42+'TUSD BF'!$AM$42+'TUSD CVA'!$AM$42)*(1-CUSTOS!$M$38),2)</f>
        <v>194.94</v>
      </c>
      <c r="S14" s="29">
        <f>ROUND(('TE BE'!$AA$25+'TE BF'!$AA$25+'TE CVA'!$AA$25)*(1-CUSTOS!$M$38),2)</f>
        <v>224.24</v>
      </c>
      <c r="T14" s="29">
        <v>0</v>
      </c>
      <c r="U14" s="29">
        <f ca="1">ROUND('TUSD BE'!$AM$42*(1-CUSTOS!$M$38),2)</f>
        <v>211.94</v>
      </c>
      <c r="V14" s="29">
        <f>ROUND('TE BE'!$AA$25*(1-CUSTOS!$M$38),2)</f>
        <v>213.63</v>
      </c>
    </row>
    <row r="15" spans="1:22" ht="11.25" customHeight="1" x14ac:dyDescent="0.25">
      <c r="A15" s="119"/>
      <c r="B15" s="119"/>
      <c r="C15" s="119"/>
      <c r="D15" s="31" t="s">
        <v>994</v>
      </c>
      <c r="E15" s="29">
        <f ca="1">ROUND('TUSD BE'!$AM$13+'TUSD BF'!$AM$13+'TUSD CVA'!$AM$13,2)</f>
        <v>17.86</v>
      </c>
      <c r="F15" s="29">
        <f ca="1">ROUND('TUSD BE'!$AM$15+'TUSD BF'!$AM$15+'TUSD CVA'!$AM$15,2)</f>
        <v>8.25</v>
      </c>
      <c r="G15" s="29">
        <v>0</v>
      </c>
      <c r="H15" s="29">
        <f ca="1">ROUND('TUSD BE'!$AM$13,2)</f>
        <v>19.36</v>
      </c>
      <c r="I15" s="29">
        <f ca="1">ROUND('TUSD BE'!$AM$15,2)</f>
        <v>8.14</v>
      </c>
      <c r="J15" s="29">
        <v>0</v>
      </c>
      <c r="L15" s="123"/>
      <c r="M15" s="31" t="s">
        <v>1002</v>
      </c>
      <c r="N15" s="31" t="s">
        <v>1005</v>
      </c>
      <c r="O15" s="31" t="s">
        <v>1006</v>
      </c>
      <c r="P15" s="31" t="s">
        <v>996</v>
      </c>
      <c r="Q15" s="29">
        <v>0</v>
      </c>
      <c r="R15" s="29">
        <f ca="1">ROUND(('TUSD BE'!$AM$52+'TUSD BF'!$AM$52+'TUSD CVA'!$AM$52)*(1-CUSTOS!$M$38),2)</f>
        <v>268.51</v>
      </c>
      <c r="S15" s="29">
        <f>ROUND(('TE BE'!$AA$35+'TE BF'!$AA$35+'TE CVA'!$AA$35)*(1-CUSTOS!$M$38),2)</f>
        <v>235.75</v>
      </c>
      <c r="T15" s="29">
        <v>0</v>
      </c>
      <c r="U15" s="29">
        <f ca="1">ROUND(('TUSD BE'!$AM$52)*(1-CUSTOS!$M$38),2)</f>
        <v>292.45999999999998</v>
      </c>
      <c r="V15" s="29">
        <f>ROUND(('TE BE'!$AA$35)*(1-CUSTOS!$M$38),2)</f>
        <v>224.84</v>
      </c>
    </row>
    <row r="16" spans="1:22" ht="11.25" customHeight="1" x14ac:dyDescent="0.25">
      <c r="A16" s="119"/>
      <c r="B16" s="120" t="s">
        <v>41</v>
      </c>
      <c r="C16" s="120" t="s">
        <v>25</v>
      </c>
      <c r="D16" s="31" t="s">
        <v>996</v>
      </c>
      <c r="E16" s="29">
        <f ca="1">ROUND('TUSD BE'!$AM$20+'TUSD BF'!$AM$20+'TUSD CVA'!$AM$20,2)</f>
        <v>17.86</v>
      </c>
      <c r="F16" s="29">
        <v>0</v>
      </c>
      <c r="G16" s="29">
        <v>0</v>
      </c>
      <c r="H16" s="29">
        <f ca="1">ROUND('TUSD BE'!$AM$20,2)</f>
        <v>19.36</v>
      </c>
      <c r="I16" s="29">
        <v>0</v>
      </c>
      <c r="J16" s="29">
        <v>0</v>
      </c>
      <c r="L16" s="123"/>
      <c r="M16" s="31" t="s">
        <v>1004</v>
      </c>
      <c r="N16" s="31" t="s">
        <v>1005</v>
      </c>
      <c r="O16" s="31" t="s">
        <v>1006</v>
      </c>
      <c r="P16" s="31" t="s">
        <v>996</v>
      </c>
      <c r="Q16" s="29">
        <v>0</v>
      </c>
      <c r="R16" s="29">
        <f ca="1">ROUND(('TUSD BE'!$AM$43+'TUSD BF'!$AM$43+'TUSD CVA'!$AM$43)*(1-CUSTOS!$M$38),2)</f>
        <v>268.51</v>
      </c>
      <c r="S16" s="29">
        <f>ROUND(('TE BE'!$AA$26+'TE BF'!$AA$26+'TE CVA'!$AA$26)*(1-CUSTOS!$M$38),2)</f>
        <v>235.75</v>
      </c>
      <c r="T16" s="29">
        <v>0</v>
      </c>
      <c r="U16" s="29">
        <f ca="1">ROUND(('TUSD BE'!$AM$43)*(1-CUSTOS!$M$38),2)</f>
        <v>292.45999999999998</v>
      </c>
      <c r="V16" s="29">
        <f>ROUND(('TE BE'!$AA$26)*(1-CUSTOS!$M$38),2)</f>
        <v>224.84</v>
      </c>
    </row>
    <row r="17" spans="1:22" ht="11.25" customHeight="1" x14ac:dyDescent="0.25">
      <c r="A17" s="119"/>
      <c r="B17" s="119"/>
      <c r="C17" s="119"/>
      <c r="D17" s="31" t="s">
        <v>993</v>
      </c>
      <c r="E17" s="29">
        <v>0</v>
      </c>
      <c r="F17" s="29">
        <f ca="1">ROUND('TUSD BE'!$AM$21+'TUSD BF'!$AM$21+'TUSD CVA'!$AM$21,2)</f>
        <v>928.87</v>
      </c>
      <c r="G17" s="29">
        <f>ROUND('TE BE'!$AA$7+'TE BF'!$AA$7+'TE CVA'!$AA$7,2)</f>
        <v>385.47</v>
      </c>
      <c r="H17" s="29">
        <v>0</v>
      </c>
      <c r="I17" s="29">
        <f ca="1">ROUND('TUSD BE'!$AM$21,2)</f>
        <v>1013.33</v>
      </c>
      <c r="J17" s="29">
        <f>ROUND('TE BE'!$AA$7,2)</f>
        <v>370.4</v>
      </c>
      <c r="L17" s="123"/>
      <c r="M17" s="122" t="s">
        <v>999</v>
      </c>
      <c r="N17" s="122" t="s">
        <v>1005</v>
      </c>
      <c r="O17" s="122" t="s">
        <v>1007</v>
      </c>
      <c r="P17" s="31" t="s">
        <v>993</v>
      </c>
      <c r="Q17" s="29">
        <v>0</v>
      </c>
      <c r="R17" s="29">
        <f ca="1">ROUND(('TUSD BE'!$AM$44+'TUSD BF'!$AM$44+'TUSD CVA'!$AM$44)*(1-CUSTOS!$M$39),2)</f>
        <v>718.1</v>
      </c>
      <c r="S17" s="29">
        <f>ROUND(('TE BE'!$AA$27+'TE BF'!$AA$27+'TE CVA'!$AA$27)*(1-CUSTOS!$M$39),2)</f>
        <v>362.34</v>
      </c>
      <c r="T17" s="29">
        <v>0</v>
      </c>
      <c r="U17" s="29">
        <f ca="1">ROUND('TUSD BE'!$AM$44*(1-CUSTOS!$M$39),2)</f>
        <v>784.49</v>
      </c>
      <c r="V17" s="29">
        <f>ROUND('TE BE'!$AA$27*(1-CUSTOS!$M$39),2)</f>
        <v>348.18</v>
      </c>
    </row>
    <row r="18" spans="1:22" ht="11.25" customHeight="1" x14ac:dyDescent="0.25">
      <c r="A18" s="119"/>
      <c r="B18" s="119"/>
      <c r="C18" s="119"/>
      <c r="D18" s="31" t="s">
        <v>994</v>
      </c>
      <c r="E18" s="29">
        <v>0</v>
      </c>
      <c r="F18" s="29">
        <f ca="1">ROUND('TUSD BE'!$AM$22+'TUSD BF'!$AM$22+'TUSD CVA'!$AM$22,2)</f>
        <v>49.79</v>
      </c>
      <c r="G18" s="29">
        <f>ROUND('TE BE'!$AA$8+'TE BF'!$AA$8+'TE CVA'!$AA$8,2)</f>
        <v>238.55</v>
      </c>
      <c r="H18" s="29">
        <v>0</v>
      </c>
      <c r="I18" s="29">
        <f ca="1">ROUND('TUSD BE'!$AM$22,2)</f>
        <v>54.31</v>
      </c>
      <c r="J18" s="29">
        <f>ROUND('TE BE'!$AA$8,2)</f>
        <v>227.26</v>
      </c>
      <c r="L18" s="123"/>
      <c r="M18" s="123"/>
      <c r="N18" s="123"/>
      <c r="O18" s="123"/>
      <c r="P18" s="31" t="s">
        <v>1001</v>
      </c>
      <c r="Q18" s="29">
        <v>0</v>
      </c>
      <c r="R18" s="29">
        <f ca="1">ROUND(('TUSD BE'!$AM$45+'TUSD BF'!$AM$45+'TUSD CVA'!$AM$45)*(1-CUSTOS!$M$39),2)</f>
        <v>456.52</v>
      </c>
      <c r="S18" s="29">
        <f>ROUND(('TE BE'!$AA$28+'TE BF'!$AA$28+'TE CVA'!$AA$28)*(1-CUSTOS!$M$39),2)</f>
        <v>224.24</v>
      </c>
      <c r="T18" s="29">
        <v>0</v>
      </c>
      <c r="U18" s="29">
        <f ca="1">ROUND('TUSD BE'!$AM$45*(1-CUSTOS!$M$39),2)</f>
        <v>498.22</v>
      </c>
      <c r="V18" s="29">
        <f>ROUND('TE BE'!$AA$28*(1-CUSTOS!$M$39),2)</f>
        <v>213.63</v>
      </c>
    </row>
    <row r="19" spans="1:22" ht="11.25" customHeight="1" x14ac:dyDescent="0.25">
      <c r="A19" s="119"/>
      <c r="B19" s="120" t="s">
        <v>997</v>
      </c>
      <c r="C19" s="120" t="s">
        <v>25</v>
      </c>
      <c r="D19" s="31" t="s">
        <v>996</v>
      </c>
      <c r="E19" s="29">
        <f ca="1">ROUND('TUSD BE'!$AM$20+'TUSD BF'!$AM$20+'TUSD CVA'!$AM$20,2)</f>
        <v>17.86</v>
      </c>
      <c r="F19" s="29">
        <v>0</v>
      </c>
      <c r="G19" s="29">
        <v>0</v>
      </c>
      <c r="H19" s="29">
        <f ca="1">ROUND('TUSD BE'!$AM$20,2)</f>
        <v>19.36</v>
      </c>
      <c r="I19" s="29">
        <v>0</v>
      </c>
      <c r="J19" s="29">
        <v>0</v>
      </c>
      <c r="L19" s="123"/>
      <c r="M19" s="124"/>
      <c r="N19" s="124"/>
      <c r="O19" s="124"/>
      <c r="P19" s="31" t="s">
        <v>994</v>
      </c>
      <c r="Q19" s="29">
        <v>0</v>
      </c>
      <c r="R19" s="29">
        <f ca="1">ROUND(('TUSD BE'!$AM$46+'TUSD BF'!$AM$46+'TUSD CVA'!$AM$46)*(1-CUSTOS!$M$39),2)</f>
        <v>194.94</v>
      </c>
      <c r="S19" s="29">
        <f>ROUND(('TE BE'!$AA$29+'TE BF'!$AA$29+'TE CVA'!$AA$29)*(1-CUSTOS!$M$39),2)</f>
        <v>224.24</v>
      </c>
      <c r="T19" s="29">
        <v>0</v>
      </c>
      <c r="U19" s="29">
        <f ca="1">ROUND('TUSD BE'!$AM$46*(1-CUSTOS!$M$39),2)</f>
        <v>211.94</v>
      </c>
      <c r="V19" s="29">
        <f>ROUND('TE BE'!$AA$29*(1-CUSTOS!$M$39),2)</f>
        <v>213.63</v>
      </c>
    </row>
    <row r="20" spans="1:22" ht="11.25" customHeight="1" x14ac:dyDescent="0.25">
      <c r="A20" s="119"/>
      <c r="B20" s="119"/>
      <c r="C20" s="119"/>
      <c r="D20" s="31" t="s">
        <v>993</v>
      </c>
      <c r="E20" s="29">
        <v>0</v>
      </c>
      <c r="F20" s="29">
        <f ca="1">ROUND('TUSD BE'!$AM$23+'TUSD BF'!$AM$23+'TUSD CVA'!$AM$23,2)</f>
        <v>887.33</v>
      </c>
      <c r="G20" s="29">
        <v>0</v>
      </c>
      <c r="H20" s="29">
        <v>0</v>
      </c>
      <c r="I20" s="29">
        <f ca="1">ROUND('TUSD BE'!$AM$23,2)</f>
        <v>967.16</v>
      </c>
      <c r="J20" s="29">
        <v>0</v>
      </c>
      <c r="L20" s="123"/>
      <c r="M20" s="31" t="s">
        <v>1002</v>
      </c>
      <c r="N20" s="31" t="s">
        <v>1005</v>
      </c>
      <c r="O20" s="31" t="s">
        <v>1007</v>
      </c>
      <c r="P20" s="31" t="s">
        <v>996</v>
      </c>
      <c r="Q20" s="29">
        <v>0</v>
      </c>
      <c r="R20" s="29">
        <f ca="1">ROUND(('TUSD BE'!$AM$52+'TUSD BF'!$AM$52+'TUSD CVA'!$AM$52)*(1-CUSTOS!$M$39),2)</f>
        <v>268.51</v>
      </c>
      <c r="S20" s="29">
        <f>ROUND(('TE BE'!$AA$35+'TE BF'!$AA$35+'TE CVA'!$AA$35)*(1-CUSTOS!$M$39),2)</f>
        <v>235.75</v>
      </c>
      <c r="T20" s="29">
        <v>0</v>
      </c>
      <c r="U20" s="29">
        <f ca="1">ROUND(('TUSD BE'!$AM$52)*(1-CUSTOS!$M$39),2)</f>
        <v>292.45999999999998</v>
      </c>
      <c r="V20" s="29">
        <f>ROUND(('TE BE'!$AA$35)*(1-CUSTOS!$M$39),2)</f>
        <v>224.84</v>
      </c>
    </row>
    <row r="21" spans="1:22" ht="11.25" customHeight="1" x14ac:dyDescent="0.25">
      <c r="A21" s="119"/>
      <c r="B21" s="119"/>
      <c r="C21" s="119"/>
      <c r="D21" s="31" t="s">
        <v>994</v>
      </c>
      <c r="E21" s="29">
        <v>0</v>
      </c>
      <c r="F21" s="29">
        <f ca="1">ROUND('TUSD BE'!$AM$24+'TUSD BF'!$AM$24+'TUSD CVA'!$AM$24,2)</f>
        <v>8.25</v>
      </c>
      <c r="G21" s="29">
        <v>0</v>
      </c>
      <c r="H21" s="29">
        <v>0</v>
      </c>
      <c r="I21" s="29">
        <f ca="1">ROUND('TUSD BE'!$AM$24,2)</f>
        <v>8.14</v>
      </c>
      <c r="J21" s="29">
        <v>0</v>
      </c>
      <c r="L21" s="123"/>
      <c r="M21" s="31" t="s">
        <v>1004</v>
      </c>
      <c r="N21" s="31" t="s">
        <v>1005</v>
      </c>
      <c r="O21" s="31" t="s">
        <v>1007</v>
      </c>
      <c r="P21" s="31" t="s">
        <v>996</v>
      </c>
      <c r="Q21" s="29">
        <v>0</v>
      </c>
      <c r="R21" s="29">
        <f ca="1">ROUND(('TUSD BE'!$AM$43+'TUSD BF'!$AM$43+'TUSD CVA'!$AM$43)*(1-CUSTOS!$M$39),2)</f>
        <v>268.51</v>
      </c>
      <c r="S21" s="29">
        <f>ROUND(('TE BE'!$AA$26+'TE BF'!$AA$26+'TE CVA'!$AA$26)*(1-CUSTOS!$M$39),2)</f>
        <v>235.75</v>
      </c>
      <c r="T21" s="29">
        <v>0</v>
      </c>
      <c r="U21" s="29">
        <f ca="1">ROUND(('TUSD BE'!$AM$43)*(1-CUSTOS!$M$39),2)</f>
        <v>292.45999999999998</v>
      </c>
      <c r="V21" s="29">
        <f>ROUND(('TE BE'!$AA$26)*(1-CUSTOS!$M$39),2)</f>
        <v>224.84</v>
      </c>
    </row>
    <row r="22" spans="1:22" ht="11.25" customHeight="1" x14ac:dyDescent="0.25">
      <c r="A22" s="119"/>
      <c r="B22" s="120" t="s">
        <v>59</v>
      </c>
      <c r="C22" s="120" t="s">
        <v>60</v>
      </c>
      <c r="D22" s="31" t="s">
        <v>993</v>
      </c>
      <c r="E22" s="29">
        <f ca="1">ROUND('TUSD BE'!$AM$16+'TUSD BF'!$AM$16+'TUSD CVA'!$AM$16-0*('TUSD BE'!$AC$16+'TUSD BF'!$AC$16+'TUSD CVA'!$AC$16),2)</f>
        <v>22.27</v>
      </c>
      <c r="F22" s="29">
        <f ca="1">ROUND('TUSD BE'!$AM$18+'TUSD BF'!$AM$18+'TUSD CVA'!$AM$18,2)</f>
        <v>6.28</v>
      </c>
      <c r="G22" s="29">
        <v>0</v>
      </c>
      <c r="H22" s="29">
        <f ca="1">ROUND('TUSD BE'!$AM$16-0*('TUSD BE'!$AC$16),2)</f>
        <v>22.11</v>
      </c>
      <c r="I22" s="29">
        <f ca="1">ROUND('TUSD BE'!$AM$18,2)</f>
        <v>5.66</v>
      </c>
      <c r="J22" s="29">
        <v>0</v>
      </c>
      <c r="L22" s="123"/>
      <c r="M22" s="122" t="s">
        <v>999</v>
      </c>
      <c r="N22" s="122" t="s">
        <v>1005</v>
      </c>
      <c r="O22" s="122" t="s">
        <v>1008</v>
      </c>
      <c r="P22" s="31" t="s">
        <v>993</v>
      </c>
      <c r="Q22" s="29">
        <v>0</v>
      </c>
      <c r="R22" s="29">
        <f ca="1">ROUND(('TUSD BE'!$AM$48+'TUSD BF'!$AM$48+'TUSD CVA'!$AM$48)*(1-CUSTOS!$M$40),2)</f>
        <v>702.82</v>
      </c>
      <c r="S22" s="29">
        <f>ROUND(('TE BE'!$AA$31+'TE BF'!$AA$31+'TE CVA'!$AA$31)*(1-CUSTOS!$M$40),2)</f>
        <v>354.63</v>
      </c>
      <c r="T22" s="29">
        <v>0</v>
      </c>
      <c r="U22" s="29">
        <f ca="1">ROUND('TUSD BE'!$AM$48*(1-CUSTOS!$M$40),2)</f>
        <v>767.8</v>
      </c>
      <c r="V22" s="29">
        <f>ROUND('TE BE'!$AA$31*(1-CUSTOS!$M$40),2)</f>
        <v>340.77</v>
      </c>
    </row>
    <row r="23" spans="1:22" ht="11.25" customHeight="1" x14ac:dyDescent="0.25">
      <c r="A23" s="119"/>
      <c r="B23" s="119"/>
      <c r="C23" s="119"/>
      <c r="D23" s="31" t="s">
        <v>994</v>
      </c>
      <c r="E23" s="29">
        <f ca="1">ROUND('TUSD BE'!$AM$17+'TUSD BF'!$AM$17+'TUSD CVA'!$AM$17-0*('TUSD BE'!$AC$17+'TUSD BF'!$AC$17+'TUSD CVA'!$AC$17),2)</f>
        <v>11.64</v>
      </c>
      <c r="F23" s="29">
        <f ca="1">ROUND('TUSD BE'!$AM$18+'TUSD BF'!$AM$18+'TUSD CVA'!$AM$18,2)</f>
        <v>6.28</v>
      </c>
      <c r="G23" s="29">
        <v>0</v>
      </c>
      <c r="H23" s="29">
        <f ca="1">ROUND('TUSD BE'!$AM$17-0*('TUSD BE'!$AC$17),2)</f>
        <v>11.45</v>
      </c>
      <c r="I23" s="29">
        <f ca="1">ROUND('TUSD BE'!$AM$18,2)</f>
        <v>5.66</v>
      </c>
      <c r="J23" s="29">
        <v>0</v>
      </c>
      <c r="L23" s="123"/>
      <c r="M23" s="123"/>
      <c r="N23" s="123"/>
      <c r="O23" s="123"/>
      <c r="P23" s="31" t="s">
        <v>1001</v>
      </c>
      <c r="Q23" s="29">
        <v>0</v>
      </c>
      <c r="R23" s="29">
        <f ca="1">ROUND(('TUSD BE'!$AM$49+'TUSD BF'!$AM$49+'TUSD CVA'!$AM$49)*(1-CUSTOS!$M$40),2)</f>
        <v>446.8</v>
      </c>
      <c r="S23" s="29">
        <f>ROUND(('TE BE'!$AA$32+'TE BF'!$AA$32+'TE CVA'!$AA$32)*(1-CUSTOS!$M$40),2)</f>
        <v>219.47</v>
      </c>
      <c r="T23" s="29">
        <v>0</v>
      </c>
      <c r="U23" s="29">
        <f ca="1">ROUND('TUSD BE'!$AM$49*(1-CUSTOS!$M$40),2)</f>
        <v>487.62</v>
      </c>
      <c r="V23" s="29">
        <f>ROUND('TE BE'!$AA$32*(1-CUSTOS!$M$40),2)</f>
        <v>209.08</v>
      </c>
    </row>
    <row r="24" spans="1:22" ht="11.25" customHeight="1" x14ac:dyDescent="0.25">
      <c r="A24" s="119"/>
      <c r="B24" s="119"/>
      <c r="C24" s="119"/>
      <c r="D24" s="31" t="s">
        <v>996</v>
      </c>
      <c r="E24" s="29">
        <v>0</v>
      </c>
      <c r="F24" s="29">
        <v>0</v>
      </c>
      <c r="G24" s="29">
        <v>0</v>
      </c>
      <c r="H24" s="29">
        <v>0</v>
      </c>
      <c r="I24" s="29">
        <v>0</v>
      </c>
      <c r="J24" s="29">
        <v>0</v>
      </c>
      <c r="L24" s="123"/>
      <c r="M24" s="124"/>
      <c r="N24" s="124"/>
      <c r="O24" s="124"/>
      <c r="P24" s="31" t="s">
        <v>994</v>
      </c>
      <c r="Q24" s="29">
        <v>0</v>
      </c>
      <c r="R24" s="29">
        <f ca="1">ROUND(('TUSD BE'!$AM$50+'TUSD BF'!$AM$50+'TUSD CVA'!$AM$50)*(1-CUSTOS!$M$40),2)</f>
        <v>190.79</v>
      </c>
      <c r="S24" s="29">
        <f>ROUND(('TE BE'!$AA$33+'TE BF'!$AA$33+'TE CVA'!$AA$33)*(1-CUSTOS!$M$40),2)</f>
        <v>219.47</v>
      </c>
      <c r="T24" s="29">
        <v>0</v>
      </c>
      <c r="U24" s="29">
        <f ca="1">ROUND('TUSD BE'!$AM$50*(1-CUSTOS!$M$40),2)</f>
        <v>207.43</v>
      </c>
      <c r="V24" s="29">
        <f>ROUND('TE BE'!$AA$33*(1-CUSTOS!$M$40),2)</f>
        <v>209.08</v>
      </c>
    </row>
    <row r="25" spans="1:22" ht="11.25" customHeight="1" x14ac:dyDescent="0.25">
      <c r="A25" s="119"/>
      <c r="B25" s="31" t="s">
        <v>87</v>
      </c>
      <c r="C25" s="31" t="s">
        <v>25</v>
      </c>
      <c r="D25" s="31" t="s">
        <v>996</v>
      </c>
      <c r="E25" s="29">
        <f ca="1">ROUND('TUSD BE'!$AM$19+'TUSD BF'!$AM$19+'TUSD CVA'!$AM$19,2)</f>
        <v>9.06</v>
      </c>
      <c r="F25" s="29">
        <v>0</v>
      </c>
      <c r="G25" s="29">
        <v>0</v>
      </c>
      <c r="H25" s="29">
        <f ca="1">ROUND('TUSD BE'!$AM$19,2)</f>
        <v>9.9700000000000006</v>
      </c>
      <c r="I25" s="29">
        <v>0</v>
      </c>
      <c r="J25" s="29">
        <v>0</v>
      </c>
      <c r="L25" s="123"/>
      <c r="M25" s="31" t="s">
        <v>1002</v>
      </c>
      <c r="N25" s="31" t="s">
        <v>1005</v>
      </c>
      <c r="O25" s="31" t="s">
        <v>1008</v>
      </c>
      <c r="P25" s="31" t="s">
        <v>996</v>
      </c>
      <c r="Q25" s="29">
        <v>0</v>
      </c>
      <c r="R25" s="29">
        <f ca="1">ROUND(('TUSD BE'!$AM$52+'TUSD BF'!$AM$52+'TUSD CVA'!$AM$52)*(1-CUSTOS!$M$40),2)</f>
        <v>262.79000000000002</v>
      </c>
      <c r="S25" s="29">
        <f>ROUND(('TE BE'!$AA$35+'TE BF'!$AA$35+'TE CVA'!$AA$35)*(1-CUSTOS!$M$40),2)</f>
        <v>230.73</v>
      </c>
      <c r="T25" s="29">
        <v>0</v>
      </c>
      <c r="U25" s="29">
        <f ca="1">ROUND(('TUSD BE'!$AM$52)*(1-CUSTOS!$M$40),2)</f>
        <v>286.23</v>
      </c>
      <c r="V25" s="29">
        <f>ROUND(('TE BE'!$AA$35)*(1-CUSTOS!$M$40),2)</f>
        <v>220.06</v>
      </c>
    </row>
    <row r="26" spans="1:22" ht="11.25" customHeight="1" x14ac:dyDescent="0.25">
      <c r="L26" s="124"/>
      <c r="M26" s="31" t="s">
        <v>1004</v>
      </c>
      <c r="N26" s="31" t="s">
        <v>1005</v>
      </c>
      <c r="O26" s="31" t="s">
        <v>1008</v>
      </c>
      <c r="P26" s="31" t="s">
        <v>996</v>
      </c>
      <c r="Q26" s="29">
        <v>0</v>
      </c>
      <c r="R26" s="29">
        <f ca="1">ROUND(('TUSD BE'!$AM$43+'TUSD BF'!$AM$43+'TUSD CVA'!$AM$43)*(1-CUSTOS!$M$40),2)</f>
        <v>262.79000000000002</v>
      </c>
      <c r="S26" s="29">
        <f>ROUND(('TE BE'!$AA$26+'TE BF'!$AA$26+'TE CVA'!$AA$26)*(1-CUSTOS!$M$40),2)</f>
        <v>230.73</v>
      </c>
      <c r="T26" s="29">
        <v>0</v>
      </c>
      <c r="U26" s="29">
        <f ca="1">ROUND(('TUSD BE'!$AM$43)*(1-CUSTOS!$M$40),2)</f>
        <v>286.23</v>
      </c>
      <c r="V26" s="29">
        <f>ROUND(('TE BE'!$AA$26)*(1-CUSTOS!$M$40),2)</f>
        <v>220.06</v>
      </c>
    </row>
    <row r="27" spans="1:22" ht="11.25" customHeight="1" x14ac:dyDescent="0.25">
      <c r="L27" s="122" t="s">
        <v>37</v>
      </c>
      <c r="M27" s="122" t="s">
        <v>999</v>
      </c>
      <c r="N27" s="122" t="s">
        <v>996</v>
      </c>
      <c r="O27" s="122" t="s">
        <v>996</v>
      </c>
      <c r="P27" s="31" t="s">
        <v>993</v>
      </c>
      <c r="Q27" s="29">
        <v>0</v>
      </c>
      <c r="R27" s="29">
        <f ca="1">ROUND(('TUSD BE'!$AM$55+'TUSD BF'!$AM$55+'TUSD CVA'!$AM$55)*(1-CUSTOS!$M$31),2)</f>
        <v>774.8</v>
      </c>
      <c r="S27" s="29">
        <f>ROUND(('TE BE'!$AA$38+'TE BF'!$AA$38+'TE CVA'!$AA$38)*(1-CUSTOS!$M$31),2)</f>
        <v>385.47</v>
      </c>
      <c r="T27" s="29">
        <v>0</v>
      </c>
      <c r="U27" s="29">
        <f ca="1">ROUND('TUSD BE'!$AM$55*(1-CUSTOS!$M$31),2)</f>
        <v>846.46</v>
      </c>
      <c r="V27" s="29">
        <f>ROUND('TE BE'!$AA$38*(1-CUSTOS!$M$31),2)</f>
        <v>370.4</v>
      </c>
    </row>
    <row r="28" spans="1:22" ht="11.25" customHeight="1" x14ac:dyDescent="0.25">
      <c r="L28" s="123"/>
      <c r="M28" s="123"/>
      <c r="N28" s="123"/>
      <c r="O28" s="123"/>
      <c r="P28" s="31" t="s">
        <v>1001</v>
      </c>
      <c r="Q28" s="29">
        <v>0</v>
      </c>
      <c r="R28" s="29">
        <f ca="1">ROUND(('TUSD BE'!$AM$56+'TUSD BF'!$AM$56+'TUSD CVA'!$AM$56)*(1-CUSTOS!$M$31),2)</f>
        <v>492.18</v>
      </c>
      <c r="S28" s="29">
        <f>ROUND(('TE BE'!$AA$39+'TE BF'!$AA$39+'TE CVA'!$AA$39)*(1-CUSTOS!$M$31),2)</f>
        <v>238.55</v>
      </c>
      <c r="T28" s="29">
        <v>0</v>
      </c>
      <c r="U28" s="29">
        <f ca="1">ROUND('TUSD BE'!$AM$56*(1-CUSTOS!$M$31),2)</f>
        <v>537.16</v>
      </c>
      <c r="V28" s="29">
        <f>ROUND('TE BE'!$AA$39*(1-CUSTOS!$M$31),2)</f>
        <v>227.26</v>
      </c>
    </row>
    <row r="29" spans="1:22" ht="11.25" customHeight="1" x14ac:dyDescent="0.25">
      <c r="L29" s="123"/>
      <c r="M29" s="124"/>
      <c r="N29" s="124"/>
      <c r="O29" s="124"/>
      <c r="P29" s="31" t="s">
        <v>994</v>
      </c>
      <c r="Q29" s="29">
        <v>0</v>
      </c>
      <c r="R29" s="29">
        <f ca="1">ROUND(('TUSD BE'!$AM$57+'TUSD BF'!$AM$57+'TUSD CVA'!$AM$57)*(1-CUSTOS!$M$31),2)</f>
        <v>209.55</v>
      </c>
      <c r="S29" s="29">
        <f>ROUND(('TE BE'!$AA$40+'TE BF'!$AA$40+'TE CVA'!$AA$40)*(1-CUSTOS!$M$31),2)</f>
        <v>238.55</v>
      </c>
      <c r="T29" s="29">
        <v>0</v>
      </c>
      <c r="U29" s="29">
        <f ca="1">ROUND('TUSD BE'!$AM$57*(1-CUSTOS!$M$31),2)</f>
        <v>227.85</v>
      </c>
      <c r="V29" s="29">
        <f>ROUND('TE BE'!$AA$40*(1-CUSTOS!$M$31),2)</f>
        <v>227.26</v>
      </c>
    </row>
    <row r="30" spans="1:22" ht="11.25" customHeight="1" x14ac:dyDescent="0.25">
      <c r="L30" s="123"/>
      <c r="M30" s="31" t="s">
        <v>1002</v>
      </c>
      <c r="N30" s="31" t="s">
        <v>996</v>
      </c>
      <c r="O30" s="31" t="s">
        <v>996</v>
      </c>
      <c r="P30" s="31" t="s">
        <v>996</v>
      </c>
      <c r="Q30" s="29">
        <v>0</v>
      </c>
      <c r="R30" s="29">
        <f ca="1">ROUND(('TUSD BE'!$AM$59+'TUSD BF'!$AM$59+'TUSD CVA'!$AM$59)*(1-CUSTOS!$M$31),2)</f>
        <v>285.64999999999998</v>
      </c>
      <c r="S30" s="29">
        <f>ROUND(('TE BE'!$AA$42+'TE BF'!$AA$42+'TE CVA'!$AA$42)*(1-CUSTOS!$M$31),2)</f>
        <v>250.79</v>
      </c>
      <c r="T30" s="29">
        <v>0</v>
      </c>
      <c r="U30" s="29">
        <f ca="1">ROUND(('TUSD BE'!$AM$59)*(1-CUSTOS!$M$31),2)</f>
        <v>311.12</v>
      </c>
      <c r="V30" s="29">
        <f>ROUND(('TE BE'!$AA$42)*(1-CUSTOS!$M$31),2)</f>
        <v>239.19</v>
      </c>
    </row>
    <row r="31" spans="1:22" ht="11.25" customHeight="1" x14ac:dyDescent="0.25">
      <c r="L31" s="124"/>
      <c r="M31" s="31" t="s">
        <v>1004</v>
      </c>
      <c r="N31" s="31" t="s">
        <v>996</v>
      </c>
      <c r="O31" s="31" t="s">
        <v>996</v>
      </c>
      <c r="P31" s="31" t="s">
        <v>996</v>
      </c>
      <c r="Q31" s="29">
        <v>0</v>
      </c>
      <c r="R31" s="29">
        <f ca="1">ROUND(('TUSD BE'!$AM$58+'TUSD BF'!$AM$58+'TUSD CVA'!$AM$58)*(1-CUSTOS!$M$31),2)</f>
        <v>285.64999999999998</v>
      </c>
      <c r="S31" s="29">
        <f>ROUND(('TE BE'!$AA$41+'TE BF'!$AA$41+'TE CVA'!$AA$41)*(1-CUSTOS!$M$31),2)</f>
        <v>250.79</v>
      </c>
      <c r="T31" s="29">
        <v>0</v>
      </c>
      <c r="U31" s="29">
        <f ca="1">ROUND(('TUSD BE'!$AM$58)*(1-CUSTOS!$M$31),2)</f>
        <v>311.12</v>
      </c>
      <c r="V31" s="29">
        <f>ROUND(('TE BE'!$AA$41)*(1-CUSTOS!$M$31),2)</f>
        <v>239.19</v>
      </c>
    </row>
    <row r="32" spans="1:22" ht="11.25" customHeight="1" x14ac:dyDescent="0.25">
      <c r="L32" s="122" t="s">
        <v>46</v>
      </c>
      <c r="M32" s="122" t="s">
        <v>1004</v>
      </c>
      <c r="N32" s="122" t="s">
        <v>1009</v>
      </c>
      <c r="O32" s="31" t="s">
        <v>1010</v>
      </c>
      <c r="P32" s="31" t="s">
        <v>996</v>
      </c>
      <c r="Q32" s="29">
        <v>0</v>
      </c>
      <c r="R32" s="29">
        <f ca="1">ROUND(('TUSD BE'!$AM$60+'TUSD BF'!$AM$60+'TUSD CVA'!$AM$60),2)</f>
        <v>157.1</v>
      </c>
      <c r="S32" s="29">
        <f>ROUND(('TE BE'!$AA$43+'TE BF'!$AA$43+'TE CVA'!$AA$43),2)</f>
        <v>137.94</v>
      </c>
      <c r="T32" s="29">
        <v>0</v>
      </c>
      <c r="U32" s="29">
        <f ca="1">ROUND(('TUSD BE'!$AM$60),2)</f>
        <v>171.12</v>
      </c>
      <c r="V32" s="29">
        <f>ROUND(('TE BE'!$AA$43),2)</f>
        <v>131.56</v>
      </c>
    </row>
    <row r="33" spans="12:22" ht="11.25" customHeight="1" x14ac:dyDescent="0.25">
      <c r="L33" s="124"/>
      <c r="M33" s="124"/>
      <c r="N33" s="124"/>
      <c r="O33" s="31" t="s">
        <v>1011</v>
      </c>
      <c r="P33" s="31" t="s">
        <v>996</v>
      </c>
      <c r="Q33" s="29">
        <v>0</v>
      </c>
      <c r="R33" s="29">
        <f ca="1">ROUND(('TUSD BE'!$AM$61+'TUSD BF'!$AM$61+'TUSD CVA'!$AM$61),2)</f>
        <v>171.39</v>
      </c>
      <c r="S33" s="29">
        <f>ROUND(('TE BE'!$AA$44+'TE BF'!$AA$44+'TE CVA'!$AA$44),2)</f>
        <v>150.47999999999999</v>
      </c>
      <c r="T33" s="29">
        <v>0</v>
      </c>
      <c r="U33" s="29">
        <f ca="1">ROUND(('TUSD BE'!$AM$61),2)</f>
        <v>186.67</v>
      </c>
      <c r="V33" s="29">
        <f>ROUND(('TE BE'!$AA$44),2)</f>
        <v>143.52000000000001</v>
      </c>
    </row>
    <row r="34" spans="12:22" ht="11.25" customHeight="1" x14ac:dyDescent="0.25">
      <c r="L34" s="122" t="s">
        <v>88</v>
      </c>
      <c r="M34" s="122" t="s">
        <v>1012</v>
      </c>
      <c r="N34" s="31" t="s">
        <v>89</v>
      </c>
      <c r="O34" s="31" t="s">
        <v>996</v>
      </c>
      <c r="P34" s="31" t="s">
        <v>996</v>
      </c>
      <c r="Q34" s="29">
        <f ca="1">ROUND(('TUSD BE'!$AM$25+'TUSD BF'!$AM$25+'TUSD CVA'!$AM$25),2)</f>
        <v>9.64</v>
      </c>
      <c r="R34" s="29">
        <v>0</v>
      </c>
      <c r="S34" s="29">
        <v>0</v>
      </c>
      <c r="T34" s="29">
        <f ca="1">ROUND(('TUSD BE'!$AM$25),2)</f>
        <v>10.6</v>
      </c>
      <c r="U34" s="29">
        <v>0</v>
      </c>
      <c r="V34" s="29">
        <v>0</v>
      </c>
    </row>
    <row r="35" spans="12:22" ht="11.25" customHeight="1" x14ac:dyDescent="0.25">
      <c r="L35" s="124"/>
      <c r="M35" s="124"/>
      <c r="N35" s="31" t="s">
        <v>90</v>
      </c>
      <c r="O35" s="31" t="s">
        <v>996</v>
      </c>
      <c r="P35" s="31" t="s">
        <v>996</v>
      </c>
      <c r="Q35" s="29">
        <f ca="1">ROUND(('TUSD BE'!$AM$26+'TUSD BF'!$AM$26+'TUSD CVA'!$AM$26),2)</f>
        <v>16.61</v>
      </c>
      <c r="R35" s="29">
        <v>0</v>
      </c>
      <c r="S35" s="29">
        <v>0</v>
      </c>
      <c r="T35" s="29">
        <f ca="1">ROUND(('TUSD BE'!$AM$26),2)</f>
        <v>18.27</v>
      </c>
      <c r="U35" s="29">
        <v>0</v>
      </c>
      <c r="V35" s="29">
        <v>0</v>
      </c>
    </row>
  </sheetData>
  <mergeCells count="60">
    <mergeCell ref="N32:N33"/>
    <mergeCell ref="O5:O7"/>
    <mergeCell ref="O12:O14"/>
    <mergeCell ref="O17:O19"/>
    <mergeCell ref="O22:O24"/>
    <mergeCell ref="O27:O29"/>
    <mergeCell ref="L34:L35"/>
    <mergeCell ref="M5:M7"/>
    <mergeCell ref="M12:M14"/>
    <mergeCell ref="M17:M19"/>
    <mergeCell ref="M22:M24"/>
    <mergeCell ref="M27:M29"/>
    <mergeCell ref="M32:M33"/>
    <mergeCell ref="M34:M35"/>
    <mergeCell ref="L32:L33"/>
    <mergeCell ref="T2:V2"/>
    <mergeCell ref="T3:U3"/>
    <mergeCell ref="L5:L11"/>
    <mergeCell ref="L12:L26"/>
    <mergeCell ref="L27:L31"/>
    <mergeCell ref="N5:N7"/>
    <mergeCell ref="N12:N14"/>
    <mergeCell ref="N17:N19"/>
    <mergeCell ref="N22:N24"/>
    <mergeCell ref="N27:N29"/>
    <mergeCell ref="C19:C21"/>
    <mergeCell ref="C22:C24"/>
    <mergeCell ref="L1:V1"/>
    <mergeCell ref="L2:L4"/>
    <mergeCell ref="M2:M4"/>
    <mergeCell ref="N2:N4"/>
    <mergeCell ref="O2:O4"/>
    <mergeCell ref="P2:P4"/>
    <mergeCell ref="Q2:S2"/>
    <mergeCell ref="Q3:R3"/>
    <mergeCell ref="C5:C6"/>
    <mergeCell ref="C7:C8"/>
    <mergeCell ref="C9:C11"/>
    <mergeCell ref="C12:C13"/>
    <mergeCell ref="C14:C15"/>
    <mergeCell ref="C16:C18"/>
    <mergeCell ref="A5:A11"/>
    <mergeCell ref="A12:A25"/>
    <mergeCell ref="B5:B6"/>
    <mergeCell ref="B7:B8"/>
    <mergeCell ref="B9:B11"/>
    <mergeCell ref="B12:B13"/>
    <mergeCell ref="B14:B15"/>
    <mergeCell ref="B16:B18"/>
    <mergeCell ref="B19:B21"/>
    <mergeCell ref="B22:B24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090F-6649-4038-A3BE-BF87E97E4335}">
  <dimension ref="A1:AN1214"/>
  <sheetViews>
    <sheetView showGridLines="0" topLeftCell="U1" workbookViewId="0">
      <selection activeCell="AI24" sqref="AI24"/>
    </sheetView>
  </sheetViews>
  <sheetFormatPr defaultRowHeight="11.25" customHeight="1" x14ac:dyDescent="0.25"/>
  <cols>
    <col min="1" max="1" width="19.14062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8" width="10.28515625" style="4" bestFit="1" customWidth="1"/>
    <col min="9" max="9" width="8.7109375" style="5" bestFit="1" customWidth="1"/>
    <col min="10" max="10" width="10.140625" style="6" bestFit="1" customWidth="1"/>
    <col min="11" max="11" width="10.5703125" style="6" bestFit="1" customWidth="1"/>
    <col min="12" max="12" width="10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71093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44" t="s">
        <v>8</v>
      </c>
      <c r="J1" s="30" t="s">
        <v>959</v>
      </c>
      <c r="K1" s="30" t="s">
        <v>960</v>
      </c>
      <c r="L1" s="30" t="s">
        <v>961</v>
      </c>
      <c r="M1" s="30" t="s">
        <v>962</v>
      </c>
      <c r="N1" s="30" t="s">
        <v>963</v>
      </c>
      <c r="O1" s="30" t="s">
        <v>964</v>
      </c>
      <c r="P1" s="7"/>
      <c r="Q1" s="116" t="s">
        <v>965</v>
      </c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L1" s="34" t="s">
        <v>986</v>
      </c>
      <c r="AM1" s="34" t="s">
        <v>65</v>
      </c>
      <c r="AN1" s="34" t="s">
        <v>987</v>
      </c>
    </row>
    <row r="2" spans="1:40" ht="11.25" customHeight="1" x14ac:dyDescent="0.2">
      <c r="A2" s="35" t="s">
        <v>21</v>
      </c>
      <c r="B2" s="35" t="s">
        <v>56</v>
      </c>
      <c r="C2" s="35" t="s">
        <v>40</v>
      </c>
      <c r="D2" s="35" t="s">
        <v>38</v>
      </c>
      <c r="E2" s="35" t="s">
        <v>25</v>
      </c>
      <c r="F2" s="35" t="s">
        <v>25</v>
      </c>
      <c r="G2" s="35" t="s">
        <v>25</v>
      </c>
      <c r="H2" s="35" t="s">
        <v>35</v>
      </c>
      <c r="I2" s="45">
        <v>44228</v>
      </c>
      <c r="J2" s="46">
        <f ca="1">EFEITO!$J$2*EFEITO!$Y$2</f>
        <v>56641.821200705344</v>
      </c>
      <c r="K2" s="46">
        <f ca="1">EFEITO!$L$2*EFEITO!$Z$2</f>
        <v>0</v>
      </c>
      <c r="L2" s="46">
        <f>EFEITO!$N$2*EFEITO!$AA$2</f>
        <v>0</v>
      </c>
      <c r="M2" s="46">
        <f ca="1">$J$2-EFEITO!$K$2*EFEITO!$Y$2</f>
        <v>0</v>
      </c>
      <c r="N2" s="46">
        <f ca="1">$K$2-EFEITO!$M$2*EFEITO!$Z$2</f>
        <v>0</v>
      </c>
      <c r="O2" s="46">
        <f>$L$2-EFEITO!$O$2*EFEITO!$AA$2</f>
        <v>0</v>
      </c>
      <c r="P2" s="38"/>
      <c r="Q2" s="28" t="s">
        <v>68</v>
      </c>
      <c r="R2" s="28" t="s">
        <v>967</v>
      </c>
      <c r="S2" s="28" t="s">
        <v>968</v>
      </c>
      <c r="T2" s="28" t="s">
        <v>969</v>
      </c>
      <c r="U2" s="28" t="s">
        <v>970</v>
      </c>
      <c r="V2" s="28" t="s">
        <v>971</v>
      </c>
      <c r="W2" s="28" t="s">
        <v>972</v>
      </c>
      <c r="X2" s="47" t="s">
        <v>973</v>
      </c>
      <c r="Y2" s="47" t="s">
        <v>974</v>
      </c>
      <c r="Z2" s="47" t="s">
        <v>975</v>
      </c>
      <c r="AA2" s="47" t="s">
        <v>976</v>
      </c>
      <c r="AB2" s="47" t="s">
        <v>977</v>
      </c>
      <c r="AC2" s="47" t="s">
        <v>978</v>
      </c>
      <c r="AD2" s="47" t="s">
        <v>979</v>
      </c>
      <c r="AE2" s="47" t="s">
        <v>980</v>
      </c>
      <c r="AF2" s="47" t="s">
        <v>981</v>
      </c>
      <c r="AG2" s="47" t="s">
        <v>982</v>
      </c>
      <c r="AH2" s="47" t="s">
        <v>983</v>
      </c>
      <c r="AI2" s="47" t="s">
        <v>984</v>
      </c>
      <c r="AJ2" s="47" t="s">
        <v>985</v>
      </c>
      <c r="AL2" s="35"/>
      <c r="AM2" s="35"/>
      <c r="AN2" s="35"/>
    </row>
    <row r="3" spans="1:40" ht="11.25" customHeight="1" x14ac:dyDescent="0.2">
      <c r="A3" s="35" t="s">
        <v>21</v>
      </c>
      <c r="B3" s="35" t="s">
        <v>56</v>
      </c>
      <c r="C3" s="35" t="s">
        <v>40</v>
      </c>
      <c r="D3" s="35" t="s">
        <v>38</v>
      </c>
      <c r="E3" s="35" t="s">
        <v>25</v>
      </c>
      <c r="F3" s="35" t="s">
        <v>25</v>
      </c>
      <c r="G3" s="35" t="s">
        <v>25</v>
      </c>
      <c r="H3" s="35" t="s">
        <v>35</v>
      </c>
      <c r="I3" s="45">
        <v>44256</v>
      </c>
      <c r="J3" s="46">
        <f ca="1">EFEITO!$J$3*EFEITO!$Y$3</f>
        <v>56568.105746144407</v>
      </c>
      <c r="K3" s="46">
        <f ca="1">EFEITO!$L$3*EFEITO!$Z$3</f>
        <v>0</v>
      </c>
      <c r="L3" s="46">
        <f>EFEITO!$N$3*EFEITO!$AA$3</f>
        <v>0</v>
      </c>
      <c r="M3" s="46">
        <f ca="1">$J$3-EFEITO!$K$3*EFEITO!$Y$3</f>
        <v>0</v>
      </c>
      <c r="N3" s="46">
        <f ca="1">$K$3-EFEITO!$M$3*EFEITO!$Z$3</f>
        <v>0</v>
      </c>
      <c r="O3" s="46">
        <f>$L$3-EFEITO!$O$3*EFEITO!$AA$3</f>
        <v>0</v>
      </c>
      <c r="P3" s="38"/>
      <c r="Q3" s="46" t="s">
        <v>966</v>
      </c>
      <c r="R3" s="46">
        <f>SUMIF($B$2:$B$1214,$Q$3,$J$2:$J$1214)</f>
        <v>0</v>
      </c>
      <c r="S3" s="46">
        <f>SUMIF($B$2:$B$1214,$Q$3,$K$2:$K$1214)</f>
        <v>0</v>
      </c>
      <c r="T3" s="46">
        <f>SUMIF($B$2:$B$1214,$Q$3,$L$2:$L$1214)</f>
        <v>0</v>
      </c>
      <c r="U3" s="46">
        <f>SUMIF($B$2:$B$1214,$Q$3,$M$2:$M$1214)</f>
        <v>0</v>
      </c>
      <c r="V3" s="46">
        <f>SUMIF($B$2:$B$1214,$Q$3,$N$2:$N$1214)</f>
        <v>0</v>
      </c>
      <c r="W3" s="46">
        <f>SUMIF($B$2:$B$1214,$Q$3,$O$2:$O$1214)</f>
        <v>0</v>
      </c>
      <c r="X3" s="36">
        <f>$R$3-$U$3</f>
        <v>0</v>
      </c>
      <c r="Y3" s="36">
        <f>$S$3-$V$3</f>
        <v>0</v>
      </c>
      <c r="Z3" s="36">
        <f>$T$3-$W$3</f>
        <v>0</v>
      </c>
      <c r="AA3" s="36">
        <f>SUMIF(EFEITO!$B$2:$B$1214,$Q$3,EFEITO!$AE$2:$AE$1214)</f>
        <v>0</v>
      </c>
      <c r="AB3" s="36">
        <f>SUMIF(EFEITO!$B$2:$B$1214,$Q$3,EFEITO!$AF$2:$AF$1214)</f>
        <v>0</v>
      </c>
      <c r="AC3" s="36">
        <f>SUMIF(EFEITO!$B$2:$B$1214,$Q$3,EFEITO!$AG$2:$AH$1214)</f>
        <v>0</v>
      </c>
      <c r="AD3" s="36">
        <f>SUMIF(SUBSIDIO!$B$2:$B$1214,$Q$3,SUBSIDIO!$AD$2:$AD$1214)</f>
        <v>0</v>
      </c>
      <c r="AE3" s="36">
        <f>SUMIF(SUBSIDIO!$B$2:$B$1214,$Q$3,SUBSIDIO!$AE$2:$AE$1214)</f>
        <v>0</v>
      </c>
      <c r="AF3" s="36" t="str">
        <f>IF(ABS($X$3-$AA$3)&lt;0.01,"OK","ERRO")</f>
        <v>OK</v>
      </c>
      <c r="AG3" s="36" t="str">
        <f>IF(ABS($Y$3-$AB$3)&lt;0.01,"OK","ERRO")</f>
        <v>OK</v>
      </c>
      <c r="AH3" s="36" t="str">
        <f>IF(ABS($Z$3-$AC$3)&lt;0.01,"OK","ERRO")</f>
        <v>OK</v>
      </c>
      <c r="AI3" s="36" t="str">
        <f>IF(ABS($U$3-$AD$3)&lt;0.01,"OK","ERRO")</f>
        <v>OK</v>
      </c>
      <c r="AJ3" s="36" t="str">
        <f>IF(ABS(($V$3+$W$3)-$AE$3)&lt;0.01,"OK","ERRO")</f>
        <v>OK</v>
      </c>
    </row>
    <row r="4" spans="1:40" ht="11.25" customHeight="1" x14ac:dyDescent="0.2">
      <c r="A4" s="35" t="s">
        <v>21</v>
      </c>
      <c r="B4" s="35" t="s">
        <v>56</v>
      </c>
      <c r="C4" s="35" t="s">
        <v>40</v>
      </c>
      <c r="D4" s="35" t="s">
        <v>38</v>
      </c>
      <c r="E4" s="35" t="s">
        <v>25</v>
      </c>
      <c r="F4" s="35" t="s">
        <v>25</v>
      </c>
      <c r="G4" s="35" t="s">
        <v>25</v>
      </c>
      <c r="H4" s="35" t="s">
        <v>35</v>
      </c>
      <c r="I4" s="45">
        <v>44287</v>
      </c>
      <c r="J4" s="46">
        <f ca="1">EFEITO!$J$4*EFEITO!$Y$4</f>
        <v>56154.165116686854</v>
      </c>
      <c r="K4" s="46">
        <f ca="1">EFEITO!$L$4*EFEITO!$Z$4</f>
        <v>0</v>
      </c>
      <c r="L4" s="46">
        <f>EFEITO!$N$4*EFEITO!$AA$4</f>
        <v>0</v>
      </c>
      <c r="M4" s="46">
        <f ca="1">$J$4-EFEITO!$K$4*EFEITO!$Y$4</f>
        <v>0</v>
      </c>
      <c r="N4" s="46">
        <f ca="1">$K$4-EFEITO!$M$4*EFEITO!$Z$4</f>
        <v>0</v>
      </c>
      <c r="O4" s="46">
        <f>$L$4-EFEITO!$O$4*EFEITO!$AA$4</f>
        <v>0</v>
      </c>
      <c r="P4" s="38"/>
      <c r="Q4" s="46" t="s">
        <v>848</v>
      </c>
      <c r="R4" s="46">
        <f>SUMIF($B$2:$B$1214,$Q$4,$J$2:$J$1214)</f>
        <v>0</v>
      </c>
      <c r="S4" s="46">
        <f>SUMIF($B$2:$B$1214,$Q$4,$K$2:$K$1214)</f>
        <v>0</v>
      </c>
      <c r="T4" s="46">
        <f>SUMIF($B$2:$B$1214,$Q$4,$L$2:$L$1214)</f>
        <v>0</v>
      </c>
      <c r="U4" s="46">
        <f>SUMIF($B$2:$B$1214,$Q$4,$M$2:$M$1214)</f>
        <v>0</v>
      </c>
      <c r="V4" s="46">
        <f>SUMIF($B$2:$B$1214,$Q$4,$N$2:$N$1214)</f>
        <v>0</v>
      </c>
      <c r="W4" s="46">
        <f>SUMIF($B$2:$B$1214,$Q$4,$O$2:$O$1214)</f>
        <v>0</v>
      </c>
      <c r="X4" s="36">
        <f>$R$4-$U$4</f>
        <v>0</v>
      </c>
      <c r="Y4" s="36">
        <f>$S$4-$V$4</f>
        <v>0</v>
      </c>
      <c r="Z4" s="36">
        <f>$T$4-$W$4</f>
        <v>0</v>
      </c>
      <c r="AA4" s="36">
        <f>SUMIF(EFEITO!$B$2:$B$1214,$Q$4,EFEITO!$AE$2:$AE$1214)</f>
        <v>0</v>
      </c>
      <c r="AB4" s="36">
        <f>SUMIF(EFEITO!$B$2:$B$1214,$Q$4,EFEITO!$AF$2:$AF$1214)</f>
        <v>0</v>
      </c>
      <c r="AC4" s="36">
        <f>SUMIF(EFEITO!$B$2:$B$1214,$Q$4,EFEITO!$AG$2:$AH$1214)</f>
        <v>0</v>
      </c>
      <c r="AD4" s="36">
        <f>SUMIF(SUBSIDIO!$B$2:$B$1214,$Q$4,SUBSIDIO!$AD$2:$AD$1214)</f>
        <v>0</v>
      </c>
      <c r="AE4" s="36">
        <f>SUMIF(SUBSIDIO!$B$2:$B$1214,$Q$4,SUBSIDIO!$AE$2:$AE$1214)</f>
        <v>0</v>
      </c>
      <c r="AF4" s="36" t="str">
        <f>IF(ABS($X$4-$AA$4)&lt;0.01,"OK","ERRO")</f>
        <v>OK</v>
      </c>
      <c r="AG4" s="36" t="str">
        <f>IF(ABS($Y$4-$AB$4)&lt;0.01,"OK","ERRO")</f>
        <v>OK</v>
      </c>
      <c r="AH4" s="36" t="str">
        <f>IF(ABS($Z$4-$AC$4)&lt;0.01,"OK","ERRO")</f>
        <v>OK</v>
      </c>
      <c r="AI4" s="36" t="str">
        <f>IF(ABS($U$4-$AD$4)&lt;0.01,"OK","ERRO")</f>
        <v>OK</v>
      </c>
      <c r="AJ4" s="36" t="str">
        <f>IF(ABS(($V$4+$W$4)-$AE$4)&lt;0.01,"OK","ERRO")</f>
        <v>OK</v>
      </c>
    </row>
    <row r="5" spans="1:40" ht="11.25" customHeight="1" x14ac:dyDescent="0.2">
      <c r="A5" s="35" t="s">
        <v>21</v>
      </c>
      <c r="B5" s="35" t="s">
        <v>56</v>
      </c>
      <c r="C5" s="35" t="s">
        <v>40</v>
      </c>
      <c r="D5" s="35" t="s">
        <v>38</v>
      </c>
      <c r="E5" s="35" t="s">
        <v>25</v>
      </c>
      <c r="F5" s="35" t="s">
        <v>25</v>
      </c>
      <c r="G5" s="35" t="s">
        <v>25</v>
      </c>
      <c r="H5" s="35" t="s">
        <v>35</v>
      </c>
      <c r="I5" s="45">
        <v>44317</v>
      </c>
      <c r="J5" s="46">
        <f ca="1">EFEITO!$J$5*EFEITO!$Y$5</f>
        <v>55564.441480199384</v>
      </c>
      <c r="K5" s="46">
        <f ca="1">EFEITO!$L$5*EFEITO!$Z$5</f>
        <v>0</v>
      </c>
      <c r="L5" s="46">
        <f>EFEITO!$N$5*EFEITO!$AA$5</f>
        <v>0</v>
      </c>
      <c r="M5" s="46">
        <f ca="1">$J$5-EFEITO!$K$5*EFEITO!$Y$5</f>
        <v>0</v>
      </c>
      <c r="N5" s="46">
        <f ca="1">$K$5-EFEITO!$M$5*EFEITO!$Z$5</f>
        <v>0</v>
      </c>
      <c r="O5" s="46">
        <f>$L$5-EFEITO!$O$5*EFEITO!$AA$5</f>
        <v>0</v>
      </c>
      <c r="P5" s="38"/>
      <c r="Q5" s="46" t="s">
        <v>56</v>
      </c>
      <c r="R5" s="46">
        <f ca="1">SUMIF($B$2:$B$1214,$Q$5,$J$2:$J$1214)</f>
        <v>6160886.680397626</v>
      </c>
      <c r="S5" s="46">
        <f ca="1">SUMIF($B$2:$B$1214,$Q$5,$K$2:$K$1214)</f>
        <v>2754019.5791894072</v>
      </c>
      <c r="T5" s="46">
        <f>SUMIF($B$2:$B$1214,$Q$5,$L$2:$L$1214)</f>
        <v>0</v>
      </c>
      <c r="U5" s="46">
        <f ca="1">SUMIF($B$2:$B$1214,$Q$5,$M$2:$M$1214)</f>
        <v>0</v>
      </c>
      <c r="V5" s="46">
        <f ca="1">SUMIF($B$2:$B$1214,$Q$5,$N$2:$N$1214)</f>
        <v>0</v>
      </c>
      <c r="W5" s="46">
        <f>SUMIF($B$2:$B$1214,$Q$5,$O$2:$O$1214)</f>
        <v>0</v>
      </c>
      <c r="X5" s="36">
        <f ca="1">$R$5-$U$5</f>
        <v>6160886.680397626</v>
      </c>
      <c r="Y5" s="36">
        <f ca="1">$S$5-$V$5</f>
        <v>2754019.5791894072</v>
      </c>
      <c r="Z5" s="36">
        <f>$T$5-$W$5</f>
        <v>0</v>
      </c>
      <c r="AA5" s="36">
        <f ca="1">SUMIF(EFEITO!$B$2:$B$1214,$Q$5,EFEITO!$AE$2:$AE$1214)</f>
        <v>6160886.680397626</v>
      </c>
      <c r="AB5" s="36">
        <f ca="1">SUMIF(EFEITO!$B$2:$B$1214,$Q$5,EFEITO!$AF$2:$AF$1214)</f>
        <v>2754019.5791894072</v>
      </c>
      <c r="AC5" s="36">
        <f>SUMIF(EFEITO!$B$2:$B$1214,$Q$5,EFEITO!$AG$2:$AH$1214)</f>
        <v>0</v>
      </c>
      <c r="AD5" s="36">
        <f>SUMIF(SUBSIDIO!$B$2:$B$1214,$Q$5,SUBSIDIO!$AD$2:$AD$1214)</f>
        <v>0</v>
      </c>
      <c r="AE5" s="36">
        <f>SUMIF(SUBSIDIO!$B$2:$B$1214,$Q$5,SUBSIDIO!$AE$2:$AE$1214)</f>
        <v>0</v>
      </c>
      <c r="AF5" s="36" t="str">
        <f ca="1">IF(ABS($X$5-$AA$5)&lt;0.01,"OK","ERRO")</f>
        <v>OK</v>
      </c>
      <c r="AG5" s="36" t="str">
        <f ca="1">IF(ABS($Y$5-$AB$5)&lt;0.01,"OK","ERRO")</f>
        <v>OK</v>
      </c>
      <c r="AH5" s="36" t="str">
        <f>IF(ABS($Z$5-$AC$5)&lt;0.01,"OK","ERRO")</f>
        <v>OK</v>
      </c>
      <c r="AI5" s="36" t="str">
        <f ca="1">IF(ABS($U$5-$AD$5)&lt;0.01,"OK","ERRO")</f>
        <v>OK</v>
      </c>
      <c r="AJ5" s="36" t="str">
        <f ca="1">IF(ABS(($V$5+$W$5)-$AE$5)&lt;0.01,"OK","ERRO")</f>
        <v>OK</v>
      </c>
    </row>
    <row r="6" spans="1:40" ht="11.25" customHeight="1" x14ac:dyDescent="0.2">
      <c r="A6" s="35" t="s">
        <v>21</v>
      </c>
      <c r="B6" s="35" t="s">
        <v>56</v>
      </c>
      <c r="C6" s="35" t="s">
        <v>40</v>
      </c>
      <c r="D6" s="35" t="s">
        <v>38</v>
      </c>
      <c r="E6" s="35" t="s">
        <v>25</v>
      </c>
      <c r="F6" s="35" t="s">
        <v>25</v>
      </c>
      <c r="G6" s="35" t="s">
        <v>25</v>
      </c>
      <c r="H6" s="35" t="s">
        <v>35</v>
      </c>
      <c r="I6" s="45">
        <v>44348</v>
      </c>
      <c r="J6" s="46">
        <f ca="1">EFEITO!$J$6*EFEITO!$Y$6</f>
        <v>57084.113928070947</v>
      </c>
      <c r="K6" s="46">
        <f ca="1">EFEITO!$L$6*EFEITO!$Z$6</f>
        <v>0</v>
      </c>
      <c r="L6" s="46">
        <f>EFEITO!$N$6*EFEITO!$AA$6</f>
        <v>0</v>
      </c>
      <c r="M6" s="46">
        <f ca="1">$J$6-EFEITO!$K$6*EFEITO!$Y$6</f>
        <v>0</v>
      </c>
      <c r="N6" s="46">
        <f ca="1">$K$6-EFEITO!$M$6*EFEITO!$Z$6</f>
        <v>0</v>
      </c>
      <c r="O6" s="46">
        <f>$L$6-EFEITO!$O$6*EFEITO!$AA$6</f>
        <v>0</v>
      </c>
      <c r="P6" s="38"/>
      <c r="Q6" s="46" t="s">
        <v>849</v>
      </c>
      <c r="R6" s="46">
        <f>SUMIF($B$2:$B$1214,$Q$6,$J$2:$J$1214)</f>
        <v>0</v>
      </c>
      <c r="S6" s="46">
        <f>SUMIF($B$2:$B$1214,$Q$6,$K$2:$K$1214)</f>
        <v>0</v>
      </c>
      <c r="T6" s="46">
        <f>SUMIF($B$2:$B$1214,$Q$6,$L$2:$L$1214)</f>
        <v>0</v>
      </c>
      <c r="U6" s="46">
        <f>SUMIF($B$2:$B$1214,$Q$6,$M$2:$M$1214)</f>
        <v>0</v>
      </c>
      <c r="V6" s="46">
        <f>SUMIF($B$2:$B$1214,$Q$6,$N$2:$N$1214)</f>
        <v>0</v>
      </c>
      <c r="W6" s="46">
        <f>SUMIF($B$2:$B$1214,$Q$6,$O$2:$O$1214)</f>
        <v>0</v>
      </c>
      <c r="X6" s="36">
        <f>$R$6-$U$6</f>
        <v>0</v>
      </c>
      <c r="Y6" s="36">
        <f>$S$6-$V$6</f>
        <v>0</v>
      </c>
      <c r="Z6" s="36">
        <f>$T$6-$W$6</f>
        <v>0</v>
      </c>
      <c r="AA6" s="36">
        <f>SUMIF(EFEITO!$B$2:$B$1214,$Q$6,EFEITO!$AE$2:$AE$1214)</f>
        <v>0</v>
      </c>
      <c r="AB6" s="36">
        <f>SUMIF(EFEITO!$B$2:$B$1214,$Q$6,EFEITO!$AF$2:$AF$1214)</f>
        <v>0</v>
      </c>
      <c r="AC6" s="36">
        <f>SUMIF(EFEITO!$B$2:$B$1214,$Q$6,EFEITO!$AG$2:$AH$1214)</f>
        <v>0</v>
      </c>
      <c r="AD6" s="36">
        <f>SUMIF(SUBSIDIO!$B$2:$B$1214,$Q$6,SUBSIDIO!$AD$2:$AD$1214)</f>
        <v>0</v>
      </c>
      <c r="AE6" s="36">
        <f>SUMIF(SUBSIDIO!$B$2:$B$1214,$Q$6,SUBSIDIO!$AE$2:$AE$1214)</f>
        <v>0</v>
      </c>
      <c r="AF6" s="36" t="str">
        <f>IF(ABS($X$6-$AA$6)&lt;0.01,"OK","ERRO")</f>
        <v>OK</v>
      </c>
      <c r="AG6" s="36" t="str">
        <f>IF(ABS($Y$6-$AB$6)&lt;0.01,"OK","ERRO")</f>
        <v>OK</v>
      </c>
      <c r="AH6" s="36" t="str">
        <f>IF(ABS($Z$6-$AC$6)&lt;0.01,"OK","ERRO")</f>
        <v>OK</v>
      </c>
      <c r="AI6" s="36" t="str">
        <f>IF(ABS($U$6-$AD$6)&lt;0.01,"OK","ERRO")</f>
        <v>OK</v>
      </c>
      <c r="AJ6" s="36" t="str">
        <f>IF(ABS(($V$6+$W$6)-$AE$6)&lt;0.01,"OK","ERRO")</f>
        <v>OK</v>
      </c>
    </row>
    <row r="7" spans="1:40" ht="11.25" customHeight="1" x14ac:dyDescent="0.2">
      <c r="A7" s="35" t="s">
        <v>21</v>
      </c>
      <c r="B7" s="35" t="s">
        <v>56</v>
      </c>
      <c r="C7" s="35" t="s">
        <v>40</v>
      </c>
      <c r="D7" s="35" t="s">
        <v>38</v>
      </c>
      <c r="E7" s="35" t="s">
        <v>25</v>
      </c>
      <c r="F7" s="35" t="s">
        <v>25</v>
      </c>
      <c r="G7" s="35" t="s">
        <v>25</v>
      </c>
      <c r="H7" s="35" t="s">
        <v>35</v>
      </c>
      <c r="I7" s="45">
        <v>44378</v>
      </c>
      <c r="J7" s="46">
        <f ca="1">EFEITO!$J$7*EFEITO!$Y$7</f>
        <v>54402.005465969269</v>
      </c>
      <c r="K7" s="46">
        <f ca="1">EFEITO!$L$7*EFEITO!$Z$7</f>
        <v>0</v>
      </c>
      <c r="L7" s="46">
        <f>EFEITO!$N$7*EFEITO!$AA$7</f>
        <v>0</v>
      </c>
      <c r="M7" s="46">
        <f ca="1">$J$7-EFEITO!$K$7*EFEITO!$Y$7</f>
        <v>0</v>
      </c>
      <c r="N7" s="46">
        <f ca="1">$K$7-EFEITO!$M$7*EFEITO!$Z$7</f>
        <v>0</v>
      </c>
      <c r="O7" s="46">
        <f>$L$7-EFEITO!$O$7*EFEITO!$AA$7</f>
        <v>0</v>
      </c>
      <c r="P7" s="38"/>
      <c r="Q7" s="46" t="s">
        <v>39</v>
      </c>
      <c r="R7" s="46">
        <f ca="1">SUMIF($B$2:$B$1214,$Q$7,$J$2:$J$1214)</f>
        <v>18970294.073303528</v>
      </c>
      <c r="S7" s="46">
        <f ca="1">SUMIF($B$2:$B$1214,$Q$7,$K$2:$K$1214)</f>
        <v>19026109.836307149</v>
      </c>
      <c r="T7" s="46">
        <f>SUMIF($B$2:$B$1214,$Q$7,$L$2:$L$1214)</f>
        <v>29054371.602459084</v>
      </c>
      <c r="U7" s="46">
        <f ca="1">SUMIF($B$2:$B$1214,$Q$7,$M$2:$M$1214)</f>
        <v>2853916.4819564237</v>
      </c>
      <c r="V7" s="46">
        <f ca="1">SUMIF($B$2:$B$1214,$Q$7,$N$2:$N$1214)</f>
        <v>1854815.691818285</v>
      </c>
      <c r="W7" s="46">
        <f>SUMIF($B$2:$B$1214,$Q$7,$O$2:$O$1214)</f>
        <v>95848.907163669282</v>
      </c>
      <c r="X7" s="36">
        <f ca="1">$R$7-$U$7</f>
        <v>16116377.591347104</v>
      </c>
      <c r="Y7" s="36">
        <f ca="1">$S$7-$V$7</f>
        <v>17171294.144488864</v>
      </c>
      <c r="Z7" s="36">
        <f>$T$7-$W$7</f>
        <v>28958522.695295416</v>
      </c>
      <c r="AA7" s="36">
        <f ca="1">SUMIF(EFEITO!$B$2:$B$1214,$Q$7,EFEITO!$AE$2:$AE$1214)</f>
        <v>16116377.59134708</v>
      </c>
      <c r="AB7" s="36">
        <f ca="1">SUMIF(EFEITO!$B$2:$B$1214,$Q$7,EFEITO!$AF$2:$AF$1214)</f>
        <v>17171294.144488882</v>
      </c>
      <c r="AC7" s="36">
        <f>SUMIF(EFEITO!$B$2:$B$1214,$Q$7,EFEITO!$AG$2:$AH$1214)</f>
        <v>28958522.695295386</v>
      </c>
      <c r="AD7" s="36">
        <f ca="1">SUMIF(SUBSIDIO!$B$2:$B$1214,$Q$7,SUBSIDIO!$AD$2:$AD$1214)</f>
        <v>2853916.4819564233</v>
      </c>
      <c r="AE7" s="36">
        <f ca="1">SUMIF(SUBSIDIO!$B$2:$B$1214,$Q$7,SUBSIDIO!$AE$2:$AE$1214)</f>
        <v>1950664.5989819549</v>
      </c>
      <c r="AF7" s="36" t="str">
        <f ca="1">IF(ABS($X$7-$AA$7)&lt;0.01,"OK","ERRO")</f>
        <v>OK</v>
      </c>
      <c r="AG7" s="36" t="str">
        <f ca="1">IF(ABS($Y$7-$AB$7)&lt;0.01,"OK","ERRO")</f>
        <v>OK</v>
      </c>
      <c r="AH7" s="36" t="str">
        <f>IF(ABS($Z$7-$AC$7)&lt;0.01,"OK","ERRO")</f>
        <v>OK</v>
      </c>
      <c r="AI7" s="36" t="str">
        <f ca="1">IF(ABS($U$7-$AD$7)&lt;0.01,"OK","ERRO")</f>
        <v>OK</v>
      </c>
      <c r="AJ7" s="36" t="str">
        <f ca="1">IF(ABS(($V$7+$W$7)-$AE$7)&lt;0.01,"OK","ERRO")</f>
        <v>OK</v>
      </c>
    </row>
    <row r="8" spans="1:40" ht="11.25" customHeight="1" x14ac:dyDescent="0.2">
      <c r="A8" s="35" t="s">
        <v>21</v>
      </c>
      <c r="B8" s="35" t="s">
        <v>56</v>
      </c>
      <c r="C8" s="35" t="s">
        <v>40</v>
      </c>
      <c r="D8" s="35" t="s">
        <v>38</v>
      </c>
      <c r="E8" s="35" t="s">
        <v>25</v>
      </c>
      <c r="F8" s="35" t="s">
        <v>25</v>
      </c>
      <c r="G8" s="35" t="s">
        <v>25</v>
      </c>
      <c r="H8" s="35" t="s">
        <v>35</v>
      </c>
      <c r="I8" s="45">
        <v>44409</v>
      </c>
      <c r="J8" s="46">
        <f ca="1">EFEITO!$J$8*EFEITO!$Y$8</f>
        <v>55105.137494088951</v>
      </c>
      <c r="K8" s="46">
        <f ca="1">EFEITO!$L$8*EFEITO!$Z$8</f>
        <v>0</v>
      </c>
      <c r="L8" s="46">
        <f>EFEITO!$N$8*EFEITO!$AA$8</f>
        <v>0</v>
      </c>
      <c r="M8" s="46">
        <f ca="1">$J$8-EFEITO!$K$8*EFEITO!$Y$8</f>
        <v>0</v>
      </c>
      <c r="N8" s="46">
        <f ca="1">$K$8-EFEITO!$M$8*EFEITO!$Z$8</f>
        <v>0</v>
      </c>
      <c r="O8" s="46">
        <f>$L$8-EFEITO!$O$8*EFEITO!$AA$8</f>
        <v>0</v>
      </c>
      <c r="P8" s="38"/>
      <c r="Q8" s="46" t="s">
        <v>850</v>
      </c>
      <c r="R8" s="46">
        <f>SUMIF($B$2:$B$1214,$Q$8,$J$2:$J$1214)</f>
        <v>0</v>
      </c>
      <c r="S8" s="46">
        <f>SUMIF($B$2:$B$1214,$Q$8,$K$2:$K$1214)</f>
        <v>0</v>
      </c>
      <c r="T8" s="46">
        <f>SUMIF($B$2:$B$1214,$Q$8,$L$2:$L$1214)</f>
        <v>0</v>
      </c>
      <c r="U8" s="46">
        <f>SUMIF($B$2:$B$1214,$Q$8,$M$2:$M$1214)</f>
        <v>0</v>
      </c>
      <c r="V8" s="46">
        <f>SUMIF($B$2:$B$1214,$Q$8,$N$2:$N$1214)</f>
        <v>0</v>
      </c>
      <c r="W8" s="46">
        <f>SUMIF($B$2:$B$1214,$Q$8,$O$2:$O$1214)</f>
        <v>0</v>
      </c>
      <c r="X8" s="36">
        <f>$R$8-$U$8</f>
        <v>0</v>
      </c>
      <c r="Y8" s="36">
        <f>$S$8-$V$8</f>
        <v>0</v>
      </c>
      <c r="Z8" s="36">
        <f>$T$8-$W$8</f>
        <v>0</v>
      </c>
      <c r="AA8" s="36">
        <f>SUMIF(EFEITO!$B$2:$B$1214,$Q$8,EFEITO!$AE$2:$AE$1214)</f>
        <v>0</v>
      </c>
      <c r="AB8" s="36">
        <f>SUMIF(EFEITO!$B$2:$B$1214,$Q$8,EFEITO!$AF$2:$AF$1214)</f>
        <v>0</v>
      </c>
      <c r="AC8" s="36">
        <f>SUMIF(EFEITO!$B$2:$B$1214,$Q$8,EFEITO!$AG$2:$AH$1214)</f>
        <v>0</v>
      </c>
      <c r="AD8" s="36">
        <f>SUMIF(SUBSIDIO!$B$2:$B$1214,$Q$8,SUBSIDIO!$AD$2:$AD$1214)</f>
        <v>0</v>
      </c>
      <c r="AE8" s="36">
        <f>SUMIF(SUBSIDIO!$B$2:$B$1214,$Q$8,SUBSIDIO!$AE$2:$AE$1214)</f>
        <v>0</v>
      </c>
      <c r="AF8" s="36" t="str">
        <f>IF(ABS($X$8-$AA$8)&lt;0.01,"OK","ERRO")</f>
        <v>OK</v>
      </c>
      <c r="AG8" s="36" t="str">
        <f>IF(ABS($Y$8-$AB$8)&lt;0.01,"OK","ERRO")</f>
        <v>OK</v>
      </c>
      <c r="AH8" s="36" t="str">
        <f>IF(ABS($Z$8-$AC$8)&lt;0.01,"OK","ERRO")</f>
        <v>OK</v>
      </c>
      <c r="AI8" s="36" t="str">
        <f>IF(ABS($U$8-$AD$8)&lt;0.01,"OK","ERRO")</f>
        <v>OK</v>
      </c>
      <c r="AJ8" s="36" t="str">
        <f>IF(ABS(($V$8+$W$8)-$AE$8)&lt;0.01,"OK","ERRO")</f>
        <v>OK</v>
      </c>
    </row>
    <row r="9" spans="1:40" ht="11.25" customHeight="1" x14ac:dyDescent="0.2">
      <c r="A9" s="35" t="s">
        <v>21</v>
      </c>
      <c r="B9" s="35" t="s">
        <v>56</v>
      </c>
      <c r="C9" s="35" t="s">
        <v>40</v>
      </c>
      <c r="D9" s="35" t="s">
        <v>38</v>
      </c>
      <c r="E9" s="35" t="s">
        <v>25</v>
      </c>
      <c r="F9" s="35" t="s">
        <v>25</v>
      </c>
      <c r="G9" s="35" t="s">
        <v>25</v>
      </c>
      <c r="H9" s="35" t="s">
        <v>35</v>
      </c>
      <c r="I9" s="45">
        <v>44440</v>
      </c>
      <c r="J9" s="46">
        <f ca="1">EFEITO!$J$9*EFEITO!$Y$9</f>
        <v>54532.425116346312</v>
      </c>
      <c r="K9" s="46">
        <f ca="1">EFEITO!$L$9*EFEITO!$Z$9</f>
        <v>0</v>
      </c>
      <c r="L9" s="46">
        <f>EFEITO!$N$9*EFEITO!$AA$9</f>
        <v>0</v>
      </c>
      <c r="M9" s="46">
        <f ca="1">$J$9-EFEITO!$K$9*EFEITO!$Y$9</f>
        <v>0</v>
      </c>
      <c r="N9" s="46">
        <f ca="1">$K$9-EFEITO!$M$9*EFEITO!$Z$9</f>
        <v>0</v>
      </c>
      <c r="O9" s="46">
        <f>$L$9-EFEITO!$O$9*EFEITO!$AA$9</f>
        <v>0</v>
      </c>
      <c r="P9" s="38"/>
      <c r="Q9" s="46" t="s">
        <v>22</v>
      </c>
      <c r="R9" s="46">
        <f>SUMIF($B$2:$B$1214,$Q$9,$J$2:$J$1214)</f>
        <v>0</v>
      </c>
      <c r="S9" s="46">
        <f ca="1">SUMIF($B$2:$B$1214,$Q$9,$K$2:$K$1214)</f>
        <v>78404960.94351472</v>
      </c>
      <c r="T9" s="46">
        <f>SUMIF($B$2:$B$1214,$Q$9,$L$2:$L$1214)</f>
        <v>71693687.859352991</v>
      </c>
      <c r="U9" s="46">
        <f>SUMIF($B$2:$B$1214,$Q$9,$M$2:$M$1214)</f>
        <v>0</v>
      </c>
      <c r="V9" s="46">
        <f ca="1">SUMIF($B$2:$B$1214,$Q$9,$N$2:$N$1214)</f>
        <v>6604093.2188218106</v>
      </c>
      <c r="W9" s="46">
        <f>SUMIF($B$2:$B$1214,$Q$9,$O$2:$O$1214)</f>
        <v>6938283.7028397713</v>
      </c>
      <c r="X9" s="36">
        <f>$R$9-$U$9</f>
        <v>0</v>
      </c>
      <c r="Y9" s="36">
        <f ca="1">$S$9-$V$9</f>
        <v>71800867.724692911</v>
      </c>
      <c r="Z9" s="36">
        <f>$T$9-$W$9</f>
        <v>64755404.156513222</v>
      </c>
      <c r="AA9" s="36">
        <f>SUMIF(EFEITO!$B$2:$B$1214,$Q$9,EFEITO!$AE$2:$AE$1214)</f>
        <v>0</v>
      </c>
      <c r="AB9" s="36">
        <f ca="1">SUMIF(EFEITO!$B$2:$B$1214,$Q$9,EFEITO!$AF$2:$AF$1214)</f>
        <v>71800867.724692926</v>
      </c>
      <c r="AC9" s="36">
        <f>SUMIF(EFEITO!$B$2:$B$1214,$Q$9,EFEITO!$AG$2:$AH$1214)</f>
        <v>64755404.156513229</v>
      </c>
      <c r="AD9" s="36">
        <f>SUMIF(SUBSIDIO!$B$2:$B$1214,$Q$9,SUBSIDIO!$AD$2:$AD$1214)</f>
        <v>0</v>
      </c>
      <c r="AE9" s="36">
        <f ca="1">SUMIF(SUBSIDIO!$B$2:$B$1214,$Q$9,SUBSIDIO!$AE$2:$AE$1214)</f>
        <v>13542376.921661586</v>
      </c>
      <c r="AF9" s="36" t="str">
        <f>IF(ABS($X$9-$AA$9)&lt;0.01,"OK","ERRO")</f>
        <v>OK</v>
      </c>
      <c r="AG9" s="36" t="str">
        <f ca="1">IF(ABS($Y$9-$AB$9)&lt;0.01,"OK","ERRO")</f>
        <v>OK</v>
      </c>
      <c r="AH9" s="36" t="str">
        <f>IF(ABS($Z$9-$AC$9)&lt;0.01,"OK","ERRO")</f>
        <v>OK</v>
      </c>
      <c r="AI9" s="36" t="str">
        <f>IF(ABS($U$9-$AD$9)&lt;0.01,"OK","ERRO")</f>
        <v>OK</v>
      </c>
      <c r="AJ9" s="36" t="str">
        <f ca="1">IF(ABS(($V$9+$W$9)-$AE$9)&lt;0.01,"OK","ERRO")</f>
        <v>OK</v>
      </c>
    </row>
    <row r="10" spans="1:40" ht="11.25" customHeight="1" x14ac:dyDescent="0.2">
      <c r="A10" s="35" t="s">
        <v>21</v>
      </c>
      <c r="B10" s="35" t="s">
        <v>56</v>
      </c>
      <c r="C10" s="35" t="s">
        <v>40</v>
      </c>
      <c r="D10" s="35" t="s">
        <v>38</v>
      </c>
      <c r="E10" s="35" t="s">
        <v>25</v>
      </c>
      <c r="F10" s="35" t="s">
        <v>25</v>
      </c>
      <c r="G10" s="35" t="s">
        <v>25</v>
      </c>
      <c r="H10" s="35" t="s">
        <v>35</v>
      </c>
      <c r="I10" s="45">
        <v>44470</v>
      </c>
      <c r="J10" s="46">
        <f ca="1">EFEITO!$J$10*EFEITO!$Y$10</f>
        <v>54265.915396010627</v>
      </c>
      <c r="K10" s="46">
        <f ca="1">EFEITO!$L$10*EFEITO!$Z$10</f>
        <v>0</v>
      </c>
      <c r="L10" s="46">
        <f>EFEITO!$N$10*EFEITO!$AA$10</f>
        <v>0</v>
      </c>
      <c r="M10" s="46">
        <f ca="1">$J$10-EFEITO!$K$10*EFEITO!$Y$10</f>
        <v>0</v>
      </c>
      <c r="N10" s="46">
        <f ca="1">$K$10-EFEITO!$M$10*EFEITO!$Z$10</f>
        <v>0</v>
      </c>
      <c r="O10" s="46">
        <f>$L$10-EFEITO!$O$10*EFEITO!$AA$10</f>
        <v>0</v>
      </c>
      <c r="P10" s="38"/>
      <c r="Q10" s="46" t="s">
        <v>43</v>
      </c>
      <c r="R10" s="46">
        <f>SUMIF($B$2:$B$1214,$Q$10,$J$2:$J$1214)</f>
        <v>0</v>
      </c>
      <c r="S10" s="46">
        <f ca="1">SUMIF($B$2:$B$1214,$Q$10,$K$2:$K$1214)</f>
        <v>6782561.7318264386</v>
      </c>
      <c r="T10" s="46">
        <f>SUMIF($B$2:$B$1214,$Q$10,$L$2:$L$1214)</f>
        <v>5955141.6627801564</v>
      </c>
      <c r="U10" s="46">
        <f>SUMIF($B$2:$B$1214,$Q$10,$M$2:$M$1214)</f>
        <v>0</v>
      </c>
      <c r="V10" s="46">
        <f ca="1">SUMIF($B$2:$B$1214,$Q$10,$N$2:$N$1214)</f>
        <v>767790.56493506138</v>
      </c>
      <c r="W10" s="46">
        <f>SUMIF($B$2:$B$1214,$Q$10,$O$2:$O$1214)</f>
        <v>674119.89826261753</v>
      </c>
      <c r="X10" s="36">
        <f>$R$10-$U$10</f>
        <v>0</v>
      </c>
      <c r="Y10" s="36">
        <f ca="1">$S$10-$V$10</f>
        <v>6014771.1668913774</v>
      </c>
      <c r="Z10" s="36">
        <f>$T$10-$W$10</f>
        <v>5281021.7645175392</v>
      </c>
      <c r="AA10" s="36">
        <f>SUMIF(EFEITO!$B$2:$B$1214,$Q$10,EFEITO!$AE$2:$AE$1214)</f>
        <v>0</v>
      </c>
      <c r="AB10" s="36">
        <f ca="1">SUMIF(EFEITO!$B$2:$B$1214,$Q$10,EFEITO!$AF$2:$AF$1214)</f>
        <v>6014771.1668913737</v>
      </c>
      <c r="AC10" s="36">
        <f>SUMIF(EFEITO!$B$2:$B$1214,$Q$10,EFEITO!$AG$2:$AH$1214)</f>
        <v>5281021.764517541</v>
      </c>
      <c r="AD10" s="36">
        <f>SUMIF(SUBSIDIO!$B$2:$B$1214,$Q$10,SUBSIDIO!$AD$2:$AD$1214)</f>
        <v>0</v>
      </c>
      <c r="AE10" s="36">
        <f ca="1">SUMIF(SUBSIDIO!$B$2:$B$1214,$Q$10,SUBSIDIO!$AE$2:$AE$1214)</f>
        <v>1441910.4631976781</v>
      </c>
      <c r="AF10" s="36" t="str">
        <f>IF(ABS($X$10-$AA$10)&lt;0.01,"OK","ERRO")</f>
        <v>OK</v>
      </c>
      <c r="AG10" s="36" t="str">
        <f ca="1">IF(ABS($Y$10-$AB$10)&lt;0.01,"OK","ERRO")</f>
        <v>OK</v>
      </c>
      <c r="AH10" s="36" t="str">
        <f>IF(ABS($Z$10-$AC$10)&lt;0.01,"OK","ERRO")</f>
        <v>OK</v>
      </c>
      <c r="AI10" s="36" t="str">
        <f>IF(ABS($U$10-$AD$10)&lt;0.01,"OK","ERRO")</f>
        <v>OK</v>
      </c>
      <c r="AJ10" s="36" t="str">
        <f ca="1">IF(ABS(($V$10+$W$10)-$AE$10)&lt;0.01,"OK","ERRO")</f>
        <v>OK</v>
      </c>
    </row>
    <row r="11" spans="1:40" ht="11.25" customHeight="1" x14ac:dyDescent="0.2">
      <c r="A11" s="35" t="s">
        <v>21</v>
      </c>
      <c r="B11" s="35" t="s">
        <v>56</v>
      </c>
      <c r="C11" s="35" t="s">
        <v>40</v>
      </c>
      <c r="D11" s="35" t="s">
        <v>38</v>
      </c>
      <c r="E11" s="35" t="s">
        <v>25</v>
      </c>
      <c r="F11" s="35" t="s">
        <v>25</v>
      </c>
      <c r="G11" s="35" t="s">
        <v>25</v>
      </c>
      <c r="H11" s="35" t="s">
        <v>35</v>
      </c>
      <c r="I11" s="45">
        <v>44501</v>
      </c>
      <c r="J11" s="46">
        <f ca="1">EFEITO!$J$11*EFEITO!$Y$11</f>
        <v>55768.576585137358</v>
      </c>
      <c r="K11" s="46">
        <f ca="1">EFEITO!$L$11*EFEITO!$Z$11</f>
        <v>0</v>
      </c>
      <c r="L11" s="46">
        <f>EFEITO!$N$11*EFEITO!$AA$11</f>
        <v>0</v>
      </c>
      <c r="M11" s="46">
        <f ca="1">$J$11-EFEITO!$K$11*EFEITO!$Y$11</f>
        <v>0</v>
      </c>
      <c r="N11" s="46">
        <f ca="1">$K$11-EFEITO!$M$11*EFEITO!$Z$11</f>
        <v>0</v>
      </c>
      <c r="O11" s="46">
        <f>$L$11-EFEITO!$O$11*EFEITO!$AA$11</f>
        <v>0</v>
      </c>
      <c r="P11" s="38"/>
      <c r="Q11" s="46" t="s">
        <v>37</v>
      </c>
      <c r="R11" s="46">
        <f>SUMIF($B$2:$B$1214,$Q$11,$J$2:$J$1214)</f>
        <v>0</v>
      </c>
      <c r="S11" s="46">
        <f ca="1">SUMIF($B$2:$B$1214,$Q$11,$K$2:$K$1214)</f>
        <v>26900261.294853702</v>
      </c>
      <c r="T11" s="46">
        <f>SUMIF($B$2:$B$1214,$Q$11,$L$2:$L$1214)</f>
        <v>23621536.554449338</v>
      </c>
      <c r="U11" s="46">
        <f>SUMIF($B$2:$B$1214,$Q$11,$M$2:$M$1214)</f>
        <v>0</v>
      </c>
      <c r="V11" s="46">
        <f ca="1">SUMIF($B$2:$B$1214,$Q$11,$N$2:$N$1214)</f>
        <v>8927.8498976611263</v>
      </c>
      <c r="W11" s="46">
        <f>SUMIF($B$2:$B$1214,$Q$11,$O$2:$O$1214)</f>
        <v>7838.5689411009962</v>
      </c>
      <c r="X11" s="36">
        <f>$R$11-$U$11</f>
        <v>0</v>
      </c>
      <c r="Y11" s="36">
        <f ca="1">$S$11-$V$11</f>
        <v>26891333.444956042</v>
      </c>
      <c r="Z11" s="36">
        <f>$T$11-$W$11</f>
        <v>23613697.985508237</v>
      </c>
      <c r="AA11" s="36">
        <f>SUMIF(EFEITO!$B$2:$B$1214,$Q$11,EFEITO!$AE$2:$AE$1214)</f>
        <v>0</v>
      </c>
      <c r="AB11" s="36">
        <f ca="1">SUMIF(EFEITO!$B$2:$B$1214,$Q$11,EFEITO!$AF$2:$AF$1214)</f>
        <v>26891333.444956049</v>
      </c>
      <c r="AC11" s="36">
        <f>SUMIF(EFEITO!$B$2:$B$1214,$Q$11,EFEITO!$AG$2:$AH$1214)</f>
        <v>23613697.985508241</v>
      </c>
      <c r="AD11" s="36">
        <f>SUMIF(SUBSIDIO!$B$2:$B$1214,$Q$11,SUBSIDIO!$AD$2:$AD$1214)</f>
        <v>0</v>
      </c>
      <c r="AE11" s="36">
        <f ca="1">SUMIF(SUBSIDIO!$B$2:$B$1214,$Q$11,SUBSIDIO!$AE$2:$AE$1214)</f>
        <v>16766.418838762089</v>
      </c>
      <c r="AF11" s="36" t="str">
        <f>IF(ABS($X$11-$AA$11)&lt;0.01,"OK","ERRO")</f>
        <v>OK</v>
      </c>
      <c r="AG11" s="36" t="str">
        <f ca="1">IF(ABS($Y$11-$AB$11)&lt;0.01,"OK","ERRO")</f>
        <v>OK</v>
      </c>
      <c r="AH11" s="36" t="str">
        <f>IF(ABS($Z$11-$AC$11)&lt;0.01,"OK","ERRO")</f>
        <v>OK</v>
      </c>
      <c r="AI11" s="36" t="str">
        <f>IF(ABS($U$11-$AD$11)&lt;0.01,"OK","ERRO")</f>
        <v>OK</v>
      </c>
      <c r="AJ11" s="36" t="str">
        <f ca="1">IF(ABS(($V$11+$W$11)-$AE$11)&lt;0.01,"OK","ERRO")</f>
        <v>OK</v>
      </c>
    </row>
    <row r="12" spans="1:40" ht="11.25" customHeight="1" x14ac:dyDescent="0.2">
      <c r="A12" s="35" t="s">
        <v>21</v>
      </c>
      <c r="B12" s="35" t="s">
        <v>56</v>
      </c>
      <c r="C12" s="35" t="s">
        <v>40</v>
      </c>
      <c r="D12" s="35" t="s">
        <v>38</v>
      </c>
      <c r="E12" s="35" t="s">
        <v>25</v>
      </c>
      <c r="F12" s="35" t="s">
        <v>25</v>
      </c>
      <c r="G12" s="35" t="s">
        <v>25</v>
      </c>
      <c r="H12" s="35" t="s">
        <v>35</v>
      </c>
      <c r="I12" s="45">
        <v>44531</v>
      </c>
      <c r="J12" s="46">
        <f ca="1">EFEITO!$J$12*EFEITO!$Y$12</f>
        <v>56080.449662125924</v>
      </c>
      <c r="K12" s="46">
        <f ca="1">EFEITO!$L$12*EFEITO!$Z$12</f>
        <v>0</v>
      </c>
      <c r="L12" s="46">
        <f>EFEITO!$N$12*EFEITO!$AA$12</f>
        <v>0</v>
      </c>
      <c r="M12" s="46">
        <f ca="1">$J$12-EFEITO!$K$12*EFEITO!$Y$12</f>
        <v>0</v>
      </c>
      <c r="N12" s="46">
        <f ca="1">$K$12-EFEITO!$M$12*EFEITO!$Z$12</f>
        <v>0</v>
      </c>
      <c r="O12" s="46">
        <f>$L$12-EFEITO!$O$12*EFEITO!$AA$12</f>
        <v>0</v>
      </c>
      <c r="P12" s="38"/>
      <c r="Q12" s="46" t="s">
        <v>46</v>
      </c>
      <c r="R12" s="46">
        <f>SUMIF($B$2:$B$1214,$Q$12,$J$2:$J$1214)</f>
        <v>0</v>
      </c>
      <c r="S12" s="46">
        <f ca="1">SUMIF($B$2:$B$1214,$Q$12,$K$2:$K$1214)</f>
        <v>5585912.7298654392</v>
      </c>
      <c r="T12" s="46">
        <f>SUMIF($B$2:$B$1214,$Q$12,$L$2:$L$1214)</f>
        <v>4904379.2776460974</v>
      </c>
      <c r="U12" s="46">
        <f>SUMIF($B$2:$B$1214,$Q$12,$M$2:$M$1214)</f>
        <v>0</v>
      </c>
      <c r="V12" s="46">
        <f ca="1">SUMIF($B$2:$B$1214,$Q$12,$N$2:$N$1214)</f>
        <v>0</v>
      </c>
      <c r="W12" s="46">
        <f>SUMIF($B$2:$B$1214,$Q$12,$O$2:$O$1214)</f>
        <v>0</v>
      </c>
      <c r="X12" s="36">
        <f>$R$12-$U$12</f>
        <v>0</v>
      </c>
      <c r="Y12" s="36">
        <f ca="1">$S$12-$V$12</f>
        <v>5585912.7298654392</v>
      </c>
      <c r="Z12" s="36">
        <f>$T$12-$W$12</f>
        <v>4904379.2776460974</v>
      </c>
      <c r="AA12" s="36">
        <f>SUMIF(EFEITO!$B$2:$B$1214,$Q$12,EFEITO!$AE$2:$AE$1214)</f>
        <v>0</v>
      </c>
      <c r="AB12" s="36">
        <f ca="1">SUMIF(EFEITO!$B$2:$B$1214,$Q$12,EFEITO!$AF$2:$AF$1214)</f>
        <v>5585912.7298654392</v>
      </c>
      <c r="AC12" s="36">
        <f>SUMIF(EFEITO!$B$2:$B$1214,$Q$12,EFEITO!$AG$2:$AH$1214)</f>
        <v>4904379.2776460974</v>
      </c>
      <c r="AD12" s="36">
        <f>SUMIF(SUBSIDIO!$B$2:$B$1214,$Q$12,SUBSIDIO!$AD$2:$AD$1214)</f>
        <v>0</v>
      </c>
      <c r="AE12" s="36">
        <f>SUMIF(SUBSIDIO!$B$2:$B$1214,$Q$12,SUBSIDIO!$AE$2:$AE$1214)</f>
        <v>0</v>
      </c>
      <c r="AF12" s="36" t="str">
        <f>IF(ABS($X$12-$AA$12)&lt;0.01,"OK","ERRO")</f>
        <v>OK</v>
      </c>
      <c r="AG12" s="36" t="str">
        <f ca="1">IF(ABS($Y$12-$AB$12)&lt;0.01,"OK","ERRO")</f>
        <v>OK</v>
      </c>
      <c r="AH12" s="36" t="str">
        <f>IF(ABS($Z$12-$AC$12)&lt;0.01,"OK","ERRO")</f>
        <v>OK</v>
      </c>
      <c r="AI12" s="36" t="str">
        <f>IF(ABS($U$12-$AD$12)&lt;0.01,"OK","ERRO")</f>
        <v>OK</v>
      </c>
      <c r="AJ12" s="36" t="str">
        <f ca="1">IF(ABS(($V$12+$W$12)-$AE$12)&lt;0.01,"OK","ERRO")</f>
        <v>OK</v>
      </c>
    </row>
    <row r="13" spans="1:40" ht="11.25" customHeight="1" x14ac:dyDescent="0.2">
      <c r="A13" s="35" t="s">
        <v>55</v>
      </c>
      <c r="B13" s="35" t="s">
        <v>56</v>
      </c>
      <c r="C13" s="35" t="s">
        <v>40</v>
      </c>
      <c r="D13" s="35" t="s">
        <v>38</v>
      </c>
      <c r="E13" s="35" t="s">
        <v>25</v>
      </c>
      <c r="F13" s="35" t="s">
        <v>25</v>
      </c>
      <c r="G13" s="35" t="s">
        <v>25</v>
      </c>
      <c r="H13" s="35" t="s">
        <v>35</v>
      </c>
      <c r="I13" s="45">
        <v>44562</v>
      </c>
      <c r="J13" s="46">
        <f ca="1">EFEITO!$J$13*EFEITO!$Y$13</f>
        <v>56080.449662125924</v>
      </c>
      <c r="K13" s="46">
        <f ca="1">EFEITO!$L$13*EFEITO!$Z$13</f>
        <v>0</v>
      </c>
      <c r="L13" s="46">
        <f>EFEITO!$N$13*EFEITO!$AA$13</f>
        <v>0</v>
      </c>
      <c r="M13" s="46">
        <f ca="1">$J$13-EFEITO!$K$13*EFEITO!$Y$13</f>
        <v>0</v>
      </c>
      <c r="N13" s="46">
        <f ca="1">$K$13-EFEITO!$M$13*EFEITO!$Z$13</f>
        <v>0</v>
      </c>
      <c r="O13" s="46">
        <f>$L$13-EFEITO!$O$13*EFEITO!$AA$13</f>
        <v>0</v>
      </c>
      <c r="P13" s="38"/>
      <c r="Q13" s="46" t="s">
        <v>88</v>
      </c>
      <c r="R13" s="46">
        <f>SUMIF($B$2:$B$1214,$Q$13,$J$2:$J$1214)</f>
        <v>0</v>
      </c>
      <c r="S13" s="46">
        <f>SUMIF($B$2:$B$1214,$Q$13,$K$2:$K$1214)</f>
        <v>0</v>
      </c>
      <c r="T13" s="46">
        <f>SUMIF($B$2:$B$1214,$Q$13,$L$2:$L$1214)</f>
        <v>0</v>
      </c>
      <c r="U13" s="46">
        <f>SUMIF($B$2:$B$1214,$Q$13,$M$2:$M$1214)</f>
        <v>0</v>
      </c>
      <c r="V13" s="46">
        <f>SUMIF($B$2:$B$1214,$Q$13,$N$2:$N$1214)</f>
        <v>0</v>
      </c>
      <c r="W13" s="46">
        <f>SUMIF($B$2:$B$1214,$Q$13,$O$2:$O$1214)</f>
        <v>0</v>
      </c>
      <c r="X13" s="36">
        <f>$R$13-$U$13</f>
        <v>0</v>
      </c>
      <c r="Y13" s="36">
        <f>$S$13-$V$13</f>
        <v>0</v>
      </c>
      <c r="Z13" s="36">
        <f>$T$13-$W$13</f>
        <v>0</v>
      </c>
      <c r="AA13" s="36">
        <f>SUMIF(EFEITO!$B$2:$B$1214,$Q$13,EFEITO!$AE$2:$AE$1214)</f>
        <v>0</v>
      </c>
      <c r="AB13" s="36">
        <f>SUMIF(EFEITO!$B$2:$B$1214,$Q$13,EFEITO!$AF$2:$AF$1214)</f>
        <v>0</v>
      </c>
      <c r="AC13" s="36">
        <f>SUMIF(EFEITO!$B$2:$B$1214,$Q$13,EFEITO!$AG$2:$AH$1214)</f>
        <v>0</v>
      </c>
      <c r="AD13" s="36">
        <f>SUMIF(SUBSIDIO!$B$2:$B$1214,$Q$13,SUBSIDIO!$AD$2:$AD$1214)</f>
        <v>0</v>
      </c>
      <c r="AE13" s="36">
        <f>SUMIF(SUBSIDIO!$B$2:$B$1214,$Q$13,SUBSIDIO!$AE$2:$AE$1214)</f>
        <v>0</v>
      </c>
      <c r="AF13" s="36" t="str">
        <f>IF(ABS($X$13-$AA$13)&lt;0.01,"OK","ERRO")</f>
        <v>OK</v>
      </c>
      <c r="AG13" s="36" t="str">
        <f>IF(ABS($Y$13-$AB$13)&lt;0.01,"OK","ERRO")</f>
        <v>OK</v>
      </c>
      <c r="AH13" s="36" t="str">
        <f>IF(ABS($Z$13-$AC$13)&lt;0.01,"OK","ERRO")</f>
        <v>OK</v>
      </c>
      <c r="AI13" s="36" t="str">
        <f>IF(ABS($U$13-$AD$13)&lt;0.01,"OK","ERRO")</f>
        <v>OK</v>
      </c>
      <c r="AJ13" s="36" t="str">
        <f>IF(ABS(($V$13+$W$13)-$AE$13)&lt;0.01,"OK","ERRO")</f>
        <v>OK</v>
      </c>
    </row>
    <row r="14" spans="1:40" ht="11.25" customHeight="1" x14ac:dyDescent="0.2">
      <c r="A14" s="35" t="s">
        <v>21</v>
      </c>
      <c r="B14" s="35" t="s">
        <v>56</v>
      </c>
      <c r="C14" s="35" t="s">
        <v>40</v>
      </c>
      <c r="D14" s="35" t="s">
        <v>38</v>
      </c>
      <c r="E14" s="35" t="s">
        <v>25</v>
      </c>
      <c r="F14" s="35" t="s">
        <v>25</v>
      </c>
      <c r="G14" s="35" t="s">
        <v>25</v>
      </c>
      <c r="H14" s="35" t="s">
        <v>25</v>
      </c>
      <c r="I14" s="45">
        <v>44228</v>
      </c>
      <c r="J14" s="46">
        <f>EFEITO!$J$14*EFEITO!$Y$14</f>
        <v>0</v>
      </c>
      <c r="K14" s="46">
        <f ca="1">EFEITO!$L$14*EFEITO!$Z$14</f>
        <v>207575.07703641069</v>
      </c>
      <c r="L14" s="46">
        <f>EFEITO!$N$14*EFEITO!$AA$14</f>
        <v>0</v>
      </c>
      <c r="M14" s="46">
        <f>$J$14-EFEITO!$K$14*EFEITO!$Y$14</f>
        <v>0</v>
      </c>
      <c r="N14" s="46">
        <f ca="1">$K$14-EFEITO!$M$14*EFEITO!$Z$14</f>
        <v>0</v>
      </c>
      <c r="O14" s="46">
        <f>$L$14-EFEITO!$O$14*EFEITO!$AA$14</f>
        <v>0</v>
      </c>
      <c r="P14" s="38"/>
      <c r="Q14" s="38"/>
      <c r="R14" s="38"/>
      <c r="S14" s="38"/>
      <c r="T14" s="38"/>
      <c r="U14" s="38"/>
      <c r="V14" s="38"/>
      <c r="W14" s="38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35" t="s">
        <v>21</v>
      </c>
      <c r="B15" s="35" t="s">
        <v>56</v>
      </c>
      <c r="C15" s="35" t="s">
        <v>40</v>
      </c>
      <c r="D15" s="35" t="s">
        <v>38</v>
      </c>
      <c r="E15" s="35" t="s">
        <v>25</v>
      </c>
      <c r="F15" s="35" t="s">
        <v>25</v>
      </c>
      <c r="G15" s="35" t="s">
        <v>25</v>
      </c>
      <c r="H15" s="35" t="s">
        <v>25</v>
      </c>
      <c r="I15" s="45">
        <v>44256</v>
      </c>
      <c r="J15" s="46">
        <f>EFEITO!$J$15*EFEITO!$Y$15</f>
        <v>0</v>
      </c>
      <c r="K15" s="46">
        <f ca="1">EFEITO!$L$15*EFEITO!$Z$15</f>
        <v>207798.84290187969</v>
      </c>
      <c r="L15" s="46">
        <f>EFEITO!$N$15*EFEITO!$AA$15</f>
        <v>0</v>
      </c>
      <c r="M15" s="46">
        <f>$J$15-EFEITO!$K$15*EFEITO!$Y$15</f>
        <v>0</v>
      </c>
      <c r="N15" s="46">
        <f ca="1">$K$15-EFEITO!$M$15*EFEITO!$Z$15</f>
        <v>0</v>
      </c>
      <c r="O15" s="46">
        <f>$L$15-EFEITO!$O$15*EFEITO!$AA$15</f>
        <v>0</v>
      </c>
      <c r="P15" s="38"/>
      <c r="Q15" s="38"/>
      <c r="R15" s="38"/>
      <c r="S15" s="38"/>
      <c r="T15" s="38"/>
      <c r="U15" s="38"/>
      <c r="V15" s="38"/>
      <c r="W15" s="38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35" t="s">
        <v>21</v>
      </c>
      <c r="B16" s="35" t="s">
        <v>56</v>
      </c>
      <c r="C16" s="35" t="s">
        <v>40</v>
      </c>
      <c r="D16" s="35" t="s">
        <v>38</v>
      </c>
      <c r="E16" s="35" t="s">
        <v>25</v>
      </c>
      <c r="F16" s="35" t="s">
        <v>25</v>
      </c>
      <c r="G16" s="35" t="s">
        <v>25</v>
      </c>
      <c r="H16" s="35" t="s">
        <v>25</v>
      </c>
      <c r="I16" s="45">
        <v>44287</v>
      </c>
      <c r="J16" s="46">
        <f>EFEITO!$J$16*EFEITO!$Y$16</f>
        <v>0</v>
      </c>
      <c r="K16" s="46">
        <f ca="1">EFEITO!$L$16*EFEITO!$Z$16</f>
        <v>211598.20870862156</v>
      </c>
      <c r="L16" s="46">
        <f>EFEITO!$N$16*EFEITO!$AA$16</f>
        <v>0</v>
      </c>
      <c r="M16" s="46">
        <f>$J$16-EFEITO!$K$16*EFEITO!$Y$16</f>
        <v>0</v>
      </c>
      <c r="N16" s="46">
        <f ca="1">$K$16-EFEITO!$M$16*EFEITO!$Z$16</f>
        <v>0</v>
      </c>
      <c r="O16" s="46">
        <f>$L$16-EFEITO!$O$16*EFEITO!$AA$16</f>
        <v>0</v>
      </c>
      <c r="P16" s="38"/>
      <c r="Q16" s="38"/>
      <c r="R16" s="38"/>
      <c r="S16" s="38"/>
      <c r="T16" s="38"/>
      <c r="U16" s="38"/>
      <c r="V16" s="38"/>
      <c r="W16" s="38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35" t="s">
        <v>21</v>
      </c>
      <c r="B17" s="35" t="s">
        <v>56</v>
      </c>
      <c r="C17" s="35" t="s">
        <v>40</v>
      </c>
      <c r="D17" s="35" t="s">
        <v>38</v>
      </c>
      <c r="E17" s="35" t="s">
        <v>25</v>
      </c>
      <c r="F17" s="35" t="s">
        <v>25</v>
      </c>
      <c r="G17" s="35" t="s">
        <v>25</v>
      </c>
      <c r="H17" s="35" t="s">
        <v>25</v>
      </c>
      <c r="I17" s="45">
        <v>44317</v>
      </c>
      <c r="J17" s="46">
        <f>EFEITO!$J$17*EFEITO!$Y$17</f>
        <v>0</v>
      </c>
      <c r="K17" s="46">
        <f ca="1">EFEITO!$L$17*EFEITO!$Z$17</f>
        <v>207510.52773534707</v>
      </c>
      <c r="L17" s="46">
        <f>EFEITO!$N$17*EFEITO!$AA$17</f>
        <v>0</v>
      </c>
      <c r="M17" s="46">
        <f>$J$17-EFEITO!$K$17*EFEITO!$Y$17</f>
        <v>0</v>
      </c>
      <c r="N17" s="46">
        <f ca="1">$K$17-EFEITO!$M$17*EFEITO!$Z$17</f>
        <v>0</v>
      </c>
      <c r="O17" s="46">
        <f>$L$17-EFEITO!$O$17*EFEITO!$AA$17</f>
        <v>0</v>
      </c>
      <c r="P17" s="38"/>
      <c r="Q17" s="38"/>
      <c r="R17" s="38"/>
      <c r="S17" s="38"/>
      <c r="T17" s="38"/>
      <c r="U17" s="38"/>
      <c r="V17" s="38"/>
      <c r="W17" s="38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35" t="s">
        <v>21</v>
      </c>
      <c r="B18" s="35" t="s">
        <v>56</v>
      </c>
      <c r="C18" s="35" t="s">
        <v>40</v>
      </c>
      <c r="D18" s="35" t="s">
        <v>38</v>
      </c>
      <c r="E18" s="35" t="s">
        <v>25</v>
      </c>
      <c r="F18" s="35" t="s">
        <v>25</v>
      </c>
      <c r="G18" s="35" t="s">
        <v>25</v>
      </c>
      <c r="H18" s="35" t="s">
        <v>25</v>
      </c>
      <c r="I18" s="45">
        <v>44348</v>
      </c>
      <c r="J18" s="46">
        <f>EFEITO!$J$18*EFEITO!$Y$18</f>
        <v>0</v>
      </c>
      <c r="K18" s="46">
        <f ca="1">EFEITO!$L$18*EFEITO!$Z$18</f>
        <v>219932.56019975984</v>
      </c>
      <c r="L18" s="46">
        <f>EFEITO!$N$18*EFEITO!$AA$18</f>
        <v>0</v>
      </c>
      <c r="M18" s="46">
        <f>$J$18-EFEITO!$K$18*EFEITO!$Y$18</f>
        <v>0</v>
      </c>
      <c r="N18" s="46">
        <f ca="1">$K$18-EFEITO!$M$18*EFEITO!$Z$18</f>
        <v>0</v>
      </c>
      <c r="O18" s="46">
        <f>$L$18-EFEITO!$O$18*EFEITO!$AA$18</f>
        <v>0</v>
      </c>
      <c r="P18" s="38"/>
      <c r="Q18" s="38"/>
      <c r="R18" s="38"/>
      <c r="S18" s="38"/>
      <c r="T18" s="38"/>
      <c r="U18" s="38"/>
      <c r="V18" s="38"/>
      <c r="W18" s="38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35" t="s">
        <v>21</v>
      </c>
      <c r="B19" s="35" t="s">
        <v>56</v>
      </c>
      <c r="C19" s="35" t="s">
        <v>40</v>
      </c>
      <c r="D19" s="35" t="s">
        <v>38</v>
      </c>
      <c r="E19" s="35" t="s">
        <v>25</v>
      </c>
      <c r="F19" s="35" t="s">
        <v>25</v>
      </c>
      <c r="G19" s="35" t="s">
        <v>25</v>
      </c>
      <c r="H19" s="35" t="s">
        <v>25</v>
      </c>
      <c r="I19" s="45">
        <v>44378</v>
      </c>
      <c r="J19" s="46">
        <f>EFEITO!$J$19*EFEITO!$Y$19</f>
        <v>0</v>
      </c>
      <c r="K19" s="46">
        <f ca="1">EFEITO!$L$19*EFEITO!$Z$19</f>
        <v>208373.35438332739</v>
      </c>
      <c r="L19" s="46">
        <f>EFEITO!$N$19*EFEITO!$AA$19</f>
        <v>0</v>
      </c>
      <c r="M19" s="46">
        <f>$J$19-EFEITO!$K$19*EFEITO!$Y$19</f>
        <v>0</v>
      </c>
      <c r="N19" s="46">
        <f ca="1">$K$19-EFEITO!$M$19*EFEITO!$Z$19</f>
        <v>0</v>
      </c>
      <c r="O19" s="46">
        <f>$L$19-EFEITO!$O$19*EFEITO!$AA$19</f>
        <v>0</v>
      </c>
      <c r="P19" s="38"/>
      <c r="Q19" s="38"/>
      <c r="R19" s="38"/>
      <c r="S19" s="38"/>
      <c r="T19" s="38"/>
      <c r="U19" s="38"/>
      <c r="V19" s="38"/>
      <c r="W19" s="38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35" t="s">
        <v>21</v>
      </c>
      <c r="B20" s="35" t="s">
        <v>56</v>
      </c>
      <c r="C20" s="35" t="s">
        <v>40</v>
      </c>
      <c r="D20" s="35" t="s">
        <v>38</v>
      </c>
      <c r="E20" s="35" t="s">
        <v>25</v>
      </c>
      <c r="F20" s="35" t="s">
        <v>25</v>
      </c>
      <c r="G20" s="35" t="s">
        <v>25</v>
      </c>
      <c r="H20" s="35" t="s">
        <v>25</v>
      </c>
      <c r="I20" s="45">
        <v>44409</v>
      </c>
      <c r="J20" s="46">
        <f>EFEITO!$J$20*EFEITO!$Y$20</f>
        <v>0</v>
      </c>
      <c r="K20" s="46">
        <f ca="1">EFEITO!$L$20*EFEITO!$Z$20</f>
        <v>231467.66407904253</v>
      </c>
      <c r="L20" s="46">
        <f>EFEITO!$N$20*EFEITO!$AA$20</f>
        <v>0</v>
      </c>
      <c r="M20" s="46">
        <f>$J$20-EFEITO!$K$20*EFEITO!$Y$20</f>
        <v>0</v>
      </c>
      <c r="N20" s="46">
        <f ca="1">$K$20-EFEITO!$M$20*EFEITO!$Z$20</f>
        <v>0</v>
      </c>
      <c r="O20" s="46">
        <f>$L$20-EFEITO!$O$20*EFEITO!$AA$20</f>
        <v>0</v>
      </c>
      <c r="P20" s="38"/>
      <c r="Q20" s="38"/>
      <c r="R20" s="38"/>
      <c r="S20" s="38"/>
      <c r="T20" s="38"/>
      <c r="U20" s="38"/>
      <c r="V20" s="38"/>
      <c r="W20" s="38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35" t="s">
        <v>21</v>
      </c>
      <c r="B21" s="35" t="s">
        <v>56</v>
      </c>
      <c r="C21" s="35" t="s">
        <v>40</v>
      </c>
      <c r="D21" s="35" t="s">
        <v>38</v>
      </c>
      <c r="E21" s="35" t="s">
        <v>25</v>
      </c>
      <c r="F21" s="35" t="s">
        <v>25</v>
      </c>
      <c r="G21" s="35" t="s">
        <v>25</v>
      </c>
      <c r="H21" s="35" t="s">
        <v>25</v>
      </c>
      <c r="I21" s="45">
        <v>44440</v>
      </c>
      <c r="J21" s="46">
        <f>EFEITO!$J$21*EFEITO!$Y$21</f>
        <v>0</v>
      </c>
      <c r="K21" s="46">
        <f ca="1">EFEITO!$L$21*EFEITO!$Z$21</f>
        <v>225920.85107398796</v>
      </c>
      <c r="L21" s="46">
        <f>EFEITO!$N$21*EFEITO!$AA$21</f>
        <v>0</v>
      </c>
      <c r="M21" s="46">
        <f>$J$21-EFEITO!$K$21*EFEITO!$Y$21</f>
        <v>0</v>
      </c>
      <c r="N21" s="46">
        <f ca="1">$K$21-EFEITO!$M$21*EFEITO!$Z$21</f>
        <v>0</v>
      </c>
      <c r="O21" s="46">
        <f>$L$21-EFEITO!$O$21*EFEITO!$AA$21</f>
        <v>0</v>
      </c>
      <c r="P21" s="38"/>
      <c r="Q21" s="38"/>
      <c r="R21" s="38"/>
      <c r="S21" s="38"/>
      <c r="T21" s="38"/>
      <c r="U21" s="38"/>
      <c r="V21" s="38"/>
      <c r="W21" s="38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35" t="s">
        <v>21</v>
      </c>
      <c r="B22" s="35" t="s">
        <v>56</v>
      </c>
      <c r="C22" s="35" t="s">
        <v>40</v>
      </c>
      <c r="D22" s="35" t="s">
        <v>38</v>
      </c>
      <c r="E22" s="35" t="s">
        <v>25</v>
      </c>
      <c r="F22" s="35" t="s">
        <v>25</v>
      </c>
      <c r="G22" s="35" t="s">
        <v>25</v>
      </c>
      <c r="H22" s="35" t="s">
        <v>25</v>
      </c>
      <c r="I22" s="45">
        <v>44470</v>
      </c>
      <c r="J22" s="46">
        <f>EFEITO!$J$22*EFEITO!$Y$22</f>
        <v>0</v>
      </c>
      <c r="K22" s="46">
        <f ca="1">EFEITO!$L$22*EFEITO!$Z$22</f>
        <v>222122.39334651077</v>
      </c>
      <c r="L22" s="46">
        <f>EFEITO!$N$22*EFEITO!$AA$22</f>
        <v>0</v>
      </c>
      <c r="M22" s="46">
        <f>$J$22-EFEITO!$K$22*EFEITO!$Y$22</f>
        <v>0</v>
      </c>
      <c r="N22" s="46">
        <f ca="1">$K$22-EFEITO!$M$22*EFEITO!$Z$22</f>
        <v>0</v>
      </c>
      <c r="O22" s="46">
        <f>$L$22-EFEITO!$O$22*EFEITO!$AA$22</f>
        <v>0</v>
      </c>
      <c r="P22" s="38"/>
      <c r="Q22" s="38"/>
      <c r="R22" s="38"/>
      <c r="S22" s="38"/>
      <c r="T22" s="38"/>
      <c r="U22" s="38"/>
      <c r="V22" s="38"/>
      <c r="W22" s="38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35" t="s">
        <v>21</v>
      </c>
      <c r="B23" s="35" t="s">
        <v>56</v>
      </c>
      <c r="C23" s="35" t="s">
        <v>40</v>
      </c>
      <c r="D23" s="35" t="s">
        <v>38</v>
      </c>
      <c r="E23" s="35" t="s">
        <v>25</v>
      </c>
      <c r="F23" s="35" t="s">
        <v>25</v>
      </c>
      <c r="G23" s="35" t="s">
        <v>25</v>
      </c>
      <c r="H23" s="35" t="s">
        <v>25</v>
      </c>
      <c r="I23" s="45">
        <v>44501</v>
      </c>
      <c r="J23" s="46">
        <f>EFEITO!$J$23*EFEITO!$Y$23</f>
        <v>0</v>
      </c>
      <c r="K23" s="46">
        <f ca="1">EFEITO!$L$23*EFEITO!$Z$23</f>
        <v>231161.11165394448</v>
      </c>
      <c r="L23" s="46">
        <f>EFEITO!$N$23*EFEITO!$AA$23</f>
        <v>0</v>
      </c>
      <c r="M23" s="46">
        <f>$J$23-EFEITO!$K$23*EFEITO!$Y$23</f>
        <v>0</v>
      </c>
      <c r="N23" s="46">
        <f ca="1">$K$23-EFEITO!$M$23*EFEITO!$Z$23</f>
        <v>0</v>
      </c>
      <c r="O23" s="46">
        <f>$L$23-EFEITO!$O$23*EFEITO!$AA$23</f>
        <v>0</v>
      </c>
      <c r="P23" s="38"/>
      <c r="Q23" s="38"/>
      <c r="R23" s="38"/>
      <c r="S23" s="38"/>
      <c r="T23" s="38"/>
      <c r="U23" s="38"/>
      <c r="V23" s="38"/>
      <c r="W23" s="38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35" t="s">
        <v>21</v>
      </c>
      <c r="B24" s="35" t="s">
        <v>56</v>
      </c>
      <c r="C24" s="35" t="s">
        <v>40</v>
      </c>
      <c r="D24" s="35" t="s">
        <v>38</v>
      </c>
      <c r="E24" s="35" t="s">
        <v>25</v>
      </c>
      <c r="F24" s="35" t="s">
        <v>25</v>
      </c>
      <c r="G24" s="35" t="s">
        <v>25</v>
      </c>
      <c r="H24" s="35" t="s">
        <v>25</v>
      </c>
      <c r="I24" s="45">
        <v>44531</v>
      </c>
      <c r="J24" s="46">
        <f>EFEITO!$J$24*EFEITO!$Y$24</f>
        <v>0</v>
      </c>
      <c r="K24" s="46">
        <f ca="1">EFEITO!$L$24*EFEITO!$Z$24</f>
        <v>224780.41702747095</v>
      </c>
      <c r="L24" s="46">
        <f>EFEITO!$N$24*EFEITO!$AA$24</f>
        <v>0</v>
      </c>
      <c r="M24" s="46">
        <f>$J$24-EFEITO!$K$24*EFEITO!$Y$24</f>
        <v>0</v>
      </c>
      <c r="N24" s="46">
        <f ca="1">$K$24-EFEITO!$M$24*EFEITO!$Z$24</f>
        <v>0</v>
      </c>
      <c r="O24" s="46">
        <f>$L$24-EFEITO!$O$24*EFEITO!$AA$24</f>
        <v>0</v>
      </c>
      <c r="P24" s="38"/>
      <c r="Q24" s="38"/>
      <c r="R24" s="38"/>
      <c r="S24" s="38"/>
      <c r="T24" s="38"/>
      <c r="U24" s="38"/>
      <c r="V24" s="38"/>
      <c r="W24" s="38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35" t="s">
        <v>55</v>
      </c>
      <c r="B25" s="35" t="s">
        <v>56</v>
      </c>
      <c r="C25" s="35" t="s">
        <v>40</v>
      </c>
      <c r="D25" s="35" t="s">
        <v>38</v>
      </c>
      <c r="E25" s="35" t="s">
        <v>25</v>
      </c>
      <c r="F25" s="35" t="s">
        <v>25</v>
      </c>
      <c r="G25" s="35" t="s">
        <v>25</v>
      </c>
      <c r="H25" s="35" t="s">
        <v>25</v>
      </c>
      <c r="I25" s="45">
        <v>44562</v>
      </c>
      <c r="J25" s="46">
        <f>EFEITO!$J$25*EFEITO!$Y$25</f>
        <v>0</v>
      </c>
      <c r="K25" s="46">
        <f ca="1">EFEITO!$L$25*EFEITO!$Z$25</f>
        <v>224780.41702747095</v>
      </c>
      <c r="L25" s="46">
        <f>EFEITO!$N$25*EFEITO!$AA$25</f>
        <v>0</v>
      </c>
      <c r="M25" s="46">
        <f>$J$25-EFEITO!$K$25*EFEITO!$Y$25</f>
        <v>0</v>
      </c>
      <c r="N25" s="46">
        <f ca="1">$K$25-EFEITO!$M$25*EFEITO!$Z$25</f>
        <v>0</v>
      </c>
      <c r="O25" s="46">
        <f>$L$25-EFEITO!$O$25*EFEITO!$AA$25</f>
        <v>0</v>
      </c>
      <c r="P25" s="38"/>
      <c r="Q25" s="38"/>
      <c r="R25" s="38"/>
      <c r="S25" s="38"/>
      <c r="T25" s="38"/>
      <c r="U25" s="38"/>
      <c r="V25" s="38"/>
      <c r="W25" s="38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35" t="s">
        <v>21</v>
      </c>
      <c r="B26" s="35" t="s">
        <v>56</v>
      </c>
      <c r="C26" s="35" t="s">
        <v>40</v>
      </c>
      <c r="D26" s="35" t="s">
        <v>38</v>
      </c>
      <c r="E26" s="35" t="s">
        <v>25</v>
      </c>
      <c r="F26" s="35" t="s">
        <v>25</v>
      </c>
      <c r="G26" s="35" t="s">
        <v>25</v>
      </c>
      <c r="H26" s="35" t="s">
        <v>34</v>
      </c>
      <c r="I26" s="45">
        <v>44228</v>
      </c>
      <c r="J26" s="46">
        <f ca="1">EFEITO!$J$26*EFEITO!$Y$26</f>
        <v>115401.38559953419</v>
      </c>
      <c r="K26" s="46">
        <f ca="1">EFEITO!$L$26*EFEITO!$Z$26</f>
        <v>0</v>
      </c>
      <c r="L26" s="46">
        <f>EFEITO!$N$26*EFEITO!$AA$26</f>
        <v>0</v>
      </c>
      <c r="M26" s="46">
        <f ca="1">$J$26-EFEITO!$K$26*EFEITO!$Y$26</f>
        <v>0</v>
      </c>
      <c r="N26" s="46">
        <f ca="1">$K$26-EFEITO!$M$26*EFEITO!$Z$26</f>
        <v>0</v>
      </c>
      <c r="O26" s="46">
        <f>$L$26-EFEITO!$O$26*EFEITO!$AA$26</f>
        <v>0</v>
      </c>
      <c r="P26" s="38"/>
      <c r="Q26" s="38"/>
      <c r="R26" s="38"/>
      <c r="S26" s="38"/>
      <c r="T26" s="38"/>
      <c r="U26" s="38"/>
      <c r="V26" s="38"/>
      <c r="W26" s="38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35" t="s">
        <v>21</v>
      </c>
      <c r="B27" s="35" t="s">
        <v>56</v>
      </c>
      <c r="C27" s="35" t="s">
        <v>40</v>
      </c>
      <c r="D27" s="35" t="s">
        <v>38</v>
      </c>
      <c r="E27" s="35" t="s">
        <v>25</v>
      </c>
      <c r="F27" s="35" t="s">
        <v>25</v>
      </c>
      <c r="G27" s="35" t="s">
        <v>25</v>
      </c>
      <c r="H27" s="35" t="s">
        <v>34</v>
      </c>
      <c r="I27" s="45">
        <v>44256</v>
      </c>
      <c r="J27" s="46">
        <f ca="1">EFEITO!$J$27*EFEITO!$Y$27</f>
        <v>116023.27410352761</v>
      </c>
      <c r="K27" s="46">
        <f ca="1">EFEITO!$L$27*EFEITO!$Z$27</f>
        <v>0</v>
      </c>
      <c r="L27" s="46">
        <f>EFEITO!$N$27*EFEITO!$AA$27</f>
        <v>0</v>
      </c>
      <c r="M27" s="46">
        <f ca="1">$J$27-EFEITO!$K$27*EFEITO!$Y$27</f>
        <v>0</v>
      </c>
      <c r="N27" s="46">
        <f ca="1">$K$27-EFEITO!$M$27*EFEITO!$Z$27</f>
        <v>0</v>
      </c>
      <c r="O27" s="46">
        <f>$L$27-EFEITO!$O$27*EFEITO!$AA$27</f>
        <v>0</v>
      </c>
      <c r="P27" s="38"/>
      <c r="Q27" s="38"/>
      <c r="R27" s="38"/>
      <c r="S27" s="38"/>
      <c r="T27" s="38"/>
      <c r="U27" s="38"/>
      <c r="V27" s="38"/>
      <c r="W27" s="38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35" t="s">
        <v>21</v>
      </c>
      <c r="B28" s="35" t="s">
        <v>56</v>
      </c>
      <c r="C28" s="35" t="s">
        <v>40</v>
      </c>
      <c r="D28" s="35" t="s">
        <v>38</v>
      </c>
      <c r="E28" s="35" t="s">
        <v>25</v>
      </c>
      <c r="F28" s="35" t="s">
        <v>25</v>
      </c>
      <c r="G28" s="35" t="s">
        <v>25</v>
      </c>
      <c r="H28" s="35" t="s">
        <v>34</v>
      </c>
      <c r="I28" s="45">
        <v>44287</v>
      </c>
      <c r="J28" s="46">
        <f ca="1">EFEITO!$J$28*EFEITO!$Y$28</f>
        <v>115565.65803455132</v>
      </c>
      <c r="K28" s="46">
        <f ca="1">EFEITO!$L$28*EFEITO!$Z$28</f>
        <v>0</v>
      </c>
      <c r="L28" s="46">
        <f>EFEITO!$N$28*EFEITO!$AA$28</f>
        <v>0</v>
      </c>
      <c r="M28" s="46">
        <f ca="1">$J$28-EFEITO!$K$28*EFEITO!$Y$28</f>
        <v>0</v>
      </c>
      <c r="N28" s="46">
        <f ca="1">$K$28-EFEITO!$M$28*EFEITO!$Z$28</f>
        <v>0</v>
      </c>
      <c r="O28" s="46">
        <f>$L$28-EFEITO!$O$28*EFEITO!$AA$28</f>
        <v>0</v>
      </c>
      <c r="P28" s="38"/>
      <c r="Q28" s="38"/>
      <c r="R28" s="38"/>
      <c r="S28" s="38"/>
      <c r="T28" s="38"/>
      <c r="U28" s="38"/>
      <c r="V28" s="38"/>
      <c r="W28" s="38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35" t="s">
        <v>21</v>
      </c>
      <c r="B29" s="35" t="s">
        <v>56</v>
      </c>
      <c r="C29" s="35" t="s">
        <v>40</v>
      </c>
      <c r="D29" s="35" t="s">
        <v>38</v>
      </c>
      <c r="E29" s="35" t="s">
        <v>25</v>
      </c>
      <c r="F29" s="35" t="s">
        <v>25</v>
      </c>
      <c r="G29" s="35" t="s">
        <v>25</v>
      </c>
      <c r="H29" s="35" t="s">
        <v>34</v>
      </c>
      <c r="I29" s="45">
        <v>44317</v>
      </c>
      <c r="J29" s="46">
        <f ca="1">EFEITO!$J$29*EFEITO!$Y$29</f>
        <v>113523.98634219557</v>
      </c>
      <c r="K29" s="46">
        <f ca="1">EFEITO!$L$29*EFEITO!$Z$29</f>
        <v>0</v>
      </c>
      <c r="L29" s="46">
        <f>EFEITO!$N$29*EFEITO!$AA$29</f>
        <v>0</v>
      </c>
      <c r="M29" s="46">
        <f ca="1">$J$29-EFEITO!$K$29*EFEITO!$Y$29</f>
        <v>0</v>
      </c>
      <c r="N29" s="46">
        <f ca="1">$K$29-EFEITO!$M$29*EFEITO!$Z$29</f>
        <v>0</v>
      </c>
      <c r="O29" s="46">
        <f>$L$29-EFEITO!$O$29*EFEITO!$AA$29</f>
        <v>0</v>
      </c>
      <c r="P29" s="38"/>
      <c r="Q29" s="38"/>
      <c r="R29" s="38"/>
      <c r="S29" s="38"/>
      <c r="T29" s="38"/>
      <c r="U29" s="38"/>
      <c r="V29" s="38"/>
      <c r="W29" s="38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35" t="s">
        <v>21</v>
      </c>
      <c r="B30" s="35" t="s">
        <v>56</v>
      </c>
      <c r="C30" s="35" t="s">
        <v>40</v>
      </c>
      <c r="D30" s="35" t="s">
        <v>38</v>
      </c>
      <c r="E30" s="35" t="s">
        <v>25</v>
      </c>
      <c r="F30" s="35" t="s">
        <v>25</v>
      </c>
      <c r="G30" s="35" t="s">
        <v>25</v>
      </c>
      <c r="H30" s="35" t="s">
        <v>34</v>
      </c>
      <c r="I30" s="45">
        <v>44348</v>
      </c>
      <c r="J30" s="46">
        <f ca="1">EFEITO!$J$30*EFEITO!$Y$30</f>
        <v>114697.36087803221</v>
      </c>
      <c r="K30" s="46">
        <f ca="1">EFEITO!$L$30*EFEITO!$Z$30</f>
        <v>0</v>
      </c>
      <c r="L30" s="46">
        <f>EFEITO!$N$30*EFEITO!$AA$30</f>
        <v>0</v>
      </c>
      <c r="M30" s="46">
        <f ca="1">$J$30-EFEITO!$K$30*EFEITO!$Y$30</f>
        <v>0</v>
      </c>
      <c r="N30" s="46">
        <f ca="1">$K$30-EFEITO!$M$30*EFEITO!$Z$30</f>
        <v>0</v>
      </c>
      <c r="O30" s="46">
        <f>$L$30-EFEITO!$O$30*EFEITO!$AA$30</f>
        <v>0</v>
      </c>
      <c r="P30" s="38"/>
      <c r="Q30" s="38"/>
      <c r="R30" s="38"/>
      <c r="S30" s="38"/>
      <c r="T30" s="38"/>
      <c r="U30" s="38"/>
      <c r="V30" s="38"/>
      <c r="W30" s="38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35" t="s">
        <v>21</v>
      </c>
      <c r="B31" s="35" t="s">
        <v>56</v>
      </c>
      <c r="C31" s="35" t="s">
        <v>40</v>
      </c>
      <c r="D31" s="35" t="s">
        <v>38</v>
      </c>
      <c r="E31" s="35" t="s">
        <v>25</v>
      </c>
      <c r="F31" s="35" t="s">
        <v>25</v>
      </c>
      <c r="G31" s="35" t="s">
        <v>25</v>
      </c>
      <c r="H31" s="35" t="s">
        <v>34</v>
      </c>
      <c r="I31" s="45">
        <v>44378</v>
      </c>
      <c r="J31" s="46">
        <f ca="1">EFEITO!$J$31*EFEITO!$Y$31</f>
        <v>111470.58090448142</v>
      </c>
      <c r="K31" s="46">
        <f ca="1">EFEITO!$L$31*EFEITO!$Z$31</f>
        <v>0</v>
      </c>
      <c r="L31" s="46">
        <f>EFEITO!$N$31*EFEITO!$AA$31</f>
        <v>0</v>
      </c>
      <c r="M31" s="46">
        <f ca="1">$J$31-EFEITO!$K$31*EFEITO!$Y$31</f>
        <v>0</v>
      </c>
      <c r="N31" s="46">
        <f ca="1">$K$31-EFEITO!$M$31*EFEITO!$Z$31</f>
        <v>0</v>
      </c>
      <c r="O31" s="46">
        <f>$L$31-EFEITO!$O$31*EFEITO!$AA$31</f>
        <v>0</v>
      </c>
      <c r="P31" s="38"/>
      <c r="Q31" s="38"/>
      <c r="R31" s="38"/>
      <c r="S31" s="38"/>
      <c r="T31" s="38"/>
      <c r="U31" s="38"/>
      <c r="V31" s="38"/>
      <c r="W31" s="38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35" t="s">
        <v>21</v>
      </c>
      <c r="B32" s="35" t="s">
        <v>56</v>
      </c>
      <c r="C32" s="35" t="s">
        <v>40</v>
      </c>
      <c r="D32" s="35" t="s">
        <v>38</v>
      </c>
      <c r="E32" s="35" t="s">
        <v>25</v>
      </c>
      <c r="F32" s="35" t="s">
        <v>25</v>
      </c>
      <c r="G32" s="35" t="s">
        <v>25</v>
      </c>
      <c r="H32" s="35" t="s">
        <v>34</v>
      </c>
      <c r="I32" s="45">
        <v>44409</v>
      </c>
      <c r="J32" s="46">
        <f ca="1">EFEITO!$J$32*EFEITO!$Y$32</f>
        <v>111928.19697345771</v>
      </c>
      <c r="K32" s="46">
        <f ca="1">EFEITO!$L$32*EFEITO!$Z$32</f>
        <v>0</v>
      </c>
      <c r="L32" s="46">
        <f>EFEITO!$N$32*EFEITO!$AA$32</f>
        <v>0</v>
      </c>
      <c r="M32" s="46">
        <f ca="1">$J$32-EFEITO!$K$32*EFEITO!$Y$32</f>
        <v>0</v>
      </c>
      <c r="N32" s="46">
        <f ca="1">$K$32-EFEITO!$M$32*EFEITO!$Z$32</f>
        <v>0</v>
      </c>
      <c r="O32" s="46">
        <f>$L$32-EFEITO!$O$32*EFEITO!$AA$32</f>
        <v>0</v>
      </c>
      <c r="P32" s="38"/>
      <c r="Q32" s="38"/>
      <c r="R32" s="38"/>
      <c r="S32" s="38"/>
      <c r="T32" s="38"/>
      <c r="U32" s="38"/>
      <c r="V32" s="38"/>
      <c r="W32" s="38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35" t="s">
        <v>21</v>
      </c>
      <c r="B33" s="35" t="s">
        <v>56</v>
      </c>
      <c r="C33" s="35" t="s">
        <v>40</v>
      </c>
      <c r="D33" s="35" t="s">
        <v>38</v>
      </c>
      <c r="E33" s="35" t="s">
        <v>25</v>
      </c>
      <c r="F33" s="35" t="s">
        <v>25</v>
      </c>
      <c r="G33" s="35" t="s">
        <v>25</v>
      </c>
      <c r="H33" s="35" t="s">
        <v>34</v>
      </c>
      <c r="I33" s="45">
        <v>44440</v>
      </c>
      <c r="J33" s="46">
        <f ca="1">EFEITO!$J$33*EFEITO!$Y$33</f>
        <v>111470.58090448142</v>
      </c>
      <c r="K33" s="46">
        <f ca="1">EFEITO!$L$33*EFEITO!$Z$33</f>
        <v>0</v>
      </c>
      <c r="L33" s="46">
        <f>EFEITO!$N$33*EFEITO!$AA$33</f>
        <v>0</v>
      </c>
      <c r="M33" s="46">
        <f ca="1">$J$33-EFEITO!$K$33*EFEITO!$Y$33</f>
        <v>0</v>
      </c>
      <c r="N33" s="46">
        <f ca="1">$K$33-EFEITO!$M$33*EFEITO!$Z$33</f>
        <v>0</v>
      </c>
      <c r="O33" s="46">
        <f>$L$33-EFEITO!$O$33*EFEITO!$AA$33</f>
        <v>0</v>
      </c>
      <c r="P33" s="38"/>
      <c r="Q33" s="38"/>
      <c r="R33" s="38"/>
      <c r="S33" s="38"/>
      <c r="T33" s="38"/>
      <c r="U33" s="38"/>
      <c r="V33" s="38"/>
      <c r="W33" s="38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35" t="s">
        <v>21</v>
      </c>
      <c r="B34" s="35" t="s">
        <v>56</v>
      </c>
      <c r="C34" s="35" t="s">
        <v>40</v>
      </c>
      <c r="D34" s="35" t="s">
        <v>38</v>
      </c>
      <c r="E34" s="35" t="s">
        <v>25</v>
      </c>
      <c r="F34" s="35" t="s">
        <v>25</v>
      </c>
      <c r="G34" s="35" t="s">
        <v>25</v>
      </c>
      <c r="H34" s="35" t="s">
        <v>34</v>
      </c>
      <c r="I34" s="45">
        <v>44470</v>
      </c>
      <c r="J34" s="46">
        <f ca="1">EFEITO!$J$34*EFEITO!$Y$34</f>
        <v>111752.19079308222</v>
      </c>
      <c r="K34" s="46">
        <f ca="1">EFEITO!$L$34*EFEITO!$Z$34</f>
        <v>0</v>
      </c>
      <c r="L34" s="46">
        <f>EFEITO!$N$34*EFEITO!$AA$34</f>
        <v>0</v>
      </c>
      <c r="M34" s="46">
        <f ca="1">$J$34-EFEITO!$K$34*EFEITO!$Y$34</f>
        <v>0</v>
      </c>
      <c r="N34" s="46">
        <f ca="1">$K$34-EFEITO!$M$34*EFEITO!$Z$34</f>
        <v>0</v>
      </c>
      <c r="O34" s="46">
        <f>$L$34-EFEITO!$O$34*EFEITO!$AA$34</f>
        <v>0</v>
      </c>
      <c r="P34" s="38"/>
      <c r="Q34" s="38"/>
      <c r="R34" s="38"/>
      <c r="S34" s="38"/>
      <c r="T34" s="38"/>
      <c r="U34" s="38"/>
      <c r="V34" s="38"/>
      <c r="W34" s="38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35" t="s">
        <v>21</v>
      </c>
      <c r="B35" s="35" t="s">
        <v>56</v>
      </c>
      <c r="C35" s="35" t="s">
        <v>40</v>
      </c>
      <c r="D35" s="35" t="s">
        <v>38</v>
      </c>
      <c r="E35" s="35" t="s">
        <v>25</v>
      </c>
      <c r="F35" s="35" t="s">
        <v>25</v>
      </c>
      <c r="G35" s="35" t="s">
        <v>25</v>
      </c>
      <c r="H35" s="35" t="s">
        <v>34</v>
      </c>
      <c r="I35" s="45">
        <v>44501</v>
      </c>
      <c r="J35" s="46">
        <f ca="1">EFEITO!$J$35*EFEITO!$Y$35</f>
        <v>111799.12577451569</v>
      </c>
      <c r="K35" s="46">
        <f ca="1">EFEITO!$L$35*EFEITO!$Z$35</f>
        <v>0</v>
      </c>
      <c r="L35" s="46">
        <f>EFEITO!$N$35*EFEITO!$AA$35</f>
        <v>0</v>
      </c>
      <c r="M35" s="46">
        <f ca="1">$J$35-EFEITO!$K$35*EFEITO!$Y$35</f>
        <v>0</v>
      </c>
      <c r="N35" s="46">
        <f ca="1">$K$35-EFEITO!$M$35*EFEITO!$Z$35</f>
        <v>0</v>
      </c>
      <c r="O35" s="46">
        <f>$L$35-EFEITO!$O$35*EFEITO!$AA$35</f>
        <v>0</v>
      </c>
      <c r="P35" s="38"/>
      <c r="Q35" s="38"/>
      <c r="R35" s="38"/>
      <c r="S35" s="38"/>
      <c r="T35" s="38"/>
      <c r="U35" s="38"/>
      <c r="V35" s="38"/>
      <c r="W35" s="38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35" t="s">
        <v>21</v>
      </c>
      <c r="B36" s="35" t="s">
        <v>56</v>
      </c>
      <c r="C36" s="35" t="s">
        <v>40</v>
      </c>
      <c r="D36" s="35" t="s">
        <v>38</v>
      </c>
      <c r="E36" s="35" t="s">
        <v>25</v>
      </c>
      <c r="F36" s="35" t="s">
        <v>25</v>
      </c>
      <c r="G36" s="35" t="s">
        <v>25</v>
      </c>
      <c r="H36" s="35" t="s">
        <v>34</v>
      </c>
      <c r="I36" s="45">
        <v>44531</v>
      </c>
      <c r="J36" s="46">
        <f ca="1">EFEITO!$J$36*EFEITO!$Y$36</f>
        <v>113301.0451803866</v>
      </c>
      <c r="K36" s="46">
        <f ca="1">EFEITO!$L$36*EFEITO!$Z$36</f>
        <v>0</v>
      </c>
      <c r="L36" s="46">
        <f>EFEITO!$N$36*EFEITO!$AA$36</f>
        <v>0</v>
      </c>
      <c r="M36" s="46">
        <f ca="1">$J$36-EFEITO!$K$36*EFEITO!$Y$36</f>
        <v>0</v>
      </c>
      <c r="N36" s="46">
        <f ca="1">$K$36-EFEITO!$M$36*EFEITO!$Z$36</f>
        <v>0</v>
      </c>
      <c r="O36" s="46">
        <f>$L$36-EFEITO!$O$36*EFEITO!$AA$36</f>
        <v>0</v>
      </c>
      <c r="P36" s="38"/>
      <c r="Q36" s="38"/>
      <c r="R36" s="38"/>
      <c r="S36" s="38"/>
      <c r="T36" s="38"/>
      <c r="U36" s="38"/>
      <c r="V36" s="38"/>
      <c r="W36" s="38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35" t="s">
        <v>55</v>
      </c>
      <c r="B37" s="35" t="s">
        <v>56</v>
      </c>
      <c r="C37" s="35" t="s">
        <v>40</v>
      </c>
      <c r="D37" s="35" t="s">
        <v>38</v>
      </c>
      <c r="E37" s="35" t="s">
        <v>25</v>
      </c>
      <c r="F37" s="35" t="s">
        <v>25</v>
      </c>
      <c r="G37" s="35" t="s">
        <v>25</v>
      </c>
      <c r="H37" s="35" t="s">
        <v>34</v>
      </c>
      <c r="I37" s="45">
        <v>44562</v>
      </c>
      <c r="J37" s="46">
        <f ca="1">EFEITO!$J$37*EFEITO!$Y$37</f>
        <v>113301.0451803866</v>
      </c>
      <c r="K37" s="46">
        <f ca="1">EFEITO!$L$37*EFEITO!$Z$37</f>
        <v>0</v>
      </c>
      <c r="L37" s="46">
        <f>EFEITO!$N$37*EFEITO!$AA$37</f>
        <v>0</v>
      </c>
      <c r="M37" s="46">
        <f ca="1">$J$37-EFEITO!$K$37*EFEITO!$Y$37</f>
        <v>0</v>
      </c>
      <c r="N37" s="46">
        <f ca="1">$K$37-EFEITO!$M$37*EFEITO!$Z$37</f>
        <v>0</v>
      </c>
      <c r="O37" s="46">
        <f>$L$37-EFEITO!$O$37*EFEITO!$AA$37</f>
        <v>0</v>
      </c>
      <c r="P37" s="38"/>
      <c r="Q37" s="38"/>
      <c r="R37" s="38"/>
      <c r="S37" s="38"/>
      <c r="T37" s="38"/>
      <c r="U37" s="38"/>
      <c r="V37" s="38"/>
      <c r="W37" s="38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35" t="s">
        <v>21</v>
      </c>
      <c r="B38" s="35" t="s">
        <v>56</v>
      </c>
      <c r="C38" s="35" t="s">
        <v>59</v>
      </c>
      <c r="D38" s="35" t="s">
        <v>25</v>
      </c>
      <c r="E38" s="35" t="s">
        <v>25</v>
      </c>
      <c r="F38" s="35" t="s">
        <v>25</v>
      </c>
      <c r="G38" s="35" t="s">
        <v>60</v>
      </c>
      <c r="H38" s="35" t="s">
        <v>35</v>
      </c>
      <c r="I38" s="45">
        <v>44228</v>
      </c>
      <c r="J38" s="46">
        <f ca="1">EFEITO!$J$38*EFEITO!$Y$38</f>
        <v>111206.79651419375</v>
      </c>
      <c r="K38" s="46">
        <f ca="1">EFEITO!$L$38*EFEITO!$Z$38</f>
        <v>0</v>
      </c>
      <c r="L38" s="46">
        <f>EFEITO!$N$38*EFEITO!$AA$38</f>
        <v>0</v>
      </c>
      <c r="M38" s="46">
        <f ca="1">$J$38-EFEITO!$K$38*EFEITO!$Y$38</f>
        <v>0</v>
      </c>
      <c r="N38" s="46">
        <f ca="1">$K$38-EFEITO!$M$38*EFEITO!$Z$38</f>
        <v>0</v>
      </c>
      <c r="O38" s="46">
        <f>$L$38-EFEITO!$O$38*EFEITO!$AA$38</f>
        <v>0</v>
      </c>
      <c r="P38" s="38"/>
      <c r="Q38" s="38"/>
      <c r="R38" s="38"/>
      <c r="S38" s="38"/>
      <c r="T38" s="38"/>
      <c r="U38" s="38"/>
      <c r="V38" s="38"/>
      <c r="W38" s="38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35" t="s">
        <v>21</v>
      </c>
      <c r="B39" s="35" t="s">
        <v>56</v>
      </c>
      <c r="C39" s="35" t="s">
        <v>59</v>
      </c>
      <c r="D39" s="35" t="s">
        <v>25</v>
      </c>
      <c r="E39" s="35" t="s">
        <v>25</v>
      </c>
      <c r="F39" s="35" t="s">
        <v>25</v>
      </c>
      <c r="G39" s="35" t="s">
        <v>60</v>
      </c>
      <c r="H39" s="35" t="s">
        <v>35</v>
      </c>
      <c r="I39" s="45">
        <v>44256</v>
      </c>
      <c r="J39" s="46">
        <f ca="1">EFEITO!$J$39*EFEITO!$Y$39</f>
        <v>111206.79651419375</v>
      </c>
      <c r="K39" s="46">
        <f ca="1">EFEITO!$L$39*EFEITO!$Z$39</f>
        <v>0</v>
      </c>
      <c r="L39" s="46">
        <f>EFEITO!$N$39*EFEITO!$AA$39</f>
        <v>0</v>
      </c>
      <c r="M39" s="46">
        <f ca="1">$J$39-EFEITO!$K$39*EFEITO!$Y$39</f>
        <v>0</v>
      </c>
      <c r="N39" s="46">
        <f ca="1">$K$39-EFEITO!$M$39*EFEITO!$Z$39</f>
        <v>0</v>
      </c>
      <c r="O39" s="46">
        <f>$L$39-EFEITO!$O$39*EFEITO!$AA$39</f>
        <v>0</v>
      </c>
      <c r="P39" s="38"/>
      <c r="Q39" s="38"/>
      <c r="R39" s="38"/>
      <c r="S39" s="38"/>
      <c r="T39" s="38"/>
      <c r="U39" s="38"/>
      <c r="V39" s="38"/>
      <c r="W39" s="38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35" t="s">
        <v>21</v>
      </c>
      <c r="B40" s="35" t="s">
        <v>56</v>
      </c>
      <c r="C40" s="35" t="s">
        <v>59</v>
      </c>
      <c r="D40" s="35" t="s">
        <v>25</v>
      </c>
      <c r="E40" s="35" t="s">
        <v>25</v>
      </c>
      <c r="F40" s="35" t="s">
        <v>25</v>
      </c>
      <c r="G40" s="35" t="s">
        <v>60</v>
      </c>
      <c r="H40" s="35" t="s">
        <v>35</v>
      </c>
      <c r="I40" s="45">
        <v>44287</v>
      </c>
      <c r="J40" s="46">
        <f ca="1">EFEITO!$J$40*EFEITO!$Y$40</f>
        <v>111206.79651419375</v>
      </c>
      <c r="K40" s="46">
        <f ca="1">EFEITO!$L$40*EFEITO!$Z$40</f>
        <v>0</v>
      </c>
      <c r="L40" s="46">
        <f>EFEITO!$N$40*EFEITO!$AA$40</f>
        <v>0</v>
      </c>
      <c r="M40" s="46">
        <f ca="1">$J$40-EFEITO!$K$40*EFEITO!$Y$40</f>
        <v>0</v>
      </c>
      <c r="N40" s="46">
        <f ca="1">$K$40-EFEITO!$M$40*EFEITO!$Z$40</f>
        <v>0</v>
      </c>
      <c r="O40" s="46">
        <f>$L$40-EFEITO!$O$40*EFEITO!$AA$40</f>
        <v>0</v>
      </c>
      <c r="P40" s="38"/>
      <c r="Q40" s="38"/>
      <c r="R40" s="38"/>
      <c r="S40" s="38"/>
      <c r="T40" s="38"/>
      <c r="U40" s="38"/>
      <c r="V40" s="38"/>
      <c r="W40" s="38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35" t="s">
        <v>21</v>
      </c>
      <c r="B41" s="35" t="s">
        <v>56</v>
      </c>
      <c r="C41" s="35" t="s">
        <v>59</v>
      </c>
      <c r="D41" s="35" t="s">
        <v>25</v>
      </c>
      <c r="E41" s="35" t="s">
        <v>25</v>
      </c>
      <c r="F41" s="35" t="s">
        <v>25</v>
      </c>
      <c r="G41" s="35" t="s">
        <v>60</v>
      </c>
      <c r="H41" s="35" t="s">
        <v>35</v>
      </c>
      <c r="I41" s="45">
        <v>44317</v>
      </c>
      <c r="J41" s="46">
        <f ca="1">EFEITO!$J$41*EFEITO!$Y$41</f>
        <v>111206.79651419375</v>
      </c>
      <c r="K41" s="46">
        <f ca="1">EFEITO!$L$41*EFEITO!$Z$41</f>
        <v>0</v>
      </c>
      <c r="L41" s="46">
        <f>EFEITO!$N$41*EFEITO!$AA$41</f>
        <v>0</v>
      </c>
      <c r="M41" s="46">
        <f ca="1">$J$41-EFEITO!$K$41*EFEITO!$Y$41</f>
        <v>0</v>
      </c>
      <c r="N41" s="46">
        <f ca="1">$K$41-EFEITO!$M$41*EFEITO!$Z$41</f>
        <v>0</v>
      </c>
      <c r="O41" s="46">
        <f>$L$41-EFEITO!$O$41*EFEITO!$AA$41</f>
        <v>0</v>
      </c>
      <c r="P41" s="38"/>
      <c r="Q41" s="38"/>
      <c r="R41" s="38"/>
      <c r="S41" s="38"/>
      <c r="T41" s="38"/>
      <c r="U41" s="38"/>
      <c r="V41" s="38"/>
      <c r="W41" s="38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35" t="s">
        <v>21</v>
      </c>
      <c r="B42" s="35" t="s">
        <v>56</v>
      </c>
      <c r="C42" s="35" t="s">
        <v>59</v>
      </c>
      <c r="D42" s="35" t="s">
        <v>25</v>
      </c>
      <c r="E42" s="35" t="s">
        <v>25</v>
      </c>
      <c r="F42" s="35" t="s">
        <v>25</v>
      </c>
      <c r="G42" s="35" t="s">
        <v>60</v>
      </c>
      <c r="H42" s="35" t="s">
        <v>35</v>
      </c>
      <c r="I42" s="45">
        <v>44348</v>
      </c>
      <c r="J42" s="46">
        <f ca="1">EFEITO!$J$42*EFEITO!$Y$42</f>
        <v>111206.79651419375</v>
      </c>
      <c r="K42" s="46">
        <f ca="1">EFEITO!$L$42*EFEITO!$Z$42</f>
        <v>0</v>
      </c>
      <c r="L42" s="46">
        <f>EFEITO!$N$42*EFEITO!$AA$42</f>
        <v>0</v>
      </c>
      <c r="M42" s="46">
        <f ca="1">$J$42-EFEITO!$K$42*EFEITO!$Y$42</f>
        <v>0</v>
      </c>
      <c r="N42" s="46">
        <f ca="1">$K$42-EFEITO!$M$42*EFEITO!$Z$42</f>
        <v>0</v>
      </c>
      <c r="O42" s="46">
        <f>$L$42-EFEITO!$O$42*EFEITO!$AA$42</f>
        <v>0</v>
      </c>
      <c r="P42" s="38"/>
      <c r="Q42" s="38"/>
      <c r="R42" s="38"/>
      <c r="S42" s="38"/>
      <c r="T42" s="38"/>
      <c r="U42" s="38"/>
      <c r="V42" s="38"/>
      <c r="W42" s="38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35" t="s">
        <v>21</v>
      </c>
      <c r="B43" s="35" t="s">
        <v>56</v>
      </c>
      <c r="C43" s="35" t="s">
        <v>59</v>
      </c>
      <c r="D43" s="35" t="s">
        <v>25</v>
      </c>
      <c r="E43" s="35" t="s">
        <v>25</v>
      </c>
      <c r="F43" s="35" t="s">
        <v>25</v>
      </c>
      <c r="G43" s="35" t="s">
        <v>60</v>
      </c>
      <c r="H43" s="35" t="s">
        <v>35</v>
      </c>
      <c r="I43" s="45">
        <v>44378</v>
      </c>
      <c r="J43" s="46">
        <f ca="1">EFEITO!$J$43*EFEITO!$Y$43</f>
        <v>111206.79651419375</v>
      </c>
      <c r="K43" s="46">
        <f ca="1">EFEITO!$L$43*EFEITO!$Z$43</f>
        <v>0</v>
      </c>
      <c r="L43" s="46">
        <f>EFEITO!$N$43*EFEITO!$AA$43</f>
        <v>0</v>
      </c>
      <c r="M43" s="46">
        <f ca="1">$J$43-EFEITO!$K$43*EFEITO!$Y$43</f>
        <v>0</v>
      </c>
      <c r="N43" s="46">
        <f ca="1">$K$43-EFEITO!$M$43*EFEITO!$Z$43</f>
        <v>0</v>
      </c>
      <c r="O43" s="46">
        <f>$L$43-EFEITO!$O$43*EFEITO!$AA$43</f>
        <v>0</v>
      </c>
      <c r="P43" s="38"/>
      <c r="Q43" s="38"/>
      <c r="R43" s="38"/>
      <c r="S43" s="38"/>
      <c r="T43" s="38"/>
      <c r="U43" s="38"/>
      <c r="V43" s="38"/>
      <c r="W43" s="38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35" t="s">
        <v>21</v>
      </c>
      <c r="B44" s="35" t="s">
        <v>56</v>
      </c>
      <c r="C44" s="35" t="s">
        <v>59</v>
      </c>
      <c r="D44" s="35" t="s">
        <v>25</v>
      </c>
      <c r="E44" s="35" t="s">
        <v>25</v>
      </c>
      <c r="F44" s="35" t="s">
        <v>25</v>
      </c>
      <c r="G44" s="35" t="s">
        <v>60</v>
      </c>
      <c r="H44" s="35" t="s">
        <v>35</v>
      </c>
      <c r="I44" s="45">
        <v>44409</v>
      </c>
      <c r="J44" s="46">
        <f ca="1">EFEITO!$J$44*EFEITO!$Y$44</f>
        <v>111206.79651419375</v>
      </c>
      <c r="K44" s="46">
        <f ca="1">EFEITO!$L$44*EFEITO!$Z$44</f>
        <v>0</v>
      </c>
      <c r="L44" s="46">
        <f>EFEITO!$N$44*EFEITO!$AA$44</f>
        <v>0</v>
      </c>
      <c r="M44" s="46">
        <f ca="1">$J$44-EFEITO!$K$44*EFEITO!$Y$44</f>
        <v>0</v>
      </c>
      <c r="N44" s="46">
        <f ca="1">$K$44-EFEITO!$M$44*EFEITO!$Z$44</f>
        <v>0</v>
      </c>
      <c r="O44" s="46">
        <f>$L$44-EFEITO!$O$44*EFEITO!$AA$44</f>
        <v>0</v>
      </c>
      <c r="P44" s="38"/>
      <c r="Q44" s="38"/>
      <c r="R44" s="38"/>
      <c r="S44" s="38"/>
      <c r="T44" s="38"/>
      <c r="U44" s="38"/>
      <c r="V44" s="38"/>
      <c r="W44" s="38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35" t="s">
        <v>21</v>
      </c>
      <c r="B45" s="35" t="s">
        <v>56</v>
      </c>
      <c r="C45" s="35" t="s">
        <v>59</v>
      </c>
      <c r="D45" s="35" t="s">
        <v>25</v>
      </c>
      <c r="E45" s="35" t="s">
        <v>25</v>
      </c>
      <c r="F45" s="35" t="s">
        <v>25</v>
      </c>
      <c r="G45" s="35" t="s">
        <v>60</v>
      </c>
      <c r="H45" s="35" t="s">
        <v>35</v>
      </c>
      <c r="I45" s="45">
        <v>44440</v>
      </c>
      <c r="J45" s="46">
        <f ca="1">EFEITO!$J$45*EFEITO!$Y$45</f>
        <v>111206.79651419375</v>
      </c>
      <c r="K45" s="46">
        <f ca="1">EFEITO!$L$45*EFEITO!$Z$45</f>
        <v>0</v>
      </c>
      <c r="L45" s="46">
        <f>EFEITO!$N$45*EFEITO!$AA$45</f>
        <v>0</v>
      </c>
      <c r="M45" s="46">
        <f ca="1">$J$45-EFEITO!$K$45*EFEITO!$Y$45</f>
        <v>0</v>
      </c>
      <c r="N45" s="46">
        <f ca="1">$K$45-EFEITO!$M$45*EFEITO!$Z$45</f>
        <v>0</v>
      </c>
      <c r="O45" s="46">
        <f>$L$45-EFEITO!$O$45*EFEITO!$AA$45</f>
        <v>0</v>
      </c>
      <c r="P45" s="38"/>
      <c r="Q45" s="38"/>
      <c r="R45" s="38"/>
      <c r="S45" s="38"/>
      <c r="T45" s="38"/>
      <c r="U45" s="38"/>
      <c r="V45" s="38"/>
      <c r="W45" s="38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35" t="s">
        <v>21</v>
      </c>
      <c r="B46" s="35" t="s">
        <v>56</v>
      </c>
      <c r="C46" s="35" t="s">
        <v>59</v>
      </c>
      <c r="D46" s="35" t="s">
        <v>25</v>
      </c>
      <c r="E46" s="35" t="s">
        <v>25</v>
      </c>
      <c r="F46" s="35" t="s">
        <v>25</v>
      </c>
      <c r="G46" s="35" t="s">
        <v>60</v>
      </c>
      <c r="H46" s="35" t="s">
        <v>35</v>
      </c>
      <c r="I46" s="45">
        <v>44470</v>
      </c>
      <c r="J46" s="46">
        <f ca="1">EFEITO!$J$46*EFEITO!$Y$46</f>
        <v>111206.79651419375</v>
      </c>
      <c r="K46" s="46">
        <f ca="1">EFEITO!$L$46*EFEITO!$Z$46</f>
        <v>0</v>
      </c>
      <c r="L46" s="46">
        <f>EFEITO!$N$46*EFEITO!$AA$46</f>
        <v>0</v>
      </c>
      <c r="M46" s="46">
        <f ca="1">$J$46-EFEITO!$K$46*EFEITO!$Y$46</f>
        <v>0</v>
      </c>
      <c r="N46" s="46">
        <f ca="1">$K$46-EFEITO!$M$46*EFEITO!$Z$46</f>
        <v>0</v>
      </c>
      <c r="O46" s="46">
        <f>$L$46-EFEITO!$O$46*EFEITO!$AA$46</f>
        <v>0</v>
      </c>
      <c r="P46" s="38"/>
      <c r="Q46" s="38"/>
      <c r="R46" s="38"/>
      <c r="S46" s="38"/>
      <c r="T46" s="38"/>
      <c r="U46" s="38"/>
      <c r="V46" s="38"/>
      <c r="W46" s="38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35" t="s">
        <v>21</v>
      </c>
      <c r="B47" s="35" t="s">
        <v>56</v>
      </c>
      <c r="C47" s="35" t="s">
        <v>59</v>
      </c>
      <c r="D47" s="35" t="s">
        <v>25</v>
      </c>
      <c r="E47" s="35" t="s">
        <v>25</v>
      </c>
      <c r="F47" s="35" t="s">
        <v>25</v>
      </c>
      <c r="G47" s="35" t="s">
        <v>60</v>
      </c>
      <c r="H47" s="35" t="s">
        <v>35</v>
      </c>
      <c r="I47" s="45">
        <v>44501</v>
      </c>
      <c r="J47" s="46">
        <f ca="1">EFEITO!$J$47*EFEITO!$Y$47</f>
        <v>111206.79651419375</v>
      </c>
      <c r="K47" s="46">
        <f ca="1">EFEITO!$L$47*EFEITO!$Z$47</f>
        <v>0</v>
      </c>
      <c r="L47" s="46">
        <f>EFEITO!$N$47*EFEITO!$AA$47</f>
        <v>0</v>
      </c>
      <c r="M47" s="46">
        <f ca="1">$J$47-EFEITO!$K$47*EFEITO!$Y$47</f>
        <v>0</v>
      </c>
      <c r="N47" s="46">
        <f ca="1">$K$47-EFEITO!$M$47*EFEITO!$Z$47</f>
        <v>0</v>
      </c>
      <c r="O47" s="46">
        <f>$L$47-EFEITO!$O$47*EFEITO!$AA$47</f>
        <v>0</v>
      </c>
      <c r="P47" s="38"/>
      <c r="Q47" s="38"/>
      <c r="R47" s="38"/>
      <c r="S47" s="38"/>
      <c r="T47" s="38"/>
      <c r="U47" s="38"/>
      <c r="V47" s="38"/>
      <c r="W47" s="38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35" t="s">
        <v>21</v>
      </c>
      <c r="B48" s="35" t="s">
        <v>56</v>
      </c>
      <c r="C48" s="35" t="s">
        <v>59</v>
      </c>
      <c r="D48" s="35" t="s">
        <v>25</v>
      </c>
      <c r="E48" s="35" t="s">
        <v>25</v>
      </c>
      <c r="F48" s="35" t="s">
        <v>25</v>
      </c>
      <c r="G48" s="35" t="s">
        <v>60</v>
      </c>
      <c r="H48" s="35" t="s">
        <v>35</v>
      </c>
      <c r="I48" s="45">
        <v>44531</v>
      </c>
      <c r="J48" s="46">
        <f ca="1">EFEITO!$J$48*EFEITO!$Y$48</f>
        <v>123315.98102351707</v>
      </c>
      <c r="K48" s="46">
        <f ca="1">EFEITO!$L$48*EFEITO!$Z$48</f>
        <v>0</v>
      </c>
      <c r="L48" s="46">
        <f>EFEITO!$N$48*EFEITO!$AA$48</f>
        <v>0</v>
      </c>
      <c r="M48" s="46">
        <f ca="1">$J$48-EFEITO!$K$48*EFEITO!$Y$48</f>
        <v>0</v>
      </c>
      <c r="N48" s="46">
        <f ca="1">$K$48-EFEITO!$M$48*EFEITO!$Z$48</f>
        <v>0</v>
      </c>
      <c r="O48" s="46">
        <f>$L$48-EFEITO!$O$48*EFEITO!$AA$48</f>
        <v>0</v>
      </c>
      <c r="P48" s="38"/>
      <c r="Q48" s="38"/>
      <c r="R48" s="38"/>
      <c r="S48" s="38"/>
      <c r="T48" s="38"/>
      <c r="U48" s="38"/>
      <c r="V48" s="38"/>
      <c r="W48" s="38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35" t="s">
        <v>55</v>
      </c>
      <c r="B49" s="35" t="s">
        <v>56</v>
      </c>
      <c r="C49" s="35" t="s">
        <v>59</v>
      </c>
      <c r="D49" s="35" t="s">
        <v>25</v>
      </c>
      <c r="E49" s="35" t="s">
        <v>25</v>
      </c>
      <c r="F49" s="35" t="s">
        <v>25</v>
      </c>
      <c r="G49" s="35" t="s">
        <v>60</v>
      </c>
      <c r="H49" s="35" t="s">
        <v>35</v>
      </c>
      <c r="I49" s="45">
        <v>44562</v>
      </c>
      <c r="J49" s="46">
        <f ca="1">EFEITO!$J$49*EFEITO!$Y$49</f>
        <v>123315.98102351707</v>
      </c>
      <c r="K49" s="46">
        <f ca="1">EFEITO!$L$49*EFEITO!$Z$49</f>
        <v>0</v>
      </c>
      <c r="L49" s="46">
        <f>EFEITO!$N$49*EFEITO!$AA$49</f>
        <v>0</v>
      </c>
      <c r="M49" s="46">
        <f ca="1">$J$49-EFEITO!$K$49*EFEITO!$Y$49</f>
        <v>0</v>
      </c>
      <c r="N49" s="46">
        <f ca="1">$K$49-EFEITO!$M$49*EFEITO!$Z$49</f>
        <v>0</v>
      </c>
      <c r="O49" s="46">
        <f>$L$49-EFEITO!$O$49*EFEITO!$AA$49</f>
        <v>0</v>
      </c>
      <c r="P49" s="38"/>
      <c r="Q49" s="38"/>
      <c r="R49" s="38"/>
      <c r="S49" s="38"/>
      <c r="T49" s="38"/>
      <c r="U49" s="38"/>
      <c r="V49" s="38"/>
      <c r="W49" s="38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35" t="s">
        <v>21</v>
      </c>
      <c r="B50" s="35" t="s">
        <v>56</v>
      </c>
      <c r="C50" s="35" t="s">
        <v>59</v>
      </c>
      <c r="D50" s="35" t="s">
        <v>25</v>
      </c>
      <c r="E50" s="35" t="s">
        <v>25</v>
      </c>
      <c r="F50" s="35" t="s">
        <v>25</v>
      </c>
      <c r="G50" s="35" t="s">
        <v>60</v>
      </c>
      <c r="H50" s="35" t="s">
        <v>25</v>
      </c>
      <c r="I50" s="45">
        <v>44228</v>
      </c>
      <c r="J50" s="46">
        <f ca="1">EFEITO!$J$50*EFEITO!$Y$50</f>
        <v>0</v>
      </c>
      <c r="K50" s="46">
        <f ca="1">EFEITO!$L$50*EFEITO!$Z$50</f>
        <v>11333.562229517102</v>
      </c>
      <c r="L50" s="46">
        <f>EFEITO!$N$50*EFEITO!$AA$50</f>
        <v>0</v>
      </c>
      <c r="M50" s="46">
        <f ca="1">$J$50-EFEITO!$K$50*EFEITO!$Y$50</f>
        <v>0</v>
      </c>
      <c r="N50" s="46">
        <f ca="1">$K$50-EFEITO!$M$50*EFEITO!$Z$50</f>
        <v>0</v>
      </c>
      <c r="O50" s="46">
        <f>$L$50-EFEITO!$O$50*EFEITO!$AA$50</f>
        <v>0</v>
      </c>
      <c r="P50" s="38"/>
      <c r="Q50" s="38"/>
      <c r="R50" s="38"/>
      <c r="S50" s="38"/>
      <c r="T50" s="38"/>
      <c r="U50" s="38"/>
      <c r="V50" s="38"/>
      <c r="W50" s="38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35" t="s">
        <v>21</v>
      </c>
      <c r="B51" s="35" t="s">
        <v>56</v>
      </c>
      <c r="C51" s="35" t="s">
        <v>59</v>
      </c>
      <c r="D51" s="35" t="s">
        <v>25</v>
      </c>
      <c r="E51" s="35" t="s">
        <v>25</v>
      </c>
      <c r="F51" s="35" t="s">
        <v>25</v>
      </c>
      <c r="G51" s="35" t="s">
        <v>60</v>
      </c>
      <c r="H51" s="35" t="s">
        <v>25</v>
      </c>
      <c r="I51" s="45">
        <v>44256</v>
      </c>
      <c r="J51" s="46">
        <f ca="1">EFEITO!$J$51*EFEITO!$Y$51</f>
        <v>0</v>
      </c>
      <c r="K51" s="46">
        <f ca="1">EFEITO!$L$51*EFEITO!$Z$51</f>
        <v>10990.385394073035</v>
      </c>
      <c r="L51" s="46">
        <f>EFEITO!$N$51*EFEITO!$AA$51</f>
        <v>0</v>
      </c>
      <c r="M51" s="46">
        <f ca="1">$J$51-EFEITO!$K$51*EFEITO!$Y$51</f>
        <v>0</v>
      </c>
      <c r="N51" s="46">
        <f ca="1">$K$51-EFEITO!$M$51*EFEITO!$Z$51</f>
        <v>0</v>
      </c>
      <c r="O51" s="46">
        <f>$L$51-EFEITO!$O$51*EFEITO!$AA$51</f>
        <v>0</v>
      </c>
      <c r="P51" s="38"/>
      <c r="Q51" s="38"/>
      <c r="R51" s="38"/>
      <c r="S51" s="38"/>
      <c r="T51" s="38"/>
      <c r="U51" s="38"/>
      <c r="V51" s="38"/>
      <c r="W51" s="38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35" t="s">
        <v>21</v>
      </c>
      <c r="B52" s="35" t="s">
        <v>56</v>
      </c>
      <c r="C52" s="35" t="s">
        <v>59</v>
      </c>
      <c r="D52" s="35" t="s">
        <v>25</v>
      </c>
      <c r="E52" s="35" t="s">
        <v>25</v>
      </c>
      <c r="F52" s="35" t="s">
        <v>25</v>
      </c>
      <c r="G52" s="35" t="s">
        <v>60</v>
      </c>
      <c r="H52" s="35" t="s">
        <v>25</v>
      </c>
      <c r="I52" s="45">
        <v>44287</v>
      </c>
      <c r="J52" s="46">
        <f ca="1">EFEITO!$J$52*EFEITO!$Y$52</f>
        <v>0</v>
      </c>
      <c r="K52" s="46">
        <f ca="1">EFEITO!$L$52*EFEITO!$Z$52</f>
        <v>11565.380518020123</v>
      </c>
      <c r="L52" s="46">
        <f>EFEITO!$N$52*EFEITO!$AA$52</f>
        <v>0</v>
      </c>
      <c r="M52" s="46">
        <f ca="1">$J$52-EFEITO!$K$52*EFEITO!$Y$52</f>
        <v>0</v>
      </c>
      <c r="N52" s="46">
        <f ca="1">$K$52-EFEITO!$M$52*EFEITO!$Z$52</f>
        <v>0</v>
      </c>
      <c r="O52" s="46">
        <f>$L$52-EFEITO!$O$52*EFEITO!$AA$52</f>
        <v>0</v>
      </c>
      <c r="P52" s="38"/>
      <c r="Q52" s="38"/>
      <c r="R52" s="38"/>
      <c r="S52" s="38"/>
      <c r="T52" s="38"/>
      <c r="U52" s="38"/>
      <c r="V52" s="38"/>
      <c r="W52" s="38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35" t="s">
        <v>21</v>
      </c>
      <c r="B53" s="35" t="s">
        <v>56</v>
      </c>
      <c r="C53" s="35" t="s">
        <v>59</v>
      </c>
      <c r="D53" s="35" t="s">
        <v>25</v>
      </c>
      <c r="E53" s="35" t="s">
        <v>25</v>
      </c>
      <c r="F53" s="35" t="s">
        <v>25</v>
      </c>
      <c r="G53" s="35" t="s">
        <v>60</v>
      </c>
      <c r="H53" s="35" t="s">
        <v>25</v>
      </c>
      <c r="I53" s="45">
        <v>44317</v>
      </c>
      <c r="J53" s="46">
        <f ca="1">EFEITO!$J$53*EFEITO!$Y$53</f>
        <v>0</v>
      </c>
      <c r="K53" s="46">
        <f ca="1">EFEITO!$L$53*EFEITO!$Z$53</f>
        <v>9898.9068387572297</v>
      </c>
      <c r="L53" s="46">
        <f>EFEITO!$N$53*EFEITO!$AA$53</f>
        <v>0</v>
      </c>
      <c r="M53" s="46">
        <f ca="1">$J$53-EFEITO!$K$53*EFEITO!$Y$53</f>
        <v>0</v>
      </c>
      <c r="N53" s="46">
        <f ca="1">$K$53-EFEITO!$M$53*EFEITO!$Z$53</f>
        <v>0</v>
      </c>
      <c r="O53" s="46">
        <f>$L$53-EFEITO!$O$53*EFEITO!$AA$53</f>
        <v>0</v>
      </c>
      <c r="P53" s="38"/>
      <c r="Q53" s="38"/>
      <c r="R53" s="38"/>
      <c r="S53" s="38"/>
      <c r="T53" s="38"/>
      <c r="U53" s="38"/>
      <c r="V53" s="38"/>
      <c r="W53" s="38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35" t="s">
        <v>21</v>
      </c>
      <c r="B54" s="35" t="s">
        <v>56</v>
      </c>
      <c r="C54" s="35" t="s">
        <v>59</v>
      </c>
      <c r="D54" s="35" t="s">
        <v>25</v>
      </c>
      <c r="E54" s="35" t="s">
        <v>25</v>
      </c>
      <c r="F54" s="35" t="s">
        <v>25</v>
      </c>
      <c r="G54" s="35" t="s">
        <v>60</v>
      </c>
      <c r="H54" s="35" t="s">
        <v>25</v>
      </c>
      <c r="I54" s="45">
        <v>44348</v>
      </c>
      <c r="J54" s="46">
        <f ca="1">EFEITO!$J$54*EFEITO!$Y$54</f>
        <v>0</v>
      </c>
      <c r="K54" s="46">
        <f ca="1">EFEITO!$L$54*EFEITO!$Z$54</f>
        <v>10736.013870888659</v>
      </c>
      <c r="L54" s="46">
        <f>EFEITO!$N$54*EFEITO!$AA$54</f>
        <v>0</v>
      </c>
      <c r="M54" s="46">
        <f ca="1">$J$54-EFEITO!$K$54*EFEITO!$Y$54</f>
        <v>0</v>
      </c>
      <c r="N54" s="46">
        <f ca="1">$K$54-EFEITO!$M$54*EFEITO!$Z$54</f>
        <v>0</v>
      </c>
      <c r="O54" s="46">
        <f>$L$54-EFEITO!$O$54*EFEITO!$AA$54</f>
        <v>0</v>
      </c>
      <c r="P54" s="38"/>
      <c r="Q54" s="38"/>
      <c r="R54" s="38"/>
      <c r="S54" s="38"/>
      <c r="T54" s="38"/>
      <c r="U54" s="38"/>
      <c r="V54" s="38"/>
      <c r="W54" s="38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35" t="s">
        <v>21</v>
      </c>
      <c r="B55" s="35" t="s">
        <v>56</v>
      </c>
      <c r="C55" s="35" t="s">
        <v>59</v>
      </c>
      <c r="D55" s="35" t="s">
        <v>25</v>
      </c>
      <c r="E55" s="35" t="s">
        <v>25</v>
      </c>
      <c r="F55" s="35" t="s">
        <v>25</v>
      </c>
      <c r="G55" s="35" t="s">
        <v>60</v>
      </c>
      <c r="H55" s="35" t="s">
        <v>25</v>
      </c>
      <c r="I55" s="45">
        <v>44378</v>
      </c>
      <c r="J55" s="46">
        <f ca="1">EFEITO!$J$55*EFEITO!$Y$55</f>
        <v>0</v>
      </c>
      <c r="K55" s="46">
        <f ca="1">EFEITO!$L$55*EFEITO!$Z$55</f>
        <v>10028.876642051018</v>
      </c>
      <c r="L55" s="46">
        <f>EFEITO!$N$55*EFEITO!$AA$55</f>
        <v>0</v>
      </c>
      <c r="M55" s="46">
        <f ca="1">$J$55-EFEITO!$K$55*EFEITO!$Y$55</f>
        <v>0</v>
      </c>
      <c r="N55" s="46">
        <f ca="1">$K$55-EFEITO!$M$55*EFEITO!$Z$55</f>
        <v>0</v>
      </c>
      <c r="O55" s="46">
        <f>$L$55-EFEITO!$O$55*EFEITO!$AA$55</f>
        <v>0</v>
      </c>
      <c r="P55" s="38"/>
      <c r="Q55" s="38"/>
      <c r="R55" s="38"/>
      <c r="S55" s="38"/>
      <c r="T55" s="38"/>
      <c r="U55" s="38"/>
      <c r="V55" s="38"/>
      <c r="W55" s="38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35" t="s">
        <v>21</v>
      </c>
      <c r="B56" s="35" t="s">
        <v>56</v>
      </c>
      <c r="C56" s="35" t="s">
        <v>59</v>
      </c>
      <c r="D56" s="35" t="s">
        <v>25</v>
      </c>
      <c r="E56" s="35" t="s">
        <v>25</v>
      </c>
      <c r="F56" s="35" t="s">
        <v>25</v>
      </c>
      <c r="G56" s="35" t="s">
        <v>60</v>
      </c>
      <c r="H56" s="35" t="s">
        <v>25</v>
      </c>
      <c r="I56" s="45">
        <v>44409</v>
      </c>
      <c r="J56" s="46">
        <f ca="1">EFEITO!$J$56*EFEITO!$Y$56</f>
        <v>0</v>
      </c>
      <c r="K56" s="46">
        <f ca="1">EFEITO!$L$56*EFEITO!$Z$56</f>
        <v>10251.72170197545</v>
      </c>
      <c r="L56" s="46">
        <f>EFEITO!$N$56*EFEITO!$AA$56</f>
        <v>0</v>
      </c>
      <c r="M56" s="46">
        <f ca="1">$J$56-EFEITO!$K$56*EFEITO!$Y$56</f>
        <v>0</v>
      </c>
      <c r="N56" s="46">
        <f ca="1">$K$56-EFEITO!$M$56*EFEITO!$Z$56</f>
        <v>0</v>
      </c>
      <c r="O56" s="46">
        <f>$L$56-EFEITO!$O$56*EFEITO!$AA$56</f>
        <v>0</v>
      </c>
      <c r="P56" s="38"/>
      <c r="Q56" s="38"/>
      <c r="R56" s="38"/>
      <c r="S56" s="38"/>
      <c r="T56" s="38"/>
      <c r="U56" s="38"/>
      <c r="V56" s="38"/>
      <c r="W56" s="38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35" t="s">
        <v>21</v>
      </c>
      <c r="B57" s="35" t="s">
        <v>56</v>
      </c>
      <c r="C57" s="35" t="s">
        <v>59</v>
      </c>
      <c r="D57" s="35" t="s">
        <v>25</v>
      </c>
      <c r="E57" s="35" t="s">
        <v>25</v>
      </c>
      <c r="F57" s="35" t="s">
        <v>25</v>
      </c>
      <c r="G57" s="35" t="s">
        <v>60</v>
      </c>
      <c r="H57" s="35" t="s">
        <v>25</v>
      </c>
      <c r="I57" s="45">
        <v>44440</v>
      </c>
      <c r="J57" s="46">
        <f ca="1">EFEITO!$J$57*EFEITO!$Y$57</f>
        <v>0</v>
      </c>
      <c r="K57" s="46">
        <f ca="1">EFEITO!$L$57*EFEITO!$Z$57</f>
        <v>10195.591426233759</v>
      </c>
      <c r="L57" s="46">
        <f>EFEITO!$N$57*EFEITO!$AA$57</f>
        <v>0</v>
      </c>
      <c r="M57" s="46">
        <f ca="1">$J$57-EFEITO!$K$57*EFEITO!$Y$57</f>
        <v>0</v>
      </c>
      <c r="N57" s="46">
        <f ca="1">$K$57-EFEITO!$M$57*EFEITO!$Z$57</f>
        <v>0</v>
      </c>
      <c r="O57" s="46">
        <f>$L$57-EFEITO!$O$57*EFEITO!$AA$57</f>
        <v>0</v>
      </c>
      <c r="P57" s="38"/>
      <c r="Q57" s="38"/>
      <c r="R57" s="38"/>
      <c r="S57" s="38"/>
      <c r="T57" s="38"/>
      <c r="U57" s="38"/>
      <c r="V57" s="38"/>
      <c r="W57" s="38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35" t="s">
        <v>21</v>
      </c>
      <c r="B58" s="35" t="s">
        <v>56</v>
      </c>
      <c r="C58" s="35" t="s">
        <v>59</v>
      </c>
      <c r="D58" s="35" t="s">
        <v>25</v>
      </c>
      <c r="E58" s="35" t="s">
        <v>25</v>
      </c>
      <c r="F58" s="35" t="s">
        <v>25</v>
      </c>
      <c r="G58" s="35" t="s">
        <v>60</v>
      </c>
      <c r="H58" s="35" t="s">
        <v>25</v>
      </c>
      <c r="I58" s="45">
        <v>44470</v>
      </c>
      <c r="J58" s="46">
        <f ca="1">EFEITO!$J$58*EFEITO!$Y$58</f>
        <v>0</v>
      </c>
      <c r="K58" s="46">
        <f ca="1">EFEITO!$L$58*EFEITO!$Z$58</f>
        <v>10893.530705637973</v>
      </c>
      <c r="L58" s="46">
        <f>EFEITO!$N$58*EFEITO!$AA$58</f>
        <v>0</v>
      </c>
      <c r="M58" s="46">
        <f ca="1">$J$58-EFEITO!$K$58*EFEITO!$Y$58</f>
        <v>0</v>
      </c>
      <c r="N58" s="46">
        <f ca="1">$K$58-EFEITO!$M$58*EFEITO!$Z$58</f>
        <v>0</v>
      </c>
      <c r="O58" s="46">
        <f>$L$58-EFEITO!$O$58*EFEITO!$AA$58</f>
        <v>0</v>
      </c>
      <c r="P58" s="38"/>
      <c r="Q58" s="38"/>
      <c r="R58" s="38"/>
      <c r="S58" s="38"/>
      <c r="T58" s="38"/>
      <c r="U58" s="38"/>
      <c r="V58" s="38"/>
      <c r="W58" s="38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35" t="s">
        <v>21</v>
      </c>
      <c r="B59" s="35" t="s">
        <v>56</v>
      </c>
      <c r="C59" s="35" t="s">
        <v>59</v>
      </c>
      <c r="D59" s="35" t="s">
        <v>25</v>
      </c>
      <c r="E59" s="35" t="s">
        <v>25</v>
      </c>
      <c r="F59" s="35" t="s">
        <v>25</v>
      </c>
      <c r="G59" s="35" t="s">
        <v>60</v>
      </c>
      <c r="H59" s="35" t="s">
        <v>25</v>
      </c>
      <c r="I59" s="45">
        <v>44501</v>
      </c>
      <c r="J59" s="46">
        <f ca="1">EFEITO!$J$59*EFEITO!$Y$59</f>
        <v>0</v>
      </c>
      <c r="K59" s="46">
        <f ca="1">EFEITO!$L$59*EFEITO!$Z$59</f>
        <v>11310.834211948653</v>
      </c>
      <c r="L59" s="46">
        <f>EFEITO!$N$59*EFEITO!$AA$59</f>
        <v>0</v>
      </c>
      <c r="M59" s="46">
        <f ca="1">$J$59-EFEITO!$K$59*EFEITO!$Y$59</f>
        <v>0</v>
      </c>
      <c r="N59" s="46">
        <f ca="1">$K$59-EFEITO!$M$59*EFEITO!$Z$59</f>
        <v>0</v>
      </c>
      <c r="O59" s="46">
        <f>$L$59-EFEITO!$O$59*EFEITO!$AA$59</f>
        <v>0</v>
      </c>
      <c r="P59" s="38"/>
      <c r="Q59" s="38"/>
      <c r="R59" s="38"/>
      <c r="S59" s="38"/>
      <c r="T59" s="38"/>
      <c r="U59" s="38"/>
      <c r="V59" s="38"/>
      <c r="W59" s="38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35" t="s">
        <v>21</v>
      </c>
      <c r="B60" s="35" t="s">
        <v>56</v>
      </c>
      <c r="C60" s="35" t="s">
        <v>59</v>
      </c>
      <c r="D60" s="35" t="s">
        <v>25</v>
      </c>
      <c r="E60" s="35" t="s">
        <v>25</v>
      </c>
      <c r="F60" s="35" t="s">
        <v>25</v>
      </c>
      <c r="G60" s="35" t="s">
        <v>60</v>
      </c>
      <c r="H60" s="35" t="s">
        <v>25</v>
      </c>
      <c r="I60" s="45">
        <v>44531</v>
      </c>
      <c r="J60" s="46">
        <f ca="1">EFEITO!$J$60*EFEITO!$Y$60</f>
        <v>0</v>
      </c>
      <c r="K60" s="46">
        <f ca="1">EFEITO!$L$60*EFEITO!$Z$60</f>
        <v>11896.675238264646</v>
      </c>
      <c r="L60" s="46">
        <f>EFEITO!$N$60*EFEITO!$AA$60</f>
        <v>0</v>
      </c>
      <c r="M60" s="46">
        <f ca="1">$J$60-EFEITO!$K$60*EFEITO!$Y$60</f>
        <v>0</v>
      </c>
      <c r="N60" s="46">
        <f ca="1">$K$60-EFEITO!$M$60*EFEITO!$Z$60</f>
        <v>0</v>
      </c>
      <c r="O60" s="46">
        <f>$L$60-EFEITO!$O$60*EFEITO!$AA$60</f>
        <v>0</v>
      </c>
      <c r="P60" s="38"/>
      <c r="Q60" s="38"/>
      <c r="R60" s="38"/>
      <c r="S60" s="38"/>
      <c r="T60" s="38"/>
      <c r="U60" s="38"/>
      <c r="V60" s="38"/>
      <c r="W60" s="38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35" t="s">
        <v>55</v>
      </c>
      <c r="B61" s="35" t="s">
        <v>56</v>
      </c>
      <c r="C61" s="35" t="s">
        <v>59</v>
      </c>
      <c r="D61" s="35" t="s">
        <v>25</v>
      </c>
      <c r="E61" s="35" t="s">
        <v>25</v>
      </c>
      <c r="F61" s="35" t="s">
        <v>25</v>
      </c>
      <c r="G61" s="35" t="s">
        <v>60</v>
      </c>
      <c r="H61" s="35" t="s">
        <v>25</v>
      </c>
      <c r="I61" s="45">
        <v>44562</v>
      </c>
      <c r="J61" s="46">
        <f ca="1">EFEITO!$J$61*EFEITO!$Y$61</f>
        <v>0</v>
      </c>
      <c r="K61" s="46">
        <f ca="1">EFEITO!$L$61*EFEITO!$Z$61</f>
        <v>11896.675238264646</v>
      </c>
      <c r="L61" s="46">
        <f>EFEITO!$N$61*EFEITO!$AA$61</f>
        <v>0</v>
      </c>
      <c r="M61" s="46">
        <f ca="1">$J$61-EFEITO!$K$61*EFEITO!$Y$61</f>
        <v>0</v>
      </c>
      <c r="N61" s="46">
        <f ca="1">$K$61-EFEITO!$M$61*EFEITO!$Z$61</f>
        <v>0</v>
      </c>
      <c r="O61" s="46">
        <f>$L$61-EFEITO!$O$61*EFEITO!$AA$61</f>
        <v>0</v>
      </c>
      <c r="P61" s="38"/>
      <c r="Q61" s="38"/>
      <c r="R61" s="38"/>
      <c r="S61" s="38"/>
      <c r="T61" s="38"/>
      <c r="U61" s="38"/>
      <c r="V61" s="38"/>
      <c r="W61" s="38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35" t="s">
        <v>21</v>
      </c>
      <c r="B62" s="35" t="s">
        <v>56</v>
      </c>
      <c r="C62" s="35" t="s">
        <v>59</v>
      </c>
      <c r="D62" s="35" t="s">
        <v>25</v>
      </c>
      <c r="E62" s="35" t="s">
        <v>25</v>
      </c>
      <c r="F62" s="35" t="s">
        <v>25</v>
      </c>
      <c r="G62" s="35" t="s">
        <v>60</v>
      </c>
      <c r="H62" s="35" t="s">
        <v>34</v>
      </c>
      <c r="I62" s="45">
        <v>44228</v>
      </c>
      <c r="J62" s="46">
        <f ca="1">EFEITO!$J$62*EFEITO!$Y$62</f>
        <v>230476.2393933977</v>
      </c>
      <c r="K62" s="46">
        <f ca="1">EFEITO!$L$62*EFEITO!$Z$62</f>
        <v>0</v>
      </c>
      <c r="L62" s="46">
        <f>EFEITO!$N$62*EFEITO!$AA$62</f>
        <v>0</v>
      </c>
      <c r="M62" s="46">
        <f ca="1">$J$62-EFEITO!$K$62*EFEITO!$Y$62</f>
        <v>0</v>
      </c>
      <c r="N62" s="46">
        <f ca="1">$K$62-EFEITO!$M$62*EFEITO!$Z$62</f>
        <v>0</v>
      </c>
      <c r="O62" s="46">
        <f>$L$62-EFEITO!$O$62*EFEITO!$AA$62</f>
        <v>0</v>
      </c>
      <c r="P62" s="38"/>
      <c r="Q62" s="38"/>
      <c r="R62" s="38"/>
      <c r="S62" s="38"/>
      <c r="T62" s="38"/>
      <c r="U62" s="38"/>
      <c r="V62" s="38"/>
      <c r="W62" s="38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35" t="s">
        <v>21</v>
      </c>
      <c r="B63" s="35" t="s">
        <v>56</v>
      </c>
      <c r="C63" s="35" t="s">
        <v>59</v>
      </c>
      <c r="D63" s="35" t="s">
        <v>25</v>
      </c>
      <c r="E63" s="35" t="s">
        <v>25</v>
      </c>
      <c r="F63" s="35" t="s">
        <v>25</v>
      </c>
      <c r="G63" s="35" t="s">
        <v>60</v>
      </c>
      <c r="H63" s="35" t="s">
        <v>34</v>
      </c>
      <c r="I63" s="45">
        <v>44256</v>
      </c>
      <c r="J63" s="46">
        <f ca="1">EFEITO!$J$63*EFEITO!$Y$63</f>
        <v>230476.2393933977</v>
      </c>
      <c r="K63" s="46">
        <f ca="1">EFEITO!$L$63*EFEITO!$Z$63</f>
        <v>0</v>
      </c>
      <c r="L63" s="46">
        <f>EFEITO!$N$63*EFEITO!$AA$63</f>
        <v>0</v>
      </c>
      <c r="M63" s="46">
        <f ca="1">$J$63-EFEITO!$K$63*EFEITO!$Y$63</f>
        <v>0</v>
      </c>
      <c r="N63" s="46">
        <f ca="1">$K$63-EFEITO!$M$63*EFEITO!$Z$63</f>
        <v>0</v>
      </c>
      <c r="O63" s="46">
        <f>$L$63-EFEITO!$O$63*EFEITO!$AA$63</f>
        <v>0</v>
      </c>
      <c r="P63" s="38"/>
      <c r="Q63" s="38"/>
      <c r="R63" s="38"/>
      <c r="S63" s="38"/>
      <c r="T63" s="38"/>
      <c r="U63" s="38"/>
      <c r="V63" s="38"/>
      <c r="W63" s="38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35" t="s">
        <v>21</v>
      </c>
      <c r="B64" s="35" t="s">
        <v>56</v>
      </c>
      <c r="C64" s="35" t="s">
        <v>59</v>
      </c>
      <c r="D64" s="35" t="s">
        <v>25</v>
      </c>
      <c r="E64" s="35" t="s">
        <v>25</v>
      </c>
      <c r="F64" s="35" t="s">
        <v>25</v>
      </c>
      <c r="G64" s="35" t="s">
        <v>60</v>
      </c>
      <c r="H64" s="35" t="s">
        <v>34</v>
      </c>
      <c r="I64" s="45">
        <v>44287</v>
      </c>
      <c r="J64" s="46">
        <f ca="1">EFEITO!$J$64*EFEITO!$Y$64</f>
        <v>230476.2393933977</v>
      </c>
      <c r="K64" s="46">
        <f ca="1">EFEITO!$L$64*EFEITO!$Z$64</f>
        <v>0</v>
      </c>
      <c r="L64" s="46">
        <f>EFEITO!$N$64*EFEITO!$AA$64</f>
        <v>0</v>
      </c>
      <c r="M64" s="46">
        <f ca="1">$J$64-EFEITO!$K$64*EFEITO!$Y$64</f>
        <v>0</v>
      </c>
      <c r="N64" s="46">
        <f ca="1">$K$64-EFEITO!$M$64*EFEITO!$Z$64</f>
        <v>0</v>
      </c>
      <c r="O64" s="46">
        <f>$L$64-EFEITO!$O$64*EFEITO!$AA$64</f>
        <v>0</v>
      </c>
      <c r="P64" s="38"/>
      <c r="Q64" s="38"/>
      <c r="R64" s="38"/>
      <c r="S64" s="38"/>
      <c r="T64" s="38"/>
      <c r="U64" s="38"/>
      <c r="V64" s="38"/>
      <c r="W64" s="38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35" t="s">
        <v>21</v>
      </c>
      <c r="B65" s="35" t="s">
        <v>56</v>
      </c>
      <c r="C65" s="35" t="s">
        <v>59</v>
      </c>
      <c r="D65" s="35" t="s">
        <v>25</v>
      </c>
      <c r="E65" s="35" t="s">
        <v>25</v>
      </c>
      <c r="F65" s="35" t="s">
        <v>25</v>
      </c>
      <c r="G65" s="35" t="s">
        <v>60</v>
      </c>
      <c r="H65" s="35" t="s">
        <v>34</v>
      </c>
      <c r="I65" s="45">
        <v>44317</v>
      </c>
      <c r="J65" s="46">
        <f ca="1">EFEITO!$J$65*EFEITO!$Y$65</f>
        <v>230476.2393933977</v>
      </c>
      <c r="K65" s="46">
        <f ca="1">EFEITO!$L$65*EFEITO!$Z$65</f>
        <v>0</v>
      </c>
      <c r="L65" s="46">
        <f>EFEITO!$N$65*EFEITO!$AA$65</f>
        <v>0</v>
      </c>
      <c r="M65" s="46">
        <f ca="1">$J$65-EFEITO!$K$65*EFEITO!$Y$65</f>
        <v>0</v>
      </c>
      <c r="N65" s="46">
        <f ca="1">$K$65-EFEITO!$M$65*EFEITO!$Z$65</f>
        <v>0</v>
      </c>
      <c r="O65" s="46">
        <f>$L$65-EFEITO!$O$65*EFEITO!$AA$65</f>
        <v>0</v>
      </c>
      <c r="P65" s="38"/>
      <c r="Q65" s="38"/>
      <c r="R65" s="38"/>
      <c r="S65" s="38"/>
      <c r="T65" s="38"/>
      <c r="U65" s="38"/>
      <c r="V65" s="38"/>
      <c r="W65" s="38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35" t="s">
        <v>21</v>
      </c>
      <c r="B66" s="35" t="s">
        <v>56</v>
      </c>
      <c r="C66" s="35" t="s">
        <v>59</v>
      </c>
      <c r="D66" s="35" t="s">
        <v>25</v>
      </c>
      <c r="E66" s="35" t="s">
        <v>25</v>
      </c>
      <c r="F66" s="35" t="s">
        <v>25</v>
      </c>
      <c r="G66" s="35" t="s">
        <v>60</v>
      </c>
      <c r="H66" s="35" t="s">
        <v>34</v>
      </c>
      <c r="I66" s="45">
        <v>44348</v>
      </c>
      <c r="J66" s="46">
        <f ca="1">EFEITO!$J$66*EFEITO!$Y$66</f>
        <v>230476.2393933977</v>
      </c>
      <c r="K66" s="46">
        <f ca="1">EFEITO!$L$66*EFEITO!$Z$66</f>
        <v>0</v>
      </c>
      <c r="L66" s="46">
        <f>EFEITO!$N$66*EFEITO!$AA$66</f>
        <v>0</v>
      </c>
      <c r="M66" s="46">
        <f ca="1">$J$66-EFEITO!$K$66*EFEITO!$Y$66</f>
        <v>0</v>
      </c>
      <c r="N66" s="46">
        <f ca="1">$K$66-EFEITO!$M$66*EFEITO!$Z$66</f>
        <v>0</v>
      </c>
      <c r="O66" s="46">
        <f>$L$66-EFEITO!$O$66*EFEITO!$AA$66</f>
        <v>0</v>
      </c>
      <c r="P66" s="38"/>
      <c r="Q66" s="38"/>
      <c r="R66" s="38"/>
      <c r="S66" s="38"/>
      <c r="T66" s="38"/>
      <c r="U66" s="38"/>
      <c r="V66" s="38"/>
      <c r="W66" s="38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35" t="s">
        <v>21</v>
      </c>
      <c r="B67" s="35" t="s">
        <v>56</v>
      </c>
      <c r="C67" s="35" t="s">
        <v>59</v>
      </c>
      <c r="D67" s="35" t="s">
        <v>25</v>
      </c>
      <c r="E67" s="35" t="s">
        <v>25</v>
      </c>
      <c r="F67" s="35" t="s">
        <v>25</v>
      </c>
      <c r="G67" s="35" t="s">
        <v>60</v>
      </c>
      <c r="H67" s="35" t="s">
        <v>34</v>
      </c>
      <c r="I67" s="45">
        <v>44378</v>
      </c>
      <c r="J67" s="46">
        <f ca="1">EFEITO!$J$67*EFEITO!$Y$67</f>
        <v>230476.2393933977</v>
      </c>
      <c r="K67" s="46">
        <f ca="1">EFEITO!$L$67*EFEITO!$Z$67</f>
        <v>0</v>
      </c>
      <c r="L67" s="46">
        <f>EFEITO!$N$67*EFEITO!$AA$67</f>
        <v>0</v>
      </c>
      <c r="M67" s="46">
        <f ca="1">$J$67-EFEITO!$K$67*EFEITO!$Y$67</f>
        <v>0</v>
      </c>
      <c r="N67" s="46">
        <f ca="1">$K$67-EFEITO!$M$67*EFEITO!$Z$67</f>
        <v>0</v>
      </c>
      <c r="O67" s="46">
        <f>$L$67-EFEITO!$O$67*EFEITO!$AA$67</f>
        <v>0</v>
      </c>
      <c r="P67" s="38"/>
      <c r="Q67" s="38"/>
      <c r="R67" s="38"/>
      <c r="S67" s="38"/>
      <c r="T67" s="38"/>
      <c r="U67" s="38"/>
      <c r="V67" s="38"/>
      <c r="W67" s="38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35" t="s">
        <v>21</v>
      </c>
      <c r="B68" s="35" t="s">
        <v>56</v>
      </c>
      <c r="C68" s="35" t="s">
        <v>59</v>
      </c>
      <c r="D68" s="35" t="s">
        <v>25</v>
      </c>
      <c r="E68" s="35" t="s">
        <v>25</v>
      </c>
      <c r="F68" s="35" t="s">
        <v>25</v>
      </c>
      <c r="G68" s="35" t="s">
        <v>60</v>
      </c>
      <c r="H68" s="35" t="s">
        <v>34</v>
      </c>
      <c r="I68" s="45">
        <v>44409</v>
      </c>
      <c r="J68" s="46">
        <f ca="1">EFEITO!$J$68*EFEITO!$Y$68</f>
        <v>230476.2393933977</v>
      </c>
      <c r="K68" s="46">
        <f ca="1">EFEITO!$L$68*EFEITO!$Z$68</f>
        <v>0</v>
      </c>
      <c r="L68" s="46">
        <f>EFEITO!$N$68*EFEITO!$AA$68</f>
        <v>0</v>
      </c>
      <c r="M68" s="46">
        <f ca="1">$J$68-EFEITO!$K$68*EFEITO!$Y$68</f>
        <v>0</v>
      </c>
      <c r="N68" s="46">
        <f ca="1">$K$68-EFEITO!$M$68*EFEITO!$Z$68</f>
        <v>0</v>
      </c>
      <c r="O68" s="46">
        <f>$L$68-EFEITO!$O$68*EFEITO!$AA$68</f>
        <v>0</v>
      </c>
      <c r="P68" s="38"/>
      <c r="Q68" s="38"/>
      <c r="R68" s="38"/>
      <c r="S68" s="38"/>
      <c r="T68" s="38"/>
      <c r="U68" s="38"/>
      <c r="V68" s="38"/>
      <c r="W68" s="38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35" t="s">
        <v>21</v>
      </c>
      <c r="B69" s="35" t="s">
        <v>56</v>
      </c>
      <c r="C69" s="35" t="s">
        <v>59</v>
      </c>
      <c r="D69" s="35" t="s">
        <v>25</v>
      </c>
      <c r="E69" s="35" t="s">
        <v>25</v>
      </c>
      <c r="F69" s="35" t="s">
        <v>25</v>
      </c>
      <c r="G69" s="35" t="s">
        <v>60</v>
      </c>
      <c r="H69" s="35" t="s">
        <v>34</v>
      </c>
      <c r="I69" s="45">
        <v>44440</v>
      </c>
      <c r="J69" s="46">
        <f ca="1">EFEITO!$J$69*EFEITO!$Y$69</f>
        <v>230476.2393933977</v>
      </c>
      <c r="K69" s="46">
        <f ca="1">EFEITO!$L$69*EFEITO!$Z$69</f>
        <v>0</v>
      </c>
      <c r="L69" s="46">
        <f>EFEITO!$N$69*EFEITO!$AA$69</f>
        <v>0</v>
      </c>
      <c r="M69" s="46">
        <f ca="1">$J$69-EFEITO!$K$69*EFEITO!$Y$69</f>
        <v>0</v>
      </c>
      <c r="N69" s="46">
        <f ca="1">$K$69-EFEITO!$M$69*EFEITO!$Z$69</f>
        <v>0</v>
      </c>
      <c r="O69" s="46">
        <f>$L$69-EFEITO!$O$69*EFEITO!$AA$69</f>
        <v>0</v>
      </c>
      <c r="P69" s="38"/>
      <c r="Q69" s="38"/>
      <c r="R69" s="38"/>
      <c r="S69" s="38"/>
      <c r="T69" s="38"/>
      <c r="U69" s="38"/>
      <c r="V69" s="38"/>
      <c r="W69" s="38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35" t="s">
        <v>21</v>
      </c>
      <c r="B70" s="35" t="s">
        <v>56</v>
      </c>
      <c r="C70" s="35" t="s">
        <v>59</v>
      </c>
      <c r="D70" s="35" t="s">
        <v>25</v>
      </c>
      <c r="E70" s="35" t="s">
        <v>25</v>
      </c>
      <c r="F70" s="35" t="s">
        <v>25</v>
      </c>
      <c r="G70" s="35" t="s">
        <v>60</v>
      </c>
      <c r="H70" s="35" t="s">
        <v>34</v>
      </c>
      <c r="I70" s="45">
        <v>44470</v>
      </c>
      <c r="J70" s="46">
        <f ca="1">EFEITO!$J$70*EFEITO!$Y$70</f>
        <v>238466.0823590355</v>
      </c>
      <c r="K70" s="46">
        <f ca="1">EFEITO!$L$70*EFEITO!$Z$70</f>
        <v>0</v>
      </c>
      <c r="L70" s="46">
        <f>EFEITO!$N$70*EFEITO!$AA$70</f>
        <v>0</v>
      </c>
      <c r="M70" s="46">
        <f ca="1">$J$70-EFEITO!$K$70*EFEITO!$Y$70</f>
        <v>0</v>
      </c>
      <c r="N70" s="46">
        <f ca="1">$K$70-EFEITO!$M$70*EFEITO!$Z$70</f>
        <v>0</v>
      </c>
      <c r="O70" s="46">
        <f>$L$70-EFEITO!$O$70*EFEITO!$AA$70</f>
        <v>0</v>
      </c>
      <c r="P70" s="38"/>
      <c r="Q70" s="38"/>
      <c r="R70" s="38"/>
      <c r="S70" s="38"/>
      <c r="T70" s="38"/>
      <c r="U70" s="38"/>
      <c r="V70" s="38"/>
      <c r="W70" s="38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35" t="s">
        <v>21</v>
      </c>
      <c r="B71" s="35" t="s">
        <v>56</v>
      </c>
      <c r="C71" s="35" t="s">
        <v>59</v>
      </c>
      <c r="D71" s="35" t="s">
        <v>25</v>
      </c>
      <c r="E71" s="35" t="s">
        <v>25</v>
      </c>
      <c r="F71" s="35" t="s">
        <v>25</v>
      </c>
      <c r="G71" s="35" t="s">
        <v>60</v>
      </c>
      <c r="H71" s="35" t="s">
        <v>34</v>
      </c>
      <c r="I71" s="45">
        <v>44501</v>
      </c>
      <c r="J71" s="46">
        <f ca="1">EFEITO!$J$71*EFEITO!$Y$71</f>
        <v>230476.2393933977</v>
      </c>
      <c r="K71" s="46">
        <f ca="1">EFEITO!$L$71*EFEITO!$Z$71</f>
        <v>0</v>
      </c>
      <c r="L71" s="46">
        <f>EFEITO!$N$71*EFEITO!$AA$71</f>
        <v>0</v>
      </c>
      <c r="M71" s="46">
        <f ca="1">$J$71-EFEITO!$K$71*EFEITO!$Y$71</f>
        <v>0</v>
      </c>
      <c r="N71" s="46">
        <f ca="1">$K$71-EFEITO!$M$71*EFEITO!$Z$71</f>
        <v>0</v>
      </c>
      <c r="O71" s="46">
        <f>$L$71-EFEITO!$O$71*EFEITO!$AA$71</f>
        <v>0</v>
      </c>
      <c r="P71" s="38"/>
      <c r="Q71" s="38"/>
      <c r="R71" s="38"/>
      <c r="S71" s="38"/>
      <c r="T71" s="38"/>
      <c r="U71" s="38"/>
      <c r="V71" s="38"/>
      <c r="W71" s="38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35" t="s">
        <v>21</v>
      </c>
      <c r="B72" s="35" t="s">
        <v>56</v>
      </c>
      <c r="C72" s="35" t="s">
        <v>59</v>
      </c>
      <c r="D72" s="35" t="s">
        <v>25</v>
      </c>
      <c r="E72" s="35" t="s">
        <v>25</v>
      </c>
      <c r="F72" s="35" t="s">
        <v>25</v>
      </c>
      <c r="G72" s="35" t="s">
        <v>60</v>
      </c>
      <c r="H72" s="35" t="s">
        <v>34</v>
      </c>
      <c r="I72" s="45">
        <v>44531</v>
      </c>
      <c r="J72" s="46">
        <f ca="1">EFEITO!$J$72*EFEITO!$Y$72</f>
        <v>230476.2393933977</v>
      </c>
      <c r="K72" s="46">
        <f ca="1">EFEITO!$L$72*EFEITO!$Z$72</f>
        <v>0</v>
      </c>
      <c r="L72" s="46">
        <f>EFEITO!$N$72*EFEITO!$AA$72</f>
        <v>0</v>
      </c>
      <c r="M72" s="46">
        <f ca="1">$J$72-EFEITO!$K$72*EFEITO!$Y$72</f>
        <v>0</v>
      </c>
      <c r="N72" s="46">
        <f ca="1">$K$72-EFEITO!$M$72*EFEITO!$Z$72</f>
        <v>0</v>
      </c>
      <c r="O72" s="46">
        <f>$L$72-EFEITO!$O$72*EFEITO!$AA$72</f>
        <v>0</v>
      </c>
      <c r="P72" s="38"/>
      <c r="Q72" s="38"/>
      <c r="R72" s="38"/>
      <c r="S72" s="38"/>
      <c r="T72" s="38"/>
      <c r="U72" s="38"/>
      <c r="V72" s="38"/>
      <c r="W72" s="38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35" t="s">
        <v>55</v>
      </c>
      <c r="B73" s="35" t="s">
        <v>56</v>
      </c>
      <c r="C73" s="35" t="s">
        <v>59</v>
      </c>
      <c r="D73" s="35" t="s">
        <v>25</v>
      </c>
      <c r="E73" s="35" t="s">
        <v>25</v>
      </c>
      <c r="F73" s="35" t="s">
        <v>25</v>
      </c>
      <c r="G73" s="35" t="s">
        <v>60</v>
      </c>
      <c r="H73" s="35" t="s">
        <v>34</v>
      </c>
      <c r="I73" s="45">
        <v>44562</v>
      </c>
      <c r="J73" s="46">
        <f ca="1">EFEITO!$J$73*EFEITO!$Y$73</f>
        <v>230476.2393933977</v>
      </c>
      <c r="K73" s="46">
        <f ca="1">EFEITO!$L$73*EFEITO!$Z$73</f>
        <v>0</v>
      </c>
      <c r="L73" s="46">
        <f>EFEITO!$N$73*EFEITO!$AA$73</f>
        <v>0</v>
      </c>
      <c r="M73" s="46">
        <f ca="1">$J$73-EFEITO!$K$73*EFEITO!$Y$73</f>
        <v>0</v>
      </c>
      <c r="N73" s="46">
        <f ca="1">$K$73-EFEITO!$M$73*EFEITO!$Z$73</f>
        <v>0</v>
      </c>
      <c r="O73" s="46">
        <f>$L$73-EFEITO!$O$73*EFEITO!$AA$73</f>
        <v>0</v>
      </c>
      <c r="P73" s="38"/>
      <c r="Q73" s="38"/>
      <c r="R73" s="38"/>
      <c r="S73" s="38"/>
      <c r="T73" s="38"/>
      <c r="U73" s="38"/>
      <c r="V73" s="38"/>
      <c r="W73" s="38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35" t="s">
        <v>21</v>
      </c>
      <c r="B74" s="35" t="s">
        <v>39</v>
      </c>
      <c r="C74" s="35" t="s">
        <v>40</v>
      </c>
      <c r="D74" s="35" t="s">
        <v>42</v>
      </c>
      <c r="E74" s="35" t="s">
        <v>25</v>
      </c>
      <c r="F74" s="35" t="s">
        <v>25</v>
      </c>
      <c r="G74" s="35" t="s">
        <v>25</v>
      </c>
      <c r="H74" s="35" t="s">
        <v>35</v>
      </c>
      <c r="I74" s="45">
        <v>44228</v>
      </c>
      <c r="J74" s="46">
        <f ca="1">EFEITO!$J$74*EFEITO!$Y$74</f>
        <v>40142.182091624119</v>
      </c>
      <c r="K74" s="46">
        <f ca="1">EFEITO!$L$74*EFEITO!$Z$74</f>
        <v>39131.618502358993</v>
      </c>
      <c r="L74" s="46">
        <f>EFEITO!$N$74*EFEITO!$AA$74</f>
        <v>187496.14120267058</v>
      </c>
      <c r="M74" s="46">
        <f ca="1">$J$74-EFEITO!$K$74*EFEITO!$Y$74</f>
        <v>0</v>
      </c>
      <c r="N74" s="46">
        <f ca="1">$K$74-EFEITO!$M$74*EFEITO!$Z$74</f>
        <v>0</v>
      </c>
      <c r="O74" s="46">
        <f>$L$74-EFEITO!$O$74*EFEITO!$AA$74</f>
        <v>0</v>
      </c>
      <c r="P74" s="38"/>
      <c r="Q74" s="38"/>
      <c r="R74" s="38"/>
      <c r="S74" s="38"/>
      <c r="T74" s="38"/>
      <c r="U74" s="38"/>
      <c r="V74" s="38"/>
      <c r="W74" s="38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35" t="s">
        <v>28</v>
      </c>
      <c r="B75" s="35" t="s">
        <v>39</v>
      </c>
      <c r="C75" s="35" t="s">
        <v>40</v>
      </c>
      <c r="D75" s="35" t="s">
        <v>42</v>
      </c>
      <c r="E75" s="35" t="s">
        <v>25</v>
      </c>
      <c r="F75" s="35" t="s">
        <v>25</v>
      </c>
      <c r="G75" s="35" t="s">
        <v>25</v>
      </c>
      <c r="H75" s="35" t="s">
        <v>35</v>
      </c>
      <c r="I75" s="45">
        <v>44228</v>
      </c>
      <c r="J75" s="46">
        <f ca="1">EFEITO!$J$75*EFEITO!$Y$75</f>
        <v>4285.6422161876289</v>
      </c>
      <c r="K75" s="46">
        <f ca="1">EFEITO!$L$75*EFEITO!$Z$75</f>
        <v>3973.0058735441708</v>
      </c>
      <c r="L75" s="46">
        <f>EFEITO!$N$75*EFEITO!$AA$75</f>
        <v>19036.352156509212</v>
      </c>
      <c r="M75" s="46">
        <f ca="1">$J$75-EFEITO!$K$75*EFEITO!$Y$75</f>
        <v>0</v>
      </c>
      <c r="N75" s="46">
        <f ca="1">$K$75-EFEITO!$M$75*EFEITO!$Z$75</f>
        <v>0</v>
      </c>
      <c r="O75" s="46">
        <f>$L$75-EFEITO!$O$75*EFEITO!$AA$75</f>
        <v>0</v>
      </c>
      <c r="P75" s="38"/>
      <c r="Q75" s="38"/>
      <c r="R75" s="38"/>
      <c r="S75" s="38"/>
      <c r="T75" s="38"/>
      <c r="U75" s="38"/>
      <c r="V75" s="38"/>
      <c r="W75" s="38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35" t="s">
        <v>21</v>
      </c>
      <c r="B76" s="35" t="s">
        <v>39</v>
      </c>
      <c r="C76" s="35" t="s">
        <v>40</v>
      </c>
      <c r="D76" s="35" t="s">
        <v>42</v>
      </c>
      <c r="E76" s="35" t="s">
        <v>25</v>
      </c>
      <c r="F76" s="35" t="s">
        <v>25</v>
      </c>
      <c r="G76" s="35" t="s">
        <v>25</v>
      </c>
      <c r="H76" s="35" t="s">
        <v>35</v>
      </c>
      <c r="I76" s="45">
        <v>44256</v>
      </c>
      <c r="J76" s="46">
        <f ca="1">EFEITO!$J$76*EFEITO!$Y$76</f>
        <v>39713.617870005357</v>
      </c>
      <c r="K76" s="46">
        <f ca="1">EFEITO!$L$76*EFEITO!$Z$76</f>
        <v>41225.462299574196</v>
      </c>
      <c r="L76" s="46">
        <f>EFEITO!$N$76*EFEITO!$AA$76</f>
        <v>197528.63276024139</v>
      </c>
      <c r="M76" s="46">
        <f ca="1">$J$76-EFEITO!$K$76*EFEITO!$Y$76</f>
        <v>0</v>
      </c>
      <c r="N76" s="46">
        <f ca="1">$K$76-EFEITO!$M$76*EFEITO!$Z$76</f>
        <v>0</v>
      </c>
      <c r="O76" s="46">
        <f>$L$76-EFEITO!$O$76*EFEITO!$AA$76</f>
        <v>0</v>
      </c>
      <c r="P76" s="38"/>
      <c r="Q76" s="38"/>
      <c r="R76" s="38"/>
      <c r="S76" s="38"/>
      <c r="T76" s="38"/>
      <c r="U76" s="38"/>
      <c r="V76" s="38"/>
      <c r="W76" s="38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35" t="s">
        <v>27</v>
      </c>
      <c r="B77" s="35" t="s">
        <v>39</v>
      </c>
      <c r="C77" s="35" t="s">
        <v>40</v>
      </c>
      <c r="D77" s="35" t="s">
        <v>42</v>
      </c>
      <c r="E77" s="35" t="s">
        <v>25</v>
      </c>
      <c r="F77" s="35" t="s">
        <v>25</v>
      </c>
      <c r="G77" s="35" t="s">
        <v>25</v>
      </c>
      <c r="H77" s="35" t="s">
        <v>35</v>
      </c>
      <c r="I77" s="45">
        <v>44256</v>
      </c>
      <c r="J77" s="46">
        <f ca="1">EFEITO!$J$77*EFEITO!$Y$77</f>
        <v>-4232.0716884852836</v>
      </c>
      <c r="K77" s="46">
        <f ca="1">EFEITO!$L$77*EFEITO!$Z$77</f>
        <v>0</v>
      </c>
      <c r="L77" s="46">
        <f>EFEITO!$N$77*EFEITO!$AA$77</f>
        <v>0</v>
      </c>
      <c r="M77" s="46">
        <f ca="1">$J$77-EFEITO!$K$77*EFEITO!$Y$77</f>
        <v>0</v>
      </c>
      <c r="N77" s="46">
        <f ca="1">$K$77-EFEITO!$M$77*EFEITO!$Z$77</f>
        <v>0</v>
      </c>
      <c r="O77" s="46">
        <f>$L$77-EFEITO!$O$77*EFEITO!$AA$77</f>
        <v>0</v>
      </c>
      <c r="P77" s="38"/>
      <c r="Q77" s="38"/>
      <c r="R77" s="38"/>
      <c r="S77" s="38"/>
      <c r="T77" s="38"/>
      <c r="U77" s="38"/>
      <c r="V77" s="38"/>
      <c r="W77" s="38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35" t="s">
        <v>28</v>
      </c>
      <c r="B78" s="35" t="s">
        <v>39</v>
      </c>
      <c r="C78" s="35" t="s">
        <v>40</v>
      </c>
      <c r="D78" s="35" t="s">
        <v>42</v>
      </c>
      <c r="E78" s="35" t="s">
        <v>25</v>
      </c>
      <c r="F78" s="35" t="s">
        <v>25</v>
      </c>
      <c r="G78" s="35" t="s">
        <v>25</v>
      </c>
      <c r="H78" s="35" t="s">
        <v>35</v>
      </c>
      <c r="I78" s="45">
        <v>44256</v>
      </c>
      <c r="J78" s="46">
        <f ca="1">EFEITO!$J$78*EFEITO!$Y$78</f>
        <v>4285.6422161876289</v>
      </c>
      <c r="K78" s="46">
        <f ca="1">EFEITO!$L$78*EFEITO!$Z$78</f>
        <v>4446.9785040722472</v>
      </c>
      <c r="L78" s="46">
        <f>EFEITO!$N$78*EFEITO!$AA$78</f>
        <v>21307.355571671716</v>
      </c>
      <c r="M78" s="46">
        <f ca="1">$J$78-EFEITO!$K$78*EFEITO!$Y$78</f>
        <v>0</v>
      </c>
      <c r="N78" s="46">
        <f ca="1">$K$78-EFEITO!$M$78*EFEITO!$Z$78</f>
        <v>0</v>
      </c>
      <c r="O78" s="46">
        <f>$L$78-EFEITO!$O$78*EFEITO!$AA$78</f>
        <v>0</v>
      </c>
      <c r="P78" s="38"/>
      <c r="Q78" s="38"/>
      <c r="R78" s="38"/>
      <c r="S78" s="38"/>
      <c r="T78" s="38"/>
      <c r="U78" s="38"/>
      <c r="V78" s="38"/>
      <c r="W78" s="38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35" t="s">
        <v>21</v>
      </c>
      <c r="B79" s="35" t="s">
        <v>39</v>
      </c>
      <c r="C79" s="35" t="s">
        <v>40</v>
      </c>
      <c r="D79" s="35" t="s">
        <v>42</v>
      </c>
      <c r="E79" s="35" t="s">
        <v>25</v>
      </c>
      <c r="F79" s="35" t="s">
        <v>25</v>
      </c>
      <c r="G79" s="35" t="s">
        <v>25</v>
      </c>
      <c r="H79" s="35" t="s">
        <v>35</v>
      </c>
      <c r="I79" s="45">
        <v>44287</v>
      </c>
      <c r="J79" s="46">
        <f ca="1">EFEITO!$J$79*EFEITO!$Y$79</f>
        <v>39838.615767977499</v>
      </c>
      <c r="K79" s="46">
        <f ca="1">EFEITO!$L$79*EFEITO!$Z$79</f>
        <v>40884.819364902658</v>
      </c>
      <c r="L79" s="46">
        <f>EFEITO!$N$79*EFEITO!$AA$79</f>
        <v>195896.46833098278</v>
      </c>
      <c r="M79" s="46">
        <f ca="1">$J$79-EFEITO!$K$79*EFEITO!$Y$79</f>
        <v>0</v>
      </c>
      <c r="N79" s="46">
        <f ca="1">$K$79-EFEITO!$M$79*EFEITO!$Z$79</f>
        <v>0</v>
      </c>
      <c r="O79" s="46">
        <f>$L$79-EFEITO!$O$79*EFEITO!$AA$79</f>
        <v>0</v>
      </c>
      <c r="P79" s="38"/>
      <c r="Q79" s="38"/>
      <c r="R79" s="38"/>
      <c r="S79" s="38"/>
      <c r="T79" s="38"/>
      <c r="U79" s="38"/>
      <c r="V79" s="38"/>
      <c r="W79" s="38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35" t="s">
        <v>28</v>
      </c>
      <c r="B80" s="35" t="s">
        <v>39</v>
      </c>
      <c r="C80" s="35" t="s">
        <v>40</v>
      </c>
      <c r="D80" s="35" t="s">
        <v>42</v>
      </c>
      <c r="E80" s="35" t="s">
        <v>25</v>
      </c>
      <c r="F80" s="35" t="s">
        <v>25</v>
      </c>
      <c r="G80" s="35" t="s">
        <v>25</v>
      </c>
      <c r="H80" s="35" t="s">
        <v>35</v>
      </c>
      <c r="I80" s="45">
        <v>44287</v>
      </c>
      <c r="J80" s="46">
        <f ca="1">EFEITO!$J$80*EFEITO!$Y$80</f>
        <v>4196.3580033503868</v>
      </c>
      <c r="K80" s="46">
        <f ca="1">EFEITO!$L$80*EFEITO!$Z$80</f>
        <v>4642.1437048779262</v>
      </c>
      <c r="L80" s="46">
        <f>EFEITO!$N$80*EFEITO!$AA$80</f>
        <v>22242.474624973922</v>
      </c>
      <c r="M80" s="46">
        <f ca="1">$J$80-EFEITO!$K$80*EFEITO!$Y$80</f>
        <v>0</v>
      </c>
      <c r="N80" s="46">
        <f ca="1">$K$80-EFEITO!$M$80*EFEITO!$Z$80</f>
        <v>0</v>
      </c>
      <c r="O80" s="46">
        <f>$L$80-EFEITO!$O$80*EFEITO!$AA$80</f>
        <v>0</v>
      </c>
      <c r="P80" s="38"/>
      <c r="Q80" s="38"/>
      <c r="R80" s="38"/>
      <c r="S80" s="38"/>
      <c r="T80" s="38"/>
      <c r="U80" s="38"/>
      <c r="V80" s="38"/>
      <c r="W80" s="38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35" t="s">
        <v>21</v>
      </c>
      <c r="B81" s="35" t="s">
        <v>39</v>
      </c>
      <c r="C81" s="35" t="s">
        <v>40</v>
      </c>
      <c r="D81" s="35" t="s">
        <v>42</v>
      </c>
      <c r="E81" s="35" t="s">
        <v>25</v>
      </c>
      <c r="F81" s="35" t="s">
        <v>25</v>
      </c>
      <c r="G81" s="35" t="s">
        <v>25</v>
      </c>
      <c r="H81" s="35" t="s">
        <v>35</v>
      </c>
      <c r="I81" s="45">
        <v>44317</v>
      </c>
      <c r="J81" s="46">
        <f ca="1">EFEITO!$J$81*EFEITO!$Y$81</f>
        <v>38088.64519636755</v>
      </c>
      <c r="K81" s="46">
        <f ca="1">EFEITO!$L$81*EFEITO!$Z$81</f>
        <v>40176.200410038567</v>
      </c>
      <c r="L81" s="46">
        <f>EFEITO!$N$81*EFEITO!$AA$81</f>
        <v>192501.17509484751</v>
      </c>
      <c r="M81" s="46">
        <f ca="1">$J$81-EFEITO!$K$81*EFEITO!$Y$81</f>
        <v>0</v>
      </c>
      <c r="N81" s="46">
        <f ca="1">$K$81-EFEITO!$M$81*EFEITO!$Z$81</f>
        <v>0</v>
      </c>
      <c r="O81" s="46">
        <f>$L$81-EFEITO!$O$81*EFEITO!$AA$81</f>
        <v>0</v>
      </c>
      <c r="P81" s="38"/>
      <c r="Q81" s="38"/>
      <c r="R81" s="38"/>
      <c r="S81" s="38"/>
      <c r="T81" s="38"/>
      <c r="U81" s="38"/>
      <c r="V81" s="38"/>
      <c r="W81" s="38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35" t="s">
        <v>28</v>
      </c>
      <c r="B82" s="35" t="s">
        <v>39</v>
      </c>
      <c r="C82" s="35" t="s">
        <v>40</v>
      </c>
      <c r="D82" s="35" t="s">
        <v>42</v>
      </c>
      <c r="E82" s="35" t="s">
        <v>25</v>
      </c>
      <c r="F82" s="35" t="s">
        <v>25</v>
      </c>
      <c r="G82" s="35" t="s">
        <v>25</v>
      </c>
      <c r="H82" s="35" t="s">
        <v>35</v>
      </c>
      <c r="I82" s="45">
        <v>44317</v>
      </c>
      <c r="J82" s="46">
        <f ca="1">EFEITO!$J$82*EFEITO!$Y$82</f>
        <v>4339.2127438899743</v>
      </c>
      <c r="K82" s="46">
        <f ca="1">EFEITO!$L$82*EFEITO!$Z$82</f>
        <v>4907.0107631142046</v>
      </c>
      <c r="L82" s="46">
        <f>EFEITO!$N$82*EFEITO!$AA$82</f>
        <v>23511.564768741206</v>
      </c>
      <c r="M82" s="46">
        <f ca="1">$J$82-EFEITO!$K$82*EFEITO!$Y$82</f>
        <v>0</v>
      </c>
      <c r="N82" s="46">
        <f ca="1">$K$82-EFEITO!$M$82*EFEITO!$Z$82</f>
        <v>0</v>
      </c>
      <c r="O82" s="46">
        <f>$L$82-EFEITO!$O$82*EFEITO!$AA$82</f>
        <v>0</v>
      </c>
      <c r="P82" s="38"/>
      <c r="Q82" s="38"/>
      <c r="R82" s="38"/>
      <c r="S82" s="38"/>
      <c r="T82" s="38"/>
      <c r="U82" s="38"/>
      <c r="V82" s="38"/>
      <c r="W82" s="38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35" t="s">
        <v>21</v>
      </c>
      <c r="B83" s="35" t="s">
        <v>39</v>
      </c>
      <c r="C83" s="35" t="s">
        <v>40</v>
      </c>
      <c r="D83" s="35" t="s">
        <v>42</v>
      </c>
      <c r="E83" s="35" t="s">
        <v>25</v>
      </c>
      <c r="F83" s="35" t="s">
        <v>25</v>
      </c>
      <c r="G83" s="35" t="s">
        <v>25</v>
      </c>
      <c r="H83" s="35" t="s">
        <v>35</v>
      </c>
      <c r="I83" s="45">
        <v>44348</v>
      </c>
      <c r="J83" s="46">
        <f ca="1">EFEITO!$J$83*EFEITO!$Y$83</f>
        <v>37927.933613260517</v>
      </c>
      <c r="K83" s="46">
        <f ca="1">EFEITO!$L$83*EFEITO!$Z$83</f>
        <v>38213.645039997995</v>
      </c>
      <c r="L83" s="46">
        <f>EFEITO!$N$83*EFEITO!$AA$83</f>
        <v>183097.74194124556</v>
      </c>
      <c r="M83" s="46">
        <f ca="1">$J$83-EFEITO!$K$83*EFEITO!$Y$83</f>
        <v>0</v>
      </c>
      <c r="N83" s="46">
        <f ca="1">$K$83-EFEITO!$M$83*EFEITO!$Z$83</f>
        <v>0</v>
      </c>
      <c r="O83" s="46">
        <f>$L$83-EFEITO!$O$83*EFEITO!$AA$83</f>
        <v>0</v>
      </c>
      <c r="P83" s="38"/>
      <c r="Q83" s="38"/>
      <c r="R83" s="38"/>
      <c r="S83" s="38"/>
      <c r="T83" s="38"/>
      <c r="U83" s="38"/>
      <c r="V83" s="38"/>
      <c r="W83" s="38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35" t="s">
        <v>28</v>
      </c>
      <c r="B84" s="35" t="s">
        <v>39</v>
      </c>
      <c r="C84" s="35" t="s">
        <v>40</v>
      </c>
      <c r="D84" s="35" t="s">
        <v>42</v>
      </c>
      <c r="E84" s="35" t="s">
        <v>25</v>
      </c>
      <c r="F84" s="35" t="s">
        <v>25</v>
      </c>
      <c r="G84" s="35" t="s">
        <v>25</v>
      </c>
      <c r="H84" s="35" t="s">
        <v>35</v>
      </c>
      <c r="I84" s="45">
        <v>44348</v>
      </c>
      <c r="J84" s="46">
        <f ca="1">EFEITO!$J$84*EFEITO!$Y$84</f>
        <v>4392.7832715923196</v>
      </c>
      <c r="K84" s="46">
        <f ca="1">EFEITO!$L$84*EFEITO!$Z$84</f>
        <v>4544.5611044750867</v>
      </c>
      <c r="L84" s="46">
        <f>EFEITO!$N$84*EFEITO!$AA$84</f>
        <v>21774.915098322821</v>
      </c>
      <c r="M84" s="46">
        <f ca="1">$J$84-EFEITO!$K$84*EFEITO!$Y$84</f>
        <v>0</v>
      </c>
      <c r="N84" s="46">
        <f ca="1">$K$84-EFEITO!$M$84*EFEITO!$Z$84</f>
        <v>0</v>
      </c>
      <c r="O84" s="46">
        <f>$L$84-EFEITO!$O$84*EFEITO!$AA$84</f>
        <v>0</v>
      </c>
      <c r="P84" s="38"/>
      <c r="Q84" s="38"/>
      <c r="R84" s="38"/>
      <c r="S84" s="38"/>
      <c r="T84" s="38"/>
      <c r="U84" s="38"/>
      <c r="V84" s="38"/>
      <c r="W84" s="38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35" t="s">
        <v>21</v>
      </c>
      <c r="B85" s="35" t="s">
        <v>39</v>
      </c>
      <c r="C85" s="35" t="s">
        <v>40</v>
      </c>
      <c r="D85" s="35" t="s">
        <v>42</v>
      </c>
      <c r="E85" s="35" t="s">
        <v>25</v>
      </c>
      <c r="F85" s="35" t="s">
        <v>25</v>
      </c>
      <c r="G85" s="35" t="s">
        <v>25</v>
      </c>
      <c r="H85" s="35" t="s">
        <v>35</v>
      </c>
      <c r="I85" s="45">
        <v>44378</v>
      </c>
      <c r="J85" s="46">
        <f ca="1">EFEITO!$J$85*EFEITO!$Y$85</f>
        <v>37392.228336237058</v>
      </c>
      <c r="K85" s="46">
        <f ca="1">EFEITO!$L$85*EFEITO!$Z$85</f>
        <v>38040.884007652152</v>
      </c>
      <c r="L85" s="46">
        <f>EFEITO!$N$85*EFEITO!$AA$85</f>
        <v>182269.97073844998</v>
      </c>
      <c r="M85" s="46">
        <f ca="1">$J$85-EFEITO!$K$85*EFEITO!$Y$85</f>
        <v>0</v>
      </c>
      <c r="N85" s="46">
        <f ca="1">$K$85-EFEITO!$M$85*EFEITO!$Z$85</f>
        <v>0</v>
      </c>
      <c r="O85" s="46">
        <f>$L$85-EFEITO!$O$85*EFEITO!$AA$85</f>
        <v>0</v>
      </c>
      <c r="P85" s="38"/>
      <c r="Q85" s="38"/>
      <c r="R85" s="38"/>
      <c r="S85" s="38"/>
      <c r="T85" s="38"/>
      <c r="U85" s="38"/>
      <c r="V85" s="38"/>
      <c r="W85" s="38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35" t="s">
        <v>28</v>
      </c>
      <c r="B86" s="35" t="s">
        <v>39</v>
      </c>
      <c r="C86" s="35" t="s">
        <v>40</v>
      </c>
      <c r="D86" s="35" t="s">
        <v>42</v>
      </c>
      <c r="E86" s="35" t="s">
        <v>25</v>
      </c>
      <c r="F86" s="35" t="s">
        <v>25</v>
      </c>
      <c r="G86" s="35" t="s">
        <v>25</v>
      </c>
      <c r="H86" s="35" t="s">
        <v>35</v>
      </c>
      <c r="I86" s="45">
        <v>44378</v>
      </c>
      <c r="J86" s="46">
        <f ca="1">EFEITO!$J$86*EFEITO!$Y$86</f>
        <v>4035.6464202433503</v>
      </c>
      <c r="K86" s="46">
        <f ca="1">EFEITO!$L$86*EFEITO!$Z$86</f>
        <v>4419.097761100008</v>
      </c>
      <c r="L86" s="46">
        <f>EFEITO!$N$86*EFEITO!$AA$86</f>
        <v>21173.767135485687</v>
      </c>
      <c r="M86" s="46">
        <f ca="1">$J$86-EFEITO!$K$86*EFEITO!$Y$86</f>
        <v>0</v>
      </c>
      <c r="N86" s="46">
        <f ca="1">$K$86-EFEITO!$M$86*EFEITO!$Z$86</f>
        <v>0</v>
      </c>
      <c r="O86" s="46">
        <f>$L$86-EFEITO!$O$86*EFEITO!$AA$86</f>
        <v>0</v>
      </c>
      <c r="P86" s="38"/>
      <c r="Q86" s="38"/>
      <c r="R86" s="38"/>
      <c r="S86" s="38"/>
      <c r="T86" s="38"/>
      <c r="U86" s="38"/>
      <c r="V86" s="38"/>
      <c r="W86" s="38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35" t="s">
        <v>21</v>
      </c>
      <c r="B87" s="35" t="s">
        <v>39</v>
      </c>
      <c r="C87" s="35" t="s">
        <v>40</v>
      </c>
      <c r="D87" s="35" t="s">
        <v>42</v>
      </c>
      <c r="E87" s="35" t="s">
        <v>25</v>
      </c>
      <c r="F87" s="35" t="s">
        <v>25</v>
      </c>
      <c r="G87" s="35" t="s">
        <v>25</v>
      </c>
      <c r="H87" s="35" t="s">
        <v>35</v>
      </c>
      <c r="I87" s="45">
        <v>44409</v>
      </c>
      <c r="J87" s="46">
        <f ca="1">EFEITO!$J$87*EFEITO!$Y$87</f>
        <v>38088.64519636755</v>
      </c>
      <c r="K87" s="46">
        <f ca="1">EFEITO!$L$87*EFEITO!$Z$87</f>
        <v>37663.448449665455</v>
      </c>
      <c r="L87" s="46">
        <f>EFEITO!$N$87*EFEITO!$AA$87</f>
        <v>180461.5172835816</v>
      </c>
      <c r="M87" s="46">
        <f ca="1">$J$87-EFEITO!$K$87*EFEITO!$Y$87</f>
        <v>0</v>
      </c>
      <c r="N87" s="46">
        <f ca="1">$K$87-EFEITO!$M$87*EFEITO!$Z$87</f>
        <v>0</v>
      </c>
      <c r="O87" s="46">
        <f>$L$87-EFEITO!$O$87*EFEITO!$AA$87</f>
        <v>0</v>
      </c>
      <c r="P87" s="38"/>
      <c r="Q87" s="38"/>
      <c r="R87" s="38"/>
      <c r="S87" s="38"/>
      <c r="T87" s="38"/>
      <c r="U87" s="38"/>
      <c r="V87" s="38"/>
      <c r="W87" s="38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35" t="s">
        <v>28</v>
      </c>
      <c r="B88" s="35" t="s">
        <v>39</v>
      </c>
      <c r="C88" s="35" t="s">
        <v>40</v>
      </c>
      <c r="D88" s="35" t="s">
        <v>42</v>
      </c>
      <c r="E88" s="35" t="s">
        <v>25</v>
      </c>
      <c r="F88" s="35" t="s">
        <v>25</v>
      </c>
      <c r="G88" s="35" t="s">
        <v>25</v>
      </c>
      <c r="H88" s="35" t="s">
        <v>35</v>
      </c>
      <c r="I88" s="45">
        <v>44409</v>
      </c>
      <c r="J88" s="46">
        <f ca="1">EFEITO!$J$88*EFEITO!$Y$88</f>
        <v>7499.8738783283507</v>
      </c>
      <c r="K88" s="46">
        <f ca="1">EFEITO!$L$88*EFEITO!$Z$88</f>
        <v>9238.9812024259627</v>
      </c>
      <c r="L88" s="46">
        <f>EFEITO!$N$88*EFEITO!$AA$88</f>
        <v>44267.86804114555</v>
      </c>
      <c r="M88" s="46">
        <f ca="1">$J$88-EFEITO!$K$88*EFEITO!$Y$88</f>
        <v>0</v>
      </c>
      <c r="N88" s="46">
        <f ca="1">$K$88-EFEITO!$M$88*EFEITO!$Z$88</f>
        <v>0</v>
      </c>
      <c r="O88" s="46">
        <f>$L$88-EFEITO!$O$88*EFEITO!$AA$88</f>
        <v>0</v>
      </c>
      <c r="P88" s="38"/>
      <c r="Q88" s="38"/>
      <c r="R88" s="38"/>
      <c r="S88" s="38"/>
      <c r="T88" s="38"/>
      <c r="U88" s="38"/>
      <c r="V88" s="38"/>
      <c r="W88" s="38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35" t="s">
        <v>21</v>
      </c>
      <c r="B89" s="35" t="s">
        <v>39</v>
      </c>
      <c r="C89" s="35" t="s">
        <v>40</v>
      </c>
      <c r="D89" s="35" t="s">
        <v>42</v>
      </c>
      <c r="E89" s="35" t="s">
        <v>25</v>
      </c>
      <c r="F89" s="35" t="s">
        <v>25</v>
      </c>
      <c r="G89" s="35" t="s">
        <v>25</v>
      </c>
      <c r="H89" s="35" t="s">
        <v>35</v>
      </c>
      <c r="I89" s="45">
        <v>44440</v>
      </c>
      <c r="J89" s="46">
        <f ca="1">EFEITO!$J$89*EFEITO!$Y$89</f>
        <v>37499.369391641754</v>
      </c>
      <c r="K89" s="46">
        <f ca="1">EFEITO!$L$89*EFEITO!$Z$89</f>
        <v>38621.201757802912</v>
      </c>
      <c r="L89" s="46">
        <f>EFEITO!$N$89*EFEITO!$AA$89</f>
        <v>185050.51861735061</v>
      </c>
      <c r="M89" s="46">
        <f ca="1">$J$89-EFEITO!$K$89*EFEITO!$Y$89</f>
        <v>0</v>
      </c>
      <c r="N89" s="46">
        <f ca="1">$K$89-EFEITO!$M$89*EFEITO!$Z$89</f>
        <v>0</v>
      </c>
      <c r="O89" s="46">
        <f>$L$89-EFEITO!$O$89*EFEITO!$AA$89</f>
        <v>0</v>
      </c>
      <c r="P89" s="38"/>
      <c r="Q89" s="38"/>
      <c r="R89" s="38"/>
      <c r="S89" s="38"/>
      <c r="T89" s="38"/>
      <c r="U89" s="38"/>
      <c r="V89" s="38"/>
      <c r="W89" s="38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35" t="s">
        <v>28</v>
      </c>
      <c r="B90" s="35" t="s">
        <v>39</v>
      </c>
      <c r="C90" s="35" t="s">
        <v>40</v>
      </c>
      <c r="D90" s="35" t="s">
        <v>42</v>
      </c>
      <c r="E90" s="35" t="s">
        <v>25</v>
      </c>
      <c r="F90" s="35" t="s">
        <v>25</v>
      </c>
      <c r="G90" s="35" t="s">
        <v>25</v>
      </c>
      <c r="H90" s="35" t="s">
        <v>35</v>
      </c>
      <c r="I90" s="45">
        <v>44440</v>
      </c>
      <c r="J90" s="46">
        <f ca="1">EFEITO!$J$90*EFEITO!$Y$90</f>
        <v>10767.676068171417</v>
      </c>
      <c r="K90" s="46">
        <f ca="1">EFEITO!$L$90*EFEITO!$Z$90</f>
        <v>8643.0303213943371</v>
      </c>
      <c r="L90" s="46">
        <f>EFEITO!$N$90*EFEITO!$AA$90</f>
        <v>41412.415217669164</v>
      </c>
      <c r="M90" s="46">
        <f ca="1">$J$90-EFEITO!$K$90*EFEITO!$Y$90</f>
        <v>0</v>
      </c>
      <c r="N90" s="46">
        <f ca="1">$K$90-EFEITO!$M$90*EFEITO!$Z$90</f>
        <v>0</v>
      </c>
      <c r="O90" s="46">
        <f>$L$90-EFEITO!$O$90*EFEITO!$AA$90</f>
        <v>0</v>
      </c>
      <c r="P90" s="38"/>
      <c r="Q90" s="38"/>
      <c r="R90" s="38"/>
      <c r="S90" s="38"/>
      <c r="T90" s="38"/>
      <c r="U90" s="38"/>
      <c r="V90" s="38"/>
      <c r="W90" s="38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35" t="s">
        <v>21</v>
      </c>
      <c r="B91" s="35" t="s">
        <v>39</v>
      </c>
      <c r="C91" s="35" t="s">
        <v>40</v>
      </c>
      <c r="D91" s="35" t="s">
        <v>42</v>
      </c>
      <c r="E91" s="35" t="s">
        <v>25</v>
      </c>
      <c r="F91" s="35" t="s">
        <v>25</v>
      </c>
      <c r="G91" s="35" t="s">
        <v>25</v>
      </c>
      <c r="H91" s="35" t="s">
        <v>35</v>
      </c>
      <c r="I91" s="45">
        <v>44470</v>
      </c>
      <c r="J91" s="46">
        <f ca="1">EFEITO!$J$91*EFEITO!$Y$91</f>
        <v>37785.078872720929</v>
      </c>
      <c r="K91" s="46">
        <f ca="1">EFEITO!$L$91*EFEITO!$Z$91</f>
        <v>41682.955419524042</v>
      </c>
      <c r="L91" s="46">
        <f>EFEITO!$N$91*EFEITO!$AA$91</f>
        <v>199720.6758675868</v>
      </c>
      <c r="M91" s="46">
        <f ca="1">$J$91-EFEITO!$K$91*EFEITO!$Y$91</f>
        <v>0</v>
      </c>
      <c r="N91" s="46">
        <f ca="1">$K$91-EFEITO!$M$91*EFEITO!$Z$91</f>
        <v>0</v>
      </c>
      <c r="O91" s="46">
        <f>$L$91-EFEITO!$O$91*EFEITO!$AA$91</f>
        <v>0</v>
      </c>
      <c r="P91" s="38"/>
      <c r="Q91" s="38"/>
      <c r="R91" s="38"/>
      <c r="S91" s="38"/>
      <c r="T91" s="38"/>
      <c r="U91" s="38"/>
      <c r="V91" s="38"/>
      <c r="W91" s="38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35" t="s">
        <v>28</v>
      </c>
      <c r="B92" s="35" t="s">
        <v>39</v>
      </c>
      <c r="C92" s="35" t="s">
        <v>40</v>
      </c>
      <c r="D92" s="35" t="s">
        <v>42</v>
      </c>
      <c r="E92" s="35" t="s">
        <v>25</v>
      </c>
      <c r="F92" s="35" t="s">
        <v>25</v>
      </c>
      <c r="G92" s="35" t="s">
        <v>25</v>
      </c>
      <c r="H92" s="35" t="s">
        <v>35</v>
      </c>
      <c r="I92" s="45">
        <v>44470</v>
      </c>
      <c r="J92" s="46">
        <f ca="1">EFEITO!$J$92*EFEITO!$Y$92</f>
        <v>10821.246595873763</v>
      </c>
      <c r="K92" s="46">
        <f ca="1">EFEITO!$L$92*EFEITO!$Z$92</f>
        <v>8280.5806627552192</v>
      </c>
      <c r="L92" s="46">
        <f>EFEITO!$N$92*EFEITO!$AA$92</f>
        <v>39675.765547250783</v>
      </c>
      <c r="M92" s="46">
        <f ca="1">$J$92-EFEITO!$K$92*EFEITO!$Y$92</f>
        <v>0</v>
      </c>
      <c r="N92" s="46">
        <f ca="1">$K$92-EFEITO!$M$92*EFEITO!$Z$92</f>
        <v>0</v>
      </c>
      <c r="O92" s="46">
        <f>$L$92-EFEITO!$O$92*EFEITO!$AA$92</f>
        <v>0</v>
      </c>
      <c r="P92" s="38"/>
      <c r="Q92" s="38"/>
      <c r="R92" s="38"/>
      <c r="S92" s="38"/>
      <c r="T92" s="38"/>
      <c r="U92" s="38"/>
      <c r="V92" s="38"/>
      <c r="W92" s="38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35" t="s">
        <v>21</v>
      </c>
      <c r="B93" s="35" t="s">
        <v>39</v>
      </c>
      <c r="C93" s="35" t="s">
        <v>40</v>
      </c>
      <c r="D93" s="35" t="s">
        <v>42</v>
      </c>
      <c r="E93" s="35" t="s">
        <v>25</v>
      </c>
      <c r="F93" s="35" t="s">
        <v>25</v>
      </c>
      <c r="G93" s="35" t="s">
        <v>25</v>
      </c>
      <c r="H93" s="35" t="s">
        <v>35</v>
      </c>
      <c r="I93" s="45">
        <v>44501</v>
      </c>
      <c r="J93" s="46">
        <f ca="1">EFEITO!$J$93*EFEITO!$Y$93</f>
        <v>38677.921001093346</v>
      </c>
      <c r="K93" s="46">
        <f ca="1">EFEITO!$L$93*EFEITO!$Z$93</f>
        <v>42041.969772332654</v>
      </c>
      <c r="L93" s="46">
        <f>EFEITO!$N$93*EFEITO!$AA$93</f>
        <v>201440.86553426084</v>
      </c>
      <c r="M93" s="46">
        <f ca="1">$J$93-EFEITO!$K$93*EFEITO!$Y$93</f>
        <v>0</v>
      </c>
      <c r="N93" s="46">
        <f ca="1">$K$93-EFEITO!$M$93*EFEITO!$Z$93</f>
        <v>0</v>
      </c>
      <c r="O93" s="46">
        <f>$L$93-EFEITO!$O$93*EFEITO!$AA$93</f>
        <v>0</v>
      </c>
      <c r="P93" s="38"/>
      <c r="Q93" s="38"/>
      <c r="R93" s="38"/>
      <c r="S93" s="38"/>
      <c r="T93" s="38"/>
      <c r="U93" s="38"/>
      <c r="V93" s="38"/>
      <c r="W93" s="38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35" t="s">
        <v>28</v>
      </c>
      <c r="B94" s="35" t="s">
        <v>39</v>
      </c>
      <c r="C94" s="35" t="s">
        <v>40</v>
      </c>
      <c r="D94" s="35" t="s">
        <v>42</v>
      </c>
      <c r="E94" s="35" t="s">
        <v>25</v>
      </c>
      <c r="F94" s="35" t="s">
        <v>25</v>
      </c>
      <c r="G94" s="35" t="s">
        <v>25</v>
      </c>
      <c r="H94" s="35" t="s">
        <v>35</v>
      </c>
      <c r="I94" s="45">
        <v>44501</v>
      </c>
      <c r="J94" s="46">
        <f ca="1">EFEITO!$J$94*EFEITO!$Y$94</f>
        <v>10517.680272227139</v>
      </c>
      <c r="K94" s="46">
        <f ca="1">EFEITO!$L$94*EFEITO!$Z$94</f>
        <v>7064.2832505912575</v>
      </c>
      <c r="L94" s="46">
        <f>EFEITO!$N$94*EFEITO!$AA$94</f>
        <v>33847.970018635242</v>
      </c>
      <c r="M94" s="46">
        <f ca="1">$J$94-EFEITO!$K$94*EFEITO!$Y$94</f>
        <v>0</v>
      </c>
      <c r="N94" s="46">
        <f ca="1">$K$94-EFEITO!$M$94*EFEITO!$Z$94</f>
        <v>0</v>
      </c>
      <c r="O94" s="46">
        <f>$L$94-EFEITO!$O$94*EFEITO!$AA$94</f>
        <v>0</v>
      </c>
      <c r="P94" s="38"/>
      <c r="Q94" s="38"/>
      <c r="R94" s="38"/>
      <c r="S94" s="38"/>
      <c r="T94" s="38"/>
      <c r="U94" s="38"/>
      <c r="V94" s="38"/>
      <c r="W94" s="38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35" t="s">
        <v>21</v>
      </c>
      <c r="B95" s="35" t="s">
        <v>39</v>
      </c>
      <c r="C95" s="35" t="s">
        <v>40</v>
      </c>
      <c r="D95" s="35" t="s">
        <v>42</v>
      </c>
      <c r="E95" s="35" t="s">
        <v>25</v>
      </c>
      <c r="F95" s="35" t="s">
        <v>25</v>
      </c>
      <c r="G95" s="35" t="s">
        <v>25</v>
      </c>
      <c r="H95" s="35" t="s">
        <v>35</v>
      </c>
      <c r="I95" s="45">
        <v>44531</v>
      </c>
      <c r="J95" s="46">
        <f ca="1">EFEITO!$J$95*EFEITO!$Y$95</f>
        <v>38374.354677446725</v>
      </c>
      <c r="K95" s="46">
        <f ca="1">EFEITO!$L$95*EFEITO!$Z$95</f>
        <v>42846.976438615056</v>
      </c>
      <c r="L95" s="46">
        <f>EFEITO!$N$95*EFEITO!$AA$95</f>
        <v>205297.99307835355</v>
      </c>
      <c r="M95" s="46">
        <f ca="1">$J$95-EFEITO!$K$95*EFEITO!$Y$95</f>
        <v>0</v>
      </c>
      <c r="N95" s="46">
        <f ca="1">$K$95-EFEITO!$M$95*EFEITO!$Z$95</f>
        <v>0</v>
      </c>
      <c r="O95" s="46">
        <f>$L$95-EFEITO!$O$95*EFEITO!$AA$95</f>
        <v>0</v>
      </c>
      <c r="P95" s="38"/>
      <c r="Q95" s="38"/>
      <c r="R95" s="38"/>
      <c r="S95" s="38"/>
      <c r="T95" s="38"/>
      <c r="U95" s="38"/>
      <c r="V95" s="38"/>
      <c r="W95" s="38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35" t="s">
        <v>28</v>
      </c>
      <c r="B96" s="35" t="s">
        <v>39</v>
      </c>
      <c r="C96" s="35" t="s">
        <v>40</v>
      </c>
      <c r="D96" s="35" t="s">
        <v>42</v>
      </c>
      <c r="E96" s="35" t="s">
        <v>25</v>
      </c>
      <c r="F96" s="35" t="s">
        <v>25</v>
      </c>
      <c r="G96" s="35" t="s">
        <v>25</v>
      </c>
      <c r="H96" s="35" t="s">
        <v>35</v>
      </c>
      <c r="I96" s="45">
        <v>44531</v>
      </c>
      <c r="J96" s="46">
        <f ca="1">EFEITO!$J$96*EFEITO!$Y$96</f>
        <v>10821.246595873763</v>
      </c>
      <c r="K96" s="46">
        <f ca="1">EFEITO!$L$96*EFEITO!$Z$96</f>
        <v>6158.1591039934647</v>
      </c>
      <c r="L96" s="46">
        <f>EFEITO!$N$96*EFEITO!$AA$96</f>
        <v>29506.345842589282</v>
      </c>
      <c r="M96" s="46">
        <f ca="1">$J$96-EFEITO!$K$96*EFEITO!$Y$96</f>
        <v>0</v>
      </c>
      <c r="N96" s="46">
        <f ca="1">$K$96-EFEITO!$M$96*EFEITO!$Z$96</f>
        <v>0</v>
      </c>
      <c r="O96" s="46">
        <f>$L$96-EFEITO!$O$96*EFEITO!$AA$96</f>
        <v>0</v>
      </c>
      <c r="P96" s="38"/>
      <c r="Q96" s="38"/>
      <c r="R96" s="38"/>
      <c r="S96" s="38"/>
      <c r="T96" s="38"/>
      <c r="U96" s="38"/>
      <c r="V96" s="38"/>
      <c r="W96" s="38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35" t="s">
        <v>55</v>
      </c>
      <c r="B97" s="35" t="s">
        <v>39</v>
      </c>
      <c r="C97" s="35" t="s">
        <v>40</v>
      </c>
      <c r="D97" s="35" t="s">
        <v>42</v>
      </c>
      <c r="E97" s="35" t="s">
        <v>25</v>
      </c>
      <c r="F97" s="35" t="s">
        <v>25</v>
      </c>
      <c r="G97" s="35" t="s">
        <v>25</v>
      </c>
      <c r="H97" s="35" t="s">
        <v>35</v>
      </c>
      <c r="I97" s="45">
        <v>44562</v>
      </c>
      <c r="J97" s="46">
        <f ca="1">EFEITO!$J$97*EFEITO!$Y$97</f>
        <v>38374.354677446725</v>
      </c>
      <c r="K97" s="46">
        <f ca="1">EFEITO!$L$97*EFEITO!$Z$97</f>
        <v>42846.976438615056</v>
      </c>
      <c r="L97" s="46">
        <f>EFEITO!$N$97*EFEITO!$AA$97</f>
        <v>205297.99307835355</v>
      </c>
      <c r="M97" s="46">
        <f ca="1">$J$97-EFEITO!$K$97*EFEITO!$Y$97</f>
        <v>0</v>
      </c>
      <c r="N97" s="46">
        <f ca="1">$K$97-EFEITO!$M$97*EFEITO!$Z$97</f>
        <v>0</v>
      </c>
      <c r="O97" s="46">
        <f>$L$97-EFEITO!$O$97*EFEITO!$AA$97</f>
        <v>0</v>
      </c>
      <c r="P97" s="38"/>
      <c r="Q97" s="38"/>
      <c r="R97" s="38"/>
      <c r="S97" s="38"/>
      <c r="T97" s="38"/>
      <c r="U97" s="38"/>
      <c r="V97" s="38"/>
      <c r="W97" s="38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35" t="s">
        <v>55</v>
      </c>
      <c r="B98" s="35" t="s">
        <v>39</v>
      </c>
      <c r="C98" s="35" t="s">
        <v>40</v>
      </c>
      <c r="D98" s="35" t="s">
        <v>42</v>
      </c>
      <c r="E98" s="35" t="s">
        <v>25</v>
      </c>
      <c r="F98" s="35" t="s">
        <v>25</v>
      </c>
      <c r="G98" s="35" t="s">
        <v>25</v>
      </c>
      <c r="H98" s="35" t="s">
        <v>35</v>
      </c>
      <c r="I98" s="45">
        <v>44562</v>
      </c>
      <c r="J98" s="46">
        <f ca="1">EFEITO!$J$98*EFEITO!$Y$98</f>
        <v>10821.246595873763</v>
      </c>
      <c r="K98" s="46">
        <f ca="1">EFEITO!$L$98*EFEITO!$Z$98</f>
        <v>6158.1591039934647</v>
      </c>
      <c r="L98" s="46">
        <f>EFEITO!$N$98*EFEITO!$AA$98</f>
        <v>29506.345842589282</v>
      </c>
      <c r="M98" s="46">
        <f ca="1">$J$98-EFEITO!$K$98*EFEITO!$Y$98</f>
        <v>0</v>
      </c>
      <c r="N98" s="46">
        <f ca="1">$K$98-EFEITO!$M$98*EFEITO!$Z$98</f>
        <v>0</v>
      </c>
      <c r="O98" s="46">
        <f>$L$98-EFEITO!$O$98*EFEITO!$AA$98</f>
        <v>0</v>
      </c>
      <c r="P98" s="38"/>
      <c r="Q98" s="38"/>
      <c r="R98" s="38"/>
      <c r="S98" s="38"/>
      <c r="T98" s="38"/>
      <c r="U98" s="38"/>
      <c r="V98" s="38"/>
      <c r="W98" s="38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35" t="s">
        <v>21</v>
      </c>
      <c r="B99" s="35" t="s">
        <v>39</v>
      </c>
      <c r="C99" s="35" t="s">
        <v>40</v>
      </c>
      <c r="D99" s="35" t="s">
        <v>42</v>
      </c>
      <c r="E99" s="35" t="s">
        <v>25</v>
      </c>
      <c r="F99" s="35" t="s">
        <v>25</v>
      </c>
      <c r="G99" s="35" t="s">
        <v>25</v>
      </c>
      <c r="H99" s="35" t="s">
        <v>34</v>
      </c>
      <c r="I99" s="45">
        <v>44228</v>
      </c>
      <c r="J99" s="46">
        <f ca="1">EFEITO!$J$99*EFEITO!$Y$99</f>
        <v>75104.06490291607</v>
      </c>
      <c r="K99" s="46">
        <f ca="1">EFEITO!$L$99*EFEITO!$Z$99</f>
        <v>4186.6420665689584</v>
      </c>
      <c r="L99" s="46">
        <f>EFEITO!$N$99*EFEITO!$AA$99</f>
        <v>32414.184939333656</v>
      </c>
      <c r="M99" s="46">
        <f ca="1">$J$99-EFEITO!$K$99*EFEITO!$Y$99</f>
        <v>0</v>
      </c>
      <c r="N99" s="46">
        <f ca="1">$K$99-EFEITO!$M$99*EFEITO!$Z$99</f>
        <v>0</v>
      </c>
      <c r="O99" s="46">
        <f>$L$99-EFEITO!$O$99*EFEITO!$AA$99</f>
        <v>0</v>
      </c>
      <c r="P99" s="38"/>
      <c r="Q99" s="38"/>
      <c r="R99" s="38"/>
      <c r="S99" s="38"/>
      <c r="T99" s="38"/>
      <c r="U99" s="38"/>
      <c r="V99" s="38"/>
      <c r="W99" s="38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35" t="s">
        <v>28</v>
      </c>
      <c r="B100" s="35" t="s">
        <v>39</v>
      </c>
      <c r="C100" s="35" t="s">
        <v>40</v>
      </c>
      <c r="D100" s="35" t="s">
        <v>42</v>
      </c>
      <c r="E100" s="35" t="s">
        <v>25</v>
      </c>
      <c r="F100" s="35" t="s">
        <v>25</v>
      </c>
      <c r="G100" s="35" t="s">
        <v>25</v>
      </c>
      <c r="H100" s="35" t="s">
        <v>34</v>
      </c>
      <c r="I100" s="45">
        <v>44228</v>
      </c>
      <c r="J100" s="46">
        <f ca="1">EFEITO!$J$100*EFEITO!$Y$100</f>
        <v>8139.8914273391701</v>
      </c>
      <c r="K100" s="46">
        <f ca="1">EFEITO!$L$100*EFEITO!$Z$100</f>
        <v>515.7937449864362</v>
      </c>
      <c r="L100" s="46">
        <f>EFEITO!$N$100*EFEITO!$AA$100</f>
        <v>3993.4232673115634</v>
      </c>
      <c r="M100" s="46">
        <f ca="1">$J$100-EFEITO!$K$100*EFEITO!$Y$100</f>
        <v>0</v>
      </c>
      <c r="N100" s="46">
        <f ca="1">$K$100-EFEITO!$M$100*EFEITO!$Z$100</f>
        <v>0</v>
      </c>
      <c r="O100" s="46">
        <f>$L$100-EFEITO!$O$100*EFEITO!$AA$100</f>
        <v>0</v>
      </c>
      <c r="P100" s="38"/>
      <c r="Q100" s="38"/>
      <c r="R100" s="38"/>
      <c r="S100" s="38"/>
      <c r="T100" s="38"/>
      <c r="U100" s="38"/>
      <c r="V100" s="38"/>
      <c r="W100" s="38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35" t="s">
        <v>21</v>
      </c>
      <c r="B101" s="35" t="s">
        <v>39</v>
      </c>
      <c r="C101" s="35" t="s">
        <v>40</v>
      </c>
      <c r="D101" s="35" t="s">
        <v>42</v>
      </c>
      <c r="E101" s="35" t="s">
        <v>25</v>
      </c>
      <c r="F101" s="35" t="s">
        <v>25</v>
      </c>
      <c r="G101" s="35" t="s">
        <v>25</v>
      </c>
      <c r="H101" s="35" t="s">
        <v>34</v>
      </c>
      <c r="I101" s="45">
        <v>44256</v>
      </c>
      <c r="J101" s="46">
        <f ca="1">EFEITO!$J$101*EFEITO!$Y$101</f>
        <v>74597.582769659421</v>
      </c>
      <c r="K101" s="46">
        <f ca="1">EFEITO!$L$101*EFEITO!$Z$101</f>
        <v>4782.4435864775187</v>
      </c>
      <c r="L101" s="46">
        <f>EFEITO!$N$101*EFEITO!$AA$101</f>
        <v>37027.051371758127</v>
      </c>
      <c r="M101" s="46">
        <f ca="1">$J$101-EFEITO!$K$101*EFEITO!$Y$101</f>
        <v>0</v>
      </c>
      <c r="N101" s="46">
        <f ca="1">$K$101-EFEITO!$M$101*EFEITO!$Z$101</f>
        <v>0</v>
      </c>
      <c r="O101" s="46">
        <f>$L$101-EFEITO!$O$101*EFEITO!$AA$101</f>
        <v>0</v>
      </c>
      <c r="P101" s="38"/>
      <c r="Q101" s="38"/>
      <c r="R101" s="38"/>
      <c r="S101" s="38"/>
      <c r="T101" s="38"/>
      <c r="U101" s="38"/>
      <c r="V101" s="38"/>
      <c r="W101" s="38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35" t="s">
        <v>27</v>
      </c>
      <c r="B102" s="35" t="s">
        <v>39</v>
      </c>
      <c r="C102" s="35" t="s">
        <v>40</v>
      </c>
      <c r="D102" s="35" t="s">
        <v>42</v>
      </c>
      <c r="E102" s="35" t="s">
        <v>25</v>
      </c>
      <c r="F102" s="35" t="s">
        <v>25</v>
      </c>
      <c r="G102" s="35" t="s">
        <v>25</v>
      </c>
      <c r="H102" s="35" t="s">
        <v>34</v>
      </c>
      <c r="I102" s="45">
        <v>44256</v>
      </c>
      <c r="J102" s="46">
        <f ca="1">EFEITO!$J$102*EFEITO!$Y$102</f>
        <v>-8501.6643796653552</v>
      </c>
      <c r="K102" s="46">
        <f ca="1">EFEITO!$L$102*EFEITO!$Z$102</f>
        <v>0</v>
      </c>
      <c r="L102" s="46">
        <f>EFEITO!$N$102*EFEITO!$AA$102</f>
        <v>0</v>
      </c>
      <c r="M102" s="46">
        <f ca="1">$J$102-EFEITO!$K$102*EFEITO!$Y$102</f>
        <v>0</v>
      </c>
      <c r="N102" s="46">
        <f ca="1">$K$102-EFEITO!$M$102*EFEITO!$Z$102</f>
        <v>0</v>
      </c>
      <c r="O102" s="46">
        <f>$L$102-EFEITO!$O$102*EFEITO!$AA$102</f>
        <v>0</v>
      </c>
      <c r="P102" s="38"/>
      <c r="Q102" s="38"/>
      <c r="R102" s="38"/>
      <c r="S102" s="38"/>
      <c r="T102" s="38"/>
      <c r="U102" s="38"/>
      <c r="V102" s="38"/>
      <c r="W102" s="38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35" t="s">
        <v>28</v>
      </c>
      <c r="B103" s="35" t="s">
        <v>39</v>
      </c>
      <c r="C103" s="35" t="s">
        <v>40</v>
      </c>
      <c r="D103" s="35" t="s">
        <v>42</v>
      </c>
      <c r="E103" s="35" t="s">
        <v>25</v>
      </c>
      <c r="F103" s="35" t="s">
        <v>25</v>
      </c>
      <c r="G103" s="35" t="s">
        <v>25</v>
      </c>
      <c r="H103" s="35" t="s">
        <v>34</v>
      </c>
      <c r="I103" s="45">
        <v>44256</v>
      </c>
      <c r="J103" s="46">
        <f ca="1">EFEITO!$J$103*EFEITO!$Y$103</f>
        <v>8139.8914273391701</v>
      </c>
      <c r="K103" s="46">
        <f ca="1">EFEITO!$L$103*EFEITO!$Z$103</f>
        <v>585.49560241703568</v>
      </c>
      <c r="L103" s="46">
        <f>EFEITO!$N$103*EFEITO!$AA$103</f>
        <v>4533.0750601915042</v>
      </c>
      <c r="M103" s="46">
        <f ca="1">$J$103-EFEITO!$K$103*EFEITO!$Y$103</f>
        <v>0</v>
      </c>
      <c r="N103" s="46">
        <f ca="1">$K$103-EFEITO!$M$103*EFEITO!$Z$103</f>
        <v>0</v>
      </c>
      <c r="O103" s="46">
        <f>$L$103-EFEITO!$O$103*EFEITO!$AA$103</f>
        <v>0</v>
      </c>
      <c r="P103" s="38"/>
      <c r="Q103" s="38"/>
      <c r="R103" s="38"/>
      <c r="S103" s="38"/>
      <c r="T103" s="38"/>
      <c r="U103" s="38"/>
      <c r="V103" s="38"/>
      <c r="W103" s="38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35" t="s">
        <v>21</v>
      </c>
      <c r="B104" s="35" t="s">
        <v>39</v>
      </c>
      <c r="C104" s="35" t="s">
        <v>40</v>
      </c>
      <c r="D104" s="35" t="s">
        <v>42</v>
      </c>
      <c r="E104" s="35" t="s">
        <v>25</v>
      </c>
      <c r="F104" s="35" t="s">
        <v>25</v>
      </c>
      <c r="G104" s="35" t="s">
        <v>25</v>
      </c>
      <c r="H104" s="35" t="s">
        <v>34</v>
      </c>
      <c r="I104" s="45">
        <v>44287</v>
      </c>
      <c r="J104" s="46">
        <f ca="1">EFEITO!$J$104*EFEITO!$Y$104</f>
        <v>74923.178426752987</v>
      </c>
      <c r="K104" s="46">
        <f ca="1">EFEITO!$L$104*EFEITO!$Z$104</f>
        <v>4329.3317261375996</v>
      </c>
      <c r="L104" s="46">
        <f>EFEITO!$N$104*EFEITO!$AA$104</f>
        <v>33518.92925247216</v>
      </c>
      <c r="M104" s="46">
        <f ca="1">$J$104-EFEITO!$K$104*EFEITO!$Y$104</f>
        <v>0</v>
      </c>
      <c r="N104" s="46">
        <f ca="1">$K$104-EFEITO!$M$104*EFEITO!$Z$104</f>
        <v>0</v>
      </c>
      <c r="O104" s="46">
        <f>$L$104-EFEITO!$O$104*EFEITO!$AA$104</f>
        <v>0</v>
      </c>
      <c r="P104" s="38"/>
      <c r="Q104" s="38"/>
      <c r="R104" s="38"/>
      <c r="S104" s="38"/>
      <c r="T104" s="38"/>
      <c r="U104" s="38"/>
      <c r="V104" s="38"/>
      <c r="W104" s="38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35" t="s">
        <v>28</v>
      </c>
      <c r="B105" s="35" t="s">
        <v>39</v>
      </c>
      <c r="C105" s="35" t="s">
        <v>40</v>
      </c>
      <c r="D105" s="35" t="s">
        <v>42</v>
      </c>
      <c r="E105" s="35" t="s">
        <v>25</v>
      </c>
      <c r="F105" s="35" t="s">
        <v>25</v>
      </c>
      <c r="G105" s="35" t="s">
        <v>25</v>
      </c>
      <c r="H105" s="35" t="s">
        <v>34</v>
      </c>
      <c r="I105" s="45">
        <v>44287</v>
      </c>
      <c r="J105" s="46">
        <f ca="1">EFEITO!$J$105*EFEITO!$Y$105</f>
        <v>8139.8914273391701</v>
      </c>
      <c r="K105" s="46">
        <f ca="1">EFEITO!$L$105*EFEITO!$Z$105</f>
        <v>543.67448795867608</v>
      </c>
      <c r="L105" s="46">
        <f>EFEITO!$N$105*EFEITO!$AA$105</f>
        <v>4209.28398446354</v>
      </c>
      <c r="M105" s="46">
        <f ca="1">$J$105-EFEITO!$K$105*EFEITO!$Y$105</f>
        <v>0</v>
      </c>
      <c r="N105" s="46">
        <f ca="1">$K$105-EFEITO!$M$105*EFEITO!$Z$105</f>
        <v>0</v>
      </c>
      <c r="O105" s="46">
        <f>$L$105-EFEITO!$O$105*EFEITO!$AA$105</f>
        <v>0</v>
      </c>
      <c r="P105" s="38"/>
      <c r="Q105" s="38"/>
      <c r="R105" s="38"/>
      <c r="S105" s="38"/>
      <c r="T105" s="38"/>
      <c r="U105" s="38"/>
      <c r="V105" s="38"/>
      <c r="W105" s="38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35" t="s">
        <v>21</v>
      </c>
      <c r="B106" s="35" t="s">
        <v>39</v>
      </c>
      <c r="C106" s="35" t="s">
        <v>40</v>
      </c>
      <c r="D106" s="35" t="s">
        <v>42</v>
      </c>
      <c r="E106" s="35" t="s">
        <v>25</v>
      </c>
      <c r="F106" s="35" t="s">
        <v>25</v>
      </c>
      <c r="G106" s="35" t="s">
        <v>25</v>
      </c>
      <c r="H106" s="35" t="s">
        <v>34</v>
      </c>
      <c r="I106" s="45">
        <v>44317</v>
      </c>
      <c r="J106" s="46">
        <f ca="1">EFEITO!$J$106*EFEITO!$Y$106</f>
        <v>71269.27160825851</v>
      </c>
      <c r="K106" s="46">
        <f ca="1">EFEITO!$L$106*EFEITO!$Z$106</f>
        <v>4236.4788946318367</v>
      </c>
      <c r="L106" s="46">
        <f>EFEITO!$N$106*EFEITO!$AA$106</f>
        <v>32800.035971242811</v>
      </c>
      <c r="M106" s="46">
        <f ca="1">$J$106-EFEITO!$K$106*EFEITO!$Y$106</f>
        <v>0</v>
      </c>
      <c r="N106" s="46">
        <f ca="1">$K$106-EFEITO!$M$106*EFEITO!$Z$106</f>
        <v>0</v>
      </c>
      <c r="O106" s="46">
        <f>$L$106-EFEITO!$O$106*EFEITO!$AA$106</f>
        <v>0</v>
      </c>
      <c r="P106" s="38"/>
      <c r="Q106" s="38"/>
      <c r="R106" s="38"/>
      <c r="S106" s="38"/>
      <c r="T106" s="38"/>
      <c r="U106" s="38"/>
      <c r="V106" s="38"/>
      <c r="W106" s="38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35" t="s">
        <v>28</v>
      </c>
      <c r="B107" s="35" t="s">
        <v>39</v>
      </c>
      <c r="C107" s="35" t="s">
        <v>40</v>
      </c>
      <c r="D107" s="35" t="s">
        <v>42</v>
      </c>
      <c r="E107" s="35" t="s">
        <v>25</v>
      </c>
      <c r="F107" s="35" t="s">
        <v>25</v>
      </c>
      <c r="G107" s="35" t="s">
        <v>25</v>
      </c>
      <c r="H107" s="35" t="s">
        <v>34</v>
      </c>
      <c r="I107" s="45">
        <v>44317</v>
      </c>
      <c r="J107" s="46">
        <f ca="1">EFEITO!$J$107*EFEITO!$Y$107</f>
        <v>8139.8914273391701</v>
      </c>
      <c r="K107" s="46">
        <f ca="1">EFEITO!$L$107*EFEITO!$Z$107</f>
        <v>543.67448795867608</v>
      </c>
      <c r="L107" s="46">
        <f>EFEITO!$N$107*EFEITO!$AA$107</f>
        <v>4209.28398446354</v>
      </c>
      <c r="M107" s="46">
        <f ca="1">$J$107-EFEITO!$K$107*EFEITO!$Y$107</f>
        <v>0</v>
      </c>
      <c r="N107" s="46">
        <f ca="1">$K$107-EFEITO!$M$107*EFEITO!$Z$107</f>
        <v>0</v>
      </c>
      <c r="O107" s="46">
        <f>$L$107-EFEITO!$O$107*EFEITO!$AA$107</f>
        <v>0</v>
      </c>
      <c r="P107" s="38"/>
      <c r="Q107" s="38"/>
      <c r="R107" s="38"/>
      <c r="S107" s="38"/>
      <c r="T107" s="38"/>
      <c r="U107" s="38"/>
      <c r="V107" s="38"/>
      <c r="W107" s="38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35" t="s">
        <v>21</v>
      </c>
      <c r="B108" s="35" t="s">
        <v>39</v>
      </c>
      <c r="C108" s="35" t="s">
        <v>40</v>
      </c>
      <c r="D108" s="35" t="s">
        <v>42</v>
      </c>
      <c r="E108" s="35" t="s">
        <v>25</v>
      </c>
      <c r="F108" s="35" t="s">
        <v>25</v>
      </c>
      <c r="G108" s="35" t="s">
        <v>25</v>
      </c>
      <c r="H108" s="35" t="s">
        <v>34</v>
      </c>
      <c r="I108" s="45">
        <v>44348</v>
      </c>
      <c r="J108" s="46">
        <f ca="1">EFEITO!$J$108*EFEITO!$Y$108</f>
        <v>70437.193817908279</v>
      </c>
      <c r="K108" s="46">
        <f ca="1">EFEITO!$L$108*EFEITO!$Z$108</f>
        <v>4167.0259724063471</v>
      </c>
      <c r="L108" s="46">
        <f>EFEITO!$N$108*EFEITO!$AA$108</f>
        <v>32262.31150619459</v>
      </c>
      <c r="M108" s="46">
        <f ca="1">$J$108-EFEITO!$K$108*EFEITO!$Y$108</f>
        <v>0</v>
      </c>
      <c r="N108" s="46">
        <f ca="1">$K$108-EFEITO!$M$108*EFEITO!$Z$108</f>
        <v>0</v>
      </c>
      <c r="O108" s="46">
        <f>$L$108-EFEITO!$O$108*EFEITO!$AA$108</f>
        <v>0</v>
      </c>
      <c r="P108" s="38"/>
      <c r="Q108" s="38"/>
      <c r="R108" s="38"/>
      <c r="S108" s="38"/>
      <c r="T108" s="38"/>
      <c r="U108" s="38"/>
      <c r="V108" s="38"/>
      <c r="W108" s="38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35" t="s">
        <v>28</v>
      </c>
      <c r="B109" s="35" t="s">
        <v>39</v>
      </c>
      <c r="C109" s="35" t="s">
        <v>40</v>
      </c>
      <c r="D109" s="35" t="s">
        <v>42</v>
      </c>
      <c r="E109" s="35" t="s">
        <v>25</v>
      </c>
      <c r="F109" s="35" t="s">
        <v>25</v>
      </c>
      <c r="G109" s="35" t="s">
        <v>25</v>
      </c>
      <c r="H109" s="35" t="s">
        <v>34</v>
      </c>
      <c r="I109" s="45">
        <v>44348</v>
      </c>
      <c r="J109" s="46">
        <f ca="1">EFEITO!$J$109*EFEITO!$Y$109</f>
        <v>8393.1324939674996</v>
      </c>
      <c r="K109" s="46">
        <f ca="1">EFEITO!$L$109*EFEITO!$Z$109</f>
        <v>515.7937449864362</v>
      </c>
      <c r="L109" s="46">
        <f>EFEITO!$N$109*EFEITO!$AA$109</f>
        <v>3993.4232673115634</v>
      </c>
      <c r="M109" s="46">
        <f ca="1">$J$109-EFEITO!$K$109*EFEITO!$Y$109</f>
        <v>0</v>
      </c>
      <c r="N109" s="46">
        <f ca="1">$K$109-EFEITO!$M$109*EFEITO!$Z$109</f>
        <v>0</v>
      </c>
      <c r="O109" s="46">
        <f>$L$109-EFEITO!$O$109*EFEITO!$AA$109</f>
        <v>0</v>
      </c>
      <c r="P109" s="38"/>
      <c r="Q109" s="38"/>
      <c r="R109" s="38"/>
      <c r="S109" s="38"/>
      <c r="T109" s="38"/>
      <c r="U109" s="38"/>
      <c r="V109" s="38"/>
      <c r="W109" s="38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35" t="s">
        <v>21</v>
      </c>
      <c r="B110" s="35" t="s">
        <v>39</v>
      </c>
      <c r="C110" s="35" t="s">
        <v>40</v>
      </c>
      <c r="D110" s="35" t="s">
        <v>42</v>
      </c>
      <c r="E110" s="35" t="s">
        <v>25</v>
      </c>
      <c r="F110" s="35" t="s">
        <v>25</v>
      </c>
      <c r="G110" s="35" t="s">
        <v>25</v>
      </c>
      <c r="H110" s="35" t="s">
        <v>34</v>
      </c>
      <c r="I110" s="45">
        <v>44378</v>
      </c>
      <c r="J110" s="46">
        <f ca="1">EFEITO!$J$110*EFEITO!$Y$110</f>
        <v>70220.130046512568</v>
      </c>
      <c r="K110" s="46">
        <f ca="1">EFEITO!$L$110*EFEITO!$Z$110</f>
        <v>4162.0472683041608</v>
      </c>
      <c r="L110" s="46">
        <f>EFEITO!$N$110*EFEITO!$AA$110</f>
        <v>32223.764949560304</v>
      </c>
      <c r="M110" s="46">
        <f ca="1">$J$110-EFEITO!$K$110*EFEITO!$Y$110</f>
        <v>0</v>
      </c>
      <c r="N110" s="46">
        <f ca="1">$K$110-EFEITO!$M$110*EFEITO!$Z$110</f>
        <v>0</v>
      </c>
      <c r="O110" s="46">
        <f>$L$110-EFEITO!$O$110*EFEITO!$AA$110</f>
        <v>0</v>
      </c>
      <c r="P110" s="38"/>
      <c r="Q110" s="38"/>
      <c r="R110" s="38"/>
      <c r="S110" s="38"/>
      <c r="T110" s="38"/>
      <c r="U110" s="38"/>
      <c r="V110" s="38"/>
      <c r="W110" s="38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35" t="s">
        <v>28</v>
      </c>
      <c r="B111" s="35" t="s">
        <v>39</v>
      </c>
      <c r="C111" s="35" t="s">
        <v>40</v>
      </c>
      <c r="D111" s="35" t="s">
        <v>42</v>
      </c>
      <c r="E111" s="35" t="s">
        <v>25</v>
      </c>
      <c r="F111" s="35" t="s">
        <v>25</v>
      </c>
      <c r="G111" s="35" t="s">
        <v>25</v>
      </c>
      <c r="H111" s="35" t="s">
        <v>34</v>
      </c>
      <c r="I111" s="45">
        <v>44378</v>
      </c>
      <c r="J111" s="46">
        <f ca="1">EFEITO!$J$111*EFEITO!$Y$111</f>
        <v>8139.8914273391701</v>
      </c>
      <c r="K111" s="46">
        <f ca="1">EFEITO!$L$111*EFEITO!$Z$111</f>
        <v>529.73411647255614</v>
      </c>
      <c r="L111" s="46">
        <f>EFEITO!$N$111*EFEITO!$AA$111</f>
        <v>4101.353625887552</v>
      </c>
      <c r="M111" s="46">
        <f ca="1">$J$111-EFEITO!$K$111*EFEITO!$Y$111</f>
        <v>0</v>
      </c>
      <c r="N111" s="46">
        <f ca="1">$K$111-EFEITO!$M$111*EFEITO!$Z$111</f>
        <v>0</v>
      </c>
      <c r="O111" s="46">
        <f>$L$111-EFEITO!$O$111*EFEITO!$AA$111</f>
        <v>0</v>
      </c>
      <c r="P111" s="38"/>
      <c r="Q111" s="38"/>
      <c r="R111" s="38"/>
      <c r="S111" s="38"/>
      <c r="T111" s="38"/>
      <c r="U111" s="38"/>
      <c r="V111" s="38"/>
      <c r="W111" s="38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35" t="s">
        <v>21</v>
      </c>
      <c r="B112" s="35" t="s">
        <v>39</v>
      </c>
      <c r="C112" s="35" t="s">
        <v>40</v>
      </c>
      <c r="D112" s="35" t="s">
        <v>42</v>
      </c>
      <c r="E112" s="35" t="s">
        <v>25</v>
      </c>
      <c r="F112" s="35" t="s">
        <v>25</v>
      </c>
      <c r="G112" s="35" t="s">
        <v>25</v>
      </c>
      <c r="H112" s="35" t="s">
        <v>34</v>
      </c>
      <c r="I112" s="45">
        <v>44409</v>
      </c>
      <c r="J112" s="46">
        <f ca="1">EFEITO!$J$112*EFEITO!$Y$112</f>
        <v>68845.392827673073</v>
      </c>
      <c r="K112" s="46">
        <f ca="1">EFEITO!$L$112*EFEITO!$Z$112</f>
        <v>4100.460698560124</v>
      </c>
      <c r="L112" s="46">
        <f>EFEITO!$N$112*EFEITO!$AA$112</f>
        <v>31746.944043994245</v>
      </c>
      <c r="M112" s="46">
        <f ca="1">$J$112-EFEITO!$K$112*EFEITO!$Y$112</f>
        <v>0</v>
      </c>
      <c r="N112" s="46">
        <f ca="1">$K$112-EFEITO!$M$112*EFEITO!$Z$112</f>
        <v>0</v>
      </c>
      <c r="O112" s="46">
        <f>$L$112-EFEITO!$O$112*EFEITO!$AA$112</f>
        <v>0</v>
      </c>
      <c r="P112" s="38"/>
      <c r="Q112" s="38"/>
      <c r="R112" s="38"/>
      <c r="S112" s="38"/>
      <c r="T112" s="38"/>
      <c r="U112" s="38"/>
      <c r="V112" s="38"/>
      <c r="W112" s="38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35" t="s">
        <v>28</v>
      </c>
      <c r="B113" s="35" t="s">
        <v>39</v>
      </c>
      <c r="C113" s="35" t="s">
        <v>40</v>
      </c>
      <c r="D113" s="35" t="s">
        <v>42</v>
      </c>
      <c r="E113" s="35" t="s">
        <v>25</v>
      </c>
      <c r="F113" s="35" t="s">
        <v>25</v>
      </c>
      <c r="G113" s="35" t="s">
        <v>25</v>
      </c>
      <c r="H113" s="35" t="s">
        <v>34</v>
      </c>
      <c r="I113" s="45">
        <v>44409</v>
      </c>
      <c r="J113" s="46">
        <f ca="1">EFEITO!$J$113*EFEITO!$Y$113</f>
        <v>15194.463997699784</v>
      </c>
      <c r="K113" s="46">
        <f ca="1">EFEITO!$L$113*EFEITO!$Z$113</f>
        <v>1101.289347403472</v>
      </c>
      <c r="L113" s="46">
        <f>EFEITO!$N$113*EFEITO!$AA$113</f>
        <v>8526.4983275030681</v>
      </c>
      <c r="M113" s="46">
        <f ca="1">$J$113-EFEITO!$K$113*EFEITO!$Y$113</f>
        <v>0</v>
      </c>
      <c r="N113" s="46">
        <f ca="1">$K$113-EFEITO!$M$113*EFEITO!$Z$113</f>
        <v>0</v>
      </c>
      <c r="O113" s="46">
        <f>$L$113-EFEITO!$O$113*EFEITO!$AA$113</f>
        <v>0</v>
      </c>
      <c r="P113" s="38"/>
      <c r="Q113" s="38"/>
      <c r="R113" s="38"/>
      <c r="S113" s="38"/>
      <c r="T113" s="38"/>
      <c r="U113" s="38"/>
      <c r="V113" s="38"/>
      <c r="W113" s="38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35" t="s">
        <v>21</v>
      </c>
      <c r="B114" s="35" t="s">
        <v>39</v>
      </c>
      <c r="C114" s="35" t="s">
        <v>40</v>
      </c>
      <c r="D114" s="35" t="s">
        <v>42</v>
      </c>
      <c r="E114" s="35" t="s">
        <v>25</v>
      </c>
      <c r="F114" s="35" t="s">
        <v>25</v>
      </c>
      <c r="G114" s="35" t="s">
        <v>25</v>
      </c>
      <c r="H114" s="35" t="s">
        <v>34</v>
      </c>
      <c r="I114" s="45">
        <v>44440</v>
      </c>
      <c r="J114" s="46">
        <f ca="1">EFEITO!$J$114*EFEITO!$Y$114</f>
        <v>68592.151761044734</v>
      </c>
      <c r="K114" s="46">
        <f ca="1">EFEITO!$L$114*EFEITO!$Z$114</f>
        <v>4066.7050847473056</v>
      </c>
      <c r="L114" s="46">
        <f>EFEITO!$N$114*EFEITO!$AA$114</f>
        <v>31485.598390013816</v>
      </c>
      <c r="M114" s="46">
        <f ca="1">$J$114-EFEITO!$K$114*EFEITO!$Y$114</f>
        <v>0</v>
      </c>
      <c r="N114" s="46">
        <f ca="1">$K$114-EFEITO!$M$114*EFEITO!$Z$114</f>
        <v>0</v>
      </c>
      <c r="O114" s="46">
        <f>$L$114-EFEITO!$O$114*EFEITO!$AA$114</f>
        <v>0</v>
      </c>
      <c r="P114" s="38"/>
      <c r="Q114" s="38"/>
      <c r="R114" s="38"/>
      <c r="S114" s="38"/>
      <c r="T114" s="38"/>
      <c r="U114" s="38"/>
      <c r="V114" s="38"/>
      <c r="W114" s="38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35" t="s">
        <v>28</v>
      </c>
      <c r="B115" s="35" t="s">
        <v>39</v>
      </c>
      <c r="C115" s="35" t="s">
        <v>40</v>
      </c>
      <c r="D115" s="35" t="s">
        <v>42</v>
      </c>
      <c r="E115" s="35" t="s">
        <v>25</v>
      </c>
      <c r="F115" s="35" t="s">
        <v>25</v>
      </c>
      <c r="G115" s="35" t="s">
        <v>25</v>
      </c>
      <c r="H115" s="35" t="s">
        <v>34</v>
      </c>
      <c r="I115" s="45">
        <v>44440</v>
      </c>
      <c r="J115" s="46">
        <f ca="1">EFEITO!$J$115*EFEITO!$Y$115</f>
        <v>23262.000834573715</v>
      </c>
      <c r="K115" s="46">
        <f ca="1">EFEITO!$L$115*EFEITO!$Z$115</f>
        <v>1038.5576757159324</v>
      </c>
      <c r="L115" s="46">
        <f>EFEITO!$N$115*EFEITO!$AA$115</f>
        <v>8040.8117139111209</v>
      </c>
      <c r="M115" s="46">
        <f ca="1">$J$115-EFEITO!$K$115*EFEITO!$Y$115</f>
        <v>0</v>
      </c>
      <c r="N115" s="46">
        <f ca="1">$K$115-EFEITO!$M$115*EFEITO!$Z$115</f>
        <v>0</v>
      </c>
      <c r="O115" s="46">
        <f>$L$115-EFEITO!$O$115*EFEITO!$AA$115</f>
        <v>0</v>
      </c>
      <c r="P115" s="38"/>
      <c r="Q115" s="38"/>
      <c r="R115" s="38"/>
      <c r="S115" s="38"/>
      <c r="T115" s="38"/>
      <c r="U115" s="38"/>
      <c r="V115" s="38"/>
      <c r="W115" s="38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35" t="s">
        <v>21</v>
      </c>
      <c r="B116" s="35" t="s">
        <v>39</v>
      </c>
      <c r="C116" s="35" t="s">
        <v>40</v>
      </c>
      <c r="D116" s="35" t="s">
        <v>42</v>
      </c>
      <c r="E116" s="35" t="s">
        <v>25</v>
      </c>
      <c r="F116" s="35" t="s">
        <v>25</v>
      </c>
      <c r="G116" s="35" t="s">
        <v>25</v>
      </c>
      <c r="H116" s="35" t="s">
        <v>34</v>
      </c>
      <c r="I116" s="45">
        <v>44470</v>
      </c>
      <c r="J116" s="46">
        <f ca="1">EFEITO!$J$116*EFEITO!$Y$116</f>
        <v>68736.860941975217</v>
      </c>
      <c r="K116" s="46">
        <f ca="1">EFEITO!$L$116*EFEITO!$Z$116</f>
        <v>4048.1345184461529</v>
      </c>
      <c r="L116" s="46">
        <f>EFEITO!$N$116*EFEITO!$AA$116</f>
        <v>31341.819733767945</v>
      </c>
      <c r="M116" s="46">
        <f ca="1">$J$116-EFEITO!$K$116*EFEITO!$Y$116</f>
        <v>0</v>
      </c>
      <c r="N116" s="46">
        <f ca="1">$K$116-EFEITO!$M$116*EFEITO!$Z$116</f>
        <v>0</v>
      </c>
      <c r="O116" s="46">
        <f>$L$116-EFEITO!$O$116*EFEITO!$AA$116</f>
        <v>0</v>
      </c>
      <c r="P116" s="38"/>
      <c r="Q116" s="38"/>
      <c r="R116" s="38"/>
      <c r="S116" s="38"/>
      <c r="T116" s="38"/>
      <c r="U116" s="38"/>
      <c r="V116" s="38"/>
      <c r="W116" s="38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35" t="s">
        <v>28</v>
      </c>
      <c r="B117" s="35" t="s">
        <v>39</v>
      </c>
      <c r="C117" s="35" t="s">
        <v>40</v>
      </c>
      <c r="D117" s="35" t="s">
        <v>42</v>
      </c>
      <c r="E117" s="35" t="s">
        <v>25</v>
      </c>
      <c r="F117" s="35" t="s">
        <v>25</v>
      </c>
      <c r="G117" s="35" t="s">
        <v>25</v>
      </c>
      <c r="H117" s="35" t="s">
        <v>34</v>
      </c>
      <c r="I117" s="45">
        <v>44470</v>
      </c>
      <c r="J117" s="46">
        <f ca="1">EFEITO!$J$117*EFEITO!$Y$117</f>
        <v>23081.114358410625</v>
      </c>
      <c r="K117" s="46">
        <f ca="1">EFEITO!$L$117*EFEITO!$Z$117</f>
        <v>1069.9235115597021</v>
      </c>
      <c r="L117" s="46">
        <f>EFEITO!$N$117*EFEITO!$AA$117</f>
        <v>8283.6550207070941</v>
      </c>
      <c r="M117" s="46">
        <f ca="1">$J$117-EFEITO!$K$117*EFEITO!$Y$117</f>
        <v>0</v>
      </c>
      <c r="N117" s="46">
        <f ca="1">$K$117-EFEITO!$M$117*EFEITO!$Z$117</f>
        <v>0</v>
      </c>
      <c r="O117" s="46">
        <f>$L$117-EFEITO!$O$117*EFEITO!$AA$117</f>
        <v>0</v>
      </c>
      <c r="P117" s="38"/>
      <c r="Q117" s="38"/>
      <c r="R117" s="38"/>
      <c r="S117" s="38"/>
      <c r="T117" s="38"/>
      <c r="U117" s="38"/>
      <c r="V117" s="38"/>
      <c r="W117" s="38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35" t="s">
        <v>21</v>
      </c>
      <c r="B118" s="35" t="s">
        <v>39</v>
      </c>
      <c r="C118" s="35" t="s">
        <v>40</v>
      </c>
      <c r="D118" s="35" t="s">
        <v>42</v>
      </c>
      <c r="E118" s="35" t="s">
        <v>25</v>
      </c>
      <c r="F118" s="35" t="s">
        <v>25</v>
      </c>
      <c r="G118" s="35" t="s">
        <v>25</v>
      </c>
      <c r="H118" s="35" t="s">
        <v>34</v>
      </c>
      <c r="I118" s="45">
        <v>44501</v>
      </c>
      <c r="J118" s="46">
        <f ca="1">EFEITO!$J$118*EFEITO!$Y$118</f>
        <v>71667.221855817319</v>
      </c>
      <c r="K118" s="46">
        <f ca="1">EFEITO!$L$118*EFEITO!$Z$118</f>
        <v>4125.0554968249216</v>
      </c>
      <c r="L118" s="46">
        <f>EFEITO!$N$118*EFEITO!$AA$118</f>
        <v>31937.364033767593</v>
      </c>
      <c r="M118" s="46">
        <f ca="1">$J$118-EFEITO!$K$118*EFEITO!$Y$118</f>
        <v>0</v>
      </c>
      <c r="N118" s="46">
        <f ca="1">$K$118-EFEITO!$M$118*EFEITO!$Z$118</f>
        <v>0</v>
      </c>
      <c r="O118" s="46">
        <f>$L$118-EFEITO!$O$118*EFEITO!$AA$118</f>
        <v>0</v>
      </c>
      <c r="P118" s="38"/>
      <c r="Q118" s="38"/>
      <c r="R118" s="38"/>
      <c r="S118" s="38"/>
      <c r="T118" s="38"/>
      <c r="U118" s="38"/>
      <c r="V118" s="38"/>
      <c r="W118" s="38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35" t="s">
        <v>28</v>
      </c>
      <c r="B119" s="35" t="s">
        <v>39</v>
      </c>
      <c r="C119" s="35" t="s">
        <v>40</v>
      </c>
      <c r="D119" s="35" t="s">
        <v>42</v>
      </c>
      <c r="E119" s="35" t="s">
        <v>25</v>
      </c>
      <c r="F119" s="35" t="s">
        <v>25</v>
      </c>
      <c r="G119" s="35" t="s">
        <v>25</v>
      </c>
      <c r="H119" s="35" t="s">
        <v>34</v>
      </c>
      <c r="I119" s="45">
        <v>44501</v>
      </c>
      <c r="J119" s="46">
        <f ca="1">EFEITO!$J$119*EFEITO!$Y$119</f>
        <v>22864.050587014914</v>
      </c>
      <c r="K119" s="46">
        <f ca="1">EFEITO!$L$119*EFEITO!$Z$119</f>
        <v>989.76637551451279</v>
      </c>
      <c r="L119" s="46">
        <f>EFEITO!$N$119*EFEITO!$AA$119</f>
        <v>7663.0554588951618</v>
      </c>
      <c r="M119" s="46">
        <f ca="1">$J$119-EFEITO!$K$119*EFEITO!$Y$119</f>
        <v>0</v>
      </c>
      <c r="N119" s="46">
        <f ca="1">$K$119-EFEITO!$M$119*EFEITO!$Z$119</f>
        <v>0</v>
      </c>
      <c r="O119" s="46">
        <f>$L$119-EFEITO!$O$119*EFEITO!$AA$119</f>
        <v>0</v>
      </c>
      <c r="P119" s="38"/>
      <c r="Q119" s="38"/>
      <c r="R119" s="38"/>
      <c r="S119" s="38"/>
      <c r="T119" s="38"/>
      <c r="U119" s="38"/>
      <c r="V119" s="38"/>
      <c r="W119" s="38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35" t="s">
        <v>21</v>
      </c>
      <c r="B120" s="35" t="s">
        <v>39</v>
      </c>
      <c r="C120" s="35" t="s">
        <v>40</v>
      </c>
      <c r="D120" s="35" t="s">
        <v>42</v>
      </c>
      <c r="E120" s="35" t="s">
        <v>25</v>
      </c>
      <c r="F120" s="35" t="s">
        <v>25</v>
      </c>
      <c r="G120" s="35" t="s">
        <v>25</v>
      </c>
      <c r="H120" s="35" t="s">
        <v>34</v>
      </c>
      <c r="I120" s="45">
        <v>44531</v>
      </c>
      <c r="J120" s="46">
        <f ca="1">EFEITO!$J$120*EFEITO!$Y$120</f>
        <v>72246.058579539211</v>
      </c>
      <c r="K120" s="46">
        <f ca="1">EFEITO!$L$120*EFEITO!$Z$120</f>
        <v>4687.8979955770128</v>
      </c>
      <c r="L120" s="46">
        <f>EFEITO!$N$120*EFEITO!$AA$120</f>
        <v>36295.052261273122</v>
      </c>
      <c r="M120" s="46">
        <f ca="1">$J$120-EFEITO!$K$120*EFEITO!$Y$120</f>
        <v>0</v>
      </c>
      <c r="N120" s="46">
        <f ca="1">$K$120-EFEITO!$M$120*EFEITO!$Z$120</f>
        <v>0</v>
      </c>
      <c r="O120" s="46">
        <f>$L$120-EFEITO!$O$120*EFEITO!$AA$120</f>
        <v>0</v>
      </c>
      <c r="P120" s="38"/>
      <c r="Q120" s="38"/>
      <c r="R120" s="38"/>
      <c r="S120" s="38"/>
      <c r="T120" s="38"/>
      <c r="U120" s="38"/>
      <c r="V120" s="38"/>
      <c r="W120" s="38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35" t="s">
        <v>28</v>
      </c>
      <c r="B121" s="35" t="s">
        <v>39</v>
      </c>
      <c r="C121" s="35" t="s">
        <v>40</v>
      </c>
      <c r="D121" s="35" t="s">
        <v>42</v>
      </c>
      <c r="E121" s="35" t="s">
        <v>25</v>
      </c>
      <c r="F121" s="35" t="s">
        <v>25</v>
      </c>
      <c r="G121" s="35" t="s">
        <v>25</v>
      </c>
      <c r="H121" s="35" t="s">
        <v>34</v>
      </c>
      <c r="I121" s="45">
        <v>44531</v>
      </c>
      <c r="J121" s="46">
        <f ca="1">EFEITO!$J$121*EFEITO!$Y$121</f>
        <v>23153.468948875859</v>
      </c>
      <c r="K121" s="46">
        <f ca="1">EFEITO!$L$121*EFEITO!$Z$121</f>
        <v>1066.4384186881723</v>
      </c>
      <c r="L121" s="46">
        <f>EFEITO!$N$121*EFEITO!$AA$121</f>
        <v>8256.672431063098</v>
      </c>
      <c r="M121" s="46">
        <f ca="1">$J$121-EFEITO!$K$121*EFEITO!$Y$121</f>
        <v>0</v>
      </c>
      <c r="N121" s="46">
        <f ca="1">$K$121-EFEITO!$M$121*EFEITO!$Z$121</f>
        <v>0</v>
      </c>
      <c r="O121" s="46">
        <f>$L$121-EFEITO!$O$121*EFEITO!$AA$121</f>
        <v>0</v>
      </c>
      <c r="P121" s="38"/>
      <c r="Q121" s="38"/>
      <c r="R121" s="38"/>
      <c r="S121" s="38"/>
      <c r="T121" s="38"/>
      <c r="U121" s="38"/>
      <c r="V121" s="38"/>
      <c r="W121" s="38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35" t="s">
        <v>55</v>
      </c>
      <c r="B122" s="35" t="s">
        <v>39</v>
      </c>
      <c r="C122" s="35" t="s">
        <v>40</v>
      </c>
      <c r="D122" s="35" t="s">
        <v>42</v>
      </c>
      <c r="E122" s="35" t="s">
        <v>25</v>
      </c>
      <c r="F122" s="35" t="s">
        <v>25</v>
      </c>
      <c r="G122" s="35" t="s">
        <v>25</v>
      </c>
      <c r="H122" s="35" t="s">
        <v>34</v>
      </c>
      <c r="I122" s="45">
        <v>44562</v>
      </c>
      <c r="J122" s="46">
        <f ca="1">EFEITO!$J$122*EFEITO!$Y$122</f>
        <v>72246.058579539211</v>
      </c>
      <c r="K122" s="46">
        <f ca="1">EFEITO!$L$122*EFEITO!$Z$122</f>
        <v>4687.8979955770128</v>
      </c>
      <c r="L122" s="46">
        <f>EFEITO!$N$122*EFEITO!$AA$122</f>
        <v>36295.052261273122</v>
      </c>
      <c r="M122" s="46">
        <f ca="1">$J$122-EFEITO!$K$122*EFEITO!$Y$122</f>
        <v>0</v>
      </c>
      <c r="N122" s="46">
        <f ca="1">$K$122-EFEITO!$M$122*EFEITO!$Z$122</f>
        <v>0</v>
      </c>
      <c r="O122" s="46">
        <f>$L$122-EFEITO!$O$122*EFEITO!$AA$122</f>
        <v>0</v>
      </c>
      <c r="P122" s="38"/>
      <c r="Q122" s="38"/>
      <c r="R122" s="38"/>
      <c r="S122" s="38"/>
      <c r="T122" s="38"/>
      <c r="U122" s="38"/>
      <c r="V122" s="38"/>
      <c r="W122" s="38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35" t="s">
        <v>55</v>
      </c>
      <c r="B123" s="35" t="s">
        <v>39</v>
      </c>
      <c r="C123" s="35" t="s">
        <v>40</v>
      </c>
      <c r="D123" s="35" t="s">
        <v>42</v>
      </c>
      <c r="E123" s="35" t="s">
        <v>25</v>
      </c>
      <c r="F123" s="35" t="s">
        <v>25</v>
      </c>
      <c r="G123" s="35" t="s">
        <v>25</v>
      </c>
      <c r="H123" s="35" t="s">
        <v>34</v>
      </c>
      <c r="I123" s="45">
        <v>44562</v>
      </c>
      <c r="J123" s="46">
        <f ca="1">EFEITO!$J$123*EFEITO!$Y$123</f>
        <v>23153.468948875859</v>
      </c>
      <c r="K123" s="46">
        <f ca="1">EFEITO!$L$123*EFEITO!$Z$123</f>
        <v>1066.4384186881723</v>
      </c>
      <c r="L123" s="46">
        <f>EFEITO!$N$123*EFEITO!$AA$123</f>
        <v>8256.672431063098</v>
      </c>
      <c r="M123" s="46">
        <f ca="1">$J$123-EFEITO!$K$123*EFEITO!$Y$123</f>
        <v>0</v>
      </c>
      <c r="N123" s="46">
        <f ca="1">$K$123-EFEITO!$M$123*EFEITO!$Z$123</f>
        <v>0</v>
      </c>
      <c r="O123" s="46">
        <f>$L$123-EFEITO!$O$123*EFEITO!$AA$123</f>
        <v>0</v>
      </c>
      <c r="P123" s="38"/>
      <c r="Q123" s="38"/>
      <c r="R123" s="38"/>
      <c r="S123" s="38"/>
      <c r="T123" s="38"/>
      <c r="U123" s="38"/>
      <c r="V123" s="38"/>
      <c r="W123" s="38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35" t="s">
        <v>21</v>
      </c>
      <c r="B124" s="35" t="s">
        <v>39</v>
      </c>
      <c r="C124" s="35" t="s">
        <v>40</v>
      </c>
      <c r="D124" s="35" t="s">
        <v>38</v>
      </c>
      <c r="E124" s="35" t="s">
        <v>25</v>
      </c>
      <c r="F124" s="35" t="s">
        <v>58</v>
      </c>
      <c r="G124" s="35" t="s">
        <v>25</v>
      </c>
      <c r="H124" s="35" t="s">
        <v>35</v>
      </c>
      <c r="I124" s="45">
        <v>44228</v>
      </c>
      <c r="J124" s="46">
        <f ca="1">EFEITO!$J$124*EFEITO!$Y$124</f>
        <v>77712.978853535664</v>
      </c>
      <c r="K124" s="46">
        <f ca="1">EFEITO!$L$124*EFEITO!$Z$124</f>
        <v>0</v>
      </c>
      <c r="L124" s="46">
        <f>EFEITO!$N$124*EFEITO!$AA$124</f>
        <v>0</v>
      </c>
      <c r="M124" s="46">
        <f ca="1">$J$124-EFEITO!$K$124*EFEITO!$Y$124</f>
        <v>38578.398194719186</v>
      </c>
      <c r="N124" s="46">
        <f ca="1">$K$124-EFEITO!$M$124*EFEITO!$Z$124</f>
        <v>0</v>
      </c>
      <c r="O124" s="46">
        <f>$L$124-EFEITO!$O$124*EFEITO!$AA$124</f>
        <v>0</v>
      </c>
      <c r="P124" s="38"/>
      <c r="Q124" s="38"/>
      <c r="R124" s="38"/>
      <c r="S124" s="38"/>
      <c r="T124" s="38"/>
      <c r="U124" s="38"/>
      <c r="V124" s="38"/>
      <c r="W124" s="38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35" t="s">
        <v>21</v>
      </c>
      <c r="B125" s="35" t="s">
        <v>39</v>
      </c>
      <c r="C125" s="35" t="s">
        <v>40</v>
      </c>
      <c r="D125" s="35" t="s">
        <v>38</v>
      </c>
      <c r="E125" s="35" t="s">
        <v>25</v>
      </c>
      <c r="F125" s="35" t="s">
        <v>58</v>
      </c>
      <c r="G125" s="35" t="s">
        <v>25</v>
      </c>
      <c r="H125" s="35" t="s">
        <v>35</v>
      </c>
      <c r="I125" s="45">
        <v>44256</v>
      </c>
      <c r="J125" s="46">
        <f ca="1">EFEITO!$J$125*EFEITO!$Y$125</f>
        <v>78480.823083935946</v>
      </c>
      <c r="K125" s="46">
        <f ca="1">EFEITO!$L$125*EFEITO!$Z$125</f>
        <v>0</v>
      </c>
      <c r="L125" s="46">
        <f>EFEITO!$N$125*EFEITO!$AA$125</f>
        <v>0</v>
      </c>
      <c r="M125" s="46">
        <f ca="1">$J$125-EFEITO!$K$125*EFEITO!$Y$125</f>
        <v>38996.80863673189</v>
      </c>
      <c r="N125" s="46">
        <f ca="1">$K$125-EFEITO!$M$125*EFEITO!$Z$125</f>
        <v>0</v>
      </c>
      <c r="O125" s="46">
        <f>$L$125-EFEITO!$O$125*EFEITO!$AA$125</f>
        <v>0</v>
      </c>
      <c r="P125" s="38"/>
      <c r="Q125" s="38"/>
      <c r="R125" s="38"/>
      <c r="S125" s="38"/>
      <c r="T125" s="38"/>
      <c r="U125" s="38"/>
      <c r="V125" s="38"/>
      <c r="W125" s="38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35" t="s">
        <v>21</v>
      </c>
      <c r="B126" s="35" t="s">
        <v>39</v>
      </c>
      <c r="C126" s="35" t="s">
        <v>40</v>
      </c>
      <c r="D126" s="35" t="s">
        <v>38</v>
      </c>
      <c r="E126" s="35" t="s">
        <v>25</v>
      </c>
      <c r="F126" s="35" t="s">
        <v>58</v>
      </c>
      <c r="G126" s="35" t="s">
        <v>25</v>
      </c>
      <c r="H126" s="35" t="s">
        <v>35</v>
      </c>
      <c r="I126" s="45">
        <v>44287</v>
      </c>
      <c r="J126" s="46">
        <f ca="1">EFEITO!$J$126*EFEITO!$Y$126</f>
        <v>76641.568299488761</v>
      </c>
      <c r="K126" s="46">
        <f ca="1">EFEITO!$L$126*EFEITO!$Z$126</f>
        <v>0</v>
      </c>
      <c r="L126" s="46">
        <f>EFEITO!$N$126*EFEITO!$AA$126</f>
        <v>0</v>
      </c>
      <c r="M126" s="46">
        <f ca="1">$J$126-EFEITO!$K$126*EFEITO!$Y$126</f>
        <v>38122.190517966745</v>
      </c>
      <c r="N126" s="46">
        <f ca="1">$K$126-EFEITO!$M$126*EFEITO!$Z$126</f>
        <v>0</v>
      </c>
      <c r="O126" s="46">
        <f>$L$126-EFEITO!$O$126*EFEITO!$AA$126</f>
        <v>0</v>
      </c>
      <c r="P126" s="38"/>
      <c r="Q126" s="38"/>
      <c r="R126" s="38"/>
      <c r="S126" s="38"/>
      <c r="T126" s="38"/>
      <c r="U126" s="38"/>
      <c r="V126" s="38"/>
      <c r="W126" s="38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35" t="s">
        <v>21</v>
      </c>
      <c r="B127" s="35" t="s">
        <v>39</v>
      </c>
      <c r="C127" s="35" t="s">
        <v>40</v>
      </c>
      <c r="D127" s="35" t="s">
        <v>38</v>
      </c>
      <c r="E127" s="35" t="s">
        <v>25</v>
      </c>
      <c r="F127" s="35" t="s">
        <v>58</v>
      </c>
      <c r="G127" s="35" t="s">
        <v>25</v>
      </c>
      <c r="H127" s="35" t="s">
        <v>35</v>
      </c>
      <c r="I127" s="45">
        <v>44317</v>
      </c>
      <c r="J127" s="46">
        <f ca="1">EFEITO!$J$127*EFEITO!$Y$127</f>
        <v>76320.145133274695</v>
      </c>
      <c r="K127" s="46">
        <f ca="1">EFEITO!$L$127*EFEITO!$Z$127</f>
        <v>0</v>
      </c>
      <c r="L127" s="46">
        <f>EFEITO!$N$127*EFEITO!$AA$127</f>
        <v>0</v>
      </c>
      <c r="M127" s="46">
        <f ca="1">$J$127-EFEITO!$K$127*EFEITO!$Y$127</f>
        <v>37705.273189773652</v>
      </c>
      <c r="N127" s="46">
        <f ca="1">$K$127-EFEITO!$M$127*EFEITO!$Z$127</f>
        <v>0</v>
      </c>
      <c r="O127" s="46">
        <f>$L$127-EFEITO!$O$127*EFEITO!$AA$127</f>
        <v>0</v>
      </c>
      <c r="P127" s="38"/>
      <c r="Q127" s="38"/>
      <c r="R127" s="38"/>
      <c r="S127" s="38"/>
      <c r="T127" s="38"/>
      <c r="U127" s="38"/>
      <c r="V127" s="38"/>
      <c r="W127" s="38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35" t="s">
        <v>21</v>
      </c>
      <c r="B128" s="35" t="s">
        <v>39</v>
      </c>
      <c r="C128" s="35" t="s">
        <v>40</v>
      </c>
      <c r="D128" s="35" t="s">
        <v>38</v>
      </c>
      <c r="E128" s="35" t="s">
        <v>25</v>
      </c>
      <c r="F128" s="35" t="s">
        <v>58</v>
      </c>
      <c r="G128" s="35" t="s">
        <v>25</v>
      </c>
      <c r="H128" s="35" t="s">
        <v>35</v>
      </c>
      <c r="I128" s="45">
        <v>44348</v>
      </c>
      <c r="J128" s="46">
        <f ca="1">EFEITO!$J$128*EFEITO!$Y$128</f>
        <v>76802.279882595802</v>
      </c>
      <c r="K128" s="46">
        <f ca="1">EFEITO!$L$128*EFEITO!$Z$128</f>
        <v>0</v>
      </c>
      <c r="L128" s="46">
        <f>EFEITO!$N$128*EFEITO!$AA$128</f>
        <v>0</v>
      </c>
      <c r="M128" s="46">
        <f ca="1">$J$128-EFEITO!$K$128*EFEITO!$Y$128</f>
        <v>38076.141109678319</v>
      </c>
      <c r="N128" s="46">
        <f ca="1">$K$128-EFEITO!$M$128*EFEITO!$Z$128</f>
        <v>0</v>
      </c>
      <c r="O128" s="46">
        <f>$L$128-EFEITO!$O$128*EFEITO!$AA$128</f>
        <v>0</v>
      </c>
      <c r="P128" s="38"/>
      <c r="Q128" s="38"/>
      <c r="R128" s="38"/>
      <c r="S128" s="38"/>
      <c r="T128" s="38"/>
      <c r="U128" s="38"/>
      <c r="V128" s="38"/>
      <c r="W128" s="38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35" t="s">
        <v>21</v>
      </c>
      <c r="B129" s="35" t="s">
        <v>39</v>
      </c>
      <c r="C129" s="35" t="s">
        <v>40</v>
      </c>
      <c r="D129" s="35" t="s">
        <v>38</v>
      </c>
      <c r="E129" s="35" t="s">
        <v>25</v>
      </c>
      <c r="F129" s="35" t="s">
        <v>58</v>
      </c>
      <c r="G129" s="35" t="s">
        <v>25</v>
      </c>
      <c r="H129" s="35" t="s">
        <v>35</v>
      </c>
      <c r="I129" s="45">
        <v>44378</v>
      </c>
      <c r="J129" s="46">
        <f ca="1">EFEITO!$J$129*EFEITO!$Y$129</f>
        <v>76302.288290707234</v>
      </c>
      <c r="K129" s="46">
        <f ca="1">EFEITO!$L$129*EFEITO!$Z$129</f>
        <v>0</v>
      </c>
      <c r="L129" s="46">
        <f>EFEITO!$N$129*EFEITO!$AA$129</f>
        <v>0</v>
      </c>
      <c r="M129" s="46">
        <f ca="1">$J$129-EFEITO!$K$129*EFEITO!$Y$129</f>
        <v>37903.785861127035</v>
      </c>
      <c r="N129" s="46">
        <f ca="1">$K$129-EFEITO!$M$129*EFEITO!$Z$129</f>
        <v>0</v>
      </c>
      <c r="O129" s="46">
        <f>$L$129-EFEITO!$O$129*EFEITO!$AA$129</f>
        <v>0</v>
      </c>
      <c r="P129" s="38"/>
      <c r="Q129" s="38"/>
      <c r="R129" s="38"/>
      <c r="S129" s="38"/>
      <c r="T129" s="38"/>
      <c r="U129" s="38"/>
      <c r="V129" s="38"/>
      <c r="W129" s="38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35" t="s">
        <v>21</v>
      </c>
      <c r="B130" s="35" t="s">
        <v>39</v>
      </c>
      <c r="C130" s="35" t="s">
        <v>40</v>
      </c>
      <c r="D130" s="35" t="s">
        <v>38</v>
      </c>
      <c r="E130" s="35" t="s">
        <v>25</v>
      </c>
      <c r="F130" s="35" t="s">
        <v>58</v>
      </c>
      <c r="G130" s="35" t="s">
        <v>25</v>
      </c>
      <c r="H130" s="35" t="s">
        <v>35</v>
      </c>
      <c r="I130" s="45">
        <v>44409</v>
      </c>
      <c r="J130" s="46">
        <f ca="1">EFEITO!$J$130*EFEITO!$Y$130</f>
        <v>76302.288290707234</v>
      </c>
      <c r="K130" s="46">
        <f ca="1">EFEITO!$L$130*EFEITO!$Z$130</f>
        <v>0</v>
      </c>
      <c r="L130" s="46">
        <f>EFEITO!$N$130*EFEITO!$AA$130</f>
        <v>0</v>
      </c>
      <c r="M130" s="46">
        <f ca="1">$J$130-EFEITO!$K$130*EFEITO!$Y$130</f>
        <v>37779.638222963637</v>
      </c>
      <c r="N130" s="46">
        <f ca="1">$K$130-EFEITO!$M$130*EFEITO!$Z$130</f>
        <v>0</v>
      </c>
      <c r="O130" s="46">
        <f>$L$130-EFEITO!$O$130*EFEITO!$AA$130</f>
        <v>0</v>
      </c>
      <c r="P130" s="38"/>
      <c r="Q130" s="38"/>
      <c r="R130" s="38"/>
      <c r="S130" s="38"/>
      <c r="T130" s="38"/>
      <c r="U130" s="38"/>
      <c r="V130" s="38"/>
      <c r="W130" s="38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35" t="s">
        <v>21</v>
      </c>
      <c r="B131" s="35" t="s">
        <v>39</v>
      </c>
      <c r="C131" s="35" t="s">
        <v>40</v>
      </c>
      <c r="D131" s="35" t="s">
        <v>38</v>
      </c>
      <c r="E131" s="35" t="s">
        <v>25</v>
      </c>
      <c r="F131" s="35" t="s">
        <v>58</v>
      </c>
      <c r="G131" s="35" t="s">
        <v>25</v>
      </c>
      <c r="H131" s="35" t="s">
        <v>35</v>
      </c>
      <c r="I131" s="45">
        <v>44440</v>
      </c>
      <c r="J131" s="46">
        <f ca="1">EFEITO!$J$131*EFEITO!$Y$131</f>
        <v>69088.123893458062</v>
      </c>
      <c r="K131" s="46">
        <f ca="1">EFEITO!$L$131*EFEITO!$Z$131</f>
        <v>0</v>
      </c>
      <c r="L131" s="46">
        <f>EFEITO!$N$131*EFEITO!$AA$131</f>
        <v>0</v>
      </c>
      <c r="M131" s="46">
        <f ca="1">$J$131-EFEITO!$K$131*EFEITO!$Y$131</f>
        <v>34170.005717226304</v>
      </c>
      <c r="N131" s="46">
        <f ca="1">$K$131-EFEITO!$M$131*EFEITO!$Z$131</f>
        <v>0</v>
      </c>
      <c r="O131" s="46">
        <f>$L$131-EFEITO!$O$131*EFEITO!$AA$131</f>
        <v>0</v>
      </c>
      <c r="P131" s="38"/>
      <c r="Q131" s="38"/>
      <c r="R131" s="38"/>
      <c r="S131" s="38"/>
      <c r="T131" s="38"/>
      <c r="U131" s="38"/>
      <c r="V131" s="38"/>
      <c r="W131" s="38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35" t="s">
        <v>21</v>
      </c>
      <c r="B132" s="35" t="s">
        <v>39</v>
      </c>
      <c r="C132" s="35" t="s">
        <v>40</v>
      </c>
      <c r="D132" s="35" t="s">
        <v>38</v>
      </c>
      <c r="E132" s="35" t="s">
        <v>25</v>
      </c>
      <c r="F132" s="35" t="s">
        <v>58</v>
      </c>
      <c r="G132" s="35" t="s">
        <v>25</v>
      </c>
      <c r="H132" s="35" t="s">
        <v>35</v>
      </c>
      <c r="I132" s="45">
        <v>44470</v>
      </c>
      <c r="J132" s="46">
        <f ca="1">EFEITO!$J$132*EFEITO!$Y$132</f>
        <v>69766.6839110211</v>
      </c>
      <c r="K132" s="46">
        <f ca="1">EFEITO!$L$132*EFEITO!$Z$132</f>
        <v>0</v>
      </c>
      <c r="L132" s="46">
        <f>EFEITO!$N$132*EFEITO!$AA$132</f>
        <v>0</v>
      </c>
      <c r="M132" s="46">
        <f ca="1">$J$132-EFEITO!$K$132*EFEITO!$Y$132</f>
        <v>34122.157434367226</v>
      </c>
      <c r="N132" s="46">
        <f ca="1">$K$132-EFEITO!$M$132*EFEITO!$Z$132</f>
        <v>0</v>
      </c>
      <c r="O132" s="46">
        <f>$L$132-EFEITO!$O$132*EFEITO!$AA$132</f>
        <v>0</v>
      </c>
      <c r="P132" s="38"/>
      <c r="Q132" s="38"/>
      <c r="R132" s="38"/>
      <c r="S132" s="38"/>
      <c r="T132" s="38"/>
      <c r="U132" s="38"/>
      <c r="V132" s="38"/>
      <c r="W132" s="38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35" t="s">
        <v>21</v>
      </c>
      <c r="B133" s="35" t="s">
        <v>39</v>
      </c>
      <c r="C133" s="35" t="s">
        <v>40</v>
      </c>
      <c r="D133" s="35" t="s">
        <v>38</v>
      </c>
      <c r="E133" s="35" t="s">
        <v>25</v>
      </c>
      <c r="F133" s="35" t="s">
        <v>58</v>
      </c>
      <c r="G133" s="35" t="s">
        <v>25</v>
      </c>
      <c r="H133" s="35" t="s">
        <v>35</v>
      </c>
      <c r="I133" s="45">
        <v>44501</v>
      </c>
      <c r="J133" s="46">
        <f ca="1">EFEITO!$J$133*EFEITO!$Y$133</f>
        <v>71748.79343600788</v>
      </c>
      <c r="K133" s="46">
        <f ca="1">EFEITO!$L$133*EFEITO!$Z$133</f>
        <v>0</v>
      </c>
      <c r="L133" s="46">
        <f>EFEITO!$N$133*EFEITO!$AA$133</f>
        <v>0</v>
      </c>
      <c r="M133" s="46">
        <f ca="1">$J$133-EFEITO!$K$133*EFEITO!$Y$133</f>
        <v>35450.556505515277</v>
      </c>
      <c r="N133" s="46">
        <f ca="1">$K$133-EFEITO!$M$133*EFEITO!$Z$133</f>
        <v>0</v>
      </c>
      <c r="O133" s="46">
        <f>$L$133-EFEITO!$O$133*EFEITO!$AA$133</f>
        <v>0</v>
      </c>
      <c r="P133" s="38"/>
      <c r="Q133" s="38"/>
      <c r="R133" s="38"/>
      <c r="S133" s="38"/>
      <c r="T133" s="38"/>
      <c r="U133" s="38"/>
      <c r="V133" s="38"/>
      <c r="W133" s="38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35" t="s">
        <v>21</v>
      </c>
      <c r="B134" s="35" t="s">
        <v>39</v>
      </c>
      <c r="C134" s="35" t="s">
        <v>40</v>
      </c>
      <c r="D134" s="35" t="s">
        <v>38</v>
      </c>
      <c r="E134" s="35" t="s">
        <v>25</v>
      </c>
      <c r="F134" s="35" t="s">
        <v>58</v>
      </c>
      <c r="G134" s="35" t="s">
        <v>25</v>
      </c>
      <c r="H134" s="35" t="s">
        <v>35</v>
      </c>
      <c r="I134" s="45">
        <v>44531</v>
      </c>
      <c r="J134" s="46">
        <f ca="1">EFEITO!$J$134*EFEITO!$Y$134</f>
        <v>70159.534447504979</v>
      </c>
      <c r="K134" s="46">
        <f ca="1">EFEITO!$L$134*EFEITO!$Z$134</f>
        <v>0</v>
      </c>
      <c r="L134" s="46">
        <f>EFEITO!$N$134*EFEITO!$AA$134</f>
        <v>0</v>
      </c>
      <c r="M134" s="46">
        <f ca="1">$J$134-EFEITO!$K$134*EFEITO!$Y$134</f>
        <v>34440.585099526601</v>
      </c>
      <c r="N134" s="46">
        <f ca="1">$K$134-EFEITO!$M$134*EFEITO!$Z$134</f>
        <v>0</v>
      </c>
      <c r="O134" s="46">
        <f>$L$134-EFEITO!$O$134*EFEITO!$AA$134</f>
        <v>0</v>
      </c>
      <c r="P134" s="38"/>
      <c r="Q134" s="38"/>
      <c r="R134" s="38"/>
      <c r="S134" s="38"/>
      <c r="T134" s="38"/>
      <c r="U134" s="38"/>
      <c r="V134" s="38"/>
      <c r="W134" s="38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35" t="s">
        <v>55</v>
      </c>
      <c r="B135" s="35" t="s">
        <v>39</v>
      </c>
      <c r="C135" s="35" t="s">
        <v>40</v>
      </c>
      <c r="D135" s="35" t="s">
        <v>38</v>
      </c>
      <c r="E135" s="35" t="s">
        <v>25</v>
      </c>
      <c r="F135" s="35" t="s">
        <v>58</v>
      </c>
      <c r="G135" s="35" t="s">
        <v>25</v>
      </c>
      <c r="H135" s="35" t="s">
        <v>35</v>
      </c>
      <c r="I135" s="45">
        <v>44562</v>
      </c>
      <c r="J135" s="46">
        <f ca="1">EFEITO!$J$135*EFEITO!$Y$135</f>
        <v>70159.534447504979</v>
      </c>
      <c r="K135" s="46">
        <f ca="1">EFEITO!$L$135*EFEITO!$Z$135</f>
        <v>0</v>
      </c>
      <c r="L135" s="46">
        <f>EFEITO!$N$135*EFEITO!$AA$135</f>
        <v>0</v>
      </c>
      <c r="M135" s="46">
        <f ca="1">$J$135-EFEITO!$K$135*EFEITO!$Y$135</f>
        <v>34440.585099526601</v>
      </c>
      <c r="N135" s="46">
        <f ca="1">$K$135-EFEITO!$M$135*EFEITO!$Z$135</f>
        <v>0</v>
      </c>
      <c r="O135" s="46">
        <f>$L$135-EFEITO!$O$135*EFEITO!$AA$135</f>
        <v>0</v>
      </c>
      <c r="P135" s="38"/>
      <c r="Q135" s="38"/>
      <c r="R135" s="38"/>
      <c r="S135" s="38"/>
      <c r="T135" s="38"/>
      <c r="U135" s="38"/>
      <c r="V135" s="38"/>
      <c r="W135" s="38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35" t="s">
        <v>21</v>
      </c>
      <c r="B136" s="35" t="s">
        <v>39</v>
      </c>
      <c r="C136" s="35" t="s">
        <v>40</v>
      </c>
      <c r="D136" s="35" t="s">
        <v>38</v>
      </c>
      <c r="E136" s="35" t="s">
        <v>25</v>
      </c>
      <c r="F136" s="35" t="s">
        <v>58</v>
      </c>
      <c r="G136" s="35" t="s">
        <v>25</v>
      </c>
      <c r="H136" s="35" t="s">
        <v>25</v>
      </c>
      <c r="I136" s="45">
        <v>44228</v>
      </c>
      <c r="J136" s="46">
        <f>EFEITO!$J$136*EFEITO!$Y$136</f>
        <v>0</v>
      </c>
      <c r="K136" s="46">
        <f ca="1">EFEITO!$L$136*EFEITO!$Z$136</f>
        <v>87383.525901347835</v>
      </c>
      <c r="L136" s="46">
        <f>EFEITO!$N$136*EFEITO!$AA$136</f>
        <v>0</v>
      </c>
      <c r="M136" s="46">
        <f>$J$136-EFEITO!$K$136*EFEITO!$Y$136</f>
        <v>0</v>
      </c>
      <c r="N136" s="46">
        <f ca="1">$K$136-EFEITO!$M$136*EFEITO!$Z$136</f>
        <v>0</v>
      </c>
      <c r="O136" s="46">
        <f>$L$136-EFEITO!$O$136*EFEITO!$AA$136</f>
        <v>0</v>
      </c>
      <c r="P136" s="38"/>
      <c r="Q136" s="38"/>
      <c r="R136" s="38"/>
      <c r="S136" s="38"/>
      <c r="T136" s="38"/>
      <c r="U136" s="38"/>
      <c r="V136" s="38"/>
      <c r="W136" s="38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35" t="s">
        <v>21</v>
      </c>
      <c r="B137" s="35" t="s">
        <v>39</v>
      </c>
      <c r="C137" s="35" t="s">
        <v>40</v>
      </c>
      <c r="D137" s="35" t="s">
        <v>38</v>
      </c>
      <c r="E137" s="35" t="s">
        <v>25</v>
      </c>
      <c r="F137" s="35" t="s">
        <v>58</v>
      </c>
      <c r="G137" s="35" t="s">
        <v>25</v>
      </c>
      <c r="H137" s="35" t="s">
        <v>25</v>
      </c>
      <c r="I137" s="45">
        <v>44256</v>
      </c>
      <c r="J137" s="46">
        <f>EFEITO!$J$137*EFEITO!$Y$137</f>
        <v>0</v>
      </c>
      <c r="K137" s="46">
        <f ca="1">EFEITO!$L$137*EFEITO!$Z$137</f>
        <v>84703.78820538742</v>
      </c>
      <c r="L137" s="46">
        <f>EFEITO!$N$137*EFEITO!$AA$137</f>
        <v>0</v>
      </c>
      <c r="M137" s="46">
        <f>$J$137-EFEITO!$K$137*EFEITO!$Y$137</f>
        <v>0</v>
      </c>
      <c r="N137" s="46">
        <f ca="1">$K$137-EFEITO!$M$137*EFEITO!$Z$137</f>
        <v>0</v>
      </c>
      <c r="O137" s="46">
        <f>$L$137-EFEITO!$O$137*EFEITO!$AA$137</f>
        <v>0</v>
      </c>
      <c r="P137" s="38"/>
      <c r="Q137" s="38"/>
      <c r="R137" s="38"/>
      <c r="S137" s="38"/>
      <c r="T137" s="38"/>
      <c r="U137" s="38"/>
      <c r="V137" s="38"/>
      <c r="W137" s="38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35" t="s">
        <v>21</v>
      </c>
      <c r="B138" s="35" t="s">
        <v>39</v>
      </c>
      <c r="C138" s="35" t="s">
        <v>40</v>
      </c>
      <c r="D138" s="35" t="s">
        <v>38</v>
      </c>
      <c r="E138" s="35" t="s">
        <v>25</v>
      </c>
      <c r="F138" s="35" t="s">
        <v>58</v>
      </c>
      <c r="G138" s="35" t="s">
        <v>25</v>
      </c>
      <c r="H138" s="35" t="s">
        <v>25</v>
      </c>
      <c r="I138" s="45">
        <v>44287</v>
      </c>
      <c r="J138" s="46">
        <f>EFEITO!$J$138*EFEITO!$Y$138</f>
        <v>0</v>
      </c>
      <c r="K138" s="46">
        <f ca="1">EFEITO!$L$138*EFEITO!$Z$138</f>
        <v>83370.491246822086</v>
      </c>
      <c r="L138" s="46">
        <f>EFEITO!$N$138*EFEITO!$AA$138</f>
        <v>0</v>
      </c>
      <c r="M138" s="46">
        <f>$J$138-EFEITO!$K$138*EFEITO!$Y$138</f>
        <v>0</v>
      </c>
      <c r="N138" s="46">
        <f ca="1">$K$138-EFEITO!$M$138*EFEITO!$Z$138</f>
        <v>0</v>
      </c>
      <c r="O138" s="46">
        <f>$L$138-EFEITO!$O$138*EFEITO!$AA$138</f>
        <v>0</v>
      </c>
      <c r="P138" s="38"/>
      <c r="Q138" s="38"/>
      <c r="R138" s="38"/>
      <c r="S138" s="38"/>
      <c r="T138" s="38"/>
      <c r="U138" s="38"/>
      <c r="V138" s="38"/>
      <c r="W138" s="38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35" t="s">
        <v>21</v>
      </c>
      <c r="B139" s="35" t="s">
        <v>39</v>
      </c>
      <c r="C139" s="35" t="s">
        <v>40</v>
      </c>
      <c r="D139" s="35" t="s">
        <v>38</v>
      </c>
      <c r="E139" s="35" t="s">
        <v>25</v>
      </c>
      <c r="F139" s="35" t="s">
        <v>58</v>
      </c>
      <c r="G139" s="35" t="s">
        <v>25</v>
      </c>
      <c r="H139" s="35" t="s">
        <v>25</v>
      </c>
      <c r="I139" s="45">
        <v>44317</v>
      </c>
      <c r="J139" s="46">
        <f>EFEITO!$J$139*EFEITO!$Y$139</f>
        <v>0</v>
      </c>
      <c r="K139" s="46">
        <f ca="1">EFEITO!$L$139*EFEITO!$Z$139</f>
        <v>83826.490755541279</v>
      </c>
      <c r="L139" s="46">
        <f>EFEITO!$N$139*EFEITO!$AA$139</f>
        <v>0</v>
      </c>
      <c r="M139" s="46">
        <f>$J$139-EFEITO!$K$139*EFEITO!$Y$139</f>
        <v>0</v>
      </c>
      <c r="N139" s="46">
        <f ca="1">$K$139-EFEITO!$M$139*EFEITO!$Z$139</f>
        <v>0</v>
      </c>
      <c r="O139" s="46">
        <f>$L$139-EFEITO!$O$139*EFEITO!$AA$139</f>
        <v>0</v>
      </c>
      <c r="P139" s="38"/>
      <c r="Q139" s="38"/>
      <c r="R139" s="38"/>
      <c r="S139" s="38"/>
      <c r="T139" s="38"/>
      <c r="U139" s="38"/>
      <c r="V139" s="38"/>
      <c r="W139" s="38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35" t="s">
        <v>21</v>
      </c>
      <c r="B140" s="35" t="s">
        <v>39</v>
      </c>
      <c r="C140" s="35" t="s">
        <v>40</v>
      </c>
      <c r="D140" s="35" t="s">
        <v>38</v>
      </c>
      <c r="E140" s="35" t="s">
        <v>25</v>
      </c>
      <c r="F140" s="35" t="s">
        <v>58</v>
      </c>
      <c r="G140" s="35" t="s">
        <v>25</v>
      </c>
      <c r="H140" s="35" t="s">
        <v>25</v>
      </c>
      <c r="I140" s="45">
        <v>44348</v>
      </c>
      <c r="J140" s="46">
        <f>EFEITO!$J$140*EFEITO!$Y$140</f>
        <v>0</v>
      </c>
      <c r="K140" s="46">
        <f ca="1">EFEITO!$L$140*EFEITO!$Z$140</f>
        <v>84397.896625349138</v>
      </c>
      <c r="L140" s="46">
        <f>EFEITO!$N$140*EFEITO!$AA$140</f>
        <v>0</v>
      </c>
      <c r="M140" s="46">
        <f>$J$140-EFEITO!$K$140*EFEITO!$Y$140</f>
        <v>0</v>
      </c>
      <c r="N140" s="46">
        <f ca="1">$K$140-EFEITO!$M$140*EFEITO!$Z$140</f>
        <v>0</v>
      </c>
      <c r="O140" s="46">
        <f>$L$140-EFEITO!$O$140*EFEITO!$AA$140</f>
        <v>0</v>
      </c>
      <c r="P140" s="38"/>
      <c r="Q140" s="38"/>
      <c r="R140" s="38"/>
      <c r="S140" s="38"/>
      <c r="T140" s="38"/>
      <c r="U140" s="38"/>
      <c r="V140" s="38"/>
      <c r="W140" s="38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35" t="s">
        <v>21</v>
      </c>
      <c r="B141" s="35" t="s">
        <v>39</v>
      </c>
      <c r="C141" s="35" t="s">
        <v>40</v>
      </c>
      <c r="D141" s="35" t="s">
        <v>38</v>
      </c>
      <c r="E141" s="35" t="s">
        <v>25</v>
      </c>
      <c r="F141" s="35" t="s">
        <v>58</v>
      </c>
      <c r="G141" s="35" t="s">
        <v>25</v>
      </c>
      <c r="H141" s="35" t="s">
        <v>25</v>
      </c>
      <c r="I141" s="45">
        <v>44378</v>
      </c>
      <c r="J141" s="46">
        <f>EFEITO!$J$141*EFEITO!$Y$141</f>
        <v>0</v>
      </c>
      <c r="K141" s="46">
        <f ca="1">EFEITO!$L$141*EFEITO!$Z$141</f>
        <v>73368.722788900268</v>
      </c>
      <c r="L141" s="46">
        <f>EFEITO!$N$141*EFEITO!$AA$141</f>
        <v>0</v>
      </c>
      <c r="M141" s="46">
        <f>$J$141-EFEITO!$K$141*EFEITO!$Y$141</f>
        <v>0</v>
      </c>
      <c r="N141" s="46">
        <f ca="1">$K$141-EFEITO!$M$141*EFEITO!$Z$141</f>
        <v>0</v>
      </c>
      <c r="O141" s="46">
        <f>$L$141-EFEITO!$O$141*EFEITO!$AA$141</f>
        <v>0</v>
      </c>
      <c r="P141" s="38"/>
      <c r="Q141" s="38"/>
      <c r="R141" s="38"/>
      <c r="S141" s="38"/>
      <c r="T141" s="38"/>
      <c r="U141" s="38"/>
      <c r="V141" s="38"/>
      <c r="W141" s="38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35" t="s">
        <v>21</v>
      </c>
      <c r="B142" s="35" t="s">
        <v>39</v>
      </c>
      <c r="C142" s="35" t="s">
        <v>40</v>
      </c>
      <c r="D142" s="35" t="s">
        <v>38</v>
      </c>
      <c r="E142" s="35" t="s">
        <v>25</v>
      </c>
      <c r="F142" s="35" t="s">
        <v>58</v>
      </c>
      <c r="G142" s="35" t="s">
        <v>25</v>
      </c>
      <c r="H142" s="35" t="s">
        <v>25</v>
      </c>
      <c r="I142" s="45">
        <v>44409</v>
      </c>
      <c r="J142" s="46">
        <f>EFEITO!$J$142*EFEITO!$Y$142</f>
        <v>0</v>
      </c>
      <c r="K142" s="46">
        <f ca="1">EFEITO!$L$142*EFEITO!$Z$142</f>
        <v>80530.538852853337</v>
      </c>
      <c r="L142" s="46">
        <f>EFEITO!$N$142*EFEITO!$AA$142</f>
        <v>0</v>
      </c>
      <c r="M142" s="46">
        <f>$J$142-EFEITO!$K$142*EFEITO!$Y$142</f>
        <v>0</v>
      </c>
      <c r="N142" s="46">
        <f ca="1">$K$142-EFEITO!$M$142*EFEITO!$Z$142</f>
        <v>0</v>
      </c>
      <c r="O142" s="46">
        <f>$L$142-EFEITO!$O$142*EFEITO!$AA$142</f>
        <v>0</v>
      </c>
      <c r="P142" s="38"/>
      <c r="Q142" s="38"/>
      <c r="R142" s="38"/>
      <c r="S142" s="38"/>
      <c r="T142" s="38"/>
      <c r="U142" s="38"/>
      <c r="V142" s="38"/>
      <c r="W142" s="38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35" t="s">
        <v>21</v>
      </c>
      <c r="B143" s="35" t="s">
        <v>39</v>
      </c>
      <c r="C143" s="35" t="s">
        <v>40</v>
      </c>
      <c r="D143" s="35" t="s">
        <v>38</v>
      </c>
      <c r="E143" s="35" t="s">
        <v>25</v>
      </c>
      <c r="F143" s="35" t="s">
        <v>58</v>
      </c>
      <c r="G143" s="35" t="s">
        <v>25</v>
      </c>
      <c r="H143" s="35" t="s">
        <v>25</v>
      </c>
      <c r="I143" s="45">
        <v>44440</v>
      </c>
      <c r="J143" s="46">
        <f>EFEITO!$J$143*EFEITO!$Y$143</f>
        <v>0</v>
      </c>
      <c r="K143" s="46">
        <f ca="1">EFEITO!$L$143*EFEITO!$Z$143</f>
        <v>76662.832571070394</v>
      </c>
      <c r="L143" s="46">
        <f>EFEITO!$N$143*EFEITO!$AA$143</f>
        <v>0</v>
      </c>
      <c r="M143" s="46">
        <f>$J$143-EFEITO!$K$143*EFEITO!$Y$143</f>
        <v>0</v>
      </c>
      <c r="N143" s="46">
        <f ca="1">$K$143-EFEITO!$M$143*EFEITO!$Z$143</f>
        <v>0</v>
      </c>
      <c r="O143" s="46">
        <f>$L$143-EFEITO!$O$143*EFEITO!$AA$143</f>
        <v>0</v>
      </c>
      <c r="P143" s="38"/>
      <c r="Q143" s="38"/>
      <c r="R143" s="38"/>
      <c r="S143" s="38"/>
      <c r="T143" s="38"/>
      <c r="U143" s="38"/>
      <c r="V143" s="38"/>
      <c r="W143" s="38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35" t="s">
        <v>21</v>
      </c>
      <c r="B144" s="35" t="s">
        <v>39</v>
      </c>
      <c r="C144" s="35" t="s">
        <v>40</v>
      </c>
      <c r="D144" s="35" t="s">
        <v>38</v>
      </c>
      <c r="E144" s="35" t="s">
        <v>25</v>
      </c>
      <c r="F144" s="35" t="s">
        <v>58</v>
      </c>
      <c r="G144" s="35" t="s">
        <v>25</v>
      </c>
      <c r="H144" s="35" t="s">
        <v>25</v>
      </c>
      <c r="I144" s="45">
        <v>44470</v>
      </c>
      <c r="J144" s="46">
        <f>EFEITO!$J$144*EFEITO!$Y$144</f>
        <v>0</v>
      </c>
      <c r="K144" s="46">
        <f ca="1">EFEITO!$L$144*EFEITO!$Z$144</f>
        <v>78906.883871048543</v>
      </c>
      <c r="L144" s="46">
        <f>EFEITO!$N$144*EFEITO!$AA$144</f>
        <v>0</v>
      </c>
      <c r="M144" s="46">
        <f>$J$144-EFEITO!$K$144*EFEITO!$Y$144</f>
        <v>0</v>
      </c>
      <c r="N144" s="46">
        <f ca="1">$K$144-EFEITO!$M$144*EFEITO!$Z$144</f>
        <v>0</v>
      </c>
      <c r="O144" s="46">
        <f>$L$144-EFEITO!$O$144*EFEITO!$AA$144</f>
        <v>0</v>
      </c>
      <c r="P144" s="38"/>
      <c r="Q144" s="38"/>
      <c r="R144" s="38"/>
      <c r="S144" s="38"/>
      <c r="T144" s="38"/>
      <c r="U144" s="38"/>
      <c r="V144" s="38"/>
      <c r="W144" s="38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35" t="s">
        <v>21</v>
      </c>
      <c r="B145" s="35" t="s">
        <v>39</v>
      </c>
      <c r="C145" s="35" t="s">
        <v>40</v>
      </c>
      <c r="D145" s="35" t="s">
        <v>38</v>
      </c>
      <c r="E145" s="35" t="s">
        <v>25</v>
      </c>
      <c r="F145" s="35" t="s">
        <v>58</v>
      </c>
      <c r="G145" s="35" t="s">
        <v>25</v>
      </c>
      <c r="H145" s="35" t="s">
        <v>25</v>
      </c>
      <c r="I145" s="45">
        <v>44501</v>
      </c>
      <c r="J145" s="46">
        <f>EFEITO!$J$145*EFEITO!$Y$145</f>
        <v>0</v>
      </c>
      <c r="K145" s="46">
        <f ca="1">EFEITO!$L$145*EFEITO!$Z$145</f>
        <v>88848.509583415973</v>
      </c>
      <c r="L145" s="46">
        <f>EFEITO!$N$145*EFEITO!$AA$145</f>
        <v>0</v>
      </c>
      <c r="M145" s="46">
        <f>$J$145-EFEITO!$K$145*EFEITO!$Y$145</f>
        <v>0</v>
      </c>
      <c r="N145" s="46">
        <f ca="1">$K$145-EFEITO!$M$145*EFEITO!$Z$145</f>
        <v>0</v>
      </c>
      <c r="O145" s="46">
        <f>$L$145-EFEITO!$O$145*EFEITO!$AA$145</f>
        <v>0</v>
      </c>
      <c r="P145" s="38"/>
      <c r="Q145" s="38"/>
      <c r="R145" s="38"/>
      <c r="S145" s="38"/>
      <c r="T145" s="38"/>
      <c r="U145" s="38"/>
      <c r="V145" s="38"/>
      <c r="W145" s="38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35" t="s">
        <v>21</v>
      </c>
      <c r="B146" s="35" t="s">
        <v>39</v>
      </c>
      <c r="C146" s="35" t="s">
        <v>40</v>
      </c>
      <c r="D146" s="35" t="s">
        <v>38</v>
      </c>
      <c r="E146" s="35" t="s">
        <v>25</v>
      </c>
      <c r="F146" s="35" t="s">
        <v>58</v>
      </c>
      <c r="G146" s="35" t="s">
        <v>25</v>
      </c>
      <c r="H146" s="35" t="s">
        <v>25</v>
      </c>
      <c r="I146" s="45">
        <v>44531</v>
      </c>
      <c r="J146" s="46">
        <f>EFEITO!$J$146*EFEITO!$Y$146</f>
        <v>0</v>
      </c>
      <c r="K146" s="46">
        <f ca="1">EFEITO!$L$146*EFEITO!$Z$146</f>
        <v>86575.63158668617</v>
      </c>
      <c r="L146" s="46">
        <f>EFEITO!$N$146*EFEITO!$AA$146</f>
        <v>0</v>
      </c>
      <c r="M146" s="46">
        <f>$J$146-EFEITO!$K$146*EFEITO!$Y$146</f>
        <v>0</v>
      </c>
      <c r="N146" s="46">
        <f ca="1">$K$146-EFEITO!$M$146*EFEITO!$Z$146</f>
        <v>0</v>
      </c>
      <c r="O146" s="46">
        <f>$L$146-EFEITO!$O$146*EFEITO!$AA$146</f>
        <v>0</v>
      </c>
      <c r="P146" s="38"/>
      <c r="Q146" s="38"/>
      <c r="R146" s="38"/>
      <c r="S146" s="38"/>
      <c r="T146" s="38"/>
      <c r="U146" s="38"/>
      <c r="V146" s="38"/>
      <c r="W146" s="38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35" t="s">
        <v>55</v>
      </c>
      <c r="B147" s="35" t="s">
        <v>39</v>
      </c>
      <c r="C147" s="35" t="s">
        <v>40</v>
      </c>
      <c r="D147" s="35" t="s">
        <v>38</v>
      </c>
      <c r="E147" s="35" t="s">
        <v>25</v>
      </c>
      <c r="F147" s="35" t="s">
        <v>58</v>
      </c>
      <c r="G147" s="35" t="s">
        <v>25</v>
      </c>
      <c r="H147" s="35" t="s">
        <v>25</v>
      </c>
      <c r="I147" s="45">
        <v>44562</v>
      </c>
      <c r="J147" s="46">
        <f>EFEITO!$J$147*EFEITO!$Y$147</f>
        <v>0</v>
      </c>
      <c r="K147" s="46">
        <f ca="1">EFEITO!$L$147*EFEITO!$Z$147</f>
        <v>86575.63158668617</v>
      </c>
      <c r="L147" s="46">
        <f>EFEITO!$N$147*EFEITO!$AA$147</f>
        <v>0</v>
      </c>
      <c r="M147" s="46">
        <f>$J$147-EFEITO!$K$147*EFEITO!$Y$147</f>
        <v>0</v>
      </c>
      <c r="N147" s="46">
        <f ca="1">$K$147-EFEITO!$M$147*EFEITO!$Z$147</f>
        <v>0</v>
      </c>
      <c r="O147" s="46">
        <f>$L$147-EFEITO!$O$147*EFEITO!$AA$147</f>
        <v>0</v>
      </c>
      <c r="P147" s="38"/>
      <c r="Q147" s="38"/>
      <c r="R147" s="38"/>
      <c r="S147" s="38"/>
      <c r="T147" s="38"/>
      <c r="U147" s="38"/>
      <c r="V147" s="38"/>
      <c r="W147" s="38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35" t="s">
        <v>21</v>
      </c>
      <c r="B148" s="35" t="s">
        <v>39</v>
      </c>
      <c r="C148" s="35" t="s">
        <v>40</v>
      </c>
      <c r="D148" s="35" t="s">
        <v>38</v>
      </c>
      <c r="E148" s="35" t="s">
        <v>25</v>
      </c>
      <c r="F148" s="35" t="s">
        <v>58</v>
      </c>
      <c r="G148" s="35" t="s">
        <v>25</v>
      </c>
      <c r="H148" s="35" t="s">
        <v>34</v>
      </c>
      <c r="I148" s="45">
        <v>44228</v>
      </c>
      <c r="J148" s="46">
        <f ca="1">EFEITO!$J$148*EFEITO!$Y$148</f>
        <v>145794.49978745269</v>
      </c>
      <c r="K148" s="46">
        <f ca="1">EFEITO!$L$148*EFEITO!$Z$148</f>
        <v>0</v>
      </c>
      <c r="L148" s="46">
        <f>EFEITO!$N$148*EFEITO!$AA$148</f>
        <v>0</v>
      </c>
      <c r="M148" s="46">
        <f ca="1">$J$148-EFEITO!$K$148*EFEITO!$Y$148</f>
        <v>72378.505773757599</v>
      </c>
      <c r="N148" s="46">
        <f ca="1">$K$148-EFEITO!$M$148*EFEITO!$Z$148</f>
        <v>0</v>
      </c>
      <c r="O148" s="46">
        <f>$L$148-EFEITO!$O$148*EFEITO!$AA$148</f>
        <v>0</v>
      </c>
      <c r="P148" s="38"/>
      <c r="Q148" s="38"/>
      <c r="R148" s="38"/>
      <c r="S148" s="38"/>
      <c r="T148" s="38"/>
      <c r="U148" s="38"/>
      <c r="V148" s="38"/>
      <c r="W148" s="38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35" t="s">
        <v>21</v>
      </c>
      <c r="B149" s="35" t="s">
        <v>39</v>
      </c>
      <c r="C149" s="35" t="s">
        <v>40</v>
      </c>
      <c r="D149" s="35" t="s">
        <v>38</v>
      </c>
      <c r="E149" s="35" t="s">
        <v>25</v>
      </c>
      <c r="F149" s="35" t="s">
        <v>58</v>
      </c>
      <c r="G149" s="35" t="s">
        <v>25</v>
      </c>
      <c r="H149" s="35" t="s">
        <v>34</v>
      </c>
      <c r="I149" s="45">
        <v>44256</v>
      </c>
      <c r="J149" s="46">
        <f ca="1">EFEITO!$J$149*EFEITO!$Y$149</f>
        <v>143877.10314012392</v>
      </c>
      <c r="K149" s="46">
        <f ca="1">EFEITO!$L$149*EFEITO!$Z$149</f>
        <v>0</v>
      </c>
      <c r="L149" s="46">
        <f>EFEITO!$N$149*EFEITO!$AA$149</f>
        <v>0</v>
      </c>
      <c r="M149" s="46">
        <f ca="1">$J$149-EFEITO!$K$149*EFEITO!$Y$149</f>
        <v>71279.512427731403</v>
      </c>
      <c r="N149" s="46">
        <f ca="1">$K$149-EFEITO!$M$149*EFEITO!$Z$149</f>
        <v>0</v>
      </c>
      <c r="O149" s="46">
        <f>$L$149-EFEITO!$O$149*EFEITO!$AA$149</f>
        <v>0</v>
      </c>
      <c r="P149" s="38"/>
      <c r="Q149" s="38"/>
      <c r="R149" s="38"/>
      <c r="S149" s="38"/>
      <c r="T149" s="38"/>
      <c r="U149" s="38"/>
      <c r="V149" s="38"/>
      <c r="W149" s="38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35" t="s">
        <v>21</v>
      </c>
      <c r="B150" s="35" t="s">
        <v>39</v>
      </c>
      <c r="C150" s="35" t="s">
        <v>40</v>
      </c>
      <c r="D150" s="35" t="s">
        <v>38</v>
      </c>
      <c r="E150" s="35" t="s">
        <v>25</v>
      </c>
      <c r="F150" s="35" t="s">
        <v>58</v>
      </c>
      <c r="G150" s="35" t="s">
        <v>25</v>
      </c>
      <c r="H150" s="35" t="s">
        <v>34</v>
      </c>
      <c r="I150" s="45">
        <v>44287</v>
      </c>
      <c r="J150" s="46">
        <f ca="1">EFEITO!$J$150*EFEITO!$Y$150</f>
        <v>142357.65674035394</v>
      </c>
      <c r="K150" s="46">
        <f ca="1">EFEITO!$L$150*EFEITO!$Z$150</f>
        <v>0</v>
      </c>
      <c r="L150" s="46">
        <f>EFEITO!$N$150*EFEITO!$AA$150</f>
        <v>0</v>
      </c>
      <c r="M150" s="46">
        <f ca="1">$J$150-EFEITO!$K$150*EFEITO!$Y$150</f>
        <v>70624.207210246255</v>
      </c>
      <c r="N150" s="46">
        <f ca="1">$K$150-EFEITO!$M$150*EFEITO!$Z$150</f>
        <v>0</v>
      </c>
      <c r="O150" s="46">
        <f>$L$150-EFEITO!$O$150*EFEITO!$AA$150</f>
        <v>0</v>
      </c>
      <c r="P150" s="38"/>
      <c r="Q150" s="38"/>
      <c r="R150" s="38"/>
      <c r="S150" s="38"/>
      <c r="T150" s="38"/>
      <c r="U150" s="38"/>
      <c r="V150" s="38"/>
      <c r="W150" s="38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35" t="s">
        <v>21</v>
      </c>
      <c r="B151" s="35" t="s">
        <v>39</v>
      </c>
      <c r="C151" s="35" t="s">
        <v>40</v>
      </c>
      <c r="D151" s="35" t="s">
        <v>38</v>
      </c>
      <c r="E151" s="35" t="s">
        <v>25</v>
      </c>
      <c r="F151" s="35" t="s">
        <v>58</v>
      </c>
      <c r="G151" s="35" t="s">
        <v>25</v>
      </c>
      <c r="H151" s="35" t="s">
        <v>34</v>
      </c>
      <c r="I151" s="45">
        <v>44317</v>
      </c>
      <c r="J151" s="46">
        <f ca="1">EFEITO!$J$151*EFEITO!$Y$151</f>
        <v>142321.47944512131</v>
      </c>
      <c r="K151" s="46">
        <f ca="1">EFEITO!$L$151*EFEITO!$Z$151</f>
        <v>0</v>
      </c>
      <c r="L151" s="46">
        <f>EFEITO!$N$151*EFEITO!$AA$151</f>
        <v>0</v>
      </c>
      <c r="M151" s="46">
        <f ca="1">$J$151-EFEITO!$K$151*EFEITO!$Y$151</f>
        <v>69859.108744784622</v>
      </c>
      <c r="N151" s="46">
        <f ca="1">$K$151-EFEITO!$M$151*EFEITO!$Z$151</f>
        <v>0</v>
      </c>
      <c r="O151" s="46">
        <f>$L$151-EFEITO!$O$151*EFEITO!$AA$151</f>
        <v>0</v>
      </c>
      <c r="P151" s="38"/>
      <c r="Q151" s="38"/>
      <c r="R151" s="38"/>
      <c r="S151" s="38"/>
      <c r="T151" s="38"/>
      <c r="U151" s="38"/>
      <c r="V151" s="38"/>
      <c r="W151" s="38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35" t="s">
        <v>21</v>
      </c>
      <c r="B152" s="35" t="s">
        <v>39</v>
      </c>
      <c r="C152" s="35" t="s">
        <v>40</v>
      </c>
      <c r="D152" s="35" t="s">
        <v>38</v>
      </c>
      <c r="E152" s="35" t="s">
        <v>25</v>
      </c>
      <c r="F152" s="35" t="s">
        <v>58</v>
      </c>
      <c r="G152" s="35" t="s">
        <v>25</v>
      </c>
      <c r="H152" s="35" t="s">
        <v>34</v>
      </c>
      <c r="I152" s="45">
        <v>44348</v>
      </c>
      <c r="J152" s="46">
        <f ca="1">EFEITO!$J$152*EFEITO!$Y$152</f>
        <v>142321.47944512131</v>
      </c>
      <c r="K152" s="46">
        <f ca="1">EFEITO!$L$152*EFEITO!$Z$152</f>
        <v>0</v>
      </c>
      <c r="L152" s="46">
        <f>EFEITO!$N$152*EFEITO!$AA$152</f>
        <v>0</v>
      </c>
      <c r="M152" s="46">
        <f ca="1">$J$152-EFEITO!$K$152*EFEITO!$Y$152</f>
        <v>70539.0980021367</v>
      </c>
      <c r="N152" s="46">
        <f ca="1">$K$152-EFEITO!$M$152*EFEITO!$Z$152</f>
        <v>0</v>
      </c>
      <c r="O152" s="46">
        <f>$L$152-EFEITO!$O$152*EFEITO!$AA$152</f>
        <v>0</v>
      </c>
      <c r="P152" s="38"/>
      <c r="Q152" s="38"/>
      <c r="R152" s="38"/>
      <c r="S152" s="38"/>
      <c r="T152" s="38"/>
      <c r="U152" s="38"/>
      <c r="V152" s="38"/>
      <c r="W152" s="38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35" t="s">
        <v>21</v>
      </c>
      <c r="B153" s="35" t="s">
        <v>39</v>
      </c>
      <c r="C153" s="35" t="s">
        <v>40</v>
      </c>
      <c r="D153" s="35" t="s">
        <v>38</v>
      </c>
      <c r="E153" s="35" t="s">
        <v>25</v>
      </c>
      <c r="F153" s="35" t="s">
        <v>58</v>
      </c>
      <c r="G153" s="35" t="s">
        <v>25</v>
      </c>
      <c r="H153" s="35" t="s">
        <v>34</v>
      </c>
      <c r="I153" s="45">
        <v>44378</v>
      </c>
      <c r="J153" s="46">
        <f ca="1">EFEITO!$J$153*EFEITO!$Y$153</f>
        <v>142321.47944512131</v>
      </c>
      <c r="K153" s="46">
        <f ca="1">EFEITO!$L$153*EFEITO!$Z$153</f>
        <v>0</v>
      </c>
      <c r="L153" s="46">
        <f>EFEITO!$N$153*EFEITO!$AA$153</f>
        <v>0</v>
      </c>
      <c r="M153" s="46">
        <f ca="1">$J$153-EFEITO!$K$153*EFEITO!$Y$153</f>
        <v>70700.580222359509</v>
      </c>
      <c r="N153" s="46">
        <f ca="1">$K$153-EFEITO!$M$153*EFEITO!$Z$153</f>
        <v>0</v>
      </c>
      <c r="O153" s="46">
        <f>$L$153-EFEITO!$O$153*EFEITO!$AA$153</f>
        <v>0</v>
      </c>
      <c r="P153" s="38"/>
      <c r="Q153" s="38"/>
      <c r="R153" s="38"/>
      <c r="S153" s="38"/>
      <c r="T153" s="38"/>
      <c r="U153" s="38"/>
      <c r="V153" s="38"/>
      <c r="W153" s="38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35" t="s">
        <v>21</v>
      </c>
      <c r="B154" s="35" t="s">
        <v>39</v>
      </c>
      <c r="C154" s="35" t="s">
        <v>40</v>
      </c>
      <c r="D154" s="35" t="s">
        <v>38</v>
      </c>
      <c r="E154" s="35" t="s">
        <v>25</v>
      </c>
      <c r="F154" s="35" t="s">
        <v>58</v>
      </c>
      <c r="G154" s="35" t="s">
        <v>25</v>
      </c>
      <c r="H154" s="35" t="s">
        <v>34</v>
      </c>
      <c r="I154" s="45">
        <v>44409</v>
      </c>
      <c r="J154" s="46">
        <f ca="1">EFEITO!$J$154*EFEITO!$Y$154</f>
        <v>142321.47944512131</v>
      </c>
      <c r="K154" s="46">
        <f ca="1">EFEITO!$L$154*EFEITO!$Z$154</f>
        <v>0</v>
      </c>
      <c r="L154" s="46">
        <f>EFEITO!$N$154*EFEITO!$AA$154</f>
        <v>0</v>
      </c>
      <c r="M154" s="46">
        <f ca="1">$J$154-EFEITO!$K$154*EFEITO!$Y$154</f>
        <v>70459.548834415633</v>
      </c>
      <c r="N154" s="46">
        <f ca="1">$K$154-EFEITO!$M$154*EFEITO!$Z$154</f>
        <v>0</v>
      </c>
      <c r="O154" s="46">
        <f>$L$154-EFEITO!$O$154*EFEITO!$AA$154</f>
        <v>0</v>
      </c>
      <c r="P154" s="38"/>
      <c r="Q154" s="38"/>
      <c r="R154" s="38"/>
      <c r="S154" s="38"/>
      <c r="T154" s="38"/>
      <c r="U154" s="38"/>
      <c r="V154" s="38"/>
      <c r="W154" s="38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35" t="s">
        <v>21</v>
      </c>
      <c r="B155" s="35" t="s">
        <v>39</v>
      </c>
      <c r="C155" s="35" t="s">
        <v>40</v>
      </c>
      <c r="D155" s="35" t="s">
        <v>38</v>
      </c>
      <c r="E155" s="35" t="s">
        <v>25</v>
      </c>
      <c r="F155" s="35" t="s">
        <v>58</v>
      </c>
      <c r="G155" s="35" t="s">
        <v>25</v>
      </c>
      <c r="H155" s="35" t="s">
        <v>34</v>
      </c>
      <c r="I155" s="45">
        <v>44440</v>
      </c>
      <c r="J155" s="46">
        <f ca="1">EFEITO!$J$155*EFEITO!$Y$155</f>
        <v>127018.48356172367</v>
      </c>
      <c r="K155" s="46">
        <f ca="1">EFEITO!$L$155*EFEITO!$Z$155</f>
        <v>0</v>
      </c>
      <c r="L155" s="46">
        <f>EFEITO!$N$155*EFEITO!$AA$155</f>
        <v>0</v>
      </c>
      <c r="M155" s="46">
        <f ca="1">$J$155-EFEITO!$K$155*EFEITO!$Y$155</f>
        <v>62810.923372490695</v>
      </c>
      <c r="N155" s="46">
        <f ca="1">$K$155-EFEITO!$M$155*EFEITO!$Z$155</f>
        <v>0</v>
      </c>
      <c r="O155" s="46">
        <f>$L$155-EFEITO!$O$155*EFEITO!$AA$155</f>
        <v>0</v>
      </c>
      <c r="P155" s="38"/>
      <c r="Q155" s="38"/>
      <c r="R155" s="38"/>
      <c r="S155" s="38"/>
      <c r="T155" s="38"/>
      <c r="U155" s="38"/>
      <c r="V155" s="38"/>
      <c r="W155" s="38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35" t="s">
        <v>21</v>
      </c>
      <c r="B156" s="35" t="s">
        <v>39</v>
      </c>
      <c r="C156" s="35" t="s">
        <v>40</v>
      </c>
      <c r="D156" s="35" t="s">
        <v>38</v>
      </c>
      <c r="E156" s="35" t="s">
        <v>25</v>
      </c>
      <c r="F156" s="35" t="s">
        <v>58</v>
      </c>
      <c r="G156" s="35" t="s">
        <v>25</v>
      </c>
      <c r="H156" s="35" t="s">
        <v>34</v>
      </c>
      <c r="I156" s="45">
        <v>44470</v>
      </c>
      <c r="J156" s="46">
        <f ca="1">EFEITO!$J$156*EFEITO!$Y$156</f>
        <v>133132.44645603621</v>
      </c>
      <c r="K156" s="46">
        <f ca="1">EFEITO!$L$156*EFEITO!$Z$156</f>
        <v>0</v>
      </c>
      <c r="L156" s="46">
        <f>EFEITO!$N$156*EFEITO!$AA$156</f>
        <v>0</v>
      </c>
      <c r="M156" s="46">
        <f ca="1">$J$156-EFEITO!$K$156*EFEITO!$Y$156</f>
        <v>65128.648420590107</v>
      </c>
      <c r="N156" s="46">
        <f ca="1">$K$156-EFEITO!$M$156*EFEITO!$Z$156</f>
        <v>0</v>
      </c>
      <c r="O156" s="46">
        <f>$L$156-EFEITO!$O$156*EFEITO!$AA$156</f>
        <v>0</v>
      </c>
      <c r="P156" s="38"/>
      <c r="Q156" s="38"/>
      <c r="R156" s="38"/>
      <c r="S156" s="38"/>
      <c r="T156" s="38"/>
      <c r="U156" s="38"/>
      <c r="V156" s="38"/>
      <c r="W156" s="38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35" t="s">
        <v>21</v>
      </c>
      <c r="B157" s="35" t="s">
        <v>39</v>
      </c>
      <c r="C157" s="35" t="s">
        <v>40</v>
      </c>
      <c r="D157" s="35" t="s">
        <v>38</v>
      </c>
      <c r="E157" s="35" t="s">
        <v>25</v>
      </c>
      <c r="F157" s="35" t="s">
        <v>58</v>
      </c>
      <c r="G157" s="35" t="s">
        <v>25</v>
      </c>
      <c r="H157" s="35" t="s">
        <v>34</v>
      </c>
      <c r="I157" s="45">
        <v>44501</v>
      </c>
      <c r="J157" s="46">
        <f ca="1">EFEITO!$J$157*EFEITO!$Y$157</f>
        <v>133783.63777022334</v>
      </c>
      <c r="K157" s="46">
        <f ca="1">EFEITO!$L$157*EFEITO!$Z$157</f>
        <v>0</v>
      </c>
      <c r="L157" s="46">
        <f>EFEITO!$N$157*EFEITO!$AA$157</f>
        <v>0</v>
      </c>
      <c r="M157" s="46">
        <f ca="1">$J$157-EFEITO!$K$157*EFEITO!$Y$157</f>
        <v>66109.014698935905</v>
      </c>
      <c r="N157" s="46">
        <f ca="1">$K$157-EFEITO!$M$157*EFEITO!$Z$157</f>
        <v>0</v>
      </c>
      <c r="O157" s="46">
        <f>$L$157-EFEITO!$O$157*EFEITO!$AA$157</f>
        <v>0</v>
      </c>
      <c r="P157" s="38"/>
      <c r="Q157" s="38"/>
      <c r="R157" s="38"/>
      <c r="S157" s="38"/>
      <c r="T157" s="38"/>
      <c r="U157" s="38"/>
      <c r="V157" s="38"/>
      <c r="W157" s="38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35" t="s">
        <v>21</v>
      </c>
      <c r="B158" s="35" t="s">
        <v>39</v>
      </c>
      <c r="C158" s="35" t="s">
        <v>40</v>
      </c>
      <c r="D158" s="35" t="s">
        <v>38</v>
      </c>
      <c r="E158" s="35" t="s">
        <v>25</v>
      </c>
      <c r="F158" s="35" t="s">
        <v>58</v>
      </c>
      <c r="G158" s="35" t="s">
        <v>25</v>
      </c>
      <c r="H158" s="35" t="s">
        <v>34</v>
      </c>
      <c r="I158" s="45">
        <v>44531</v>
      </c>
      <c r="J158" s="46">
        <f ca="1">EFEITO!$J$158*EFEITO!$Y$158</f>
        <v>134796.60203673664</v>
      </c>
      <c r="K158" s="46">
        <f ca="1">EFEITO!$L$158*EFEITO!$Z$158</f>
        <v>0</v>
      </c>
      <c r="L158" s="46">
        <f>EFEITO!$N$158*EFEITO!$AA$158</f>
        <v>0</v>
      </c>
      <c r="M158" s="46">
        <f ca="1">$J$158-EFEITO!$K$158*EFEITO!$Y$158</f>
        <v>66172.127771839194</v>
      </c>
      <c r="N158" s="46">
        <f ca="1">$K$158-EFEITO!$M$158*EFEITO!$Z$158</f>
        <v>0</v>
      </c>
      <c r="O158" s="46">
        <f>$L$158-EFEITO!$O$158*EFEITO!$AA$158</f>
        <v>0</v>
      </c>
      <c r="P158" s="38"/>
      <c r="Q158" s="38"/>
      <c r="R158" s="38"/>
      <c r="S158" s="38"/>
      <c r="T158" s="38"/>
      <c r="U158" s="38"/>
      <c r="V158" s="38"/>
      <c r="W158" s="38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35" t="s">
        <v>55</v>
      </c>
      <c r="B159" s="35" t="s">
        <v>39</v>
      </c>
      <c r="C159" s="35" t="s">
        <v>40</v>
      </c>
      <c r="D159" s="35" t="s">
        <v>38</v>
      </c>
      <c r="E159" s="35" t="s">
        <v>25</v>
      </c>
      <c r="F159" s="35" t="s">
        <v>58</v>
      </c>
      <c r="G159" s="35" t="s">
        <v>25</v>
      </c>
      <c r="H159" s="35" t="s">
        <v>34</v>
      </c>
      <c r="I159" s="45">
        <v>44562</v>
      </c>
      <c r="J159" s="46">
        <f ca="1">EFEITO!$J$159*EFEITO!$Y$159</f>
        <v>134796.60203673664</v>
      </c>
      <c r="K159" s="46">
        <f ca="1">EFEITO!$L$159*EFEITO!$Z$159</f>
        <v>0</v>
      </c>
      <c r="L159" s="46">
        <f>EFEITO!$N$159*EFEITO!$AA$159</f>
        <v>0</v>
      </c>
      <c r="M159" s="46">
        <f ca="1">$J$159-EFEITO!$K$159*EFEITO!$Y$159</f>
        <v>66172.127771839194</v>
      </c>
      <c r="N159" s="46">
        <f ca="1">$K$159-EFEITO!$M$159*EFEITO!$Z$159</f>
        <v>0</v>
      </c>
      <c r="O159" s="46">
        <f>$L$159-EFEITO!$O$159*EFEITO!$AA$159</f>
        <v>0</v>
      </c>
      <c r="P159" s="38"/>
      <c r="Q159" s="38"/>
      <c r="R159" s="38"/>
      <c r="S159" s="38"/>
      <c r="T159" s="38"/>
      <c r="U159" s="38"/>
      <c r="V159" s="38"/>
      <c r="W159" s="38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35" t="s">
        <v>21</v>
      </c>
      <c r="B160" s="35" t="s">
        <v>39</v>
      </c>
      <c r="C160" s="35" t="s">
        <v>40</v>
      </c>
      <c r="D160" s="35" t="s">
        <v>38</v>
      </c>
      <c r="E160" s="35" t="s">
        <v>25</v>
      </c>
      <c r="F160" s="35" t="s">
        <v>25</v>
      </c>
      <c r="G160" s="35" t="s">
        <v>25</v>
      </c>
      <c r="H160" s="35" t="s">
        <v>35</v>
      </c>
      <c r="I160" s="45">
        <v>44228</v>
      </c>
      <c r="J160" s="46">
        <f ca="1">EFEITO!$J$160*EFEITO!$Y$160</f>
        <v>14910.463543819458</v>
      </c>
      <c r="K160" s="46">
        <f ca="1">EFEITO!$L$160*EFEITO!$Z$160</f>
        <v>5175.5620623860996</v>
      </c>
      <c r="L160" s="46">
        <f>EFEITO!$N$160*EFEITO!$AA$160</f>
        <v>24798.307670147351</v>
      </c>
      <c r="M160" s="46">
        <f ca="1">$J$160-EFEITO!$K$160*EFEITO!$Y$160</f>
        <v>0</v>
      </c>
      <c r="N160" s="46">
        <f ca="1">$K$160-EFEITO!$M$160*EFEITO!$Z$160</f>
        <v>0</v>
      </c>
      <c r="O160" s="46">
        <f>$L$160-EFEITO!$O$160*EFEITO!$AA$160</f>
        <v>0</v>
      </c>
      <c r="P160" s="38"/>
      <c r="Q160" s="38"/>
      <c r="R160" s="38"/>
      <c r="S160" s="38"/>
      <c r="T160" s="38"/>
      <c r="U160" s="38"/>
      <c r="V160" s="38"/>
      <c r="W160" s="38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35" t="s">
        <v>21</v>
      </c>
      <c r="B161" s="35" t="s">
        <v>39</v>
      </c>
      <c r="C161" s="35" t="s">
        <v>40</v>
      </c>
      <c r="D161" s="35" t="s">
        <v>38</v>
      </c>
      <c r="E161" s="35" t="s">
        <v>25</v>
      </c>
      <c r="F161" s="35" t="s">
        <v>25</v>
      </c>
      <c r="G161" s="35" t="s">
        <v>25</v>
      </c>
      <c r="H161" s="35" t="s">
        <v>35</v>
      </c>
      <c r="I161" s="45">
        <v>44256</v>
      </c>
      <c r="J161" s="46">
        <f ca="1">EFEITO!$J$161*EFEITO!$Y$161</f>
        <v>14910.463543819458</v>
      </c>
      <c r="K161" s="46">
        <f ca="1">EFEITO!$L$161*EFEITO!$Z$161</f>
        <v>4851.8467216619865</v>
      </c>
      <c r="L161" s="46">
        <f>EFEITO!$N$161*EFEITO!$AA$161</f>
        <v>23247.250505715987</v>
      </c>
      <c r="M161" s="46">
        <f ca="1">$J$161-EFEITO!$K$161*EFEITO!$Y$161</f>
        <v>0</v>
      </c>
      <c r="N161" s="46">
        <f ca="1">$K$161-EFEITO!$M$161*EFEITO!$Z$161</f>
        <v>0</v>
      </c>
      <c r="O161" s="46">
        <f>$L$161-EFEITO!$O$161*EFEITO!$AA$161</f>
        <v>0</v>
      </c>
      <c r="P161" s="38"/>
      <c r="Q161" s="38"/>
      <c r="R161" s="38"/>
      <c r="S161" s="38"/>
      <c r="T161" s="38"/>
      <c r="U161" s="38"/>
      <c r="V161" s="38"/>
      <c r="W161" s="38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35" t="s">
        <v>21</v>
      </c>
      <c r="B162" s="35" t="s">
        <v>39</v>
      </c>
      <c r="C162" s="35" t="s">
        <v>40</v>
      </c>
      <c r="D162" s="35" t="s">
        <v>38</v>
      </c>
      <c r="E162" s="35" t="s">
        <v>25</v>
      </c>
      <c r="F162" s="35" t="s">
        <v>25</v>
      </c>
      <c r="G162" s="35" t="s">
        <v>25</v>
      </c>
      <c r="H162" s="35" t="s">
        <v>35</v>
      </c>
      <c r="I162" s="45">
        <v>44287</v>
      </c>
      <c r="J162" s="46">
        <f ca="1">EFEITO!$J$162*EFEITO!$Y$162</f>
        <v>14910.463543819458</v>
      </c>
      <c r="K162" s="46">
        <f ca="1">EFEITO!$L$162*EFEITO!$Z$162</f>
        <v>3124.5351204496878</v>
      </c>
      <c r="L162" s="46">
        <f>EFEITO!$N$162*EFEITO!$AA$162</f>
        <v>14970.969782433651</v>
      </c>
      <c r="M162" s="46">
        <f ca="1">$J$162-EFEITO!$K$162*EFEITO!$Y$162</f>
        <v>0</v>
      </c>
      <c r="N162" s="46">
        <f ca="1">$K$162-EFEITO!$M$162*EFEITO!$Z$162</f>
        <v>0</v>
      </c>
      <c r="O162" s="46">
        <f>$L$162-EFEITO!$O$162*EFEITO!$AA$162</f>
        <v>0</v>
      </c>
      <c r="P162" s="38"/>
      <c r="Q162" s="38"/>
      <c r="R162" s="38"/>
      <c r="S162" s="38"/>
      <c r="T162" s="38"/>
      <c r="U162" s="38"/>
      <c r="V162" s="38"/>
      <c r="W162" s="38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35" t="s">
        <v>21</v>
      </c>
      <c r="B163" s="35" t="s">
        <v>39</v>
      </c>
      <c r="C163" s="35" t="s">
        <v>40</v>
      </c>
      <c r="D163" s="35" t="s">
        <v>38</v>
      </c>
      <c r="E163" s="35" t="s">
        <v>25</v>
      </c>
      <c r="F163" s="35" t="s">
        <v>25</v>
      </c>
      <c r="G163" s="35" t="s">
        <v>25</v>
      </c>
      <c r="H163" s="35" t="s">
        <v>35</v>
      </c>
      <c r="I163" s="45">
        <v>44317</v>
      </c>
      <c r="J163" s="46">
        <f ca="1">EFEITO!$J$163*EFEITO!$Y$163</f>
        <v>14910.463543819458</v>
      </c>
      <c r="K163" s="46">
        <f ca="1">EFEITO!$L$163*EFEITO!$Z$163</f>
        <v>4842.9846283600964</v>
      </c>
      <c r="L163" s="46">
        <f>EFEITO!$N$163*EFEITO!$AA$163</f>
        <v>23204.788467071143</v>
      </c>
      <c r="M163" s="46">
        <f ca="1">$J$163-EFEITO!$K$163*EFEITO!$Y$163</f>
        <v>0</v>
      </c>
      <c r="N163" s="46">
        <f ca="1">$K$163-EFEITO!$M$163*EFEITO!$Z$163</f>
        <v>0</v>
      </c>
      <c r="O163" s="46">
        <f>$L$163-EFEITO!$O$163*EFEITO!$AA$163</f>
        <v>0</v>
      </c>
      <c r="P163" s="38"/>
      <c r="Q163" s="38"/>
      <c r="R163" s="38"/>
      <c r="S163" s="38"/>
      <c r="T163" s="38"/>
      <c r="U163" s="38"/>
      <c r="V163" s="38"/>
      <c r="W163" s="38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35" t="s">
        <v>21</v>
      </c>
      <c r="B164" s="35" t="s">
        <v>39</v>
      </c>
      <c r="C164" s="35" t="s">
        <v>40</v>
      </c>
      <c r="D164" s="35" t="s">
        <v>38</v>
      </c>
      <c r="E164" s="35" t="s">
        <v>25</v>
      </c>
      <c r="F164" s="35" t="s">
        <v>25</v>
      </c>
      <c r="G164" s="35" t="s">
        <v>25</v>
      </c>
      <c r="H164" s="35" t="s">
        <v>35</v>
      </c>
      <c r="I164" s="45">
        <v>44348</v>
      </c>
      <c r="J164" s="46">
        <f ca="1">EFEITO!$J$164*EFEITO!$Y$164</f>
        <v>14910.463543819458</v>
      </c>
      <c r="K164" s="46">
        <f ca="1">EFEITO!$L$164*EFEITO!$Z$164</f>
        <v>5505.4509961969225</v>
      </c>
      <c r="L164" s="46">
        <f>EFEITO!$N$164*EFEITO!$AA$164</f>
        <v>26378.945131162767</v>
      </c>
      <c r="M164" s="46">
        <f ca="1">$J$164-EFEITO!$K$164*EFEITO!$Y$164</f>
        <v>0</v>
      </c>
      <c r="N164" s="46">
        <f ca="1">$K$164-EFEITO!$M$164*EFEITO!$Z$164</f>
        <v>0</v>
      </c>
      <c r="O164" s="46">
        <f>$L$164-EFEITO!$O$164*EFEITO!$AA$164</f>
        <v>0</v>
      </c>
      <c r="P164" s="38"/>
      <c r="Q164" s="38"/>
      <c r="R164" s="38"/>
      <c r="S164" s="38"/>
      <c r="T164" s="38"/>
      <c r="U164" s="38"/>
      <c r="V164" s="38"/>
      <c r="W164" s="38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35" t="s">
        <v>21</v>
      </c>
      <c r="B165" s="35" t="s">
        <v>39</v>
      </c>
      <c r="C165" s="35" t="s">
        <v>40</v>
      </c>
      <c r="D165" s="35" t="s">
        <v>38</v>
      </c>
      <c r="E165" s="35" t="s">
        <v>25</v>
      </c>
      <c r="F165" s="35" t="s">
        <v>25</v>
      </c>
      <c r="G165" s="35" t="s">
        <v>25</v>
      </c>
      <c r="H165" s="35" t="s">
        <v>35</v>
      </c>
      <c r="I165" s="45">
        <v>44378</v>
      </c>
      <c r="J165" s="46">
        <f ca="1">EFEITO!$J$165*EFEITO!$Y$165</f>
        <v>14910.463543819458</v>
      </c>
      <c r="K165" s="46">
        <f ca="1">EFEITO!$L$165*EFEITO!$Z$165</f>
        <v>5029.4868840279714</v>
      </c>
      <c r="L165" s="46">
        <f>EFEITO!$N$165*EFEITO!$AA$165</f>
        <v>24098.39968484412</v>
      </c>
      <c r="M165" s="46">
        <f ca="1">$J$165-EFEITO!$K$165*EFEITO!$Y$165</f>
        <v>0</v>
      </c>
      <c r="N165" s="46">
        <f ca="1">$K$165-EFEITO!$M$165*EFEITO!$Z$165</f>
        <v>0</v>
      </c>
      <c r="O165" s="46">
        <f>$L$165-EFEITO!$O$165*EFEITO!$AA$165</f>
        <v>0</v>
      </c>
      <c r="P165" s="38"/>
      <c r="Q165" s="38"/>
      <c r="R165" s="38"/>
      <c r="S165" s="38"/>
      <c r="T165" s="38"/>
      <c r="U165" s="38"/>
      <c r="V165" s="38"/>
      <c r="W165" s="38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35" t="s">
        <v>21</v>
      </c>
      <c r="B166" s="35" t="s">
        <v>39</v>
      </c>
      <c r="C166" s="35" t="s">
        <v>40</v>
      </c>
      <c r="D166" s="35" t="s">
        <v>38</v>
      </c>
      <c r="E166" s="35" t="s">
        <v>25</v>
      </c>
      <c r="F166" s="35" t="s">
        <v>25</v>
      </c>
      <c r="G166" s="35" t="s">
        <v>25</v>
      </c>
      <c r="H166" s="35" t="s">
        <v>35</v>
      </c>
      <c r="I166" s="45">
        <v>44409</v>
      </c>
      <c r="J166" s="46">
        <f ca="1">EFEITO!$J$166*EFEITO!$Y$166</f>
        <v>14910.463543819458</v>
      </c>
      <c r="K166" s="46">
        <f ca="1">EFEITO!$L$166*EFEITO!$Z$166</f>
        <v>5160.1280796693245</v>
      </c>
      <c r="L166" s="46">
        <f>EFEITO!$N$166*EFEITO!$AA$166</f>
        <v>24724.35692868723</v>
      </c>
      <c r="M166" s="46">
        <f ca="1">$J$166-EFEITO!$K$166*EFEITO!$Y$166</f>
        <v>0</v>
      </c>
      <c r="N166" s="46">
        <f ca="1">$K$166-EFEITO!$M$166*EFEITO!$Z$166</f>
        <v>0</v>
      </c>
      <c r="O166" s="46">
        <f>$L$166-EFEITO!$O$166*EFEITO!$AA$166</f>
        <v>0</v>
      </c>
      <c r="P166" s="38"/>
      <c r="Q166" s="38"/>
      <c r="R166" s="38"/>
      <c r="S166" s="38"/>
      <c r="T166" s="38"/>
      <c r="U166" s="38"/>
      <c r="V166" s="38"/>
      <c r="W166" s="38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35" t="s">
        <v>21</v>
      </c>
      <c r="B167" s="35" t="s">
        <v>39</v>
      </c>
      <c r="C167" s="35" t="s">
        <v>40</v>
      </c>
      <c r="D167" s="35" t="s">
        <v>38</v>
      </c>
      <c r="E167" s="35" t="s">
        <v>25</v>
      </c>
      <c r="F167" s="35" t="s">
        <v>25</v>
      </c>
      <c r="G167" s="35" t="s">
        <v>25</v>
      </c>
      <c r="H167" s="35" t="s">
        <v>35</v>
      </c>
      <c r="I167" s="45">
        <v>44440</v>
      </c>
      <c r="J167" s="46">
        <f ca="1">EFEITO!$J$167*EFEITO!$Y$167</f>
        <v>14910.463543819458</v>
      </c>
      <c r="K167" s="46">
        <f ca="1">EFEITO!$L$167*EFEITO!$Z$167</f>
        <v>5584.4132432575871</v>
      </c>
      <c r="L167" s="46">
        <f>EFEITO!$N$167*EFEITO!$AA$167</f>
        <v>26757.286666503915</v>
      </c>
      <c r="M167" s="46">
        <f ca="1">$J$167-EFEITO!$K$167*EFEITO!$Y$167</f>
        <v>0</v>
      </c>
      <c r="N167" s="46">
        <f ca="1">$K$167-EFEITO!$M$167*EFEITO!$Z$167</f>
        <v>0</v>
      </c>
      <c r="O167" s="46">
        <f>$L$167-EFEITO!$O$167*EFEITO!$AA$167</f>
        <v>0</v>
      </c>
      <c r="P167" s="38"/>
      <c r="Q167" s="38"/>
      <c r="R167" s="38"/>
      <c r="S167" s="38"/>
      <c r="T167" s="38"/>
      <c r="U167" s="38"/>
      <c r="V167" s="38"/>
      <c r="W167" s="38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35" t="s">
        <v>21</v>
      </c>
      <c r="B168" s="35" t="s">
        <v>39</v>
      </c>
      <c r="C168" s="35" t="s">
        <v>40</v>
      </c>
      <c r="D168" s="35" t="s">
        <v>38</v>
      </c>
      <c r="E168" s="35" t="s">
        <v>25</v>
      </c>
      <c r="F168" s="35" t="s">
        <v>25</v>
      </c>
      <c r="G168" s="35" t="s">
        <v>25</v>
      </c>
      <c r="H168" s="35" t="s">
        <v>35</v>
      </c>
      <c r="I168" s="45">
        <v>44470</v>
      </c>
      <c r="J168" s="46">
        <f ca="1">EFEITO!$J$168*EFEITO!$Y$168</f>
        <v>14910.463543819458</v>
      </c>
      <c r="K168" s="46">
        <f ca="1">EFEITO!$L$168*EFEITO!$Z$168</f>
        <v>3708.835833882199</v>
      </c>
      <c r="L168" s="46">
        <f>EFEITO!$N$168*EFEITO!$AA$168</f>
        <v>17770.601723646585</v>
      </c>
      <c r="M168" s="46">
        <f ca="1">$J$168-EFEITO!$K$168*EFEITO!$Y$168</f>
        <v>0</v>
      </c>
      <c r="N168" s="46">
        <f ca="1">$K$168-EFEITO!$M$168*EFEITO!$Z$168</f>
        <v>0</v>
      </c>
      <c r="O168" s="46">
        <f>$L$168-EFEITO!$O$168*EFEITO!$AA$168</f>
        <v>0</v>
      </c>
      <c r="P168" s="38"/>
      <c r="Q168" s="38"/>
      <c r="R168" s="38"/>
      <c r="S168" s="38"/>
      <c r="T168" s="38"/>
      <c r="U168" s="38"/>
      <c r="V168" s="38"/>
      <c r="W168" s="38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35" t="s">
        <v>21</v>
      </c>
      <c r="B169" s="35" t="s">
        <v>39</v>
      </c>
      <c r="C169" s="35" t="s">
        <v>40</v>
      </c>
      <c r="D169" s="35" t="s">
        <v>38</v>
      </c>
      <c r="E169" s="35" t="s">
        <v>25</v>
      </c>
      <c r="F169" s="35" t="s">
        <v>25</v>
      </c>
      <c r="G169" s="35" t="s">
        <v>25</v>
      </c>
      <c r="H169" s="35" t="s">
        <v>35</v>
      </c>
      <c r="I169" s="45">
        <v>44501</v>
      </c>
      <c r="J169" s="46">
        <f ca="1">EFEITO!$J$169*EFEITO!$Y$169</f>
        <v>14910.463543819458</v>
      </c>
      <c r="K169" s="46">
        <f ca="1">EFEITO!$L$169*EFEITO!$Z$169</f>
        <v>3587.7537501170432</v>
      </c>
      <c r="L169" s="46">
        <f>EFEITO!$N$169*EFEITO!$AA$169</f>
        <v>17190.446229352969</v>
      </c>
      <c r="M169" s="46">
        <f ca="1">$J$169-EFEITO!$K$169*EFEITO!$Y$169</f>
        <v>0</v>
      </c>
      <c r="N169" s="46">
        <f ca="1">$K$169-EFEITO!$M$169*EFEITO!$Z$169</f>
        <v>0</v>
      </c>
      <c r="O169" s="46">
        <f>$L$169-EFEITO!$O$169*EFEITO!$AA$169</f>
        <v>0</v>
      </c>
      <c r="P169" s="38"/>
      <c r="Q169" s="38"/>
      <c r="R169" s="38"/>
      <c r="S169" s="38"/>
      <c r="T169" s="38"/>
      <c r="U169" s="38"/>
      <c r="V169" s="38"/>
      <c r="W169" s="38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35" t="s">
        <v>21</v>
      </c>
      <c r="B170" s="35" t="s">
        <v>39</v>
      </c>
      <c r="C170" s="35" t="s">
        <v>40</v>
      </c>
      <c r="D170" s="35" t="s">
        <v>38</v>
      </c>
      <c r="E170" s="35" t="s">
        <v>25</v>
      </c>
      <c r="F170" s="35" t="s">
        <v>25</v>
      </c>
      <c r="G170" s="35" t="s">
        <v>25</v>
      </c>
      <c r="H170" s="35" t="s">
        <v>35</v>
      </c>
      <c r="I170" s="45">
        <v>44531</v>
      </c>
      <c r="J170" s="46">
        <f ca="1">EFEITO!$J$170*EFEITO!$Y$170</f>
        <v>14910.463543819458</v>
      </c>
      <c r="K170" s="46">
        <f ca="1">EFEITO!$L$170*EFEITO!$Z$170</f>
        <v>3854.3135677480641</v>
      </c>
      <c r="L170" s="46">
        <f>EFEITO!$N$170*EFEITO!$AA$170</f>
        <v>18467.647099602975</v>
      </c>
      <c r="M170" s="46">
        <f ca="1">$J$170-EFEITO!$K$170*EFEITO!$Y$170</f>
        <v>0</v>
      </c>
      <c r="N170" s="46">
        <f ca="1">$K$170-EFEITO!$M$170*EFEITO!$Z$170</f>
        <v>0</v>
      </c>
      <c r="O170" s="46">
        <f>$L$170-EFEITO!$O$170*EFEITO!$AA$170</f>
        <v>0</v>
      </c>
      <c r="P170" s="38"/>
      <c r="Q170" s="38"/>
      <c r="R170" s="38"/>
      <c r="S170" s="38"/>
      <c r="T170" s="38"/>
      <c r="U170" s="38"/>
      <c r="V170" s="38"/>
      <c r="W170" s="38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35" t="s">
        <v>55</v>
      </c>
      <c r="B171" s="35" t="s">
        <v>39</v>
      </c>
      <c r="C171" s="35" t="s">
        <v>40</v>
      </c>
      <c r="D171" s="35" t="s">
        <v>38</v>
      </c>
      <c r="E171" s="35" t="s">
        <v>25</v>
      </c>
      <c r="F171" s="35" t="s">
        <v>25</v>
      </c>
      <c r="G171" s="35" t="s">
        <v>25</v>
      </c>
      <c r="H171" s="35" t="s">
        <v>35</v>
      </c>
      <c r="I171" s="45">
        <v>44562</v>
      </c>
      <c r="J171" s="46">
        <f ca="1">EFEITO!$J$171*EFEITO!$Y$171</f>
        <v>14910.463543819458</v>
      </c>
      <c r="K171" s="46">
        <f ca="1">EFEITO!$L$171*EFEITO!$Z$171</f>
        <v>3854.3135677480641</v>
      </c>
      <c r="L171" s="46">
        <f>EFEITO!$N$171*EFEITO!$AA$171</f>
        <v>18467.647099602975</v>
      </c>
      <c r="M171" s="46">
        <f ca="1">$J$171-EFEITO!$K$171*EFEITO!$Y$171</f>
        <v>0</v>
      </c>
      <c r="N171" s="46">
        <f ca="1">$K$171-EFEITO!$M$171*EFEITO!$Z$171</f>
        <v>0</v>
      </c>
      <c r="O171" s="46">
        <f>$L$171-EFEITO!$O$171*EFEITO!$AA$171</f>
        <v>0</v>
      </c>
      <c r="P171" s="38"/>
      <c r="Q171" s="38"/>
      <c r="R171" s="38"/>
      <c r="S171" s="38"/>
      <c r="T171" s="38"/>
      <c r="U171" s="38"/>
      <c r="V171" s="38"/>
      <c r="W171" s="38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35" t="s">
        <v>21</v>
      </c>
      <c r="B172" s="35" t="s">
        <v>39</v>
      </c>
      <c r="C172" s="35" t="s">
        <v>40</v>
      </c>
      <c r="D172" s="35" t="s">
        <v>38</v>
      </c>
      <c r="E172" s="35" t="s">
        <v>25</v>
      </c>
      <c r="F172" s="35" t="s">
        <v>25</v>
      </c>
      <c r="G172" s="35" t="s">
        <v>25</v>
      </c>
      <c r="H172" s="35" t="s">
        <v>34</v>
      </c>
      <c r="I172" s="45">
        <v>44228</v>
      </c>
      <c r="J172" s="46">
        <f ca="1">EFEITO!$J$172*EFEITO!$Y$172</f>
        <v>4160.3889517511316</v>
      </c>
      <c r="K172" s="46">
        <f ca="1">EFEITO!$L$172*EFEITO!$Z$172</f>
        <v>183.01716279634553</v>
      </c>
      <c r="L172" s="46">
        <f>EFEITO!$N$172*EFEITO!$AA$172</f>
        <v>1416.9714218761881</v>
      </c>
      <c r="M172" s="46">
        <f ca="1">$J$172-EFEITO!$K$172*EFEITO!$Y$172</f>
        <v>0</v>
      </c>
      <c r="N172" s="46">
        <f ca="1">$K$172-EFEITO!$M$172*EFEITO!$Z$172</f>
        <v>0</v>
      </c>
      <c r="O172" s="46">
        <f>$L$172-EFEITO!$O$172*EFEITO!$AA$172</f>
        <v>0</v>
      </c>
      <c r="P172" s="38"/>
      <c r="Q172" s="38"/>
      <c r="R172" s="38"/>
      <c r="S172" s="38"/>
      <c r="T172" s="38"/>
      <c r="U172" s="38"/>
      <c r="V172" s="38"/>
      <c r="W172" s="38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35" t="s">
        <v>21</v>
      </c>
      <c r="B173" s="35" t="s">
        <v>39</v>
      </c>
      <c r="C173" s="35" t="s">
        <v>40</v>
      </c>
      <c r="D173" s="35" t="s">
        <v>38</v>
      </c>
      <c r="E173" s="35" t="s">
        <v>25</v>
      </c>
      <c r="F173" s="35" t="s">
        <v>25</v>
      </c>
      <c r="G173" s="35" t="s">
        <v>25</v>
      </c>
      <c r="H173" s="35" t="s">
        <v>34</v>
      </c>
      <c r="I173" s="45">
        <v>44256</v>
      </c>
      <c r="J173" s="46">
        <f ca="1">EFEITO!$J$173*EFEITO!$Y$173</f>
        <v>4160.3889517511316</v>
      </c>
      <c r="K173" s="46">
        <f ca="1">EFEITO!$L$173*EFEITO!$Z$173</f>
        <v>207.51238697909906</v>
      </c>
      <c r="L173" s="46">
        <f>EFEITO!$N$173*EFEITO!$AA$173</f>
        <v>1606.6204805168529</v>
      </c>
      <c r="M173" s="46">
        <f ca="1">$J$173-EFEITO!$K$173*EFEITO!$Y$173</f>
        <v>0</v>
      </c>
      <c r="N173" s="46">
        <f ca="1">$K$173-EFEITO!$M$173*EFEITO!$Z$173</f>
        <v>0</v>
      </c>
      <c r="O173" s="46">
        <f>$L$173-EFEITO!$O$173*EFEITO!$AA$173</f>
        <v>0</v>
      </c>
      <c r="P173" s="38"/>
      <c r="Q173" s="38"/>
      <c r="R173" s="38"/>
      <c r="S173" s="38"/>
      <c r="T173" s="38"/>
      <c r="U173" s="38"/>
      <c r="V173" s="38"/>
      <c r="W173" s="38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35" t="s">
        <v>21</v>
      </c>
      <c r="B174" s="35" t="s">
        <v>39</v>
      </c>
      <c r="C174" s="35" t="s">
        <v>40</v>
      </c>
      <c r="D174" s="35" t="s">
        <v>38</v>
      </c>
      <c r="E174" s="35" t="s">
        <v>25</v>
      </c>
      <c r="F174" s="35" t="s">
        <v>25</v>
      </c>
      <c r="G174" s="35" t="s">
        <v>25</v>
      </c>
      <c r="H174" s="35" t="s">
        <v>34</v>
      </c>
      <c r="I174" s="45">
        <v>44287</v>
      </c>
      <c r="J174" s="46">
        <f ca="1">EFEITO!$J$174*EFEITO!$Y$174</f>
        <v>4160.3889517511316</v>
      </c>
      <c r="K174" s="46">
        <f ca="1">EFEITO!$L$174*EFEITO!$Z$174</f>
        <v>166.68701334117648</v>
      </c>
      <c r="L174" s="46">
        <f>EFEITO!$N$174*EFEITO!$AA$174</f>
        <v>1290.5387161157446</v>
      </c>
      <c r="M174" s="46">
        <f ca="1">$J$174-EFEITO!$K$174*EFEITO!$Y$174</f>
        <v>0</v>
      </c>
      <c r="N174" s="46">
        <f ca="1">$K$174-EFEITO!$M$174*EFEITO!$Z$174</f>
        <v>0</v>
      </c>
      <c r="O174" s="46">
        <f>$L$174-EFEITO!$O$174*EFEITO!$AA$174</f>
        <v>0</v>
      </c>
      <c r="P174" s="38"/>
      <c r="Q174" s="38"/>
      <c r="R174" s="38"/>
      <c r="S174" s="38"/>
      <c r="T174" s="38"/>
      <c r="U174" s="38"/>
      <c r="V174" s="38"/>
      <c r="W174" s="38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35" t="s">
        <v>21</v>
      </c>
      <c r="B175" s="35" t="s">
        <v>39</v>
      </c>
      <c r="C175" s="35" t="s">
        <v>40</v>
      </c>
      <c r="D175" s="35" t="s">
        <v>38</v>
      </c>
      <c r="E175" s="35" t="s">
        <v>25</v>
      </c>
      <c r="F175" s="35" t="s">
        <v>25</v>
      </c>
      <c r="G175" s="35" t="s">
        <v>25</v>
      </c>
      <c r="H175" s="35" t="s">
        <v>34</v>
      </c>
      <c r="I175" s="45">
        <v>44317</v>
      </c>
      <c r="J175" s="46">
        <f ca="1">EFEITO!$J$175*EFEITO!$Y$175</f>
        <v>4160.3889517511316</v>
      </c>
      <c r="K175" s="46">
        <f ca="1">EFEITO!$L$175*EFEITO!$Z$175</f>
        <v>166.68701334117648</v>
      </c>
      <c r="L175" s="46">
        <f>EFEITO!$N$175*EFEITO!$AA$175</f>
        <v>1290.5387161157446</v>
      </c>
      <c r="M175" s="46">
        <f ca="1">$J$175-EFEITO!$K$175*EFEITO!$Y$175</f>
        <v>0</v>
      </c>
      <c r="N175" s="46">
        <f ca="1">$K$175-EFEITO!$M$175*EFEITO!$Z$175</f>
        <v>0</v>
      </c>
      <c r="O175" s="46">
        <f>$L$175-EFEITO!$O$175*EFEITO!$AA$175</f>
        <v>0</v>
      </c>
      <c r="P175" s="38"/>
      <c r="Q175" s="38"/>
      <c r="R175" s="38"/>
      <c r="S175" s="38"/>
      <c r="T175" s="38"/>
      <c r="U175" s="38"/>
      <c r="V175" s="38"/>
      <c r="W175" s="38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35" t="s">
        <v>21</v>
      </c>
      <c r="B176" s="35" t="s">
        <v>39</v>
      </c>
      <c r="C176" s="35" t="s">
        <v>40</v>
      </c>
      <c r="D176" s="35" t="s">
        <v>38</v>
      </c>
      <c r="E176" s="35" t="s">
        <v>25</v>
      </c>
      <c r="F176" s="35" t="s">
        <v>25</v>
      </c>
      <c r="G176" s="35" t="s">
        <v>25</v>
      </c>
      <c r="H176" s="35" t="s">
        <v>34</v>
      </c>
      <c r="I176" s="45">
        <v>44348</v>
      </c>
      <c r="J176" s="46">
        <f ca="1">EFEITO!$J$176*EFEITO!$Y$176</f>
        <v>4160.3889517511316</v>
      </c>
      <c r="K176" s="46">
        <f ca="1">EFEITO!$L$176*EFEITO!$Z$176</f>
        <v>199.34731225151452</v>
      </c>
      <c r="L176" s="46">
        <f>EFEITO!$N$176*EFEITO!$AA$176</f>
        <v>1543.4041276366311</v>
      </c>
      <c r="M176" s="46">
        <f ca="1">$J$176-EFEITO!$K$176*EFEITO!$Y$176</f>
        <v>0</v>
      </c>
      <c r="N176" s="46">
        <f ca="1">$K$176-EFEITO!$M$176*EFEITO!$Z$176</f>
        <v>0</v>
      </c>
      <c r="O176" s="46">
        <f>$L$176-EFEITO!$O$176*EFEITO!$AA$176</f>
        <v>0</v>
      </c>
      <c r="P176" s="38"/>
      <c r="Q176" s="38"/>
      <c r="R176" s="38"/>
      <c r="S176" s="38"/>
      <c r="T176" s="38"/>
      <c r="U176" s="38"/>
      <c r="V176" s="38"/>
      <c r="W176" s="38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35" t="s">
        <v>21</v>
      </c>
      <c r="B177" s="35" t="s">
        <v>39</v>
      </c>
      <c r="C177" s="35" t="s">
        <v>40</v>
      </c>
      <c r="D177" s="35" t="s">
        <v>38</v>
      </c>
      <c r="E177" s="35" t="s">
        <v>25</v>
      </c>
      <c r="F177" s="35" t="s">
        <v>25</v>
      </c>
      <c r="G177" s="35" t="s">
        <v>25</v>
      </c>
      <c r="H177" s="35" t="s">
        <v>34</v>
      </c>
      <c r="I177" s="45">
        <v>44378</v>
      </c>
      <c r="J177" s="46">
        <f ca="1">EFEITO!$J$177*EFEITO!$Y$177</f>
        <v>4160.3889517511316</v>
      </c>
      <c r="K177" s="46">
        <f ca="1">EFEITO!$L$177*EFEITO!$Z$177</f>
        <v>179.63164400685926</v>
      </c>
      <c r="L177" s="46">
        <f>EFEITO!$N$177*EFEITO!$AA$177</f>
        <v>1390.7597633648766</v>
      </c>
      <c r="M177" s="46">
        <f ca="1">$J$177-EFEITO!$K$177*EFEITO!$Y$177</f>
        <v>0</v>
      </c>
      <c r="N177" s="46">
        <f ca="1">$K$177-EFEITO!$M$177*EFEITO!$Z$177</f>
        <v>0</v>
      </c>
      <c r="O177" s="46">
        <f>$L$177-EFEITO!$O$177*EFEITO!$AA$177</f>
        <v>0</v>
      </c>
      <c r="P177" s="38"/>
      <c r="Q177" s="38"/>
      <c r="R177" s="38"/>
      <c r="S177" s="38"/>
      <c r="T177" s="38"/>
      <c r="U177" s="38"/>
      <c r="V177" s="38"/>
      <c r="W177" s="38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35" t="s">
        <v>21</v>
      </c>
      <c r="B178" s="35" t="s">
        <v>39</v>
      </c>
      <c r="C178" s="35" t="s">
        <v>40</v>
      </c>
      <c r="D178" s="35" t="s">
        <v>38</v>
      </c>
      <c r="E178" s="35" t="s">
        <v>25</v>
      </c>
      <c r="F178" s="35" t="s">
        <v>25</v>
      </c>
      <c r="G178" s="35" t="s">
        <v>25</v>
      </c>
      <c r="H178" s="35" t="s">
        <v>34</v>
      </c>
      <c r="I178" s="45">
        <v>44409</v>
      </c>
      <c r="J178" s="46">
        <f ca="1">EFEITO!$J$178*EFEITO!$Y$178</f>
        <v>4160.3889517511316</v>
      </c>
      <c r="K178" s="46">
        <f ca="1">EFEITO!$L$178*EFEITO!$Z$178</f>
        <v>207.51238697909906</v>
      </c>
      <c r="L178" s="46">
        <f>EFEITO!$N$178*EFEITO!$AA$178</f>
        <v>1606.6204805168529</v>
      </c>
      <c r="M178" s="46">
        <f ca="1">$J$178-EFEITO!$K$178*EFEITO!$Y$178</f>
        <v>0</v>
      </c>
      <c r="N178" s="46">
        <f ca="1">$K$178-EFEITO!$M$178*EFEITO!$Z$178</f>
        <v>0</v>
      </c>
      <c r="O178" s="46">
        <f>$L$178-EFEITO!$O$178*EFEITO!$AA$178</f>
        <v>0</v>
      </c>
      <c r="P178" s="38"/>
      <c r="Q178" s="38"/>
      <c r="R178" s="38"/>
      <c r="S178" s="38"/>
      <c r="T178" s="38"/>
      <c r="U178" s="38"/>
      <c r="V178" s="38"/>
      <c r="W178" s="38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35" t="s">
        <v>21</v>
      </c>
      <c r="B179" s="35" t="s">
        <v>39</v>
      </c>
      <c r="C179" s="35" t="s">
        <v>40</v>
      </c>
      <c r="D179" s="35" t="s">
        <v>38</v>
      </c>
      <c r="E179" s="35" t="s">
        <v>25</v>
      </c>
      <c r="F179" s="35" t="s">
        <v>25</v>
      </c>
      <c r="G179" s="35" t="s">
        <v>25</v>
      </c>
      <c r="H179" s="35" t="s">
        <v>34</v>
      </c>
      <c r="I179" s="45">
        <v>44440</v>
      </c>
      <c r="J179" s="46">
        <f ca="1">EFEITO!$J$179*EFEITO!$Y$179</f>
        <v>4160.3889517511316</v>
      </c>
      <c r="K179" s="46">
        <f ca="1">EFEITO!$L$179*EFEITO!$Z$179</f>
        <v>207.51238697909906</v>
      </c>
      <c r="L179" s="46">
        <f>EFEITO!$N$179*EFEITO!$AA$179</f>
        <v>1606.6204805168529</v>
      </c>
      <c r="M179" s="46">
        <f ca="1">$J$179-EFEITO!$K$179*EFEITO!$Y$179</f>
        <v>0</v>
      </c>
      <c r="N179" s="46">
        <f ca="1">$K$179-EFEITO!$M$179*EFEITO!$Z$179</f>
        <v>0</v>
      </c>
      <c r="O179" s="46">
        <f>$L$179-EFEITO!$O$179*EFEITO!$AA$179</f>
        <v>0</v>
      </c>
      <c r="P179" s="38"/>
      <c r="Q179" s="38"/>
      <c r="R179" s="38"/>
      <c r="S179" s="38"/>
      <c r="T179" s="38"/>
      <c r="U179" s="38"/>
      <c r="V179" s="38"/>
      <c r="W179" s="38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35" t="s">
        <v>21</v>
      </c>
      <c r="B180" s="35" t="s">
        <v>39</v>
      </c>
      <c r="C180" s="35" t="s">
        <v>40</v>
      </c>
      <c r="D180" s="35" t="s">
        <v>38</v>
      </c>
      <c r="E180" s="35" t="s">
        <v>25</v>
      </c>
      <c r="F180" s="35" t="s">
        <v>25</v>
      </c>
      <c r="G180" s="35" t="s">
        <v>25</v>
      </c>
      <c r="H180" s="35" t="s">
        <v>34</v>
      </c>
      <c r="I180" s="45">
        <v>44470</v>
      </c>
      <c r="J180" s="46">
        <f ca="1">EFEITO!$J$180*EFEITO!$Y$180</f>
        <v>4160.3889517511316</v>
      </c>
      <c r="K180" s="46">
        <f ca="1">EFEITO!$L$180*EFEITO!$Z$180</f>
        <v>187.09970016013779</v>
      </c>
      <c r="L180" s="46">
        <f>EFEITO!$N$180*EFEITO!$AA$180</f>
        <v>1448.5795983162989</v>
      </c>
      <c r="M180" s="46">
        <f ca="1">$J$180-EFEITO!$K$180*EFEITO!$Y$180</f>
        <v>0</v>
      </c>
      <c r="N180" s="46">
        <f ca="1">$K$180-EFEITO!$M$180*EFEITO!$Z$180</f>
        <v>0</v>
      </c>
      <c r="O180" s="46">
        <f>$L$180-EFEITO!$O$180*EFEITO!$AA$180</f>
        <v>0</v>
      </c>
      <c r="P180" s="38"/>
      <c r="Q180" s="38"/>
      <c r="R180" s="38"/>
      <c r="S180" s="38"/>
      <c r="T180" s="38"/>
      <c r="U180" s="38"/>
      <c r="V180" s="38"/>
      <c r="W180" s="38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35" t="s">
        <v>21</v>
      </c>
      <c r="B181" s="35" t="s">
        <v>39</v>
      </c>
      <c r="C181" s="35" t="s">
        <v>40</v>
      </c>
      <c r="D181" s="35" t="s">
        <v>38</v>
      </c>
      <c r="E181" s="35" t="s">
        <v>25</v>
      </c>
      <c r="F181" s="35" t="s">
        <v>25</v>
      </c>
      <c r="G181" s="35" t="s">
        <v>25</v>
      </c>
      <c r="H181" s="35" t="s">
        <v>34</v>
      </c>
      <c r="I181" s="45">
        <v>44501</v>
      </c>
      <c r="J181" s="46">
        <f ca="1">EFEITO!$J$181*EFEITO!$Y$181</f>
        <v>4160.3889517511316</v>
      </c>
      <c r="K181" s="46">
        <f ca="1">EFEITO!$L$181*EFEITO!$Z$181</f>
        <v>191.18223752393004</v>
      </c>
      <c r="L181" s="46">
        <f>EFEITO!$N$181*EFEITO!$AA$181</f>
        <v>1480.1877747564097</v>
      </c>
      <c r="M181" s="46">
        <f ca="1">$J$181-EFEITO!$K$181*EFEITO!$Y$181</f>
        <v>0</v>
      </c>
      <c r="N181" s="46">
        <f ca="1">$K$181-EFEITO!$M$181*EFEITO!$Z$181</f>
        <v>0</v>
      </c>
      <c r="O181" s="46">
        <f>$L$181-EFEITO!$O$181*EFEITO!$AA$181</f>
        <v>0</v>
      </c>
      <c r="P181" s="38"/>
      <c r="Q181" s="38"/>
      <c r="R181" s="38"/>
      <c r="S181" s="38"/>
      <c r="T181" s="38"/>
      <c r="U181" s="38"/>
      <c r="V181" s="38"/>
      <c r="W181" s="38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35" t="s">
        <v>21</v>
      </c>
      <c r="B182" s="35" t="s">
        <v>39</v>
      </c>
      <c r="C182" s="35" t="s">
        <v>40</v>
      </c>
      <c r="D182" s="35" t="s">
        <v>38</v>
      </c>
      <c r="E182" s="35" t="s">
        <v>25</v>
      </c>
      <c r="F182" s="35" t="s">
        <v>25</v>
      </c>
      <c r="G182" s="35" t="s">
        <v>25</v>
      </c>
      <c r="H182" s="35" t="s">
        <v>34</v>
      </c>
      <c r="I182" s="45">
        <v>44531</v>
      </c>
      <c r="J182" s="46">
        <f ca="1">EFEITO!$J$182*EFEITO!$Y$182</f>
        <v>4160.3889517511316</v>
      </c>
      <c r="K182" s="46">
        <f ca="1">EFEITO!$L$182*EFEITO!$Z$182</f>
        <v>199.34731225151452</v>
      </c>
      <c r="L182" s="46">
        <f>EFEITO!$N$182*EFEITO!$AA$182</f>
        <v>1543.4041276366311</v>
      </c>
      <c r="M182" s="46">
        <f ca="1">$J$182-EFEITO!$K$182*EFEITO!$Y$182</f>
        <v>0</v>
      </c>
      <c r="N182" s="46">
        <f ca="1">$K$182-EFEITO!$M$182*EFEITO!$Z$182</f>
        <v>0</v>
      </c>
      <c r="O182" s="46">
        <f>$L$182-EFEITO!$O$182*EFEITO!$AA$182</f>
        <v>0</v>
      </c>
      <c r="P182" s="38"/>
      <c r="Q182" s="38"/>
      <c r="R182" s="38"/>
      <c r="S182" s="38"/>
      <c r="T182" s="38"/>
      <c r="U182" s="38"/>
      <c r="V182" s="38"/>
      <c r="W182" s="38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35" t="s">
        <v>55</v>
      </c>
      <c r="B183" s="35" t="s">
        <v>39</v>
      </c>
      <c r="C183" s="35" t="s">
        <v>40</v>
      </c>
      <c r="D183" s="35" t="s">
        <v>38</v>
      </c>
      <c r="E183" s="35" t="s">
        <v>25</v>
      </c>
      <c r="F183" s="35" t="s">
        <v>25</v>
      </c>
      <c r="G183" s="35" t="s">
        <v>25</v>
      </c>
      <c r="H183" s="35" t="s">
        <v>34</v>
      </c>
      <c r="I183" s="45">
        <v>44562</v>
      </c>
      <c r="J183" s="46">
        <f ca="1">EFEITO!$J$183*EFEITO!$Y$183</f>
        <v>4160.3889517511316</v>
      </c>
      <c r="K183" s="46">
        <f ca="1">EFEITO!$L$183*EFEITO!$Z$183</f>
        <v>199.34731225151452</v>
      </c>
      <c r="L183" s="46">
        <f>EFEITO!$N$183*EFEITO!$AA$183</f>
        <v>1543.4041276366311</v>
      </c>
      <c r="M183" s="46">
        <f ca="1">$J$183-EFEITO!$K$183*EFEITO!$Y$183</f>
        <v>0</v>
      </c>
      <c r="N183" s="46">
        <f ca="1">$K$183-EFEITO!$M$183*EFEITO!$Z$183</f>
        <v>0</v>
      </c>
      <c r="O183" s="46">
        <f>$L$183-EFEITO!$O$183*EFEITO!$AA$183</f>
        <v>0</v>
      </c>
      <c r="P183" s="38"/>
      <c r="Q183" s="38"/>
      <c r="R183" s="38"/>
      <c r="S183" s="38"/>
      <c r="T183" s="38"/>
      <c r="U183" s="38"/>
      <c r="V183" s="38"/>
      <c r="W183" s="38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35" t="s">
        <v>21</v>
      </c>
      <c r="B184" s="35" t="s">
        <v>39</v>
      </c>
      <c r="C184" s="35" t="s">
        <v>40</v>
      </c>
      <c r="D184" s="35" t="s">
        <v>45</v>
      </c>
      <c r="E184" s="35" t="s">
        <v>25</v>
      </c>
      <c r="F184" s="35" t="s">
        <v>25</v>
      </c>
      <c r="G184" s="35" t="s">
        <v>25</v>
      </c>
      <c r="H184" s="35" t="s">
        <v>35</v>
      </c>
      <c r="I184" s="45">
        <v>44228</v>
      </c>
      <c r="J184" s="46">
        <f ca="1">EFEITO!$J$184*EFEITO!$Y$184</f>
        <v>8374.8591641333242</v>
      </c>
      <c r="K184" s="46">
        <f ca="1">EFEITO!$L$184*EFEITO!$Z$184</f>
        <v>2751.7795443190462</v>
      </c>
      <c r="L184" s="46">
        <f>EFEITO!$N$184*EFEITO!$AA$184</f>
        <v>13184.940100782214</v>
      </c>
      <c r="M184" s="46">
        <f ca="1">$J$184-EFEITO!$K$184*EFEITO!$Y$184</f>
        <v>0</v>
      </c>
      <c r="N184" s="46">
        <f ca="1">$K$184-EFEITO!$M$184*EFEITO!$Z$184</f>
        <v>0</v>
      </c>
      <c r="O184" s="46">
        <f>$L$184-EFEITO!$O$184*EFEITO!$AA$184</f>
        <v>0</v>
      </c>
      <c r="P184" s="38"/>
      <c r="Q184" s="38"/>
      <c r="R184" s="38"/>
      <c r="S184" s="38"/>
      <c r="T184" s="38"/>
      <c r="U184" s="38"/>
      <c r="V184" s="38"/>
      <c r="W184" s="38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35" t="s">
        <v>21</v>
      </c>
      <c r="B185" s="35" t="s">
        <v>39</v>
      </c>
      <c r="C185" s="35" t="s">
        <v>40</v>
      </c>
      <c r="D185" s="35" t="s">
        <v>45</v>
      </c>
      <c r="E185" s="35" t="s">
        <v>25</v>
      </c>
      <c r="F185" s="35" t="s">
        <v>25</v>
      </c>
      <c r="G185" s="35" t="s">
        <v>25</v>
      </c>
      <c r="H185" s="35" t="s">
        <v>35</v>
      </c>
      <c r="I185" s="45">
        <v>44256</v>
      </c>
      <c r="J185" s="46">
        <f ca="1">EFEITO!$J$185*EFEITO!$Y$185</f>
        <v>8410.572849268221</v>
      </c>
      <c r="K185" s="46">
        <f ca="1">EFEITO!$L$185*EFEITO!$Z$185</f>
        <v>2840.5498384610169</v>
      </c>
      <c r="L185" s="46">
        <f>EFEITO!$N$185*EFEITO!$AA$185</f>
        <v>13610.276139567377</v>
      </c>
      <c r="M185" s="46">
        <f ca="1">$J$185-EFEITO!$K$185*EFEITO!$Y$185</f>
        <v>0</v>
      </c>
      <c r="N185" s="46">
        <f ca="1">$K$185-EFEITO!$M$185*EFEITO!$Z$185</f>
        <v>0</v>
      </c>
      <c r="O185" s="46">
        <f>$L$185-EFEITO!$O$185*EFEITO!$AA$185</f>
        <v>0</v>
      </c>
      <c r="P185" s="38"/>
      <c r="Q185" s="38"/>
      <c r="R185" s="38"/>
      <c r="S185" s="38"/>
      <c r="T185" s="38"/>
      <c r="U185" s="38"/>
      <c r="V185" s="38"/>
      <c r="W185" s="38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35" t="s">
        <v>21</v>
      </c>
      <c r="B186" s="35" t="s">
        <v>39</v>
      </c>
      <c r="C186" s="35" t="s">
        <v>40</v>
      </c>
      <c r="D186" s="35" t="s">
        <v>45</v>
      </c>
      <c r="E186" s="35" t="s">
        <v>25</v>
      </c>
      <c r="F186" s="35" t="s">
        <v>25</v>
      </c>
      <c r="G186" s="35" t="s">
        <v>25</v>
      </c>
      <c r="H186" s="35" t="s">
        <v>35</v>
      </c>
      <c r="I186" s="45">
        <v>44287</v>
      </c>
      <c r="J186" s="46">
        <f ca="1">EFEITO!$J$186*EFEITO!$Y$186</f>
        <v>8392.7160067007735</v>
      </c>
      <c r="K186" s="46">
        <f ca="1">EFEITO!$L$186*EFEITO!$Z$186</f>
        <v>3010.1245001814609</v>
      </c>
      <c r="L186" s="46">
        <f>EFEITO!$N$186*EFEITO!$AA$186</f>
        <v>14422.780092513121</v>
      </c>
      <c r="M186" s="46">
        <f ca="1">$J$186-EFEITO!$K$186*EFEITO!$Y$186</f>
        <v>0</v>
      </c>
      <c r="N186" s="46">
        <f ca="1">$K$186-EFEITO!$M$186*EFEITO!$Z$186</f>
        <v>0</v>
      </c>
      <c r="O186" s="46">
        <f>$L$186-EFEITO!$O$186*EFEITO!$AA$186</f>
        <v>0</v>
      </c>
      <c r="P186" s="38"/>
      <c r="Q186" s="38"/>
      <c r="R186" s="38"/>
      <c r="S186" s="38"/>
      <c r="T186" s="38"/>
      <c r="U186" s="38"/>
      <c r="V186" s="38"/>
      <c r="W186" s="38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35" t="s">
        <v>21</v>
      </c>
      <c r="B187" s="35" t="s">
        <v>39</v>
      </c>
      <c r="C187" s="35" t="s">
        <v>40</v>
      </c>
      <c r="D187" s="35" t="s">
        <v>45</v>
      </c>
      <c r="E187" s="35" t="s">
        <v>25</v>
      </c>
      <c r="F187" s="35" t="s">
        <v>25</v>
      </c>
      <c r="G187" s="35" t="s">
        <v>25</v>
      </c>
      <c r="H187" s="35" t="s">
        <v>35</v>
      </c>
      <c r="I187" s="45">
        <v>44317</v>
      </c>
      <c r="J187" s="46">
        <f ca="1">EFEITO!$J$187*EFEITO!$Y$187</f>
        <v>8357.0023215658766</v>
      </c>
      <c r="K187" s="46">
        <f ca="1">EFEITO!$L$187*EFEITO!$Z$187</f>
        <v>2692.6325395850799</v>
      </c>
      <c r="L187" s="46">
        <f>EFEITO!$N$187*EFEITO!$AA$187</f>
        <v>12901.54177544471</v>
      </c>
      <c r="M187" s="46">
        <f ca="1">$J$187-EFEITO!$K$187*EFEITO!$Y$187</f>
        <v>0</v>
      </c>
      <c r="N187" s="46">
        <f ca="1">$K$187-EFEITO!$M$187*EFEITO!$Z$187</f>
        <v>0</v>
      </c>
      <c r="O187" s="46">
        <f>$L$187-EFEITO!$O$187*EFEITO!$AA$187</f>
        <v>0</v>
      </c>
      <c r="P187" s="38"/>
      <c r="Q187" s="38"/>
      <c r="R187" s="38"/>
      <c r="S187" s="38"/>
      <c r="T187" s="38"/>
      <c r="U187" s="38"/>
      <c r="V187" s="38"/>
      <c r="W187" s="38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35" t="s">
        <v>21</v>
      </c>
      <c r="B188" s="35" t="s">
        <v>39</v>
      </c>
      <c r="C188" s="35" t="s">
        <v>40</v>
      </c>
      <c r="D188" s="35" t="s">
        <v>45</v>
      </c>
      <c r="E188" s="35" t="s">
        <v>25</v>
      </c>
      <c r="F188" s="35" t="s">
        <v>25</v>
      </c>
      <c r="G188" s="35" t="s">
        <v>25</v>
      </c>
      <c r="H188" s="35" t="s">
        <v>35</v>
      </c>
      <c r="I188" s="45">
        <v>44348</v>
      </c>
      <c r="J188" s="46">
        <f ca="1">EFEITO!$J$188*EFEITO!$Y$188</f>
        <v>8303.4317938635304</v>
      </c>
      <c r="K188" s="46">
        <f ca="1">EFEITO!$L$188*EFEITO!$Z$188</f>
        <v>2842.3919589788256</v>
      </c>
      <c r="L188" s="46">
        <f>EFEITO!$N$188*EFEITO!$AA$188</f>
        <v>13619.102518386811</v>
      </c>
      <c r="M188" s="46">
        <f ca="1">$J$188-EFEITO!$K$188*EFEITO!$Y$188</f>
        <v>0</v>
      </c>
      <c r="N188" s="46">
        <f ca="1">$K$188-EFEITO!$M$188*EFEITO!$Z$188</f>
        <v>0</v>
      </c>
      <c r="O188" s="46">
        <f>$L$188-EFEITO!$O$188*EFEITO!$AA$188</f>
        <v>0</v>
      </c>
      <c r="P188" s="38"/>
      <c r="Q188" s="38"/>
      <c r="R188" s="38"/>
      <c r="S188" s="38"/>
      <c r="T188" s="38"/>
      <c r="U188" s="38"/>
      <c r="V188" s="38"/>
      <c r="W188" s="38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35" t="s">
        <v>21</v>
      </c>
      <c r="B189" s="35" t="s">
        <v>39</v>
      </c>
      <c r="C189" s="35" t="s">
        <v>40</v>
      </c>
      <c r="D189" s="35" t="s">
        <v>45</v>
      </c>
      <c r="E189" s="35" t="s">
        <v>25</v>
      </c>
      <c r="F189" s="35" t="s">
        <v>25</v>
      </c>
      <c r="G189" s="35" t="s">
        <v>25</v>
      </c>
      <c r="H189" s="35" t="s">
        <v>35</v>
      </c>
      <c r="I189" s="45">
        <v>44378</v>
      </c>
      <c r="J189" s="46">
        <f ca="1">EFEITO!$J$189*EFEITO!$Y$189</f>
        <v>8285.5749512960829</v>
      </c>
      <c r="K189" s="46">
        <f ca="1">EFEITO!$L$189*EFEITO!$Z$189</f>
        <v>2387.6371262851858</v>
      </c>
      <c r="L189" s="46">
        <f>EFEITO!$N$189*EFEITO!$AA$189</f>
        <v>11440.179703881107</v>
      </c>
      <c r="M189" s="46">
        <f ca="1">$J$189-EFEITO!$K$189*EFEITO!$Y$189</f>
        <v>0</v>
      </c>
      <c r="N189" s="46">
        <f ca="1">$K$189-EFEITO!$M$189*EFEITO!$Z$189</f>
        <v>0</v>
      </c>
      <c r="O189" s="46">
        <f>$L$189-EFEITO!$O$189*EFEITO!$AA$189</f>
        <v>0</v>
      </c>
      <c r="P189" s="38"/>
      <c r="Q189" s="38"/>
      <c r="R189" s="38"/>
      <c r="S189" s="38"/>
      <c r="T189" s="38"/>
      <c r="U189" s="38"/>
      <c r="V189" s="38"/>
      <c r="W189" s="38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35" t="s">
        <v>21</v>
      </c>
      <c r="B190" s="35" t="s">
        <v>39</v>
      </c>
      <c r="C190" s="35" t="s">
        <v>40</v>
      </c>
      <c r="D190" s="35" t="s">
        <v>45</v>
      </c>
      <c r="E190" s="35" t="s">
        <v>25</v>
      </c>
      <c r="F190" s="35" t="s">
        <v>25</v>
      </c>
      <c r="G190" s="35" t="s">
        <v>25</v>
      </c>
      <c r="H190" s="35" t="s">
        <v>35</v>
      </c>
      <c r="I190" s="45">
        <v>44409</v>
      </c>
      <c r="J190" s="46">
        <f ca="1">EFEITO!$J$190*EFEITO!$Y$190</f>
        <v>8392.7160067007735</v>
      </c>
      <c r="K190" s="46">
        <f ca="1">EFEITO!$L$190*EFEITO!$Z$190</f>
        <v>2232.0028360508613</v>
      </c>
      <c r="L190" s="46">
        <f>EFEITO!$N$190*EFEITO!$AA$190</f>
        <v>10694.46996902838</v>
      </c>
      <c r="M190" s="46">
        <f ca="1">$J$190-EFEITO!$K$190*EFEITO!$Y$190</f>
        <v>0</v>
      </c>
      <c r="N190" s="46">
        <f ca="1">$K$190-EFEITO!$M$190*EFEITO!$Z$190</f>
        <v>0</v>
      </c>
      <c r="O190" s="46">
        <f>$L$190-EFEITO!$O$190*EFEITO!$AA$190</f>
        <v>0</v>
      </c>
      <c r="P190" s="38"/>
      <c r="Q190" s="38"/>
      <c r="R190" s="38"/>
      <c r="S190" s="38"/>
      <c r="T190" s="38"/>
      <c r="U190" s="38"/>
      <c r="V190" s="38"/>
      <c r="W190" s="38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35" t="s">
        <v>21</v>
      </c>
      <c r="B191" s="35" t="s">
        <v>39</v>
      </c>
      <c r="C191" s="35" t="s">
        <v>40</v>
      </c>
      <c r="D191" s="35" t="s">
        <v>45</v>
      </c>
      <c r="E191" s="35" t="s">
        <v>25</v>
      </c>
      <c r="F191" s="35" t="s">
        <v>25</v>
      </c>
      <c r="G191" s="35" t="s">
        <v>25</v>
      </c>
      <c r="H191" s="35" t="s">
        <v>35</v>
      </c>
      <c r="I191" s="45">
        <v>44440</v>
      </c>
      <c r="J191" s="46">
        <f ca="1">EFEITO!$J$191*EFEITO!$Y$191</f>
        <v>8303.4317938635304</v>
      </c>
      <c r="K191" s="46">
        <f ca="1">EFEITO!$L$191*EFEITO!$Z$191</f>
        <v>2330.3322420690283</v>
      </c>
      <c r="L191" s="46">
        <f>EFEITO!$N$191*EFEITO!$AA$191</f>
        <v>11165.607757363035</v>
      </c>
      <c r="M191" s="46">
        <f ca="1">$J$191-EFEITO!$K$191*EFEITO!$Y$191</f>
        <v>0</v>
      </c>
      <c r="N191" s="46">
        <f ca="1">$K$191-EFEITO!$M$191*EFEITO!$Z$191</f>
        <v>0</v>
      </c>
      <c r="O191" s="46">
        <f>$L$191-EFEITO!$O$191*EFEITO!$AA$191</f>
        <v>0</v>
      </c>
      <c r="P191" s="38"/>
      <c r="Q191" s="38"/>
      <c r="R191" s="38"/>
      <c r="S191" s="38"/>
      <c r="T191" s="38"/>
      <c r="U191" s="38"/>
      <c r="V191" s="38"/>
      <c r="W191" s="38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35" t="s">
        <v>21</v>
      </c>
      <c r="B192" s="35" t="s">
        <v>39</v>
      </c>
      <c r="C192" s="35" t="s">
        <v>40</v>
      </c>
      <c r="D192" s="35" t="s">
        <v>45</v>
      </c>
      <c r="E192" s="35" t="s">
        <v>25</v>
      </c>
      <c r="F192" s="35" t="s">
        <v>25</v>
      </c>
      <c r="G192" s="35" t="s">
        <v>25</v>
      </c>
      <c r="H192" s="35" t="s">
        <v>35</v>
      </c>
      <c r="I192" s="45">
        <v>44470</v>
      </c>
      <c r="J192" s="46">
        <f ca="1">EFEITO!$J$192*EFEITO!$Y$192</f>
        <v>8357.0023215658766</v>
      </c>
      <c r="K192" s="46">
        <f ca="1">EFEITO!$L$192*EFEITO!$Z$192</f>
        <v>2637.0204147636664</v>
      </c>
      <c r="L192" s="46">
        <f>EFEITO!$N$192*EFEITO!$AA$192</f>
        <v>12635.080555409362</v>
      </c>
      <c r="M192" s="46">
        <f ca="1">$J$192-EFEITO!$K$192*EFEITO!$Y$192</f>
        <v>0</v>
      </c>
      <c r="N192" s="46">
        <f ca="1">$K$192-EFEITO!$M$192*EFEITO!$Z$192</f>
        <v>0</v>
      </c>
      <c r="O192" s="46">
        <f>$L$192-EFEITO!$O$192*EFEITO!$AA$192</f>
        <v>0</v>
      </c>
      <c r="P192" s="38"/>
      <c r="Q192" s="38"/>
      <c r="R192" s="38"/>
      <c r="S192" s="38"/>
      <c r="T192" s="38"/>
      <c r="U192" s="38"/>
      <c r="V192" s="38"/>
      <c r="W192" s="38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35" t="s">
        <v>21</v>
      </c>
      <c r="B193" s="35" t="s">
        <v>39</v>
      </c>
      <c r="C193" s="35" t="s">
        <v>40</v>
      </c>
      <c r="D193" s="35" t="s">
        <v>45</v>
      </c>
      <c r="E193" s="35" t="s">
        <v>25</v>
      </c>
      <c r="F193" s="35" t="s">
        <v>25</v>
      </c>
      <c r="G193" s="35" t="s">
        <v>25</v>
      </c>
      <c r="H193" s="35" t="s">
        <v>35</v>
      </c>
      <c r="I193" s="45">
        <v>44501</v>
      </c>
      <c r="J193" s="46">
        <f ca="1">EFEITO!$J$193*EFEITO!$Y$193</f>
        <v>8357.0023215658766</v>
      </c>
      <c r="K193" s="46">
        <f ca="1">EFEITO!$L$193*EFEITO!$Z$193</f>
        <v>2912.9401961067965</v>
      </c>
      <c r="L193" s="46">
        <f>EFEITO!$N$193*EFEITO!$AA$193</f>
        <v>13957.128972093247</v>
      </c>
      <c r="M193" s="46">
        <f ca="1">$J$193-EFEITO!$K$193*EFEITO!$Y$193</f>
        <v>0</v>
      </c>
      <c r="N193" s="46">
        <f ca="1">$K$193-EFEITO!$M$193*EFEITO!$Z$193</f>
        <v>0</v>
      </c>
      <c r="O193" s="46">
        <f>$L$193-EFEITO!$O$193*EFEITO!$AA$193</f>
        <v>0</v>
      </c>
      <c r="P193" s="38"/>
      <c r="Q193" s="38"/>
      <c r="R193" s="38"/>
      <c r="S193" s="38"/>
      <c r="T193" s="38"/>
      <c r="U193" s="38"/>
      <c r="V193" s="38"/>
      <c r="W193" s="38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35" t="s">
        <v>21</v>
      </c>
      <c r="B194" s="35" t="s">
        <v>39</v>
      </c>
      <c r="C194" s="35" t="s">
        <v>40</v>
      </c>
      <c r="D194" s="35" t="s">
        <v>45</v>
      </c>
      <c r="E194" s="35" t="s">
        <v>25</v>
      </c>
      <c r="F194" s="35" t="s">
        <v>25</v>
      </c>
      <c r="G194" s="35" t="s">
        <v>25</v>
      </c>
      <c r="H194" s="35" t="s">
        <v>35</v>
      </c>
      <c r="I194" s="45">
        <v>44531</v>
      </c>
      <c r="J194" s="46">
        <f ca="1">EFEITO!$J$194*EFEITO!$Y$194</f>
        <v>8392.7160067007735</v>
      </c>
      <c r="K194" s="46">
        <f ca="1">EFEITO!$L$194*EFEITO!$Z$194</f>
        <v>3032.0805852721001</v>
      </c>
      <c r="L194" s="46">
        <f>EFEITO!$N$194*EFEITO!$AA$194</f>
        <v>14527.980986009621</v>
      </c>
      <c r="M194" s="46">
        <f ca="1">$J$194-EFEITO!$K$194*EFEITO!$Y$194</f>
        <v>0</v>
      </c>
      <c r="N194" s="46">
        <f ca="1">$K$194-EFEITO!$M$194*EFEITO!$Z$194</f>
        <v>0</v>
      </c>
      <c r="O194" s="46">
        <f>$L$194-EFEITO!$O$194*EFEITO!$AA$194</f>
        <v>0</v>
      </c>
      <c r="P194" s="38"/>
      <c r="Q194" s="38"/>
      <c r="R194" s="38"/>
      <c r="S194" s="38"/>
      <c r="T194" s="38"/>
      <c r="U194" s="38"/>
      <c r="V194" s="38"/>
      <c r="W194" s="38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35" t="s">
        <v>55</v>
      </c>
      <c r="B195" s="35" t="s">
        <v>39</v>
      </c>
      <c r="C195" s="35" t="s">
        <v>40</v>
      </c>
      <c r="D195" s="35" t="s">
        <v>45</v>
      </c>
      <c r="E195" s="35" t="s">
        <v>25</v>
      </c>
      <c r="F195" s="35" t="s">
        <v>25</v>
      </c>
      <c r="G195" s="35" t="s">
        <v>25</v>
      </c>
      <c r="H195" s="35" t="s">
        <v>35</v>
      </c>
      <c r="I195" s="45">
        <v>44562</v>
      </c>
      <c r="J195" s="46">
        <f ca="1">EFEITO!$J$195*EFEITO!$Y$195</f>
        <v>8392.7160067007735</v>
      </c>
      <c r="K195" s="46">
        <f ca="1">EFEITO!$L$195*EFEITO!$Z$195</f>
        <v>3032.0805852721001</v>
      </c>
      <c r="L195" s="46">
        <f>EFEITO!$N$195*EFEITO!$AA$195</f>
        <v>14527.980986009621</v>
      </c>
      <c r="M195" s="46">
        <f ca="1">$J$195-EFEITO!$K$195*EFEITO!$Y$195</f>
        <v>0</v>
      </c>
      <c r="N195" s="46">
        <f ca="1">$K$195-EFEITO!$M$195*EFEITO!$Z$195</f>
        <v>0</v>
      </c>
      <c r="O195" s="46">
        <f>$L$195-EFEITO!$O$195*EFEITO!$AA$195</f>
        <v>0</v>
      </c>
      <c r="P195" s="38"/>
      <c r="Q195" s="38"/>
      <c r="R195" s="38"/>
      <c r="S195" s="38"/>
      <c r="T195" s="38"/>
      <c r="U195" s="38"/>
      <c r="V195" s="38"/>
      <c r="W195" s="38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35" t="s">
        <v>21</v>
      </c>
      <c r="B196" s="35" t="s">
        <v>39</v>
      </c>
      <c r="C196" s="35" t="s">
        <v>40</v>
      </c>
      <c r="D196" s="35" t="s">
        <v>45</v>
      </c>
      <c r="E196" s="35" t="s">
        <v>25</v>
      </c>
      <c r="F196" s="35" t="s">
        <v>25</v>
      </c>
      <c r="G196" s="35" t="s">
        <v>25</v>
      </c>
      <c r="H196" s="35" t="s">
        <v>34</v>
      </c>
      <c r="I196" s="45">
        <v>44228</v>
      </c>
      <c r="J196" s="46">
        <f ca="1">EFEITO!$J$196*EFEITO!$Y$196</f>
        <v>12191.748493392446</v>
      </c>
      <c r="K196" s="46">
        <f ca="1">EFEITO!$L$196*EFEITO!$Z$196</f>
        <v>281.7448651426875</v>
      </c>
      <c r="L196" s="46">
        <f>EFEITO!$N$196*EFEITO!$AA$196</f>
        <v>2181.3496399339901</v>
      </c>
      <c r="M196" s="46">
        <f ca="1">$J$196-EFEITO!$K$196*EFEITO!$Y$196</f>
        <v>0</v>
      </c>
      <c r="N196" s="46">
        <f ca="1">$K$196-EFEITO!$M$196*EFEITO!$Z$196</f>
        <v>0</v>
      </c>
      <c r="O196" s="46">
        <f>$L$196-EFEITO!$O$196*EFEITO!$AA$196</f>
        <v>0</v>
      </c>
      <c r="P196" s="38"/>
      <c r="Q196" s="38"/>
      <c r="R196" s="38"/>
      <c r="S196" s="38"/>
      <c r="T196" s="38"/>
      <c r="U196" s="38"/>
      <c r="V196" s="38"/>
      <c r="W196" s="38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35" t="s">
        <v>21</v>
      </c>
      <c r="B197" s="35" t="s">
        <v>39</v>
      </c>
      <c r="C197" s="35" t="s">
        <v>40</v>
      </c>
      <c r="D197" s="35" t="s">
        <v>45</v>
      </c>
      <c r="E197" s="35" t="s">
        <v>25</v>
      </c>
      <c r="F197" s="35" t="s">
        <v>25</v>
      </c>
      <c r="G197" s="35" t="s">
        <v>25</v>
      </c>
      <c r="H197" s="35" t="s">
        <v>34</v>
      </c>
      <c r="I197" s="45">
        <v>44256</v>
      </c>
      <c r="J197" s="46">
        <f ca="1">EFEITO!$J$197*EFEITO!$Y$197</f>
        <v>12300.280379090302</v>
      </c>
      <c r="K197" s="46">
        <f ca="1">EFEITO!$L$197*EFEITO!$Z$197</f>
        <v>302.35670012573627</v>
      </c>
      <c r="L197" s="46">
        <f>EFEITO!$N$197*EFEITO!$AA$197</f>
        <v>2340.9323843999159</v>
      </c>
      <c r="M197" s="46">
        <f ca="1">$J$197-EFEITO!$K$197*EFEITO!$Y$197</f>
        <v>0</v>
      </c>
      <c r="N197" s="46">
        <f ca="1">$K$197-EFEITO!$M$197*EFEITO!$Z$197</f>
        <v>0</v>
      </c>
      <c r="O197" s="46">
        <f>$L$197-EFEITO!$O$197*EFEITO!$AA$197</f>
        <v>0</v>
      </c>
      <c r="P197" s="38"/>
      <c r="Q197" s="38"/>
      <c r="R197" s="38"/>
      <c r="S197" s="38"/>
      <c r="T197" s="38"/>
      <c r="U197" s="38"/>
      <c r="V197" s="38"/>
      <c r="W197" s="38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35" t="s">
        <v>21</v>
      </c>
      <c r="B198" s="35" t="s">
        <v>39</v>
      </c>
      <c r="C198" s="35" t="s">
        <v>40</v>
      </c>
      <c r="D198" s="35" t="s">
        <v>45</v>
      </c>
      <c r="E198" s="35" t="s">
        <v>25</v>
      </c>
      <c r="F198" s="35" t="s">
        <v>25</v>
      </c>
      <c r="G198" s="35" t="s">
        <v>25</v>
      </c>
      <c r="H198" s="35" t="s">
        <v>34</v>
      </c>
      <c r="I198" s="45">
        <v>44287</v>
      </c>
      <c r="J198" s="46">
        <f ca="1">EFEITO!$J$198*EFEITO!$Y$198</f>
        <v>12227.925788625063</v>
      </c>
      <c r="K198" s="46">
        <f ca="1">EFEITO!$L$198*EFEITO!$Z$198</f>
        <v>258.74325219058971</v>
      </c>
      <c r="L198" s="46">
        <f>EFEITO!$N$198*EFEITO!$AA$198</f>
        <v>2003.2645482836097</v>
      </c>
      <c r="M198" s="46">
        <f ca="1">$J$198-EFEITO!$K$198*EFEITO!$Y$198</f>
        <v>0</v>
      </c>
      <c r="N198" s="46">
        <f ca="1">$K$198-EFEITO!$M$198*EFEITO!$Z$198</f>
        <v>0</v>
      </c>
      <c r="O198" s="46">
        <f>$L$198-EFEITO!$O$198*EFEITO!$AA$198</f>
        <v>0</v>
      </c>
      <c r="P198" s="38"/>
      <c r="Q198" s="38"/>
      <c r="R198" s="38"/>
      <c r="S198" s="38"/>
      <c r="T198" s="38"/>
      <c r="U198" s="38"/>
      <c r="V198" s="38"/>
      <c r="W198" s="38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35" t="s">
        <v>21</v>
      </c>
      <c r="B199" s="35" t="s">
        <v>39</v>
      </c>
      <c r="C199" s="35" t="s">
        <v>40</v>
      </c>
      <c r="D199" s="35" t="s">
        <v>45</v>
      </c>
      <c r="E199" s="35" t="s">
        <v>25</v>
      </c>
      <c r="F199" s="35" t="s">
        <v>25</v>
      </c>
      <c r="G199" s="35" t="s">
        <v>25</v>
      </c>
      <c r="H199" s="35" t="s">
        <v>34</v>
      </c>
      <c r="I199" s="45">
        <v>44317</v>
      </c>
      <c r="J199" s="46">
        <f ca="1">EFEITO!$J$199*EFEITO!$Y$199</f>
        <v>12191.748493392446</v>
      </c>
      <c r="K199" s="46">
        <f ca="1">EFEITO!$L$199*EFEITO!$Z$199</f>
        <v>278.06062410707011</v>
      </c>
      <c r="L199" s="46">
        <f>EFEITO!$N$199*EFEITO!$AA$199</f>
        <v>2152.8251880246216</v>
      </c>
      <c r="M199" s="46">
        <f ca="1">$J$199-EFEITO!$K$199*EFEITO!$Y$199</f>
        <v>0</v>
      </c>
      <c r="N199" s="46">
        <f ca="1">$K$199-EFEITO!$M$199*EFEITO!$Z$199</f>
        <v>0</v>
      </c>
      <c r="O199" s="46">
        <f>$L$199-EFEITO!$O$199*EFEITO!$AA$199</f>
        <v>0</v>
      </c>
      <c r="P199" s="38"/>
      <c r="Q199" s="38"/>
      <c r="R199" s="38"/>
      <c r="S199" s="38"/>
      <c r="T199" s="38"/>
      <c r="U199" s="38"/>
      <c r="V199" s="38"/>
      <c r="W199" s="38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35" t="s">
        <v>21</v>
      </c>
      <c r="B200" s="35" t="s">
        <v>39</v>
      </c>
      <c r="C200" s="35" t="s">
        <v>40</v>
      </c>
      <c r="D200" s="35" t="s">
        <v>45</v>
      </c>
      <c r="E200" s="35" t="s">
        <v>25</v>
      </c>
      <c r="F200" s="35" t="s">
        <v>25</v>
      </c>
      <c r="G200" s="35" t="s">
        <v>25</v>
      </c>
      <c r="H200" s="35" t="s">
        <v>34</v>
      </c>
      <c r="I200" s="45">
        <v>44348</v>
      </c>
      <c r="J200" s="46">
        <f ca="1">EFEITO!$J$200*EFEITO!$Y$200</f>
        <v>12155.571198159827</v>
      </c>
      <c r="K200" s="46">
        <f ca="1">EFEITO!$L$200*EFEITO!$Z$200</f>
        <v>272.93255888181886</v>
      </c>
      <c r="L200" s="46">
        <f>EFEITO!$N$200*EFEITO!$AA$200</f>
        <v>2113.1222346913119</v>
      </c>
      <c r="M200" s="46">
        <f ca="1">$J$200-EFEITO!$K$200*EFEITO!$Y$200</f>
        <v>0</v>
      </c>
      <c r="N200" s="46">
        <f ca="1">$K$200-EFEITO!$M$200*EFEITO!$Z$200</f>
        <v>0</v>
      </c>
      <c r="O200" s="46">
        <f>$L$200-EFEITO!$O$200*EFEITO!$AA$200</f>
        <v>0</v>
      </c>
      <c r="P200" s="38"/>
      <c r="Q200" s="38"/>
      <c r="R200" s="38"/>
      <c r="S200" s="38"/>
      <c r="T200" s="38"/>
      <c r="U200" s="38"/>
      <c r="V200" s="38"/>
      <c r="W200" s="38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35" t="s">
        <v>21</v>
      </c>
      <c r="B201" s="35" t="s">
        <v>39</v>
      </c>
      <c r="C201" s="35" t="s">
        <v>40</v>
      </c>
      <c r="D201" s="35" t="s">
        <v>45</v>
      </c>
      <c r="E201" s="35" t="s">
        <v>25</v>
      </c>
      <c r="F201" s="35" t="s">
        <v>25</v>
      </c>
      <c r="G201" s="35" t="s">
        <v>25</v>
      </c>
      <c r="H201" s="35" t="s">
        <v>34</v>
      </c>
      <c r="I201" s="45">
        <v>44378</v>
      </c>
      <c r="J201" s="46">
        <f ca="1">EFEITO!$J$201*EFEITO!$Y$201</f>
        <v>12010.862017229352</v>
      </c>
      <c r="K201" s="46">
        <f ca="1">EFEITO!$L$201*EFEITO!$Z$201</f>
        <v>255.00922411395041</v>
      </c>
      <c r="L201" s="46">
        <f>EFEITO!$N$201*EFEITO!$AA$201</f>
        <v>1974.3546308078985</v>
      </c>
      <c r="M201" s="46">
        <f ca="1">$J$201-EFEITO!$K$201*EFEITO!$Y$201</f>
        <v>0</v>
      </c>
      <c r="N201" s="46">
        <f ca="1">$K$201-EFEITO!$M$201*EFEITO!$Z$201</f>
        <v>0</v>
      </c>
      <c r="O201" s="46">
        <f>$L$201-EFEITO!$O$201*EFEITO!$AA$201</f>
        <v>0</v>
      </c>
      <c r="P201" s="38"/>
      <c r="Q201" s="38"/>
      <c r="R201" s="38"/>
      <c r="S201" s="38"/>
      <c r="T201" s="38"/>
      <c r="U201" s="38"/>
      <c r="V201" s="38"/>
      <c r="W201" s="38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35" t="s">
        <v>21</v>
      </c>
      <c r="B202" s="35" t="s">
        <v>39</v>
      </c>
      <c r="C202" s="35" t="s">
        <v>40</v>
      </c>
      <c r="D202" s="35" t="s">
        <v>45</v>
      </c>
      <c r="E202" s="35" t="s">
        <v>25</v>
      </c>
      <c r="F202" s="35" t="s">
        <v>25</v>
      </c>
      <c r="G202" s="35" t="s">
        <v>25</v>
      </c>
      <c r="H202" s="35" t="s">
        <v>34</v>
      </c>
      <c r="I202" s="45">
        <v>44409</v>
      </c>
      <c r="J202" s="46">
        <f ca="1">EFEITO!$J$202*EFEITO!$Y$202</f>
        <v>12010.862017229352</v>
      </c>
      <c r="K202" s="46">
        <f ca="1">EFEITO!$L$202*EFEITO!$Z$202</f>
        <v>257.15006687789025</v>
      </c>
      <c r="L202" s="46">
        <f>EFEITO!$N$202*EFEITO!$AA$202</f>
        <v>1990.9296501606395</v>
      </c>
      <c r="M202" s="46">
        <f ca="1">$J$202-EFEITO!$K$202*EFEITO!$Y$202</f>
        <v>0</v>
      </c>
      <c r="N202" s="46">
        <f ca="1">$K$202-EFEITO!$M$202*EFEITO!$Z$202</f>
        <v>0</v>
      </c>
      <c r="O202" s="46">
        <f>$L$202-EFEITO!$O$202*EFEITO!$AA$202</f>
        <v>0</v>
      </c>
      <c r="P202" s="38"/>
      <c r="Q202" s="38"/>
      <c r="R202" s="38"/>
      <c r="S202" s="38"/>
      <c r="T202" s="38"/>
      <c r="U202" s="38"/>
      <c r="V202" s="38"/>
      <c r="W202" s="38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35" t="s">
        <v>21</v>
      </c>
      <c r="B203" s="35" t="s">
        <v>39</v>
      </c>
      <c r="C203" s="35" t="s">
        <v>40</v>
      </c>
      <c r="D203" s="35" t="s">
        <v>45</v>
      </c>
      <c r="E203" s="35" t="s">
        <v>25</v>
      </c>
      <c r="F203" s="35" t="s">
        <v>25</v>
      </c>
      <c r="G203" s="35" t="s">
        <v>25</v>
      </c>
      <c r="H203" s="35" t="s">
        <v>34</v>
      </c>
      <c r="I203" s="45">
        <v>44440</v>
      </c>
      <c r="J203" s="46">
        <f ca="1">EFEITO!$J$203*EFEITO!$Y$203</f>
        <v>12010.862017229352</v>
      </c>
      <c r="K203" s="46">
        <f ca="1">EFEITO!$L$203*EFEITO!$Z$203</f>
        <v>262.22834506211967</v>
      </c>
      <c r="L203" s="46">
        <f>EFEITO!$N$203*EFEITO!$AA$203</f>
        <v>2030.2471379276069</v>
      </c>
      <c r="M203" s="46">
        <f ca="1">$J$203-EFEITO!$K$203*EFEITO!$Y$203</f>
        <v>0</v>
      </c>
      <c r="N203" s="46">
        <f ca="1">$K$203-EFEITO!$M$203*EFEITO!$Z$203</f>
        <v>0</v>
      </c>
      <c r="O203" s="46">
        <f>$L$203-EFEITO!$O$203*EFEITO!$AA$203</f>
        <v>0</v>
      </c>
      <c r="P203" s="38"/>
      <c r="Q203" s="38"/>
      <c r="R203" s="38"/>
      <c r="S203" s="38"/>
      <c r="T203" s="38"/>
      <c r="U203" s="38"/>
      <c r="V203" s="38"/>
      <c r="W203" s="38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35" t="s">
        <v>21</v>
      </c>
      <c r="B204" s="35" t="s">
        <v>39</v>
      </c>
      <c r="C204" s="35" t="s">
        <v>40</v>
      </c>
      <c r="D204" s="35" t="s">
        <v>45</v>
      </c>
      <c r="E204" s="35" t="s">
        <v>25</v>
      </c>
      <c r="F204" s="35" t="s">
        <v>25</v>
      </c>
      <c r="G204" s="35" t="s">
        <v>25</v>
      </c>
      <c r="H204" s="35" t="s">
        <v>34</v>
      </c>
      <c r="I204" s="45">
        <v>44470</v>
      </c>
      <c r="J204" s="46">
        <f ca="1">EFEITO!$J$204*EFEITO!$Y$204</f>
        <v>12264.103083857683</v>
      </c>
      <c r="K204" s="46">
        <f ca="1">EFEITO!$L$204*EFEITO!$Z$204</f>
        <v>284.43336535786779</v>
      </c>
      <c r="L204" s="46">
        <f>EFEITO!$N$204*EFEITO!$AA$204</f>
        <v>2202.1647805165021</v>
      </c>
      <c r="M204" s="46">
        <f ca="1">$J$204-EFEITO!$K$204*EFEITO!$Y$204</f>
        <v>0</v>
      </c>
      <c r="N204" s="46">
        <f ca="1">$K$204-EFEITO!$M$204*EFEITO!$Z$204</f>
        <v>0</v>
      </c>
      <c r="O204" s="46">
        <f>$L$204-EFEITO!$O$204*EFEITO!$AA$204</f>
        <v>0</v>
      </c>
      <c r="P204" s="38"/>
      <c r="Q204" s="38"/>
      <c r="R204" s="38"/>
      <c r="S204" s="38"/>
      <c r="T204" s="38"/>
      <c r="U204" s="38"/>
      <c r="V204" s="38"/>
      <c r="W204" s="38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35" t="s">
        <v>21</v>
      </c>
      <c r="B205" s="35" t="s">
        <v>39</v>
      </c>
      <c r="C205" s="35" t="s">
        <v>40</v>
      </c>
      <c r="D205" s="35" t="s">
        <v>45</v>
      </c>
      <c r="E205" s="35" t="s">
        <v>25</v>
      </c>
      <c r="F205" s="35" t="s">
        <v>25</v>
      </c>
      <c r="G205" s="35" t="s">
        <v>25</v>
      </c>
      <c r="H205" s="35" t="s">
        <v>34</v>
      </c>
      <c r="I205" s="45">
        <v>44501</v>
      </c>
      <c r="J205" s="46">
        <f ca="1">EFEITO!$J$205*EFEITO!$Y$205</f>
        <v>12264.103083857683</v>
      </c>
      <c r="K205" s="46">
        <f ca="1">EFEITO!$L$205*EFEITO!$Z$205</f>
        <v>285.08059689115191</v>
      </c>
      <c r="L205" s="46">
        <f>EFEITO!$N$205*EFEITO!$AA$205</f>
        <v>2207.1758328789588</v>
      </c>
      <c r="M205" s="46">
        <f ca="1">$J$205-EFEITO!$K$205*EFEITO!$Y$205</f>
        <v>0</v>
      </c>
      <c r="N205" s="46">
        <f ca="1">$K$205-EFEITO!$M$205*EFEITO!$Z$205</f>
        <v>0</v>
      </c>
      <c r="O205" s="46">
        <f>$L$205-EFEITO!$O$205*EFEITO!$AA$205</f>
        <v>0</v>
      </c>
      <c r="P205" s="38"/>
      <c r="Q205" s="38"/>
      <c r="R205" s="38"/>
      <c r="S205" s="38"/>
      <c r="T205" s="38"/>
      <c r="U205" s="38"/>
      <c r="V205" s="38"/>
      <c r="W205" s="38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35" t="s">
        <v>21</v>
      </c>
      <c r="B206" s="35" t="s">
        <v>39</v>
      </c>
      <c r="C206" s="35" t="s">
        <v>40</v>
      </c>
      <c r="D206" s="35" t="s">
        <v>45</v>
      </c>
      <c r="E206" s="35" t="s">
        <v>25</v>
      </c>
      <c r="F206" s="35" t="s">
        <v>25</v>
      </c>
      <c r="G206" s="35" t="s">
        <v>25</v>
      </c>
      <c r="H206" s="35" t="s">
        <v>34</v>
      </c>
      <c r="I206" s="45">
        <v>44531</v>
      </c>
      <c r="J206" s="46">
        <f ca="1">EFEITO!$J$206*EFEITO!$Y$206</f>
        <v>12264.103083857683</v>
      </c>
      <c r="K206" s="46">
        <f ca="1">EFEITO!$L$206*EFEITO!$Z$206</f>
        <v>315.69962711959386</v>
      </c>
      <c r="L206" s="46">
        <f>EFEITO!$N$206*EFEITO!$AA$206</f>
        <v>2444.23715617979</v>
      </c>
      <c r="M206" s="46">
        <f ca="1">$J$206-EFEITO!$K$206*EFEITO!$Y$206</f>
        <v>0</v>
      </c>
      <c r="N206" s="46">
        <f ca="1">$K$206-EFEITO!$M$206*EFEITO!$Z$206</f>
        <v>0</v>
      </c>
      <c r="O206" s="46">
        <f>$L$206-EFEITO!$O$206*EFEITO!$AA$206</f>
        <v>0</v>
      </c>
      <c r="P206" s="38"/>
      <c r="Q206" s="38"/>
      <c r="R206" s="38"/>
      <c r="S206" s="38"/>
      <c r="T206" s="38"/>
      <c r="U206" s="38"/>
      <c r="V206" s="38"/>
      <c r="W206" s="38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35" t="s">
        <v>55</v>
      </c>
      <c r="B207" s="35" t="s">
        <v>39</v>
      </c>
      <c r="C207" s="35" t="s">
        <v>40</v>
      </c>
      <c r="D207" s="35" t="s">
        <v>45</v>
      </c>
      <c r="E207" s="35" t="s">
        <v>25</v>
      </c>
      <c r="F207" s="35" t="s">
        <v>25</v>
      </c>
      <c r="G207" s="35" t="s">
        <v>25</v>
      </c>
      <c r="H207" s="35" t="s">
        <v>34</v>
      </c>
      <c r="I207" s="45">
        <v>44562</v>
      </c>
      <c r="J207" s="46">
        <f ca="1">EFEITO!$J$207*EFEITO!$Y$207</f>
        <v>12264.103083857683</v>
      </c>
      <c r="K207" s="46">
        <f ca="1">EFEITO!$L$207*EFEITO!$Z$207</f>
        <v>315.69962711959386</v>
      </c>
      <c r="L207" s="46">
        <f>EFEITO!$N$207*EFEITO!$AA$207</f>
        <v>2444.23715617979</v>
      </c>
      <c r="M207" s="46">
        <f ca="1">$J$207-EFEITO!$K$207*EFEITO!$Y$207</f>
        <v>0</v>
      </c>
      <c r="N207" s="46">
        <f ca="1">$K$207-EFEITO!$M$207*EFEITO!$Z$207</f>
        <v>0</v>
      </c>
      <c r="O207" s="46">
        <f>$L$207-EFEITO!$O$207*EFEITO!$AA$207</f>
        <v>0</v>
      </c>
      <c r="P207" s="38"/>
      <c r="Q207" s="38"/>
      <c r="R207" s="38"/>
      <c r="S207" s="38"/>
      <c r="T207" s="38"/>
      <c r="U207" s="38"/>
      <c r="V207" s="38"/>
      <c r="W207" s="38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35" t="s">
        <v>21</v>
      </c>
      <c r="B208" s="35" t="s">
        <v>39</v>
      </c>
      <c r="C208" s="35" t="s">
        <v>40</v>
      </c>
      <c r="D208" s="35" t="s">
        <v>49</v>
      </c>
      <c r="E208" s="35" t="s">
        <v>50</v>
      </c>
      <c r="F208" s="35" t="s">
        <v>25</v>
      </c>
      <c r="G208" s="35" t="s">
        <v>25</v>
      </c>
      <c r="H208" s="35" t="s">
        <v>35</v>
      </c>
      <c r="I208" s="45">
        <v>44228</v>
      </c>
      <c r="J208" s="46">
        <f ca="1">EFEITO!$J$208*EFEITO!$Y$195</f>
        <v>25249.575390372112</v>
      </c>
      <c r="K208" s="46">
        <f ca="1">EFEITO!$L$208*EFEITO!$Z$195</f>
        <v>33768.209934197432</v>
      </c>
      <c r="L208" s="46">
        <f>EFEITO!$N$208*EFEITO!$AA$195</f>
        <v>161797.78144371987</v>
      </c>
      <c r="M208" s="46">
        <f ca="1">$J$208-EFEITO!$K$208*EFEITO!$Y$208</f>
        <v>757.48726171116141</v>
      </c>
      <c r="N208" s="46">
        <f ca="1">$K$208-EFEITO!$M$208*EFEITO!$Z$208</f>
        <v>1013.0462980259254</v>
      </c>
      <c r="O208" s="46">
        <f>$L$208-EFEITO!$O$208*EFEITO!$AA$208</f>
        <v>4853.933443311631</v>
      </c>
      <c r="P208" s="38"/>
      <c r="Q208" s="38"/>
      <c r="R208" s="38"/>
      <c r="S208" s="38"/>
      <c r="T208" s="38"/>
      <c r="U208" s="38"/>
      <c r="V208" s="38"/>
      <c r="W208" s="38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35" t="s">
        <v>21</v>
      </c>
      <c r="B209" s="35" t="s">
        <v>39</v>
      </c>
      <c r="C209" s="35" t="s">
        <v>40</v>
      </c>
      <c r="D209" s="35" t="s">
        <v>49</v>
      </c>
      <c r="E209" s="35" t="s">
        <v>50</v>
      </c>
      <c r="F209" s="35" t="s">
        <v>25</v>
      </c>
      <c r="G209" s="35" t="s">
        <v>25</v>
      </c>
      <c r="H209" s="35" t="s">
        <v>35</v>
      </c>
      <c r="I209" s="45">
        <v>44256</v>
      </c>
      <c r="J209" s="46">
        <f ca="1">EFEITO!$J$209*EFEITO!$Y$195</f>
        <v>25481.714343748943</v>
      </c>
      <c r="K209" s="46">
        <f ca="1">EFEITO!$L$209*EFEITO!$Z$195</f>
        <v>35663.851521104625</v>
      </c>
      <c r="L209" s="46">
        <f>EFEITO!$N$209*EFEITO!$AA$195</f>
        <v>170880.60235047532</v>
      </c>
      <c r="M209" s="46">
        <f ca="1">$J$209-EFEITO!$K$209*EFEITO!$Y$209</f>
        <v>764.45143031246698</v>
      </c>
      <c r="N209" s="46">
        <f ca="1">$K$209-EFEITO!$M$209*EFEITO!$Z$209</f>
        <v>1069.9155456331428</v>
      </c>
      <c r="O209" s="46">
        <f>$L$209-EFEITO!$O$209*EFEITO!$AA$209</f>
        <v>5126.418070514279</v>
      </c>
      <c r="P209" s="38"/>
      <c r="Q209" s="38"/>
      <c r="R209" s="38"/>
      <c r="S209" s="38"/>
      <c r="T209" s="38"/>
      <c r="U209" s="38"/>
      <c r="V209" s="38"/>
      <c r="W209" s="38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35" t="s">
        <v>21</v>
      </c>
      <c r="B210" s="35" t="s">
        <v>39</v>
      </c>
      <c r="C210" s="35" t="s">
        <v>40</v>
      </c>
      <c r="D210" s="35" t="s">
        <v>49</v>
      </c>
      <c r="E210" s="35" t="s">
        <v>50</v>
      </c>
      <c r="F210" s="35" t="s">
        <v>25</v>
      </c>
      <c r="G210" s="35" t="s">
        <v>25</v>
      </c>
      <c r="H210" s="35" t="s">
        <v>35</v>
      </c>
      <c r="I210" s="45">
        <v>44287</v>
      </c>
      <c r="J210" s="46">
        <f ca="1">EFEITO!$J$210*EFEITO!$Y$195</f>
        <v>25463.857501181494</v>
      </c>
      <c r="K210" s="46">
        <f ca="1">EFEITO!$L$210*EFEITO!$Z$195</f>
        <v>34754.989087250629</v>
      </c>
      <c r="L210" s="46">
        <f>EFEITO!$N$210*EFEITO!$AA$195</f>
        <v>166525.85788158968</v>
      </c>
      <c r="M210" s="46">
        <f ca="1">$J$210-EFEITO!$K$210*EFEITO!$Y$210</f>
        <v>763.91572503544376</v>
      </c>
      <c r="N210" s="46">
        <f ca="1">$K$210-EFEITO!$M$210*EFEITO!$Z$210</f>
        <v>1042.6496726175174</v>
      </c>
      <c r="O210" s="46">
        <f>$L$210-EFEITO!$O$210*EFEITO!$AA$210</f>
        <v>4995.7757364477147</v>
      </c>
      <c r="P210" s="38"/>
      <c r="Q210" s="38"/>
      <c r="R210" s="38"/>
      <c r="S210" s="38"/>
      <c r="T210" s="38"/>
      <c r="U210" s="38"/>
      <c r="V210" s="38"/>
      <c r="W210" s="38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35" t="s">
        <v>21</v>
      </c>
      <c r="B211" s="35" t="s">
        <v>39</v>
      </c>
      <c r="C211" s="35" t="s">
        <v>40</v>
      </c>
      <c r="D211" s="35" t="s">
        <v>49</v>
      </c>
      <c r="E211" s="35" t="s">
        <v>50</v>
      </c>
      <c r="F211" s="35" t="s">
        <v>25</v>
      </c>
      <c r="G211" s="35" t="s">
        <v>25</v>
      </c>
      <c r="H211" s="35" t="s">
        <v>35</v>
      </c>
      <c r="I211" s="45">
        <v>44317</v>
      </c>
      <c r="J211" s="46">
        <f ca="1">EFEITO!$J$211*EFEITO!$Y$195</f>
        <v>24892.438539023144</v>
      </c>
      <c r="K211" s="46">
        <f ca="1">EFEITO!$L$211*EFEITO!$Z$195</f>
        <v>34476.13187048721</v>
      </c>
      <c r="L211" s="46">
        <f>EFEITO!$N$211*EFEITO!$AA$195</f>
        <v>165189.73496895048</v>
      </c>
      <c r="M211" s="46">
        <f ca="1">$J$211-EFEITO!$K$211*EFEITO!$Y$211</f>
        <v>746.77315617069326</v>
      </c>
      <c r="N211" s="46">
        <f ca="1">$K$211-EFEITO!$M$211*EFEITO!$Z$211</f>
        <v>1034.2839561146175</v>
      </c>
      <c r="O211" s="46">
        <f>$L$211-EFEITO!$O$211*EFEITO!$AA$211</f>
        <v>4955.6920490685152</v>
      </c>
      <c r="P211" s="38"/>
      <c r="Q211" s="38"/>
      <c r="R211" s="38"/>
      <c r="S211" s="38"/>
      <c r="T211" s="38"/>
      <c r="U211" s="38"/>
      <c r="V211" s="38"/>
      <c r="W211" s="38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35" t="s">
        <v>21</v>
      </c>
      <c r="B212" s="35" t="s">
        <v>39</v>
      </c>
      <c r="C212" s="35" t="s">
        <v>40</v>
      </c>
      <c r="D212" s="35" t="s">
        <v>49</v>
      </c>
      <c r="E212" s="35" t="s">
        <v>50</v>
      </c>
      <c r="F212" s="35" t="s">
        <v>25</v>
      </c>
      <c r="G212" s="35" t="s">
        <v>25</v>
      </c>
      <c r="H212" s="35" t="s">
        <v>35</v>
      </c>
      <c r="I212" s="45">
        <v>44348</v>
      </c>
      <c r="J212" s="46">
        <f ca="1">EFEITO!$J$212*EFEITO!$Y$195</f>
        <v>25106.720649832525</v>
      </c>
      <c r="K212" s="46">
        <f ca="1">EFEITO!$L$212*EFEITO!$Z$195</f>
        <v>36778.08549917378</v>
      </c>
      <c r="L212" s="46">
        <f>EFEITO!$N$212*EFEITO!$AA$195</f>
        <v>176219.36878233845</v>
      </c>
      <c r="M212" s="46">
        <f ca="1">$J$212-EFEITO!$K$212*EFEITO!$Y$212</f>
        <v>753.2016194949756</v>
      </c>
      <c r="N212" s="46">
        <f ca="1">$K$212-EFEITO!$M$212*EFEITO!$Z$212</f>
        <v>1103.3425649752171</v>
      </c>
      <c r="O212" s="46">
        <f>$L$212-EFEITO!$O$212*EFEITO!$AA$212</f>
        <v>5286.581063470192</v>
      </c>
      <c r="P212" s="38"/>
      <c r="Q212" s="38"/>
      <c r="R212" s="38"/>
      <c r="S212" s="38"/>
      <c r="T212" s="38"/>
      <c r="U212" s="38"/>
      <c r="V212" s="38"/>
      <c r="W212" s="38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35" t="s">
        <v>21</v>
      </c>
      <c r="B213" s="35" t="s">
        <v>39</v>
      </c>
      <c r="C213" s="35" t="s">
        <v>40</v>
      </c>
      <c r="D213" s="35" t="s">
        <v>49</v>
      </c>
      <c r="E213" s="35" t="s">
        <v>50</v>
      </c>
      <c r="F213" s="35" t="s">
        <v>25</v>
      </c>
      <c r="G213" s="35" t="s">
        <v>25</v>
      </c>
      <c r="H213" s="35" t="s">
        <v>35</v>
      </c>
      <c r="I213" s="45">
        <v>44378</v>
      </c>
      <c r="J213" s="46">
        <f ca="1">EFEITO!$J$213*EFEITO!$Y$195</f>
        <v>25446.000658614044</v>
      </c>
      <c r="K213" s="46">
        <f ca="1">EFEITO!$L$213*EFEITO!$Z$195</f>
        <v>34516.708308920024</v>
      </c>
      <c r="L213" s="46">
        <f>EFEITO!$N$213*EFEITO!$AA$195</f>
        <v>165384.15385375693</v>
      </c>
      <c r="M213" s="46">
        <f ca="1">$J$213-EFEITO!$K$213*EFEITO!$Y$213</f>
        <v>763.38001975842053</v>
      </c>
      <c r="N213" s="46">
        <f ca="1">$K$213-EFEITO!$M$213*EFEITO!$Z$213</f>
        <v>1035.5012492676033</v>
      </c>
      <c r="O213" s="46">
        <f>$L$213-EFEITO!$O$213*EFEITO!$AA$213</f>
        <v>4961.5246156126959</v>
      </c>
      <c r="P213" s="38"/>
      <c r="Q213" s="38"/>
      <c r="R213" s="38"/>
      <c r="S213" s="38"/>
      <c r="T213" s="38"/>
      <c r="U213" s="38"/>
      <c r="V213" s="38"/>
      <c r="W213" s="38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35" t="s">
        <v>21</v>
      </c>
      <c r="B214" s="35" t="s">
        <v>39</v>
      </c>
      <c r="C214" s="35" t="s">
        <v>40</v>
      </c>
      <c r="D214" s="35" t="s">
        <v>49</v>
      </c>
      <c r="E214" s="35" t="s">
        <v>50</v>
      </c>
      <c r="F214" s="35" t="s">
        <v>25</v>
      </c>
      <c r="G214" s="35" t="s">
        <v>25</v>
      </c>
      <c r="H214" s="35" t="s">
        <v>35</v>
      </c>
      <c r="I214" s="45">
        <v>44409</v>
      </c>
      <c r="J214" s="46">
        <f ca="1">EFEITO!$J$214*EFEITO!$Y$195</f>
        <v>24928.152224158039</v>
      </c>
      <c r="K214" s="46">
        <f ca="1">EFEITO!$L$214*EFEITO!$Z$195</f>
        <v>35331.77195748884</v>
      </c>
      <c r="L214" s="46">
        <f>EFEITO!$N$214*EFEITO!$AA$195</f>
        <v>169289.46865518816</v>
      </c>
      <c r="M214" s="46">
        <f ca="1">$J$214-EFEITO!$K$214*EFEITO!$Y$214</f>
        <v>747.84456672473971</v>
      </c>
      <c r="N214" s="46">
        <f ca="1">$K$214-EFEITO!$M$214*EFEITO!$Z$214</f>
        <v>1059.9531587246674</v>
      </c>
      <c r="O214" s="46">
        <f>$L$214-EFEITO!$O$214*EFEITO!$AA$214</f>
        <v>5078.6840596556431</v>
      </c>
      <c r="P214" s="38"/>
      <c r="Q214" s="38"/>
      <c r="R214" s="38"/>
      <c r="S214" s="38"/>
      <c r="T214" s="38"/>
      <c r="U214" s="38"/>
      <c r="V214" s="38"/>
      <c r="W214" s="38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35" t="s">
        <v>21</v>
      </c>
      <c r="B215" s="35" t="s">
        <v>39</v>
      </c>
      <c r="C215" s="35" t="s">
        <v>40</v>
      </c>
      <c r="D215" s="35" t="s">
        <v>49</v>
      </c>
      <c r="E215" s="35" t="s">
        <v>50</v>
      </c>
      <c r="F215" s="35" t="s">
        <v>25</v>
      </c>
      <c r="G215" s="35" t="s">
        <v>25</v>
      </c>
      <c r="H215" s="35" t="s">
        <v>35</v>
      </c>
      <c r="I215" s="45">
        <v>44440</v>
      </c>
      <c r="J215" s="46">
        <f ca="1">EFEITO!$J$215*EFEITO!$Y$195</f>
        <v>25213.861705237217</v>
      </c>
      <c r="K215" s="46">
        <f ca="1">EFEITO!$L$215*EFEITO!$Z$195</f>
        <v>34895.488117014305</v>
      </c>
      <c r="L215" s="46">
        <f>EFEITO!$N$215*EFEITO!$AA$195</f>
        <v>167199.04817965571</v>
      </c>
      <c r="M215" s="46">
        <f ca="1">$J$215-EFEITO!$K$215*EFEITO!$Y$215</f>
        <v>756.4158511571186</v>
      </c>
      <c r="N215" s="46">
        <f ca="1">$K$215-EFEITO!$M$215*EFEITO!$Z$215</f>
        <v>1046.8646435104238</v>
      </c>
      <c r="O215" s="46">
        <f>$L$215-EFEITO!$O$215*EFEITO!$AA$215</f>
        <v>5015.9714453897031</v>
      </c>
      <c r="P215" s="38"/>
      <c r="Q215" s="38"/>
      <c r="R215" s="38"/>
      <c r="S215" s="38"/>
      <c r="T215" s="38"/>
      <c r="U215" s="38"/>
      <c r="V215" s="38"/>
      <c r="W215" s="38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35" t="s">
        <v>21</v>
      </c>
      <c r="B216" s="35" t="s">
        <v>39</v>
      </c>
      <c r="C216" s="35" t="s">
        <v>40</v>
      </c>
      <c r="D216" s="35" t="s">
        <v>49</v>
      </c>
      <c r="E216" s="35" t="s">
        <v>50</v>
      </c>
      <c r="F216" s="35" t="s">
        <v>25</v>
      </c>
      <c r="G216" s="35" t="s">
        <v>25</v>
      </c>
      <c r="H216" s="35" t="s">
        <v>35</v>
      </c>
      <c r="I216" s="45">
        <v>44470</v>
      </c>
      <c r="J216" s="46">
        <f ca="1">EFEITO!$J$216*EFEITO!$Y$195</f>
        <v>25535.284871451287</v>
      </c>
      <c r="K216" s="46">
        <f ca="1">EFEITO!$L$216*EFEITO!$Z$195</f>
        <v>36018.335253180245</v>
      </c>
      <c r="L216" s="46">
        <f>EFEITO!$N$216*EFEITO!$AA$195</f>
        <v>172579.08389626915</v>
      </c>
      <c r="M216" s="46">
        <f ca="1">$J$216-EFEITO!$K$216*EFEITO!$Y$216</f>
        <v>766.05854614353666</v>
      </c>
      <c r="N216" s="46">
        <f ca="1">$K$216-EFEITO!$M$216*EFEITO!$Z$216</f>
        <v>1080.5500575954065</v>
      </c>
      <c r="O216" s="46">
        <f>$L$216-EFEITO!$O$216*EFEITO!$AA$216</f>
        <v>5177.3725168881065</v>
      </c>
      <c r="P216" s="38"/>
      <c r="Q216" s="38"/>
      <c r="R216" s="38"/>
      <c r="S216" s="38"/>
      <c r="T216" s="38"/>
      <c r="U216" s="38"/>
      <c r="V216" s="38"/>
      <c r="W216" s="38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35" t="s">
        <v>21</v>
      </c>
      <c r="B217" s="35" t="s">
        <v>39</v>
      </c>
      <c r="C217" s="35" t="s">
        <v>40</v>
      </c>
      <c r="D217" s="35" t="s">
        <v>49</v>
      </c>
      <c r="E217" s="35" t="s">
        <v>50</v>
      </c>
      <c r="F217" s="35" t="s">
        <v>25</v>
      </c>
      <c r="G217" s="35" t="s">
        <v>25</v>
      </c>
      <c r="H217" s="35" t="s">
        <v>35</v>
      </c>
      <c r="I217" s="45">
        <v>44501</v>
      </c>
      <c r="J217" s="46">
        <f ca="1">EFEITO!$J$217*EFEITO!$Y$195</f>
        <v>25481.714343748943</v>
      </c>
      <c r="K217" s="46">
        <f ca="1">EFEITO!$L$217*EFEITO!$Z$195</f>
        <v>37473.809610413206</v>
      </c>
      <c r="L217" s="46">
        <f>EFEITO!$N$217*EFEITO!$AA$195</f>
        <v>179552.8773667377</v>
      </c>
      <c r="M217" s="46">
        <f ca="1">$J$217-EFEITO!$K$217*EFEITO!$Y$217</f>
        <v>764.45143031246698</v>
      </c>
      <c r="N217" s="46">
        <f ca="1">$K$217-EFEITO!$M$217*EFEITO!$Z$217</f>
        <v>1124.2142883123961</v>
      </c>
      <c r="O217" s="46">
        <f>$L$217-EFEITO!$O$217*EFEITO!$AA$217</f>
        <v>5386.5863210021344</v>
      </c>
      <c r="P217" s="38"/>
      <c r="Q217" s="38"/>
      <c r="R217" s="38"/>
      <c r="S217" s="38"/>
      <c r="T217" s="38"/>
      <c r="U217" s="38"/>
      <c r="V217" s="38"/>
      <c r="W217" s="38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35" t="s">
        <v>21</v>
      </c>
      <c r="B218" s="35" t="s">
        <v>39</v>
      </c>
      <c r="C218" s="35" t="s">
        <v>40</v>
      </c>
      <c r="D218" s="35" t="s">
        <v>49</v>
      </c>
      <c r="E218" s="35" t="s">
        <v>50</v>
      </c>
      <c r="F218" s="35" t="s">
        <v>25</v>
      </c>
      <c r="G218" s="35" t="s">
        <v>25</v>
      </c>
      <c r="H218" s="35" t="s">
        <v>35</v>
      </c>
      <c r="I218" s="45">
        <v>44531</v>
      </c>
      <c r="J218" s="46">
        <f ca="1">EFEITO!$J$218*EFEITO!$Y$195</f>
        <v>25481.714343748943</v>
      </c>
      <c r="K218" s="46">
        <f ca="1">EFEITO!$L$218*EFEITO!$Z$195</f>
        <v>38169.284786447519</v>
      </c>
      <c r="L218" s="46">
        <f>EFEITO!$N$218*EFEITO!$AA$195</f>
        <v>182885.19319724242</v>
      </c>
      <c r="M218" s="46">
        <f ca="1">$J$218-EFEITO!$K$218*EFEITO!$Y$218</f>
        <v>764.45143031246698</v>
      </c>
      <c r="N218" s="46">
        <f ca="1">$K$218-EFEITO!$M$218*EFEITO!$Z$218</f>
        <v>1145.0785435934231</v>
      </c>
      <c r="O218" s="46">
        <f>$L$218-EFEITO!$O$218*EFEITO!$AA$218</f>
        <v>5486.5557959172875</v>
      </c>
      <c r="P218" s="38"/>
      <c r="Q218" s="38"/>
      <c r="R218" s="38"/>
      <c r="S218" s="38"/>
      <c r="T218" s="38"/>
      <c r="U218" s="38"/>
      <c r="V218" s="38"/>
      <c r="W218" s="38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35" t="s">
        <v>55</v>
      </c>
      <c r="B219" s="35" t="s">
        <v>39</v>
      </c>
      <c r="C219" s="35" t="s">
        <v>40</v>
      </c>
      <c r="D219" s="35" t="s">
        <v>49</v>
      </c>
      <c r="E219" s="35" t="s">
        <v>50</v>
      </c>
      <c r="F219" s="35" t="s">
        <v>25</v>
      </c>
      <c r="G219" s="35" t="s">
        <v>25</v>
      </c>
      <c r="H219" s="35" t="s">
        <v>35</v>
      </c>
      <c r="I219" s="45">
        <v>44562</v>
      </c>
      <c r="J219" s="46">
        <f ca="1">EFEITO!$J$219*EFEITO!$Y$195</f>
        <v>25481.714343748943</v>
      </c>
      <c r="K219" s="46">
        <f ca="1">EFEITO!$L$219*EFEITO!$Z$195</f>
        <v>38169.284786447519</v>
      </c>
      <c r="L219" s="46">
        <f>EFEITO!$N$219*EFEITO!$AA$195</f>
        <v>182885.19319724242</v>
      </c>
      <c r="M219" s="46">
        <f ca="1">$J$219-EFEITO!$K$219*EFEITO!$Y$219</f>
        <v>764.45143031246698</v>
      </c>
      <c r="N219" s="46">
        <f ca="1">$K$219-EFEITO!$M$219*EFEITO!$Z$219</f>
        <v>1145.0785435934231</v>
      </c>
      <c r="O219" s="46">
        <f>$L$219-EFEITO!$O$219*EFEITO!$AA$219</f>
        <v>5486.5557959172875</v>
      </c>
      <c r="P219" s="38"/>
      <c r="Q219" s="38"/>
      <c r="R219" s="38"/>
      <c r="S219" s="38"/>
      <c r="T219" s="38"/>
      <c r="U219" s="38"/>
      <c r="V219" s="38"/>
      <c r="W219" s="38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35" t="s">
        <v>21</v>
      </c>
      <c r="B220" s="35" t="s">
        <v>39</v>
      </c>
      <c r="C220" s="35" t="s">
        <v>40</v>
      </c>
      <c r="D220" s="35" t="s">
        <v>49</v>
      </c>
      <c r="E220" s="35" t="s">
        <v>50</v>
      </c>
      <c r="F220" s="35" t="s">
        <v>25</v>
      </c>
      <c r="G220" s="35" t="s">
        <v>25</v>
      </c>
      <c r="H220" s="35" t="s">
        <v>34</v>
      </c>
      <c r="I220" s="45">
        <v>44228</v>
      </c>
      <c r="J220" s="46">
        <f ca="1">EFEITO!$J$220*EFEITO!$Y$207</f>
        <v>49382.007992524297</v>
      </c>
      <c r="K220" s="46">
        <f ca="1">EFEITO!$L$220*EFEITO!$Z$207</f>
        <v>3514.7161609379791</v>
      </c>
      <c r="L220" s="46">
        <f>EFEITO!$N$220*EFEITO!$AA$207</f>
        <v>27211.941655971026</v>
      </c>
      <c r="M220" s="46">
        <f ca="1">$J$220-EFEITO!$K$220*EFEITO!$Y$220</f>
        <v>1481.4602397757335</v>
      </c>
      <c r="N220" s="46">
        <f ca="1">$K$220-EFEITO!$M$220*EFEITO!$Z$220</f>
        <v>105.44148482813898</v>
      </c>
      <c r="O220" s="46">
        <f>$L$220-EFEITO!$O$220*EFEITO!$AA$220</f>
        <v>816.35824967913504</v>
      </c>
      <c r="P220" s="38"/>
      <c r="Q220" s="38"/>
      <c r="R220" s="38"/>
      <c r="S220" s="38"/>
      <c r="T220" s="38"/>
      <c r="U220" s="38"/>
      <c r="V220" s="38"/>
      <c r="W220" s="38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35" t="s">
        <v>21</v>
      </c>
      <c r="B221" s="35" t="s">
        <v>39</v>
      </c>
      <c r="C221" s="35" t="s">
        <v>40</v>
      </c>
      <c r="D221" s="35" t="s">
        <v>49</v>
      </c>
      <c r="E221" s="35" t="s">
        <v>50</v>
      </c>
      <c r="F221" s="35" t="s">
        <v>25</v>
      </c>
      <c r="G221" s="35" t="s">
        <v>25</v>
      </c>
      <c r="H221" s="35" t="s">
        <v>34</v>
      </c>
      <c r="I221" s="45">
        <v>44256</v>
      </c>
      <c r="J221" s="46">
        <f ca="1">EFEITO!$J$221*EFEITO!$Y$207</f>
        <v>49237.298811593821</v>
      </c>
      <c r="K221" s="46">
        <f ca="1">EFEITO!$L$221*EFEITO!$Z$207</f>
        <v>3855.9565401017858</v>
      </c>
      <c r="L221" s="46">
        <f>EFEITO!$N$221*EFEITO!$AA$207</f>
        <v>29853.922647684678</v>
      </c>
      <c r="M221" s="46">
        <f ca="1">$J$221-EFEITO!$K$221*EFEITO!$Y$221</f>
        <v>1477.1189643478137</v>
      </c>
      <c r="N221" s="46">
        <f ca="1">$K$221-EFEITO!$M$221*EFEITO!$Z$221</f>
        <v>115.67869620305373</v>
      </c>
      <c r="O221" s="46">
        <f>$L$221-EFEITO!$O$221*EFEITO!$AA$221</f>
        <v>895.61767943054292</v>
      </c>
      <c r="P221" s="38"/>
      <c r="Q221" s="38"/>
      <c r="R221" s="38"/>
      <c r="S221" s="38"/>
      <c r="T221" s="38"/>
      <c r="U221" s="38"/>
      <c r="V221" s="38"/>
      <c r="W221" s="38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35" t="s">
        <v>21</v>
      </c>
      <c r="B222" s="35" t="s">
        <v>39</v>
      </c>
      <c r="C222" s="35" t="s">
        <v>40</v>
      </c>
      <c r="D222" s="35" t="s">
        <v>49</v>
      </c>
      <c r="E222" s="35" t="s">
        <v>50</v>
      </c>
      <c r="F222" s="35" t="s">
        <v>25</v>
      </c>
      <c r="G222" s="35" t="s">
        <v>25</v>
      </c>
      <c r="H222" s="35" t="s">
        <v>34</v>
      </c>
      <c r="I222" s="45">
        <v>44287</v>
      </c>
      <c r="J222" s="46">
        <f ca="1">EFEITO!$J$222*EFEITO!$Y$207</f>
        <v>49164.944221128586</v>
      </c>
      <c r="K222" s="46">
        <f ca="1">EFEITO!$L$222*EFEITO!$Z$207</f>
        <v>3326.4215717933171</v>
      </c>
      <c r="L222" s="46">
        <f>EFEITO!$N$222*EFEITO!$AA$207</f>
        <v>25754.110884062498</v>
      </c>
      <c r="M222" s="46">
        <f ca="1">$J$222-EFEITO!$K$222*EFEITO!$Y$222</f>
        <v>1474.9483266338648</v>
      </c>
      <c r="N222" s="46">
        <f ca="1">$K$222-EFEITO!$M$222*EFEITO!$Z$222</f>
        <v>99.792647153799408</v>
      </c>
      <c r="O222" s="46">
        <f>$L$222-EFEITO!$O$222*EFEITO!$AA$222</f>
        <v>772.62332652187615</v>
      </c>
      <c r="P222" s="38"/>
      <c r="Q222" s="38"/>
      <c r="R222" s="38"/>
      <c r="S222" s="38"/>
      <c r="T222" s="38"/>
      <c r="U222" s="38"/>
      <c r="V222" s="38"/>
      <c r="W222" s="38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35" t="s">
        <v>21</v>
      </c>
      <c r="B223" s="35" t="s">
        <v>39</v>
      </c>
      <c r="C223" s="35" t="s">
        <v>40</v>
      </c>
      <c r="D223" s="35" t="s">
        <v>49</v>
      </c>
      <c r="E223" s="35" t="s">
        <v>50</v>
      </c>
      <c r="F223" s="35" t="s">
        <v>25</v>
      </c>
      <c r="G223" s="35" t="s">
        <v>25</v>
      </c>
      <c r="H223" s="35" t="s">
        <v>34</v>
      </c>
      <c r="I223" s="45">
        <v>44317</v>
      </c>
      <c r="J223" s="46">
        <f ca="1">EFEITO!$J$223*EFEITO!$Y$207</f>
        <v>48658.462087871929</v>
      </c>
      <c r="K223" s="46">
        <f ca="1">EFEITO!$L$223*EFEITO!$Z$207</f>
        <v>3199.9127005567793</v>
      </c>
      <c r="L223" s="46">
        <f>EFEITO!$N$223*EFEITO!$AA$207</f>
        <v>24774.642879985407</v>
      </c>
      <c r="M223" s="46">
        <f ca="1">$J$223-EFEITO!$K$223*EFEITO!$Y$223</f>
        <v>1459.7538626361638</v>
      </c>
      <c r="N223" s="46">
        <f ca="1">$K$223-EFEITO!$M$223*EFEITO!$Z$223</f>
        <v>95.997381016703457</v>
      </c>
      <c r="O223" s="46">
        <f>$L$223-EFEITO!$O$223*EFEITO!$AA$223</f>
        <v>743.23928639956284</v>
      </c>
      <c r="P223" s="38"/>
      <c r="Q223" s="38"/>
      <c r="R223" s="38"/>
      <c r="S223" s="38"/>
      <c r="T223" s="38"/>
      <c r="U223" s="38"/>
      <c r="V223" s="38"/>
      <c r="W223" s="38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35" t="s">
        <v>21</v>
      </c>
      <c r="B224" s="35" t="s">
        <v>39</v>
      </c>
      <c r="C224" s="35" t="s">
        <v>40</v>
      </c>
      <c r="D224" s="35" t="s">
        <v>49</v>
      </c>
      <c r="E224" s="35" t="s">
        <v>50</v>
      </c>
      <c r="F224" s="35" t="s">
        <v>25</v>
      </c>
      <c r="G224" s="35" t="s">
        <v>25</v>
      </c>
      <c r="H224" s="35" t="s">
        <v>34</v>
      </c>
      <c r="I224" s="45">
        <v>44348</v>
      </c>
      <c r="J224" s="46">
        <f ca="1">EFEITO!$J$224*EFEITO!$Y$207</f>
        <v>49852.312830548341</v>
      </c>
      <c r="K224" s="46">
        <f ca="1">EFEITO!$L$224*EFEITO!$Z$207</f>
        <v>3339.7644987871749</v>
      </c>
      <c r="L224" s="46">
        <f>EFEITO!$N$224*EFEITO!$AA$207</f>
        <v>25857.415655842375</v>
      </c>
      <c r="M224" s="46">
        <f ca="1">$J$224-EFEITO!$K$224*EFEITO!$Y$224</f>
        <v>1495.56938491646</v>
      </c>
      <c r="N224" s="46">
        <f ca="1">$K$224-EFEITO!$M$224*EFEITO!$Z$224</f>
        <v>100.19293496361524</v>
      </c>
      <c r="O224" s="46">
        <f>$L$224-EFEITO!$O$224*EFEITO!$AA$224</f>
        <v>775.72246967527462</v>
      </c>
      <c r="P224" s="38"/>
      <c r="Q224" s="38"/>
      <c r="R224" s="38"/>
      <c r="S224" s="38"/>
      <c r="T224" s="38"/>
      <c r="U224" s="38"/>
      <c r="V224" s="38"/>
      <c r="W224" s="38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35" t="s">
        <v>21</v>
      </c>
      <c r="B225" s="35" t="s">
        <v>39</v>
      </c>
      <c r="C225" s="35" t="s">
        <v>40</v>
      </c>
      <c r="D225" s="35" t="s">
        <v>49</v>
      </c>
      <c r="E225" s="35" t="s">
        <v>50</v>
      </c>
      <c r="F225" s="35" t="s">
        <v>25</v>
      </c>
      <c r="G225" s="35" t="s">
        <v>25</v>
      </c>
      <c r="H225" s="35" t="s">
        <v>34</v>
      </c>
      <c r="I225" s="45">
        <v>44378</v>
      </c>
      <c r="J225" s="46">
        <f ca="1">EFEITO!$J$225*EFEITO!$Y$207</f>
        <v>50756.745211363799</v>
      </c>
      <c r="K225" s="46">
        <f ca="1">EFEITO!$L$225*EFEITO!$Z$207</f>
        <v>3558.5785440782352</v>
      </c>
      <c r="L225" s="46">
        <f>EFEITO!$N$225*EFEITO!$AA$207</f>
        <v>27551.536819919045</v>
      </c>
      <c r="M225" s="46">
        <f ca="1">$J$225-EFEITO!$K$225*EFEITO!$Y$225</f>
        <v>1522.7023563409166</v>
      </c>
      <c r="N225" s="46">
        <f ca="1">$K$225-EFEITO!$M$225*EFEITO!$Z$225</f>
        <v>106.75735632234682</v>
      </c>
      <c r="O225" s="46">
        <f>$L$225-EFEITO!$O$225*EFEITO!$AA$225</f>
        <v>826.54610459757532</v>
      </c>
      <c r="P225" s="38"/>
      <c r="Q225" s="38"/>
      <c r="R225" s="38"/>
      <c r="S225" s="38"/>
      <c r="T225" s="38"/>
      <c r="U225" s="38"/>
      <c r="V225" s="38"/>
      <c r="W225" s="38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35" t="s">
        <v>21</v>
      </c>
      <c r="B226" s="35" t="s">
        <v>39</v>
      </c>
      <c r="C226" s="35" t="s">
        <v>40</v>
      </c>
      <c r="D226" s="35" t="s">
        <v>49</v>
      </c>
      <c r="E226" s="35" t="s">
        <v>50</v>
      </c>
      <c r="F226" s="35" t="s">
        <v>25</v>
      </c>
      <c r="G226" s="35" t="s">
        <v>25</v>
      </c>
      <c r="H226" s="35" t="s">
        <v>34</v>
      </c>
      <c r="I226" s="45">
        <v>44409</v>
      </c>
      <c r="J226" s="46">
        <f ca="1">EFEITO!$J$226*EFEITO!$Y$207</f>
        <v>43665.995345770571</v>
      </c>
      <c r="K226" s="46">
        <f ca="1">EFEITO!$L$226*EFEITO!$Z$207</f>
        <v>3526.8144119062904</v>
      </c>
      <c r="L226" s="46">
        <f>EFEITO!$N$226*EFEITO!$AA$207</f>
        <v>27305.609788592326</v>
      </c>
      <c r="M226" s="46">
        <f ca="1">$J$226-EFEITO!$K$226*EFEITO!$Y$226</f>
        <v>1309.9798603731251</v>
      </c>
      <c r="N226" s="46">
        <f ca="1">$K$226-EFEITO!$M$226*EFEITO!$Z$226</f>
        <v>105.80443235718894</v>
      </c>
      <c r="O226" s="46">
        <f>$L$226-EFEITO!$O$226*EFEITO!$AA$226</f>
        <v>819.16829365777085</v>
      </c>
      <c r="P226" s="38"/>
      <c r="Q226" s="38"/>
      <c r="R226" s="38"/>
      <c r="S226" s="38"/>
      <c r="T226" s="38"/>
      <c r="U226" s="38"/>
      <c r="V226" s="38"/>
      <c r="W226" s="38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35" t="s">
        <v>21</v>
      </c>
      <c r="B227" s="35" t="s">
        <v>39</v>
      </c>
      <c r="C227" s="35" t="s">
        <v>40</v>
      </c>
      <c r="D227" s="35" t="s">
        <v>49</v>
      </c>
      <c r="E227" s="35" t="s">
        <v>50</v>
      </c>
      <c r="F227" s="35" t="s">
        <v>25</v>
      </c>
      <c r="G227" s="35" t="s">
        <v>25</v>
      </c>
      <c r="H227" s="35" t="s">
        <v>34</v>
      </c>
      <c r="I227" s="45">
        <v>44440</v>
      </c>
      <c r="J227" s="46">
        <f ca="1">EFEITO!$J$227*EFEITO!$Y$207</f>
        <v>48549.930202174073</v>
      </c>
      <c r="K227" s="46">
        <f ca="1">EFEITO!$L$227*EFEITO!$Z$207</f>
        <v>3541.6011630897824</v>
      </c>
      <c r="L227" s="46">
        <f>EFEITO!$N$227*EFEITO!$AA$207</f>
        <v>27420.093061796149</v>
      </c>
      <c r="M227" s="46">
        <f ca="1">$J$227-EFEITO!$K$227*EFEITO!$Y$227</f>
        <v>1456.4979060652258</v>
      </c>
      <c r="N227" s="46">
        <f ca="1">$K$227-EFEITO!$M$227*EFEITO!$Z$227</f>
        <v>106.24803489269334</v>
      </c>
      <c r="O227" s="46">
        <f>$L$227-EFEITO!$O$227*EFEITO!$AA$227</f>
        <v>822.60279185388936</v>
      </c>
      <c r="P227" s="38"/>
      <c r="Q227" s="38"/>
      <c r="R227" s="38"/>
      <c r="S227" s="38"/>
      <c r="T227" s="38"/>
      <c r="U227" s="38"/>
      <c r="V227" s="38"/>
      <c r="W227" s="38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35" t="s">
        <v>21</v>
      </c>
      <c r="B228" s="35" t="s">
        <v>39</v>
      </c>
      <c r="C228" s="35" t="s">
        <v>40</v>
      </c>
      <c r="D228" s="35" t="s">
        <v>49</v>
      </c>
      <c r="E228" s="35" t="s">
        <v>50</v>
      </c>
      <c r="F228" s="35" t="s">
        <v>25</v>
      </c>
      <c r="G228" s="35" t="s">
        <v>25</v>
      </c>
      <c r="H228" s="35" t="s">
        <v>34</v>
      </c>
      <c r="I228" s="45">
        <v>44470</v>
      </c>
      <c r="J228" s="46">
        <f ca="1">EFEITO!$J$228*EFEITO!$Y$207</f>
        <v>50901.454392294276</v>
      </c>
      <c r="K228" s="46">
        <f ca="1">EFEITO!$L$228*EFEITO!$Z$207</f>
        <v>3530.7475881470173</v>
      </c>
      <c r="L228" s="46">
        <f>EFEITO!$N$228*EFEITO!$AA$207</f>
        <v>27336.061568333411</v>
      </c>
      <c r="M228" s="46">
        <f ca="1">$J$228-EFEITO!$K$228*EFEITO!$Y$228</f>
        <v>1527.0436317688363</v>
      </c>
      <c r="N228" s="46">
        <f ca="1">$K$228-EFEITO!$M$228*EFEITO!$Z$228</f>
        <v>105.92242764441016</v>
      </c>
      <c r="O228" s="46">
        <f>$L$228-EFEITO!$O$228*EFEITO!$AA$228</f>
        <v>820.08184705000167</v>
      </c>
      <c r="P228" s="38"/>
      <c r="Q228" s="38"/>
      <c r="R228" s="38"/>
      <c r="S228" s="38"/>
      <c r="T228" s="38"/>
      <c r="U228" s="38"/>
      <c r="V228" s="38"/>
      <c r="W228" s="38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35" t="s">
        <v>21</v>
      </c>
      <c r="B229" s="35" t="s">
        <v>39</v>
      </c>
      <c r="C229" s="35" t="s">
        <v>40</v>
      </c>
      <c r="D229" s="35" t="s">
        <v>49</v>
      </c>
      <c r="E229" s="35" t="s">
        <v>50</v>
      </c>
      <c r="F229" s="35" t="s">
        <v>25</v>
      </c>
      <c r="G229" s="35" t="s">
        <v>25</v>
      </c>
      <c r="H229" s="35" t="s">
        <v>34</v>
      </c>
      <c r="I229" s="45">
        <v>44501</v>
      </c>
      <c r="J229" s="46">
        <f ca="1">EFEITO!$J$229*EFEITO!$Y$207</f>
        <v>50937.631687526897</v>
      </c>
      <c r="K229" s="46">
        <f ca="1">EFEITO!$L$229*EFEITO!$Z$207</f>
        <v>3601.4949734390752</v>
      </c>
      <c r="L229" s="46">
        <f>EFEITO!$N$229*EFEITO!$AA$207</f>
        <v>27883.808138106549</v>
      </c>
      <c r="M229" s="46">
        <f ca="1">$J$229-EFEITO!$K$229*EFEITO!$Y$229</f>
        <v>1528.1289506258181</v>
      </c>
      <c r="N229" s="46">
        <f ca="1">$K$229-EFEITO!$M$229*EFEITO!$Z$229</f>
        <v>108.04484920317191</v>
      </c>
      <c r="O229" s="46">
        <f>$L$229-EFEITO!$O$229*EFEITO!$AA$229</f>
        <v>836.5142441431999</v>
      </c>
      <c r="P229" s="38"/>
      <c r="Q229" s="38"/>
      <c r="R229" s="38"/>
      <c r="S229" s="38"/>
      <c r="T229" s="38"/>
      <c r="U229" s="38"/>
      <c r="V229" s="38"/>
      <c r="W229" s="38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35" t="s">
        <v>21</v>
      </c>
      <c r="B230" s="35" t="s">
        <v>39</v>
      </c>
      <c r="C230" s="35" t="s">
        <v>40</v>
      </c>
      <c r="D230" s="35" t="s">
        <v>49</v>
      </c>
      <c r="E230" s="35" t="s">
        <v>50</v>
      </c>
      <c r="F230" s="35" t="s">
        <v>25</v>
      </c>
      <c r="G230" s="35" t="s">
        <v>25</v>
      </c>
      <c r="H230" s="35" t="s">
        <v>34</v>
      </c>
      <c r="I230" s="45">
        <v>44531</v>
      </c>
      <c r="J230" s="46">
        <f ca="1">EFEITO!$J$230*EFEITO!$Y$207</f>
        <v>51082.340868457366</v>
      </c>
      <c r="K230" s="46">
        <f ca="1">EFEITO!$L$230*EFEITO!$Z$207</f>
        <v>4017.8639975048636</v>
      </c>
      <c r="L230" s="46">
        <f>EFEITO!$N$230*EFEITO!$AA$207</f>
        <v>31107.456669431511</v>
      </c>
      <c r="M230" s="46">
        <f ca="1">$J$230-EFEITO!$K$230*EFEITO!$Y$230</f>
        <v>1532.4702260537233</v>
      </c>
      <c r="N230" s="46">
        <f ca="1">$K$230-EFEITO!$M$230*EFEITO!$Z$230</f>
        <v>120.53591992514566</v>
      </c>
      <c r="O230" s="46">
        <f>$L$230-EFEITO!$O$230*EFEITO!$AA$230</f>
        <v>933.2237000829482</v>
      </c>
      <c r="P230" s="38"/>
      <c r="Q230" s="38"/>
      <c r="R230" s="38"/>
      <c r="S230" s="38"/>
      <c r="T230" s="38"/>
      <c r="U230" s="38"/>
      <c r="V230" s="38"/>
      <c r="W230" s="38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35" t="s">
        <v>55</v>
      </c>
      <c r="B231" s="35" t="s">
        <v>39</v>
      </c>
      <c r="C231" s="35" t="s">
        <v>40</v>
      </c>
      <c r="D231" s="35" t="s">
        <v>49</v>
      </c>
      <c r="E231" s="35" t="s">
        <v>50</v>
      </c>
      <c r="F231" s="35" t="s">
        <v>25</v>
      </c>
      <c r="G231" s="35" t="s">
        <v>25</v>
      </c>
      <c r="H231" s="35" t="s">
        <v>34</v>
      </c>
      <c r="I231" s="45">
        <v>44562</v>
      </c>
      <c r="J231" s="46">
        <f ca="1">EFEITO!$J$231*EFEITO!$Y$207</f>
        <v>51082.340868457366</v>
      </c>
      <c r="K231" s="46">
        <f ca="1">EFEITO!$L$231*EFEITO!$Z$207</f>
        <v>4017.8639975048636</v>
      </c>
      <c r="L231" s="46">
        <f>EFEITO!$N$231*EFEITO!$AA$207</f>
        <v>31107.456669431511</v>
      </c>
      <c r="M231" s="46">
        <f ca="1">$J$231-EFEITO!$K$231*EFEITO!$Y$231</f>
        <v>1532.4702260537233</v>
      </c>
      <c r="N231" s="46">
        <f ca="1">$K$231-EFEITO!$M$231*EFEITO!$Z$231</f>
        <v>120.53591992514566</v>
      </c>
      <c r="O231" s="46">
        <f>$L$231-EFEITO!$O$231*EFEITO!$AA$231</f>
        <v>933.2237000829482</v>
      </c>
      <c r="P231" s="38"/>
      <c r="Q231" s="38"/>
      <c r="R231" s="38"/>
      <c r="S231" s="38"/>
      <c r="T231" s="38"/>
      <c r="U231" s="38"/>
      <c r="V231" s="38"/>
      <c r="W231" s="38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35" t="s">
        <v>21</v>
      </c>
      <c r="B232" s="35" t="s">
        <v>39</v>
      </c>
      <c r="C232" s="35" t="s">
        <v>59</v>
      </c>
      <c r="D232" s="35" t="s">
        <v>25</v>
      </c>
      <c r="E232" s="35" t="s">
        <v>25</v>
      </c>
      <c r="F232" s="35" t="s">
        <v>25</v>
      </c>
      <c r="G232" s="35" t="s">
        <v>60</v>
      </c>
      <c r="H232" s="35" t="s">
        <v>35</v>
      </c>
      <c r="I232" s="45">
        <v>44228</v>
      </c>
      <c r="J232" s="46">
        <f ca="1">EFEITO!$J$232*EFEITO!$Y$232</f>
        <v>1745.5556073659461</v>
      </c>
      <c r="K232" s="46">
        <f ca="1">EFEITO!$L$232*EFEITO!$Z$232</f>
        <v>0</v>
      </c>
      <c r="L232" s="46">
        <f>EFEITO!$N$232*EFEITO!$AA$232</f>
        <v>0</v>
      </c>
      <c r="M232" s="46">
        <f ca="1">$J$232-EFEITO!$K$232*EFEITO!$Y$232</f>
        <v>0</v>
      </c>
      <c r="N232" s="46">
        <f ca="1">$K$232-EFEITO!$M$232*EFEITO!$Z$232</f>
        <v>0</v>
      </c>
      <c r="O232" s="46">
        <f>$L$232-EFEITO!$O$232*EFEITO!$AA$232</f>
        <v>0</v>
      </c>
      <c r="P232" s="38"/>
      <c r="Q232" s="38"/>
      <c r="R232" s="38"/>
      <c r="S232" s="38"/>
      <c r="T232" s="38"/>
      <c r="U232" s="38"/>
      <c r="V232" s="38"/>
      <c r="W232" s="38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35" t="s">
        <v>21</v>
      </c>
      <c r="B233" s="35" t="s">
        <v>39</v>
      </c>
      <c r="C233" s="35" t="s">
        <v>59</v>
      </c>
      <c r="D233" s="35" t="s">
        <v>25</v>
      </c>
      <c r="E233" s="35" t="s">
        <v>25</v>
      </c>
      <c r="F233" s="35" t="s">
        <v>25</v>
      </c>
      <c r="G233" s="35" t="s">
        <v>60</v>
      </c>
      <c r="H233" s="35" t="s">
        <v>35</v>
      </c>
      <c r="I233" s="45">
        <v>44256</v>
      </c>
      <c r="J233" s="46">
        <f ca="1">EFEITO!$J$233*EFEITO!$Y$233</f>
        <v>1745.5556073659461</v>
      </c>
      <c r="K233" s="46">
        <f ca="1">EFEITO!$L$233*EFEITO!$Z$233</f>
        <v>0</v>
      </c>
      <c r="L233" s="46">
        <f>EFEITO!$N$233*EFEITO!$AA$233</f>
        <v>0</v>
      </c>
      <c r="M233" s="46">
        <f ca="1">$J$233-EFEITO!$K$233*EFEITO!$Y$233</f>
        <v>0</v>
      </c>
      <c r="N233" s="46">
        <f ca="1">$K$233-EFEITO!$M$233*EFEITO!$Z$233</f>
        <v>0</v>
      </c>
      <c r="O233" s="46">
        <f>$L$233-EFEITO!$O$233*EFEITO!$AA$233</f>
        <v>0</v>
      </c>
      <c r="P233" s="38"/>
      <c r="Q233" s="38"/>
      <c r="R233" s="38"/>
      <c r="S233" s="38"/>
      <c r="T233" s="38"/>
      <c r="U233" s="38"/>
      <c r="V233" s="38"/>
      <c r="W233" s="38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35" t="s">
        <v>21</v>
      </c>
      <c r="B234" s="35" t="s">
        <v>39</v>
      </c>
      <c r="C234" s="35" t="s">
        <v>59</v>
      </c>
      <c r="D234" s="35" t="s">
        <v>25</v>
      </c>
      <c r="E234" s="35" t="s">
        <v>25</v>
      </c>
      <c r="F234" s="35" t="s">
        <v>25</v>
      </c>
      <c r="G234" s="35" t="s">
        <v>60</v>
      </c>
      <c r="H234" s="35" t="s">
        <v>35</v>
      </c>
      <c r="I234" s="45">
        <v>44287</v>
      </c>
      <c r="J234" s="46">
        <f ca="1">EFEITO!$J$234*EFEITO!$Y$234</f>
        <v>1745.5556073659461</v>
      </c>
      <c r="K234" s="46">
        <f ca="1">EFEITO!$L$234*EFEITO!$Z$234</f>
        <v>0</v>
      </c>
      <c r="L234" s="46">
        <f>EFEITO!$N$234*EFEITO!$AA$234</f>
        <v>0</v>
      </c>
      <c r="M234" s="46">
        <f ca="1">$J$234-EFEITO!$K$234*EFEITO!$Y$234</f>
        <v>0</v>
      </c>
      <c r="N234" s="46">
        <f ca="1">$K$234-EFEITO!$M$234*EFEITO!$Z$234</f>
        <v>0</v>
      </c>
      <c r="O234" s="46">
        <f>$L$234-EFEITO!$O$234*EFEITO!$AA$234</f>
        <v>0</v>
      </c>
      <c r="P234" s="38"/>
      <c r="Q234" s="38"/>
      <c r="R234" s="38"/>
      <c r="S234" s="38"/>
      <c r="T234" s="38"/>
      <c r="U234" s="38"/>
      <c r="V234" s="38"/>
      <c r="W234" s="38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35" t="s">
        <v>21</v>
      </c>
      <c r="B235" s="35" t="s">
        <v>39</v>
      </c>
      <c r="C235" s="35" t="s">
        <v>59</v>
      </c>
      <c r="D235" s="35" t="s">
        <v>25</v>
      </c>
      <c r="E235" s="35" t="s">
        <v>25</v>
      </c>
      <c r="F235" s="35" t="s">
        <v>25</v>
      </c>
      <c r="G235" s="35" t="s">
        <v>60</v>
      </c>
      <c r="H235" s="35" t="s">
        <v>35</v>
      </c>
      <c r="I235" s="45">
        <v>44317</v>
      </c>
      <c r="J235" s="46">
        <f ca="1">EFEITO!$J$235*EFEITO!$Y$235</f>
        <v>1745.5556073659461</v>
      </c>
      <c r="K235" s="46">
        <f ca="1">EFEITO!$L$235*EFEITO!$Z$235</f>
        <v>0</v>
      </c>
      <c r="L235" s="46">
        <f>EFEITO!$N$235*EFEITO!$AA$235</f>
        <v>0</v>
      </c>
      <c r="M235" s="46">
        <f ca="1">$J$235-EFEITO!$K$235*EFEITO!$Y$235</f>
        <v>0</v>
      </c>
      <c r="N235" s="46">
        <f ca="1">$K$235-EFEITO!$M$235*EFEITO!$Z$235</f>
        <v>0</v>
      </c>
      <c r="O235" s="46">
        <f>$L$235-EFEITO!$O$235*EFEITO!$AA$235</f>
        <v>0</v>
      </c>
      <c r="P235" s="38"/>
      <c r="Q235" s="38"/>
      <c r="R235" s="38"/>
      <c r="S235" s="38"/>
      <c r="T235" s="38"/>
      <c r="U235" s="38"/>
      <c r="V235" s="38"/>
      <c r="W235" s="38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35" t="s">
        <v>21</v>
      </c>
      <c r="B236" s="35" t="s">
        <v>39</v>
      </c>
      <c r="C236" s="35" t="s">
        <v>59</v>
      </c>
      <c r="D236" s="35" t="s">
        <v>25</v>
      </c>
      <c r="E236" s="35" t="s">
        <v>25</v>
      </c>
      <c r="F236" s="35" t="s">
        <v>25</v>
      </c>
      <c r="G236" s="35" t="s">
        <v>60</v>
      </c>
      <c r="H236" s="35" t="s">
        <v>35</v>
      </c>
      <c r="I236" s="45">
        <v>44348</v>
      </c>
      <c r="J236" s="46">
        <f ca="1">EFEITO!$J$236*EFEITO!$Y$236</f>
        <v>1745.5556073659461</v>
      </c>
      <c r="K236" s="46">
        <f ca="1">EFEITO!$L$236*EFEITO!$Z$236</f>
        <v>0</v>
      </c>
      <c r="L236" s="46">
        <f>EFEITO!$N$236*EFEITO!$AA$236</f>
        <v>0</v>
      </c>
      <c r="M236" s="46">
        <f ca="1">$J$236-EFEITO!$K$236*EFEITO!$Y$236</f>
        <v>0</v>
      </c>
      <c r="N236" s="46">
        <f ca="1">$K$236-EFEITO!$M$236*EFEITO!$Z$236</f>
        <v>0</v>
      </c>
      <c r="O236" s="46">
        <f>$L$236-EFEITO!$O$236*EFEITO!$AA$236</f>
        <v>0</v>
      </c>
      <c r="P236" s="38"/>
      <c r="Q236" s="38"/>
      <c r="R236" s="38"/>
      <c r="S236" s="38"/>
      <c r="T236" s="38"/>
      <c r="U236" s="38"/>
      <c r="V236" s="38"/>
      <c r="W236" s="38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35" t="s">
        <v>21</v>
      </c>
      <c r="B237" s="35" t="s">
        <v>39</v>
      </c>
      <c r="C237" s="35" t="s">
        <v>59</v>
      </c>
      <c r="D237" s="35" t="s">
        <v>25</v>
      </c>
      <c r="E237" s="35" t="s">
        <v>25</v>
      </c>
      <c r="F237" s="35" t="s">
        <v>25</v>
      </c>
      <c r="G237" s="35" t="s">
        <v>60</v>
      </c>
      <c r="H237" s="35" t="s">
        <v>35</v>
      </c>
      <c r="I237" s="45">
        <v>44378</v>
      </c>
      <c r="J237" s="46">
        <f ca="1">EFEITO!$J$237*EFEITO!$Y$237</f>
        <v>1745.5556073659461</v>
      </c>
      <c r="K237" s="46">
        <f ca="1">EFEITO!$L$237*EFEITO!$Z$237</f>
        <v>0</v>
      </c>
      <c r="L237" s="46">
        <f>EFEITO!$N$237*EFEITO!$AA$237</f>
        <v>0</v>
      </c>
      <c r="M237" s="46">
        <f ca="1">$J$237-EFEITO!$K$237*EFEITO!$Y$237</f>
        <v>0</v>
      </c>
      <c r="N237" s="46">
        <f ca="1">$K$237-EFEITO!$M$237*EFEITO!$Z$237</f>
        <v>0</v>
      </c>
      <c r="O237" s="46">
        <f>$L$237-EFEITO!$O$237*EFEITO!$AA$237</f>
        <v>0</v>
      </c>
      <c r="P237" s="38"/>
      <c r="Q237" s="38"/>
      <c r="R237" s="38"/>
      <c r="S237" s="38"/>
      <c r="T237" s="38"/>
      <c r="U237" s="38"/>
      <c r="V237" s="38"/>
      <c r="W237" s="38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35" t="s">
        <v>21</v>
      </c>
      <c r="B238" s="35" t="s">
        <v>39</v>
      </c>
      <c r="C238" s="35" t="s">
        <v>59</v>
      </c>
      <c r="D238" s="35" t="s">
        <v>25</v>
      </c>
      <c r="E238" s="35" t="s">
        <v>25</v>
      </c>
      <c r="F238" s="35" t="s">
        <v>25</v>
      </c>
      <c r="G238" s="35" t="s">
        <v>60</v>
      </c>
      <c r="H238" s="35" t="s">
        <v>35</v>
      </c>
      <c r="I238" s="45">
        <v>44409</v>
      </c>
      <c r="J238" s="46">
        <f ca="1">EFEITO!$J$238*EFEITO!$Y$238</f>
        <v>1745.5556073659461</v>
      </c>
      <c r="K238" s="46">
        <f ca="1">EFEITO!$L$238*EFEITO!$Z$238</f>
        <v>0</v>
      </c>
      <c r="L238" s="46">
        <f>EFEITO!$N$238*EFEITO!$AA$238</f>
        <v>0</v>
      </c>
      <c r="M238" s="46">
        <f ca="1">$J$238-EFEITO!$K$238*EFEITO!$Y$238</f>
        <v>0</v>
      </c>
      <c r="N238" s="46">
        <f ca="1">$K$238-EFEITO!$M$238*EFEITO!$Z$238</f>
        <v>0</v>
      </c>
      <c r="O238" s="46">
        <f>$L$238-EFEITO!$O$238*EFEITO!$AA$238</f>
        <v>0</v>
      </c>
      <c r="P238" s="38"/>
      <c r="Q238" s="38"/>
      <c r="R238" s="38"/>
      <c r="S238" s="38"/>
      <c r="T238" s="38"/>
      <c r="U238" s="38"/>
      <c r="V238" s="38"/>
      <c r="W238" s="38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35" t="s">
        <v>21</v>
      </c>
      <c r="B239" s="35" t="s">
        <v>39</v>
      </c>
      <c r="C239" s="35" t="s">
        <v>59</v>
      </c>
      <c r="D239" s="35" t="s">
        <v>25</v>
      </c>
      <c r="E239" s="35" t="s">
        <v>25</v>
      </c>
      <c r="F239" s="35" t="s">
        <v>25</v>
      </c>
      <c r="G239" s="35" t="s">
        <v>60</v>
      </c>
      <c r="H239" s="35" t="s">
        <v>35</v>
      </c>
      <c r="I239" s="45">
        <v>44440</v>
      </c>
      <c r="J239" s="46">
        <f ca="1">EFEITO!$J$239*EFEITO!$Y$239</f>
        <v>1745.5556073659461</v>
      </c>
      <c r="K239" s="46">
        <f ca="1">EFEITO!$L$239*EFEITO!$Z$239</f>
        <v>0</v>
      </c>
      <c r="L239" s="46">
        <f>EFEITO!$N$239*EFEITO!$AA$239</f>
        <v>0</v>
      </c>
      <c r="M239" s="46">
        <f ca="1">$J$239-EFEITO!$K$239*EFEITO!$Y$239</f>
        <v>0</v>
      </c>
      <c r="N239" s="46">
        <f ca="1">$K$239-EFEITO!$M$239*EFEITO!$Z$239</f>
        <v>0</v>
      </c>
      <c r="O239" s="46">
        <f>$L$239-EFEITO!$O$239*EFEITO!$AA$239</f>
        <v>0</v>
      </c>
      <c r="P239" s="38"/>
      <c r="Q239" s="38"/>
      <c r="R239" s="38"/>
      <c r="S239" s="38"/>
      <c r="T239" s="38"/>
      <c r="U239" s="38"/>
      <c r="V239" s="38"/>
      <c r="W239" s="38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35" t="s">
        <v>21</v>
      </c>
      <c r="B240" s="35" t="s">
        <v>39</v>
      </c>
      <c r="C240" s="35" t="s">
        <v>59</v>
      </c>
      <c r="D240" s="35" t="s">
        <v>25</v>
      </c>
      <c r="E240" s="35" t="s">
        <v>25</v>
      </c>
      <c r="F240" s="35" t="s">
        <v>25</v>
      </c>
      <c r="G240" s="35" t="s">
        <v>60</v>
      </c>
      <c r="H240" s="35" t="s">
        <v>35</v>
      </c>
      <c r="I240" s="45">
        <v>44470</v>
      </c>
      <c r="J240" s="46">
        <f ca="1">EFEITO!$J$240*EFEITO!$Y$240</f>
        <v>1745.5556073659461</v>
      </c>
      <c r="K240" s="46">
        <f ca="1">EFEITO!$L$240*EFEITO!$Z$240</f>
        <v>0</v>
      </c>
      <c r="L240" s="46">
        <f>EFEITO!$N$240*EFEITO!$AA$240</f>
        <v>0</v>
      </c>
      <c r="M240" s="46">
        <f ca="1">$J$240-EFEITO!$K$240*EFEITO!$Y$240</f>
        <v>0</v>
      </c>
      <c r="N240" s="46">
        <f ca="1">$K$240-EFEITO!$M$240*EFEITO!$Z$240</f>
        <v>0</v>
      </c>
      <c r="O240" s="46">
        <f>$L$240-EFEITO!$O$240*EFEITO!$AA$240</f>
        <v>0</v>
      </c>
      <c r="P240" s="38"/>
      <c r="Q240" s="38"/>
      <c r="R240" s="38"/>
      <c r="S240" s="38"/>
      <c r="T240" s="38"/>
      <c r="U240" s="38"/>
      <c r="V240" s="38"/>
      <c r="W240" s="38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35" t="s">
        <v>21</v>
      </c>
      <c r="B241" s="35" t="s">
        <v>39</v>
      </c>
      <c r="C241" s="35" t="s">
        <v>59</v>
      </c>
      <c r="D241" s="35" t="s">
        <v>25</v>
      </c>
      <c r="E241" s="35" t="s">
        <v>25</v>
      </c>
      <c r="F241" s="35" t="s">
        <v>25</v>
      </c>
      <c r="G241" s="35" t="s">
        <v>60</v>
      </c>
      <c r="H241" s="35" t="s">
        <v>35</v>
      </c>
      <c r="I241" s="45">
        <v>44501</v>
      </c>
      <c r="J241" s="46">
        <f ca="1">EFEITO!$J$241*EFEITO!$Y$241</f>
        <v>1745.5556073659461</v>
      </c>
      <c r="K241" s="46">
        <f ca="1">EFEITO!$L$241*EFEITO!$Z$241</f>
        <v>0</v>
      </c>
      <c r="L241" s="46">
        <f>EFEITO!$N$241*EFEITO!$AA$241</f>
        <v>0</v>
      </c>
      <c r="M241" s="46">
        <f ca="1">$J$241-EFEITO!$K$241*EFEITO!$Y$241</f>
        <v>0</v>
      </c>
      <c r="N241" s="46">
        <f ca="1">$K$241-EFEITO!$M$241*EFEITO!$Z$241</f>
        <v>0</v>
      </c>
      <c r="O241" s="46">
        <f>$L$241-EFEITO!$O$241*EFEITO!$AA$241</f>
        <v>0</v>
      </c>
      <c r="P241" s="38"/>
      <c r="Q241" s="38"/>
      <c r="R241" s="38"/>
      <c r="S241" s="38"/>
      <c r="T241" s="38"/>
      <c r="U241" s="38"/>
      <c r="V241" s="38"/>
      <c r="W241" s="38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35" t="s">
        <v>21</v>
      </c>
      <c r="B242" s="35" t="s">
        <v>39</v>
      </c>
      <c r="C242" s="35" t="s">
        <v>59</v>
      </c>
      <c r="D242" s="35" t="s">
        <v>25</v>
      </c>
      <c r="E242" s="35" t="s">
        <v>25</v>
      </c>
      <c r="F242" s="35" t="s">
        <v>25</v>
      </c>
      <c r="G242" s="35" t="s">
        <v>60</v>
      </c>
      <c r="H242" s="35" t="s">
        <v>35</v>
      </c>
      <c r="I242" s="45">
        <v>44531</v>
      </c>
      <c r="J242" s="46">
        <f ca="1">EFEITO!$J$242*EFEITO!$Y$242</f>
        <v>1768.8296821308254</v>
      </c>
      <c r="K242" s="46">
        <f ca="1">EFEITO!$L$242*EFEITO!$Z$242</f>
        <v>0</v>
      </c>
      <c r="L242" s="46">
        <f>EFEITO!$N$242*EFEITO!$AA$242</f>
        <v>0</v>
      </c>
      <c r="M242" s="46">
        <f ca="1">$J$242-EFEITO!$K$242*EFEITO!$Y$242</f>
        <v>0</v>
      </c>
      <c r="N242" s="46">
        <f ca="1">$K$242-EFEITO!$M$242*EFEITO!$Z$242</f>
        <v>0</v>
      </c>
      <c r="O242" s="46">
        <f>$L$242-EFEITO!$O$242*EFEITO!$AA$242</f>
        <v>0</v>
      </c>
      <c r="P242" s="38"/>
      <c r="Q242" s="38"/>
      <c r="R242" s="38"/>
      <c r="S242" s="38"/>
      <c r="T242" s="38"/>
      <c r="U242" s="38"/>
      <c r="V242" s="38"/>
      <c r="W242" s="38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35" t="s">
        <v>55</v>
      </c>
      <c r="B243" s="35" t="s">
        <v>39</v>
      </c>
      <c r="C243" s="35" t="s">
        <v>59</v>
      </c>
      <c r="D243" s="35" t="s">
        <v>25</v>
      </c>
      <c r="E243" s="35" t="s">
        <v>25</v>
      </c>
      <c r="F243" s="35" t="s">
        <v>25</v>
      </c>
      <c r="G243" s="35" t="s">
        <v>60</v>
      </c>
      <c r="H243" s="35" t="s">
        <v>35</v>
      </c>
      <c r="I243" s="45">
        <v>44562</v>
      </c>
      <c r="J243" s="46">
        <f ca="1">EFEITO!$J$243*EFEITO!$Y$243</f>
        <v>1768.8296821308254</v>
      </c>
      <c r="K243" s="46">
        <f ca="1">EFEITO!$L$243*EFEITO!$Z$243</f>
        <v>0</v>
      </c>
      <c r="L243" s="46">
        <f>EFEITO!$N$243*EFEITO!$AA$243</f>
        <v>0</v>
      </c>
      <c r="M243" s="46">
        <f ca="1">$J$243-EFEITO!$K$243*EFEITO!$Y$243</f>
        <v>0</v>
      </c>
      <c r="N243" s="46">
        <f ca="1">$K$243-EFEITO!$M$243*EFEITO!$Z$243</f>
        <v>0</v>
      </c>
      <c r="O243" s="46">
        <f>$L$243-EFEITO!$O$243*EFEITO!$AA$243</f>
        <v>0</v>
      </c>
      <c r="P243" s="38"/>
      <c r="Q243" s="38"/>
      <c r="R243" s="38"/>
      <c r="S243" s="38"/>
      <c r="T243" s="38"/>
      <c r="U243" s="38"/>
      <c r="V243" s="38"/>
      <c r="W243" s="38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35" t="s">
        <v>21</v>
      </c>
      <c r="B244" s="35" t="s">
        <v>39</v>
      </c>
      <c r="C244" s="35" t="s">
        <v>59</v>
      </c>
      <c r="D244" s="35" t="s">
        <v>25</v>
      </c>
      <c r="E244" s="35" t="s">
        <v>25</v>
      </c>
      <c r="F244" s="35" t="s">
        <v>25</v>
      </c>
      <c r="G244" s="35" t="s">
        <v>60</v>
      </c>
      <c r="H244" s="35" t="s">
        <v>25</v>
      </c>
      <c r="I244" s="45">
        <v>44228</v>
      </c>
      <c r="J244" s="46">
        <f ca="1">EFEITO!$J$244*EFEITO!$Y$244</f>
        <v>0</v>
      </c>
      <c r="K244" s="46">
        <f ca="1">EFEITO!$L$244*EFEITO!$Z$244</f>
        <v>400.26193140639498</v>
      </c>
      <c r="L244" s="46">
        <f>EFEITO!$N$244*EFEITO!$AA$244</f>
        <v>0</v>
      </c>
      <c r="M244" s="46">
        <f ca="1">$J$244-EFEITO!$K$244*EFEITO!$Y$244</f>
        <v>0</v>
      </c>
      <c r="N244" s="46">
        <f ca="1">$K$244-EFEITO!$M$244*EFEITO!$Z$244</f>
        <v>0</v>
      </c>
      <c r="O244" s="46">
        <f>$L$244-EFEITO!$O$244*EFEITO!$AA$244</f>
        <v>0</v>
      </c>
      <c r="P244" s="38"/>
      <c r="Q244" s="38"/>
      <c r="R244" s="38"/>
      <c r="S244" s="38"/>
      <c r="T244" s="38"/>
      <c r="U244" s="38"/>
      <c r="V244" s="38"/>
      <c r="W244" s="38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35" t="s">
        <v>21</v>
      </c>
      <c r="B245" s="35" t="s">
        <v>39</v>
      </c>
      <c r="C245" s="35" t="s">
        <v>59</v>
      </c>
      <c r="D245" s="35" t="s">
        <v>25</v>
      </c>
      <c r="E245" s="35" t="s">
        <v>25</v>
      </c>
      <c r="F245" s="35" t="s">
        <v>25</v>
      </c>
      <c r="G245" s="35" t="s">
        <v>60</v>
      </c>
      <c r="H245" s="35" t="s">
        <v>25</v>
      </c>
      <c r="I245" s="45">
        <v>44256</v>
      </c>
      <c r="J245" s="46">
        <f ca="1">EFEITO!$J$245*EFEITO!$Y$245</f>
        <v>0</v>
      </c>
      <c r="K245" s="46">
        <f ca="1">EFEITO!$L$245*EFEITO!$Z$245</f>
        <v>356.95949256695843</v>
      </c>
      <c r="L245" s="46">
        <f>EFEITO!$N$245*EFEITO!$AA$245</f>
        <v>0</v>
      </c>
      <c r="M245" s="46">
        <f ca="1">$J$245-EFEITO!$K$245*EFEITO!$Y$245</f>
        <v>0</v>
      </c>
      <c r="N245" s="46">
        <f ca="1">$K$245-EFEITO!$M$245*EFEITO!$Z$245</f>
        <v>0</v>
      </c>
      <c r="O245" s="46">
        <f>$L$245-EFEITO!$O$245*EFEITO!$AA$245</f>
        <v>0</v>
      </c>
      <c r="P245" s="38"/>
      <c r="Q245" s="38"/>
      <c r="R245" s="38"/>
      <c r="S245" s="38"/>
      <c r="T245" s="38"/>
      <c r="U245" s="38"/>
      <c r="V245" s="38"/>
      <c r="W245" s="38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35" t="s">
        <v>21</v>
      </c>
      <c r="B246" s="35" t="s">
        <v>39</v>
      </c>
      <c r="C246" s="35" t="s">
        <v>59</v>
      </c>
      <c r="D246" s="35" t="s">
        <v>25</v>
      </c>
      <c r="E246" s="35" t="s">
        <v>25</v>
      </c>
      <c r="F246" s="35" t="s">
        <v>25</v>
      </c>
      <c r="G246" s="35" t="s">
        <v>60</v>
      </c>
      <c r="H246" s="35" t="s">
        <v>25</v>
      </c>
      <c r="I246" s="45">
        <v>44287</v>
      </c>
      <c r="J246" s="46">
        <f ca="1">EFEITO!$J$246*EFEITO!$Y$246</f>
        <v>0</v>
      </c>
      <c r="K246" s="46">
        <f ca="1">EFEITO!$L$246*EFEITO!$Z$246</f>
        <v>362.63438452272106</v>
      </c>
      <c r="L246" s="46">
        <f>EFEITO!$N$246*EFEITO!$AA$246</f>
        <v>0</v>
      </c>
      <c r="M246" s="46">
        <f ca="1">$J$246-EFEITO!$K$246*EFEITO!$Y$246</f>
        <v>0</v>
      </c>
      <c r="N246" s="46">
        <f ca="1">$K$246-EFEITO!$M$246*EFEITO!$Z$246</f>
        <v>0</v>
      </c>
      <c r="O246" s="46">
        <f>$L$246-EFEITO!$O$246*EFEITO!$AA$246</f>
        <v>0</v>
      </c>
      <c r="P246" s="38"/>
      <c r="Q246" s="38"/>
      <c r="R246" s="38"/>
      <c r="S246" s="38"/>
      <c r="T246" s="38"/>
      <c r="U246" s="38"/>
      <c r="V246" s="38"/>
      <c r="W246" s="38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35" t="s">
        <v>21</v>
      </c>
      <c r="B247" s="35" t="s">
        <v>39</v>
      </c>
      <c r="C247" s="35" t="s">
        <v>59</v>
      </c>
      <c r="D247" s="35" t="s">
        <v>25</v>
      </c>
      <c r="E247" s="35" t="s">
        <v>25</v>
      </c>
      <c r="F247" s="35" t="s">
        <v>25</v>
      </c>
      <c r="G247" s="35" t="s">
        <v>60</v>
      </c>
      <c r="H247" s="35" t="s">
        <v>25</v>
      </c>
      <c r="I247" s="45">
        <v>44317</v>
      </c>
      <c r="J247" s="46">
        <f ca="1">EFEITO!$J$247*EFEITO!$Y$247</f>
        <v>0</v>
      </c>
      <c r="K247" s="46">
        <f ca="1">EFEITO!$L$247*EFEITO!$Z$247</f>
        <v>365.37138993501367</v>
      </c>
      <c r="L247" s="46">
        <f>EFEITO!$N$247*EFEITO!$AA$247</f>
        <v>0</v>
      </c>
      <c r="M247" s="46">
        <f ca="1">$J$247-EFEITO!$K$247*EFEITO!$Y$247</f>
        <v>0</v>
      </c>
      <c r="N247" s="46">
        <f ca="1">$K$247-EFEITO!$M$247*EFEITO!$Z$247</f>
        <v>0</v>
      </c>
      <c r="O247" s="46">
        <f>$L$247-EFEITO!$O$247*EFEITO!$AA$247</f>
        <v>0</v>
      </c>
      <c r="P247" s="38"/>
      <c r="Q247" s="38"/>
      <c r="R247" s="38"/>
      <c r="S247" s="38"/>
      <c r="T247" s="38"/>
      <c r="U247" s="38"/>
      <c r="V247" s="38"/>
      <c r="W247" s="38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35" t="s">
        <v>21</v>
      </c>
      <c r="B248" s="35" t="s">
        <v>39</v>
      </c>
      <c r="C248" s="35" t="s">
        <v>59</v>
      </c>
      <c r="D248" s="35" t="s">
        <v>25</v>
      </c>
      <c r="E248" s="35" t="s">
        <v>25</v>
      </c>
      <c r="F248" s="35" t="s">
        <v>25</v>
      </c>
      <c r="G248" s="35" t="s">
        <v>60</v>
      </c>
      <c r="H248" s="35" t="s">
        <v>25</v>
      </c>
      <c r="I248" s="45">
        <v>44348</v>
      </c>
      <c r="J248" s="46">
        <f ca="1">EFEITO!$J$248*EFEITO!$Y$248</f>
        <v>0</v>
      </c>
      <c r="K248" s="46">
        <f ca="1">EFEITO!$L$248*EFEITO!$Z$248</f>
        <v>350.65056954091699</v>
      </c>
      <c r="L248" s="46">
        <f>EFEITO!$N$248*EFEITO!$AA$248</f>
        <v>0</v>
      </c>
      <c r="M248" s="46">
        <f ca="1">$J$248-EFEITO!$K$248*EFEITO!$Y$248</f>
        <v>0</v>
      </c>
      <c r="N248" s="46">
        <f ca="1">$K$248-EFEITO!$M$248*EFEITO!$Z$248</f>
        <v>0</v>
      </c>
      <c r="O248" s="46">
        <f>$L$248-EFEITO!$O$248*EFEITO!$AA$248</f>
        <v>0</v>
      </c>
      <c r="P248" s="38"/>
      <c r="Q248" s="38"/>
      <c r="R248" s="38"/>
      <c r="S248" s="38"/>
      <c r="T248" s="38"/>
      <c r="U248" s="38"/>
      <c r="V248" s="38"/>
      <c r="W248" s="38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35" t="s">
        <v>21</v>
      </c>
      <c r="B249" s="35" t="s">
        <v>39</v>
      </c>
      <c r="C249" s="35" t="s">
        <v>59</v>
      </c>
      <c r="D249" s="35" t="s">
        <v>25</v>
      </c>
      <c r="E249" s="35" t="s">
        <v>25</v>
      </c>
      <c r="F249" s="35" t="s">
        <v>25</v>
      </c>
      <c r="G249" s="35" t="s">
        <v>60</v>
      </c>
      <c r="H249" s="35" t="s">
        <v>25</v>
      </c>
      <c r="I249" s="45">
        <v>44378</v>
      </c>
      <c r="J249" s="46">
        <f ca="1">EFEITO!$J$249*EFEITO!$Y$249</f>
        <v>0</v>
      </c>
      <c r="K249" s="46">
        <f ca="1">EFEITO!$L$249*EFEITO!$Z$249</f>
        <v>351.89352154007736</v>
      </c>
      <c r="L249" s="46">
        <f>EFEITO!$N$249*EFEITO!$AA$249</f>
        <v>0</v>
      </c>
      <c r="M249" s="46">
        <f ca="1">$J$249-EFEITO!$K$249*EFEITO!$Y$249</f>
        <v>0</v>
      </c>
      <c r="N249" s="46">
        <f ca="1">$K$249-EFEITO!$M$249*EFEITO!$Z$249</f>
        <v>0</v>
      </c>
      <c r="O249" s="46">
        <f>$L$249-EFEITO!$O$249*EFEITO!$AA$249</f>
        <v>0</v>
      </c>
      <c r="P249" s="38"/>
      <c r="Q249" s="38"/>
      <c r="R249" s="38"/>
      <c r="S249" s="38"/>
      <c r="T249" s="38"/>
      <c r="U249" s="38"/>
      <c r="V249" s="38"/>
      <c r="W249" s="38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35" t="s">
        <v>21</v>
      </c>
      <c r="B250" s="35" t="s">
        <v>39</v>
      </c>
      <c r="C250" s="35" t="s">
        <v>59</v>
      </c>
      <c r="D250" s="35" t="s">
        <v>25</v>
      </c>
      <c r="E250" s="35" t="s">
        <v>25</v>
      </c>
      <c r="F250" s="35" t="s">
        <v>25</v>
      </c>
      <c r="G250" s="35" t="s">
        <v>60</v>
      </c>
      <c r="H250" s="35" t="s">
        <v>25</v>
      </c>
      <c r="I250" s="45">
        <v>44409</v>
      </c>
      <c r="J250" s="46">
        <f ca="1">EFEITO!$J$250*EFEITO!$Y$250</f>
        <v>0</v>
      </c>
      <c r="K250" s="46">
        <f ca="1">EFEITO!$L$250*EFEITO!$Z$250</f>
        <v>369.72799946742435</v>
      </c>
      <c r="L250" s="46">
        <f>EFEITO!$N$250*EFEITO!$AA$250</f>
        <v>0</v>
      </c>
      <c r="M250" s="46">
        <f ca="1">$J$250-EFEITO!$K$250*EFEITO!$Y$250</f>
        <v>0</v>
      </c>
      <c r="N250" s="46">
        <f ca="1">$K$250-EFEITO!$M$250*EFEITO!$Z$250</f>
        <v>0</v>
      </c>
      <c r="O250" s="46">
        <f>$L$250-EFEITO!$O$250*EFEITO!$AA$250</f>
        <v>0</v>
      </c>
      <c r="P250" s="38"/>
      <c r="Q250" s="38"/>
      <c r="R250" s="38"/>
      <c r="S250" s="38"/>
      <c r="T250" s="38"/>
      <c r="U250" s="38"/>
      <c r="V250" s="38"/>
      <c r="W250" s="38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35" t="s">
        <v>21</v>
      </c>
      <c r="B251" s="35" t="s">
        <v>39</v>
      </c>
      <c r="C251" s="35" t="s">
        <v>59</v>
      </c>
      <c r="D251" s="35" t="s">
        <v>25</v>
      </c>
      <c r="E251" s="35" t="s">
        <v>25</v>
      </c>
      <c r="F251" s="35" t="s">
        <v>25</v>
      </c>
      <c r="G251" s="35" t="s">
        <v>60</v>
      </c>
      <c r="H251" s="35" t="s">
        <v>25</v>
      </c>
      <c r="I251" s="45">
        <v>44440</v>
      </c>
      <c r="J251" s="46">
        <f ca="1">EFEITO!$J$251*EFEITO!$Y$251</f>
        <v>0</v>
      </c>
      <c r="K251" s="46">
        <f ca="1">EFEITO!$L$251*EFEITO!$Z$251</f>
        <v>350.29902756135647</v>
      </c>
      <c r="L251" s="46">
        <f>EFEITO!$N$251*EFEITO!$AA$251</f>
        <v>0</v>
      </c>
      <c r="M251" s="46">
        <f ca="1">$J$251-EFEITO!$K$251*EFEITO!$Y$251</f>
        <v>0</v>
      </c>
      <c r="N251" s="46">
        <f ca="1">$K$251-EFEITO!$M$251*EFEITO!$Z$251</f>
        <v>0</v>
      </c>
      <c r="O251" s="46">
        <f>$L$251-EFEITO!$O$251*EFEITO!$AA$251</f>
        <v>0</v>
      </c>
      <c r="P251" s="38"/>
      <c r="Q251" s="38"/>
      <c r="R251" s="38"/>
      <c r="S251" s="38"/>
      <c r="T251" s="38"/>
      <c r="U251" s="38"/>
      <c r="V251" s="38"/>
      <c r="W251" s="38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35" t="s">
        <v>21</v>
      </c>
      <c r="B252" s="35" t="s">
        <v>39</v>
      </c>
      <c r="C252" s="35" t="s">
        <v>59</v>
      </c>
      <c r="D252" s="35" t="s">
        <v>25</v>
      </c>
      <c r="E252" s="35" t="s">
        <v>25</v>
      </c>
      <c r="F252" s="35" t="s">
        <v>25</v>
      </c>
      <c r="G252" s="35" t="s">
        <v>60</v>
      </c>
      <c r="H252" s="35" t="s">
        <v>25</v>
      </c>
      <c r="I252" s="45">
        <v>44470</v>
      </c>
      <c r="J252" s="46">
        <f ca="1">EFEITO!$J$252*EFEITO!$Y$252</f>
        <v>0</v>
      </c>
      <c r="K252" s="46">
        <f ca="1">EFEITO!$L$252*EFEITO!$Z$252</f>
        <v>366.82777813605009</v>
      </c>
      <c r="L252" s="46">
        <f>EFEITO!$N$252*EFEITO!$AA$252</f>
        <v>0</v>
      </c>
      <c r="M252" s="46">
        <f ca="1">$J$252-EFEITO!$K$252*EFEITO!$Y$252</f>
        <v>0</v>
      </c>
      <c r="N252" s="46">
        <f ca="1">$K$252-EFEITO!$M$252*EFEITO!$Z$252</f>
        <v>0</v>
      </c>
      <c r="O252" s="46">
        <f>$L$252-EFEITO!$O$252*EFEITO!$AA$252</f>
        <v>0</v>
      </c>
      <c r="P252" s="38"/>
      <c r="Q252" s="38"/>
      <c r="R252" s="38"/>
      <c r="S252" s="38"/>
      <c r="T252" s="38"/>
      <c r="U252" s="38"/>
      <c r="V252" s="38"/>
      <c r="W252" s="38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35" t="s">
        <v>21</v>
      </c>
      <c r="B253" s="35" t="s">
        <v>39</v>
      </c>
      <c r="C253" s="35" t="s">
        <v>59</v>
      </c>
      <c r="D253" s="35" t="s">
        <v>25</v>
      </c>
      <c r="E253" s="35" t="s">
        <v>25</v>
      </c>
      <c r="F253" s="35" t="s">
        <v>25</v>
      </c>
      <c r="G253" s="35" t="s">
        <v>60</v>
      </c>
      <c r="H253" s="35" t="s">
        <v>25</v>
      </c>
      <c r="I253" s="45">
        <v>44501</v>
      </c>
      <c r="J253" s="46">
        <f ca="1">EFEITO!$J$253*EFEITO!$Y$253</f>
        <v>0</v>
      </c>
      <c r="K253" s="46">
        <f ca="1">EFEITO!$L$253*EFEITO!$Z$253</f>
        <v>401.55510368834967</v>
      </c>
      <c r="L253" s="46">
        <f>EFEITO!$N$253*EFEITO!$AA$253</f>
        <v>0</v>
      </c>
      <c r="M253" s="46">
        <f ca="1">$J$253-EFEITO!$K$253*EFEITO!$Y$253</f>
        <v>0</v>
      </c>
      <c r="N253" s="46">
        <f ca="1">$K$253-EFEITO!$M$253*EFEITO!$Z$253</f>
        <v>0</v>
      </c>
      <c r="O253" s="46">
        <f>$L$253-EFEITO!$O$253*EFEITO!$AA$253</f>
        <v>0</v>
      </c>
      <c r="P253" s="38"/>
      <c r="Q253" s="38"/>
      <c r="R253" s="38"/>
      <c r="S253" s="38"/>
      <c r="T253" s="38"/>
      <c r="U253" s="38"/>
      <c r="V253" s="38"/>
      <c r="W253" s="38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35" t="s">
        <v>21</v>
      </c>
      <c r="B254" s="35" t="s">
        <v>39</v>
      </c>
      <c r="C254" s="35" t="s">
        <v>59</v>
      </c>
      <c r="D254" s="35" t="s">
        <v>25</v>
      </c>
      <c r="E254" s="35" t="s">
        <v>25</v>
      </c>
      <c r="F254" s="35" t="s">
        <v>25</v>
      </c>
      <c r="G254" s="35" t="s">
        <v>60</v>
      </c>
      <c r="H254" s="35" t="s">
        <v>25</v>
      </c>
      <c r="I254" s="45">
        <v>44531</v>
      </c>
      <c r="J254" s="46">
        <f ca="1">EFEITO!$J$254*EFEITO!$Y$254</f>
        <v>0</v>
      </c>
      <c r="K254" s="46">
        <f ca="1">EFEITO!$L$254*EFEITO!$Z$254</f>
        <v>456.35798728769458</v>
      </c>
      <c r="L254" s="46">
        <f>EFEITO!$N$254*EFEITO!$AA$254</f>
        <v>0</v>
      </c>
      <c r="M254" s="46">
        <f ca="1">$J$254-EFEITO!$K$254*EFEITO!$Y$254</f>
        <v>0</v>
      </c>
      <c r="N254" s="46">
        <f ca="1">$K$254-EFEITO!$M$254*EFEITO!$Z$254</f>
        <v>0</v>
      </c>
      <c r="O254" s="46">
        <f>$L$254-EFEITO!$O$254*EFEITO!$AA$254</f>
        <v>0</v>
      </c>
      <c r="P254" s="38"/>
      <c r="Q254" s="38"/>
      <c r="R254" s="38"/>
      <c r="S254" s="38"/>
      <c r="T254" s="38"/>
      <c r="U254" s="38"/>
      <c r="V254" s="38"/>
      <c r="W254" s="38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35" t="s">
        <v>55</v>
      </c>
      <c r="B255" s="35" t="s">
        <v>39</v>
      </c>
      <c r="C255" s="35" t="s">
        <v>59</v>
      </c>
      <c r="D255" s="35" t="s">
        <v>25</v>
      </c>
      <c r="E255" s="35" t="s">
        <v>25</v>
      </c>
      <c r="F255" s="35" t="s">
        <v>25</v>
      </c>
      <c r="G255" s="35" t="s">
        <v>60</v>
      </c>
      <c r="H255" s="35" t="s">
        <v>25</v>
      </c>
      <c r="I255" s="45">
        <v>44562</v>
      </c>
      <c r="J255" s="46">
        <f ca="1">EFEITO!$J$255*EFEITO!$Y$255</f>
        <v>0</v>
      </c>
      <c r="K255" s="46">
        <f ca="1">EFEITO!$L$255*EFEITO!$Z$255</f>
        <v>456.35798728769458</v>
      </c>
      <c r="L255" s="46">
        <f>EFEITO!$N$255*EFEITO!$AA$255</f>
        <v>0</v>
      </c>
      <c r="M255" s="46">
        <f ca="1">$J$255-EFEITO!$K$255*EFEITO!$Y$255</f>
        <v>0</v>
      </c>
      <c r="N255" s="46">
        <f ca="1">$K$255-EFEITO!$M$255*EFEITO!$Z$255</f>
        <v>0</v>
      </c>
      <c r="O255" s="46">
        <f>$L$255-EFEITO!$O$255*EFEITO!$AA$255</f>
        <v>0</v>
      </c>
      <c r="P255" s="38"/>
      <c r="Q255" s="38"/>
      <c r="R255" s="38"/>
      <c r="S255" s="38"/>
      <c r="T255" s="38"/>
      <c r="U255" s="38"/>
      <c r="V255" s="38"/>
      <c r="W255" s="38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35" t="s">
        <v>21</v>
      </c>
      <c r="B256" s="35" t="s">
        <v>39</v>
      </c>
      <c r="C256" s="35" t="s">
        <v>59</v>
      </c>
      <c r="D256" s="35" t="s">
        <v>25</v>
      </c>
      <c r="E256" s="35" t="s">
        <v>25</v>
      </c>
      <c r="F256" s="35" t="s">
        <v>25</v>
      </c>
      <c r="G256" s="35" t="s">
        <v>60</v>
      </c>
      <c r="H256" s="35" t="s">
        <v>34</v>
      </c>
      <c r="I256" s="45">
        <v>44228</v>
      </c>
      <c r="J256" s="46">
        <f ca="1">EFEITO!$J$256*EFEITO!$Y$256</f>
        <v>3340.928636574592</v>
      </c>
      <c r="K256" s="46">
        <f ca="1">EFEITO!$L$256*EFEITO!$Z$256</f>
        <v>0</v>
      </c>
      <c r="L256" s="46">
        <f>EFEITO!$N$256*EFEITO!$AA$256</f>
        <v>0</v>
      </c>
      <c r="M256" s="46">
        <f ca="1">$J$256-EFEITO!$K$256*EFEITO!$Y$256</f>
        <v>0</v>
      </c>
      <c r="N256" s="46">
        <f ca="1">$K$256-EFEITO!$M$256*EFEITO!$Z$256</f>
        <v>0</v>
      </c>
      <c r="O256" s="46">
        <f>$L$256-EFEITO!$O$256*EFEITO!$AA$256</f>
        <v>0</v>
      </c>
      <c r="P256" s="38"/>
      <c r="Q256" s="38"/>
      <c r="R256" s="38"/>
      <c r="S256" s="38"/>
      <c r="T256" s="38"/>
      <c r="U256" s="38"/>
      <c r="V256" s="38"/>
      <c r="W256" s="38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35" t="s">
        <v>21</v>
      </c>
      <c r="B257" s="35" t="s">
        <v>39</v>
      </c>
      <c r="C257" s="35" t="s">
        <v>59</v>
      </c>
      <c r="D257" s="35" t="s">
        <v>25</v>
      </c>
      <c r="E257" s="35" t="s">
        <v>25</v>
      </c>
      <c r="F257" s="35" t="s">
        <v>25</v>
      </c>
      <c r="G257" s="35" t="s">
        <v>60</v>
      </c>
      <c r="H257" s="35" t="s">
        <v>34</v>
      </c>
      <c r="I257" s="45">
        <v>44256</v>
      </c>
      <c r="J257" s="46">
        <f ca="1">EFEITO!$J$257*EFEITO!$Y$257</f>
        <v>3340.928636574592</v>
      </c>
      <c r="K257" s="46">
        <f ca="1">EFEITO!$L$257*EFEITO!$Z$257</f>
        <v>0</v>
      </c>
      <c r="L257" s="46">
        <f>EFEITO!$N$257*EFEITO!$AA$257</f>
        <v>0</v>
      </c>
      <c r="M257" s="46">
        <f ca="1">$J$257-EFEITO!$K$257*EFEITO!$Y$257</f>
        <v>0</v>
      </c>
      <c r="N257" s="46">
        <f ca="1">$K$257-EFEITO!$M$257*EFEITO!$Z$257</f>
        <v>0</v>
      </c>
      <c r="O257" s="46">
        <f>$L$257-EFEITO!$O$257*EFEITO!$AA$257</f>
        <v>0</v>
      </c>
      <c r="P257" s="38"/>
      <c r="Q257" s="38"/>
      <c r="R257" s="38"/>
      <c r="S257" s="38"/>
      <c r="T257" s="38"/>
      <c r="U257" s="38"/>
      <c r="V257" s="38"/>
      <c r="W257" s="38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35" t="s">
        <v>21</v>
      </c>
      <c r="B258" s="35" t="s">
        <v>39</v>
      </c>
      <c r="C258" s="35" t="s">
        <v>59</v>
      </c>
      <c r="D258" s="35" t="s">
        <v>25</v>
      </c>
      <c r="E258" s="35" t="s">
        <v>25</v>
      </c>
      <c r="F258" s="35" t="s">
        <v>25</v>
      </c>
      <c r="G258" s="35" t="s">
        <v>60</v>
      </c>
      <c r="H258" s="35" t="s">
        <v>34</v>
      </c>
      <c r="I258" s="45">
        <v>44287</v>
      </c>
      <c r="J258" s="46">
        <f ca="1">EFEITO!$J$258*EFEITO!$Y$258</f>
        <v>3340.928636574592</v>
      </c>
      <c r="K258" s="46">
        <f ca="1">EFEITO!$L$258*EFEITO!$Z$258</f>
        <v>0</v>
      </c>
      <c r="L258" s="46">
        <f>EFEITO!$N$258*EFEITO!$AA$258</f>
        <v>0</v>
      </c>
      <c r="M258" s="46">
        <f ca="1">$J$258-EFEITO!$K$258*EFEITO!$Y$258</f>
        <v>0</v>
      </c>
      <c r="N258" s="46">
        <f ca="1">$K$258-EFEITO!$M$258*EFEITO!$Z$258</f>
        <v>0</v>
      </c>
      <c r="O258" s="46">
        <f>$L$258-EFEITO!$O$258*EFEITO!$AA$258</f>
        <v>0</v>
      </c>
      <c r="P258" s="38"/>
      <c r="Q258" s="38"/>
      <c r="R258" s="38"/>
      <c r="S258" s="38"/>
      <c r="T258" s="38"/>
      <c r="U258" s="38"/>
      <c r="V258" s="38"/>
      <c r="W258" s="38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35" t="s">
        <v>21</v>
      </c>
      <c r="B259" s="35" t="s">
        <v>39</v>
      </c>
      <c r="C259" s="35" t="s">
        <v>59</v>
      </c>
      <c r="D259" s="35" t="s">
        <v>25</v>
      </c>
      <c r="E259" s="35" t="s">
        <v>25</v>
      </c>
      <c r="F259" s="35" t="s">
        <v>25</v>
      </c>
      <c r="G259" s="35" t="s">
        <v>60</v>
      </c>
      <c r="H259" s="35" t="s">
        <v>34</v>
      </c>
      <c r="I259" s="45">
        <v>44317</v>
      </c>
      <c r="J259" s="46">
        <f ca="1">EFEITO!$J$259*EFEITO!$Y$259</f>
        <v>3340.928636574592</v>
      </c>
      <c r="K259" s="46">
        <f ca="1">EFEITO!$L$259*EFEITO!$Z$259</f>
        <v>0</v>
      </c>
      <c r="L259" s="46">
        <f>EFEITO!$N$259*EFEITO!$AA$259</f>
        <v>0</v>
      </c>
      <c r="M259" s="46">
        <f ca="1">$J$259-EFEITO!$K$259*EFEITO!$Y$259</f>
        <v>0</v>
      </c>
      <c r="N259" s="46">
        <f ca="1">$K$259-EFEITO!$M$259*EFEITO!$Z$259</f>
        <v>0</v>
      </c>
      <c r="O259" s="46">
        <f>$L$259-EFEITO!$O$259*EFEITO!$AA$259</f>
        <v>0</v>
      </c>
      <c r="P259" s="38"/>
      <c r="Q259" s="38"/>
      <c r="R259" s="38"/>
      <c r="S259" s="38"/>
      <c r="T259" s="38"/>
      <c r="U259" s="38"/>
      <c r="V259" s="38"/>
      <c r="W259" s="38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35" t="s">
        <v>21</v>
      </c>
      <c r="B260" s="35" t="s">
        <v>39</v>
      </c>
      <c r="C260" s="35" t="s">
        <v>59</v>
      </c>
      <c r="D260" s="35" t="s">
        <v>25</v>
      </c>
      <c r="E260" s="35" t="s">
        <v>25</v>
      </c>
      <c r="F260" s="35" t="s">
        <v>25</v>
      </c>
      <c r="G260" s="35" t="s">
        <v>60</v>
      </c>
      <c r="H260" s="35" t="s">
        <v>34</v>
      </c>
      <c r="I260" s="45">
        <v>44348</v>
      </c>
      <c r="J260" s="46">
        <f ca="1">EFEITO!$J$260*EFEITO!$Y$260</f>
        <v>3340.928636574592</v>
      </c>
      <c r="K260" s="46">
        <f ca="1">EFEITO!$L$260*EFEITO!$Z$260</f>
        <v>0</v>
      </c>
      <c r="L260" s="46">
        <f>EFEITO!$N$260*EFEITO!$AA$260</f>
        <v>0</v>
      </c>
      <c r="M260" s="46">
        <f ca="1">$J$260-EFEITO!$K$260*EFEITO!$Y$260</f>
        <v>0</v>
      </c>
      <c r="N260" s="46">
        <f ca="1">$K$260-EFEITO!$M$260*EFEITO!$Z$260</f>
        <v>0</v>
      </c>
      <c r="O260" s="46">
        <f>$L$260-EFEITO!$O$260*EFEITO!$AA$260</f>
        <v>0</v>
      </c>
      <c r="P260" s="38"/>
      <c r="Q260" s="38"/>
      <c r="R260" s="38"/>
      <c r="S260" s="38"/>
      <c r="T260" s="38"/>
      <c r="U260" s="38"/>
      <c r="V260" s="38"/>
      <c r="W260" s="38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35" t="s">
        <v>21</v>
      </c>
      <c r="B261" s="35" t="s">
        <v>39</v>
      </c>
      <c r="C261" s="35" t="s">
        <v>59</v>
      </c>
      <c r="D261" s="35" t="s">
        <v>25</v>
      </c>
      <c r="E261" s="35" t="s">
        <v>25</v>
      </c>
      <c r="F261" s="35" t="s">
        <v>25</v>
      </c>
      <c r="G261" s="35" t="s">
        <v>60</v>
      </c>
      <c r="H261" s="35" t="s">
        <v>34</v>
      </c>
      <c r="I261" s="45">
        <v>44378</v>
      </c>
      <c r="J261" s="46">
        <f ca="1">EFEITO!$J$261*EFEITO!$Y$261</f>
        <v>3340.928636574592</v>
      </c>
      <c r="K261" s="46">
        <f ca="1">EFEITO!$L$261*EFEITO!$Z$261</f>
        <v>0</v>
      </c>
      <c r="L261" s="46">
        <f>EFEITO!$N$261*EFEITO!$AA$261</f>
        <v>0</v>
      </c>
      <c r="M261" s="46">
        <f ca="1">$J$261-EFEITO!$K$261*EFEITO!$Y$261</f>
        <v>0</v>
      </c>
      <c r="N261" s="46">
        <f ca="1">$K$261-EFEITO!$M$261*EFEITO!$Z$261</f>
        <v>0</v>
      </c>
      <c r="O261" s="46">
        <f>$L$261-EFEITO!$O$261*EFEITO!$AA$261</f>
        <v>0</v>
      </c>
      <c r="P261" s="38"/>
      <c r="Q261" s="38"/>
      <c r="R261" s="38"/>
      <c r="S261" s="38"/>
      <c r="T261" s="38"/>
      <c r="U261" s="38"/>
      <c r="V261" s="38"/>
      <c r="W261" s="38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35" t="s">
        <v>21</v>
      </c>
      <c r="B262" s="35" t="s">
        <v>39</v>
      </c>
      <c r="C262" s="35" t="s">
        <v>59</v>
      </c>
      <c r="D262" s="35" t="s">
        <v>25</v>
      </c>
      <c r="E262" s="35" t="s">
        <v>25</v>
      </c>
      <c r="F262" s="35" t="s">
        <v>25</v>
      </c>
      <c r="G262" s="35" t="s">
        <v>60</v>
      </c>
      <c r="H262" s="35" t="s">
        <v>34</v>
      </c>
      <c r="I262" s="45">
        <v>44409</v>
      </c>
      <c r="J262" s="46">
        <f ca="1">EFEITO!$J$262*EFEITO!$Y$262</f>
        <v>3340.928636574592</v>
      </c>
      <c r="K262" s="46">
        <f ca="1">EFEITO!$L$262*EFEITO!$Z$262</f>
        <v>0</v>
      </c>
      <c r="L262" s="46">
        <f>EFEITO!$N$262*EFEITO!$AA$262</f>
        <v>0</v>
      </c>
      <c r="M262" s="46">
        <f ca="1">$J$262-EFEITO!$K$262*EFEITO!$Y$262</f>
        <v>0</v>
      </c>
      <c r="N262" s="46">
        <f ca="1">$K$262-EFEITO!$M$262*EFEITO!$Z$262</f>
        <v>0</v>
      </c>
      <c r="O262" s="46">
        <f>$L$262-EFEITO!$O$262*EFEITO!$AA$262</f>
        <v>0</v>
      </c>
      <c r="P262" s="38"/>
      <c r="Q262" s="38"/>
      <c r="R262" s="38"/>
      <c r="S262" s="38"/>
      <c r="T262" s="38"/>
      <c r="U262" s="38"/>
      <c r="V262" s="38"/>
      <c r="W262" s="38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35" t="s">
        <v>21</v>
      </c>
      <c r="B263" s="35" t="s">
        <v>39</v>
      </c>
      <c r="C263" s="35" t="s">
        <v>59</v>
      </c>
      <c r="D263" s="35" t="s">
        <v>25</v>
      </c>
      <c r="E263" s="35" t="s">
        <v>25</v>
      </c>
      <c r="F263" s="35" t="s">
        <v>25</v>
      </c>
      <c r="G263" s="35" t="s">
        <v>60</v>
      </c>
      <c r="H263" s="35" t="s">
        <v>34</v>
      </c>
      <c r="I263" s="45">
        <v>44440</v>
      </c>
      <c r="J263" s="46">
        <f ca="1">EFEITO!$J$263*EFEITO!$Y$263</f>
        <v>3340.928636574592</v>
      </c>
      <c r="K263" s="46">
        <f ca="1">EFEITO!$L$263*EFEITO!$Z$263</f>
        <v>0</v>
      </c>
      <c r="L263" s="46">
        <f>EFEITO!$N$263*EFEITO!$AA$263</f>
        <v>0</v>
      </c>
      <c r="M263" s="46">
        <f ca="1">$J$263-EFEITO!$K$263*EFEITO!$Y$263</f>
        <v>0</v>
      </c>
      <c r="N263" s="46">
        <f ca="1">$K$263-EFEITO!$M$263*EFEITO!$Z$263</f>
        <v>0</v>
      </c>
      <c r="O263" s="46">
        <f>$L$263-EFEITO!$O$263*EFEITO!$AA$263</f>
        <v>0</v>
      </c>
      <c r="P263" s="38"/>
      <c r="Q263" s="38"/>
      <c r="R263" s="38"/>
      <c r="S263" s="38"/>
      <c r="T263" s="38"/>
      <c r="U263" s="38"/>
      <c r="V263" s="38"/>
      <c r="W263" s="38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35" t="s">
        <v>21</v>
      </c>
      <c r="B264" s="35" t="s">
        <v>39</v>
      </c>
      <c r="C264" s="35" t="s">
        <v>59</v>
      </c>
      <c r="D264" s="35" t="s">
        <v>25</v>
      </c>
      <c r="E264" s="35" t="s">
        <v>25</v>
      </c>
      <c r="F264" s="35" t="s">
        <v>25</v>
      </c>
      <c r="G264" s="35" t="s">
        <v>60</v>
      </c>
      <c r="H264" s="35" t="s">
        <v>34</v>
      </c>
      <c r="I264" s="45">
        <v>44470</v>
      </c>
      <c r="J264" s="46">
        <f ca="1">EFEITO!$J$264*EFEITO!$Y$264</f>
        <v>3340.928636574592</v>
      </c>
      <c r="K264" s="46">
        <f ca="1">EFEITO!$L$264*EFEITO!$Z$264</f>
        <v>0</v>
      </c>
      <c r="L264" s="46">
        <f>EFEITO!$N$264*EFEITO!$AA$264</f>
        <v>0</v>
      </c>
      <c r="M264" s="46">
        <f ca="1">$J$264-EFEITO!$K$264*EFEITO!$Y$264</f>
        <v>0</v>
      </c>
      <c r="N264" s="46">
        <f ca="1">$K$264-EFEITO!$M$264*EFEITO!$Z$264</f>
        <v>0</v>
      </c>
      <c r="O264" s="46">
        <f>$L$264-EFEITO!$O$264*EFEITO!$AA$264</f>
        <v>0</v>
      </c>
      <c r="P264" s="38"/>
      <c r="Q264" s="38"/>
      <c r="R264" s="38"/>
      <c r="S264" s="38"/>
      <c r="T264" s="38"/>
      <c r="U264" s="38"/>
      <c r="V264" s="38"/>
      <c r="W264" s="38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35" t="s">
        <v>21</v>
      </c>
      <c r="B265" s="35" t="s">
        <v>39</v>
      </c>
      <c r="C265" s="35" t="s">
        <v>59</v>
      </c>
      <c r="D265" s="35" t="s">
        <v>25</v>
      </c>
      <c r="E265" s="35" t="s">
        <v>25</v>
      </c>
      <c r="F265" s="35" t="s">
        <v>25</v>
      </c>
      <c r="G265" s="35" t="s">
        <v>60</v>
      </c>
      <c r="H265" s="35" t="s">
        <v>34</v>
      </c>
      <c r="I265" s="45">
        <v>44501</v>
      </c>
      <c r="J265" s="46">
        <f ca="1">EFEITO!$J$265*EFEITO!$Y$265</f>
        <v>3340.928636574592</v>
      </c>
      <c r="K265" s="46">
        <f ca="1">EFEITO!$L$265*EFEITO!$Z$265</f>
        <v>0</v>
      </c>
      <c r="L265" s="46">
        <f>EFEITO!$N$265*EFEITO!$AA$265</f>
        <v>0</v>
      </c>
      <c r="M265" s="46">
        <f ca="1">$J$265-EFEITO!$K$265*EFEITO!$Y$265</f>
        <v>0</v>
      </c>
      <c r="N265" s="46">
        <f ca="1">$K$265-EFEITO!$M$265*EFEITO!$Z$265</f>
        <v>0</v>
      </c>
      <c r="O265" s="46">
        <f>$L$265-EFEITO!$O$265*EFEITO!$AA$265</f>
        <v>0</v>
      </c>
      <c r="P265" s="38"/>
      <c r="Q265" s="38"/>
      <c r="R265" s="38"/>
      <c r="S265" s="38"/>
      <c r="T265" s="38"/>
      <c r="U265" s="38"/>
      <c r="V265" s="38"/>
      <c r="W265" s="38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35" t="s">
        <v>21</v>
      </c>
      <c r="B266" s="35" t="s">
        <v>39</v>
      </c>
      <c r="C266" s="35" t="s">
        <v>59</v>
      </c>
      <c r="D266" s="35" t="s">
        <v>25</v>
      </c>
      <c r="E266" s="35" t="s">
        <v>25</v>
      </c>
      <c r="F266" s="35" t="s">
        <v>25</v>
      </c>
      <c r="G266" s="35" t="s">
        <v>60</v>
      </c>
      <c r="H266" s="35" t="s">
        <v>34</v>
      </c>
      <c r="I266" s="45">
        <v>44531</v>
      </c>
      <c r="J266" s="46">
        <f ca="1">EFEITO!$J$266*EFEITO!$Y$266</f>
        <v>3385.4743517289198</v>
      </c>
      <c r="K266" s="46">
        <f ca="1">EFEITO!$L$266*EFEITO!$Z$266</f>
        <v>0</v>
      </c>
      <c r="L266" s="46">
        <f>EFEITO!$N$266*EFEITO!$AA$266</f>
        <v>0</v>
      </c>
      <c r="M266" s="46">
        <f ca="1">$J$266-EFEITO!$K$266*EFEITO!$Y$266</f>
        <v>0</v>
      </c>
      <c r="N266" s="46">
        <f ca="1">$K$266-EFEITO!$M$266*EFEITO!$Z$266</f>
        <v>0</v>
      </c>
      <c r="O266" s="46">
        <f>$L$266-EFEITO!$O$266*EFEITO!$AA$266</f>
        <v>0</v>
      </c>
      <c r="P266" s="38"/>
      <c r="Q266" s="38"/>
      <c r="R266" s="38"/>
      <c r="S266" s="38"/>
      <c r="T266" s="38"/>
      <c r="U266" s="38"/>
      <c r="V266" s="38"/>
      <c r="W266" s="38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35" t="s">
        <v>55</v>
      </c>
      <c r="B267" s="35" t="s">
        <v>39</v>
      </c>
      <c r="C267" s="35" t="s">
        <v>59</v>
      </c>
      <c r="D267" s="35" t="s">
        <v>25</v>
      </c>
      <c r="E267" s="35" t="s">
        <v>25</v>
      </c>
      <c r="F267" s="35" t="s">
        <v>25</v>
      </c>
      <c r="G267" s="35" t="s">
        <v>60</v>
      </c>
      <c r="H267" s="35" t="s">
        <v>34</v>
      </c>
      <c r="I267" s="45">
        <v>44562</v>
      </c>
      <c r="J267" s="46">
        <f ca="1">EFEITO!$J$267*EFEITO!$Y$267</f>
        <v>3385.4743517289198</v>
      </c>
      <c r="K267" s="46">
        <f ca="1">EFEITO!$L$267*EFEITO!$Z$267</f>
        <v>0</v>
      </c>
      <c r="L267" s="46">
        <f>EFEITO!$N$267*EFEITO!$AA$267</f>
        <v>0</v>
      </c>
      <c r="M267" s="46">
        <f ca="1">$J$267-EFEITO!$K$267*EFEITO!$Y$267</f>
        <v>0</v>
      </c>
      <c r="N267" s="46">
        <f ca="1">$K$267-EFEITO!$M$267*EFEITO!$Z$267</f>
        <v>0</v>
      </c>
      <c r="O267" s="46">
        <f>$L$267-EFEITO!$O$267*EFEITO!$AA$267</f>
        <v>0</v>
      </c>
      <c r="P267" s="38"/>
      <c r="Q267" s="38"/>
      <c r="R267" s="38"/>
      <c r="S267" s="38"/>
      <c r="T267" s="38"/>
      <c r="U267" s="38"/>
      <c r="V267" s="38"/>
      <c r="W267" s="38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35" t="s">
        <v>21</v>
      </c>
      <c r="B268" s="35" t="s">
        <v>39</v>
      </c>
      <c r="C268" s="35" t="s">
        <v>41</v>
      </c>
      <c r="D268" s="35" t="s">
        <v>42</v>
      </c>
      <c r="E268" s="35" t="s">
        <v>25</v>
      </c>
      <c r="F268" s="35" t="s">
        <v>25</v>
      </c>
      <c r="G268" s="35" t="s">
        <v>25</v>
      </c>
      <c r="H268" s="35" t="s">
        <v>35</v>
      </c>
      <c r="I268" s="45">
        <v>44228</v>
      </c>
      <c r="J268" s="46">
        <f>EFEITO!$J$268*EFEITO!$Y$268</f>
        <v>0</v>
      </c>
      <c r="K268" s="46">
        <f ca="1">EFEITO!$L$268*EFEITO!$Z$268</f>
        <v>114851.28536831134</v>
      </c>
      <c r="L268" s="46">
        <f>EFEITO!$N$268*EFEITO!$AA$268</f>
        <v>550301.10286460444</v>
      </c>
      <c r="M268" s="46">
        <f>$J$268-EFEITO!$K$268*EFEITO!$Y$268</f>
        <v>0</v>
      </c>
      <c r="N268" s="46">
        <f ca="1">$K$268-EFEITO!$M$268*EFEITO!$Z$268</f>
        <v>0</v>
      </c>
      <c r="O268" s="46">
        <f>$L$268-EFEITO!$O$268*EFEITO!$AA$268</f>
        <v>0</v>
      </c>
      <c r="P268" s="38"/>
      <c r="Q268" s="38"/>
      <c r="R268" s="38"/>
      <c r="S268" s="38"/>
      <c r="T268" s="38"/>
      <c r="U268" s="38"/>
      <c r="V268" s="38"/>
      <c r="W268" s="38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35" t="s">
        <v>27</v>
      </c>
      <c r="B269" s="35" t="s">
        <v>39</v>
      </c>
      <c r="C269" s="35" t="s">
        <v>41</v>
      </c>
      <c r="D269" s="35" t="s">
        <v>42</v>
      </c>
      <c r="E269" s="35" t="s">
        <v>25</v>
      </c>
      <c r="F269" s="35" t="s">
        <v>25</v>
      </c>
      <c r="G269" s="35" t="s">
        <v>25</v>
      </c>
      <c r="H269" s="35" t="s">
        <v>35</v>
      </c>
      <c r="I269" s="45">
        <v>44228</v>
      </c>
      <c r="J269" s="46">
        <f>EFEITO!$J$269*EFEITO!$Y$269</f>
        <v>0</v>
      </c>
      <c r="K269" s="46">
        <f ca="1">EFEITO!$L$269*EFEITO!$Z$269</f>
        <v>-1816.9780620926631</v>
      </c>
      <c r="L269" s="46">
        <f>EFEITO!$N$269*EFEITO!$AA$269</f>
        <v>-8705.9106760877658</v>
      </c>
      <c r="M269" s="46">
        <f>$J$269-EFEITO!$K$269*EFEITO!$Y$269</f>
        <v>0</v>
      </c>
      <c r="N269" s="46">
        <f ca="1">$K$269-EFEITO!$M$269*EFEITO!$Z$269</f>
        <v>0</v>
      </c>
      <c r="O269" s="46">
        <f>$L$269-EFEITO!$O$269*EFEITO!$AA$269</f>
        <v>0</v>
      </c>
      <c r="P269" s="38"/>
      <c r="Q269" s="38"/>
      <c r="R269" s="38"/>
      <c r="S269" s="38"/>
      <c r="T269" s="38"/>
      <c r="U269" s="38"/>
      <c r="V269" s="38"/>
      <c r="W269" s="38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35" t="s">
        <v>28</v>
      </c>
      <c r="B270" s="35" t="s">
        <v>39</v>
      </c>
      <c r="C270" s="35" t="s">
        <v>41</v>
      </c>
      <c r="D270" s="35" t="s">
        <v>42</v>
      </c>
      <c r="E270" s="35" t="s">
        <v>25</v>
      </c>
      <c r="F270" s="35" t="s">
        <v>25</v>
      </c>
      <c r="G270" s="35" t="s">
        <v>25</v>
      </c>
      <c r="H270" s="35" t="s">
        <v>35</v>
      </c>
      <c r="I270" s="45">
        <v>44228</v>
      </c>
      <c r="J270" s="46">
        <f>EFEITO!$J$270*EFEITO!$Y$270</f>
        <v>0</v>
      </c>
      <c r="K270" s="46">
        <f ca="1">EFEITO!$L$270*EFEITO!$Z$270</f>
        <v>3435.7539138773145</v>
      </c>
      <c r="L270" s="46">
        <f>EFEITO!$N$270*EFEITO!$AA$270</f>
        <v>16462.150701360206</v>
      </c>
      <c r="M270" s="46">
        <f>$J$270-EFEITO!$K$270*EFEITO!$Y$270</f>
        <v>0</v>
      </c>
      <c r="N270" s="46">
        <f ca="1">$K$270-EFEITO!$M$270*EFEITO!$Z$270</f>
        <v>0</v>
      </c>
      <c r="O270" s="46">
        <f>$L$270-EFEITO!$O$270*EFEITO!$AA$270</f>
        <v>0</v>
      </c>
      <c r="P270" s="38"/>
      <c r="Q270" s="38"/>
      <c r="R270" s="38"/>
      <c r="S270" s="38"/>
      <c r="T270" s="38"/>
      <c r="U270" s="38"/>
      <c r="V270" s="38"/>
      <c r="W270" s="38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35" t="s">
        <v>21</v>
      </c>
      <c r="B271" s="35" t="s">
        <v>39</v>
      </c>
      <c r="C271" s="35" t="s">
        <v>41</v>
      </c>
      <c r="D271" s="35" t="s">
        <v>42</v>
      </c>
      <c r="E271" s="35" t="s">
        <v>25</v>
      </c>
      <c r="F271" s="35" t="s">
        <v>25</v>
      </c>
      <c r="G271" s="35" t="s">
        <v>25</v>
      </c>
      <c r="H271" s="35" t="s">
        <v>35</v>
      </c>
      <c r="I271" s="45">
        <v>44228</v>
      </c>
      <c r="J271" s="46">
        <f>EFEITO!$J$271*EFEITO!$Y$271</f>
        <v>0</v>
      </c>
      <c r="K271" s="46">
        <f ca="1">EFEITO!$L$271*EFEITO!$Z$271</f>
        <v>983.19448609962774</v>
      </c>
      <c r="L271" s="46">
        <f>EFEITO!$N$271*EFEITO!$AA$271</f>
        <v>0</v>
      </c>
      <c r="M271" s="46">
        <f>$J$271-EFEITO!$K$271*EFEITO!$Y$271</f>
        <v>0</v>
      </c>
      <c r="N271" s="46">
        <f ca="1">$K$271-EFEITO!$M$271*EFEITO!$Z$271</f>
        <v>0</v>
      </c>
      <c r="O271" s="46">
        <f>$L$271-EFEITO!$O$271*EFEITO!$AA$271</f>
        <v>0</v>
      </c>
      <c r="P271" s="38"/>
      <c r="Q271" s="38"/>
      <c r="R271" s="38"/>
      <c r="S271" s="38"/>
      <c r="T271" s="38"/>
      <c r="U271" s="38"/>
      <c r="V271" s="38"/>
      <c r="W271" s="38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35" t="s">
        <v>21</v>
      </c>
      <c r="B272" s="35" t="s">
        <v>39</v>
      </c>
      <c r="C272" s="35" t="s">
        <v>41</v>
      </c>
      <c r="D272" s="35" t="s">
        <v>42</v>
      </c>
      <c r="E272" s="35" t="s">
        <v>25</v>
      </c>
      <c r="F272" s="35" t="s">
        <v>25</v>
      </c>
      <c r="G272" s="35" t="s">
        <v>25</v>
      </c>
      <c r="H272" s="35" t="s">
        <v>35</v>
      </c>
      <c r="I272" s="45">
        <v>44256</v>
      </c>
      <c r="J272" s="46">
        <f>EFEITO!$J$272*EFEITO!$Y$272</f>
        <v>0</v>
      </c>
      <c r="K272" s="46">
        <f ca="1">EFEITO!$L$272*EFEITO!$Z$272</f>
        <v>114216.40102120063</v>
      </c>
      <c r="L272" s="46">
        <f>EFEITO!$N$272*EFEITO!$AA$272</f>
        <v>547259.10333202546</v>
      </c>
      <c r="M272" s="46">
        <f>$J$272-EFEITO!$K$272*EFEITO!$Y$272</f>
        <v>0</v>
      </c>
      <c r="N272" s="46">
        <f ca="1">$K$272-EFEITO!$M$272*EFEITO!$Z$272</f>
        <v>0</v>
      </c>
      <c r="O272" s="46">
        <f>$L$272-EFEITO!$O$272*EFEITO!$AA$272</f>
        <v>0</v>
      </c>
      <c r="P272" s="38"/>
      <c r="Q272" s="38"/>
      <c r="R272" s="38"/>
      <c r="S272" s="38"/>
      <c r="T272" s="38"/>
      <c r="U272" s="38"/>
      <c r="V272" s="38"/>
      <c r="W272" s="38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35" t="s">
        <v>28</v>
      </c>
      <c r="B273" s="35" t="s">
        <v>39</v>
      </c>
      <c r="C273" s="35" t="s">
        <v>41</v>
      </c>
      <c r="D273" s="35" t="s">
        <v>42</v>
      </c>
      <c r="E273" s="35" t="s">
        <v>25</v>
      </c>
      <c r="F273" s="35" t="s">
        <v>25</v>
      </c>
      <c r="G273" s="35" t="s">
        <v>25</v>
      </c>
      <c r="H273" s="35" t="s">
        <v>35</v>
      </c>
      <c r="I273" s="45">
        <v>44256</v>
      </c>
      <c r="J273" s="46">
        <f>EFEITO!$J$273*EFEITO!$Y$273</f>
        <v>0</v>
      </c>
      <c r="K273" s="46">
        <f ca="1">EFEITO!$L$273*EFEITO!$Z$273</f>
        <v>6522.9985406016312</v>
      </c>
      <c r="L273" s="46">
        <f>EFEITO!$N$273*EFEITO!$AA$273</f>
        <v>31254.445950395038</v>
      </c>
      <c r="M273" s="46">
        <f>$J$273-EFEITO!$K$273*EFEITO!$Y$273</f>
        <v>0</v>
      </c>
      <c r="N273" s="46">
        <f ca="1">$K$273-EFEITO!$M$273*EFEITO!$Z$273</f>
        <v>0</v>
      </c>
      <c r="O273" s="46">
        <f>$L$273-EFEITO!$O$273*EFEITO!$AA$273</f>
        <v>0</v>
      </c>
      <c r="P273" s="38"/>
      <c r="Q273" s="38"/>
      <c r="R273" s="38"/>
      <c r="S273" s="38"/>
      <c r="T273" s="38"/>
      <c r="U273" s="38"/>
      <c r="V273" s="38"/>
      <c r="W273" s="38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35" t="s">
        <v>21</v>
      </c>
      <c r="B274" s="35" t="s">
        <v>39</v>
      </c>
      <c r="C274" s="35" t="s">
        <v>41</v>
      </c>
      <c r="D274" s="35" t="s">
        <v>42</v>
      </c>
      <c r="E274" s="35" t="s">
        <v>25</v>
      </c>
      <c r="F274" s="35" t="s">
        <v>25</v>
      </c>
      <c r="G274" s="35" t="s">
        <v>25</v>
      </c>
      <c r="H274" s="35" t="s">
        <v>35</v>
      </c>
      <c r="I274" s="45">
        <v>44256</v>
      </c>
      <c r="J274" s="46">
        <f>EFEITO!$J$274*EFEITO!$Y$274</f>
        <v>0</v>
      </c>
      <c r="K274" s="46">
        <f ca="1">EFEITO!$L$274*EFEITO!$Z$274</f>
        <v>873.31448656438977</v>
      </c>
      <c r="L274" s="46">
        <f>EFEITO!$N$274*EFEITO!$AA$274</f>
        <v>0</v>
      </c>
      <c r="M274" s="46">
        <f>$J$274-EFEITO!$K$274*EFEITO!$Y$274</f>
        <v>0</v>
      </c>
      <c r="N274" s="46">
        <f ca="1">$K$274-EFEITO!$M$274*EFEITO!$Z$274</f>
        <v>0</v>
      </c>
      <c r="O274" s="46">
        <f>$L$274-EFEITO!$O$274*EFEITO!$AA$274</f>
        <v>0</v>
      </c>
      <c r="P274" s="38"/>
      <c r="Q274" s="38"/>
      <c r="R274" s="38"/>
      <c r="S274" s="38"/>
      <c r="T274" s="38"/>
      <c r="U274" s="38"/>
      <c r="V274" s="38"/>
      <c r="W274" s="38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35" t="s">
        <v>21</v>
      </c>
      <c r="B275" s="35" t="s">
        <v>39</v>
      </c>
      <c r="C275" s="35" t="s">
        <v>41</v>
      </c>
      <c r="D275" s="35" t="s">
        <v>42</v>
      </c>
      <c r="E275" s="35" t="s">
        <v>25</v>
      </c>
      <c r="F275" s="35" t="s">
        <v>25</v>
      </c>
      <c r="G275" s="35" t="s">
        <v>25</v>
      </c>
      <c r="H275" s="35" t="s">
        <v>35</v>
      </c>
      <c r="I275" s="45">
        <v>44287</v>
      </c>
      <c r="J275" s="46">
        <f>EFEITO!$J$275*EFEITO!$Y$275</f>
        <v>0</v>
      </c>
      <c r="K275" s="46">
        <f ca="1">EFEITO!$L$275*EFEITO!$Z$275</f>
        <v>114088.89640914364</v>
      </c>
      <c r="L275" s="46">
        <f>EFEITO!$N$275*EFEITO!$AA$275</f>
        <v>546648.17478725326</v>
      </c>
      <c r="M275" s="46">
        <f>$J$275-EFEITO!$K$275*EFEITO!$Y$275</f>
        <v>0</v>
      </c>
      <c r="N275" s="46">
        <f ca="1">$K$275-EFEITO!$M$275*EFEITO!$Z$275</f>
        <v>0</v>
      </c>
      <c r="O275" s="46">
        <f>$L$275-EFEITO!$O$275*EFEITO!$AA$275</f>
        <v>0</v>
      </c>
      <c r="P275" s="38"/>
      <c r="Q275" s="38"/>
      <c r="R275" s="38"/>
      <c r="S275" s="38"/>
      <c r="T275" s="38"/>
      <c r="U275" s="38"/>
      <c r="V275" s="38"/>
      <c r="W275" s="38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35" t="s">
        <v>28</v>
      </c>
      <c r="B276" s="35" t="s">
        <v>39</v>
      </c>
      <c r="C276" s="35" t="s">
        <v>41</v>
      </c>
      <c r="D276" s="35" t="s">
        <v>42</v>
      </c>
      <c r="E276" s="35" t="s">
        <v>25</v>
      </c>
      <c r="F276" s="35" t="s">
        <v>25</v>
      </c>
      <c r="G276" s="35" t="s">
        <v>25</v>
      </c>
      <c r="H276" s="35" t="s">
        <v>35</v>
      </c>
      <c r="I276" s="45">
        <v>44287</v>
      </c>
      <c r="J276" s="46">
        <f>EFEITO!$J$276*EFEITO!$Y$276</f>
        <v>0</v>
      </c>
      <c r="K276" s="46">
        <f ca="1">EFEITO!$L$276*EFEITO!$Z$276</f>
        <v>6179.8662538789949</v>
      </c>
      <c r="L276" s="46">
        <f>EFEITO!$N$276*EFEITO!$AA$276</f>
        <v>29610.353982191264</v>
      </c>
      <c r="M276" s="46">
        <f>$J$276-EFEITO!$K$276*EFEITO!$Y$276</f>
        <v>0</v>
      </c>
      <c r="N276" s="46">
        <f ca="1">$K$276-EFEITO!$M$276*EFEITO!$Z$276</f>
        <v>0</v>
      </c>
      <c r="O276" s="46">
        <f>$L$276-EFEITO!$O$276*EFEITO!$AA$276</f>
        <v>0</v>
      </c>
      <c r="P276" s="38"/>
      <c r="Q276" s="38"/>
      <c r="R276" s="38"/>
      <c r="S276" s="38"/>
      <c r="T276" s="38"/>
      <c r="U276" s="38"/>
      <c r="V276" s="38"/>
      <c r="W276" s="38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35" t="s">
        <v>21</v>
      </c>
      <c r="B277" s="35" t="s">
        <v>39</v>
      </c>
      <c r="C277" s="35" t="s">
        <v>41</v>
      </c>
      <c r="D277" s="35" t="s">
        <v>42</v>
      </c>
      <c r="E277" s="35" t="s">
        <v>25</v>
      </c>
      <c r="F277" s="35" t="s">
        <v>25</v>
      </c>
      <c r="G277" s="35" t="s">
        <v>25</v>
      </c>
      <c r="H277" s="35" t="s">
        <v>35</v>
      </c>
      <c r="I277" s="45">
        <v>44317</v>
      </c>
      <c r="J277" s="46">
        <f>EFEITO!$J$277*EFEITO!$Y$277</f>
        <v>0</v>
      </c>
      <c r="K277" s="46">
        <f ca="1">EFEITO!$L$277*EFEITO!$Z$277</f>
        <v>112085.4160913831</v>
      </c>
      <c r="L277" s="46">
        <f>EFEITO!$N$277*EFEITO!$AA$277</f>
        <v>537048.65289339249</v>
      </c>
      <c r="M277" s="46">
        <f>$J$277-EFEITO!$K$277*EFEITO!$Y$277</f>
        <v>0</v>
      </c>
      <c r="N277" s="46">
        <f ca="1">$K$277-EFEITO!$M$277*EFEITO!$Z$277</f>
        <v>0</v>
      </c>
      <c r="O277" s="46">
        <f>$L$277-EFEITO!$O$277*EFEITO!$AA$277</f>
        <v>0</v>
      </c>
      <c r="P277" s="38"/>
      <c r="Q277" s="38"/>
      <c r="R277" s="38"/>
      <c r="S277" s="38"/>
      <c r="T277" s="38"/>
      <c r="U277" s="38"/>
      <c r="V277" s="38"/>
      <c r="W277" s="38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35" t="s">
        <v>28</v>
      </c>
      <c r="B278" s="35" t="s">
        <v>39</v>
      </c>
      <c r="C278" s="35" t="s">
        <v>41</v>
      </c>
      <c r="D278" s="35" t="s">
        <v>42</v>
      </c>
      <c r="E278" s="35" t="s">
        <v>25</v>
      </c>
      <c r="F278" s="35" t="s">
        <v>25</v>
      </c>
      <c r="G278" s="35" t="s">
        <v>25</v>
      </c>
      <c r="H278" s="35" t="s">
        <v>35</v>
      </c>
      <c r="I278" s="45">
        <v>44317</v>
      </c>
      <c r="J278" s="46">
        <f>EFEITO!$J$278*EFEITO!$Y$278</f>
        <v>0</v>
      </c>
      <c r="K278" s="46">
        <f ca="1">EFEITO!$L$278*EFEITO!$Z$278</f>
        <v>7121.438773684351</v>
      </c>
      <c r="L278" s="46">
        <f>EFEITO!$N$278*EFEITO!$AA$278</f>
        <v>34121.826312816607</v>
      </c>
      <c r="M278" s="46">
        <f>$J$278-EFEITO!$K$278*EFEITO!$Y$278</f>
        <v>0</v>
      </c>
      <c r="N278" s="46">
        <f ca="1">$K$278-EFEITO!$M$278*EFEITO!$Z$278</f>
        <v>0</v>
      </c>
      <c r="O278" s="46">
        <f>$L$278-EFEITO!$O$278*EFEITO!$AA$278</f>
        <v>0</v>
      </c>
      <c r="P278" s="38"/>
      <c r="Q278" s="38"/>
      <c r="R278" s="38"/>
      <c r="S278" s="38"/>
      <c r="T278" s="38"/>
      <c r="U278" s="38"/>
      <c r="V278" s="38"/>
      <c r="W278" s="38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35" t="s">
        <v>21</v>
      </c>
      <c r="B279" s="35" t="s">
        <v>39</v>
      </c>
      <c r="C279" s="35" t="s">
        <v>41</v>
      </c>
      <c r="D279" s="35" t="s">
        <v>42</v>
      </c>
      <c r="E279" s="35" t="s">
        <v>25</v>
      </c>
      <c r="F279" s="35" t="s">
        <v>25</v>
      </c>
      <c r="G279" s="35" t="s">
        <v>25</v>
      </c>
      <c r="H279" s="35" t="s">
        <v>35</v>
      </c>
      <c r="I279" s="45">
        <v>44348</v>
      </c>
      <c r="J279" s="46">
        <f>EFEITO!$J$279*EFEITO!$Y$279</f>
        <v>0</v>
      </c>
      <c r="K279" s="46">
        <f ca="1">EFEITO!$L$279*EFEITO!$Z$279</f>
        <v>97213.927364072442</v>
      </c>
      <c r="L279" s="46">
        <f>EFEITO!$N$279*EFEITO!$AA$279</f>
        <v>465793.05813332216</v>
      </c>
      <c r="M279" s="46">
        <f>$J$279-EFEITO!$K$279*EFEITO!$Y$279</f>
        <v>0</v>
      </c>
      <c r="N279" s="46">
        <f ca="1">$K$279-EFEITO!$M$279*EFEITO!$Z$279</f>
        <v>0</v>
      </c>
      <c r="O279" s="46">
        <f>$L$279-EFEITO!$O$279*EFEITO!$AA$279</f>
        <v>0</v>
      </c>
      <c r="P279" s="38"/>
      <c r="Q279" s="38"/>
      <c r="R279" s="38"/>
      <c r="S279" s="38"/>
      <c r="T279" s="38"/>
      <c r="U279" s="38"/>
      <c r="V279" s="38"/>
      <c r="W279" s="38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35" t="s">
        <v>28</v>
      </c>
      <c r="B280" s="35" t="s">
        <v>39</v>
      </c>
      <c r="C280" s="35" t="s">
        <v>41</v>
      </c>
      <c r="D280" s="35" t="s">
        <v>42</v>
      </c>
      <c r="E280" s="35" t="s">
        <v>25</v>
      </c>
      <c r="F280" s="35" t="s">
        <v>25</v>
      </c>
      <c r="G280" s="35" t="s">
        <v>25</v>
      </c>
      <c r="H280" s="35" t="s">
        <v>35</v>
      </c>
      <c r="I280" s="45">
        <v>44348</v>
      </c>
      <c r="J280" s="46">
        <f>EFEITO!$J$280*EFEITO!$Y$280</f>
        <v>0</v>
      </c>
      <c r="K280" s="46">
        <f ca="1">EFEITO!$L$280*EFEITO!$Z$280</f>
        <v>6609.0305474874003</v>
      </c>
      <c r="L280" s="46">
        <f>EFEITO!$N$280*EFEITO!$AA$280</f>
        <v>31666.661696340503</v>
      </c>
      <c r="M280" s="46">
        <f>$J$280-EFEITO!$K$280*EFEITO!$Y$280</f>
        <v>0</v>
      </c>
      <c r="N280" s="46">
        <f ca="1">$K$280-EFEITO!$M$280*EFEITO!$Z$280</f>
        <v>0</v>
      </c>
      <c r="O280" s="46">
        <f>$L$280-EFEITO!$O$280*EFEITO!$AA$280</f>
        <v>0</v>
      </c>
      <c r="P280" s="38"/>
      <c r="Q280" s="38"/>
      <c r="R280" s="38"/>
      <c r="S280" s="38"/>
      <c r="T280" s="38"/>
      <c r="U280" s="38"/>
      <c r="V280" s="38"/>
      <c r="W280" s="38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35" t="s">
        <v>21</v>
      </c>
      <c r="B281" s="35" t="s">
        <v>39</v>
      </c>
      <c r="C281" s="35" t="s">
        <v>41</v>
      </c>
      <c r="D281" s="35" t="s">
        <v>42</v>
      </c>
      <c r="E281" s="35" t="s">
        <v>25</v>
      </c>
      <c r="F281" s="35" t="s">
        <v>25</v>
      </c>
      <c r="G281" s="35" t="s">
        <v>25</v>
      </c>
      <c r="H281" s="35" t="s">
        <v>35</v>
      </c>
      <c r="I281" s="45">
        <v>44378</v>
      </c>
      <c r="J281" s="46">
        <f>EFEITO!$J$281*EFEITO!$Y$281</f>
        <v>0</v>
      </c>
      <c r="K281" s="46">
        <f ca="1">EFEITO!$L$281*EFEITO!$Z$281</f>
        <v>92565.759427230863</v>
      </c>
      <c r="L281" s="46">
        <f>EFEITO!$N$281*EFEITO!$AA$281</f>
        <v>443521.71886410087</v>
      </c>
      <c r="M281" s="46">
        <f>$J$281-EFEITO!$K$281*EFEITO!$Y$281</f>
        <v>0</v>
      </c>
      <c r="N281" s="46">
        <f ca="1">$K$281-EFEITO!$M$281*EFEITO!$Z$281</f>
        <v>0</v>
      </c>
      <c r="O281" s="46">
        <f>$L$281-EFEITO!$O$281*EFEITO!$AA$281</f>
        <v>0</v>
      </c>
      <c r="P281" s="38"/>
      <c r="Q281" s="38"/>
      <c r="R281" s="38"/>
      <c r="S281" s="38"/>
      <c r="T281" s="38"/>
      <c r="U281" s="38"/>
      <c r="V281" s="38"/>
      <c r="W281" s="38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35" t="s">
        <v>28</v>
      </c>
      <c r="B282" s="35" t="s">
        <v>39</v>
      </c>
      <c r="C282" s="35" t="s">
        <v>41</v>
      </c>
      <c r="D282" s="35" t="s">
        <v>42</v>
      </c>
      <c r="E282" s="35" t="s">
        <v>25</v>
      </c>
      <c r="F282" s="35" t="s">
        <v>25</v>
      </c>
      <c r="G282" s="35" t="s">
        <v>25</v>
      </c>
      <c r="H282" s="35" t="s">
        <v>35</v>
      </c>
      <c r="I282" s="45">
        <v>44378</v>
      </c>
      <c r="J282" s="46">
        <f>EFEITO!$J$282*EFEITO!$Y$282</f>
        <v>0</v>
      </c>
      <c r="K282" s="46">
        <f ca="1">EFEITO!$L$282*EFEITO!$Z$282</f>
        <v>11901.442795151797</v>
      </c>
      <c r="L282" s="46">
        <f>EFEITO!$N$282*EFEITO!$AA$282</f>
        <v>57024.848044574661</v>
      </c>
      <c r="M282" s="46">
        <f>$J$282-EFEITO!$K$282*EFEITO!$Y$282</f>
        <v>0</v>
      </c>
      <c r="N282" s="46">
        <f ca="1">$K$282-EFEITO!$M$282*EFEITO!$Z$282</f>
        <v>0</v>
      </c>
      <c r="O282" s="46">
        <f>$L$282-EFEITO!$O$282*EFEITO!$AA$282</f>
        <v>0</v>
      </c>
      <c r="P282" s="38"/>
      <c r="Q282" s="38"/>
      <c r="R282" s="38"/>
      <c r="S282" s="38"/>
      <c r="T282" s="38"/>
      <c r="U282" s="38"/>
      <c r="V282" s="38"/>
      <c r="W282" s="38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35" t="s">
        <v>21</v>
      </c>
      <c r="B283" s="35" t="s">
        <v>39</v>
      </c>
      <c r="C283" s="35" t="s">
        <v>41</v>
      </c>
      <c r="D283" s="35" t="s">
        <v>42</v>
      </c>
      <c r="E283" s="35" t="s">
        <v>25</v>
      </c>
      <c r="F283" s="35" t="s">
        <v>25</v>
      </c>
      <c r="G283" s="35" t="s">
        <v>25</v>
      </c>
      <c r="H283" s="35" t="s">
        <v>35</v>
      </c>
      <c r="I283" s="45">
        <v>44409</v>
      </c>
      <c r="J283" s="46">
        <f>EFEITO!$J$283*EFEITO!$Y$283</f>
        <v>0</v>
      </c>
      <c r="K283" s="46">
        <f ca="1">EFEITO!$L$283*EFEITO!$Z$283</f>
        <v>88161.24926915027</v>
      </c>
      <c r="L283" s="46">
        <f>EFEITO!$N$283*EFEITO!$AA$283</f>
        <v>422417.847106834</v>
      </c>
      <c r="M283" s="46">
        <f>$J$283-EFEITO!$K$283*EFEITO!$Y$283</f>
        <v>0</v>
      </c>
      <c r="N283" s="46">
        <f ca="1">$K$283-EFEITO!$M$283*EFEITO!$Z$283</f>
        <v>0</v>
      </c>
      <c r="O283" s="46">
        <f>$L$283-EFEITO!$O$283*EFEITO!$AA$283</f>
        <v>0</v>
      </c>
      <c r="P283" s="38"/>
      <c r="Q283" s="38"/>
      <c r="R283" s="38"/>
      <c r="S283" s="38"/>
      <c r="T283" s="38"/>
      <c r="U283" s="38"/>
      <c r="V283" s="38"/>
      <c r="W283" s="38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35" t="s">
        <v>28</v>
      </c>
      <c r="B284" s="35" t="s">
        <v>39</v>
      </c>
      <c r="C284" s="35" t="s">
        <v>41</v>
      </c>
      <c r="D284" s="35" t="s">
        <v>42</v>
      </c>
      <c r="E284" s="35" t="s">
        <v>25</v>
      </c>
      <c r="F284" s="35" t="s">
        <v>25</v>
      </c>
      <c r="G284" s="35" t="s">
        <v>25</v>
      </c>
      <c r="H284" s="35" t="s">
        <v>35</v>
      </c>
      <c r="I284" s="45">
        <v>44409</v>
      </c>
      <c r="J284" s="46">
        <f>EFEITO!$J$284*EFEITO!$Y$284</f>
        <v>0</v>
      </c>
      <c r="K284" s="46">
        <f ca="1">EFEITO!$L$284*EFEITO!$Z$284</f>
        <v>11449.67518491947</v>
      </c>
      <c r="L284" s="46">
        <f>EFEITO!$N$284*EFEITO!$AA$284</f>
        <v>54860.238276803182</v>
      </c>
      <c r="M284" s="46">
        <f>$J$284-EFEITO!$K$284*EFEITO!$Y$284</f>
        <v>0</v>
      </c>
      <c r="N284" s="46">
        <f ca="1">$K$284-EFEITO!$M$284*EFEITO!$Z$284</f>
        <v>0</v>
      </c>
      <c r="O284" s="46">
        <f>$L$284-EFEITO!$O$284*EFEITO!$AA$284</f>
        <v>0</v>
      </c>
      <c r="P284" s="38"/>
      <c r="Q284" s="38"/>
      <c r="R284" s="38"/>
      <c r="S284" s="38"/>
      <c r="T284" s="38"/>
      <c r="U284" s="38"/>
      <c r="V284" s="38"/>
      <c r="W284" s="38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35" t="s">
        <v>21</v>
      </c>
      <c r="B285" s="35" t="s">
        <v>39</v>
      </c>
      <c r="C285" s="35" t="s">
        <v>41</v>
      </c>
      <c r="D285" s="35" t="s">
        <v>42</v>
      </c>
      <c r="E285" s="35" t="s">
        <v>25</v>
      </c>
      <c r="F285" s="35" t="s">
        <v>25</v>
      </c>
      <c r="G285" s="35" t="s">
        <v>25</v>
      </c>
      <c r="H285" s="35" t="s">
        <v>35</v>
      </c>
      <c r="I285" s="45">
        <v>44409</v>
      </c>
      <c r="J285" s="46">
        <f>EFEITO!$J$285*EFEITO!$Y$285</f>
        <v>0</v>
      </c>
      <c r="K285" s="46">
        <f ca="1">EFEITO!$L$285*EFEITO!$Z$285</f>
        <v>11234.246658417895</v>
      </c>
      <c r="L285" s="46">
        <f>EFEITO!$N$285*EFEITO!$AA$285</f>
        <v>0</v>
      </c>
      <c r="M285" s="46">
        <f>$J$285-EFEITO!$K$285*EFEITO!$Y$285</f>
        <v>0</v>
      </c>
      <c r="N285" s="46">
        <f ca="1">$K$285-EFEITO!$M$285*EFEITO!$Z$285</f>
        <v>0</v>
      </c>
      <c r="O285" s="46">
        <f>$L$285-EFEITO!$O$285*EFEITO!$AA$285</f>
        <v>0</v>
      </c>
      <c r="P285" s="38"/>
      <c r="Q285" s="38"/>
      <c r="R285" s="38"/>
      <c r="S285" s="38"/>
      <c r="T285" s="38"/>
      <c r="U285" s="38"/>
      <c r="V285" s="38"/>
      <c r="W285" s="38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35" t="s">
        <v>21</v>
      </c>
      <c r="B286" s="35" t="s">
        <v>39</v>
      </c>
      <c r="C286" s="35" t="s">
        <v>41</v>
      </c>
      <c r="D286" s="35" t="s">
        <v>42</v>
      </c>
      <c r="E286" s="35" t="s">
        <v>25</v>
      </c>
      <c r="F286" s="35" t="s">
        <v>25</v>
      </c>
      <c r="G286" s="35" t="s">
        <v>25</v>
      </c>
      <c r="H286" s="35" t="s">
        <v>35</v>
      </c>
      <c r="I286" s="45">
        <v>44440</v>
      </c>
      <c r="J286" s="46">
        <f>EFEITO!$J$286*EFEITO!$Y$286</f>
        <v>0</v>
      </c>
      <c r="K286" s="46">
        <f ca="1">EFEITO!$L$286*EFEITO!$Z$286</f>
        <v>93157.428622734617</v>
      </c>
      <c r="L286" s="46">
        <f>EFEITO!$N$286*EFEITO!$AA$286</f>
        <v>446356.65632059157</v>
      </c>
      <c r="M286" s="46">
        <f>$J$286-EFEITO!$K$286*EFEITO!$Y$286</f>
        <v>0</v>
      </c>
      <c r="N286" s="46">
        <f ca="1">$K$286-EFEITO!$M$286*EFEITO!$Z$286</f>
        <v>0</v>
      </c>
      <c r="O286" s="46">
        <f>$L$286-EFEITO!$O$286*EFEITO!$AA$286</f>
        <v>0</v>
      </c>
      <c r="P286" s="38"/>
      <c r="Q286" s="38"/>
      <c r="R286" s="38"/>
      <c r="S286" s="38"/>
      <c r="T286" s="38"/>
      <c r="U286" s="38"/>
      <c r="V286" s="38"/>
      <c r="W286" s="38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35" t="s">
        <v>28</v>
      </c>
      <c r="B287" s="35" t="s">
        <v>39</v>
      </c>
      <c r="C287" s="35" t="s">
        <v>41</v>
      </c>
      <c r="D287" s="35" t="s">
        <v>42</v>
      </c>
      <c r="E287" s="35" t="s">
        <v>25</v>
      </c>
      <c r="F287" s="35" t="s">
        <v>25</v>
      </c>
      <c r="G287" s="35" t="s">
        <v>25</v>
      </c>
      <c r="H287" s="35" t="s">
        <v>35</v>
      </c>
      <c r="I287" s="45">
        <v>44440</v>
      </c>
      <c r="J287" s="46">
        <f>EFEITO!$J$287*EFEITO!$Y$287</f>
        <v>0</v>
      </c>
      <c r="K287" s="46">
        <f ca="1">EFEITO!$L$287*EFEITO!$Z$287</f>
        <v>11253.564030334375</v>
      </c>
      <c r="L287" s="46">
        <f>EFEITO!$N$287*EFEITO!$AA$287</f>
        <v>53920.5867587018</v>
      </c>
      <c r="M287" s="46">
        <f>$J$287-EFEITO!$K$287*EFEITO!$Y$287</f>
        <v>0</v>
      </c>
      <c r="N287" s="46">
        <f ca="1">$K$287-EFEITO!$M$287*EFEITO!$Z$287</f>
        <v>0</v>
      </c>
      <c r="O287" s="46">
        <f>$L$287-EFEITO!$O$287*EFEITO!$AA$287</f>
        <v>0</v>
      </c>
      <c r="P287" s="38"/>
      <c r="Q287" s="38"/>
      <c r="R287" s="38"/>
      <c r="S287" s="38"/>
      <c r="T287" s="38"/>
      <c r="U287" s="38"/>
      <c r="V287" s="38"/>
      <c r="W287" s="38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35" t="s">
        <v>28</v>
      </c>
      <c r="B288" s="35" t="s">
        <v>39</v>
      </c>
      <c r="C288" s="35" t="s">
        <v>41</v>
      </c>
      <c r="D288" s="35" t="s">
        <v>42</v>
      </c>
      <c r="E288" s="35" t="s">
        <v>25</v>
      </c>
      <c r="F288" s="35" t="s">
        <v>25</v>
      </c>
      <c r="G288" s="35" t="s">
        <v>25</v>
      </c>
      <c r="H288" s="35" t="s">
        <v>35</v>
      </c>
      <c r="I288" s="45">
        <v>44440</v>
      </c>
      <c r="J288" s="46">
        <f>EFEITO!$J$288*EFEITO!$Y$288</f>
        <v>0</v>
      </c>
      <c r="K288" s="46">
        <f ca="1">EFEITO!$L$288*EFEITO!$Z$288</f>
        <v>-742.32478163588462</v>
      </c>
      <c r="L288" s="46">
        <f>EFEITO!$N$288*EFEITO!$AA$288</f>
        <v>-3556.7921134530375</v>
      </c>
      <c r="M288" s="46">
        <f>$J$288-EFEITO!$K$288*EFEITO!$Y$288</f>
        <v>0</v>
      </c>
      <c r="N288" s="46">
        <f ca="1">$K$288-EFEITO!$M$288*EFEITO!$Z$288</f>
        <v>0</v>
      </c>
      <c r="O288" s="46">
        <f>$L$288-EFEITO!$O$288*EFEITO!$AA$288</f>
        <v>0</v>
      </c>
      <c r="P288" s="38"/>
      <c r="Q288" s="38"/>
      <c r="R288" s="38"/>
      <c r="S288" s="38"/>
      <c r="T288" s="38"/>
      <c r="U288" s="38"/>
      <c r="V288" s="38"/>
      <c r="W288" s="38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35" t="s">
        <v>21</v>
      </c>
      <c r="B289" s="35" t="s">
        <v>39</v>
      </c>
      <c r="C289" s="35" t="s">
        <v>41</v>
      </c>
      <c r="D289" s="35" t="s">
        <v>42</v>
      </c>
      <c r="E289" s="35" t="s">
        <v>25</v>
      </c>
      <c r="F289" s="35" t="s">
        <v>25</v>
      </c>
      <c r="G289" s="35" t="s">
        <v>25</v>
      </c>
      <c r="H289" s="35" t="s">
        <v>35</v>
      </c>
      <c r="I289" s="45">
        <v>44440</v>
      </c>
      <c r="J289" s="46">
        <f>EFEITO!$J$289*EFEITO!$Y$289</f>
        <v>0</v>
      </c>
      <c r="K289" s="46">
        <f ca="1">EFEITO!$L$289*EFEITO!$Z$289</f>
        <v>11420.649340003725</v>
      </c>
      <c r="L289" s="46">
        <f>EFEITO!$N$289*EFEITO!$AA$289</f>
        <v>0</v>
      </c>
      <c r="M289" s="46">
        <f>$J$289-EFEITO!$K$289*EFEITO!$Y$289</f>
        <v>0</v>
      </c>
      <c r="N289" s="46">
        <f ca="1">$K$289-EFEITO!$M$289*EFEITO!$Z$289</f>
        <v>0</v>
      </c>
      <c r="O289" s="46">
        <f>$L$289-EFEITO!$O$289*EFEITO!$AA$289</f>
        <v>0</v>
      </c>
      <c r="P289" s="38"/>
      <c r="Q289" s="38"/>
      <c r="R289" s="38"/>
      <c r="S289" s="38"/>
      <c r="T289" s="38"/>
      <c r="U289" s="38"/>
      <c r="V289" s="38"/>
      <c r="W289" s="38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35" t="s">
        <v>21</v>
      </c>
      <c r="B290" s="35" t="s">
        <v>39</v>
      </c>
      <c r="C290" s="35" t="s">
        <v>41</v>
      </c>
      <c r="D290" s="35" t="s">
        <v>42</v>
      </c>
      <c r="E290" s="35" t="s">
        <v>25</v>
      </c>
      <c r="F290" s="35" t="s">
        <v>25</v>
      </c>
      <c r="G290" s="35" t="s">
        <v>25</v>
      </c>
      <c r="H290" s="35" t="s">
        <v>35</v>
      </c>
      <c r="I290" s="45">
        <v>44470</v>
      </c>
      <c r="J290" s="46">
        <f>EFEITO!$J$290*EFEITO!$Y$290</f>
        <v>0</v>
      </c>
      <c r="K290" s="46">
        <f ca="1">EFEITO!$L$290*EFEITO!$Z$290</f>
        <v>103677.23124248888</v>
      </c>
      <c r="L290" s="46">
        <f>EFEITO!$N$290*EFEITO!$AA$290</f>
        <v>496761.48169981182</v>
      </c>
      <c r="M290" s="46">
        <f>$J$290-EFEITO!$K$290*EFEITO!$Y$290</f>
        <v>0</v>
      </c>
      <c r="N290" s="46">
        <f ca="1">$K$290-EFEITO!$M$290*EFEITO!$Z$290</f>
        <v>0</v>
      </c>
      <c r="O290" s="46">
        <f>$L$290-EFEITO!$O$290*EFEITO!$AA$290</f>
        <v>0</v>
      </c>
      <c r="P290" s="38"/>
      <c r="Q290" s="38"/>
      <c r="R290" s="38"/>
      <c r="S290" s="38"/>
      <c r="T290" s="38"/>
      <c r="U290" s="38"/>
      <c r="V290" s="38"/>
      <c r="W290" s="38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35" t="s">
        <v>28</v>
      </c>
      <c r="B291" s="35" t="s">
        <v>39</v>
      </c>
      <c r="C291" s="35" t="s">
        <v>41</v>
      </c>
      <c r="D291" s="35" t="s">
        <v>42</v>
      </c>
      <c r="E291" s="35" t="s">
        <v>25</v>
      </c>
      <c r="F291" s="35" t="s">
        <v>25</v>
      </c>
      <c r="G291" s="35" t="s">
        <v>25</v>
      </c>
      <c r="H291" s="35" t="s">
        <v>35</v>
      </c>
      <c r="I291" s="45">
        <v>44470</v>
      </c>
      <c r="J291" s="46">
        <f>EFEITO!$J$291*EFEITO!$Y$291</f>
        <v>0</v>
      </c>
      <c r="K291" s="46">
        <f ca="1">EFEITO!$L$291*EFEITO!$Z$291</f>
        <v>12307.256966520952</v>
      </c>
      <c r="L291" s="46">
        <f>EFEITO!$N$291*EFEITO!$AA$291</f>
        <v>58969.275443418104</v>
      </c>
      <c r="M291" s="46">
        <f>$J$291-EFEITO!$K$291*EFEITO!$Y$291</f>
        <v>0</v>
      </c>
      <c r="N291" s="46">
        <f ca="1">$K$291-EFEITO!$M$291*EFEITO!$Z$291</f>
        <v>0</v>
      </c>
      <c r="O291" s="46">
        <f>$L$291-EFEITO!$O$291*EFEITO!$AA$291</f>
        <v>0</v>
      </c>
      <c r="P291" s="38"/>
      <c r="Q291" s="38"/>
      <c r="R291" s="38"/>
      <c r="S291" s="38"/>
      <c r="T291" s="38"/>
      <c r="U291" s="38"/>
      <c r="V291" s="38"/>
      <c r="W291" s="38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35" t="s">
        <v>21</v>
      </c>
      <c r="B292" s="35" t="s">
        <v>39</v>
      </c>
      <c r="C292" s="35" t="s">
        <v>41</v>
      </c>
      <c r="D292" s="35" t="s">
        <v>42</v>
      </c>
      <c r="E292" s="35" t="s">
        <v>25</v>
      </c>
      <c r="F292" s="35" t="s">
        <v>25</v>
      </c>
      <c r="G292" s="35" t="s">
        <v>25</v>
      </c>
      <c r="H292" s="35" t="s">
        <v>35</v>
      </c>
      <c r="I292" s="45">
        <v>44501</v>
      </c>
      <c r="J292" s="46">
        <f>EFEITO!$J$292*EFEITO!$Y$292</f>
        <v>0</v>
      </c>
      <c r="K292" s="46">
        <f ca="1">EFEITO!$L$292*EFEITO!$Z$292</f>
        <v>105987.300158862</v>
      </c>
      <c r="L292" s="46">
        <f>EFEITO!$N$292*EFEITO!$AA$292</f>
        <v>507829.99929016107</v>
      </c>
      <c r="M292" s="46">
        <f>$J$292-EFEITO!$K$292*EFEITO!$Y$292</f>
        <v>0</v>
      </c>
      <c r="N292" s="46">
        <f ca="1">$K$292-EFEITO!$M$292*EFEITO!$Z$292</f>
        <v>0</v>
      </c>
      <c r="O292" s="46">
        <f>$L$292-EFEITO!$O$292*EFEITO!$AA$292</f>
        <v>0</v>
      </c>
      <c r="P292" s="38"/>
      <c r="Q292" s="38"/>
      <c r="R292" s="38"/>
      <c r="S292" s="38"/>
      <c r="T292" s="38"/>
      <c r="U292" s="38"/>
      <c r="V292" s="38"/>
      <c r="W292" s="38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35" t="s">
        <v>28</v>
      </c>
      <c r="B293" s="35" t="s">
        <v>39</v>
      </c>
      <c r="C293" s="35" t="s">
        <v>41</v>
      </c>
      <c r="D293" s="35" t="s">
        <v>42</v>
      </c>
      <c r="E293" s="35" t="s">
        <v>25</v>
      </c>
      <c r="F293" s="35" t="s">
        <v>25</v>
      </c>
      <c r="G293" s="35" t="s">
        <v>25</v>
      </c>
      <c r="H293" s="35" t="s">
        <v>35</v>
      </c>
      <c r="I293" s="45">
        <v>44501</v>
      </c>
      <c r="J293" s="46">
        <f>EFEITO!$J$293*EFEITO!$Y$293</f>
        <v>0</v>
      </c>
      <c r="K293" s="46">
        <f ca="1">EFEITO!$L$293*EFEITO!$Z$293</f>
        <v>9161.5623536369749</v>
      </c>
      <c r="L293" s="46">
        <f>EFEITO!$N$293*EFEITO!$AA$293</f>
        <v>43896.921579950409</v>
      </c>
      <c r="M293" s="46">
        <f>$J$293-EFEITO!$K$293*EFEITO!$Y$293</f>
        <v>0</v>
      </c>
      <c r="N293" s="46">
        <f ca="1">$K$293-EFEITO!$M$293*EFEITO!$Z$293</f>
        <v>0</v>
      </c>
      <c r="O293" s="46">
        <f>$L$293-EFEITO!$O$293*EFEITO!$AA$293</f>
        <v>0</v>
      </c>
      <c r="P293" s="38"/>
      <c r="Q293" s="38"/>
      <c r="R293" s="38"/>
      <c r="S293" s="38"/>
      <c r="T293" s="38"/>
      <c r="U293" s="38"/>
      <c r="V293" s="38"/>
      <c r="W293" s="38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35" t="s">
        <v>21</v>
      </c>
      <c r="B294" s="35" t="s">
        <v>39</v>
      </c>
      <c r="C294" s="35" t="s">
        <v>41</v>
      </c>
      <c r="D294" s="35" t="s">
        <v>42</v>
      </c>
      <c r="E294" s="35" t="s">
        <v>25</v>
      </c>
      <c r="F294" s="35" t="s">
        <v>25</v>
      </c>
      <c r="G294" s="35" t="s">
        <v>25</v>
      </c>
      <c r="H294" s="35" t="s">
        <v>35</v>
      </c>
      <c r="I294" s="45">
        <v>44531</v>
      </c>
      <c r="J294" s="46">
        <f>EFEITO!$J$294*EFEITO!$Y$294</f>
        <v>0</v>
      </c>
      <c r="K294" s="46">
        <f ca="1">EFEITO!$L$294*EFEITO!$Z$294</f>
        <v>106819.14204025519</v>
      </c>
      <c r="L294" s="46">
        <f>EFEITO!$N$294*EFEITO!$AA$294</f>
        <v>511815.70570408279</v>
      </c>
      <c r="M294" s="46">
        <f>$J$294-EFEITO!$K$294*EFEITO!$Y$294</f>
        <v>0</v>
      </c>
      <c r="N294" s="46">
        <f ca="1">$K$294-EFEITO!$M$294*EFEITO!$Z$294</f>
        <v>0</v>
      </c>
      <c r="O294" s="46">
        <f>$L$294-EFEITO!$O$294*EFEITO!$AA$294</f>
        <v>0</v>
      </c>
      <c r="P294" s="38"/>
      <c r="Q294" s="38"/>
      <c r="R294" s="38"/>
      <c r="S294" s="38"/>
      <c r="T294" s="38"/>
      <c r="U294" s="38"/>
      <c r="V294" s="38"/>
      <c r="W294" s="38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35" t="s">
        <v>28</v>
      </c>
      <c r="B295" s="35" t="s">
        <v>39</v>
      </c>
      <c r="C295" s="35" t="s">
        <v>41</v>
      </c>
      <c r="D295" s="35" t="s">
        <v>42</v>
      </c>
      <c r="E295" s="35" t="s">
        <v>25</v>
      </c>
      <c r="F295" s="35" t="s">
        <v>25</v>
      </c>
      <c r="G295" s="35" t="s">
        <v>25</v>
      </c>
      <c r="H295" s="35" t="s">
        <v>35</v>
      </c>
      <c r="I295" s="45">
        <v>44531</v>
      </c>
      <c r="J295" s="46">
        <f>EFEITO!$J$295*EFEITO!$Y$295</f>
        <v>0</v>
      </c>
      <c r="K295" s="46">
        <f ca="1">EFEITO!$L$295*EFEITO!$Z$295</f>
        <v>7821.6437186157436</v>
      </c>
      <c r="L295" s="46">
        <f>EFEITO!$N$295*EFEITO!$AA$295</f>
        <v>37476.804467317175</v>
      </c>
      <c r="M295" s="46">
        <f>$J$295-EFEITO!$K$295*EFEITO!$Y$295</f>
        <v>0</v>
      </c>
      <c r="N295" s="46">
        <f ca="1">$K$295-EFEITO!$M$295*EFEITO!$Z$295</f>
        <v>0</v>
      </c>
      <c r="O295" s="46">
        <f>$L$295-EFEITO!$O$295*EFEITO!$AA$295</f>
        <v>0</v>
      </c>
      <c r="P295" s="38"/>
      <c r="Q295" s="38"/>
      <c r="R295" s="38"/>
      <c r="S295" s="38"/>
      <c r="T295" s="38"/>
      <c r="U295" s="38"/>
      <c r="V295" s="38"/>
      <c r="W295" s="38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35" t="s">
        <v>55</v>
      </c>
      <c r="B296" s="35" t="s">
        <v>39</v>
      </c>
      <c r="C296" s="35" t="s">
        <v>41</v>
      </c>
      <c r="D296" s="35" t="s">
        <v>42</v>
      </c>
      <c r="E296" s="35" t="s">
        <v>25</v>
      </c>
      <c r="F296" s="35" t="s">
        <v>25</v>
      </c>
      <c r="G296" s="35" t="s">
        <v>25</v>
      </c>
      <c r="H296" s="35" t="s">
        <v>35</v>
      </c>
      <c r="I296" s="45">
        <v>44562</v>
      </c>
      <c r="J296" s="46">
        <f>EFEITO!$J$296*EFEITO!$Y$296</f>
        <v>0</v>
      </c>
      <c r="K296" s="46">
        <f ca="1">EFEITO!$L$296*EFEITO!$Z$296</f>
        <v>106819.14204025519</v>
      </c>
      <c r="L296" s="46">
        <f>EFEITO!$N$296*EFEITO!$AA$296</f>
        <v>511815.70570408279</v>
      </c>
      <c r="M296" s="46">
        <f>$J$296-EFEITO!$K$296*EFEITO!$Y$296</f>
        <v>0</v>
      </c>
      <c r="N296" s="46">
        <f ca="1">$K$296-EFEITO!$M$296*EFEITO!$Z$296</f>
        <v>0</v>
      </c>
      <c r="O296" s="46">
        <f>$L$296-EFEITO!$O$296*EFEITO!$AA$296</f>
        <v>0</v>
      </c>
      <c r="P296" s="38"/>
      <c r="Q296" s="38"/>
      <c r="R296" s="38"/>
      <c r="S296" s="38"/>
      <c r="T296" s="38"/>
      <c r="U296" s="38"/>
      <c r="V296" s="38"/>
      <c r="W296" s="38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35" t="s">
        <v>55</v>
      </c>
      <c r="B297" s="35" t="s">
        <v>39</v>
      </c>
      <c r="C297" s="35" t="s">
        <v>41</v>
      </c>
      <c r="D297" s="35" t="s">
        <v>42</v>
      </c>
      <c r="E297" s="35" t="s">
        <v>25</v>
      </c>
      <c r="F297" s="35" t="s">
        <v>25</v>
      </c>
      <c r="G297" s="35" t="s">
        <v>25</v>
      </c>
      <c r="H297" s="35" t="s">
        <v>35</v>
      </c>
      <c r="I297" s="45">
        <v>44562</v>
      </c>
      <c r="J297" s="46">
        <f>EFEITO!$J$297*EFEITO!$Y$297</f>
        <v>0</v>
      </c>
      <c r="K297" s="46">
        <f ca="1">EFEITO!$L$297*EFEITO!$Z$297</f>
        <v>7821.6437186157436</v>
      </c>
      <c r="L297" s="46">
        <f>EFEITO!$N$297*EFEITO!$AA$297</f>
        <v>37476.804467317175</v>
      </c>
      <c r="M297" s="46">
        <f>$J$297-EFEITO!$K$297*EFEITO!$Y$297</f>
        <v>0</v>
      </c>
      <c r="N297" s="46">
        <f ca="1">$K$297-EFEITO!$M$297*EFEITO!$Z$297</f>
        <v>0</v>
      </c>
      <c r="O297" s="46">
        <f>$L$297-EFEITO!$O$297*EFEITO!$AA$297</f>
        <v>0</v>
      </c>
      <c r="P297" s="38"/>
      <c r="Q297" s="38"/>
      <c r="R297" s="38"/>
      <c r="S297" s="38"/>
      <c r="T297" s="38"/>
      <c r="U297" s="38"/>
      <c r="V297" s="38"/>
      <c r="W297" s="38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35" t="s">
        <v>21</v>
      </c>
      <c r="B298" s="35" t="s">
        <v>39</v>
      </c>
      <c r="C298" s="35" t="s">
        <v>41</v>
      </c>
      <c r="D298" s="35" t="s">
        <v>42</v>
      </c>
      <c r="E298" s="35" t="s">
        <v>25</v>
      </c>
      <c r="F298" s="35" t="s">
        <v>25</v>
      </c>
      <c r="G298" s="35" t="s">
        <v>25</v>
      </c>
      <c r="H298" s="35" t="s">
        <v>25</v>
      </c>
      <c r="I298" s="45">
        <v>44228</v>
      </c>
      <c r="J298" s="46">
        <f ca="1">EFEITO!$J$298*EFEITO!$Y$298</f>
        <v>261209.89307663598</v>
      </c>
      <c r="K298" s="46">
        <f>EFEITO!$L$298*EFEITO!$Z$298</f>
        <v>0</v>
      </c>
      <c r="L298" s="46">
        <f>EFEITO!$N$298*EFEITO!$AA$298</f>
        <v>0</v>
      </c>
      <c r="M298" s="46">
        <f ca="1">$J$298-EFEITO!$K$298*EFEITO!$Y$298</f>
        <v>0</v>
      </c>
      <c r="N298" s="46">
        <f>$K$298-EFEITO!$M$298*EFEITO!$Z$298</f>
        <v>0</v>
      </c>
      <c r="O298" s="46">
        <f>$L$298-EFEITO!$O$298*EFEITO!$AA$298</f>
        <v>0</v>
      </c>
      <c r="P298" s="38"/>
      <c r="Q298" s="38"/>
      <c r="R298" s="38"/>
      <c r="S298" s="38"/>
      <c r="T298" s="38"/>
      <c r="U298" s="38"/>
      <c r="V298" s="38"/>
      <c r="W298" s="38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35" t="s">
        <v>28</v>
      </c>
      <c r="B299" s="35" t="s">
        <v>39</v>
      </c>
      <c r="C299" s="35" t="s">
        <v>41</v>
      </c>
      <c r="D299" s="35" t="s">
        <v>42</v>
      </c>
      <c r="E299" s="35" t="s">
        <v>25</v>
      </c>
      <c r="F299" s="35" t="s">
        <v>25</v>
      </c>
      <c r="G299" s="35" t="s">
        <v>25</v>
      </c>
      <c r="H299" s="35" t="s">
        <v>25</v>
      </c>
      <c r="I299" s="45">
        <v>44228</v>
      </c>
      <c r="J299" s="46">
        <f ca="1">EFEITO!$J$299*EFEITO!$Y$299</f>
        <v>18213.979418797422</v>
      </c>
      <c r="K299" s="46">
        <f>EFEITO!$L$299*EFEITO!$Z$299</f>
        <v>0</v>
      </c>
      <c r="L299" s="46">
        <f>EFEITO!$N$299*EFEITO!$AA$299</f>
        <v>0</v>
      </c>
      <c r="M299" s="46">
        <f ca="1">$J$299-EFEITO!$K$299*EFEITO!$Y$299</f>
        <v>0</v>
      </c>
      <c r="N299" s="46">
        <f>$K$299-EFEITO!$M$299*EFEITO!$Z$299</f>
        <v>0</v>
      </c>
      <c r="O299" s="46">
        <f>$L$299-EFEITO!$O$299*EFEITO!$AA$299</f>
        <v>0</v>
      </c>
      <c r="P299" s="38"/>
      <c r="Q299" s="38"/>
      <c r="R299" s="38"/>
      <c r="S299" s="38"/>
      <c r="T299" s="38"/>
      <c r="U299" s="38"/>
      <c r="V299" s="38"/>
      <c r="W299" s="38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35" t="s">
        <v>21</v>
      </c>
      <c r="B300" s="35" t="s">
        <v>39</v>
      </c>
      <c r="C300" s="35" t="s">
        <v>41</v>
      </c>
      <c r="D300" s="35" t="s">
        <v>42</v>
      </c>
      <c r="E300" s="35" t="s">
        <v>25</v>
      </c>
      <c r="F300" s="35" t="s">
        <v>25</v>
      </c>
      <c r="G300" s="35" t="s">
        <v>25</v>
      </c>
      <c r="H300" s="35" t="s">
        <v>25</v>
      </c>
      <c r="I300" s="45">
        <v>44228</v>
      </c>
      <c r="J300" s="46">
        <f ca="1">EFEITO!$J$300*EFEITO!$Y$300</f>
        <v>2142.8211080938145</v>
      </c>
      <c r="K300" s="46">
        <f>EFEITO!$L$300*EFEITO!$Z$300</f>
        <v>0</v>
      </c>
      <c r="L300" s="46">
        <f>EFEITO!$N$300*EFEITO!$AA$300</f>
        <v>0</v>
      </c>
      <c r="M300" s="46">
        <f ca="1">$J$300-EFEITO!$K$300*EFEITO!$Y$300</f>
        <v>0</v>
      </c>
      <c r="N300" s="46">
        <f>$K$300-EFEITO!$M$300*EFEITO!$Z$300</f>
        <v>0</v>
      </c>
      <c r="O300" s="46">
        <f>$L$300-EFEITO!$O$300*EFEITO!$AA$300</f>
        <v>0</v>
      </c>
      <c r="P300" s="38"/>
      <c r="Q300" s="38"/>
      <c r="R300" s="38"/>
      <c r="S300" s="38"/>
      <c r="T300" s="38"/>
      <c r="U300" s="38"/>
      <c r="V300" s="38"/>
      <c r="W300" s="38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35" t="s">
        <v>21</v>
      </c>
      <c r="B301" s="35" t="s">
        <v>39</v>
      </c>
      <c r="C301" s="35" t="s">
        <v>41</v>
      </c>
      <c r="D301" s="35" t="s">
        <v>42</v>
      </c>
      <c r="E301" s="35" t="s">
        <v>25</v>
      </c>
      <c r="F301" s="35" t="s">
        <v>25</v>
      </c>
      <c r="G301" s="35" t="s">
        <v>25</v>
      </c>
      <c r="H301" s="35" t="s">
        <v>25</v>
      </c>
      <c r="I301" s="45">
        <v>44256</v>
      </c>
      <c r="J301" s="46">
        <f ca="1">EFEITO!$J$301*EFEITO!$Y$301</f>
        <v>257209.96034152751</v>
      </c>
      <c r="K301" s="46">
        <f>EFEITO!$L$301*EFEITO!$Z$301</f>
        <v>0</v>
      </c>
      <c r="L301" s="46">
        <f>EFEITO!$N$301*EFEITO!$AA$301</f>
        <v>0</v>
      </c>
      <c r="M301" s="46">
        <f ca="1">$J$301-EFEITO!$K$301*EFEITO!$Y$301</f>
        <v>0</v>
      </c>
      <c r="N301" s="46">
        <f>$K$301-EFEITO!$M$301*EFEITO!$Z$301</f>
        <v>0</v>
      </c>
      <c r="O301" s="46">
        <f>$L$301-EFEITO!$O$301*EFEITO!$AA$301</f>
        <v>0</v>
      </c>
      <c r="P301" s="38"/>
      <c r="Q301" s="38"/>
      <c r="R301" s="38"/>
      <c r="S301" s="38"/>
      <c r="T301" s="38"/>
      <c r="U301" s="38"/>
      <c r="V301" s="38"/>
      <c r="W301" s="38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35" t="s">
        <v>27</v>
      </c>
      <c r="B302" s="35" t="s">
        <v>39</v>
      </c>
      <c r="C302" s="35" t="s">
        <v>41</v>
      </c>
      <c r="D302" s="35" t="s">
        <v>42</v>
      </c>
      <c r="E302" s="35" t="s">
        <v>25</v>
      </c>
      <c r="F302" s="35" t="s">
        <v>25</v>
      </c>
      <c r="G302" s="35" t="s">
        <v>25</v>
      </c>
      <c r="H302" s="35" t="s">
        <v>25</v>
      </c>
      <c r="I302" s="45">
        <v>44256</v>
      </c>
      <c r="J302" s="46">
        <f ca="1">EFEITO!$J$302*EFEITO!$Y$302</f>
        <v>-2142.8211080938145</v>
      </c>
      <c r="K302" s="46">
        <f>EFEITO!$L$302*EFEITO!$Z$302</f>
        <v>0</v>
      </c>
      <c r="L302" s="46">
        <f>EFEITO!$N$302*EFEITO!$AA$302</f>
        <v>0</v>
      </c>
      <c r="M302" s="46">
        <f ca="1">$J$302-EFEITO!$K$302*EFEITO!$Y$302</f>
        <v>0</v>
      </c>
      <c r="N302" s="46">
        <f>$K$302-EFEITO!$M$302*EFEITO!$Z$302</f>
        <v>0</v>
      </c>
      <c r="O302" s="46">
        <f>$L$302-EFEITO!$O$302*EFEITO!$AA$302</f>
        <v>0</v>
      </c>
      <c r="P302" s="38"/>
      <c r="Q302" s="38"/>
      <c r="R302" s="38"/>
      <c r="S302" s="38"/>
      <c r="T302" s="38"/>
      <c r="U302" s="38"/>
      <c r="V302" s="38"/>
      <c r="W302" s="38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35" t="s">
        <v>28</v>
      </c>
      <c r="B303" s="35" t="s">
        <v>39</v>
      </c>
      <c r="C303" s="35" t="s">
        <v>41</v>
      </c>
      <c r="D303" s="35" t="s">
        <v>42</v>
      </c>
      <c r="E303" s="35" t="s">
        <v>25</v>
      </c>
      <c r="F303" s="35" t="s">
        <v>25</v>
      </c>
      <c r="G303" s="35" t="s">
        <v>25</v>
      </c>
      <c r="H303" s="35" t="s">
        <v>25</v>
      </c>
      <c r="I303" s="45">
        <v>44256</v>
      </c>
      <c r="J303" s="46">
        <f ca="1">EFEITO!$J$303*EFEITO!$Y$303</f>
        <v>21821.061617422009</v>
      </c>
      <c r="K303" s="46">
        <f>EFEITO!$L$303*EFEITO!$Z$303</f>
        <v>0</v>
      </c>
      <c r="L303" s="46">
        <f>EFEITO!$N$303*EFEITO!$AA$303</f>
        <v>0</v>
      </c>
      <c r="M303" s="46">
        <f ca="1">$J$303-EFEITO!$K$303*EFEITO!$Y$303</f>
        <v>0</v>
      </c>
      <c r="N303" s="46">
        <f>$K$303-EFEITO!$M$303*EFEITO!$Z$303</f>
        <v>0</v>
      </c>
      <c r="O303" s="46">
        <f>$L$303-EFEITO!$O$303*EFEITO!$AA$303</f>
        <v>0</v>
      </c>
      <c r="P303" s="38"/>
      <c r="Q303" s="38"/>
      <c r="R303" s="38"/>
      <c r="S303" s="38"/>
      <c r="T303" s="38"/>
      <c r="U303" s="38"/>
      <c r="V303" s="38"/>
      <c r="W303" s="38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35" t="s">
        <v>21</v>
      </c>
      <c r="B304" s="35" t="s">
        <v>39</v>
      </c>
      <c r="C304" s="35" t="s">
        <v>41</v>
      </c>
      <c r="D304" s="35" t="s">
        <v>42</v>
      </c>
      <c r="E304" s="35" t="s">
        <v>25</v>
      </c>
      <c r="F304" s="35" t="s">
        <v>25</v>
      </c>
      <c r="G304" s="35" t="s">
        <v>25</v>
      </c>
      <c r="H304" s="35" t="s">
        <v>25</v>
      </c>
      <c r="I304" s="45">
        <v>44256</v>
      </c>
      <c r="J304" s="46">
        <f ca="1">EFEITO!$J$304*EFEITO!$Y$304</f>
        <v>2142.8211080938145</v>
      </c>
      <c r="K304" s="46">
        <f>EFEITO!$L$304*EFEITO!$Z$304</f>
        <v>0</v>
      </c>
      <c r="L304" s="46">
        <f>EFEITO!$N$304*EFEITO!$AA$304</f>
        <v>0</v>
      </c>
      <c r="M304" s="46">
        <f ca="1">$J$304-EFEITO!$K$304*EFEITO!$Y$304</f>
        <v>0</v>
      </c>
      <c r="N304" s="46">
        <f>$K$304-EFEITO!$M$304*EFEITO!$Z$304</f>
        <v>0</v>
      </c>
      <c r="O304" s="46">
        <f>$L$304-EFEITO!$O$304*EFEITO!$AA$304</f>
        <v>0</v>
      </c>
      <c r="P304" s="38"/>
      <c r="Q304" s="38"/>
      <c r="R304" s="38"/>
      <c r="S304" s="38"/>
      <c r="T304" s="38"/>
      <c r="U304" s="38"/>
      <c r="V304" s="38"/>
      <c r="W304" s="38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35" t="s">
        <v>21</v>
      </c>
      <c r="B305" s="35" t="s">
        <v>39</v>
      </c>
      <c r="C305" s="35" t="s">
        <v>41</v>
      </c>
      <c r="D305" s="35" t="s">
        <v>42</v>
      </c>
      <c r="E305" s="35" t="s">
        <v>25</v>
      </c>
      <c r="F305" s="35" t="s">
        <v>25</v>
      </c>
      <c r="G305" s="35" t="s">
        <v>25</v>
      </c>
      <c r="H305" s="35" t="s">
        <v>25</v>
      </c>
      <c r="I305" s="45">
        <v>44287</v>
      </c>
      <c r="J305" s="46">
        <f ca="1">EFEITO!$J$305*EFEITO!$Y$305</f>
        <v>256245.69084288529</v>
      </c>
      <c r="K305" s="46">
        <f>EFEITO!$L$305*EFEITO!$Z$305</f>
        <v>0</v>
      </c>
      <c r="L305" s="46">
        <f>EFEITO!$N$305*EFEITO!$AA$305</f>
        <v>0</v>
      </c>
      <c r="M305" s="46">
        <f ca="1">$J$305-EFEITO!$K$305*EFEITO!$Y$305</f>
        <v>0</v>
      </c>
      <c r="N305" s="46">
        <f>$K$305-EFEITO!$M$305*EFEITO!$Z$305</f>
        <v>0</v>
      </c>
      <c r="O305" s="46">
        <f>$L$305-EFEITO!$O$305*EFEITO!$AA$305</f>
        <v>0</v>
      </c>
      <c r="P305" s="38"/>
      <c r="Q305" s="38"/>
      <c r="R305" s="38"/>
      <c r="S305" s="38"/>
      <c r="T305" s="38"/>
      <c r="U305" s="38"/>
      <c r="V305" s="38"/>
      <c r="W305" s="38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35" t="s">
        <v>28</v>
      </c>
      <c r="B306" s="35" t="s">
        <v>39</v>
      </c>
      <c r="C306" s="35" t="s">
        <v>41</v>
      </c>
      <c r="D306" s="35" t="s">
        <v>42</v>
      </c>
      <c r="E306" s="35" t="s">
        <v>25</v>
      </c>
      <c r="F306" s="35" t="s">
        <v>25</v>
      </c>
      <c r="G306" s="35" t="s">
        <v>25</v>
      </c>
      <c r="H306" s="35" t="s">
        <v>25</v>
      </c>
      <c r="I306" s="45">
        <v>44287</v>
      </c>
      <c r="J306" s="46">
        <f ca="1">EFEITO!$J$306*EFEITO!$Y$306</f>
        <v>25892.421722800256</v>
      </c>
      <c r="K306" s="46">
        <f>EFEITO!$L$306*EFEITO!$Z$306</f>
        <v>0</v>
      </c>
      <c r="L306" s="46">
        <f>EFEITO!$N$306*EFEITO!$AA$306</f>
        <v>0</v>
      </c>
      <c r="M306" s="46">
        <f ca="1">$J$306-EFEITO!$K$306*EFEITO!$Y$306</f>
        <v>0</v>
      </c>
      <c r="N306" s="46">
        <f>$K$306-EFEITO!$M$306*EFEITO!$Z$306</f>
        <v>0</v>
      </c>
      <c r="O306" s="46">
        <f>$L$306-EFEITO!$O$306*EFEITO!$AA$306</f>
        <v>0</v>
      </c>
      <c r="P306" s="38"/>
      <c r="Q306" s="38"/>
      <c r="R306" s="38"/>
      <c r="S306" s="38"/>
      <c r="T306" s="38"/>
      <c r="U306" s="38"/>
      <c r="V306" s="38"/>
      <c r="W306" s="38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35" t="s">
        <v>21</v>
      </c>
      <c r="B307" s="35" t="s">
        <v>39</v>
      </c>
      <c r="C307" s="35" t="s">
        <v>41</v>
      </c>
      <c r="D307" s="35" t="s">
        <v>42</v>
      </c>
      <c r="E307" s="35" t="s">
        <v>25</v>
      </c>
      <c r="F307" s="35" t="s">
        <v>25</v>
      </c>
      <c r="G307" s="35" t="s">
        <v>25</v>
      </c>
      <c r="H307" s="35" t="s">
        <v>25</v>
      </c>
      <c r="I307" s="45">
        <v>44317</v>
      </c>
      <c r="J307" s="46">
        <f ca="1">EFEITO!$J$307*EFEITO!$Y$307</f>
        <v>258388.51195097913</v>
      </c>
      <c r="K307" s="46">
        <f>EFEITO!$L$307*EFEITO!$Z$307</f>
        <v>0</v>
      </c>
      <c r="L307" s="46">
        <f>EFEITO!$N$307*EFEITO!$AA$307</f>
        <v>0</v>
      </c>
      <c r="M307" s="46">
        <f ca="1">$J$307-EFEITO!$K$307*EFEITO!$Y$307</f>
        <v>0</v>
      </c>
      <c r="N307" s="46">
        <f>$K$307-EFEITO!$M$307*EFEITO!$Z$307</f>
        <v>0</v>
      </c>
      <c r="O307" s="46">
        <f>$L$307-EFEITO!$O$307*EFEITO!$AA$307</f>
        <v>0</v>
      </c>
      <c r="P307" s="38"/>
      <c r="Q307" s="38"/>
      <c r="R307" s="38"/>
      <c r="S307" s="38"/>
      <c r="T307" s="38"/>
      <c r="U307" s="38"/>
      <c r="V307" s="38"/>
      <c r="W307" s="38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35" t="s">
        <v>28</v>
      </c>
      <c r="B308" s="35" t="s">
        <v>39</v>
      </c>
      <c r="C308" s="35" t="s">
        <v>41</v>
      </c>
      <c r="D308" s="35" t="s">
        <v>42</v>
      </c>
      <c r="E308" s="35" t="s">
        <v>25</v>
      </c>
      <c r="F308" s="35" t="s">
        <v>25</v>
      </c>
      <c r="G308" s="35" t="s">
        <v>25</v>
      </c>
      <c r="H308" s="35" t="s">
        <v>25</v>
      </c>
      <c r="I308" s="45">
        <v>44317</v>
      </c>
      <c r="J308" s="46">
        <f ca="1">EFEITO!$J$308*EFEITO!$Y$308</f>
        <v>25999.562778204949</v>
      </c>
      <c r="K308" s="46">
        <f>EFEITO!$L$308*EFEITO!$Z$308</f>
        <v>0</v>
      </c>
      <c r="L308" s="46">
        <f>EFEITO!$N$308*EFEITO!$AA$308</f>
        <v>0</v>
      </c>
      <c r="M308" s="46">
        <f ca="1">$J$308-EFEITO!$K$308*EFEITO!$Y$308</f>
        <v>0</v>
      </c>
      <c r="N308" s="46">
        <f>$K$308-EFEITO!$M$308*EFEITO!$Z$308</f>
        <v>0</v>
      </c>
      <c r="O308" s="46">
        <f>$L$308-EFEITO!$O$308*EFEITO!$AA$308</f>
        <v>0</v>
      </c>
      <c r="P308" s="38"/>
      <c r="Q308" s="38"/>
      <c r="R308" s="38"/>
      <c r="S308" s="38"/>
      <c r="T308" s="38"/>
      <c r="U308" s="38"/>
      <c r="V308" s="38"/>
      <c r="W308" s="38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35" t="s">
        <v>21</v>
      </c>
      <c r="B309" s="35" t="s">
        <v>39</v>
      </c>
      <c r="C309" s="35" t="s">
        <v>41</v>
      </c>
      <c r="D309" s="35" t="s">
        <v>42</v>
      </c>
      <c r="E309" s="35" t="s">
        <v>25</v>
      </c>
      <c r="F309" s="35" t="s">
        <v>25</v>
      </c>
      <c r="G309" s="35" t="s">
        <v>25</v>
      </c>
      <c r="H309" s="35" t="s">
        <v>25</v>
      </c>
      <c r="I309" s="45">
        <v>44348</v>
      </c>
      <c r="J309" s="46">
        <f ca="1">EFEITO!$J$309*EFEITO!$Y$309</f>
        <v>243531.618934862</v>
      </c>
      <c r="K309" s="46">
        <f>EFEITO!$L$309*EFEITO!$Z$309</f>
        <v>0</v>
      </c>
      <c r="L309" s="46">
        <f>EFEITO!$N$309*EFEITO!$AA$309</f>
        <v>0</v>
      </c>
      <c r="M309" s="46">
        <f ca="1">$J$309-EFEITO!$K$309*EFEITO!$Y$309</f>
        <v>0</v>
      </c>
      <c r="N309" s="46">
        <f>$K$309-EFEITO!$M$309*EFEITO!$Z$309</f>
        <v>0</v>
      </c>
      <c r="O309" s="46">
        <f>$L$309-EFEITO!$O$309*EFEITO!$AA$309</f>
        <v>0</v>
      </c>
      <c r="P309" s="38"/>
      <c r="Q309" s="38"/>
      <c r="R309" s="38"/>
      <c r="S309" s="38"/>
      <c r="T309" s="38"/>
      <c r="U309" s="38"/>
      <c r="V309" s="38"/>
      <c r="W309" s="38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35" t="s">
        <v>28</v>
      </c>
      <c r="B310" s="35" t="s">
        <v>39</v>
      </c>
      <c r="C310" s="35" t="s">
        <v>41</v>
      </c>
      <c r="D310" s="35" t="s">
        <v>42</v>
      </c>
      <c r="E310" s="35" t="s">
        <v>25</v>
      </c>
      <c r="F310" s="35" t="s">
        <v>25</v>
      </c>
      <c r="G310" s="35" t="s">
        <v>25</v>
      </c>
      <c r="H310" s="35" t="s">
        <v>25</v>
      </c>
      <c r="I310" s="45">
        <v>44348</v>
      </c>
      <c r="J310" s="46">
        <f ca="1">EFEITO!$J$310*EFEITO!$Y$310</f>
        <v>25713.853297125774</v>
      </c>
      <c r="K310" s="46">
        <f>EFEITO!$L$310*EFEITO!$Z$310</f>
        <v>0</v>
      </c>
      <c r="L310" s="46">
        <f>EFEITO!$N$310*EFEITO!$AA$310</f>
        <v>0</v>
      </c>
      <c r="M310" s="46">
        <f ca="1">$J$310-EFEITO!$K$310*EFEITO!$Y$310</f>
        <v>0</v>
      </c>
      <c r="N310" s="46">
        <f>$K$310-EFEITO!$M$310*EFEITO!$Z$310</f>
        <v>0</v>
      </c>
      <c r="O310" s="46">
        <f>$L$310-EFEITO!$O$310*EFEITO!$AA$310</f>
        <v>0</v>
      </c>
      <c r="P310" s="38"/>
      <c r="Q310" s="38"/>
      <c r="R310" s="38"/>
      <c r="S310" s="38"/>
      <c r="T310" s="38"/>
      <c r="U310" s="38"/>
      <c r="V310" s="38"/>
      <c r="W310" s="38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35" t="s">
        <v>21</v>
      </c>
      <c r="B311" s="35" t="s">
        <v>39</v>
      </c>
      <c r="C311" s="35" t="s">
        <v>41</v>
      </c>
      <c r="D311" s="35" t="s">
        <v>42</v>
      </c>
      <c r="E311" s="35" t="s">
        <v>25</v>
      </c>
      <c r="F311" s="35" t="s">
        <v>25</v>
      </c>
      <c r="G311" s="35" t="s">
        <v>25</v>
      </c>
      <c r="H311" s="35" t="s">
        <v>25</v>
      </c>
      <c r="I311" s="45">
        <v>44378</v>
      </c>
      <c r="J311" s="46">
        <f ca="1">EFEITO!$J$311*EFEITO!$Y$311</f>
        <v>236603.16401869201</v>
      </c>
      <c r="K311" s="46">
        <f>EFEITO!$L$311*EFEITO!$Z$311</f>
        <v>0</v>
      </c>
      <c r="L311" s="46">
        <f>EFEITO!$N$311*EFEITO!$AA$311</f>
        <v>0</v>
      </c>
      <c r="M311" s="46">
        <f ca="1">$J$311-EFEITO!$K$311*EFEITO!$Y$311</f>
        <v>0</v>
      </c>
      <c r="N311" s="46">
        <f>$K$311-EFEITO!$M$311*EFEITO!$Z$311</f>
        <v>0</v>
      </c>
      <c r="O311" s="46">
        <f>$L$311-EFEITO!$O$311*EFEITO!$AA$311</f>
        <v>0</v>
      </c>
      <c r="P311" s="38"/>
      <c r="Q311" s="38"/>
      <c r="R311" s="38"/>
      <c r="S311" s="38"/>
      <c r="T311" s="38"/>
      <c r="U311" s="38"/>
      <c r="V311" s="38"/>
      <c r="W311" s="38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35" t="s">
        <v>28</v>
      </c>
      <c r="B312" s="35" t="s">
        <v>39</v>
      </c>
      <c r="C312" s="35" t="s">
        <v>41</v>
      </c>
      <c r="D312" s="35" t="s">
        <v>42</v>
      </c>
      <c r="E312" s="35" t="s">
        <v>25</v>
      </c>
      <c r="F312" s="35" t="s">
        <v>25</v>
      </c>
      <c r="G312" s="35" t="s">
        <v>25</v>
      </c>
      <c r="H312" s="35" t="s">
        <v>25</v>
      </c>
      <c r="I312" s="45">
        <v>44378</v>
      </c>
      <c r="J312" s="46">
        <f ca="1">EFEITO!$J$312*EFEITO!$Y$312</f>
        <v>31892.320825462935</v>
      </c>
      <c r="K312" s="46">
        <f>EFEITO!$L$312*EFEITO!$Z$312</f>
        <v>0</v>
      </c>
      <c r="L312" s="46">
        <f>EFEITO!$N$312*EFEITO!$AA$312</f>
        <v>0</v>
      </c>
      <c r="M312" s="46">
        <f ca="1">$J$312-EFEITO!$K$312*EFEITO!$Y$312</f>
        <v>0</v>
      </c>
      <c r="N312" s="46">
        <f>$K$312-EFEITO!$M$312*EFEITO!$Z$312</f>
        <v>0</v>
      </c>
      <c r="O312" s="46">
        <f>$L$312-EFEITO!$O$312*EFEITO!$AA$312</f>
        <v>0</v>
      </c>
      <c r="P312" s="38"/>
      <c r="Q312" s="38"/>
      <c r="R312" s="38"/>
      <c r="S312" s="38"/>
      <c r="T312" s="38"/>
      <c r="U312" s="38"/>
      <c r="V312" s="38"/>
      <c r="W312" s="38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35" t="s">
        <v>21</v>
      </c>
      <c r="B313" s="35" t="s">
        <v>39</v>
      </c>
      <c r="C313" s="35" t="s">
        <v>41</v>
      </c>
      <c r="D313" s="35" t="s">
        <v>42</v>
      </c>
      <c r="E313" s="35" t="s">
        <v>25</v>
      </c>
      <c r="F313" s="35" t="s">
        <v>25</v>
      </c>
      <c r="G313" s="35" t="s">
        <v>25</v>
      </c>
      <c r="H313" s="35" t="s">
        <v>25</v>
      </c>
      <c r="I313" s="45">
        <v>44409</v>
      </c>
      <c r="J313" s="46">
        <f ca="1">EFEITO!$J$313*EFEITO!$Y$313</f>
        <v>234388.91554032839</v>
      </c>
      <c r="K313" s="46">
        <f>EFEITO!$L$313*EFEITO!$Z$313</f>
        <v>0</v>
      </c>
      <c r="L313" s="46">
        <f>EFEITO!$N$313*EFEITO!$AA$313</f>
        <v>0</v>
      </c>
      <c r="M313" s="46">
        <f ca="1">$J$313-EFEITO!$K$313*EFEITO!$Y$313</f>
        <v>0</v>
      </c>
      <c r="N313" s="46">
        <f>$K$313-EFEITO!$M$313*EFEITO!$Z$313</f>
        <v>0</v>
      </c>
      <c r="O313" s="46">
        <f>$L$313-EFEITO!$O$313*EFEITO!$AA$313</f>
        <v>0</v>
      </c>
      <c r="P313" s="38"/>
      <c r="Q313" s="38"/>
      <c r="R313" s="38"/>
      <c r="S313" s="38"/>
      <c r="T313" s="38"/>
      <c r="U313" s="38"/>
      <c r="V313" s="38"/>
      <c r="W313" s="38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35" t="s">
        <v>28</v>
      </c>
      <c r="B314" s="35" t="s">
        <v>39</v>
      </c>
      <c r="C314" s="35" t="s">
        <v>41</v>
      </c>
      <c r="D314" s="35" t="s">
        <v>42</v>
      </c>
      <c r="E314" s="35" t="s">
        <v>25</v>
      </c>
      <c r="F314" s="35" t="s">
        <v>25</v>
      </c>
      <c r="G314" s="35" t="s">
        <v>25</v>
      </c>
      <c r="H314" s="35" t="s">
        <v>25</v>
      </c>
      <c r="I314" s="45">
        <v>44409</v>
      </c>
      <c r="J314" s="46">
        <f ca="1">EFEITO!$J$314*EFEITO!$Y$314</f>
        <v>32053.032408569972</v>
      </c>
      <c r="K314" s="46">
        <f>EFEITO!$L$314*EFEITO!$Z$314</f>
        <v>0</v>
      </c>
      <c r="L314" s="46">
        <f>EFEITO!$N$314*EFEITO!$AA$314</f>
        <v>0</v>
      </c>
      <c r="M314" s="46">
        <f ca="1">$J$314-EFEITO!$K$314*EFEITO!$Y$314</f>
        <v>0</v>
      </c>
      <c r="N314" s="46">
        <f>$K$314-EFEITO!$M$314*EFEITO!$Z$314</f>
        <v>0</v>
      </c>
      <c r="O314" s="46">
        <f>$L$314-EFEITO!$O$314*EFEITO!$AA$314</f>
        <v>0</v>
      </c>
      <c r="P314" s="38"/>
      <c r="Q314" s="38"/>
      <c r="R314" s="38"/>
      <c r="S314" s="38"/>
      <c r="T314" s="38"/>
      <c r="U314" s="38"/>
      <c r="V314" s="38"/>
      <c r="W314" s="38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35" t="s">
        <v>21</v>
      </c>
      <c r="B315" s="35" t="s">
        <v>39</v>
      </c>
      <c r="C315" s="35" t="s">
        <v>41</v>
      </c>
      <c r="D315" s="35" t="s">
        <v>42</v>
      </c>
      <c r="E315" s="35" t="s">
        <v>25</v>
      </c>
      <c r="F315" s="35" t="s">
        <v>25</v>
      </c>
      <c r="G315" s="35" t="s">
        <v>25</v>
      </c>
      <c r="H315" s="35" t="s">
        <v>25</v>
      </c>
      <c r="I315" s="45">
        <v>44409</v>
      </c>
      <c r="J315" s="46">
        <f ca="1">EFEITO!$J$315*EFEITO!$Y$315</f>
        <v>11606.947668841494</v>
      </c>
      <c r="K315" s="46">
        <f>EFEITO!$L$315*EFEITO!$Z$315</f>
        <v>0</v>
      </c>
      <c r="L315" s="46">
        <f>EFEITO!$N$315*EFEITO!$AA$315</f>
        <v>0</v>
      </c>
      <c r="M315" s="46">
        <f ca="1">$J$315-EFEITO!$K$315*EFEITO!$Y$315</f>
        <v>0</v>
      </c>
      <c r="N315" s="46">
        <f>$K$315-EFEITO!$M$315*EFEITO!$Z$315</f>
        <v>0</v>
      </c>
      <c r="O315" s="46">
        <f>$L$315-EFEITO!$O$315*EFEITO!$AA$315</f>
        <v>0</v>
      </c>
      <c r="P315" s="38"/>
      <c r="Q315" s="38"/>
      <c r="R315" s="38"/>
      <c r="S315" s="38"/>
      <c r="T315" s="38"/>
      <c r="U315" s="38"/>
      <c r="V315" s="38"/>
      <c r="W315" s="38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35" t="s">
        <v>21</v>
      </c>
      <c r="B316" s="35" t="s">
        <v>39</v>
      </c>
      <c r="C316" s="35" t="s">
        <v>41</v>
      </c>
      <c r="D316" s="35" t="s">
        <v>42</v>
      </c>
      <c r="E316" s="35" t="s">
        <v>25</v>
      </c>
      <c r="F316" s="35" t="s">
        <v>25</v>
      </c>
      <c r="G316" s="35" t="s">
        <v>25</v>
      </c>
      <c r="H316" s="35" t="s">
        <v>25</v>
      </c>
      <c r="I316" s="45">
        <v>44440</v>
      </c>
      <c r="J316" s="46">
        <f ca="1">EFEITO!$J$316*EFEITO!$Y$316</f>
        <v>235138.90292816123</v>
      </c>
      <c r="K316" s="46">
        <f>EFEITO!$L$316*EFEITO!$Z$316</f>
        <v>0</v>
      </c>
      <c r="L316" s="46">
        <f>EFEITO!$N$316*EFEITO!$AA$316</f>
        <v>0</v>
      </c>
      <c r="M316" s="46">
        <f ca="1">$J$316-EFEITO!$K$316*EFEITO!$Y$316</f>
        <v>0</v>
      </c>
      <c r="N316" s="46">
        <f>$K$316-EFEITO!$M$316*EFEITO!$Z$316</f>
        <v>0</v>
      </c>
      <c r="O316" s="46">
        <f>$L$316-EFEITO!$O$316*EFEITO!$AA$316</f>
        <v>0</v>
      </c>
      <c r="P316" s="38"/>
      <c r="Q316" s="38"/>
      <c r="R316" s="38"/>
      <c r="S316" s="38"/>
      <c r="T316" s="38"/>
      <c r="U316" s="38"/>
      <c r="V316" s="38"/>
      <c r="W316" s="38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35" t="s">
        <v>28</v>
      </c>
      <c r="B317" s="35" t="s">
        <v>39</v>
      </c>
      <c r="C317" s="35" t="s">
        <v>41</v>
      </c>
      <c r="D317" s="35" t="s">
        <v>42</v>
      </c>
      <c r="E317" s="35" t="s">
        <v>25</v>
      </c>
      <c r="F317" s="35" t="s">
        <v>25</v>
      </c>
      <c r="G317" s="35" t="s">
        <v>25</v>
      </c>
      <c r="H317" s="35" t="s">
        <v>25</v>
      </c>
      <c r="I317" s="45">
        <v>44440</v>
      </c>
      <c r="J317" s="46">
        <f ca="1">EFEITO!$J$317*EFEITO!$Y$317</f>
        <v>44927.815899700305</v>
      </c>
      <c r="K317" s="46">
        <f>EFEITO!$L$317*EFEITO!$Z$317</f>
        <v>0</v>
      </c>
      <c r="L317" s="46">
        <f>EFEITO!$N$317*EFEITO!$AA$317</f>
        <v>0</v>
      </c>
      <c r="M317" s="46">
        <f ca="1">$J$317-EFEITO!$K$317*EFEITO!$Y$317</f>
        <v>0</v>
      </c>
      <c r="N317" s="46">
        <f>$K$317-EFEITO!$M$317*EFEITO!$Z$317</f>
        <v>0</v>
      </c>
      <c r="O317" s="46">
        <f>$L$317-EFEITO!$O$317*EFEITO!$AA$317</f>
        <v>0</v>
      </c>
      <c r="P317" s="38"/>
      <c r="Q317" s="38"/>
      <c r="R317" s="38"/>
      <c r="S317" s="38"/>
      <c r="T317" s="38"/>
      <c r="U317" s="38"/>
      <c r="V317" s="38"/>
      <c r="W317" s="38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35" t="s">
        <v>21</v>
      </c>
      <c r="B318" s="35" t="s">
        <v>39</v>
      </c>
      <c r="C318" s="35" t="s">
        <v>41</v>
      </c>
      <c r="D318" s="35" t="s">
        <v>42</v>
      </c>
      <c r="E318" s="35" t="s">
        <v>25</v>
      </c>
      <c r="F318" s="35" t="s">
        <v>25</v>
      </c>
      <c r="G318" s="35" t="s">
        <v>25</v>
      </c>
      <c r="H318" s="35" t="s">
        <v>25</v>
      </c>
      <c r="I318" s="45">
        <v>44440</v>
      </c>
      <c r="J318" s="46">
        <f ca="1">EFEITO!$J$318*EFEITO!$Y$318</f>
        <v>11606.947668841494</v>
      </c>
      <c r="K318" s="46">
        <f>EFEITO!$L$318*EFEITO!$Z$318</f>
        <v>0</v>
      </c>
      <c r="L318" s="46">
        <f>EFEITO!$N$318*EFEITO!$AA$318</f>
        <v>0</v>
      </c>
      <c r="M318" s="46">
        <f ca="1">$J$318-EFEITO!$K$318*EFEITO!$Y$318</f>
        <v>0</v>
      </c>
      <c r="N318" s="46">
        <f>$K$318-EFEITO!$M$318*EFEITO!$Z$318</f>
        <v>0</v>
      </c>
      <c r="O318" s="46">
        <f>$L$318-EFEITO!$O$318*EFEITO!$AA$318</f>
        <v>0</v>
      </c>
      <c r="P318" s="38"/>
      <c r="Q318" s="38"/>
      <c r="R318" s="38"/>
      <c r="S318" s="38"/>
      <c r="T318" s="38"/>
      <c r="U318" s="38"/>
      <c r="V318" s="38"/>
      <c r="W318" s="38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35" t="s">
        <v>21</v>
      </c>
      <c r="B319" s="35" t="s">
        <v>39</v>
      </c>
      <c r="C319" s="35" t="s">
        <v>41</v>
      </c>
      <c r="D319" s="35" t="s">
        <v>42</v>
      </c>
      <c r="E319" s="35" t="s">
        <v>25</v>
      </c>
      <c r="F319" s="35" t="s">
        <v>25</v>
      </c>
      <c r="G319" s="35" t="s">
        <v>25</v>
      </c>
      <c r="H319" s="35" t="s">
        <v>25</v>
      </c>
      <c r="I319" s="45">
        <v>44470</v>
      </c>
      <c r="J319" s="46">
        <f ca="1">EFEITO!$J$319*EFEITO!$Y$319</f>
        <v>235067.47555789145</v>
      </c>
      <c r="K319" s="46">
        <f>EFEITO!$L$319*EFEITO!$Z$319</f>
        <v>0</v>
      </c>
      <c r="L319" s="46">
        <f>EFEITO!$N$319*EFEITO!$AA$319</f>
        <v>0</v>
      </c>
      <c r="M319" s="46">
        <f ca="1">$J$319-EFEITO!$K$319*EFEITO!$Y$319</f>
        <v>0</v>
      </c>
      <c r="N319" s="46">
        <f>$K$319-EFEITO!$M$319*EFEITO!$Z$319</f>
        <v>0</v>
      </c>
      <c r="O319" s="46">
        <f>$L$319-EFEITO!$O$319*EFEITO!$AA$319</f>
        <v>0</v>
      </c>
      <c r="P319" s="38"/>
      <c r="Q319" s="38"/>
      <c r="R319" s="38"/>
      <c r="S319" s="38"/>
      <c r="T319" s="38"/>
      <c r="U319" s="38"/>
      <c r="V319" s="38"/>
      <c r="W319" s="38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35" t="s">
        <v>28</v>
      </c>
      <c r="B320" s="35" t="s">
        <v>39</v>
      </c>
      <c r="C320" s="35" t="s">
        <v>41</v>
      </c>
      <c r="D320" s="35" t="s">
        <v>42</v>
      </c>
      <c r="E320" s="35" t="s">
        <v>25</v>
      </c>
      <c r="F320" s="35" t="s">
        <v>25</v>
      </c>
      <c r="G320" s="35" t="s">
        <v>25</v>
      </c>
      <c r="H320" s="35" t="s">
        <v>25</v>
      </c>
      <c r="I320" s="45">
        <v>44470</v>
      </c>
      <c r="J320" s="46">
        <f ca="1">EFEITO!$J$320*EFEITO!$Y$320</f>
        <v>54927.647737471445</v>
      </c>
      <c r="K320" s="46">
        <f>EFEITO!$L$320*EFEITO!$Z$320</f>
        <v>0</v>
      </c>
      <c r="L320" s="46">
        <f>EFEITO!$N$320*EFEITO!$AA$320</f>
        <v>0</v>
      </c>
      <c r="M320" s="46">
        <f ca="1">$J$320-EFEITO!$K$320*EFEITO!$Y$320</f>
        <v>0</v>
      </c>
      <c r="N320" s="46">
        <f>$K$320-EFEITO!$M$320*EFEITO!$Z$320</f>
        <v>0</v>
      </c>
      <c r="O320" s="46">
        <f>$L$320-EFEITO!$O$320*EFEITO!$AA$320</f>
        <v>0</v>
      </c>
      <c r="P320" s="38"/>
      <c r="Q320" s="38"/>
      <c r="R320" s="38"/>
      <c r="S320" s="38"/>
      <c r="T320" s="38"/>
      <c r="U320" s="38"/>
      <c r="V320" s="38"/>
      <c r="W320" s="38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35" t="s">
        <v>21</v>
      </c>
      <c r="B321" s="35" t="s">
        <v>39</v>
      </c>
      <c r="C321" s="35" t="s">
        <v>41</v>
      </c>
      <c r="D321" s="35" t="s">
        <v>42</v>
      </c>
      <c r="E321" s="35" t="s">
        <v>25</v>
      </c>
      <c r="F321" s="35" t="s">
        <v>25</v>
      </c>
      <c r="G321" s="35" t="s">
        <v>25</v>
      </c>
      <c r="H321" s="35" t="s">
        <v>25</v>
      </c>
      <c r="I321" s="45">
        <v>44501</v>
      </c>
      <c r="J321" s="46">
        <f ca="1">EFEITO!$J$321*EFEITO!$Y$321</f>
        <v>236853.15981463628</v>
      </c>
      <c r="K321" s="46">
        <f>EFEITO!$L$321*EFEITO!$Z$321</f>
        <v>0</v>
      </c>
      <c r="L321" s="46">
        <f>EFEITO!$N$321*EFEITO!$AA$321</f>
        <v>0</v>
      </c>
      <c r="M321" s="46">
        <f ca="1">$J$321-EFEITO!$K$321*EFEITO!$Y$321</f>
        <v>0</v>
      </c>
      <c r="N321" s="46">
        <f>$K$321-EFEITO!$M$321*EFEITO!$Z$321</f>
        <v>0</v>
      </c>
      <c r="O321" s="46">
        <f>$L$321-EFEITO!$O$321*EFEITO!$AA$321</f>
        <v>0</v>
      </c>
      <c r="P321" s="38"/>
      <c r="Q321" s="38"/>
      <c r="R321" s="38"/>
      <c r="S321" s="38"/>
      <c r="T321" s="38"/>
      <c r="U321" s="38"/>
      <c r="V321" s="38"/>
      <c r="W321" s="38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35" t="s">
        <v>28</v>
      </c>
      <c r="B322" s="35" t="s">
        <v>39</v>
      </c>
      <c r="C322" s="35" t="s">
        <v>41</v>
      </c>
      <c r="D322" s="35" t="s">
        <v>42</v>
      </c>
      <c r="E322" s="35" t="s">
        <v>25</v>
      </c>
      <c r="F322" s="35" t="s">
        <v>25</v>
      </c>
      <c r="G322" s="35" t="s">
        <v>25</v>
      </c>
      <c r="H322" s="35" t="s">
        <v>25</v>
      </c>
      <c r="I322" s="45">
        <v>44501</v>
      </c>
      <c r="J322" s="46">
        <f ca="1">EFEITO!$J$322*EFEITO!$Y$322</f>
        <v>58999.007842849685</v>
      </c>
      <c r="K322" s="46">
        <f>EFEITO!$L$322*EFEITO!$Z$322</f>
        <v>0</v>
      </c>
      <c r="L322" s="46">
        <f>EFEITO!$N$322*EFEITO!$AA$322</f>
        <v>0</v>
      </c>
      <c r="M322" s="46">
        <f ca="1">$J$322-EFEITO!$K$322*EFEITO!$Y$322</f>
        <v>0</v>
      </c>
      <c r="N322" s="46">
        <f>$K$322-EFEITO!$M$322*EFEITO!$Z$322</f>
        <v>0</v>
      </c>
      <c r="O322" s="46">
        <f>$L$322-EFEITO!$O$322*EFEITO!$AA$322</f>
        <v>0</v>
      </c>
      <c r="P322" s="38"/>
      <c r="Q322" s="38"/>
      <c r="R322" s="38"/>
      <c r="S322" s="38"/>
      <c r="T322" s="38"/>
      <c r="U322" s="38"/>
      <c r="V322" s="38"/>
      <c r="W322" s="38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35" t="s">
        <v>21</v>
      </c>
      <c r="B323" s="35" t="s">
        <v>39</v>
      </c>
      <c r="C323" s="35" t="s">
        <v>41</v>
      </c>
      <c r="D323" s="35" t="s">
        <v>42</v>
      </c>
      <c r="E323" s="35" t="s">
        <v>25</v>
      </c>
      <c r="F323" s="35" t="s">
        <v>25</v>
      </c>
      <c r="G323" s="35" t="s">
        <v>25</v>
      </c>
      <c r="H323" s="35" t="s">
        <v>25</v>
      </c>
      <c r="I323" s="45">
        <v>44531</v>
      </c>
      <c r="J323" s="46">
        <f ca="1">EFEITO!$J$323*EFEITO!$Y$323</f>
        <v>236210.31348220815</v>
      </c>
      <c r="K323" s="46">
        <f>EFEITO!$L$323*EFEITO!$Z$323</f>
        <v>0</v>
      </c>
      <c r="L323" s="46">
        <f>EFEITO!$N$323*EFEITO!$AA$323</f>
        <v>0</v>
      </c>
      <c r="M323" s="46">
        <f ca="1">$J$323-EFEITO!$K$323*EFEITO!$Y$323</f>
        <v>0</v>
      </c>
      <c r="N323" s="46">
        <f>$K$323-EFEITO!$M$323*EFEITO!$Z$323</f>
        <v>0</v>
      </c>
      <c r="O323" s="46">
        <f>$L$323-EFEITO!$O$323*EFEITO!$AA$323</f>
        <v>0</v>
      </c>
      <c r="P323" s="38"/>
      <c r="Q323" s="38"/>
      <c r="R323" s="38"/>
      <c r="S323" s="38"/>
      <c r="T323" s="38"/>
      <c r="U323" s="38"/>
      <c r="V323" s="38"/>
      <c r="W323" s="38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35" t="s">
        <v>27</v>
      </c>
      <c r="B324" s="35" t="s">
        <v>39</v>
      </c>
      <c r="C324" s="35" t="s">
        <v>41</v>
      </c>
      <c r="D324" s="35" t="s">
        <v>42</v>
      </c>
      <c r="E324" s="35" t="s">
        <v>25</v>
      </c>
      <c r="F324" s="35" t="s">
        <v>25</v>
      </c>
      <c r="G324" s="35" t="s">
        <v>25</v>
      </c>
      <c r="H324" s="35" t="s">
        <v>25</v>
      </c>
      <c r="I324" s="45">
        <v>44531</v>
      </c>
      <c r="J324" s="46">
        <f ca="1">EFEITO!$J$324*EFEITO!$Y$324</f>
        <v>535.70527702345362</v>
      </c>
      <c r="K324" s="46">
        <f>EFEITO!$L$324*EFEITO!$Z$324</f>
        <v>0</v>
      </c>
      <c r="L324" s="46">
        <f>EFEITO!$N$324*EFEITO!$AA$324</f>
        <v>0</v>
      </c>
      <c r="M324" s="46">
        <f ca="1">$J$324-EFEITO!$K$324*EFEITO!$Y$324</f>
        <v>0</v>
      </c>
      <c r="N324" s="46">
        <f>$K$324-EFEITO!$M$324*EFEITO!$Z$324</f>
        <v>0</v>
      </c>
      <c r="O324" s="46">
        <f>$L$324-EFEITO!$O$324*EFEITO!$AA$324</f>
        <v>0</v>
      </c>
      <c r="P324" s="38"/>
      <c r="Q324" s="38"/>
      <c r="R324" s="38"/>
      <c r="S324" s="38"/>
      <c r="T324" s="38"/>
      <c r="U324" s="38"/>
      <c r="V324" s="38"/>
      <c r="W324" s="38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35" t="s">
        <v>28</v>
      </c>
      <c r="B325" s="35" t="s">
        <v>39</v>
      </c>
      <c r="C325" s="35" t="s">
        <v>41</v>
      </c>
      <c r="D325" s="35" t="s">
        <v>42</v>
      </c>
      <c r="E325" s="35" t="s">
        <v>25</v>
      </c>
      <c r="F325" s="35" t="s">
        <v>25</v>
      </c>
      <c r="G325" s="35" t="s">
        <v>25</v>
      </c>
      <c r="H325" s="35" t="s">
        <v>25</v>
      </c>
      <c r="I325" s="45">
        <v>44531</v>
      </c>
      <c r="J325" s="46">
        <f ca="1">EFEITO!$J$325*EFEITO!$Y$325</f>
        <v>59873.993128654663</v>
      </c>
      <c r="K325" s="46">
        <f>EFEITO!$L$325*EFEITO!$Z$325</f>
        <v>0</v>
      </c>
      <c r="L325" s="46">
        <f>EFEITO!$N$325*EFEITO!$AA$325</f>
        <v>0</v>
      </c>
      <c r="M325" s="46">
        <f ca="1">$J$325-EFEITO!$K$325*EFEITO!$Y$325</f>
        <v>0</v>
      </c>
      <c r="N325" s="46">
        <f>$K$325-EFEITO!$M$325*EFEITO!$Z$325</f>
        <v>0</v>
      </c>
      <c r="O325" s="46">
        <f>$L$325-EFEITO!$O$325*EFEITO!$AA$325</f>
        <v>0</v>
      </c>
      <c r="P325" s="38"/>
      <c r="Q325" s="38"/>
      <c r="R325" s="38"/>
      <c r="S325" s="38"/>
      <c r="T325" s="38"/>
      <c r="U325" s="38"/>
      <c r="V325" s="38"/>
      <c r="W325" s="38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35" t="s">
        <v>55</v>
      </c>
      <c r="B326" s="35" t="s">
        <v>39</v>
      </c>
      <c r="C326" s="35" t="s">
        <v>41</v>
      </c>
      <c r="D326" s="35" t="s">
        <v>42</v>
      </c>
      <c r="E326" s="35" t="s">
        <v>25</v>
      </c>
      <c r="F326" s="35" t="s">
        <v>25</v>
      </c>
      <c r="G326" s="35" t="s">
        <v>25</v>
      </c>
      <c r="H326" s="35" t="s">
        <v>25</v>
      </c>
      <c r="I326" s="45">
        <v>44562</v>
      </c>
      <c r="J326" s="46">
        <f ca="1">EFEITO!$J$326*EFEITO!$Y$326</f>
        <v>236210.31348220815</v>
      </c>
      <c r="K326" s="46">
        <f>EFEITO!$L$326*EFEITO!$Z$326</f>
        <v>0</v>
      </c>
      <c r="L326" s="46">
        <f>EFEITO!$N$326*EFEITO!$AA$326</f>
        <v>0</v>
      </c>
      <c r="M326" s="46">
        <f ca="1">$J$326-EFEITO!$K$326*EFEITO!$Y$326</f>
        <v>0</v>
      </c>
      <c r="N326" s="46">
        <f>$K$326-EFEITO!$M$326*EFEITO!$Z$326</f>
        <v>0</v>
      </c>
      <c r="O326" s="46">
        <f>$L$326-EFEITO!$O$326*EFEITO!$AA$326</f>
        <v>0</v>
      </c>
      <c r="P326" s="38"/>
      <c r="Q326" s="38"/>
      <c r="R326" s="38"/>
      <c r="S326" s="38"/>
      <c r="T326" s="38"/>
      <c r="U326" s="38"/>
      <c r="V326" s="38"/>
      <c r="W326" s="38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35" t="s">
        <v>55</v>
      </c>
      <c r="B327" s="35" t="s">
        <v>39</v>
      </c>
      <c r="C327" s="35" t="s">
        <v>41</v>
      </c>
      <c r="D327" s="35" t="s">
        <v>42</v>
      </c>
      <c r="E327" s="35" t="s">
        <v>25</v>
      </c>
      <c r="F327" s="35" t="s">
        <v>25</v>
      </c>
      <c r="G327" s="35" t="s">
        <v>25</v>
      </c>
      <c r="H327" s="35" t="s">
        <v>25</v>
      </c>
      <c r="I327" s="45">
        <v>44562</v>
      </c>
      <c r="J327" s="46">
        <f ca="1">EFEITO!$J$327*EFEITO!$Y$327</f>
        <v>535.70527702345362</v>
      </c>
      <c r="K327" s="46">
        <f>EFEITO!$L$327*EFEITO!$Z$327</f>
        <v>0</v>
      </c>
      <c r="L327" s="46">
        <f>EFEITO!$N$327*EFEITO!$AA$327</f>
        <v>0</v>
      </c>
      <c r="M327" s="46">
        <f ca="1">$J$327-EFEITO!$K$327*EFEITO!$Y$327</f>
        <v>0</v>
      </c>
      <c r="N327" s="46">
        <f>$K$327-EFEITO!$M$327*EFEITO!$Z$327</f>
        <v>0</v>
      </c>
      <c r="O327" s="46">
        <f>$L$327-EFEITO!$O$327*EFEITO!$AA$327</f>
        <v>0</v>
      </c>
      <c r="P327" s="38"/>
      <c r="Q327" s="38"/>
      <c r="R327" s="38"/>
      <c r="S327" s="38"/>
      <c r="T327" s="38"/>
      <c r="U327" s="38"/>
      <c r="V327" s="38"/>
      <c r="W327" s="38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35" t="s">
        <v>55</v>
      </c>
      <c r="B328" s="35" t="s">
        <v>39</v>
      </c>
      <c r="C328" s="35" t="s">
        <v>41</v>
      </c>
      <c r="D328" s="35" t="s">
        <v>42</v>
      </c>
      <c r="E328" s="35" t="s">
        <v>25</v>
      </c>
      <c r="F328" s="35" t="s">
        <v>25</v>
      </c>
      <c r="G328" s="35" t="s">
        <v>25</v>
      </c>
      <c r="H328" s="35" t="s">
        <v>25</v>
      </c>
      <c r="I328" s="45">
        <v>44562</v>
      </c>
      <c r="J328" s="46">
        <f ca="1">EFEITO!$J$328*EFEITO!$Y$328</f>
        <v>59873.993128654663</v>
      </c>
      <c r="K328" s="46">
        <f>EFEITO!$L$328*EFEITO!$Z$328</f>
        <v>0</v>
      </c>
      <c r="L328" s="46">
        <f>EFEITO!$N$328*EFEITO!$AA$328</f>
        <v>0</v>
      </c>
      <c r="M328" s="46">
        <f ca="1">$J$328-EFEITO!$K$328*EFEITO!$Y$328</f>
        <v>0</v>
      </c>
      <c r="N328" s="46">
        <f>$K$328-EFEITO!$M$328*EFEITO!$Z$328</f>
        <v>0</v>
      </c>
      <c r="O328" s="46">
        <f>$L$328-EFEITO!$O$328*EFEITO!$AA$328</f>
        <v>0</v>
      </c>
      <c r="P328" s="38"/>
      <c r="Q328" s="38"/>
      <c r="R328" s="38"/>
      <c r="S328" s="38"/>
      <c r="T328" s="38"/>
      <c r="U328" s="38"/>
      <c r="V328" s="38"/>
      <c r="W328" s="38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35" t="s">
        <v>21</v>
      </c>
      <c r="B329" s="35" t="s">
        <v>39</v>
      </c>
      <c r="C329" s="35" t="s">
        <v>41</v>
      </c>
      <c r="D329" s="35" t="s">
        <v>42</v>
      </c>
      <c r="E329" s="35" t="s">
        <v>25</v>
      </c>
      <c r="F329" s="35" t="s">
        <v>25</v>
      </c>
      <c r="G329" s="35" t="s">
        <v>25</v>
      </c>
      <c r="H329" s="35" t="s">
        <v>34</v>
      </c>
      <c r="I329" s="45">
        <v>44228</v>
      </c>
      <c r="J329" s="46">
        <f>EFEITO!$J$329*EFEITO!$Y$329</f>
        <v>0</v>
      </c>
      <c r="K329" s="46">
        <f ca="1">EFEITO!$L$329*EFEITO!$Z$329</f>
        <v>161034.65367449285</v>
      </c>
      <c r="L329" s="46">
        <f>EFEITO!$N$329*EFEITO!$AA$329</f>
        <v>66826.623374588467</v>
      </c>
      <c r="M329" s="46">
        <f>$J$329-EFEITO!$K$329*EFEITO!$Y$329</f>
        <v>0</v>
      </c>
      <c r="N329" s="46">
        <f ca="1">$K$329-EFEITO!$M$329*EFEITO!$Z$329</f>
        <v>0</v>
      </c>
      <c r="O329" s="46">
        <f>$L$329-EFEITO!$O$329*EFEITO!$AA$329</f>
        <v>0</v>
      </c>
      <c r="P329" s="38"/>
      <c r="Q329" s="38"/>
      <c r="R329" s="38"/>
      <c r="S329" s="38"/>
      <c r="T329" s="38"/>
      <c r="U329" s="38"/>
      <c r="V329" s="38"/>
      <c r="W329" s="38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35" t="s">
        <v>27</v>
      </c>
      <c r="B330" s="35" t="s">
        <v>39</v>
      </c>
      <c r="C330" s="35" t="s">
        <v>41</v>
      </c>
      <c r="D330" s="35" t="s">
        <v>42</v>
      </c>
      <c r="E330" s="35" t="s">
        <v>25</v>
      </c>
      <c r="F330" s="35" t="s">
        <v>25</v>
      </c>
      <c r="G330" s="35" t="s">
        <v>25</v>
      </c>
      <c r="H330" s="35" t="s">
        <v>34</v>
      </c>
      <c r="I330" s="45">
        <v>44228</v>
      </c>
      <c r="J330" s="46">
        <f>EFEITO!$J$330*EFEITO!$Y$330</f>
        <v>0</v>
      </c>
      <c r="K330" s="46">
        <f ca="1">EFEITO!$L$330*EFEITO!$Z$330</f>
        <v>-292.59437206525644</v>
      </c>
      <c r="L330" s="46">
        <f>EFEITO!$N$330*EFEITO!$AA$330</f>
        <v>-121.42165339798673</v>
      </c>
      <c r="M330" s="46">
        <f>$J$330-EFEITO!$K$330*EFEITO!$Y$330</f>
        <v>0</v>
      </c>
      <c r="N330" s="46">
        <f ca="1">$K$330-EFEITO!$M$330*EFEITO!$Z$330</f>
        <v>0</v>
      </c>
      <c r="O330" s="46">
        <f>$L$330-EFEITO!$O$330*EFEITO!$AA$330</f>
        <v>0</v>
      </c>
      <c r="P330" s="38"/>
      <c r="Q330" s="38"/>
      <c r="R330" s="38"/>
      <c r="S330" s="38"/>
      <c r="T330" s="38"/>
      <c r="U330" s="38"/>
      <c r="V330" s="38"/>
      <c r="W330" s="38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35" t="s">
        <v>28</v>
      </c>
      <c r="B331" s="35" t="s">
        <v>39</v>
      </c>
      <c r="C331" s="35" t="s">
        <v>41</v>
      </c>
      <c r="D331" s="35" t="s">
        <v>42</v>
      </c>
      <c r="E331" s="35" t="s">
        <v>25</v>
      </c>
      <c r="F331" s="35" t="s">
        <v>25</v>
      </c>
      <c r="G331" s="35" t="s">
        <v>25</v>
      </c>
      <c r="H331" s="35" t="s">
        <v>34</v>
      </c>
      <c r="I331" s="45">
        <v>44228</v>
      </c>
      <c r="J331" s="46">
        <f>EFEITO!$J$331*EFEITO!$Y$331</f>
        <v>0</v>
      </c>
      <c r="K331" s="46">
        <f ca="1">EFEITO!$L$331*EFEITO!$Z$331</f>
        <v>10215.723504678381</v>
      </c>
      <c r="L331" s="46">
        <f>EFEITO!$N$331*EFEITO!$AA$331</f>
        <v>4239.3502986382791</v>
      </c>
      <c r="M331" s="46">
        <f>$J$331-EFEITO!$K$331*EFEITO!$Y$331</f>
        <v>0</v>
      </c>
      <c r="N331" s="46">
        <f ca="1">$K$331-EFEITO!$M$331*EFEITO!$Z$331</f>
        <v>0</v>
      </c>
      <c r="O331" s="46">
        <f>$L$331-EFEITO!$O$331*EFEITO!$AA$331</f>
        <v>0</v>
      </c>
      <c r="P331" s="38"/>
      <c r="Q331" s="38"/>
      <c r="R331" s="38"/>
      <c r="S331" s="38"/>
      <c r="T331" s="38"/>
      <c r="U331" s="38"/>
      <c r="V331" s="38"/>
      <c r="W331" s="38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35" t="s">
        <v>21</v>
      </c>
      <c r="B332" s="35" t="s">
        <v>39</v>
      </c>
      <c r="C332" s="35" t="s">
        <v>41</v>
      </c>
      <c r="D332" s="35" t="s">
        <v>42</v>
      </c>
      <c r="E332" s="35" t="s">
        <v>25</v>
      </c>
      <c r="F332" s="35" t="s">
        <v>25</v>
      </c>
      <c r="G332" s="35" t="s">
        <v>25</v>
      </c>
      <c r="H332" s="35" t="s">
        <v>34</v>
      </c>
      <c r="I332" s="45">
        <v>44228</v>
      </c>
      <c r="J332" s="46">
        <f>EFEITO!$J$332*EFEITO!$Y$332</f>
        <v>0</v>
      </c>
      <c r="K332" s="46">
        <f ca="1">EFEITO!$L$332*EFEITO!$Z$332</f>
        <v>2959.3830774600219</v>
      </c>
      <c r="L332" s="46">
        <f>EFEITO!$N$332*EFEITO!$AA$332</f>
        <v>0</v>
      </c>
      <c r="M332" s="46">
        <f>$J$332-EFEITO!$K$332*EFEITO!$Y$332</f>
        <v>0</v>
      </c>
      <c r="N332" s="46">
        <f ca="1">$K$332-EFEITO!$M$332*EFEITO!$Z$332</f>
        <v>0</v>
      </c>
      <c r="O332" s="46">
        <f>$L$332-EFEITO!$O$332*EFEITO!$AA$332</f>
        <v>0</v>
      </c>
      <c r="P332" s="38"/>
      <c r="Q332" s="38"/>
      <c r="R332" s="38"/>
      <c r="S332" s="38"/>
      <c r="T332" s="38"/>
      <c r="U332" s="38"/>
      <c r="V332" s="38"/>
      <c r="W332" s="38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35" t="s">
        <v>21</v>
      </c>
      <c r="B333" s="35" t="s">
        <v>39</v>
      </c>
      <c r="C333" s="35" t="s">
        <v>41</v>
      </c>
      <c r="D333" s="35" t="s">
        <v>42</v>
      </c>
      <c r="E333" s="35" t="s">
        <v>25</v>
      </c>
      <c r="F333" s="35" t="s">
        <v>25</v>
      </c>
      <c r="G333" s="35" t="s">
        <v>25</v>
      </c>
      <c r="H333" s="35" t="s">
        <v>34</v>
      </c>
      <c r="I333" s="45">
        <v>44256</v>
      </c>
      <c r="J333" s="46">
        <f>EFEITO!$J$333*EFEITO!$Y$333</f>
        <v>0</v>
      </c>
      <c r="K333" s="46">
        <f ca="1">EFEITO!$L$333*EFEITO!$Z$333</f>
        <v>161621.7001606682</v>
      </c>
      <c r="L333" s="46">
        <f>EFEITO!$N$333*EFEITO!$AA$333</f>
        <v>67070.237612517129</v>
      </c>
      <c r="M333" s="46">
        <f>$J$333-EFEITO!$K$333*EFEITO!$Y$333</f>
        <v>0</v>
      </c>
      <c r="N333" s="46">
        <f ca="1">$K$333-EFEITO!$M$333*EFEITO!$Z$333</f>
        <v>0</v>
      </c>
      <c r="O333" s="46">
        <f>$L$333-EFEITO!$O$333*EFEITO!$AA$333</f>
        <v>0</v>
      </c>
      <c r="P333" s="38"/>
      <c r="Q333" s="38"/>
      <c r="R333" s="38"/>
      <c r="S333" s="38"/>
      <c r="T333" s="38"/>
      <c r="U333" s="38"/>
      <c r="V333" s="38"/>
      <c r="W333" s="38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35" t="s">
        <v>28</v>
      </c>
      <c r="B334" s="35" t="s">
        <v>39</v>
      </c>
      <c r="C334" s="35" t="s">
        <v>41</v>
      </c>
      <c r="D334" s="35" t="s">
        <v>42</v>
      </c>
      <c r="E334" s="35" t="s">
        <v>25</v>
      </c>
      <c r="F334" s="35" t="s">
        <v>25</v>
      </c>
      <c r="G334" s="35" t="s">
        <v>25</v>
      </c>
      <c r="H334" s="35" t="s">
        <v>34</v>
      </c>
      <c r="I334" s="45">
        <v>44256</v>
      </c>
      <c r="J334" s="46">
        <f>EFEITO!$J$334*EFEITO!$Y$334</f>
        <v>0</v>
      </c>
      <c r="K334" s="46">
        <f ca="1">EFEITO!$L$334*EFEITO!$Z$334</f>
        <v>20375.714748011</v>
      </c>
      <c r="L334" s="46">
        <f>EFEITO!$N$334*EFEITO!$AA$334</f>
        <v>8455.5726632959904</v>
      </c>
      <c r="M334" s="46">
        <f>$J$334-EFEITO!$K$334*EFEITO!$Y$334</f>
        <v>0</v>
      </c>
      <c r="N334" s="46">
        <f ca="1">$K$334-EFEITO!$M$334*EFEITO!$Z$334</f>
        <v>0</v>
      </c>
      <c r="O334" s="46">
        <f>$L$334-EFEITO!$O$334*EFEITO!$AA$334</f>
        <v>0</v>
      </c>
      <c r="P334" s="38"/>
      <c r="Q334" s="38"/>
      <c r="R334" s="38"/>
      <c r="S334" s="38"/>
      <c r="T334" s="38"/>
      <c r="U334" s="38"/>
      <c r="V334" s="38"/>
      <c r="W334" s="38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35" t="s">
        <v>21</v>
      </c>
      <c r="B335" s="35" t="s">
        <v>39</v>
      </c>
      <c r="C335" s="35" t="s">
        <v>41</v>
      </c>
      <c r="D335" s="35" t="s">
        <v>42</v>
      </c>
      <c r="E335" s="35" t="s">
        <v>25</v>
      </c>
      <c r="F335" s="35" t="s">
        <v>25</v>
      </c>
      <c r="G335" s="35" t="s">
        <v>25</v>
      </c>
      <c r="H335" s="35" t="s">
        <v>34</v>
      </c>
      <c r="I335" s="45">
        <v>44256</v>
      </c>
      <c r="J335" s="46">
        <f>EFEITO!$J$335*EFEITO!$Y$335</f>
        <v>0</v>
      </c>
      <c r="K335" s="46">
        <f ca="1">EFEITO!$L$335*EFEITO!$Z$335</f>
        <v>2670.504189484483</v>
      </c>
      <c r="L335" s="46">
        <f>EFEITO!$N$335*EFEITO!$AA$335</f>
        <v>0</v>
      </c>
      <c r="M335" s="46">
        <f>$J$335-EFEITO!$K$335*EFEITO!$Y$335</f>
        <v>0</v>
      </c>
      <c r="N335" s="46">
        <f ca="1">$K$335-EFEITO!$M$335*EFEITO!$Z$335</f>
        <v>0</v>
      </c>
      <c r="O335" s="46">
        <f>$L$335-EFEITO!$O$335*EFEITO!$AA$335</f>
        <v>0</v>
      </c>
      <c r="P335" s="38"/>
      <c r="Q335" s="38"/>
      <c r="R335" s="38"/>
      <c r="S335" s="38"/>
      <c r="T335" s="38"/>
      <c r="U335" s="38"/>
      <c r="V335" s="38"/>
      <c r="W335" s="38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35" t="s">
        <v>21</v>
      </c>
      <c r="B336" s="35" t="s">
        <v>39</v>
      </c>
      <c r="C336" s="35" t="s">
        <v>41</v>
      </c>
      <c r="D336" s="35" t="s">
        <v>42</v>
      </c>
      <c r="E336" s="35" t="s">
        <v>25</v>
      </c>
      <c r="F336" s="35" t="s">
        <v>25</v>
      </c>
      <c r="G336" s="35" t="s">
        <v>25</v>
      </c>
      <c r="H336" s="35" t="s">
        <v>34</v>
      </c>
      <c r="I336" s="45">
        <v>44287</v>
      </c>
      <c r="J336" s="46">
        <f>EFEITO!$J$336*EFEITO!$Y$336</f>
        <v>0</v>
      </c>
      <c r="K336" s="46">
        <f ca="1">EFEITO!$L$336*EFEITO!$Z$336</f>
        <v>159549.38890962824</v>
      </c>
      <c r="L336" s="46">
        <f>EFEITO!$N$336*EFEITO!$AA$336</f>
        <v>66210.263934006303</v>
      </c>
      <c r="M336" s="46">
        <f>$J$336-EFEITO!$K$336*EFEITO!$Y$336</f>
        <v>0</v>
      </c>
      <c r="N336" s="46">
        <f ca="1">$K$336-EFEITO!$M$336*EFEITO!$Z$336</f>
        <v>0</v>
      </c>
      <c r="O336" s="46">
        <f>$L$336-EFEITO!$O$336*EFEITO!$AA$336</f>
        <v>0</v>
      </c>
      <c r="P336" s="38"/>
      <c r="Q336" s="38"/>
      <c r="R336" s="38"/>
      <c r="S336" s="38"/>
      <c r="T336" s="38"/>
      <c r="U336" s="38"/>
      <c r="V336" s="38"/>
      <c r="W336" s="38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35" t="s">
        <v>28</v>
      </c>
      <c r="B337" s="35" t="s">
        <v>39</v>
      </c>
      <c r="C337" s="35" t="s">
        <v>41</v>
      </c>
      <c r="D337" s="35" t="s">
        <v>42</v>
      </c>
      <c r="E337" s="35" t="s">
        <v>25</v>
      </c>
      <c r="F337" s="35" t="s">
        <v>25</v>
      </c>
      <c r="G337" s="35" t="s">
        <v>25</v>
      </c>
      <c r="H337" s="35" t="s">
        <v>34</v>
      </c>
      <c r="I337" s="45">
        <v>44287</v>
      </c>
      <c r="J337" s="46">
        <f>EFEITO!$J$337*EFEITO!$Y$337</f>
        <v>0</v>
      </c>
      <c r="K337" s="46">
        <f ca="1">EFEITO!$L$337*EFEITO!$Z$337</f>
        <v>17785.093466455441</v>
      </c>
      <c r="L337" s="46">
        <f>EFEITO!$N$337*EFEITO!$AA$337</f>
        <v>7380.509198765878</v>
      </c>
      <c r="M337" s="46">
        <f>$J$337-EFEITO!$K$337*EFEITO!$Y$337</f>
        <v>0</v>
      </c>
      <c r="N337" s="46">
        <f ca="1">$K$337-EFEITO!$M$337*EFEITO!$Z$337</f>
        <v>0</v>
      </c>
      <c r="O337" s="46">
        <f>$L$337-EFEITO!$O$337*EFEITO!$AA$337</f>
        <v>0</v>
      </c>
      <c r="P337" s="38"/>
      <c r="Q337" s="38"/>
      <c r="R337" s="38"/>
      <c r="S337" s="38"/>
      <c r="T337" s="38"/>
      <c r="U337" s="38"/>
      <c r="V337" s="38"/>
      <c r="W337" s="38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35" t="s">
        <v>21</v>
      </c>
      <c r="B338" s="35" t="s">
        <v>39</v>
      </c>
      <c r="C338" s="35" t="s">
        <v>41</v>
      </c>
      <c r="D338" s="35" t="s">
        <v>42</v>
      </c>
      <c r="E338" s="35" t="s">
        <v>25</v>
      </c>
      <c r="F338" s="35" t="s">
        <v>25</v>
      </c>
      <c r="G338" s="35" t="s">
        <v>25</v>
      </c>
      <c r="H338" s="35" t="s">
        <v>34</v>
      </c>
      <c r="I338" s="45">
        <v>44317</v>
      </c>
      <c r="J338" s="46">
        <f>EFEITO!$J$338*EFEITO!$Y$338</f>
        <v>0</v>
      </c>
      <c r="K338" s="46">
        <f ca="1">EFEITO!$L$338*EFEITO!$Z$338</f>
        <v>158814.65193088661</v>
      </c>
      <c r="L338" s="46">
        <f>EFEITO!$N$338*EFEITO!$AA$338</f>
        <v>65905.360671029135</v>
      </c>
      <c r="M338" s="46">
        <f>$J$338-EFEITO!$K$338*EFEITO!$Y$338</f>
        <v>0</v>
      </c>
      <c r="N338" s="46">
        <f ca="1">$K$338-EFEITO!$M$338*EFEITO!$Z$338</f>
        <v>0</v>
      </c>
      <c r="O338" s="46">
        <f>$L$338-EFEITO!$O$338*EFEITO!$AA$338</f>
        <v>0</v>
      </c>
      <c r="P338" s="38"/>
      <c r="Q338" s="38"/>
      <c r="R338" s="38"/>
      <c r="S338" s="38"/>
      <c r="T338" s="38"/>
      <c r="U338" s="38"/>
      <c r="V338" s="38"/>
      <c r="W338" s="38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35" t="s">
        <v>28</v>
      </c>
      <c r="B339" s="35" t="s">
        <v>39</v>
      </c>
      <c r="C339" s="35" t="s">
        <v>41</v>
      </c>
      <c r="D339" s="35" t="s">
        <v>42</v>
      </c>
      <c r="E339" s="35" t="s">
        <v>25</v>
      </c>
      <c r="F339" s="35" t="s">
        <v>25</v>
      </c>
      <c r="G339" s="35" t="s">
        <v>25</v>
      </c>
      <c r="H339" s="35" t="s">
        <v>34</v>
      </c>
      <c r="I339" s="45">
        <v>44317</v>
      </c>
      <c r="J339" s="46">
        <f>EFEITO!$J$339*EFEITO!$Y$339</f>
        <v>0</v>
      </c>
      <c r="K339" s="46">
        <f ca="1">EFEITO!$L$339*EFEITO!$Z$339</f>
        <v>18776.198847387597</v>
      </c>
      <c r="L339" s="46">
        <f>EFEITO!$N$339*EFEITO!$AA$339</f>
        <v>7791.8009580536618</v>
      </c>
      <c r="M339" s="46">
        <f>$J$339-EFEITO!$K$339*EFEITO!$Y$339</f>
        <v>0</v>
      </c>
      <c r="N339" s="46">
        <f ca="1">$K$339-EFEITO!$M$339*EFEITO!$Z$339</f>
        <v>0</v>
      </c>
      <c r="O339" s="46">
        <f>$L$339-EFEITO!$O$339*EFEITO!$AA$339</f>
        <v>0</v>
      </c>
      <c r="P339" s="38"/>
      <c r="Q339" s="38"/>
      <c r="R339" s="38"/>
      <c r="S339" s="38"/>
      <c r="T339" s="38"/>
      <c r="U339" s="38"/>
      <c r="V339" s="38"/>
      <c r="W339" s="38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35" t="s">
        <v>21</v>
      </c>
      <c r="B340" s="35" t="s">
        <v>39</v>
      </c>
      <c r="C340" s="35" t="s">
        <v>41</v>
      </c>
      <c r="D340" s="35" t="s">
        <v>42</v>
      </c>
      <c r="E340" s="35" t="s">
        <v>25</v>
      </c>
      <c r="F340" s="35" t="s">
        <v>25</v>
      </c>
      <c r="G340" s="35" t="s">
        <v>25</v>
      </c>
      <c r="H340" s="35" t="s">
        <v>34</v>
      </c>
      <c r="I340" s="45">
        <v>44348</v>
      </c>
      <c r="J340" s="46">
        <f>EFEITO!$J$340*EFEITO!$Y$340</f>
        <v>0</v>
      </c>
      <c r="K340" s="46">
        <f ca="1">EFEITO!$L$340*EFEITO!$Z$340</f>
        <v>149791.59881900754</v>
      </c>
      <c r="L340" s="46">
        <f>EFEITO!$N$340*EFEITO!$AA$340</f>
        <v>62160.948159575033</v>
      </c>
      <c r="M340" s="46">
        <f>$J$340-EFEITO!$K$340*EFEITO!$Y$340</f>
        <v>0</v>
      </c>
      <c r="N340" s="46">
        <f ca="1">$K$340-EFEITO!$M$340*EFEITO!$Z$340</f>
        <v>0</v>
      </c>
      <c r="O340" s="46">
        <f>$L$340-EFEITO!$O$340*EFEITO!$AA$340</f>
        <v>0</v>
      </c>
      <c r="P340" s="38"/>
      <c r="Q340" s="38"/>
      <c r="R340" s="38"/>
      <c r="S340" s="38"/>
      <c r="T340" s="38"/>
      <c r="U340" s="38"/>
      <c r="V340" s="38"/>
      <c r="W340" s="38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35" t="s">
        <v>28</v>
      </c>
      <c r="B341" s="35" t="s">
        <v>39</v>
      </c>
      <c r="C341" s="35" t="s">
        <v>41</v>
      </c>
      <c r="D341" s="35" t="s">
        <v>42</v>
      </c>
      <c r="E341" s="35" t="s">
        <v>25</v>
      </c>
      <c r="F341" s="35" t="s">
        <v>25</v>
      </c>
      <c r="G341" s="35" t="s">
        <v>25</v>
      </c>
      <c r="H341" s="35" t="s">
        <v>34</v>
      </c>
      <c r="I341" s="45">
        <v>44348</v>
      </c>
      <c r="J341" s="46">
        <f>EFEITO!$J$341*EFEITO!$Y$341</f>
        <v>0</v>
      </c>
      <c r="K341" s="46">
        <f ca="1">EFEITO!$L$341*EFEITO!$Z$341</f>
        <v>18604.35770823816</v>
      </c>
      <c r="L341" s="46">
        <f>EFEITO!$N$341*EFEITO!$AA$341</f>
        <v>7720.4898282802415</v>
      </c>
      <c r="M341" s="46">
        <f>$J$341-EFEITO!$K$341*EFEITO!$Y$341</f>
        <v>0</v>
      </c>
      <c r="N341" s="46">
        <f ca="1">$K$341-EFEITO!$M$341*EFEITO!$Z$341</f>
        <v>0</v>
      </c>
      <c r="O341" s="46">
        <f>$L$341-EFEITO!$O$341*EFEITO!$AA$341</f>
        <v>0</v>
      </c>
      <c r="P341" s="38"/>
      <c r="Q341" s="38"/>
      <c r="R341" s="38"/>
      <c r="S341" s="38"/>
      <c r="T341" s="38"/>
      <c r="U341" s="38"/>
      <c r="V341" s="38"/>
      <c r="W341" s="38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35" t="s">
        <v>21</v>
      </c>
      <c r="B342" s="35" t="s">
        <v>39</v>
      </c>
      <c r="C342" s="35" t="s">
        <v>41</v>
      </c>
      <c r="D342" s="35" t="s">
        <v>42</v>
      </c>
      <c r="E342" s="35" t="s">
        <v>25</v>
      </c>
      <c r="F342" s="35" t="s">
        <v>25</v>
      </c>
      <c r="G342" s="35" t="s">
        <v>25</v>
      </c>
      <c r="H342" s="35" t="s">
        <v>34</v>
      </c>
      <c r="I342" s="45">
        <v>44378</v>
      </c>
      <c r="J342" s="46">
        <f>EFEITO!$J$342*EFEITO!$Y$342</f>
        <v>0</v>
      </c>
      <c r="K342" s="46">
        <f ca="1">EFEITO!$L$342*EFEITO!$Z$342</f>
        <v>152044.11104839883</v>
      </c>
      <c r="L342" s="46">
        <f>EFEITO!$N$342*EFEITO!$AA$342</f>
        <v>63095.702157956366</v>
      </c>
      <c r="M342" s="46">
        <f>$J$342-EFEITO!$K$342*EFEITO!$Y$342</f>
        <v>0</v>
      </c>
      <c r="N342" s="46">
        <f ca="1">$K$342-EFEITO!$M$342*EFEITO!$Z$342</f>
        <v>0</v>
      </c>
      <c r="O342" s="46">
        <f>$L$342-EFEITO!$O$342*EFEITO!$AA$342</f>
        <v>0</v>
      </c>
      <c r="P342" s="38"/>
      <c r="Q342" s="38"/>
      <c r="R342" s="38"/>
      <c r="S342" s="38"/>
      <c r="T342" s="38"/>
      <c r="U342" s="38"/>
      <c r="V342" s="38"/>
      <c r="W342" s="38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35" t="s">
        <v>28</v>
      </c>
      <c r="B343" s="35" t="s">
        <v>39</v>
      </c>
      <c r="C343" s="35" t="s">
        <v>41</v>
      </c>
      <c r="D343" s="35" t="s">
        <v>42</v>
      </c>
      <c r="E343" s="35" t="s">
        <v>25</v>
      </c>
      <c r="F343" s="35" t="s">
        <v>25</v>
      </c>
      <c r="G343" s="35" t="s">
        <v>25</v>
      </c>
      <c r="H343" s="35" t="s">
        <v>34</v>
      </c>
      <c r="I343" s="45">
        <v>44378</v>
      </c>
      <c r="J343" s="46">
        <f>EFEITO!$J$343*EFEITO!$Y$343</f>
        <v>0</v>
      </c>
      <c r="K343" s="46">
        <f ca="1">EFEITO!$L$343*EFEITO!$Z$343</f>
        <v>25678.639415060359</v>
      </c>
      <c r="L343" s="46">
        <f>EFEITO!$N$343*EFEITO!$AA$343</f>
        <v>10656.195581547121</v>
      </c>
      <c r="M343" s="46">
        <f>$J$343-EFEITO!$K$343*EFEITO!$Y$343</f>
        <v>0</v>
      </c>
      <c r="N343" s="46">
        <f ca="1">$K$343-EFEITO!$M$343*EFEITO!$Z$343</f>
        <v>0</v>
      </c>
      <c r="O343" s="46">
        <f>$L$343-EFEITO!$O$343*EFEITO!$AA$343</f>
        <v>0</v>
      </c>
      <c r="P343" s="38"/>
      <c r="Q343" s="38"/>
      <c r="R343" s="38"/>
      <c r="S343" s="38"/>
      <c r="T343" s="38"/>
      <c r="U343" s="38"/>
      <c r="V343" s="38"/>
      <c r="W343" s="38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35" t="s">
        <v>21</v>
      </c>
      <c r="B344" s="35" t="s">
        <v>39</v>
      </c>
      <c r="C344" s="35" t="s">
        <v>41</v>
      </c>
      <c r="D344" s="35" t="s">
        <v>42</v>
      </c>
      <c r="E344" s="35" t="s">
        <v>25</v>
      </c>
      <c r="F344" s="35" t="s">
        <v>25</v>
      </c>
      <c r="G344" s="35" t="s">
        <v>25</v>
      </c>
      <c r="H344" s="35" t="s">
        <v>34</v>
      </c>
      <c r="I344" s="45">
        <v>44409</v>
      </c>
      <c r="J344" s="46">
        <f>EFEITO!$J$344*EFEITO!$Y$344</f>
        <v>0</v>
      </c>
      <c r="K344" s="46">
        <f ca="1">EFEITO!$L$344*EFEITO!$Z$344</f>
        <v>143296.93263018131</v>
      </c>
      <c r="L344" s="46">
        <f>EFEITO!$N$344*EFEITO!$AA$344</f>
        <v>59465.772919706076</v>
      </c>
      <c r="M344" s="46">
        <f>$J$344-EFEITO!$K$344*EFEITO!$Y$344</f>
        <v>0</v>
      </c>
      <c r="N344" s="46">
        <f ca="1">$K$344-EFEITO!$M$344*EFEITO!$Z$344</f>
        <v>0</v>
      </c>
      <c r="O344" s="46">
        <f>$L$344-EFEITO!$O$344*EFEITO!$AA$344</f>
        <v>0</v>
      </c>
      <c r="P344" s="38"/>
      <c r="Q344" s="38"/>
      <c r="R344" s="38"/>
      <c r="S344" s="38"/>
      <c r="T344" s="38"/>
      <c r="U344" s="38"/>
      <c r="V344" s="38"/>
      <c r="W344" s="38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35" t="s">
        <v>28</v>
      </c>
      <c r="B345" s="35" t="s">
        <v>39</v>
      </c>
      <c r="C345" s="35" t="s">
        <v>41</v>
      </c>
      <c r="D345" s="35" t="s">
        <v>42</v>
      </c>
      <c r="E345" s="35" t="s">
        <v>25</v>
      </c>
      <c r="F345" s="35" t="s">
        <v>25</v>
      </c>
      <c r="G345" s="35" t="s">
        <v>25</v>
      </c>
      <c r="H345" s="35" t="s">
        <v>34</v>
      </c>
      <c r="I345" s="45">
        <v>44409</v>
      </c>
      <c r="J345" s="46">
        <f>EFEITO!$J$345*EFEITO!$Y$345</f>
        <v>0</v>
      </c>
      <c r="K345" s="46">
        <f ca="1">EFEITO!$L$345*EFEITO!$Z$345</f>
        <v>27286.515154885627</v>
      </c>
      <c r="L345" s="46">
        <f>EFEITO!$N$345*EFEITO!$AA$345</f>
        <v>11323.436476886534</v>
      </c>
      <c r="M345" s="46">
        <f>$J$345-EFEITO!$K$345*EFEITO!$Y$345</f>
        <v>0</v>
      </c>
      <c r="N345" s="46">
        <f ca="1">$K$345-EFEITO!$M$345*EFEITO!$Z$345</f>
        <v>0</v>
      </c>
      <c r="O345" s="46">
        <f>$L$345-EFEITO!$O$345*EFEITO!$AA$345</f>
        <v>0</v>
      </c>
      <c r="P345" s="38"/>
      <c r="Q345" s="38"/>
      <c r="R345" s="38"/>
      <c r="S345" s="38"/>
      <c r="T345" s="38"/>
      <c r="U345" s="38"/>
      <c r="V345" s="38"/>
      <c r="W345" s="38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35" t="s">
        <v>21</v>
      </c>
      <c r="B346" s="35" t="s">
        <v>39</v>
      </c>
      <c r="C346" s="35" t="s">
        <v>41</v>
      </c>
      <c r="D346" s="35" t="s">
        <v>42</v>
      </c>
      <c r="E346" s="35" t="s">
        <v>25</v>
      </c>
      <c r="F346" s="35" t="s">
        <v>25</v>
      </c>
      <c r="G346" s="35" t="s">
        <v>25</v>
      </c>
      <c r="H346" s="35" t="s">
        <v>34</v>
      </c>
      <c r="I346" s="45">
        <v>44409</v>
      </c>
      <c r="J346" s="46">
        <f>EFEITO!$J$346*EFEITO!$Y$346</f>
        <v>0</v>
      </c>
      <c r="K346" s="46">
        <f ca="1">EFEITO!$L$346*EFEITO!$Z$346</f>
        <v>19743.153581736588</v>
      </c>
      <c r="L346" s="46">
        <f>EFEITO!$N$346*EFEITO!$AA$346</f>
        <v>0</v>
      </c>
      <c r="M346" s="46">
        <f>$J$346-EFEITO!$K$346*EFEITO!$Y$346</f>
        <v>0</v>
      </c>
      <c r="N346" s="46">
        <f ca="1">$K$346-EFEITO!$M$346*EFEITO!$Z$346</f>
        <v>0</v>
      </c>
      <c r="O346" s="46">
        <f>$L$346-EFEITO!$O$346*EFEITO!$AA$346</f>
        <v>0</v>
      </c>
      <c r="P346" s="38"/>
      <c r="Q346" s="38"/>
      <c r="R346" s="38"/>
      <c r="S346" s="38"/>
      <c r="T346" s="38"/>
      <c r="U346" s="38"/>
      <c r="V346" s="38"/>
      <c r="W346" s="38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35" t="s">
        <v>21</v>
      </c>
      <c r="B347" s="35" t="s">
        <v>39</v>
      </c>
      <c r="C347" s="35" t="s">
        <v>41</v>
      </c>
      <c r="D347" s="35" t="s">
        <v>42</v>
      </c>
      <c r="E347" s="35" t="s">
        <v>25</v>
      </c>
      <c r="F347" s="35" t="s">
        <v>25</v>
      </c>
      <c r="G347" s="35" t="s">
        <v>25</v>
      </c>
      <c r="H347" s="35" t="s">
        <v>34</v>
      </c>
      <c r="I347" s="45">
        <v>44440</v>
      </c>
      <c r="J347" s="46">
        <f>EFEITO!$J$347*EFEITO!$Y$347</f>
        <v>0</v>
      </c>
      <c r="K347" s="46">
        <f ca="1">EFEITO!$L$347*EFEITO!$Z$347</f>
        <v>150530.98015286133</v>
      </c>
      <c r="L347" s="46">
        <f>EFEITO!$N$347*EFEITO!$AA$347</f>
        <v>62467.778750383914</v>
      </c>
      <c r="M347" s="46">
        <f>$J$347-EFEITO!$K$347*EFEITO!$Y$347</f>
        <v>0</v>
      </c>
      <c r="N347" s="46">
        <f ca="1">$K$347-EFEITO!$M$347*EFEITO!$Z$347</f>
        <v>0</v>
      </c>
      <c r="O347" s="46">
        <f>$L$347-EFEITO!$O$347*EFEITO!$AA$347</f>
        <v>0</v>
      </c>
      <c r="P347" s="38"/>
      <c r="Q347" s="38"/>
      <c r="R347" s="38"/>
      <c r="S347" s="38"/>
      <c r="T347" s="38"/>
      <c r="U347" s="38"/>
      <c r="V347" s="38"/>
      <c r="W347" s="38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35" t="s">
        <v>28</v>
      </c>
      <c r="B348" s="35" t="s">
        <v>39</v>
      </c>
      <c r="C348" s="35" t="s">
        <v>41</v>
      </c>
      <c r="D348" s="35" t="s">
        <v>42</v>
      </c>
      <c r="E348" s="35" t="s">
        <v>25</v>
      </c>
      <c r="F348" s="35" t="s">
        <v>25</v>
      </c>
      <c r="G348" s="35" t="s">
        <v>25</v>
      </c>
      <c r="H348" s="35" t="s">
        <v>34</v>
      </c>
      <c r="I348" s="45">
        <v>44440</v>
      </c>
      <c r="J348" s="46">
        <f>EFEITO!$J$348*EFEITO!$Y$348</f>
        <v>0</v>
      </c>
      <c r="K348" s="46">
        <f ca="1">EFEITO!$L$348*EFEITO!$Z$348</f>
        <v>28271.118438660775</v>
      </c>
      <c r="L348" s="46">
        <f>EFEITO!$N$348*EFEITO!$AA$348</f>
        <v>11732.029977209917</v>
      </c>
      <c r="M348" s="46">
        <f>$J$348-EFEITO!$K$348*EFEITO!$Y$348</f>
        <v>0</v>
      </c>
      <c r="N348" s="46">
        <f ca="1">$K$348-EFEITO!$M$348*EFEITO!$Z$348</f>
        <v>0</v>
      </c>
      <c r="O348" s="46">
        <f>$L$348-EFEITO!$O$348*EFEITO!$AA$348</f>
        <v>0</v>
      </c>
      <c r="P348" s="38"/>
      <c r="Q348" s="38"/>
      <c r="R348" s="38"/>
      <c r="S348" s="38"/>
      <c r="T348" s="38"/>
      <c r="U348" s="38"/>
      <c r="V348" s="38"/>
      <c r="W348" s="38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35" t="s">
        <v>28</v>
      </c>
      <c r="B349" s="35" t="s">
        <v>39</v>
      </c>
      <c r="C349" s="35" t="s">
        <v>41</v>
      </c>
      <c r="D349" s="35" t="s">
        <v>42</v>
      </c>
      <c r="E349" s="35" t="s">
        <v>25</v>
      </c>
      <c r="F349" s="35" t="s">
        <v>25</v>
      </c>
      <c r="G349" s="35" t="s">
        <v>25</v>
      </c>
      <c r="H349" s="35" t="s">
        <v>34</v>
      </c>
      <c r="I349" s="45">
        <v>44440</v>
      </c>
      <c r="J349" s="46">
        <f>EFEITO!$J$349*EFEITO!$Y$349</f>
        <v>0</v>
      </c>
      <c r="K349" s="46">
        <f ca="1">EFEITO!$L$349*EFEITO!$Z$349</f>
        <v>-1560.5033176813674</v>
      </c>
      <c r="L349" s="46">
        <f>EFEITO!$N$349*EFEITO!$AA$349</f>
        <v>-647.58215145592919</v>
      </c>
      <c r="M349" s="46">
        <f>$J$349-EFEITO!$K$349*EFEITO!$Y$349</f>
        <v>0</v>
      </c>
      <c r="N349" s="46">
        <f ca="1">$K$349-EFEITO!$M$349*EFEITO!$Z$349</f>
        <v>0</v>
      </c>
      <c r="O349" s="46">
        <f>$L$349-EFEITO!$O$349*EFEITO!$AA$349</f>
        <v>0</v>
      </c>
      <c r="P349" s="38"/>
      <c r="Q349" s="38"/>
      <c r="R349" s="38"/>
      <c r="S349" s="38"/>
      <c r="T349" s="38"/>
      <c r="U349" s="38"/>
      <c r="V349" s="38"/>
      <c r="W349" s="38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35" t="s">
        <v>21</v>
      </c>
      <c r="B350" s="35" t="s">
        <v>39</v>
      </c>
      <c r="C350" s="35" t="s">
        <v>41</v>
      </c>
      <c r="D350" s="35" t="s">
        <v>42</v>
      </c>
      <c r="E350" s="35" t="s">
        <v>25</v>
      </c>
      <c r="F350" s="35" t="s">
        <v>25</v>
      </c>
      <c r="G350" s="35" t="s">
        <v>25</v>
      </c>
      <c r="H350" s="35" t="s">
        <v>34</v>
      </c>
      <c r="I350" s="45">
        <v>44440</v>
      </c>
      <c r="J350" s="46">
        <f>EFEITO!$J$350*EFEITO!$Y$350</f>
        <v>0</v>
      </c>
      <c r="K350" s="46">
        <f ca="1">EFEITO!$L$350*EFEITO!$Z$350</f>
        <v>20351.564101427834</v>
      </c>
      <c r="L350" s="46">
        <f>EFEITO!$N$350*EFEITO!$AA$350</f>
        <v>0</v>
      </c>
      <c r="M350" s="46">
        <f>$J$350-EFEITO!$K$350*EFEITO!$Y$350</f>
        <v>0</v>
      </c>
      <c r="N350" s="46">
        <f ca="1">$K$350-EFEITO!$M$350*EFEITO!$Z$350</f>
        <v>0</v>
      </c>
      <c r="O350" s="46">
        <f>$L$350-EFEITO!$O$350*EFEITO!$AA$350</f>
        <v>0</v>
      </c>
      <c r="P350" s="38"/>
      <c r="Q350" s="38"/>
      <c r="R350" s="38"/>
      <c r="S350" s="38"/>
      <c r="T350" s="38"/>
      <c r="U350" s="38"/>
      <c r="V350" s="38"/>
      <c r="W350" s="38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35" t="s">
        <v>21</v>
      </c>
      <c r="B351" s="35" t="s">
        <v>39</v>
      </c>
      <c r="C351" s="35" t="s">
        <v>41</v>
      </c>
      <c r="D351" s="35" t="s">
        <v>42</v>
      </c>
      <c r="E351" s="35" t="s">
        <v>25</v>
      </c>
      <c r="F351" s="35" t="s">
        <v>25</v>
      </c>
      <c r="G351" s="35" t="s">
        <v>25</v>
      </c>
      <c r="H351" s="35" t="s">
        <v>34</v>
      </c>
      <c r="I351" s="45">
        <v>44470</v>
      </c>
      <c r="J351" s="46">
        <f>EFEITO!$J$351*EFEITO!$Y$351</f>
        <v>0</v>
      </c>
      <c r="K351" s="46">
        <f ca="1">EFEITO!$L$351*EFEITO!$Z$351</f>
        <v>160313.84976108765</v>
      </c>
      <c r="L351" s="46">
        <f>EFEITO!$N$351*EFEITO!$AA$351</f>
        <v>66527.502095106451</v>
      </c>
      <c r="M351" s="46">
        <f>$J$351-EFEITO!$K$351*EFEITO!$Y$351</f>
        <v>0</v>
      </c>
      <c r="N351" s="46">
        <f ca="1">$K$351-EFEITO!$M$351*EFEITO!$Z$351</f>
        <v>0</v>
      </c>
      <c r="O351" s="46">
        <f>$L$351-EFEITO!$O$351*EFEITO!$AA$351</f>
        <v>0</v>
      </c>
      <c r="P351" s="38"/>
      <c r="Q351" s="38"/>
      <c r="R351" s="38"/>
      <c r="S351" s="38"/>
      <c r="T351" s="38"/>
      <c r="U351" s="38"/>
      <c r="V351" s="38"/>
      <c r="W351" s="38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35" t="s">
        <v>28</v>
      </c>
      <c r="B352" s="35" t="s">
        <v>39</v>
      </c>
      <c r="C352" s="35" t="s">
        <v>41</v>
      </c>
      <c r="D352" s="35" t="s">
        <v>42</v>
      </c>
      <c r="E352" s="35" t="s">
        <v>25</v>
      </c>
      <c r="F352" s="35" t="s">
        <v>25</v>
      </c>
      <c r="G352" s="35" t="s">
        <v>25</v>
      </c>
      <c r="H352" s="35" t="s">
        <v>34</v>
      </c>
      <c r="I352" s="45">
        <v>44470</v>
      </c>
      <c r="J352" s="46">
        <f>EFEITO!$J$352*EFEITO!$Y$352</f>
        <v>0</v>
      </c>
      <c r="K352" s="46">
        <f ca="1">EFEITO!$L$352*EFEITO!$Z$352</f>
        <v>26746.841090854155</v>
      </c>
      <c r="L352" s="46">
        <f>EFEITO!$N$352*EFEITO!$AA$352</f>
        <v>11099.480982841358</v>
      </c>
      <c r="M352" s="46">
        <f>$J$352-EFEITO!$K$352*EFEITO!$Y$352</f>
        <v>0</v>
      </c>
      <c r="N352" s="46">
        <f ca="1">$K$352-EFEITO!$M$352*EFEITO!$Z$352</f>
        <v>0</v>
      </c>
      <c r="O352" s="46">
        <f>$L$352-EFEITO!$O$352*EFEITO!$AA$352</f>
        <v>0</v>
      </c>
      <c r="P352" s="38"/>
      <c r="Q352" s="38"/>
      <c r="R352" s="38"/>
      <c r="S352" s="38"/>
      <c r="T352" s="38"/>
      <c r="U352" s="38"/>
      <c r="V352" s="38"/>
      <c r="W352" s="38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35" t="s">
        <v>21</v>
      </c>
      <c r="B353" s="35" t="s">
        <v>39</v>
      </c>
      <c r="C353" s="35" t="s">
        <v>41</v>
      </c>
      <c r="D353" s="35" t="s">
        <v>42</v>
      </c>
      <c r="E353" s="35" t="s">
        <v>25</v>
      </c>
      <c r="F353" s="35" t="s">
        <v>25</v>
      </c>
      <c r="G353" s="35" t="s">
        <v>25</v>
      </c>
      <c r="H353" s="35" t="s">
        <v>34</v>
      </c>
      <c r="I353" s="45">
        <v>44501</v>
      </c>
      <c r="J353" s="46">
        <f>EFEITO!$J$353*EFEITO!$Y$353</f>
        <v>0</v>
      </c>
      <c r="K353" s="46">
        <f ca="1">EFEITO!$L$353*EFEITO!$Z$353</f>
        <v>161587.33193283834</v>
      </c>
      <c r="L353" s="46">
        <f>EFEITO!$N$353*EFEITO!$AA$353</f>
        <v>67055.975386562452</v>
      </c>
      <c r="M353" s="46">
        <f>$J$353-EFEITO!$K$353*EFEITO!$Y$353</f>
        <v>0</v>
      </c>
      <c r="N353" s="46">
        <f ca="1">$K$353-EFEITO!$M$353*EFEITO!$Z$353</f>
        <v>0</v>
      </c>
      <c r="O353" s="46">
        <f>$L$353-EFEITO!$O$353*EFEITO!$AA$353</f>
        <v>0</v>
      </c>
      <c r="P353" s="38"/>
      <c r="Q353" s="38"/>
      <c r="R353" s="38"/>
      <c r="S353" s="38"/>
      <c r="T353" s="38"/>
      <c r="U353" s="38"/>
      <c r="V353" s="38"/>
      <c r="W353" s="38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35" t="s">
        <v>28</v>
      </c>
      <c r="B354" s="35" t="s">
        <v>39</v>
      </c>
      <c r="C354" s="35" t="s">
        <v>41</v>
      </c>
      <c r="D354" s="35" t="s">
        <v>42</v>
      </c>
      <c r="E354" s="35" t="s">
        <v>25</v>
      </c>
      <c r="F354" s="35" t="s">
        <v>25</v>
      </c>
      <c r="G354" s="35" t="s">
        <v>25</v>
      </c>
      <c r="H354" s="35" t="s">
        <v>34</v>
      </c>
      <c r="I354" s="45">
        <v>44501</v>
      </c>
      <c r="J354" s="46">
        <f>EFEITO!$J$354*EFEITO!$Y$354</f>
        <v>0</v>
      </c>
      <c r="K354" s="46">
        <f ca="1">EFEITO!$L$354*EFEITO!$Z$354</f>
        <v>26105.920085377878</v>
      </c>
      <c r="L354" s="46">
        <f>EFEITO!$N$354*EFEITO!$AA$354</f>
        <v>10833.509742064816</v>
      </c>
      <c r="M354" s="46">
        <f>$J$354-EFEITO!$K$354*EFEITO!$Y$354</f>
        <v>0</v>
      </c>
      <c r="N354" s="46">
        <f ca="1">$K$354-EFEITO!$M$354*EFEITO!$Z$354</f>
        <v>0</v>
      </c>
      <c r="O354" s="46">
        <f>$L$354-EFEITO!$O$354*EFEITO!$AA$354</f>
        <v>0</v>
      </c>
      <c r="P354" s="38"/>
      <c r="Q354" s="38"/>
      <c r="R354" s="38"/>
      <c r="S354" s="38"/>
      <c r="T354" s="38"/>
      <c r="U354" s="38"/>
      <c r="V354" s="38"/>
      <c r="W354" s="38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35" t="s">
        <v>21</v>
      </c>
      <c r="B355" s="35" t="s">
        <v>39</v>
      </c>
      <c r="C355" s="35" t="s">
        <v>41</v>
      </c>
      <c r="D355" s="35" t="s">
        <v>42</v>
      </c>
      <c r="E355" s="35" t="s">
        <v>25</v>
      </c>
      <c r="F355" s="35" t="s">
        <v>25</v>
      </c>
      <c r="G355" s="35" t="s">
        <v>25</v>
      </c>
      <c r="H355" s="35" t="s">
        <v>34</v>
      </c>
      <c r="I355" s="45">
        <v>44531</v>
      </c>
      <c r="J355" s="46">
        <f>EFEITO!$J$355*EFEITO!$Y$355</f>
        <v>0</v>
      </c>
      <c r="K355" s="46">
        <f ca="1">EFEITO!$L$355*EFEITO!$Z$355</f>
        <v>172544.29451341537</v>
      </c>
      <c r="L355" s="46">
        <f>EFEITO!$N$355*EFEITO!$AA$355</f>
        <v>71602.927207142289</v>
      </c>
      <c r="M355" s="46">
        <f>$J$355-EFEITO!$K$355*EFEITO!$Y$355</f>
        <v>0</v>
      </c>
      <c r="N355" s="46">
        <f ca="1">$K$355-EFEITO!$M$355*EFEITO!$Z$355</f>
        <v>0</v>
      </c>
      <c r="O355" s="46">
        <f>$L$355-EFEITO!$O$355*EFEITO!$AA$355</f>
        <v>0</v>
      </c>
      <c r="P355" s="38"/>
      <c r="Q355" s="38"/>
      <c r="R355" s="38"/>
      <c r="S355" s="38"/>
      <c r="T355" s="38"/>
      <c r="U355" s="38"/>
      <c r="V355" s="38"/>
      <c r="W355" s="38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35" t="s">
        <v>28</v>
      </c>
      <c r="B356" s="35" t="s">
        <v>39</v>
      </c>
      <c r="C356" s="35" t="s">
        <v>41</v>
      </c>
      <c r="D356" s="35" t="s">
        <v>42</v>
      </c>
      <c r="E356" s="35" t="s">
        <v>25</v>
      </c>
      <c r="F356" s="35" t="s">
        <v>25</v>
      </c>
      <c r="G356" s="35" t="s">
        <v>25</v>
      </c>
      <c r="H356" s="35" t="s">
        <v>34</v>
      </c>
      <c r="I356" s="45">
        <v>44531</v>
      </c>
      <c r="J356" s="46">
        <f>EFEITO!$J$356*EFEITO!$Y$356</f>
        <v>0</v>
      </c>
      <c r="K356" s="46">
        <f ca="1">EFEITO!$L$356*EFEITO!$Z$356</f>
        <v>39663.721528757189</v>
      </c>
      <c r="L356" s="46">
        <f>EFEITO!$N$356*EFEITO!$AA$356</f>
        <v>16459.765148404545</v>
      </c>
      <c r="M356" s="46">
        <f>$J$356-EFEITO!$K$356*EFEITO!$Y$356</f>
        <v>0</v>
      </c>
      <c r="N356" s="46">
        <f ca="1">$K$356-EFEITO!$M$356*EFEITO!$Z$356</f>
        <v>0</v>
      </c>
      <c r="O356" s="46">
        <f>$L$356-EFEITO!$O$356*EFEITO!$AA$356</f>
        <v>0</v>
      </c>
      <c r="P356" s="38"/>
      <c r="Q356" s="38"/>
      <c r="R356" s="38"/>
      <c r="S356" s="38"/>
      <c r="T356" s="38"/>
      <c r="U356" s="38"/>
      <c r="V356" s="38"/>
      <c r="W356" s="38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35" t="s">
        <v>55</v>
      </c>
      <c r="B357" s="35" t="s">
        <v>39</v>
      </c>
      <c r="C357" s="35" t="s">
        <v>41</v>
      </c>
      <c r="D357" s="35" t="s">
        <v>42</v>
      </c>
      <c r="E357" s="35" t="s">
        <v>25</v>
      </c>
      <c r="F357" s="35" t="s">
        <v>25</v>
      </c>
      <c r="G357" s="35" t="s">
        <v>25</v>
      </c>
      <c r="H357" s="35" t="s">
        <v>34</v>
      </c>
      <c r="I357" s="45">
        <v>44562</v>
      </c>
      <c r="J357" s="46">
        <f>EFEITO!$J$357*EFEITO!$Y$357</f>
        <v>0</v>
      </c>
      <c r="K357" s="46">
        <f ca="1">EFEITO!$L$357*EFEITO!$Z$357</f>
        <v>172544.29451341537</v>
      </c>
      <c r="L357" s="46">
        <f>EFEITO!$N$357*EFEITO!$AA$357</f>
        <v>71602.927207142289</v>
      </c>
      <c r="M357" s="46">
        <f>$J$357-EFEITO!$K$357*EFEITO!$Y$357</f>
        <v>0</v>
      </c>
      <c r="N357" s="46">
        <f ca="1">$K$357-EFEITO!$M$357*EFEITO!$Z$357</f>
        <v>0</v>
      </c>
      <c r="O357" s="46">
        <f>$L$357-EFEITO!$O$357*EFEITO!$AA$357</f>
        <v>0</v>
      </c>
      <c r="P357" s="38"/>
      <c r="Q357" s="38"/>
      <c r="R357" s="38"/>
      <c r="S357" s="38"/>
      <c r="T357" s="38"/>
      <c r="U357" s="38"/>
      <c r="V357" s="38"/>
      <c r="W357" s="38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35" t="s">
        <v>55</v>
      </c>
      <c r="B358" s="35" t="s">
        <v>39</v>
      </c>
      <c r="C358" s="35" t="s">
        <v>41</v>
      </c>
      <c r="D358" s="35" t="s">
        <v>42</v>
      </c>
      <c r="E358" s="35" t="s">
        <v>25</v>
      </c>
      <c r="F358" s="35" t="s">
        <v>25</v>
      </c>
      <c r="G358" s="35" t="s">
        <v>25</v>
      </c>
      <c r="H358" s="35" t="s">
        <v>34</v>
      </c>
      <c r="I358" s="45">
        <v>44562</v>
      </c>
      <c r="J358" s="46">
        <f>EFEITO!$J$358*EFEITO!$Y$358</f>
        <v>0</v>
      </c>
      <c r="K358" s="46">
        <f ca="1">EFEITO!$L$358*EFEITO!$Z$358</f>
        <v>39663.721528757189</v>
      </c>
      <c r="L358" s="46">
        <f>EFEITO!$N$358*EFEITO!$AA$358</f>
        <v>16459.765148404545</v>
      </c>
      <c r="M358" s="46">
        <f>$J$358-EFEITO!$K$358*EFEITO!$Y$358</f>
        <v>0</v>
      </c>
      <c r="N358" s="46">
        <f ca="1">$K$358-EFEITO!$M$358*EFEITO!$Z$358</f>
        <v>0</v>
      </c>
      <c r="O358" s="46">
        <f>$L$358-EFEITO!$O$358*EFEITO!$AA$358</f>
        <v>0</v>
      </c>
      <c r="P358" s="38"/>
      <c r="Q358" s="38"/>
      <c r="R358" s="38"/>
      <c r="S358" s="38"/>
      <c r="T358" s="38"/>
      <c r="U358" s="38"/>
      <c r="V358" s="38"/>
      <c r="W358" s="38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35" t="s">
        <v>21</v>
      </c>
      <c r="B359" s="35" t="s">
        <v>39</v>
      </c>
      <c r="C359" s="35" t="s">
        <v>41</v>
      </c>
      <c r="D359" s="35" t="s">
        <v>51</v>
      </c>
      <c r="E359" s="35" t="s">
        <v>25</v>
      </c>
      <c r="F359" s="35" t="s">
        <v>25</v>
      </c>
      <c r="G359" s="35" t="s">
        <v>25</v>
      </c>
      <c r="H359" s="35" t="s">
        <v>35</v>
      </c>
      <c r="I359" s="45">
        <v>44228</v>
      </c>
      <c r="J359" s="46">
        <f>EFEITO!$J$359*EFEITO!$Y$359</f>
        <v>0</v>
      </c>
      <c r="K359" s="46">
        <f ca="1">EFEITO!$L$359*EFEITO!$Z$359</f>
        <v>734.85672548260607</v>
      </c>
      <c r="L359" s="46">
        <f>EFEITO!$N$359*EFEITO!$AA$359</f>
        <v>3521.0094966174938</v>
      </c>
      <c r="M359" s="46">
        <f>$J$359-EFEITO!$K$359*EFEITO!$Y$359</f>
        <v>0</v>
      </c>
      <c r="N359" s="46">
        <f ca="1">$K$359-EFEITO!$M$359*EFEITO!$Z$359</f>
        <v>0</v>
      </c>
      <c r="O359" s="46">
        <f>$L$359-EFEITO!$O$359*EFEITO!$AA$359</f>
        <v>0</v>
      </c>
      <c r="P359" s="38"/>
      <c r="Q359" s="38"/>
      <c r="R359" s="38"/>
      <c r="S359" s="38"/>
      <c r="T359" s="38"/>
      <c r="U359" s="38"/>
      <c r="V359" s="38"/>
      <c r="W359" s="38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35" t="s">
        <v>21</v>
      </c>
      <c r="B360" s="35" t="s">
        <v>39</v>
      </c>
      <c r="C360" s="35" t="s">
        <v>41</v>
      </c>
      <c r="D360" s="35" t="s">
        <v>51</v>
      </c>
      <c r="E360" s="35" t="s">
        <v>25</v>
      </c>
      <c r="F360" s="35" t="s">
        <v>25</v>
      </c>
      <c r="G360" s="35" t="s">
        <v>25</v>
      </c>
      <c r="H360" s="35" t="s">
        <v>35</v>
      </c>
      <c r="I360" s="45">
        <v>44256</v>
      </c>
      <c r="J360" s="46">
        <f>EFEITO!$J$360*EFEITO!$Y$360</f>
        <v>0</v>
      </c>
      <c r="K360" s="46">
        <f ca="1">EFEITO!$L$360*EFEITO!$Z$360</f>
        <v>747.60220798420141</v>
      </c>
      <c r="L360" s="46">
        <f>EFEITO!$N$360*EFEITO!$AA$360</f>
        <v>3582.0784960168216</v>
      </c>
      <c r="M360" s="46">
        <f>$J$360-EFEITO!$K$360*EFEITO!$Y$360</f>
        <v>0</v>
      </c>
      <c r="N360" s="46">
        <f ca="1">$K$360-EFEITO!$M$360*EFEITO!$Z$360</f>
        <v>0</v>
      </c>
      <c r="O360" s="46">
        <f>$L$360-EFEITO!$O$360*EFEITO!$AA$360</f>
        <v>0</v>
      </c>
      <c r="P360" s="38"/>
      <c r="Q360" s="38"/>
      <c r="R360" s="38"/>
      <c r="S360" s="38"/>
      <c r="T360" s="38"/>
      <c r="U360" s="38"/>
      <c r="V360" s="38"/>
      <c r="W360" s="38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35" t="s">
        <v>21</v>
      </c>
      <c r="B361" s="35" t="s">
        <v>39</v>
      </c>
      <c r="C361" s="35" t="s">
        <v>41</v>
      </c>
      <c r="D361" s="35" t="s">
        <v>51</v>
      </c>
      <c r="E361" s="35" t="s">
        <v>25</v>
      </c>
      <c r="F361" s="35" t="s">
        <v>25</v>
      </c>
      <c r="G361" s="35" t="s">
        <v>25</v>
      </c>
      <c r="H361" s="35" t="s">
        <v>35</v>
      </c>
      <c r="I361" s="45">
        <v>44287</v>
      </c>
      <c r="J361" s="46">
        <f>EFEITO!$J$361*EFEITO!$Y$361</f>
        <v>0</v>
      </c>
      <c r="K361" s="46">
        <f ca="1">EFEITO!$L$361*EFEITO!$Z$361</f>
        <v>714.44403866364473</v>
      </c>
      <c r="L361" s="46">
        <f>EFEITO!$N$361*EFEITO!$AA$361</f>
        <v>3423.2036772670076</v>
      </c>
      <c r="M361" s="46">
        <f>$J$361-EFEITO!$K$361*EFEITO!$Y$361</f>
        <v>0</v>
      </c>
      <c r="N361" s="46">
        <f ca="1">$K$361-EFEITO!$M$361*EFEITO!$Z$361</f>
        <v>0</v>
      </c>
      <c r="O361" s="46">
        <f>$L$361-EFEITO!$O$361*EFEITO!$AA$361</f>
        <v>0</v>
      </c>
      <c r="P361" s="38"/>
      <c r="Q361" s="38"/>
      <c r="R361" s="38"/>
      <c r="S361" s="38"/>
      <c r="T361" s="38"/>
      <c r="U361" s="38"/>
      <c r="V361" s="38"/>
      <c r="W361" s="38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35" t="s">
        <v>21</v>
      </c>
      <c r="B362" s="35" t="s">
        <v>39</v>
      </c>
      <c r="C362" s="35" t="s">
        <v>41</v>
      </c>
      <c r="D362" s="35" t="s">
        <v>51</v>
      </c>
      <c r="E362" s="35" t="s">
        <v>25</v>
      </c>
      <c r="F362" s="35" t="s">
        <v>25</v>
      </c>
      <c r="G362" s="35" t="s">
        <v>25</v>
      </c>
      <c r="H362" s="35" t="s">
        <v>35</v>
      </c>
      <c r="I362" s="45">
        <v>44317</v>
      </c>
      <c r="J362" s="46">
        <f>EFEITO!$J$362*EFEITO!$Y$362</f>
        <v>0</v>
      </c>
      <c r="K362" s="46">
        <f ca="1">EFEITO!$L$362*EFEITO!$Z$362</f>
        <v>770.60382093629926</v>
      </c>
      <c r="L362" s="46">
        <f>EFEITO!$N$362*EFEITO!$AA$362</f>
        <v>3692.2889558702959</v>
      </c>
      <c r="M362" s="46">
        <f>$J$362-EFEITO!$K$362*EFEITO!$Y$362</f>
        <v>0</v>
      </c>
      <c r="N362" s="46">
        <f ca="1">$K$362-EFEITO!$M$362*EFEITO!$Z$362</f>
        <v>0</v>
      </c>
      <c r="O362" s="46">
        <f>$L$362-EFEITO!$O$362*EFEITO!$AA$362</f>
        <v>0</v>
      </c>
      <c r="P362" s="38"/>
      <c r="Q362" s="38"/>
      <c r="R362" s="38"/>
      <c r="S362" s="38"/>
      <c r="T362" s="38"/>
      <c r="U362" s="38"/>
      <c r="V362" s="38"/>
      <c r="W362" s="38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35" t="s">
        <v>21</v>
      </c>
      <c r="B363" s="35" t="s">
        <v>39</v>
      </c>
      <c r="C363" s="35" t="s">
        <v>41</v>
      </c>
      <c r="D363" s="35" t="s">
        <v>51</v>
      </c>
      <c r="E363" s="35" t="s">
        <v>25</v>
      </c>
      <c r="F363" s="35" t="s">
        <v>25</v>
      </c>
      <c r="G363" s="35" t="s">
        <v>25</v>
      </c>
      <c r="H363" s="35" t="s">
        <v>35</v>
      </c>
      <c r="I363" s="45">
        <v>44348</v>
      </c>
      <c r="J363" s="46">
        <f>EFEITO!$J$363*EFEITO!$Y$363</f>
        <v>0</v>
      </c>
      <c r="K363" s="46">
        <f ca="1">EFEITO!$L$363*EFEITO!$Z$363</f>
        <v>612.38060456883841</v>
      </c>
      <c r="L363" s="46">
        <f>EFEITO!$N$363*EFEITO!$AA$363</f>
        <v>2934.1745805145783</v>
      </c>
      <c r="M363" s="46">
        <f>$J$363-EFEITO!$K$363*EFEITO!$Y$363</f>
        <v>0</v>
      </c>
      <c r="N363" s="46">
        <f ca="1">$K$363-EFEITO!$M$363*EFEITO!$Z$363</f>
        <v>0</v>
      </c>
      <c r="O363" s="46">
        <f>$L$363-EFEITO!$O$363*EFEITO!$AA$363</f>
        <v>0</v>
      </c>
      <c r="P363" s="38"/>
      <c r="Q363" s="38"/>
      <c r="R363" s="38"/>
      <c r="S363" s="38"/>
      <c r="T363" s="38"/>
      <c r="U363" s="38"/>
      <c r="V363" s="38"/>
      <c r="W363" s="38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35" t="s">
        <v>21</v>
      </c>
      <c r="B364" s="35" t="s">
        <v>39</v>
      </c>
      <c r="C364" s="35" t="s">
        <v>41</v>
      </c>
      <c r="D364" s="35" t="s">
        <v>51</v>
      </c>
      <c r="E364" s="35" t="s">
        <v>25</v>
      </c>
      <c r="F364" s="35" t="s">
        <v>25</v>
      </c>
      <c r="G364" s="35" t="s">
        <v>25</v>
      </c>
      <c r="H364" s="35" t="s">
        <v>35</v>
      </c>
      <c r="I364" s="45">
        <v>44378</v>
      </c>
      <c r="J364" s="46">
        <f>EFEITO!$J$364*EFEITO!$Y$364</f>
        <v>0</v>
      </c>
      <c r="K364" s="46">
        <f ca="1">EFEITO!$L$364*EFEITO!$Z$364</f>
        <v>558.80974842932051</v>
      </c>
      <c r="L364" s="46">
        <f>EFEITO!$N$364*EFEITO!$AA$364</f>
        <v>2677.4939424142785</v>
      </c>
      <c r="M364" s="46">
        <f>$J$364-EFEITO!$K$364*EFEITO!$Y$364</f>
        <v>0</v>
      </c>
      <c r="N364" s="46">
        <f ca="1">$K$364-EFEITO!$M$364*EFEITO!$Z$364</f>
        <v>0</v>
      </c>
      <c r="O364" s="46">
        <f>$L$364-EFEITO!$O$364*EFEITO!$AA$364</f>
        <v>0</v>
      </c>
      <c r="P364" s="38"/>
      <c r="Q364" s="38"/>
      <c r="R364" s="38"/>
      <c r="S364" s="38"/>
      <c r="T364" s="38"/>
      <c r="U364" s="38"/>
      <c r="V364" s="38"/>
      <c r="W364" s="38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35" t="s">
        <v>21</v>
      </c>
      <c r="B365" s="35" t="s">
        <v>39</v>
      </c>
      <c r="C365" s="35" t="s">
        <v>41</v>
      </c>
      <c r="D365" s="35" t="s">
        <v>51</v>
      </c>
      <c r="E365" s="35" t="s">
        <v>25</v>
      </c>
      <c r="F365" s="35" t="s">
        <v>25</v>
      </c>
      <c r="G365" s="35" t="s">
        <v>25</v>
      </c>
      <c r="H365" s="35" t="s">
        <v>35</v>
      </c>
      <c r="I365" s="45">
        <v>44409</v>
      </c>
      <c r="J365" s="46">
        <f>EFEITO!$J$365*EFEITO!$Y$365</f>
        <v>0</v>
      </c>
      <c r="K365" s="46">
        <f ca="1">EFEITO!$L$365*EFEITO!$Z$365</f>
        <v>579.22243524828184</v>
      </c>
      <c r="L365" s="46">
        <f>EFEITO!$N$365*EFEITO!$AA$365</f>
        <v>2775.2997617647643</v>
      </c>
      <c r="M365" s="46">
        <f>$J$365-EFEITO!$K$365*EFEITO!$Y$365</f>
        <v>0</v>
      </c>
      <c r="N365" s="46">
        <f ca="1">$K$365-EFEITO!$M$365*EFEITO!$Z$365</f>
        <v>0</v>
      </c>
      <c r="O365" s="46">
        <f>$L$365-EFEITO!$O$365*EFEITO!$AA$365</f>
        <v>0</v>
      </c>
      <c r="P365" s="38"/>
      <c r="Q365" s="38"/>
      <c r="R365" s="38"/>
      <c r="S365" s="38"/>
      <c r="T365" s="38"/>
      <c r="U365" s="38"/>
      <c r="V365" s="38"/>
      <c r="W365" s="38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35" t="s">
        <v>21</v>
      </c>
      <c r="B366" s="35" t="s">
        <v>39</v>
      </c>
      <c r="C366" s="35" t="s">
        <v>41</v>
      </c>
      <c r="D366" s="35" t="s">
        <v>51</v>
      </c>
      <c r="E366" s="35" t="s">
        <v>25</v>
      </c>
      <c r="F366" s="35" t="s">
        <v>25</v>
      </c>
      <c r="G366" s="35" t="s">
        <v>25</v>
      </c>
      <c r="H366" s="35" t="s">
        <v>35</v>
      </c>
      <c r="I366" s="45">
        <v>44440</v>
      </c>
      <c r="J366" s="46">
        <f>EFEITO!$J$366*EFEITO!$Y$366</f>
        <v>0</v>
      </c>
      <c r="K366" s="46">
        <f ca="1">EFEITO!$L$366*EFEITO!$Z$366</f>
        <v>515.44523569928322</v>
      </c>
      <c r="L366" s="46">
        <f>EFEITO!$N$366*EFEITO!$AA$366</f>
        <v>2469.7162139892216</v>
      </c>
      <c r="M366" s="46">
        <f>$J$366-EFEITO!$K$366*EFEITO!$Y$366</f>
        <v>0</v>
      </c>
      <c r="N366" s="46">
        <f ca="1">$K$366-EFEITO!$M$366*EFEITO!$Z$366</f>
        <v>0</v>
      </c>
      <c r="O366" s="46">
        <f>$L$366-EFEITO!$O$366*EFEITO!$AA$366</f>
        <v>0</v>
      </c>
      <c r="P366" s="38"/>
      <c r="Q366" s="38"/>
      <c r="R366" s="38"/>
      <c r="S366" s="38"/>
      <c r="T366" s="38"/>
      <c r="U366" s="38"/>
      <c r="V366" s="38"/>
      <c r="W366" s="38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35" t="s">
        <v>21</v>
      </c>
      <c r="B367" s="35" t="s">
        <v>39</v>
      </c>
      <c r="C367" s="35" t="s">
        <v>41</v>
      </c>
      <c r="D367" s="35" t="s">
        <v>51</v>
      </c>
      <c r="E367" s="35" t="s">
        <v>25</v>
      </c>
      <c r="F367" s="35" t="s">
        <v>25</v>
      </c>
      <c r="G367" s="35" t="s">
        <v>25</v>
      </c>
      <c r="H367" s="35" t="s">
        <v>35</v>
      </c>
      <c r="I367" s="45">
        <v>44470</v>
      </c>
      <c r="J367" s="46">
        <f>EFEITO!$J$367*EFEITO!$Y$367</f>
        <v>0</v>
      </c>
      <c r="K367" s="46">
        <f ca="1">EFEITO!$L$367*EFEITO!$Z$367</f>
        <v>597.09598297512832</v>
      </c>
      <c r="L367" s="46">
        <f>EFEITO!$N$367*EFEITO!$AA$367</f>
        <v>2860.9394913911656</v>
      </c>
      <c r="M367" s="46">
        <f>$J$367-EFEITO!$K$367*EFEITO!$Y$367</f>
        <v>0</v>
      </c>
      <c r="N367" s="46">
        <f ca="1">$K$367-EFEITO!$M$367*EFEITO!$Z$367</f>
        <v>0</v>
      </c>
      <c r="O367" s="46">
        <f>$L$367-EFEITO!$O$367*EFEITO!$AA$367</f>
        <v>0</v>
      </c>
      <c r="P367" s="38"/>
      <c r="Q367" s="38"/>
      <c r="R367" s="38"/>
      <c r="S367" s="38"/>
      <c r="T367" s="38"/>
      <c r="U367" s="38"/>
      <c r="V367" s="38"/>
      <c r="W367" s="38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35" t="s">
        <v>21</v>
      </c>
      <c r="B368" s="35" t="s">
        <v>39</v>
      </c>
      <c r="C368" s="35" t="s">
        <v>41</v>
      </c>
      <c r="D368" s="35" t="s">
        <v>51</v>
      </c>
      <c r="E368" s="35" t="s">
        <v>25</v>
      </c>
      <c r="F368" s="35" t="s">
        <v>25</v>
      </c>
      <c r="G368" s="35" t="s">
        <v>25</v>
      </c>
      <c r="H368" s="35" t="s">
        <v>35</v>
      </c>
      <c r="I368" s="45">
        <v>44501</v>
      </c>
      <c r="J368" s="46">
        <f>EFEITO!$J$368*EFEITO!$Y$368</f>
        <v>0</v>
      </c>
      <c r="K368" s="46">
        <f ca="1">EFEITO!$L$368*EFEITO!$Z$368</f>
        <v>617.50866979408966</v>
      </c>
      <c r="L368" s="46">
        <f>EFEITO!$N$368*EFEITO!$AA$368</f>
        <v>2958.7453107416513</v>
      </c>
      <c r="M368" s="46">
        <f>$J$368-EFEITO!$K$368*EFEITO!$Y$368</f>
        <v>0</v>
      </c>
      <c r="N368" s="46">
        <f ca="1">$K$368-EFEITO!$M$368*EFEITO!$Z$368</f>
        <v>0</v>
      </c>
      <c r="O368" s="46">
        <f>$L$368-EFEITO!$O$368*EFEITO!$AA$368</f>
        <v>0</v>
      </c>
      <c r="P368" s="38"/>
      <c r="Q368" s="38"/>
      <c r="R368" s="38"/>
      <c r="S368" s="38"/>
      <c r="T368" s="38"/>
      <c r="U368" s="38"/>
      <c r="V368" s="38"/>
      <c r="W368" s="38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35" t="s">
        <v>21</v>
      </c>
      <c r="B369" s="35" t="s">
        <v>39</v>
      </c>
      <c r="C369" s="35" t="s">
        <v>41</v>
      </c>
      <c r="D369" s="35" t="s">
        <v>51</v>
      </c>
      <c r="E369" s="35" t="s">
        <v>25</v>
      </c>
      <c r="F369" s="35" t="s">
        <v>25</v>
      </c>
      <c r="G369" s="35" t="s">
        <v>25</v>
      </c>
      <c r="H369" s="35" t="s">
        <v>35</v>
      </c>
      <c r="I369" s="45">
        <v>44531</v>
      </c>
      <c r="J369" s="46">
        <f>EFEITO!$J$369*EFEITO!$Y$369</f>
        <v>0</v>
      </c>
      <c r="K369" s="46">
        <f ca="1">EFEITO!$L$369*EFEITO!$Z$369</f>
        <v>663.41232161624157</v>
      </c>
      <c r="L369" s="46">
        <f>EFEITO!$N$369*EFEITO!$AA$369</f>
        <v>3178.6891288907927</v>
      </c>
      <c r="M369" s="46">
        <f>$J$369-EFEITO!$K$369*EFEITO!$Y$369</f>
        <v>0</v>
      </c>
      <c r="N369" s="46">
        <f ca="1">$K$369-EFEITO!$M$369*EFEITO!$Z$369</f>
        <v>0</v>
      </c>
      <c r="O369" s="46">
        <f>$L$369-EFEITO!$O$369*EFEITO!$AA$369</f>
        <v>0</v>
      </c>
      <c r="P369" s="38"/>
      <c r="Q369" s="38"/>
      <c r="R369" s="38"/>
      <c r="S369" s="38"/>
      <c r="T369" s="38"/>
      <c r="U369" s="38"/>
      <c r="V369" s="38"/>
      <c r="W369" s="38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35" t="s">
        <v>55</v>
      </c>
      <c r="B370" s="35" t="s">
        <v>39</v>
      </c>
      <c r="C370" s="35" t="s">
        <v>41</v>
      </c>
      <c r="D370" s="35" t="s">
        <v>51</v>
      </c>
      <c r="E370" s="35" t="s">
        <v>25</v>
      </c>
      <c r="F370" s="35" t="s">
        <v>25</v>
      </c>
      <c r="G370" s="35" t="s">
        <v>25</v>
      </c>
      <c r="H370" s="35" t="s">
        <v>35</v>
      </c>
      <c r="I370" s="45">
        <v>44562</v>
      </c>
      <c r="J370" s="46">
        <f>EFEITO!$J$370*EFEITO!$Y$370</f>
        <v>0</v>
      </c>
      <c r="K370" s="46">
        <f ca="1">EFEITO!$L$370*EFEITO!$Z$370</f>
        <v>663.41232161624157</v>
      </c>
      <c r="L370" s="46">
        <f>EFEITO!$N$370*EFEITO!$AA$370</f>
        <v>3178.6891288907927</v>
      </c>
      <c r="M370" s="46">
        <f>$J$370-EFEITO!$K$370*EFEITO!$Y$370</f>
        <v>0</v>
      </c>
      <c r="N370" s="46">
        <f ca="1">$K$370-EFEITO!$M$370*EFEITO!$Z$370</f>
        <v>0</v>
      </c>
      <c r="O370" s="46">
        <f>$L$370-EFEITO!$O$370*EFEITO!$AA$370</f>
        <v>0</v>
      </c>
      <c r="P370" s="38"/>
      <c r="Q370" s="38"/>
      <c r="R370" s="38"/>
      <c r="S370" s="38"/>
      <c r="T370" s="38"/>
      <c r="U370" s="38"/>
      <c r="V370" s="38"/>
      <c r="W370" s="38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35" t="s">
        <v>21</v>
      </c>
      <c r="B371" s="35" t="s">
        <v>39</v>
      </c>
      <c r="C371" s="35" t="s">
        <v>41</v>
      </c>
      <c r="D371" s="35" t="s">
        <v>51</v>
      </c>
      <c r="E371" s="35" t="s">
        <v>25</v>
      </c>
      <c r="F371" s="35" t="s">
        <v>25</v>
      </c>
      <c r="G371" s="35" t="s">
        <v>25</v>
      </c>
      <c r="H371" s="35" t="s">
        <v>25</v>
      </c>
      <c r="I371" s="45">
        <v>44228</v>
      </c>
      <c r="J371" s="46">
        <f ca="1">EFEITO!$J$371*EFEITO!$Y$371</f>
        <v>1089.2673966143557</v>
      </c>
      <c r="K371" s="46">
        <f>EFEITO!$L$371*EFEITO!$Z$371</f>
        <v>0</v>
      </c>
      <c r="L371" s="46">
        <f>EFEITO!$N$371*EFEITO!$AA$371</f>
        <v>0</v>
      </c>
      <c r="M371" s="46">
        <f ca="1">$J$371-EFEITO!$K$371*EFEITO!$Y$371</f>
        <v>0</v>
      </c>
      <c r="N371" s="46">
        <f>$K$371-EFEITO!$M$371*EFEITO!$Z$371</f>
        <v>0</v>
      </c>
      <c r="O371" s="46">
        <f>$L$371-EFEITO!$O$371*EFEITO!$AA$371</f>
        <v>0</v>
      </c>
      <c r="P371" s="38"/>
      <c r="Q371" s="38"/>
      <c r="R371" s="38"/>
      <c r="S371" s="38"/>
      <c r="T371" s="38"/>
      <c r="U371" s="38"/>
      <c r="V371" s="38"/>
      <c r="W371" s="38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35" t="s">
        <v>21</v>
      </c>
      <c r="B372" s="35" t="s">
        <v>39</v>
      </c>
      <c r="C372" s="35" t="s">
        <v>41</v>
      </c>
      <c r="D372" s="35" t="s">
        <v>51</v>
      </c>
      <c r="E372" s="35" t="s">
        <v>25</v>
      </c>
      <c r="F372" s="35" t="s">
        <v>25</v>
      </c>
      <c r="G372" s="35" t="s">
        <v>25</v>
      </c>
      <c r="H372" s="35" t="s">
        <v>25</v>
      </c>
      <c r="I372" s="45">
        <v>44256</v>
      </c>
      <c r="J372" s="46">
        <f ca="1">EFEITO!$J$372*EFEITO!$Y$372</f>
        <v>1089.2673966143557</v>
      </c>
      <c r="K372" s="46">
        <f>EFEITO!$L$372*EFEITO!$Z$372</f>
        <v>0</v>
      </c>
      <c r="L372" s="46">
        <f>EFEITO!$N$372*EFEITO!$AA$372</f>
        <v>0</v>
      </c>
      <c r="M372" s="46">
        <f ca="1">$J$372-EFEITO!$K$372*EFEITO!$Y$372</f>
        <v>0</v>
      </c>
      <c r="N372" s="46">
        <f>$K$372-EFEITO!$M$372*EFEITO!$Z$372</f>
        <v>0</v>
      </c>
      <c r="O372" s="46">
        <f>$L$372-EFEITO!$O$372*EFEITO!$AA$372</f>
        <v>0</v>
      </c>
      <c r="P372" s="38"/>
      <c r="Q372" s="38"/>
      <c r="R372" s="38"/>
      <c r="S372" s="38"/>
      <c r="T372" s="38"/>
      <c r="U372" s="38"/>
      <c r="V372" s="38"/>
      <c r="W372" s="38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35" t="s">
        <v>21</v>
      </c>
      <c r="B373" s="35" t="s">
        <v>39</v>
      </c>
      <c r="C373" s="35" t="s">
        <v>41</v>
      </c>
      <c r="D373" s="35" t="s">
        <v>51</v>
      </c>
      <c r="E373" s="35" t="s">
        <v>25</v>
      </c>
      <c r="F373" s="35" t="s">
        <v>25</v>
      </c>
      <c r="G373" s="35" t="s">
        <v>25</v>
      </c>
      <c r="H373" s="35" t="s">
        <v>25</v>
      </c>
      <c r="I373" s="45">
        <v>44287</v>
      </c>
      <c r="J373" s="46">
        <f ca="1">EFEITO!$J$373*EFEITO!$Y$373</f>
        <v>1089.2673966143557</v>
      </c>
      <c r="K373" s="46">
        <f>EFEITO!$L$373*EFEITO!$Z$373</f>
        <v>0</v>
      </c>
      <c r="L373" s="46">
        <f>EFEITO!$N$373*EFEITO!$AA$373</f>
        <v>0</v>
      </c>
      <c r="M373" s="46">
        <f ca="1">$J$373-EFEITO!$K$373*EFEITO!$Y$373</f>
        <v>0</v>
      </c>
      <c r="N373" s="46">
        <f>$K$373-EFEITO!$M$373*EFEITO!$Z$373</f>
        <v>0</v>
      </c>
      <c r="O373" s="46">
        <f>$L$373-EFEITO!$O$373*EFEITO!$AA$373</f>
        <v>0</v>
      </c>
      <c r="P373" s="38"/>
      <c r="Q373" s="38"/>
      <c r="R373" s="38"/>
      <c r="S373" s="38"/>
      <c r="T373" s="38"/>
      <c r="U373" s="38"/>
      <c r="V373" s="38"/>
      <c r="W373" s="38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35" t="s">
        <v>21</v>
      </c>
      <c r="B374" s="35" t="s">
        <v>39</v>
      </c>
      <c r="C374" s="35" t="s">
        <v>41</v>
      </c>
      <c r="D374" s="35" t="s">
        <v>51</v>
      </c>
      <c r="E374" s="35" t="s">
        <v>25</v>
      </c>
      <c r="F374" s="35" t="s">
        <v>25</v>
      </c>
      <c r="G374" s="35" t="s">
        <v>25</v>
      </c>
      <c r="H374" s="35" t="s">
        <v>25</v>
      </c>
      <c r="I374" s="45">
        <v>44317</v>
      </c>
      <c r="J374" s="46">
        <f ca="1">EFEITO!$J$374*EFEITO!$Y$374</f>
        <v>1089.2673966143557</v>
      </c>
      <c r="K374" s="46">
        <f>EFEITO!$L$374*EFEITO!$Z$374</f>
        <v>0</v>
      </c>
      <c r="L374" s="46">
        <f>EFEITO!$N$374*EFEITO!$AA$374</f>
        <v>0</v>
      </c>
      <c r="M374" s="46">
        <f ca="1">$J$374-EFEITO!$K$374*EFEITO!$Y$374</f>
        <v>0</v>
      </c>
      <c r="N374" s="46">
        <f>$K$374-EFEITO!$M$374*EFEITO!$Z$374</f>
        <v>0</v>
      </c>
      <c r="O374" s="46">
        <f>$L$374-EFEITO!$O$374*EFEITO!$AA$374</f>
        <v>0</v>
      </c>
      <c r="P374" s="38"/>
      <c r="Q374" s="38"/>
      <c r="R374" s="38"/>
      <c r="S374" s="38"/>
      <c r="T374" s="38"/>
      <c r="U374" s="38"/>
      <c r="V374" s="38"/>
      <c r="W374" s="38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35" t="s">
        <v>21</v>
      </c>
      <c r="B375" s="35" t="s">
        <v>39</v>
      </c>
      <c r="C375" s="35" t="s">
        <v>41</v>
      </c>
      <c r="D375" s="35" t="s">
        <v>51</v>
      </c>
      <c r="E375" s="35" t="s">
        <v>25</v>
      </c>
      <c r="F375" s="35" t="s">
        <v>25</v>
      </c>
      <c r="G375" s="35" t="s">
        <v>25</v>
      </c>
      <c r="H375" s="35" t="s">
        <v>25</v>
      </c>
      <c r="I375" s="45">
        <v>44348</v>
      </c>
      <c r="J375" s="46">
        <f ca="1">EFEITO!$J$375*EFEITO!$Y$375</f>
        <v>1089.2673966143557</v>
      </c>
      <c r="K375" s="46">
        <f>EFEITO!$L$375*EFEITO!$Z$375</f>
        <v>0</v>
      </c>
      <c r="L375" s="46">
        <f>EFEITO!$N$375*EFEITO!$AA$375</f>
        <v>0</v>
      </c>
      <c r="M375" s="46">
        <f ca="1">$J$375-EFEITO!$K$375*EFEITO!$Y$375</f>
        <v>0</v>
      </c>
      <c r="N375" s="46">
        <f>$K$375-EFEITO!$M$375*EFEITO!$Z$375</f>
        <v>0</v>
      </c>
      <c r="O375" s="46">
        <f>$L$375-EFEITO!$O$375*EFEITO!$AA$375</f>
        <v>0</v>
      </c>
      <c r="P375" s="38"/>
      <c r="Q375" s="38"/>
      <c r="R375" s="38"/>
      <c r="S375" s="38"/>
      <c r="T375" s="38"/>
      <c r="U375" s="38"/>
      <c r="V375" s="38"/>
      <c r="W375" s="38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35" t="s">
        <v>21</v>
      </c>
      <c r="B376" s="35" t="s">
        <v>39</v>
      </c>
      <c r="C376" s="35" t="s">
        <v>41</v>
      </c>
      <c r="D376" s="35" t="s">
        <v>51</v>
      </c>
      <c r="E376" s="35" t="s">
        <v>25</v>
      </c>
      <c r="F376" s="35" t="s">
        <v>25</v>
      </c>
      <c r="G376" s="35" t="s">
        <v>25</v>
      </c>
      <c r="H376" s="35" t="s">
        <v>25</v>
      </c>
      <c r="I376" s="45">
        <v>44378</v>
      </c>
      <c r="J376" s="46">
        <f ca="1">EFEITO!$J$376*EFEITO!$Y$376</f>
        <v>1089.2673966143557</v>
      </c>
      <c r="K376" s="46">
        <f>EFEITO!$L$376*EFEITO!$Z$376</f>
        <v>0</v>
      </c>
      <c r="L376" s="46">
        <f>EFEITO!$N$376*EFEITO!$AA$376</f>
        <v>0</v>
      </c>
      <c r="M376" s="46">
        <f ca="1">$J$376-EFEITO!$K$376*EFEITO!$Y$376</f>
        <v>0</v>
      </c>
      <c r="N376" s="46">
        <f>$K$376-EFEITO!$M$376*EFEITO!$Z$376</f>
        <v>0</v>
      </c>
      <c r="O376" s="46">
        <f>$L$376-EFEITO!$O$376*EFEITO!$AA$376</f>
        <v>0</v>
      </c>
      <c r="P376" s="38"/>
      <c r="Q376" s="38"/>
      <c r="R376" s="38"/>
      <c r="S376" s="38"/>
      <c r="T376" s="38"/>
      <c r="U376" s="38"/>
      <c r="V376" s="38"/>
      <c r="W376" s="38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35" t="s">
        <v>21</v>
      </c>
      <c r="B377" s="35" t="s">
        <v>39</v>
      </c>
      <c r="C377" s="35" t="s">
        <v>41</v>
      </c>
      <c r="D377" s="35" t="s">
        <v>51</v>
      </c>
      <c r="E377" s="35" t="s">
        <v>25</v>
      </c>
      <c r="F377" s="35" t="s">
        <v>25</v>
      </c>
      <c r="G377" s="35" t="s">
        <v>25</v>
      </c>
      <c r="H377" s="35" t="s">
        <v>25</v>
      </c>
      <c r="I377" s="45">
        <v>44409</v>
      </c>
      <c r="J377" s="46">
        <f ca="1">EFEITO!$J$377*EFEITO!$Y$377</f>
        <v>1107.1242391818041</v>
      </c>
      <c r="K377" s="46">
        <f>EFEITO!$L$377*EFEITO!$Z$377</f>
        <v>0</v>
      </c>
      <c r="L377" s="46">
        <f>EFEITO!$N$377*EFEITO!$AA$377</f>
        <v>0</v>
      </c>
      <c r="M377" s="46">
        <f ca="1">$J$377-EFEITO!$K$377*EFEITO!$Y$377</f>
        <v>0</v>
      </c>
      <c r="N377" s="46">
        <f>$K$377-EFEITO!$M$377*EFEITO!$Z$377</f>
        <v>0</v>
      </c>
      <c r="O377" s="46">
        <f>$L$377-EFEITO!$O$377*EFEITO!$AA$377</f>
        <v>0</v>
      </c>
      <c r="P377" s="38"/>
      <c r="Q377" s="38"/>
      <c r="R377" s="38"/>
      <c r="S377" s="38"/>
      <c r="T377" s="38"/>
      <c r="U377" s="38"/>
      <c r="V377" s="38"/>
      <c r="W377" s="38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35" t="s">
        <v>21</v>
      </c>
      <c r="B378" s="35" t="s">
        <v>39</v>
      </c>
      <c r="C378" s="35" t="s">
        <v>41</v>
      </c>
      <c r="D378" s="35" t="s">
        <v>51</v>
      </c>
      <c r="E378" s="35" t="s">
        <v>25</v>
      </c>
      <c r="F378" s="35" t="s">
        <v>25</v>
      </c>
      <c r="G378" s="35" t="s">
        <v>25</v>
      </c>
      <c r="H378" s="35" t="s">
        <v>25</v>
      </c>
      <c r="I378" s="45">
        <v>44440</v>
      </c>
      <c r="J378" s="46">
        <f ca="1">EFEITO!$J$378*EFEITO!$Y$378</f>
        <v>1089.2673966143557</v>
      </c>
      <c r="K378" s="46">
        <f>EFEITO!$L$378*EFEITO!$Z$378</f>
        <v>0</v>
      </c>
      <c r="L378" s="46">
        <f>EFEITO!$N$378*EFEITO!$AA$378</f>
        <v>0</v>
      </c>
      <c r="M378" s="46">
        <f ca="1">$J$378-EFEITO!$K$378*EFEITO!$Y$378</f>
        <v>0</v>
      </c>
      <c r="N378" s="46">
        <f>$K$378-EFEITO!$M$378*EFEITO!$Z$378</f>
        <v>0</v>
      </c>
      <c r="O378" s="46">
        <f>$L$378-EFEITO!$O$378*EFEITO!$AA$378</f>
        <v>0</v>
      </c>
      <c r="P378" s="38"/>
      <c r="Q378" s="38"/>
      <c r="R378" s="38"/>
      <c r="S378" s="38"/>
      <c r="T378" s="38"/>
      <c r="U378" s="38"/>
      <c r="V378" s="38"/>
      <c r="W378" s="38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35" t="s">
        <v>21</v>
      </c>
      <c r="B379" s="35" t="s">
        <v>39</v>
      </c>
      <c r="C379" s="35" t="s">
        <v>41</v>
      </c>
      <c r="D379" s="35" t="s">
        <v>51</v>
      </c>
      <c r="E379" s="35" t="s">
        <v>25</v>
      </c>
      <c r="F379" s="35" t="s">
        <v>25</v>
      </c>
      <c r="G379" s="35" t="s">
        <v>25</v>
      </c>
      <c r="H379" s="35" t="s">
        <v>25</v>
      </c>
      <c r="I379" s="45">
        <v>44470</v>
      </c>
      <c r="J379" s="46">
        <f ca="1">EFEITO!$J$379*EFEITO!$Y$379</f>
        <v>1089.2673966143557</v>
      </c>
      <c r="K379" s="46">
        <f>EFEITO!$L$379*EFEITO!$Z$379</f>
        <v>0</v>
      </c>
      <c r="L379" s="46">
        <f>EFEITO!$N$379*EFEITO!$AA$379</f>
        <v>0</v>
      </c>
      <c r="M379" s="46">
        <f ca="1">$J$379-EFEITO!$K$379*EFEITO!$Y$379</f>
        <v>0</v>
      </c>
      <c r="N379" s="46">
        <f>$K$379-EFEITO!$M$379*EFEITO!$Z$379</f>
        <v>0</v>
      </c>
      <c r="O379" s="46">
        <f>$L$379-EFEITO!$O$379*EFEITO!$AA$379</f>
        <v>0</v>
      </c>
      <c r="P379" s="38"/>
      <c r="Q379" s="38"/>
      <c r="R379" s="38"/>
      <c r="S379" s="38"/>
      <c r="T379" s="38"/>
      <c r="U379" s="38"/>
      <c r="V379" s="38"/>
      <c r="W379" s="38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35" t="s">
        <v>21</v>
      </c>
      <c r="B380" s="35" t="s">
        <v>39</v>
      </c>
      <c r="C380" s="35" t="s">
        <v>41</v>
      </c>
      <c r="D380" s="35" t="s">
        <v>51</v>
      </c>
      <c r="E380" s="35" t="s">
        <v>25</v>
      </c>
      <c r="F380" s="35" t="s">
        <v>25</v>
      </c>
      <c r="G380" s="35" t="s">
        <v>25</v>
      </c>
      <c r="H380" s="35" t="s">
        <v>25</v>
      </c>
      <c r="I380" s="45">
        <v>44501</v>
      </c>
      <c r="J380" s="46">
        <f ca="1">EFEITO!$J$380*EFEITO!$Y$380</f>
        <v>1089.2673966143557</v>
      </c>
      <c r="K380" s="46">
        <f>EFEITO!$L$380*EFEITO!$Z$380</f>
        <v>0</v>
      </c>
      <c r="L380" s="46">
        <f>EFEITO!$N$380*EFEITO!$AA$380</f>
        <v>0</v>
      </c>
      <c r="M380" s="46">
        <f ca="1">$J$380-EFEITO!$K$380*EFEITO!$Y$380</f>
        <v>0</v>
      </c>
      <c r="N380" s="46">
        <f>$K$380-EFEITO!$M$380*EFEITO!$Z$380</f>
        <v>0</v>
      </c>
      <c r="O380" s="46">
        <f>$L$380-EFEITO!$O$380*EFEITO!$AA$380</f>
        <v>0</v>
      </c>
      <c r="P380" s="38"/>
      <c r="Q380" s="38"/>
      <c r="R380" s="38"/>
      <c r="S380" s="38"/>
      <c r="T380" s="38"/>
      <c r="U380" s="38"/>
      <c r="V380" s="38"/>
      <c r="W380" s="38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35" t="s">
        <v>21</v>
      </c>
      <c r="B381" s="35" t="s">
        <v>39</v>
      </c>
      <c r="C381" s="35" t="s">
        <v>41</v>
      </c>
      <c r="D381" s="35" t="s">
        <v>51</v>
      </c>
      <c r="E381" s="35" t="s">
        <v>25</v>
      </c>
      <c r="F381" s="35" t="s">
        <v>25</v>
      </c>
      <c r="G381" s="35" t="s">
        <v>25</v>
      </c>
      <c r="H381" s="35" t="s">
        <v>25</v>
      </c>
      <c r="I381" s="45">
        <v>44531</v>
      </c>
      <c r="J381" s="46">
        <f ca="1">EFEITO!$J$381*EFEITO!$Y$381</f>
        <v>1089.2673966143557</v>
      </c>
      <c r="K381" s="46">
        <f>EFEITO!$L$381*EFEITO!$Z$381</f>
        <v>0</v>
      </c>
      <c r="L381" s="46">
        <f>EFEITO!$N$381*EFEITO!$AA$381</f>
        <v>0</v>
      </c>
      <c r="M381" s="46">
        <f ca="1">$J$381-EFEITO!$K$381*EFEITO!$Y$381</f>
        <v>0</v>
      </c>
      <c r="N381" s="46">
        <f>$K$381-EFEITO!$M$381*EFEITO!$Z$381</f>
        <v>0</v>
      </c>
      <c r="O381" s="46">
        <f>$L$381-EFEITO!$O$381*EFEITO!$AA$381</f>
        <v>0</v>
      </c>
      <c r="P381" s="38"/>
      <c r="Q381" s="38"/>
      <c r="R381" s="38"/>
      <c r="S381" s="38"/>
      <c r="T381" s="38"/>
      <c r="U381" s="38"/>
      <c r="V381" s="38"/>
      <c r="W381" s="38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35" t="s">
        <v>55</v>
      </c>
      <c r="B382" s="35" t="s">
        <v>39</v>
      </c>
      <c r="C382" s="35" t="s">
        <v>41</v>
      </c>
      <c r="D382" s="35" t="s">
        <v>51</v>
      </c>
      <c r="E382" s="35" t="s">
        <v>25</v>
      </c>
      <c r="F382" s="35" t="s">
        <v>25</v>
      </c>
      <c r="G382" s="35" t="s">
        <v>25</v>
      </c>
      <c r="H382" s="35" t="s">
        <v>25</v>
      </c>
      <c r="I382" s="45">
        <v>44562</v>
      </c>
      <c r="J382" s="46">
        <f ca="1">EFEITO!$J$382*EFEITO!$Y$382</f>
        <v>1089.2673966143557</v>
      </c>
      <c r="K382" s="46">
        <f>EFEITO!$L$382*EFEITO!$Z$382</f>
        <v>0</v>
      </c>
      <c r="L382" s="46">
        <f>EFEITO!$N$382*EFEITO!$AA$382</f>
        <v>0</v>
      </c>
      <c r="M382" s="46">
        <f ca="1">$J$382-EFEITO!$K$382*EFEITO!$Y$382</f>
        <v>0</v>
      </c>
      <c r="N382" s="46">
        <f>$K$382-EFEITO!$M$382*EFEITO!$Z$382</f>
        <v>0</v>
      </c>
      <c r="O382" s="46">
        <f>$L$382-EFEITO!$O$382*EFEITO!$AA$382</f>
        <v>0</v>
      </c>
      <c r="P382" s="38"/>
      <c r="Q382" s="38"/>
      <c r="R382" s="38"/>
      <c r="S382" s="38"/>
      <c r="T382" s="38"/>
      <c r="U382" s="38"/>
      <c r="V382" s="38"/>
      <c r="W382" s="38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35" t="s">
        <v>21</v>
      </c>
      <c r="B383" s="35" t="s">
        <v>39</v>
      </c>
      <c r="C383" s="35" t="s">
        <v>41</v>
      </c>
      <c r="D383" s="35" t="s">
        <v>51</v>
      </c>
      <c r="E383" s="35" t="s">
        <v>25</v>
      </c>
      <c r="F383" s="35" t="s">
        <v>25</v>
      </c>
      <c r="G383" s="35" t="s">
        <v>25</v>
      </c>
      <c r="H383" s="35" t="s">
        <v>34</v>
      </c>
      <c r="I383" s="45">
        <v>44228</v>
      </c>
      <c r="J383" s="46">
        <f>EFEITO!$J$383*EFEITO!$Y$383</f>
        <v>0</v>
      </c>
      <c r="K383" s="46">
        <f ca="1">EFEITO!$L$383*EFEITO!$Z$383</f>
        <v>1475.9760546402933</v>
      </c>
      <c r="L383" s="46">
        <f>EFEITO!$N$383*EFEITO!$AA$383</f>
        <v>612.50478491873309</v>
      </c>
      <c r="M383" s="46">
        <f>$J$383-EFEITO!$K$383*EFEITO!$Y$383</f>
        <v>0</v>
      </c>
      <c r="N383" s="46">
        <f ca="1">$K$383-EFEITO!$M$383*EFEITO!$Z$383</f>
        <v>0</v>
      </c>
      <c r="O383" s="46">
        <f>$L$383-EFEITO!$O$383*EFEITO!$AA$383</f>
        <v>0</v>
      </c>
      <c r="P383" s="38"/>
      <c r="Q383" s="38"/>
      <c r="R383" s="38"/>
      <c r="S383" s="38"/>
      <c r="T383" s="38"/>
      <c r="U383" s="38"/>
      <c r="V383" s="38"/>
      <c r="W383" s="38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35" t="s">
        <v>21</v>
      </c>
      <c r="B384" s="35" t="s">
        <v>39</v>
      </c>
      <c r="C384" s="35" t="s">
        <v>41</v>
      </c>
      <c r="D384" s="35" t="s">
        <v>51</v>
      </c>
      <c r="E384" s="35" t="s">
        <v>25</v>
      </c>
      <c r="F384" s="35" t="s">
        <v>25</v>
      </c>
      <c r="G384" s="35" t="s">
        <v>25</v>
      </c>
      <c r="H384" s="35" t="s">
        <v>34</v>
      </c>
      <c r="I384" s="45">
        <v>44256</v>
      </c>
      <c r="J384" s="46">
        <f>EFEITO!$J$384*EFEITO!$Y$384</f>
        <v>0</v>
      </c>
      <c r="K384" s="46">
        <f ca="1">EFEITO!$L$384*EFEITO!$Z$384</f>
        <v>1475.9760546402933</v>
      </c>
      <c r="L384" s="46">
        <f>EFEITO!$N$384*EFEITO!$AA$384</f>
        <v>612.50478491873309</v>
      </c>
      <c r="M384" s="46">
        <f>$J$384-EFEITO!$K$384*EFEITO!$Y$384</f>
        <v>0</v>
      </c>
      <c r="N384" s="46">
        <f ca="1">$K$384-EFEITO!$M$384*EFEITO!$Z$384</f>
        <v>0</v>
      </c>
      <c r="O384" s="46">
        <f>$L$384-EFEITO!$O$384*EFEITO!$AA$384</f>
        <v>0</v>
      </c>
      <c r="P384" s="38"/>
      <c r="Q384" s="38"/>
      <c r="R384" s="38"/>
      <c r="S384" s="38"/>
      <c r="T384" s="38"/>
      <c r="U384" s="38"/>
      <c r="V384" s="38"/>
      <c r="W384" s="38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35" t="s">
        <v>21</v>
      </c>
      <c r="B385" s="35" t="s">
        <v>39</v>
      </c>
      <c r="C385" s="35" t="s">
        <v>41</v>
      </c>
      <c r="D385" s="35" t="s">
        <v>51</v>
      </c>
      <c r="E385" s="35" t="s">
        <v>25</v>
      </c>
      <c r="F385" s="35" t="s">
        <v>25</v>
      </c>
      <c r="G385" s="35" t="s">
        <v>25</v>
      </c>
      <c r="H385" s="35" t="s">
        <v>34</v>
      </c>
      <c r="I385" s="45">
        <v>44287</v>
      </c>
      <c r="J385" s="46">
        <f>EFEITO!$J$385*EFEITO!$Y$385</f>
        <v>0</v>
      </c>
      <c r="K385" s="46">
        <f ca="1">EFEITO!$L$385*EFEITO!$Z$385</f>
        <v>1428.6036324963948</v>
      </c>
      <c r="L385" s="46">
        <f>EFEITO!$N$385*EFEITO!$AA$385</f>
        <v>592.84604103524953</v>
      </c>
      <c r="M385" s="46">
        <f>$J$385-EFEITO!$K$385*EFEITO!$Y$385</f>
        <v>0</v>
      </c>
      <c r="N385" s="46">
        <f ca="1">$K$385-EFEITO!$M$385*EFEITO!$Z$385</f>
        <v>0</v>
      </c>
      <c r="O385" s="46">
        <f>$L$385-EFEITO!$O$385*EFEITO!$AA$385</f>
        <v>0</v>
      </c>
      <c r="P385" s="38"/>
      <c r="Q385" s="38"/>
      <c r="R385" s="38"/>
      <c r="S385" s="38"/>
      <c r="T385" s="38"/>
      <c r="U385" s="38"/>
      <c r="V385" s="38"/>
      <c r="W385" s="38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35" t="s">
        <v>21</v>
      </c>
      <c r="B386" s="35" t="s">
        <v>39</v>
      </c>
      <c r="C386" s="35" t="s">
        <v>41</v>
      </c>
      <c r="D386" s="35" t="s">
        <v>51</v>
      </c>
      <c r="E386" s="35" t="s">
        <v>25</v>
      </c>
      <c r="F386" s="35" t="s">
        <v>25</v>
      </c>
      <c r="G386" s="35" t="s">
        <v>25</v>
      </c>
      <c r="H386" s="35" t="s">
        <v>34</v>
      </c>
      <c r="I386" s="45">
        <v>44317</v>
      </c>
      <c r="J386" s="46">
        <f>EFEITO!$J$386*EFEITO!$Y$386</f>
        <v>0</v>
      </c>
      <c r="K386" s="46">
        <f ca="1">EFEITO!$L$386*EFEITO!$Z$386</f>
        <v>1619.0221920944189</v>
      </c>
      <c r="L386" s="46">
        <f>EFEITO!$N$386*EFEITO!$AA$386</f>
        <v>671.86648213552655</v>
      </c>
      <c r="M386" s="46">
        <f>$J$386-EFEITO!$K$386*EFEITO!$Y$386</f>
        <v>0</v>
      </c>
      <c r="N386" s="46">
        <f ca="1">$K$386-EFEITO!$M$386*EFEITO!$Z$386</f>
        <v>0</v>
      </c>
      <c r="O386" s="46">
        <f>$L$386-EFEITO!$O$386*EFEITO!$AA$386</f>
        <v>0</v>
      </c>
      <c r="P386" s="38"/>
      <c r="Q386" s="38"/>
      <c r="R386" s="38"/>
      <c r="S386" s="38"/>
      <c r="T386" s="38"/>
      <c r="U386" s="38"/>
      <c r="V386" s="38"/>
      <c r="W386" s="38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35" t="s">
        <v>21</v>
      </c>
      <c r="B387" s="35" t="s">
        <v>39</v>
      </c>
      <c r="C387" s="35" t="s">
        <v>41</v>
      </c>
      <c r="D387" s="35" t="s">
        <v>51</v>
      </c>
      <c r="E387" s="35" t="s">
        <v>25</v>
      </c>
      <c r="F387" s="35" t="s">
        <v>25</v>
      </c>
      <c r="G387" s="35" t="s">
        <v>25</v>
      </c>
      <c r="H387" s="35" t="s">
        <v>34</v>
      </c>
      <c r="I387" s="45">
        <v>44348</v>
      </c>
      <c r="J387" s="46">
        <f>EFEITO!$J$387*EFEITO!$Y$387</f>
        <v>0</v>
      </c>
      <c r="K387" s="46">
        <f ca="1">EFEITO!$L$387*EFEITO!$Z$387</f>
        <v>1142.5113575881442</v>
      </c>
      <c r="L387" s="46">
        <f>EFEITO!$N$387*EFEITO!$AA$387</f>
        <v>474.12264660166244</v>
      </c>
      <c r="M387" s="46">
        <f>$J$387-EFEITO!$K$387*EFEITO!$Y$387</f>
        <v>0</v>
      </c>
      <c r="N387" s="46">
        <f ca="1">$K$387-EFEITO!$M$387*EFEITO!$Z$387</f>
        <v>0</v>
      </c>
      <c r="O387" s="46">
        <f>$L$387-EFEITO!$O$387*EFEITO!$AA$387</f>
        <v>0</v>
      </c>
      <c r="P387" s="38"/>
      <c r="Q387" s="38"/>
      <c r="R387" s="38"/>
      <c r="S387" s="38"/>
      <c r="T387" s="38"/>
      <c r="U387" s="38"/>
      <c r="V387" s="38"/>
      <c r="W387" s="38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35" t="s">
        <v>21</v>
      </c>
      <c r="B388" s="35" t="s">
        <v>39</v>
      </c>
      <c r="C388" s="35" t="s">
        <v>41</v>
      </c>
      <c r="D388" s="35" t="s">
        <v>51</v>
      </c>
      <c r="E388" s="35" t="s">
        <v>25</v>
      </c>
      <c r="F388" s="35" t="s">
        <v>25</v>
      </c>
      <c r="G388" s="35" t="s">
        <v>25</v>
      </c>
      <c r="H388" s="35" t="s">
        <v>34</v>
      </c>
      <c r="I388" s="45">
        <v>44378</v>
      </c>
      <c r="J388" s="46">
        <f>EFEITO!$J$388*EFEITO!$Y$388</f>
        <v>0</v>
      </c>
      <c r="K388" s="46">
        <f ca="1">EFEITO!$L$388*EFEITO!$Z$388</f>
        <v>1238.1850728983707</v>
      </c>
      <c r="L388" s="46">
        <f>EFEITO!$N$388*EFEITO!$AA$388</f>
        <v>513.82559993497239</v>
      </c>
      <c r="M388" s="46">
        <f>$J$388-EFEITO!$K$388*EFEITO!$Y$388</f>
        <v>0</v>
      </c>
      <c r="N388" s="46">
        <f ca="1">$K$388-EFEITO!$M$388*EFEITO!$Z$388</f>
        <v>0</v>
      </c>
      <c r="O388" s="46">
        <f>$L$388-EFEITO!$O$388*EFEITO!$AA$388</f>
        <v>0</v>
      </c>
      <c r="P388" s="38"/>
      <c r="Q388" s="38"/>
      <c r="R388" s="38"/>
      <c r="S388" s="38"/>
      <c r="T388" s="38"/>
      <c r="U388" s="38"/>
      <c r="V388" s="38"/>
      <c r="W388" s="38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35" t="s">
        <v>21</v>
      </c>
      <c r="B389" s="35" t="s">
        <v>39</v>
      </c>
      <c r="C389" s="35" t="s">
        <v>41</v>
      </c>
      <c r="D389" s="35" t="s">
        <v>51</v>
      </c>
      <c r="E389" s="35" t="s">
        <v>25</v>
      </c>
      <c r="F389" s="35" t="s">
        <v>25</v>
      </c>
      <c r="G389" s="35" t="s">
        <v>25</v>
      </c>
      <c r="H389" s="35" t="s">
        <v>34</v>
      </c>
      <c r="I389" s="45">
        <v>44409</v>
      </c>
      <c r="J389" s="46">
        <f>EFEITO!$J$389*EFEITO!$Y$389</f>
        <v>0</v>
      </c>
      <c r="K389" s="46">
        <f ca="1">EFEITO!$L$389*EFEITO!$Z$389</f>
        <v>1285.5574950422695</v>
      </c>
      <c r="L389" s="46">
        <f>EFEITO!$N$389*EFEITO!$AA$389</f>
        <v>533.48434381845595</v>
      </c>
      <c r="M389" s="46">
        <f>$J$389-EFEITO!$K$389*EFEITO!$Y$389</f>
        <v>0</v>
      </c>
      <c r="N389" s="46">
        <f ca="1">$K$389-EFEITO!$M$389*EFEITO!$Z$389</f>
        <v>0</v>
      </c>
      <c r="O389" s="46">
        <f>$L$389-EFEITO!$O$389*EFEITO!$AA$389</f>
        <v>0</v>
      </c>
      <c r="P389" s="38"/>
      <c r="Q389" s="38"/>
      <c r="R389" s="38"/>
      <c r="S389" s="38"/>
      <c r="T389" s="38"/>
      <c r="U389" s="38"/>
      <c r="V389" s="38"/>
      <c r="W389" s="38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35" t="s">
        <v>21</v>
      </c>
      <c r="B390" s="35" t="s">
        <v>39</v>
      </c>
      <c r="C390" s="35" t="s">
        <v>41</v>
      </c>
      <c r="D390" s="35" t="s">
        <v>51</v>
      </c>
      <c r="E390" s="35" t="s">
        <v>25</v>
      </c>
      <c r="F390" s="35" t="s">
        <v>25</v>
      </c>
      <c r="G390" s="35" t="s">
        <v>25</v>
      </c>
      <c r="H390" s="35" t="s">
        <v>34</v>
      </c>
      <c r="I390" s="45">
        <v>44440</v>
      </c>
      <c r="J390" s="46">
        <f>EFEITO!$J$390*EFEITO!$Y$390</f>
        <v>0</v>
      </c>
      <c r="K390" s="46">
        <f ca="1">EFEITO!$L$390*EFEITO!$Z$390</f>
        <v>1095.1389354442456</v>
      </c>
      <c r="L390" s="46">
        <f>EFEITO!$N$390*EFEITO!$AA$390</f>
        <v>454.46390271817893</v>
      </c>
      <c r="M390" s="46">
        <f>$J$390-EFEITO!$K$390*EFEITO!$Y$390</f>
        <v>0</v>
      </c>
      <c r="N390" s="46">
        <f ca="1">$K$390-EFEITO!$M$390*EFEITO!$Z$390</f>
        <v>0</v>
      </c>
      <c r="O390" s="46">
        <f>$L$390-EFEITO!$O$390*EFEITO!$AA$390</f>
        <v>0</v>
      </c>
      <c r="P390" s="38"/>
      <c r="Q390" s="38"/>
      <c r="R390" s="38"/>
      <c r="S390" s="38"/>
      <c r="T390" s="38"/>
      <c r="U390" s="38"/>
      <c r="V390" s="38"/>
      <c r="W390" s="38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35" t="s">
        <v>21</v>
      </c>
      <c r="B391" s="35" t="s">
        <v>39</v>
      </c>
      <c r="C391" s="35" t="s">
        <v>41</v>
      </c>
      <c r="D391" s="35" t="s">
        <v>51</v>
      </c>
      <c r="E391" s="35" t="s">
        <v>25</v>
      </c>
      <c r="F391" s="35" t="s">
        <v>25</v>
      </c>
      <c r="G391" s="35" t="s">
        <v>25</v>
      </c>
      <c r="H391" s="35" t="s">
        <v>34</v>
      </c>
      <c r="I391" s="45">
        <v>44470</v>
      </c>
      <c r="J391" s="46">
        <f>EFEITO!$J$391*EFEITO!$Y$391</f>
        <v>0</v>
      </c>
      <c r="K391" s="46">
        <f ca="1">EFEITO!$L$391*EFEITO!$Z$391</f>
        <v>1189.8837797320427</v>
      </c>
      <c r="L391" s="46">
        <f>EFEITO!$N$391*EFEITO!$AA$391</f>
        <v>493.78139048514601</v>
      </c>
      <c r="M391" s="46">
        <f>$J$391-EFEITO!$K$391*EFEITO!$Y$391</f>
        <v>0</v>
      </c>
      <c r="N391" s="46">
        <f ca="1">$K$391-EFEITO!$M$391*EFEITO!$Z$391</f>
        <v>0</v>
      </c>
      <c r="O391" s="46">
        <f>$L$391-EFEITO!$O$391*EFEITO!$AA$391</f>
        <v>0</v>
      </c>
      <c r="P391" s="38"/>
      <c r="Q391" s="38"/>
      <c r="R391" s="38"/>
      <c r="S391" s="38"/>
      <c r="T391" s="38"/>
      <c r="U391" s="38"/>
      <c r="V391" s="38"/>
      <c r="W391" s="38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35" t="s">
        <v>21</v>
      </c>
      <c r="B392" s="35" t="s">
        <v>39</v>
      </c>
      <c r="C392" s="35" t="s">
        <v>41</v>
      </c>
      <c r="D392" s="35" t="s">
        <v>51</v>
      </c>
      <c r="E392" s="35" t="s">
        <v>25</v>
      </c>
      <c r="F392" s="35" t="s">
        <v>25</v>
      </c>
      <c r="G392" s="35" t="s">
        <v>25</v>
      </c>
      <c r="H392" s="35" t="s">
        <v>34</v>
      </c>
      <c r="I392" s="45">
        <v>44501</v>
      </c>
      <c r="J392" s="46">
        <f>EFEITO!$J$392*EFEITO!$Y$392</f>
        <v>0</v>
      </c>
      <c r="K392" s="46">
        <f ca="1">EFEITO!$L$392*EFEITO!$Z$392</f>
        <v>1047.7665133003468</v>
      </c>
      <c r="L392" s="46">
        <f>EFEITO!$N$392*EFEITO!$AA$392</f>
        <v>434.80515883469531</v>
      </c>
      <c r="M392" s="46">
        <f>$J$392-EFEITO!$K$392*EFEITO!$Y$392</f>
        <v>0</v>
      </c>
      <c r="N392" s="46">
        <f ca="1">$K$392-EFEITO!$M$392*EFEITO!$Z$392</f>
        <v>0</v>
      </c>
      <c r="O392" s="46">
        <f>$L$392-EFEITO!$O$392*EFEITO!$AA$392</f>
        <v>0</v>
      </c>
      <c r="P392" s="38"/>
      <c r="Q392" s="38"/>
      <c r="R392" s="38"/>
      <c r="S392" s="38"/>
      <c r="T392" s="38"/>
      <c r="U392" s="38"/>
      <c r="V392" s="38"/>
      <c r="W392" s="38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35" t="s">
        <v>21</v>
      </c>
      <c r="B393" s="35" t="s">
        <v>39</v>
      </c>
      <c r="C393" s="35" t="s">
        <v>41</v>
      </c>
      <c r="D393" s="35" t="s">
        <v>51</v>
      </c>
      <c r="E393" s="35" t="s">
        <v>25</v>
      </c>
      <c r="F393" s="35" t="s">
        <v>25</v>
      </c>
      <c r="G393" s="35" t="s">
        <v>25</v>
      </c>
      <c r="H393" s="35" t="s">
        <v>34</v>
      </c>
      <c r="I393" s="45">
        <v>44531</v>
      </c>
      <c r="J393" s="46">
        <f>EFEITO!$J$393*EFEITO!$Y$393</f>
        <v>0</v>
      </c>
      <c r="K393" s="46">
        <f ca="1">EFEITO!$L$393*EFEITO!$Z$393</f>
        <v>1047.7665133003468</v>
      </c>
      <c r="L393" s="46">
        <f>EFEITO!$N$393*EFEITO!$AA$393</f>
        <v>434.80515883469531</v>
      </c>
      <c r="M393" s="46">
        <f>$J$393-EFEITO!$K$393*EFEITO!$Y$393</f>
        <v>0</v>
      </c>
      <c r="N393" s="46">
        <f ca="1">$K$393-EFEITO!$M$393*EFEITO!$Z$393</f>
        <v>0</v>
      </c>
      <c r="O393" s="46">
        <f>$L$393-EFEITO!$O$393*EFEITO!$AA$393</f>
        <v>0</v>
      </c>
      <c r="P393" s="38"/>
      <c r="Q393" s="38"/>
      <c r="R393" s="38"/>
      <c r="S393" s="38"/>
      <c r="T393" s="38"/>
      <c r="U393" s="38"/>
      <c r="V393" s="38"/>
      <c r="W393" s="38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35" t="s">
        <v>55</v>
      </c>
      <c r="B394" s="35" t="s">
        <v>39</v>
      </c>
      <c r="C394" s="35" t="s">
        <v>41</v>
      </c>
      <c r="D394" s="35" t="s">
        <v>51</v>
      </c>
      <c r="E394" s="35" t="s">
        <v>25</v>
      </c>
      <c r="F394" s="35" t="s">
        <v>25</v>
      </c>
      <c r="G394" s="35" t="s">
        <v>25</v>
      </c>
      <c r="H394" s="35" t="s">
        <v>34</v>
      </c>
      <c r="I394" s="45">
        <v>44562</v>
      </c>
      <c r="J394" s="46">
        <f>EFEITO!$J$394*EFEITO!$Y$394</f>
        <v>0</v>
      </c>
      <c r="K394" s="46">
        <f ca="1">EFEITO!$L$394*EFEITO!$Z$394</f>
        <v>1047.7665133003468</v>
      </c>
      <c r="L394" s="46">
        <f>EFEITO!$N$394*EFEITO!$AA$394</f>
        <v>434.80515883469531</v>
      </c>
      <c r="M394" s="46">
        <f>$J$394-EFEITO!$K$394*EFEITO!$Y$394</f>
        <v>0</v>
      </c>
      <c r="N394" s="46">
        <f ca="1">$K$394-EFEITO!$M$394*EFEITO!$Z$394</f>
        <v>0</v>
      </c>
      <c r="O394" s="46">
        <f>$L$394-EFEITO!$O$394*EFEITO!$AA$394</f>
        <v>0</v>
      </c>
      <c r="P394" s="38"/>
      <c r="Q394" s="38"/>
      <c r="R394" s="38"/>
      <c r="S394" s="38"/>
      <c r="T394" s="38"/>
      <c r="U394" s="38"/>
      <c r="V394" s="38"/>
      <c r="W394" s="38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35" t="s">
        <v>21</v>
      </c>
      <c r="B395" s="35" t="s">
        <v>39</v>
      </c>
      <c r="C395" s="35" t="s">
        <v>41</v>
      </c>
      <c r="D395" s="35" t="s">
        <v>38</v>
      </c>
      <c r="E395" s="35" t="s">
        <v>25</v>
      </c>
      <c r="F395" s="35" t="s">
        <v>58</v>
      </c>
      <c r="G395" s="35" t="s">
        <v>25</v>
      </c>
      <c r="H395" s="35" t="s">
        <v>35</v>
      </c>
      <c r="I395" s="45">
        <v>44228</v>
      </c>
      <c r="J395" s="46">
        <f>EFEITO!$J$395*EFEITO!$Y$395</f>
        <v>0</v>
      </c>
      <c r="K395" s="46">
        <f ca="1">EFEITO!$L$395*EFEITO!$Z$395</f>
        <v>187774.56350118903</v>
      </c>
      <c r="L395" s="46">
        <f>EFEITO!$N$395*EFEITO!$AA$395</f>
        <v>0</v>
      </c>
      <c r="M395" s="46">
        <f>$J$395-EFEITO!$K$395*EFEITO!$Y$395</f>
        <v>0</v>
      </c>
      <c r="N395" s="46">
        <f ca="1">$K$395-EFEITO!$M$395*EFEITO!$Z$395</f>
        <v>0</v>
      </c>
      <c r="O395" s="46">
        <f>$L$395-EFEITO!$O$395*EFEITO!$AA$395</f>
        <v>0</v>
      </c>
      <c r="P395" s="38"/>
      <c r="Q395" s="38"/>
      <c r="R395" s="38"/>
      <c r="S395" s="38"/>
      <c r="T395" s="38"/>
      <c r="U395" s="38"/>
      <c r="V395" s="38"/>
      <c r="W395" s="38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35" t="s">
        <v>21</v>
      </c>
      <c r="B396" s="35" t="s">
        <v>39</v>
      </c>
      <c r="C396" s="35" t="s">
        <v>41</v>
      </c>
      <c r="D396" s="35" t="s">
        <v>38</v>
      </c>
      <c r="E396" s="35" t="s">
        <v>25</v>
      </c>
      <c r="F396" s="35" t="s">
        <v>58</v>
      </c>
      <c r="G396" s="35" t="s">
        <v>25</v>
      </c>
      <c r="H396" s="35" t="s">
        <v>35</v>
      </c>
      <c r="I396" s="45">
        <v>44256</v>
      </c>
      <c r="J396" s="46">
        <f>EFEITO!$J$396*EFEITO!$Y$396</f>
        <v>0</v>
      </c>
      <c r="K396" s="46">
        <f ca="1">EFEITO!$L$396*EFEITO!$Z$396</f>
        <v>172406.99669713661</v>
      </c>
      <c r="L396" s="46">
        <f>EFEITO!$N$396*EFEITO!$AA$396</f>
        <v>0</v>
      </c>
      <c r="M396" s="46">
        <f>$J$396-EFEITO!$K$396*EFEITO!$Y$396</f>
        <v>0</v>
      </c>
      <c r="N396" s="46">
        <f ca="1">$K$396-EFEITO!$M$396*EFEITO!$Z$396</f>
        <v>0</v>
      </c>
      <c r="O396" s="46">
        <f>$L$396-EFEITO!$O$396*EFEITO!$AA$396</f>
        <v>0</v>
      </c>
      <c r="P396" s="38"/>
      <c r="Q396" s="38"/>
      <c r="R396" s="38"/>
      <c r="S396" s="38"/>
      <c r="T396" s="38"/>
      <c r="U396" s="38"/>
      <c r="V396" s="38"/>
      <c r="W396" s="38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35" t="s">
        <v>21</v>
      </c>
      <c r="B397" s="35" t="s">
        <v>39</v>
      </c>
      <c r="C397" s="35" t="s">
        <v>41</v>
      </c>
      <c r="D397" s="35" t="s">
        <v>38</v>
      </c>
      <c r="E397" s="35" t="s">
        <v>25</v>
      </c>
      <c r="F397" s="35" t="s">
        <v>58</v>
      </c>
      <c r="G397" s="35" t="s">
        <v>25</v>
      </c>
      <c r="H397" s="35" t="s">
        <v>35</v>
      </c>
      <c r="I397" s="45">
        <v>44287</v>
      </c>
      <c r="J397" s="46">
        <f>EFEITO!$J$397*EFEITO!$Y$397</f>
        <v>0</v>
      </c>
      <c r="K397" s="46">
        <f ca="1">EFEITO!$L$397*EFEITO!$Z$397</f>
        <v>175014.94147994352</v>
      </c>
      <c r="L397" s="46">
        <f>EFEITO!$N$397*EFEITO!$AA$397</f>
        <v>0</v>
      </c>
      <c r="M397" s="46">
        <f>$J$397-EFEITO!$K$397*EFEITO!$Y$397</f>
        <v>0</v>
      </c>
      <c r="N397" s="46">
        <f ca="1">$K$397-EFEITO!$M$397*EFEITO!$Z$397</f>
        <v>0</v>
      </c>
      <c r="O397" s="46">
        <f>$L$397-EFEITO!$O$397*EFEITO!$AA$397</f>
        <v>0</v>
      </c>
      <c r="P397" s="38"/>
      <c r="Q397" s="38"/>
      <c r="R397" s="38"/>
      <c r="S397" s="38"/>
      <c r="T397" s="38"/>
      <c r="U397" s="38"/>
      <c r="V397" s="38"/>
      <c r="W397" s="38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35" t="s">
        <v>21</v>
      </c>
      <c r="B398" s="35" t="s">
        <v>39</v>
      </c>
      <c r="C398" s="35" t="s">
        <v>41</v>
      </c>
      <c r="D398" s="35" t="s">
        <v>38</v>
      </c>
      <c r="E398" s="35" t="s">
        <v>25</v>
      </c>
      <c r="F398" s="35" t="s">
        <v>58</v>
      </c>
      <c r="G398" s="35" t="s">
        <v>25</v>
      </c>
      <c r="H398" s="35" t="s">
        <v>35</v>
      </c>
      <c r="I398" s="45">
        <v>44317</v>
      </c>
      <c r="J398" s="46">
        <f>EFEITO!$J$398*EFEITO!$Y$398</f>
        <v>0</v>
      </c>
      <c r="K398" s="46">
        <f ca="1">EFEITO!$L$398*EFEITO!$Z$398</f>
        <v>181780.55227144464</v>
      </c>
      <c r="L398" s="46">
        <f>EFEITO!$N$398*EFEITO!$AA$398</f>
        <v>0</v>
      </c>
      <c r="M398" s="46">
        <f>$J$398-EFEITO!$K$398*EFEITO!$Y$398</f>
        <v>0</v>
      </c>
      <c r="N398" s="46">
        <f ca="1">$K$398-EFEITO!$M$398*EFEITO!$Z$398</f>
        <v>0</v>
      </c>
      <c r="O398" s="46">
        <f>$L$398-EFEITO!$O$398*EFEITO!$AA$398</f>
        <v>0</v>
      </c>
      <c r="P398" s="38"/>
      <c r="Q398" s="38"/>
      <c r="R398" s="38"/>
      <c r="S398" s="38"/>
      <c r="T398" s="38"/>
      <c r="U398" s="38"/>
      <c r="V398" s="38"/>
      <c r="W398" s="38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35" t="s">
        <v>21</v>
      </c>
      <c r="B399" s="35" t="s">
        <v>39</v>
      </c>
      <c r="C399" s="35" t="s">
        <v>41</v>
      </c>
      <c r="D399" s="35" t="s">
        <v>38</v>
      </c>
      <c r="E399" s="35" t="s">
        <v>25</v>
      </c>
      <c r="F399" s="35" t="s">
        <v>58</v>
      </c>
      <c r="G399" s="35" t="s">
        <v>25</v>
      </c>
      <c r="H399" s="35" t="s">
        <v>35</v>
      </c>
      <c r="I399" s="45">
        <v>44348</v>
      </c>
      <c r="J399" s="46">
        <f>EFEITO!$J$399*EFEITO!$Y$399</f>
        <v>0</v>
      </c>
      <c r="K399" s="46">
        <f ca="1">EFEITO!$L$399*EFEITO!$Z$399</f>
        <v>182455.61476066001</v>
      </c>
      <c r="L399" s="46">
        <f>EFEITO!$N$399*EFEITO!$AA$399</f>
        <v>0</v>
      </c>
      <c r="M399" s="46">
        <f>$J$399-EFEITO!$K$399*EFEITO!$Y$399</f>
        <v>0</v>
      </c>
      <c r="N399" s="46">
        <f ca="1">$K$399-EFEITO!$M$399*EFEITO!$Z$399</f>
        <v>0</v>
      </c>
      <c r="O399" s="46">
        <f>$L$399-EFEITO!$O$399*EFEITO!$AA$399</f>
        <v>0</v>
      </c>
      <c r="P399" s="38"/>
      <c r="Q399" s="38"/>
      <c r="R399" s="38"/>
      <c r="S399" s="38"/>
      <c r="T399" s="38"/>
      <c r="U399" s="38"/>
      <c r="V399" s="38"/>
      <c r="W399" s="38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35" t="s">
        <v>21</v>
      </c>
      <c r="B400" s="35" t="s">
        <v>39</v>
      </c>
      <c r="C400" s="35" t="s">
        <v>41</v>
      </c>
      <c r="D400" s="35" t="s">
        <v>38</v>
      </c>
      <c r="E400" s="35" t="s">
        <v>25</v>
      </c>
      <c r="F400" s="35" t="s">
        <v>58</v>
      </c>
      <c r="G400" s="35" t="s">
        <v>25</v>
      </c>
      <c r="H400" s="35" t="s">
        <v>35</v>
      </c>
      <c r="I400" s="45">
        <v>44378</v>
      </c>
      <c r="J400" s="46">
        <f>EFEITO!$J$400*EFEITO!$Y$400</f>
        <v>0</v>
      </c>
      <c r="K400" s="46">
        <f ca="1">EFEITO!$L$400*EFEITO!$Z$400</f>
        <v>192554.66709673853</v>
      </c>
      <c r="L400" s="46">
        <f>EFEITO!$N$400*EFEITO!$AA$400</f>
        <v>0</v>
      </c>
      <c r="M400" s="46">
        <f>$J$400-EFEITO!$K$400*EFEITO!$Y$400</f>
        <v>0</v>
      </c>
      <c r="N400" s="46">
        <f ca="1">$K$400-EFEITO!$M$400*EFEITO!$Z$400</f>
        <v>0</v>
      </c>
      <c r="O400" s="46">
        <f>$L$400-EFEITO!$O$400*EFEITO!$AA$400</f>
        <v>0</v>
      </c>
      <c r="P400" s="38"/>
      <c r="Q400" s="38"/>
      <c r="R400" s="38"/>
      <c r="S400" s="38"/>
      <c r="T400" s="38"/>
      <c r="U400" s="38"/>
      <c r="V400" s="38"/>
      <c r="W400" s="38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35" t="s">
        <v>21</v>
      </c>
      <c r="B401" s="35" t="s">
        <v>39</v>
      </c>
      <c r="C401" s="35" t="s">
        <v>41</v>
      </c>
      <c r="D401" s="35" t="s">
        <v>38</v>
      </c>
      <c r="E401" s="35" t="s">
        <v>25</v>
      </c>
      <c r="F401" s="35" t="s">
        <v>58</v>
      </c>
      <c r="G401" s="35" t="s">
        <v>25</v>
      </c>
      <c r="H401" s="35" t="s">
        <v>35</v>
      </c>
      <c r="I401" s="45">
        <v>44409</v>
      </c>
      <c r="J401" s="46">
        <f>EFEITO!$J$401*EFEITO!$Y$401</f>
        <v>0</v>
      </c>
      <c r="K401" s="46">
        <f ca="1">EFEITO!$L$401*EFEITO!$Z$401</f>
        <v>194486.55364950965</v>
      </c>
      <c r="L401" s="46">
        <f>EFEITO!$N$401*EFEITO!$AA$401</f>
        <v>0</v>
      </c>
      <c r="M401" s="46">
        <f>$J$401-EFEITO!$K$401*EFEITO!$Y$401</f>
        <v>0</v>
      </c>
      <c r="N401" s="46">
        <f ca="1">$K$401-EFEITO!$M$401*EFEITO!$Z$401</f>
        <v>0</v>
      </c>
      <c r="O401" s="46">
        <f>$L$401-EFEITO!$O$401*EFEITO!$AA$401</f>
        <v>0</v>
      </c>
      <c r="P401" s="38"/>
      <c r="Q401" s="38"/>
      <c r="R401" s="38"/>
      <c r="S401" s="38"/>
      <c r="T401" s="38"/>
      <c r="U401" s="38"/>
      <c r="V401" s="38"/>
      <c r="W401" s="38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35" t="s">
        <v>21</v>
      </c>
      <c r="B402" s="35" t="s">
        <v>39</v>
      </c>
      <c r="C402" s="35" t="s">
        <v>41</v>
      </c>
      <c r="D402" s="35" t="s">
        <v>38</v>
      </c>
      <c r="E402" s="35" t="s">
        <v>25</v>
      </c>
      <c r="F402" s="35" t="s">
        <v>58</v>
      </c>
      <c r="G402" s="35" t="s">
        <v>25</v>
      </c>
      <c r="H402" s="35" t="s">
        <v>35</v>
      </c>
      <c r="I402" s="45">
        <v>44440</v>
      </c>
      <c r="J402" s="46">
        <f>EFEITO!$J$402*EFEITO!$Y$402</f>
        <v>0</v>
      </c>
      <c r="K402" s="46">
        <f ca="1">EFEITO!$L$402*EFEITO!$Z$402</f>
        <v>195768.81889102756</v>
      </c>
      <c r="L402" s="46">
        <f>EFEITO!$N$402*EFEITO!$AA$402</f>
        <v>0</v>
      </c>
      <c r="M402" s="46">
        <f>$J$402-EFEITO!$K$402*EFEITO!$Y$402</f>
        <v>0</v>
      </c>
      <c r="N402" s="46">
        <f ca="1">$K$402-EFEITO!$M$402*EFEITO!$Z$402</f>
        <v>0</v>
      </c>
      <c r="O402" s="46">
        <f>$L$402-EFEITO!$O$402*EFEITO!$AA$402</f>
        <v>0</v>
      </c>
      <c r="P402" s="38"/>
      <c r="Q402" s="38"/>
      <c r="R402" s="38"/>
      <c r="S402" s="38"/>
      <c r="T402" s="38"/>
      <c r="U402" s="38"/>
      <c r="V402" s="38"/>
      <c r="W402" s="38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35" t="s">
        <v>21</v>
      </c>
      <c r="B403" s="35" t="s">
        <v>39</v>
      </c>
      <c r="C403" s="35" t="s">
        <v>41</v>
      </c>
      <c r="D403" s="35" t="s">
        <v>38</v>
      </c>
      <c r="E403" s="35" t="s">
        <v>25</v>
      </c>
      <c r="F403" s="35" t="s">
        <v>58</v>
      </c>
      <c r="G403" s="35" t="s">
        <v>25</v>
      </c>
      <c r="H403" s="35" t="s">
        <v>35</v>
      </c>
      <c r="I403" s="45">
        <v>44470</v>
      </c>
      <c r="J403" s="46">
        <f>EFEITO!$J$403*EFEITO!$Y$403</f>
        <v>0</v>
      </c>
      <c r="K403" s="46">
        <f ca="1">EFEITO!$L$403*EFEITO!$Z$403</f>
        <v>207855.3201176576</v>
      </c>
      <c r="L403" s="46">
        <f>EFEITO!$N$403*EFEITO!$AA$403</f>
        <v>0</v>
      </c>
      <c r="M403" s="46">
        <f>$J$403-EFEITO!$K$403*EFEITO!$Y$403</f>
        <v>0</v>
      </c>
      <c r="N403" s="46">
        <f ca="1">$K$403-EFEITO!$M$403*EFEITO!$Z$403</f>
        <v>0</v>
      </c>
      <c r="O403" s="46">
        <f>$L$403-EFEITO!$O$403*EFEITO!$AA$403</f>
        <v>0</v>
      </c>
      <c r="P403" s="38"/>
      <c r="Q403" s="38"/>
      <c r="R403" s="38"/>
      <c r="S403" s="38"/>
      <c r="T403" s="38"/>
      <c r="U403" s="38"/>
      <c r="V403" s="38"/>
      <c r="W403" s="38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35" t="s">
        <v>21</v>
      </c>
      <c r="B404" s="35" t="s">
        <v>39</v>
      </c>
      <c r="C404" s="35" t="s">
        <v>41</v>
      </c>
      <c r="D404" s="35" t="s">
        <v>38</v>
      </c>
      <c r="E404" s="35" t="s">
        <v>25</v>
      </c>
      <c r="F404" s="35" t="s">
        <v>58</v>
      </c>
      <c r="G404" s="35" t="s">
        <v>25</v>
      </c>
      <c r="H404" s="35" t="s">
        <v>35</v>
      </c>
      <c r="I404" s="45">
        <v>44501</v>
      </c>
      <c r="J404" s="46">
        <f>EFEITO!$J$404*EFEITO!$Y$404</f>
        <v>0</v>
      </c>
      <c r="K404" s="46">
        <f ca="1">EFEITO!$L$404*EFEITO!$Z$404</f>
        <v>217979.01703904197</v>
      </c>
      <c r="L404" s="46">
        <f>EFEITO!$N$404*EFEITO!$AA$404</f>
        <v>0</v>
      </c>
      <c r="M404" s="46">
        <f>$J$404-EFEITO!$K$404*EFEITO!$Y$404</f>
        <v>0</v>
      </c>
      <c r="N404" s="46">
        <f ca="1">$K$404-EFEITO!$M$404*EFEITO!$Z$404</f>
        <v>0</v>
      </c>
      <c r="O404" s="46">
        <f>$L$404-EFEITO!$O$404*EFEITO!$AA$404</f>
        <v>0</v>
      </c>
      <c r="P404" s="38"/>
      <c r="Q404" s="38"/>
      <c r="R404" s="38"/>
      <c r="S404" s="38"/>
      <c r="T404" s="38"/>
      <c r="U404" s="38"/>
      <c r="V404" s="38"/>
      <c r="W404" s="38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35" t="s">
        <v>21</v>
      </c>
      <c r="B405" s="35" t="s">
        <v>39</v>
      </c>
      <c r="C405" s="35" t="s">
        <v>41</v>
      </c>
      <c r="D405" s="35" t="s">
        <v>38</v>
      </c>
      <c r="E405" s="35" t="s">
        <v>25</v>
      </c>
      <c r="F405" s="35" t="s">
        <v>58</v>
      </c>
      <c r="G405" s="35" t="s">
        <v>25</v>
      </c>
      <c r="H405" s="35" t="s">
        <v>35</v>
      </c>
      <c r="I405" s="45">
        <v>44531</v>
      </c>
      <c r="J405" s="46">
        <f>EFEITO!$J$405*EFEITO!$Y$405</f>
        <v>0</v>
      </c>
      <c r="K405" s="46">
        <f ca="1">EFEITO!$L$405*EFEITO!$Z$405</f>
        <v>224020.4255318392</v>
      </c>
      <c r="L405" s="46">
        <f>EFEITO!$N$405*EFEITO!$AA$405</f>
        <v>0</v>
      </c>
      <c r="M405" s="46">
        <f>$J$405-EFEITO!$K$405*EFEITO!$Y$405</f>
        <v>0</v>
      </c>
      <c r="N405" s="46">
        <f ca="1">$K$405-EFEITO!$M$405*EFEITO!$Z$405</f>
        <v>0</v>
      </c>
      <c r="O405" s="46">
        <f>$L$405-EFEITO!$O$405*EFEITO!$AA$405</f>
        <v>0</v>
      </c>
      <c r="P405" s="38"/>
      <c r="Q405" s="38"/>
      <c r="R405" s="38"/>
      <c r="S405" s="38"/>
      <c r="T405" s="38"/>
      <c r="U405" s="38"/>
      <c r="V405" s="38"/>
      <c r="W405" s="38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35" t="s">
        <v>55</v>
      </c>
      <c r="B406" s="35" t="s">
        <v>39</v>
      </c>
      <c r="C406" s="35" t="s">
        <v>41</v>
      </c>
      <c r="D406" s="35" t="s">
        <v>38</v>
      </c>
      <c r="E406" s="35" t="s">
        <v>25</v>
      </c>
      <c r="F406" s="35" t="s">
        <v>58</v>
      </c>
      <c r="G406" s="35" t="s">
        <v>25</v>
      </c>
      <c r="H406" s="35" t="s">
        <v>35</v>
      </c>
      <c r="I406" s="45">
        <v>44562</v>
      </c>
      <c r="J406" s="46">
        <f>EFEITO!$J$406*EFEITO!$Y$406</f>
        <v>0</v>
      </c>
      <c r="K406" s="46">
        <f ca="1">EFEITO!$L$406*EFEITO!$Z$406</f>
        <v>224020.4255318392</v>
      </c>
      <c r="L406" s="46">
        <f>EFEITO!$N$406*EFEITO!$AA$406</f>
        <v>0</v>
      </c>
      <c r="M406" s="46">
        <f>$J$406-EFEITO!$K$406*EFEITO!$Y$406</f>
        <v>0</v>
      </c>
      <c r="N406" s="46">
        <f ca="1">$K$406-EFEITO!$M$406*EFEITO!$Z$406</f>
        <v>0</v>
      </c>
      <c r="O406" s="46">
        <f>$L$406-EFEITO!$O$406*EFEITO!$AA$406</f>
        <v>0</v>
      </c>
      <c r="P406" s="38"/>
      <c r="Q406" s="38"/>
      <c r="R406" s="38"/>
      <c r="S406" s="38"/>
      <c r="T406" s="38"/>
      <c r="U406" s="38"/>
      <c r="V406" s="38"/>
      <c r="W406" s="38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35" t="s">
        <v>21</v>
      </c>
      <c r="B407" s="35" t="s">
        <v>39</v>
      </c>
      <c r="C407" s="35" t="s">
        <v>41</v>
      </c>
      <c r="D407" s="35" t="s">
        <v>38</v>
      </c>
      <c r="E407" s="35" t="s">
        <v>25</v>
      </c>
      <c r="F407" s="35" t="s">
        <v>58</v>
      </c>
      <c r="G407" s="35" t="s">
        <v>25</v>
      </c>
      <c r="H407" s="35" t="s">
        <v>25</v>
      </c>
      <c r="I407" s="45">
        <v>44228</v>
      </c>
      <c r="J407" s="46">
        <f ca="1">EFEITO!$J$407*EFEITO!$Y$407</f>
        <v>225674.77636741355</v>
      </c>
      <c r="K407" s="46">
        <f>EFEITO!$L$407*EFEITO!$Z$407</f>
        <v>0</v>
      </c>
      <c r="L407" s="46">
        <f>EFEITO!$N$407*EFEITO!$AA$407</f>
        <v>0</v>
      </c>
      <c r="M407" s="46">
        <f ca="1">$J$407-EFEITO!$K$407*EFEITO!$Y$407</f>
        <v>120615.73198450124</v>
      </c>
      <c r="N407" s="46">
        <f>$K$407-EFEITO!$M$407*EFEITO!$Z$407</f>
        <v>0</v>
      </c>
      <c r="O407" s="46">
        <f>$L$407-EFEITO!$O$407*EFEITO!$AA$407</f>
        <v>0</v>
      </c>
      <c r="P407" s="38"/>
      <c r="Q407" s="38"/>
      <c r="R407" s="38"/>
      <c r="S407" s="38"/>
      <c r="T407" s="38"/>
      <c r="U407" s="38"/>
      <c r="V407" s="38"/>
      <c r="W407" s="38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35" t="s">
        <v>21</v>
      </c>
      <c r="B408" s="35" t="s">
        <v>39</v>
      </c>
      <c r="C408" s="35" t="s">
        <v>41</v>
      </c>
      <c r="D408" s="35" t="s">
        <v>38</v>
      </c>
      <c r="E408" s="35" t="s">
        <v>25</v>
      </c>
      <c r="F408" s="35" t="s">
        <v>58</v>
      </c>
      <c r="G408" s="35" t="s">
        <v>25</v>
      </c>
      <c r="H408" s="35" t="s">
        <v>25</v>
      </c>
      <c r="I408" s="45">
        <v>44256</v>
      </c>
      <c r="J408" s="46">
        <f ca="1">EFEITO!$J$408*EFEITO!$Y$408</f>
        <v>218335.61407219223</v>
      </c>
      <c r="K408" s="46">
        <f>EFEITO!$L$408*EFEITO!$Z$408</f>
        <v>0</v>
      </c>
      <c r="L408" s="46">
        <f>EFEITO!$N$408*EFEITO!$AA$408</f>
        <v>0</v>
      </c>
      <c r="M408" s="46">
        <f ca="1">$J$408-EFEITO!$K$408*EFEITO!$Y$408</f>
        <v>118270.85414340276</v>
      </c>
      <c r="N408" s="46">
        <f>$K$408-EFEITO!$M$408*EFEITO!$Z$408</f>
        <v>0</v>
      </c>
      <c r="O408" s="46">
        <f>$L$408-EFEITO!$O$408*EFEITO!$AA$408</f>
        <v>0</v>
      </c>
      <c r="P408" s="38"/>
      <c r="Q408" s="38"/>
      <c r="R408" s="38"/>
      <c r="S408" s="38"/>
      <c r="T408" s="38"/>
      <c r="U408" s="38"/>
      <c r="V408" s="38"/>
      <c r="W408" s="38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35" t="s">
        <v>21</v>
      </c>
      <c r="B409" s="35" t="s">
        <v>39</v>
      </c>
      <c r="C409" s="35" t="s">
        <v>41</v>
      </c>
      <c r="D409" s="35" t="s">
        <v>38</v>
      </c>
      <c r="E409" s="35" t="s">
        <v>25</v>
      </c>
      <c r="F409" s="35" t="s">
        <v>58</v>
      </c>
      <c r="G409" s="35" t="s">
        <v>25</v>
      </c>
      <c r="H409" s="35" t="s">
        <v>25</v>
      </c>
      <c r="I409" s="45">
        <v>44287</v>
      </c>
      <c r="J409" s="46">
        <f ca="1">EFEITO!$J$409*EFEITO!$Y$409</f>
        <v>220282.00991204413</v>
      </c>
      <c r="K409" s="46">
        <f>EFEITO!$L$409*EFEITO!$Z$409</f>
        <v>0</v>
      </c>
      <c r="L409" s="46">
        <f>EFEITO!$N$409*EFEITO!$AA$409</f>
        <v>0</v>
      </c>
      <c r="M409" s="46">
        <f ca="1">$J$409-EFEITO!$K$409*EFEITO!$Y$409</f>
        <v>120740.34967208147</v>
      </c>
      <c r="N409" s="46">
        <f>$K$409-EFEITO!$M$409*EFEITO!$Z$409</f>
        <v>0</v>
      </c>
      <c r="O409" s="46">
        <f>$L$409-EFEITO!$O$409*EFEITO!$AA$409</f>
        <v>0</v>
      </c>
      <c r="P409" s="38"/>
      <c r="Q409" s="38"/>
      <c r="R409" s="38"/>
      <c r="S409" s="38"/>
      <c r="T409" s="38"/>
      <c r="U409" s="38"/>
      <c r="V409" s="38"/>
      <c r="W409" s="38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35" t="s">
        <v>21</v>
      </c>
      <c r="B410" s="35" t="s">
        <v>39</v>
      </c>
      <c r="C410" s="35" t="s">
        <v>41</v>
      </c>
      <c r="D410" s="35" t="s">
        <v>38</v>
      </c>
      <c r="E410" s="35" t="s">
        <v>25</v>
      </c>
      <c r="F410" s="35" t="s">
        <v>58</v>
      </c>
      <c r="G410" s="35" t="s">
        <v>25</v>
      </c>
      <c r="H410" s="35" t="s">
        <v>25</v>
      </c>
      <c r="I410" s="45">
        <v>44317</v>
      </c>
      <c r="J410" s="46">
        <f ca="1">EFEITO!$J$410*EFEITO!$Y$410</f>
        <v>228960.43539982405</v>
      </c>
      <c r="K410" s="46">
        <f>EFEITO!$L$410*EFEITO!$Z$410</f>
        <v>0</v>
      </c>
      <c r="L410" s="46">
        <f>EFEITO!$N$410*EFEITO!$AA$410</f>
        <v>0</v>
      </c>
      <c r="M410" s="46">
        <f ca="1">$J$410-EFEITO!$K$410*EFEITO!$Y$410</f>
        <v>127778.23978793381</v>
      </c>
      <c r="N410" s="46">
        <f>$K$410-EFEITO!$M$410*EFEITO!$Z$410</f>
        <v>0</v>
      </c>
      <c r="O410" s="46">
        <f>$L$410-EFEITO!$O$410*EFEITO!$AA$410</f>
        <v>0</v>
      </c>
      <c r="P410" s="38"/>
      <c r="Q410" s="38"/>
      <c r="R410" s="38"/>
      <c r="S410" s="38"/>
      <c r="T410" s="38"/>
      <c r="U410" s="38"/>
      <c r="V410" s="38"/>
      <c r="W410" s="38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35" t="s">
        <v>21</v>
      </c>
      <c r="B411" s="35" t="s">
        <v>39</v>
      </c>
      <c r="C411" s="35" t="s">
        <v>41</v>
      </c>
      <c r="D411" s="35" t="s">
        <v>38</v>
      </c>
      <c r="E411" s="35" t="s">
        <v>25</v>
      </c>
      <c r="F411" s="35" t="s">
        <v>58</v>
      </c>
      <c r="G411" s="35" t="s">
        <v>25</v>
      </c>
      <c r="H411" s="35" t="s">
        <v>25</v>
      </c>
      <c r="I411" s="45">
        <v>44348</v>
      </c>
      <c r="J411" s="46">
        <f ca="1">EFEITO!$J$411*EFEITO!$Y$411</f>
        <v>228621.15539104256</v>
      </c>
      <c r="K411" s="46">
        <f>EFEITO!$L$411*EFEITO!$Z$411</f>
        <v>0</v>
      </c>
      <c r="L411" s="46">
        <f>EFEITO!$N$411*EFEITO!$AA$411</f>
        <v>0</v>
      </c>
      <c r="M411" s="46">
        <f ca="1">$J$411-EFEITO!$K$411*EFEITO!$Y$411</f>
        <v>126952.03359290642</v>
      </c>
      <c r="N411" s="46">
        <f>$K$411-EFEITO!$M$411*EFEITO!$Z$411</f>
        <v>0</v>
      </c>
      <c r="O411" s="46">
        <f>$L$411-EFEITO!$O$411*EFEITO!$AA$411</f>
        <v>0</v>
      </c>
      <c r="P411" s="38"/>
      <c r="Q411" s="38"/>
      <c r="R411" s="38"/>
      <c r="S411" s="38"/>
      <c r="T411" s="38"/>
      <c r="U411" s="38"/>
      <c r="V411" s="38"/>
      <c r="W411" s="38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35" t="s">
        <v>21</v>
      </c>
      <c r="B412" s="35" t="s">
        <v>39</v>
      </c>
      <c r="C412" s="35" t="s">
        <v>41</v>
      </c>
      <c r="D412" s="35" t="s">
        <v>38</v>
      </c>
      <c r="E412" s="35" t="s">
        <v>25</v>
      </c>
      <c r="F412" s="35" t="s">
        <v>58</v>
      </c>
      <c r="G412" s="35" t="s">
        <v>25</v>
      </c>
      <c r="H412" s="35" t="s">
        <v>25</v>
      </c>
      <c r="I412" s="45">
        <v>44378</v>
      </c>
      <c r="J412" s="46">
        <f ca="1">EFEITO!$J$412*EFEITO!$Y$412</f>
        <v>240299.53043015383</v>
      </c>
      <c r="K412" s="46">
        <f>EFEITO!$L$412*EFEITO!$Z$412</f>
        <v>0</v>
      </c>
      <c r="L412" s="46">
        <f>EFEITO!$N$412*EFEITO!$AA$412</f>
        <v>0</v>
      </c>
      <c r="M412" s="46">
        <f ca="1">$J$412-EFEITO!$K$412*EFEITO!$Y$412</f>
        <v>130168.08572925454</v>
      </c>
      <c r="N412" s="46">
        <f>$K$412-EFEITO!$M$412*EFEITO!$Z$412</f>
        <v>0</v>
      </c>
      <c r="O412" s="46">
        <f>$L$412-EFEITO!$O$412*EFEITO!$AA$412</f>
        <v>0</v>
      </c>
      <c r="P412" s="38"/>
      <c r="Q412" s="38"/>
      <c r="R412" s="38"/>
      <c r="S412" s="38"/>
      <c r="T412" s="38"/>
      <c r="U412" s="38"/>
      <c r="V412" s="38"/>
      <c r="W412" s="38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35" t="s">
        <v>21</v>
      </c>
      <c r="B413" s="35" t="s">
        <v>39</v>
      </c>
      <c r="C413" s="35" t="s">
        <v>41</v>
      </c>
      <c r="D413" s="35" t="s">
        <v>38</v>
      </c>
      <c r="E413" s="35" t="s">
        <v>25</v>
      </c>
      <c r="F413" s="35" t="s">
        <v>58</v>
      </c>
      <c r="G413" s="35" t="s">
        <v>25</v>
      </c>
      <c r="H413" s="35" t="s">
        <v>25</v>
      </c>
      <c r="I413" s="45">
        <v>44409</v>
      </c>
      <c r="J413" s="46">
        <f ca="1">EFEITO!$J$413*EFEITO!$Y$413</f>
        <v>230906.83123967596</v>
      </c>
      <c r="K413" s="46">
        <f>EFEITO!$L$413*EFEITO!$Z$413</f>
        <v>0</v>
      </c>
      <c r="L413" s="46">
        <f>EFEITO!$N$413*EFEITO!$AA$413</f>
        <v>0</v>
      </c>
      <c r="M413" s="46">
        <f ca="1">$J$413-EFEITO!$K$413*EFEITO!$Y$413</f>
        <v>125388.87475441876</v>
      </c>
      <c r="N413" s="46">
        <f>$K$413-EFEITO!$M$413*EFEITO!$Z$413</f>
        <v>0</v>
      </c>
      <c r="O413" s="46">
        <f>$L$413-EFEITO!$O$413*EFEITO!$AA$413</f>
        <v>0</v>
      </c>
      <c r="P413" s="38"/>
      <c r="Q413" s="38"/>
      <c r="R413" s="38"/>
      <c r="S413" s="38"/>
      <c r="T413" s="38"/>
      <c r="U413" s="38"/>
      <c r="V413" s="38"/>
      <c r="W413" s="38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35" t="s">
        <v>21</v>
      </c>
      <c r="B414" s="35" t="s">
        <v>39</v>
      </c>
      <c r="C414" s="35" t="s">
        <v>41</v>
      </c>
      <c r="D414" s="35" t="s">
        <v>38</v>
      </c>
      <c r="E414" s="35" t="s">
        <v>25</v>
      </c>
      <c r="F414" s="35" t="s">
        <v>58</v>
      </c>
      <c r="G414" s="35" t="s">
        <v>25</v>
      </c>
      <c r="H414" s="35" t="s">
        <v>25</v>
      </c>
      <c r="I414" s="45">
        <v>44440</v>
      </c>
      <c r="J414" s="46">
        <f ca="1">EFEITO!$J$414*EFEITO!$Y$414</f>
        <v>237460.29246192952</v>
      </c>
      <c r="K414" s="46">
        <f>EFEITO!$L$414*EFEITO!$Z$414</f>
        <v>0</v>
      </c>
      <c r="L414" s="46">
        <f>EFEITO!$N$414*EFEITO!$AA$414</f>
        <v>0</v>
      </c>
      <c r="M414" s="46">
        <f ca="1">$J$414-EFEITO!$K$414*EFEITO!$Y$414</f>
        <v>131701.57855429946</v>
      </c>
      <c r="N414" s="46">
        <f>$K$414-EFEITO!$M$414*EFEITO!$Z$414</f>
        <v>0</v>
      </c>
      <c r="O414" s="46">
        <f>$L$414-EFEITO!$O$414*EFEITO!$AA$414</f>
        <v>0</v>
      </c>
      <c r="P414" s="38"/>
      <c r="Q414" s="38"/>
      <c r="R414" s="38"/>
      <c r="S414" s="38"/>
      <c r="T414" s="38"/>
      <c r="U414" s="38"/>
      <c r="V414" s="38"/>
      <c r="W414" s="38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35" t="s">
        <v>21</v>
      </c>
      <c r="B415" s="35" t="s">
        <v>39</v>
      </c>
      <c r="C415" s="35" t="s">
        <v>41</v>
      </c>
      <c r="D415" s="35" t="s">
        <v>38</v>
      </c>
      <c r="E415" s="35" t="s">
        <v>25</v>
      </c>
      <c r="F415" s="35" t="s">
        <v>58</v>
      </c>
      <c r="G415" s="35" t="s">
        <v>25</v>
      </c>
      <c r="H415" s="35" t="s">
        <v>25</v>
      </c>
      <c r="I415" s="45">
        <v>44470</v>
      </c>
      <c r="J415" s="46">
        <f ca="1">EFEITO!$J$415*EFEITO!$Y$415</f>
        <v>251531.4844050789</v>
      </c>
      <c r="K415" s="46">
        <f>EFEITO!$L$415*EFEITO!$Z$415</f>
        <v>0</v>
      </c>
      <c r="L415" s="46">
        <f>EFEITO!$N$415*EFEITO!$AA$415</f>
        <v>0</v>
      </c>
      <c r="M415" s="46">
        <f ca="1">$J$415-EFEITO!$K$415*EFEITO!$Y$415</f>
        <v>113777.52024682774</v>
      </c>
      <c r="N415" s="46">
        <f>$K$415-EFEITO!$M$415*EFEITO!$Z$415</f>
        <v>0</v>
      </c>
      <c r="O415" s="46">
        <f>$L$415-EFEITO!$O$415*EFEITO!$AA$415</f>
        <v>0</v>
      </c>
      <c r="P415" s="38"/>
      <c r="Q415" s="38"/>
      <c r="R415" s="38"/>
      <c r="S415" s="38"/>
      <c r="T415" s="38"/>
      <c r="U415" s="38"/>
      <c r="V415" s="38"/>
      <c r="W415" s="38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35" t="s">
        <v>21</v>
      </c>
      <c r="B416" s="35" t="s">
        <v>39</v>
      </c>
      <c r="C416" s="35" t="s">
        <v>41</v>
      </c>
      <c r="D416" s="35" t="s">
        <v>38</v>
      </c>
      <c r="E416" s="35" t="s">
        <v>25</v>
      </c>
      <c r="F416" s="35" t="s">
        <v>58</v>
      </c>
      <c r="G416" s="35" t="s">
        <v>25</v>
      </c>
      <c r="H416" s="35" t="s">
        <v>25</v>
      </c>
      <c r="I416" s="45">
        <v>44501</v>
      </c>
      <c r="J416" s="46">
        <f ca="1">EFEITO!$J$416*EFEITO!$Y$416</f>
        <v>250513.64437873435</v>
      </c>
      <c r="K416" s="46">
        <f>EFEITO!$L$416*EFEITO!$Z$416</f>
        <v>0</v>
      </c>
      <c r="L416" s="46">
        <f>EFEITO!$N$416*EFEITO!$AA$416</f>
        <v>0</v>
      </c>
      <c r="M416" s="46">
        <f ca="1">$J$416-EFEITO!$K$416*EFEITO!$Y$416</f>
        <v>154952.03320718254</v>
      </c>
      <c r="N416" s="46">
        <f>$K$416-EFEITO!$M$416*EFEITO!$Z$416</f>
        <v>0</v>
      </c>
      <c r="O416" s="46">
        <f>$L$416-EFEITO!$O$416*EFEITO!$AA$416</f>
        <v>0</v>
      </c>
      <c r="P416" s="38"/>
      <c r="Q416" s="38"/>
      <c r="R416" s="38"/>
      <c r="S416" s="38"/>
      <c r="T416" s="38"/>
      <c r="U416" s="38"/>
      <c r="V416" s="38"/>
      <c r="W416" s="38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35" t="s">
        <v>21</v>
      </c>
      <c r="B417" s="35" t="s">
        <v>39</v>
      </c>
      <c r="C417" s="35" t="s">
        <v>41</v>
      </c>
      <c r="D417" s="35" t="s">
        <v>38</v>
      </c>
      <c r="E417" s="35" t="s">
        <v>25</v>
      </c>
      <c r="F417" s="35" t="s">
        <v>58</v>
      </c>
      <c r="G417" s="35" t="s">
        <v>25</v>
      </c>
      <c r="H417" s="35" t="s">
        <v>25</v>
      </c>
      <c r="I417" s="45">
        <v>44531</v>
      </c>
      <c r="J417" s="46">
        <f ca="1">EFEITO!$J$417*EFEITO!$Y$417</f>
        <v>252227.9012652094</v>
      </c>
      <c r="K417" s="46">
        <f>EFEITO!$L$417*EFEITO!$Z$417</f>
        <v>0</v>
      </c>
      <c r="L417" s="46">
        <f>EFEITO!$N$417*EFEITO!$AA$417</f>
        <v>0</v>
      </c>
      <c r="M417" s="46">
        <f ca="1">$J$417-EFEITO!$K$417*EFEITO!$Y$417</f>
        <v>144171.07976496872</v>
      </c>
      <c r="N417" s="46">
        <f>$K$417-EFEITO!$M$417*EFEITO!$Z$417</f>
        <v>0</v>
      </c>
      <c r="O417" s="46">
        <f>$L$417-EFEITO!$O$417*EFEITO!$AA$417</f>
        <v>0</v>
      </c>
      <c r="P417" s="38"/>
      <c r="Q417" s="38"/>
      <c r="R417" s="38"/>
      <c r="S417" s="38"/>
      <c r="T417" s="38"/>
      <c r="U417" s="38"/>
      <c r="V417" s="38"/>
      <c r="W417" s="38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35" t="s">
        <v>55</v>
      </c>
      <c r="B418" s="35" t="s">
        <v>39</v>
      </c>
      <c r="C418" s="35" t="s">
        <v>41</v>
      </c>
      <c r="D418" s="35" t="s">
        <v>38</v>
      </c>
      <c r="E418" s="35" t="s">
        <v>25</v>
      </c>
      <c r="F418" s="35" t="s">
        <v>58</v>
      </c>
      <c r="G418" s="35" t="s">
        <v>25</v>
      </c>
      <c r="H418" s="35" t="s">
        <v>25</v>
      </c>
      <c r="I418" s="45">
        <v>44562</v>
      </c>
      <c r="J418" s="46">
        <f ca="1">EFEITO!$J$418*EFEITO!$Y$418</f>
        <v>252227.9012652094</v>
      </c>
      <c r="K418" s="46">
        <f>EFEITO!$L$418*EFEITO!$Z$418</f>
        <v>0</v>
      </c>
      <c r="L418" s="46">
        <f>EFEITO!$N$418*EFEITO!$AA$418</f>
        <v>0</v>
      </c>
      <c r="M418" s="46">
        <f ca="1">$J$418-EFEITO!$K$418*EFEITO!$Y$418</f>
        <v>144171.07976496872</v>
      </c>
      <c r="N418" s="46">
        <f>$K$418-EFEITO!$M$418*EFEITO!$Z$418</f>
        <v>0</v>
      </c>
      <c r="O418" s="46">
        <f>$L$418-EFEITO!$O$418*EFEITO!$AA$418</f>
        <v>0</v>
      </c>
      <c r="P418" s="38"/>
      <c r="Q418" s="38"/>
      <c r="R418" s="38"/>
      <c r="S418" s="38"/>
      <c r="T418" s="38"/>
      <c r="U418" s="38"/>
      <c r="V418" s="38"/>
      <c r="W418" s="38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35" t="s">
        <v>21</v>
      </c>
      <c r="B419" s="35" t="s">
        <v>39</v>
      </c>
      <c r="C419" s="35" t="s">
        <v>41</v>
      </c>
      <c r="D419" s="35" t="s">
        <v>38</v>
      </c>
      <c r="E419" s="35" t="s">
        <v>25</v>
      </c>
      <c r="F419" s="35" t="s">
        <v>58</v>
      </c>
      <c r="G419" s="35" t="s">
        <v>25</v>
      </c>
      <c r="H419" s="35" t="s">
        <v>34</v>
      </c>
      <c r="I419" s="45">
        <v>44228</v>
      </c>
      <c r="J419" s="46">
        <f>EFEITO!$J$419*EFEITO!$Y$419</f>
        <v>0</v>
      </c>
      <c r="K419" s="46">
        <f ca="1">EFEITO!$L$419*EFEITO!$Z$419</f>
        <v>296540.21616853646</v>
      </c>
      <c r="L419" s="46">
        <f>EFEITO!$N$419*EFEITO!$AA$419</f>
        <v>0</v>
      </c>
      <c r="M419" s="46">
        <f>$J$419-EFEITO!$K$419*EFEITO!$Y$419</f>
        <v>0</v>
      </c>
      <c r="N419" s="46">
        <f ca="1">$K$419-EFEITO!$M$419*EFEITO!$Z$419</f>
        <v>145637.97857532822</v>
      </c>
      <c r="O419" s="46">
        <f>$L$419-EFEITO!$O$419*EFEITO!$AA$419</f>
        <v>0</v>
      </c>
      <c r="P419" s="38"/>
      <c r="Q419" s="38"/>
      <c r="R419" s="38"/>
      <c r="S419" s="38"/>
      <c r="T419" s="38"/>
      <c r="U419" s="38"/>
      <c r="V419" s="38"/>
      <c r="W419" s="38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35" t="s">
        <v>21</v>
      </c>
      <c r="B420" s="35" t="s">
        <v>39</v>
      </c>
      <c r="C420" s="35" t="s">
        <v>41</v>
      </c>
      <c r="D420" s="35" t="s">
        <v>38</v>
      </c>
      <c r="E420" s="35" t="s">
        <v>25</v>
      </c>
      <c r="F420" s="35" t="s">
        <v>58</v>
      </c>
      <c r="G420" s="35" t="s">
        <v>25</v>
      </c>
      <c r="H420" s="35" t="s">
        <v>34</v>
      </c>
      <c r="I420" s="45">
        <v>44256</v>
      </c>
      <c r="J420" s="46">
        <f>EFEITO!$J$420*EFEITO!$Y$420</f>
        <v>0</v>
      </c>
      <c r="K420" s="46">
        <f ca="1">EFEITO!$L$420*EFEITO!$Z$420</f>
        <v>229105.10881118549</v>
      </c>
      <c r="L420" s="46">
        <f>EFEITO!$N$420*EFEITO!$AA$420</f>
        <v>0</v>
      </c>
      <c r="M420" s="46">
        <f>$J$420-EFEITO!$K$420*EFEITO!$Y$420</f>
        <v>0</v>
      </c>
      <c r="N420" s="46">
        <f ca="1">$K$420-EFEITO!$M$420*EFEITO!$Z$420</f>
        <v>111905.33422427194</v>
      </c>
      <c r="O420" s="46">
        <f>$L$420-EFEITO!$O$420*EFEITO!$AA$420</f>
        <v>0</v>
      </c>
      <c r="P420" s="38"/>
      <c r="Q420" s="38"/>
      <c r="R420" s="38"/>
      <c r="S420" s="38"/>
      <c r="T420" s="38"/>
      <c r="U420" s="38"/>
      <c r="V420" s="38"/>
      <c r="W420" s="38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35" t="s">
        <v>21</v>
      </c>
      <c r="B421" s="35" t="s">
        <v>39</v>
      </c>
      <c r="C421" s="35" t="s">
        <v>41</v>
      </c>
      <c r="D421" s="35" t="s">
        <v>38</v>
      </c>
      <c r="E421" s="35" t="s">
        <v>25</v>
      </c>
      <c r="F421" s="35" t="s">
        <v>58</v>
      </c>
      <c r="G421" s="35" t="s">
        <v>25</v>
      </c>
      <c r="H421" s="35" t="s">
        <v>34</v>
      </c>
      <c r="I421" s="45">
        <v>44287</v>
      </c>
      <c r="J421" s="46">
        <f>EFEITO!$J$421*EFEITO!$Y$421</f>
        <v>0</v>
      </c>
      <c r="K421" s="46">
        <f ca="1">EFEITO!$L$421*EFEITO!$Z$421</f>
        <v>286076.48410086945</v>
      </c>
      <c r="L421" s="46">
        <f>EFEITO!$N$421*EFEITO!$AA$421</f>
        <v>0</v>
      </c>
      <c r="M421" s="46">
        <f>$J$421-EFEITO!$K$421*EFEITO!$Y$421</f>
        <v>0</v>
      </c>
      <c r="N421" s="46">
        <f ca="1">$K$421-EFEITO!$M$421*EFEITO!$Z$421</f>
        <v>141553.22188223197</v>
      </c>
      <c r="O421" s="46">
        <f>$L$421-EFEITO!$O$421*EFEITO!$AA$421</f>
        <v>0</v>
      </c>
      <c r="P421" s="38"/>
      <c r="Q421" s="38"/>
      <c r="R421" s="38"/>
      <c r="S421" s="38"/>
      <c r="T421" s="38"/>
      <c r="U421" s="38"/>
      <c r="V421" s="38"/>
      <c r="W421" s="38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35" t="s">
        <v>21</v>
      </c>
      <c r="B422" s="35" t="s">
        <v>39</v>
      </c>
      <c r="C422" s="35" t="s">
        <v>41</v>
      </c>
      <c r="D422" s="35" t="s">
        <v>38</v>
      </c>
      <c r="E422" s="35" t="s">
        <v>25</v>
      </c>
      <c r="F422" s="35" t="s">
        <v>58</v>
      </c>
      <c r="G422" s="35" t="s">
        <v>25</v>
      </c>
      <c r="H422" s="35" t="s">
        <v>34</v>
      </c>
      <c r="I422" s="45">
        <v>44317</v>
      </c>
      <c r="J422" s="46">
        <f>EFEITO!$J$422*EFEITO!$Y$422</f>
        <v>0</v>
      </c>
      <c r="K422" s="46">
        <f ca="1">EFEITO!$L$422*EFEITO!$Z$422</f>
        <v>261989.00074723057</v>
      </c>
      <c r="L422" s="46">
        <f>EFEITO!$N$422*EFEITO!$AA$422</f>
        <v>0</v>
      </c>
      <c r="M422" s="46">
        <f>$J$422-EFEITO!$K$422*EFEITO!$Y$422</f>
        <v>0</v>
      </c>
      <c r="N422" s="46">
        <f ca="1">$K$422-EFEITO!$M$422*EFEITO!$Z$422</f>
        <v>130489.8021426858</v>
      </c>
      <c r="O422" s="46">
        <f>$L$422-EFEITO!$O$422*EFEITO!$AA$422</f>
        <v>0</v>
      </c>
      <c r="P422" s="38"/>
      <c r="Q422" s="38"/>
      <c r="R422" s="38"/>
      <c r="S422" s="38"/>
      <c r="T422" s="38"/>
      <c r="U422" s="38"/>
      <c r="V422" s="38"/>
      <c r="W422" s="38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35" t="s">
        <v>21</v>
      </c>
      <c r="B423" s="35" t="s">
        <v>39</v>
      </c>
      <c r="C423" s="35" t="s">
        <v>41</v>
      </c>
      <c r="D423" s="35" t="s">
        <v>38</v>
      </c>
      <c r="E423" s="35" t="s">
        <v>25</v>
      </c>
      <c r="F423" s="35" t="s">
        <v>58</v>
      </c>
      <c r="G423" s="35" t="s">
        <v>25</v>
      </c>
      <c r="H423" s="35" t="s">
        <v>34</v>
      </c>
      <c r="I423" s="45">
        <v>44348</v>
      </c>
      <c r="J423" s="46">
        <f>EFEITO!$J$423*EFEITO!$Y$423</f>
        <v>0</v>
      </c>
      <c r="K423" s="46">
        <f ca="1">EFEITO!$L$423*EFEITO!$Z$423</f>
        <v>274633.72197556181</v>
      </c>
      <c r="L423" s="46">
        <f>EFEITO!$N$423*EFEITO!$AA$423</f>
        <v>0</v>
      </c>
      <c r="M423" s="46">
        <f>$J$423-EFEITO!$K$423*EFEITO!$Y$423</f>
        <v>0</v>
      </c>
      <c r="N423" s="46">
        <f ca="1">$K$423-EFEITO!$M$423*EFEITO!$Z$423</f>
        <v>138524.51609243569</v>
      </c>
      <c r="O423" s="46">
        <f>$L$423-EFEITO!$O$423*EFEITO!$AA$423</f>
        <v>0</v>
      </c>
      <c r="P423" s="38"/>
      <c r="Q423" s="38"/>
      <c r="R423" s="38"/>
      <c r="S423" s="38"/>
      <c r="T423" s="38"/>
      <c r="U423" s="38"/>
      <c r="V423" s="38"/>
      <c r="W423" s="38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35" t="s">
        <v>21</v>
      </c>
      <c r="B424" s="35" t="s">
        <v>39</v>
      </c>
      <c r="C424" s="35" t="s">
        <v>41</v>
      </c>
      <c r="D424" s="35" t="s">
        <v>38</v>
      </c>
      <c r="E424" s="35" t="s">
        <v>25</v>
      </c>
      <c r="F424" s="35" t="s">
        <v>58</v>
      </c>
      <c r="G424" s="35" t="s">
        <v>25</v>
      </c>
      <c r="H424" s="35" t="s">
        <v>34</v>
      </c>
      <c r="I424" s="45">
        <v>44378</v>
      </c>
      <c r="J424" s="46">
        <f>EFEITO!$J$424*EFEITO!$Y$424</f>
        <v>0</v>
      </c>
      <c r="K424" s="46">
        <f ca="1">EFEITO!$L$424*EFEITO!$Z$424</f>
        <v>292272.05382047343</v>
      </c>
      <c r="L424" s="46">
        <f>EFEITO!$N$424*EFEITO!$AA$424</f>
        <v>0</v>
      </c>
      <c r="M424" s="46">
        <f>$J$424-EFEITO!$K$424*EFEITO!$Y$424</f>
        <v>0</v>
      </c>
      <c r="N424" s="46">
        <f ca="1">$K$424-EFEITO!$M$424*EFEITO!$Z$424</f>
        <v>144737.32392403239</v>
      </c>
      <c r="O424" s="46">
        <f>$L$424-EFEITO!$O$424*EFEITO!$AA$424</f>
        <v>0</v>
      </c>
      <c r="P424" s="38"/>
      <c r="Q424" s="38"/>
      <c r="R424" s="38"/>
      <c r="S424" s="38"/>
      <c r="T424" s="38"/>
      <c r="U424" s="38"/>
      <c r="V424" s="38"/>
      <c r="W424" s="38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35" t="s">
        <v>21</v>
      </c>
      <c r="B425" s="35" t="s">
        <v>39</v>
      </c>
      <c r="C425" s="35" t="s">
        <v>41</v>
      </c>
      <c r="D425" s="35" t="s">
        <v>38</v>
      </c>
      <c r="E425" s="35" t="s">
        <v>25</v>
      </c>
      <c r="F425" s="35" t="s">
        <v>58</v>
      </c>
      <c r="G425" s="35" t="s">
        <v>25</v>
      </c>
      <c r="H425" s="35" t="s">
        <v>34</v>
      </c>
      <c r="I425" s="45">
        <v>44409</v>
      </c>
      <c r="J425" s="46">
        <f>EFEITO!$J$425*EFEITO!$Y$425</f>
        <v>0</v>
      </c>
      <c r="K425" s="46">
        <f ca="1">EFEITO!$L$425*EFEITO!$Z$425</f>
        <v>297403.13734837336</v>
      </c>
      <c r="L425" s="46">
        <f>EFEITO!$N$425*EFEITO!$AA$425</f>
        <v>0</v>
      </c>
      <c r="M425" s="46">
        <f>$J$425-EFEITO!$K$425*EFEITO!$Y$425</f>
        <v>0</v>
      </c>
      <c r="N425" s="46">
        <f ca="1">$K$425-EFEITO!$M$425*EFEITO!$Z$425</f>
        <v>147109.48938111376</v>
      </c>
      <c r="O425" s="46">
        <f>$L$425-EFEITO!$O$425*EFEITO!$AA$425</f>
        <v>0</v>
      </c>
      <c r="P425" s="38"/>
      <c r="Q425" s="38"/>
      <c r="R425" s="38"/>
      <c r="S425" s="38"/>
      <c r="T425" s="38"/>
      <c r="U425" s="38"/>
      <c r="V425" s="38"/>
      <c r="W425" s="38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35" t="s">
        <v>21</v>
      </c>
      <c r="B426" s="35" t="s">
        <v>39</v>
      </c>
      <c r="C426" s="35" t="s">
        <v>41</v>
      </c>
      <c r="D426" s="35" t="s">
        <v>38</v>
      </c>
      <c r="E426" s="35" t="s">
        <v>25</v>
      </c>
      <c r="F426" s="35" t="s">
        <v>58</v>
      </c>
      <c r="G426" s="35" t="s">
        <v>25</v>
      </c>
      <c r="H426" s="35" t="s">
        <v>34</v>
      </c>
      <c r="I426" s="45">
        <v>44440</v>
      </c>
      <c r="J426" s="46">
        <f>EFEITO!$J$426*EFEITO!$Y$426</f>
        <v>0</v>
      </c>
      <c r="K426" s="46">
        <f ca="1">EFEITO!$L$426*EFEITO!$Z$426</f>
        <v>312661.70163382083</v>
      </c>
      <c r="L426" s="46">
        <f>EFEITO!$N$426*EFEITO!$AA$426</f>
        <v>0</v>
      </c>
      <c r="M426" s="46">
        <f>$J$426-EFEITO!$K$426*EFEITO!$Y$426</f>
        <v>0</v>
      </c>
      <c r="N426" s="46">
        <f ca="1">$K$426-EFEITO!$M$426*EFEITO!$Z$426</f>
        <v>154679.91261362439</v>
      </c>
      <c r="O426" s="46">
        <f>$L$426-EFEITO!$O$426*EFEITO!$AA$426</f>
        <v>0</v>
      </c>
      <c r="P426" s="38"/>
      <c r="Q426" s="38"/>
      <c r="R426" s="38"/>
      <c r="S426" s="38"/>
      <c r="T426" s="38"/>
      <c r="U426" s="38"/>
      <c r="V426" s="38"/>
      <c r="W426" s="38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35" t="s">
        <v>21</v>
      </c>
      <c r="B427" s="35" t="s">
        <v>39</v>
      </c>
      <c r="C427" s="35" t="s">
        <v>41</v>
      </c>
      <c r="D427" s="35" t="s">
        <v>38</v>
      </c>
      <c r="E427" s="35" t="s">
        <v>25</v>
      </c>
      <c r="F427" s="35" t="s">
        <v>58</v>
      </c>
      <c r="G427" s="35" t="s">
        <v>25</v>
      </c>
      <c r="H427" s="35" t="s">
        <v>34</v>
      </c>
      <c r="I427" s="45">
        <v>44470</v>
      </c>
      <c r="J427" s="46">
        <f>EFEITO!$J$427*EFEITO!$Y$427</f>
        <v>0</v>
      </c>
      <c r="K427" s="46">
        <f ca="1">EFEITO!$L$427*EFEITO!$Z$427</f>
        <v>338538.19057665864</v>
      </c>
      <c r="L427" s="46">
        <f>EFEITO!$N$427*EFEITO!$AA$427</f>
        <v>0</v>
      </c>
      <c r="M427" s="46">
        <f>$J$427-EFEITO!$K$427*EFEITO!$Y$427</f>
        <v>0</v>
      </c>
      <c r="N427" s="46">
        <f ca="1">$K$427-EFEITO!$M$427*EFEITO!$Z$427</f>
        <v>136226.06165556691</v>
      </c>
      <c r="O427" s="46">
        <f>$L$427-EFEITO!$O$427*EFEITO!$AA$427</f>
        <v>0</v>
      </c>
      <c r="P427" s="38"/>
      <c r="Q427" s="38"/>
      <c r="R427" s="38"/>
      <c r="S427" s="38"/>
      <c r="T427" s="38"/>
      <c r="U427" s="38"/>
      <c r="V427" s="38"/>
      <c r="W427" s="38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35" t="s">
        <v>21</v>
      </c>
      <c r="B428" s="35" t="s">
        <v>39</v>
      </c>
      <c r="C428" s="35" t="s">
        <v>41</v>
      </c>
      <c r="D428" s="35" t="s">
        <v>38</v>
      </c>
      <c r="E428" s="35" t="s">
        <v>25</v>
      </c>
      <c r="F428" s="35" t="s">
        <v>58</v>
      </c>
      <c r="G428" s="35" t="s">
        <v>25</v>
      </c>
      <c r="H428" s="35" t="s">
        <v>34</v>
      </c>
      <c r="I428" s="45">
        <v>44501</v>
      </c>
      <c r="J428" s="46">
        <f>EFEITO!$J$428*EFEITO!$Y$428</f>
        <v>0</v>
      </c>
      <c r="K428" s="46">
        <f ca="1">EFEITO!$L$428*EFEITO!$Z$428</f>
        <v>343049.71713259822</v>
      </c>
      <c r="L428" s="46">
        <f>EFEITO!$N$428*EFEITO!$AA$428</f>
        <v>0</v>
      </c>
      <c r="M428" s="46">
        <f>$J$428-EFEITO!$K$428*EFEITO!$Y$428</f>
        <v>0</v>
      </c>
      <c r="N428" s="46">
        <f ca="1">$K$428-EFEITO!$M$428*EFEITO!$Z$428</f>
        <v>194153.69062281583</v>
      </c>
      <c r="O428" s="46">
        <f>$L$428-EFEITO!$O$428*EFEITO!$AA$428</f>
        <v>0</v>
      </c>
      <c r="P428" s="38"/>
      <c r="Q428" s="38"/>
      <c r="R428" s="38"/>
      <c r="S428" s="38"/>
      <c r="T428" s="38"/>
      <c r="U428" s="38"/>
      <c r="V428" s="38"/>
      <c r="W428" s="38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35" t="s">
        <v>21</v>
      </c>
      <c r="B429" s="35" t="s">
        <v>39</v>
      </c>
      <c r="C429" s="35" t="s">
        <v>41</v>
      </c>
      <c r="D429" s="35" t="s">
        <v>38</v>
      </c>
      <c r="E429" s="35" t="s">
        <v>25</v>
      </c>
      <c r="F429" s="35" t="s">
        <v>58</v>
      </c>
      <c r="G429" s="35" t="s">
        <v>25</v>
      </c>
      <c r="H429" s="35" t="s">
        <v>34</v>
      </c>
      <c r="I429" s="45">
        <v>44531</v>
      </c>
      <c r="J429" s="46">
        <f>EFEITO!$J$429*EFEITO!$Y$429</f>
        <v>0</v>
      </c>
      <c r="K429" s="46">
        <f ca="1">EFEITO!$L$429*EFEITO!$Z$429</f>
        <v>375815.6424487948</v>
      </c>
      <c r="L429" s="46">
        <f>EFEITO!$N$429*EFEITO!$AA$429</f>
        <v>0</v>
      </c>
      <c r="M429" s="46">
        <f>$J$429-EFEITO!$K$429*EFEITO!$Y$429</f>
        <v>0</v>
      </c>
      <c r="N429" s="46">
        <f ca="1">$K$429-EFEITO!$M$429*EFEITO!$Z$429</f>
        <v>191696.9110344153</v>
      </c>
      <c r="O429" s="46">
        <f>$L$429-EFEITO!$O$429*EFEITO!$AA$429</f>
        <v>0</v>
      </c>
      <c r="P429" s="38"/>
      <c r="Q429" s="38"/>
      <c r="R429" s="38"/>
      <c r="S429" s="38"/>
      <c r="T429" s="38"/>
      <c r="U429" s="38"/>
      <c r="V429" s="38"/>
      <c r="W429" s="38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35" t="s">
        <v>55</v>
      </c>
      <c r="B430" s="35" t="s">
        <v>39</v>
      </c>
      <c r="C430" s="35" t="s">
        <v>41</v>
      </c>
      <c r="D430" s="35" t="s">
        <v>38</v>
      </c>
      <c r="E430" s="35" t="s">
        <v>25</v>
      </c>
      <c r="F430" s="35" t="s">
        <v>58</v>
      </c>
      <c r="G430" s="35" t="s">
        <v>25</v>
      </c>
      <c r="H430" s="35" t="s">
        <v>34</v>
      </c>
      <c r="I430" s="45">
        <v>44562</v>
      </c>
      <c r="J430" s="46">
        <f>EFEITO!$J$430*EFEITO!$Y$430</f>
        <v>0</v>
      </c>
      <c r="K430" s="46">
        <f ca="1">EFEITO!$L$430*EFEITO!$Z$430</f>
        <v>375815.6424487948</v>
      </c>
      <c r="L430" s="46">
        <f>EFEITO!$N$430*EFEITO!$AA$430</f>
        <v>0</v>
      </c>
      <c r="M430" s="46">
        <f>$J$430-EFEITO!$K$430*EFEITO!$Y$430</f>
        <v>0</v>
      </c>
      <c r="N430" s="46">
        <f ca="1">$K$430-EFEITO!$M$430*EFEITO!$Z$430</f>
        <v>191696.9110344153</v>
      </c>
      <c r="O430" s="46">
        <f>$L$430-EFEITO!$O$430*EFEITO!$AA$430</f>
        <v>0</v>
      </c>
      <c r="P430" s="38"/>
      <c r="Q430" s="38"/>
      <c r="R430" s="38"/>
      <c r="S430" s="38"/>
      <c r="T430" s="38"/>
      <c r="U430" s="38"/>
      <c r="V430" s="38"/>
      <c r="W430" s="38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35" t="s">
        <v>21</v>
      </c>
      <c r="B431" s="35" t="s">
        <v>39</v>
      </c>
      <c r="C431" s="35" t="s">
        <v>41</v>
      </c>
      <c r="D431" s="35" t="s">
        <v>38</v>
      </c>
      <c r="E431" s="35" t="s">
        <v>25</v>
      </c>
      <c r="F431" s="35" t="s">
        <v>25</v>
      </c>
      <c r="G431" s="35" t="s">
        <v>25</v>
      </c>
      <c r="H431" s="35" t="s">
        <v>35</v>
      </c>
      <c r="I431" s="45">
        <v>44228</v>
      </c>
      <c r="J431" s="46">
        <f>EFEITO!$J$431*EFEITO!$Y$431</f>
        <v>0</v>
      </c>
      <c r="K431" s="46">
        <f ca="1">EFEITO!$L$431*EFEITO!$Z$431</f>
        <v>158068.07994763675</v>
      </c>
      <c r="L431" s="46">
        <f>EFEITO!$N$431*EFEITO!$AA$431</f>
        <v>757371.05112865416</v>
      </c>
      <c r="M431" s="46">
        <f>$J$431-EFEITO!$K$431*EFEITO!$Y$431</f>
        <v>0</v>
      </c>
      <c r="N431" s="46">
        <f ca="1">$K$431-EFEITO!$M$431*EFEITO!$Z$431</f>
        <v>0</v>
      </c>
      <c r="O431" s="46">
        <f>$L$431-EFEITO!$O$431*EFEITO!$AA$431</f>
        <v>0</v>
      </c>
      <c r="P431" s="38"/>
      <c r="Q431" s="38"/>
      <c r="R431" s="38"/>
      <c r="S431" s="38"/>
      <c r="T431" s="38"/>
      <c r="U431" s="38"/>
      <c r="V431" s="38"/>
      <c r="W431" s="38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35" t="s">
        <v>28</v>
      </c>
      <c r="B432" s="35" t="s">
        <v>39</v>
      </c>
      <c r="C432" s="35" t="s">
        <v>41</v>
      </c>
      <c r="D432" s="35" t="s">
        <v>38</v>
      </c>
      <c r="E432" s="35" t="s">
        <v>25</v>
      </c>
      <c r="F432" s="35" t="s">
        <v>25</v>
      </c>
      <c r="G432" s="35" t="s">
        <v>25</v>
      </c>
      <c r="H432" s="35" t="s">
        <v>35</v>
      </c>
      <c r="I432" s="45">
        <v>44228</v>
      </c>
      <c r="J432" s="46">
        <f>EFEITO!$J$432*EFEITO!$Y$432</f>
        <v>0</v>
      </c>
      <c r="K432" s="46">
        <f ca="1">EFEITO!$L$432*EFEITO!$Z$432</f>
        <v>4868.0772970351127</v>
      </c>
      <c r="L432" s="46">
        <f>EFEITO!$N$432*EFEITO!$AA$432</f>
        <v>23325.018059638573</v>
      </c>
      <c r="M432" s="46">
        <f>$J$432-EFEITO!$K$432*EFEITO!$Y$432</f>
        <v>0</v>
      </c>
      <c r="N432" s="46">
        <f ca="1">$K$432-EFEITO!$M$432*EFEITO!$Z$432</f>
        <v>0</v>
      </c>
      <c r="O432" s="46">
        <f>$L$432-EFEITO!$O$432*EFEITO!$AA$432</f>
        <v>0</v>
      </c>
      <c r="P432" s="38"/>
      <c r="Q432" s="38"/>
      <c r="R432" s="38"/>
      <c r="S432" s="38"/>
      <c r="T432" s="38"/>
      <c r="U432" s="38"/>
      <c r="V432" s="38"/>
      <c r="W432" s="38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35" t="s">
        <v>21</v>
      </c>
      <c r="B433" s="35" t="s">
        <v>39</v>
      </c>
      <c r="C433" s="35" t="s">
        <v>41</v>
      </c>
      <c r="D433" s="35" t="s">
        <v>38</v>
      </c>
      <c r="E433" s="35" t="s">
        <v>25</v>
      </c>
      <c r="F433" s="35" t="s">
        <v>25</v>
      </c>
      <c r="G433" s="35" t="s">
        <v>25</v>
      </c>
      <c r="H433" s="35" t="s">
        <v>35</v>
      </c>
      <c r="I433" s="45">
        <v>44228</v>
      </c>
      <c r="J433" s="46">
        <f>EFEITO!$J$433*EFEITO!$Y$433</f>
        <v>0</v>
      </c>
      <c r="K433" s="46">
        <f ca="1">EFEITO!$L$433*EFEITO!$Z$433</f>
        <v>40691.894580942957</v>
      </c>
      <c r="L433" s="46">
        <f>EFEITO!$N$433*EFEITO!$AA$433</f>
        <v>0</v>
      </c>
      <c r="M433" s="46">
        <f>$J$433-EFEITO!$K$433*EFEITO!$Y$433</f>
        <v>0</v>
      </c>
      <c r="N433" s="46">
        <f ca="1">$K$433-EFEITO!$M$433*EFEITO!$Z$433</f>
        <v>0</v>
      </c>
      <c r="O433" s="46">
        <f>$L$433-EFEITO!$O$433*EFEITO!$AA$433</f>
        <v>0</v>
      </c>
      <c r="P433" s="38"/>
      <c r="Q433" s="38"/>
      <c r="R433" s="38"/>
      <c r="S433" s="38"/>
      <c r="T433" s="38"/>
      <c r="U433" s="38"/>
      <c r="V433" s="38"/>
      <c r="W433" s="38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35" t="s">
        <v>21</v>
      </c>
      <c r="B434" s="35" t="s">
        <v>39</v>
      </c>
      <c r="C434" s="35" t="s">
        <v>41</v>
      </c>
      <c r="D434" s="35" t="s">
        <v>38</v>
      </c>
      <c r="E434" s="35" t="s">
        <v>25</v>
      </c>
      <c r="F434" s="35" t="s">
        <v>25</v>
      </c>
      <c r="G434" s="35" t="s">
        <v>25</v>
      </c>
      <c r="H434" s="35" t="s">
        <v>35</v>
      </c>
      <c r="I434" s="45">
        <v>44256</v>
      </c>
      <c r="J434" s="46">
        <f>EFEITO!$J$434*EFEITO!$Y$434</f>
        <v>0</v>
      </c>
      <c r="K434" s="46">
        <f ca="1">EFEITO!$L$434*EFEITO!$Z$434</f>
        <v>156508.55067466811</v>
      </c>
      <c r="L434" s="46">
        <f>EFEITO!$N$434*EFEITO!$AA$434</f>
        <v>749898.68653027702</v>
      </c>
      <c r="M434" s="46">
        <f>$J$434-EFEITO!$K$434*EFEITO!$Y$434</f>
        <v>0</v>
      </c>
      <c r="N434" s="46">
        <f ca="1">$K$434-EFEITO!$M$434*EFEITO!$Z$434</f>
        <v>0</v>
      </c>
      <c r="O434" s="46">
        <f>$L$434-EFEITO!$O$434*EFEITO!$AA$434</f>
        <v>0</v>
      </c>
      <c r="P434" s="38"/>
      <c r="Q434" s="38"/>
      <c r="R434" s="38"/>
      <c r="S434" s="38"/>
      <c r="T434" s="38"/>
      <c r="U434" s="38"/>
      <c r="V434" s="38"/>
      <c r="W434" s="38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35" t="s">
        <v>27</v>
      </c>
      <c r="B435" s="35" t="s">
        <v>39</v>
      </c>
      <c r="C435" s="35" t="s">
        <v>41</v>
      </c>
      <c r="D435" s="35" t="s">
        <v>38</v>
      </c>
      <c r="E435" s="35" t="s">
        <v>25</v>
      </c>
      <c r="F435" s="35" t="s">
        <v>25</v>
      </c>
      <c r="G435" s="35" t="s">
        <v>25</v>
      </c>
      <c r="H435" s="35" t="s">
        <v>35</v>
      </c>
      <c r="I435" s="45">
        <v>44256</v>
      </c>
      <c r="J435" s="46">
        <f>EFEITO!$J$435*EFEITO!$Y$435</f>
        <v>0</v>
      </c>
      <c r="K435" s="46">
        <f ca="1">EFEITO!$L$435*EFEITO!$Z$435</f>
        <v>-3250.6954823990732</v>
      </c>
      <c r="L435" s="46">
        <f>EFEITO!$N$435*EFEITO!$AA$435</f>
        <v>-15575.457456175434</v>
      </c>
      <c r="M435" s="46">
        <f>$J$435-EFEITO!$K$435*EFEITO!$Y$435</f>
        <v>0</v>
      </c>
      <c r="N435" s="46">
        <f ca="1">$K$435-EFEITO!$M$435*EFEITO!$Z$435</f>
        <v>0</v>
      </c>
      <c r="O435" s="46">
        <f>$L$435-EFEITO!$O$435*EFEITO!$AA$435</f>
        <v>0</v>
      </c>
      <c r="P435" s="38"/>
      <c r="Q435" s="38"/>
      <c r="R435" s="38"/>
      <c r="S435" s="38"/>
      <c r="T435" s="38"/>
      <c r="U435" s="38"/>
      <c r="V435" s="38"/>
      <c r="W435" s="38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35" t="s">
        <v>28</v>
      </c>
      <c r="B436" s="35" t="s">
        <v>39</v>
      </c>
      <c r="C436" s="35" t="s">
        <v>41</v>
      </c>
      <c r="D436" s="35" t="s">
        <v>38</v>
      </c>
      <c r="E436" s="35" t="s">
        <v>25</v>
      </c>
      <c r="F436" s="35" t="s">
        <v>25</v>
      </c>
      <c r="G436" s="35" t="s">
        <v>25</v>
      </c>
      <c r="H436" s="35" t="s">
        <v>35</v>
      </c>
      <c r="I436" s="45">
        <v>44256</v>
      </c>
      <c r="J436" s="46">
        <f>EFEITO!$J$436*EFEITO!$Y$436</f>
        <v>0</v>
      </c>
      <c r="K436" s="46">
        <f ca="1">EFEITO!$L$436*EFEITO!$Z$436</f>
        <v>6800.9098035856359</v>
      </c>
      <c r="L436" s="46">
        <f>EFEITO!$N$436*EFEITO!$AA$436</f>
        <v>32586.036398235068</v>
      </c>
      <c r="M436" s="46">
        <f>$J$436-EFEITO!$K$436*EFEITO!$Y$436</f>
        <v>0</v>
      </c>
      <c r="N436" s="46">
        <f ca="1">$K$436-EFEITO!$M$436*EFEITO!$Z$436</f>
        <v>0</v>
      </c>
      <c r="O436" s="46">
        <f>$L$436-EFEITO!$O$436*EFEITO!$AA$436</f>
        <v>0</v>
      </c>
      <c r="P436" s="38"/>
      <c r="Q436" s="38"/>
      <c r="R436" s="38"/>
      <c r="S436" s="38"/>
      <c r="T436" s="38"/>
      <c r="U436" s="38"/>
      <c r="V436" s="38"/>
      <c r="W436" s="38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35" t="s">
        <v>21</v>
      </c>
      <c r="B437" s="35" t="s">
        <v>39</v>
      </c>
      <c r="C437" s="35" t="s">
        <v>41</v>
      </c>
      <c r="D437" s="35" t="s">
        <v>38</v>
      </c>
      <c r="E437" s="35" t="s">
        <v>25</v>
      </c>
      <c r="F437" s="35" t="s">
        <v>25</v>
      </c>
      <c r="G437" s="35" t="s">
        <v>25</v>
      </c>
      <c r="H437" s="35" t="s">
        <v>35</v>
      </c>
      <c r="I437" s="45">
        <v>44256</v>
      </c>
      <c r="J437" s="46">
        <f>EFEITO!$J$437*EFEITO!$Y$437</f>
        <v>0</v>
      </c>
      <c r="K437" s="46">
        <f ca="1">EFEITO!$L$437*EFEITO!$Z$437</f>
        <v>47953.434088062822</v>
      </c>
      <c r="L437" s="46">
        <f>EFEITO!$N$437*EFEITO!$AA$437</f>
        <v>0</v>
      </c>
      <c r="M437" s="46">
        <f>$J$437-EFEITO!$K$437*EFEITO!$Y$437</f>
        <v>0</v>
      </c>
      <c r="N437" s="46">
        <f ca="1">$K$437-EFEITO!$M$437*EFEITO!$Z$437</f>
        <v>0</v>
      </c>
      <c r="O437" s="46">
        <f>$L$437-EFEITO!$O$437*EFEITO!$AA$437</f>
        <v>0</v>
      </c>
      <c r="P437" s="38"/>
      <c r="Q437" s="38"/>
      <c r="R437" s="38"/>
      <c r="S437" s="38"/>
      <c r="T437" s="38"/>
      <c r="U437" s="38"/>
      <c r="V437" s="38"/>
      <c r="W437" s="38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35" t="s">
        <v>21</v>
      </c>
      <c r="B438" s="35" t="s">
        <v>39</v>
      </c>
      <c r="C438" s="35" t="s">
        <v>41</v>
      </c>
      <c r="D438" s="35" t="s">
        <v>38</v>
      </c>
      <c r="E438" s="35" t="s">
        <v>25</v>
      </c>
      <c r="F438" s="35" t="s">
        <v>25</v>
      </c>
      <c r="G438" s="35" t="s">
        <v>25</v>
      </c>
      <c r="H438" s="35" t="s">
        <v>35</v>
      </c>
      <c r="I438" s="45">
        <v>44287</v>
      </c>
      <c r="J438" s="46">
        <f>EFEITO!$J$438*EFEITO!$Y$438</f>
        <v>0</v>
      </c>
      <c r="K438" s="46">
        <f ca="1">EFEITO!$L$438*EFEITO!$Z$438</f>
        <v>154092.33578683637</v>
      </c>
      <c r="L438" s="46">
        <f>EFEITO!$N$438*EFEITO!$AA$438</f>
        <v>738321.57867930515</v>
      </c>
      <c r="M438" s="46">
        <f>$J$438-EFEITO!$K$438*EFEITO!$Y$438</f>
        <v>0</v>
      </c>
      <c r="N438" s="46">
        <f ca="1">$K$438-EFEITO!$M$438*EFEITO!$Z$438</f>
        <v>0</v>
      </c>
      <c r="O438" s="46">
        <f>$L$438-EFEITO!$O$438*EFEITO!$AA$438</f>
        <v>0</v>
      </c>
      <c r="P438" s="38"/>
      <c r="Q438" s="38"/>
      <c r="R438" s="38"/>
      <c r="S438" s="38"/>
      <c r="T438" s="38"/>
      <c r="U438" s="38"/>
      <c r="V438" s="38"/>
      <c r="W438" s="38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35" t="s">
        <v>28</v>
      </c>
      <c r="B439" s="35" t="s">
        <v>39</v>
      </c>
      <c r="C439" s="35" t="s">
        <v>41</v>
      </c>
      <c r="D439" s="35" t="s">
        <v>38</v>
      </c>
      <c r="E439" s="35" t="s">
        <v>25</v>
      </c>
      <c r="F439" s="35" t="s">
        <v>25</v>
      </c>
      <c r="G439" s="35" t="s">
        <v>25</v>
      </c>
      <c r="H439" s="35" t="s">
        <v>35</v>
      </c>
      <c r="I439" s="45">
        <v>44287</v>
      </c>
      <c r="J439" s="46">
        <f>EFEITO!$J$439*EFEITO!$Y$439</f>
        <v>0</v>
      </c>
      <c r="K439" s="46">
        <f ca="1">EFEITO!$L$439*EFEITO!$Z$439</f>
        <v>6856.8206506531824</v>
      </c>
      <c r="L439" s="46">
        <f>EFEITO!$N$439*EFEITO!$AA$439</f>
        <v>32853.928922943844</v>
      </c>
      <c r="M439" s="46">
        <f>$J$439-EFEITO!$K$439*EFEITO!$Y$439</f>
        <v>0</v>
      </c>
      <c r="N439" s="46">
        <f ca="1">$K$439-EFEITO!$M$439*EFEITO!$Z$439</f>
        <v>0</v>
      </c>
      <c r="O439" s="46">
        <f>$L$439-EFEITO!$O$439*EFEITO!$AA$439</f>
        <v>0</v>
      </c>
      <c r="P439" s="38"/>
      <c r="Q439" s="38"/>
      <c r="R439" s="38"/>
      <c r="S439" s="38"/>
      <c r="T439" s="38"/>
      <c r="U439" s="38"/>
      <c r="V439" s="38"/>
      <c r="W439" s="38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35" t="s">
        <v>21</v>
      </c>
      <c r="B440" s="35" t="s">
        <v>39</v>
      </c>
      <c r="C440" s="35" t="s">
        <v>41</v>
      </c>
      <c r="D440" s="35" t="s">
        <v>38</v>
      </c>
      <c r="E440" s="35" t="s">
        <v>25</v>
      </c>
      <c r="F440" s="35" t="s">
        <v>25</v>
      </c>
      <c r="G440" s="35" t="s">
        <v>25</v>
      </c>
      <c r="H440" s="35" t="s">
        <v>35</v>
      </c>
      <c r="I440" s="45">
        <v>44287</v>
      </c>
      <c r="J440" s="46">
        <f>EFEITO!$J$440*EFEITO!$Y$440</f>
        <v>0</v>
      </c>
      <c r="K440" s="46">
        <f ca="1">EFEITO!$L$440*EFEITO!$Z$440</f>
        <v>49804.068189886253</v>
      </c>
      <c r="L440" s="46">
        <f>EFEITO!$N$440*EFEITO!$AA$440</f>
        <v>0</v>
      </c>
      <c r="M440" s="46">
        <f>$J$440-EFEITO!$K$440*EFEITO!$Y$440</f>
        <v>0</v>
      </c>
      <c r="N440" s="46">
        <f ca="1">$K$440-EFEITO!$M$440*EFEITO!$Z$440</f>
        <v>0</v>
      </c>
      <c r="O440" s="46">
        <f>$L$440-EFEITO!$O$440*EFEITO!$AA$440</f>
        <v>0</v>
      </c>
      <c r="P440" s="38"/>
      <c r="Q440" s="38"/>
      <c r="R440" s="38"/>
      <c r="S440" s="38"/>
      <c r="T440" s="38"/>
      <c r="U440" s="38"/>
      <c r="V440" s="38"/>
      <c r="W440" s="38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35" t="s">
        <v>21</v>
      </c>
      <c r="B441" s="35" t="s">
        <v>39</v>
      </c>
      <c r="C441" s="35" t="s">
        <v>41</v>
      </c>
      <c r="D441" s="35" t="s">
        <v>38</v>
      </c>
      <c r="E441" s="35" t="s">
        <v>25</v>
      </c>
      <c r="F441" s="35" t="s">
        <v>25</v>
      </c>
      <c r="G441" s="35" t="s">
        <v>25</v>
      </c>
      <c r="H441" s="35" t="s">
        <v>35</v>
      </c>
      <c r="I441" s="45">
        <v>44317</v>
      </c>
      <c r="J441" s="46">
        <f>EFEITO!$J$441*EFEITO!$Y$441</f>
        <v>0</v>
      </c>
      <c r="K441" s="46">
        <f ca="1">EFEITO!$L$441*EFEITO!$Z$441</f>
        <v>161984.17923329293</v>
      </c>
      <c r="L441" s="46">
        <f>EFEITO!$N$441*EFEITO!$AA$441</f>
        <v>776134.73974487651</v>
      </c>
      <c r="M441" s="46">
        <f>$J$441-EFEITO!$K$441*EFEITO!$Y$441</f>
        <v>0</v>
      </c>
      <c r="N441" s="46">
        <f ca="1">$K$441-EFEITO!$M$441*EFEITO!$Z$441</f>
        <v>0</v>
      </c>
      <c r="O441" s="46">
        <f>$L$441-EFEITO!$O$441*EFEITO!$AA$441</f>
        <v>0</v>
      </c>
      <c r="P441" s="38"/>
      <c r="Q441" s="38"/>
      <c r="R441" s="38"/>
      <c r="S441" s="38"/>
      <c r="T441" s="38"/>
      <c r="U441" s="38"/>
      <c r="V441" s="38"/>
      <c r="W441" s="38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35" t="s">
        <v>28</v>
      </c>
      <c r="B442" s="35" t="s">
        <v>39</v>
      </c>
      <c r="C442" s="35" t="s">
        <v>41</v>
      </c>
      <c r="D442" s="35" t="s">
        <v>38</v>
      </c>
      <c r="E442" s="35" t="s">
        <v>25</v>
      </c>
      <c r="F442" s="35" t="s">
        <v>25</v>
      </c>
      <c r="G442" s="35" t="s">
        <v>25</v>
      </c>
      <c r="H442" s="35" t="s">
        <v>35</v>
      </c>
      <c r="I442" s="45">
        <v>44317</v>
      </c>
      <c r="J442" s="46">
        <f>EFEITO!$J$442*EFEITO!$Y$442</f>
        <v>0</v>
      </c>
      <c r="K442" s="46">
        <f ca="1">EFEITO!$L$442*EFEITO!$Z$442</f>
        <v>6201.6729778465678</v>
      </c>
      <c r="L442" s="46">
        <f>EFEITO!$N$442*EFEITO!$AA$442</f>
        <v>29714.839223351046</v>
      </c>
      <c r="M442" s="46">
        <f>$J$442-EFEITO!$K$442*EFEITO!$Y$442</f>
        <v>0</v>
      </c>
      <c r="N442" s="46">
        <f ca="1">$K$442-EFEITO!$M$442*EFEITO!$Z$442</f>
        <v>0</v>
      </c>
      <c r="O442" s="46">
        <f>$L$442-EFEITO!$O$442*EFEITO!$AA$442</f>
        <v>0</v>
      </c>
      <c r="P442" s="38"/>
      <c r="Q442" s="38"/>
      <c r="R442" s="38"/>
      <c r="S442" s="38"/>
      <c r="T442" s="38"/>
      <c r="U442" s="38"/>
      <c r="V442" s="38"/>
      <c r="W442" s="38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35" t="s">
        <v>21</v>
      </c>
      <c r="B443" s="35" t="s">
        <v>39</v>
      </c>
      <c r="C443" s="35" t="s">
        <v>41</v>
      </c>
      <c r="D443" s="35" t="s">
        <v>38</v>
      </c>
      <c r="E443" s="35" t="s">
        <v>25</v>
      </c>
      <c r="F443" s="35" t="s">
        <v>25</v>
      </c>
      <c r="G443" s="35" t="s">
        <v>25</v>
      </c>
      <c r="H443" s="35" t="s">
        <v>35</v>
      </c>
      <c r="I443" s="45">
        <v>44317</v>
      </c>
      <c r="J443" s="46">
        <f>EFEITO!$J$443*EFEITO!$Y$443</f>
        <v>0</v>
      </c>
      <c r="K443" s="46">
        <f ca="1">EFEITO!$L$443*EFEITO!$Z$443</f>
        <v>36026.699476071917</v>
      </c>
      <c r="L443" s="46">
        <f>EFEITO!$N$443*EFEITO!$AA$443</f>
        <v>0</v>
      </c>
      <c r="M443" s="46">
        <f>$J$443-EFEITO!$K$443*EFEITO!$Y$443</f>
        <v>0</v>
      </c>
      <c r="N443" s="46">
        <f ca="1">$K$443-EFEITO!$M$443*EFEITO!$Z$443</f>
        <v>0</v>
      </c>
      <c r="O443" s="46">
        <f>$L$443-EFEITO!$O$443*EFEITO!$AA$443</f>
        <v>0</v>
      </c>
      <c r="P443" s="38"/>
      <c r="Q443" s="38"/>
      <c r="R443" s="38"/>
      <c r="S443" s="38"/>
      <c r="T443" s="38"/>
      <c r="U443" s="38"/>
      <c r="V443" s="38"/>
      <c r="W443" s="38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35" t="s">
        <v>21</v>
      </c>
      <c r="B444" s="35" t="s">
        <v>39</v>
      </c>
      <c r="C444" s="35" t="s">
        <v>41</v>
      </c>
      <c r="D444" s="35" t="s">
        <v>38</v>
      </c>
      <c r="E444" s="35" t="s">
        <v>25</v>
      </c>
      <c r="F444" s="35" t="s">
        <v>25</v>
      </c>
      <c r="G444" s="35" t="s">
        <v>25</v>
      </c>
      <c r="H444" s="35" t="s">
        <v>35</v>
      </c>
      <c r="I444" s="45">
        <v>44348</v>
      </c>
      <c r="J444" s="46">
        <f>EFEITO!$J$444*EFEITO!$Y$444</f>
        <v>0</v>
      </c>
      <c r="K444" s="46">
        <f ca="1">EFEITO!$L$444*EFEITO!$Z$444</f>
        <v>158081.97053208185</v>
      </c>
      <c r="L444" s="46">
        <f>EFEITO!$N$444*EFEITO!$AA$444</f>
        <v>757437.60679596826</v>
      </c>
      <c r="M444" s="46">
        <f>$J$444-EFEITO!$K$444*EFEITO!$Y$444</f>
        <v>0</v>
      </c>
      <c r="N444" s="46">
        <f ca="1">$K$444-EFEITO!$M$444*EFEITO!$Z$444</f>
        <v>0</v>
      </c>
      <c r="O444" s="46">
        <f>$L$444-EFEITO!$O$444*EFEITO!$AA$444</f>
        <v>0</v>
      </c>
      <c r="P444" s="38"/>
      <c r="Q444" s="38"/>
      <c r="R444" s="38"/>
      <c r="S444" s="38"/>
      <c r="T444" s="38"/>
      <c r="U444" s="38"/>
      <c r="V444" s="38"/>
      <c r="W444" s="3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35" t="s">
        <v>27</v>
      </c>
      <c r="B445" s="35" t="s">
        <v>39</v>
      </c>
      <c r="C445" s="35" t="s">
        <v>41</v>
      </c>
      <c r="D445" s="35" t="s">
        <v>38</v>
      </c>
      <c r="E445" s="35" t="s">
        <v>25</v>
      </c>
      <c r="F445" s="35" t="s">
        <v>25</v>
      </c>
      <c r="G445" s="35" t="s">
        <v>25</v>
      </c>
      <c r="H445" s="35" t="s">
        <v>35</v>
      </c>
      <c r="I445" s="45">
        <v>44348</v>
      </c>
      <c r="J445" s="46">
        <f>EFEITO!$J$445*EFEITO!$Y$445</f>
        <v>0</v>
      </c>
      <c r="K445" s="46">
        <f ca="1">EFEITO!$L$445*EFEITO!$Z$445</f>
        <v>-4234.3878389089186</v>
      </c>
      <c r="L445" s="46">
        <f>EFEITO!$N$445*EFEITO!$AA$445</f>
        <v>-20288.74374575324</v>
      </c>
      <c r="M445" s="46">
        <f>$J$445-EFEITO!$K$445*EFEITO!$Y$445</f>
        <v>0</v>
      </c>
      <c r="N445" s="46">
        <f ca="1">$K$445-EFEITO!$M$445*EFEITO!$Z$445</f>
        <v>0</v>
      </c>
      <c r="O445" s="46">
        <f>$L$445-EFEITO!$O$445*EFEITO!$AA$445</f>
        <v>0</v>
      </c>
      <c r="P445" s="38"/>
      <c r="Q445" s="38"/>
      <c r="R445" s="38"/>
      <c r="S445" s="38"/>
      <c r="T445" s="38"/>
      <c r="U445" s="38"/>
      <c r="V445" s="38"/>
      <c r="W445" s="3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35" t="s">
        <v>28</v>
      </c>
      <c r="B446" s="35" t="s">
        <v>39</v>
      </c>
      <c r="C446" s="35" t="s">
        <v>41</v>
      </c>
      <c r="D446" s="35" t="s">
        <v>38</v>
      </c>
      <c r="E446" s="35" t="s">
        <v>25</v>
      </c>
      <c r="F446" s="35" t="s">
        <v>25</v>
      </c>
      <c r="G446" s="35" t="s">
        <v>25</v>
      </c>
      <c r="H446" s="35" t="s">
        <v>35</v>
      </c>
      <c r="I446" s="45">
        <v>44348</v>
      </c>
      <c r="J446" s="46">
        <f>EFEITO!$J$446*EFEITO!$Y$446</f>
        <v>0</v>
      </c>
      <c r="K446" s="46">
        <f ca="1">EFEITO!$L$446*EFEITO!$Z$446</f>
        <v>6689.1876835325893</v>
      </c>
      <c r="L446" s="46">
        <f>EFEITO!$N$446*EFEITO!$AA$446</f>
        <v>32050.728450375336</v>
      </c>
      <c r="M446" s="46">
        <f>$J$446-EFEITO!$K$446*EFEITO!$Y$446</f>
        <v>0</v>
      </c>
      <c r="N446" s="46">
        <f ca="1">$K$446-EFEITO!$M$446*EFEITO!$Z$446</f>
        <v>0</v>
      </c>
      <c r="O446" s="46">
        <f>$L$446-EFEITO!$O$446*EFEITO!$AA$446</f>
        <v>0</v>
      </c>
      <c r="P446" s="38"/>
      <c r="Q446" s="38"/>
      <c r="R446" s="38"/>
      <c r="S446" s="38"/>
      <c r="T446" s="38"/>
      <c r="U446" s="38"/>
      <c r="V446" s="38"/>
      <c r="W446" s="3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35" t="s">
        <v>21</v>
      </c>
      <c r="B447" s="35" t="s">
        <v>39</v>
      </c>
      <c r="C447" s="35" t="s">
        <v>41</v>
      </c>
      <c r="D447" s="35" t="s">
        <v>38</v>
      </c>
      <c r="E447" s="35" t="s">
        <v>25</v>
      </c>
      <c r="F447" s="35" t="s">
        <v>25</v>
      </c>
      <c r="G447" s="35" t="s">
        <v>25</v>
      </c>
      <c r="H447" s="35" t="s">
        <v>35</v>
      </c>
      <c r="I447" s="45">
        <v>44348</v>
      </c>
      <c r="J447" s="46">
        <f>EFEITO!$J$447*EFEITO!$Y$447</f>
        <v>0</v>
      </c>
      <c r="K447" s="46">
        <f ca="1">EFEITO!$L$447*EFEITO!$Z$447</f>
        <v>41206.045353575675</v>
      </c>
      <c r="L447" s="46">
        <f>EFEITO!$N$447*EFEITO!$AA$447</f>
        <v>0</v>
      </c>
      <c r="M447" s="46">
        <f>$J$447-EFEITO!$K$447*EFEITO!$Y$447</f>
        <v>0</v>
      </c>
      <c r="N447" s="46">
        <f ca="1">$K$447-EFEITO!$M$447*EFEITO!$Z$447</f>
        <v>0</v>
      </c>
      <c r="O447" s="46">
        <f>$L$447-EFEITO!$O$447*EFEITO!$AA$447</f>
        <v>0</v>
      </c>
      <c r="P447" s="38"/>
      <c r="Q447" s="38"/>
      <c r="R447" s="38"/>
      <c r="S447" s="38"/>
      <c r="T447" s="38"/>
      <c r="U447" s="38"/>
      <c r="V447" s="38"/>
      <c r="W447" s="3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35" t="s">
        <v>21</v>
      </c>
      <c r="B448" s="35" t="s">
        <v>39</v>
      </c>
      <c r="C448" s="35" t="s">
        <v>41</v>
      </c>
      <c r="D448" s="35" t="s">
        <v>38</v>
      </c>
      <c r="E448" s="35" t="s">
        <v>25</v>
      </c>
      <c r="F448" s="35" t="s">
        <v>25</v>
      </c>
      <c r="G448" s="35" t="s">
        <v>25</v>
      </c>
      <c r="H448" s="35" t="s">
        <v>35</v>
      </c>
      <c r="I448" s="45">
        <v>44378</v>
      </c>
      <c r="J448" s="46">
        <f>EFEITO!$J$448*EFEITO!$Y$448</f>
        <v>0</v>
      </c>
      <c r="K448" s="46">
        <f ca="1">EFEITO!$L$448*EFEITO!$Z$448</f>
        <v>172912.23558942639</v>
      </c>
      <c r="L448" s="46">
        <f>EFEITO!$N$448*EFEITO!$AA$448</f>
        <v>828495.68151110632</v>
      </c>
      <c r="M448" s="46">
        <f>$J$448-EFEITO!$K$448*EFEITO!$Y$448</f>
        <v>0</v>
      </c>
      <c r="N448" s="46">
        <f ca="1">$K$448-EFEITO!$M$448*EFEITO!$Z$448</f>
        <v>0</v>
      </c>
      <c r="O448" s="46">
        <f>$L$448-EFEITO!$O$448*EFEITO!$AA$448</f>
        <v>0</v>
      </c>
      <c r="P448" s="38"/>
      <c r="Q448" s="38"/>
      <c r="R448" s="38"/>
      <c r="S448" s="38"/>
      <c r="T448" s="38"/>
      <c r="U448" s="38"/>
      <c r="V448" s="38"/>
      <c r="W448" s="3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35" t="s">
        <v>28</v>
      </c>
      <c r="B449" s="35" t="s">
        <v>39</v>
      </c>
      <c r="C449" s="35" t="s">
        <v>41</v>
      </c>
      <c r="D449" s="35" t="s">
        <v>38</v>
      </c>
      <c r="E449" s="35" t="s">
        <v>25</v>
      </c>
      <c r="F449" s="35" t="s">
        <v>25</v>
      </c>
      <c r="G449" s="35" t="s">
        <v>25</v>
      </c>
      <c r="H449" s="35" t="s">
        <v>35</v>
      </c>
      <c r="I449" s="45">
        <v>44378</v>
      </c>
      <c r="J449" s="46">
        <f>EFEITO!$J$449*EFEITO!$Y$449</f>
        <v>0</v>
      </c>
      <c r="K449" s="46">
        <f ca="1">EFEITO!$L$449*EFEITO!$Z$449</f>
        <v>7683.484679780091</v>
      </c>
      <c r="L449" s="46">
        <f>EFEITO!$N$449*EFEITO!$AA$449</f>
        <v>36814.826055859616</v>
      </c>
      <c r="M449" s="46">
        <f>$J$449-EFEITO!$K$449*EFEITO!$Y$449</f>
        <v>0</v>
      </c>
      <c r="N449" s="46">
        <f ca="1">$K$449-EFEITO!$M$449*EFEITO!$Z$449</f>
        <v>0</v>
      </c>
      <c r="O449" s="46">
        <f>$L$449-EFEITO!$O$449*EFEITO!$AA$449</f>
        <v>0</v>
      </c>
      <c r="P449" s="38"/>
      <c r="Q449" s="38"/>
      <c r="R449" s="38"/>
      <c r="S449" s="38"/>
      <c r="T449" s="38"/>
      <c r="U449" s="38"/>
      <c r="V449" s="38"/>
      <c r="W449" s="3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35" t="s">
        <v>21</v>
      </c>
      <c r="B450" s="35" t="s">
        <v>39</v>
      </c>
      <c r="C450" s="35" t="s">
        <v>41</v>
      </c>
      <c r="D450" s="35" t="s">
        <v>38</v>
      </c>
      <c r="E450" s="35" t="s">
        <v>25</v>
      </c>
      <c r="F450" s="35" t="s">
        <v>25</v>
      </c>
      <c r="G450" s="35" t="s">
        <v>25</v>
      </c>
      <c r="H450" s="35" t="s">
        <v>35</v>
      </c>
      <c r="I450" s="45">
        <v>44378</v>
      </c>
      <c r="J450" s="46">
        <f>EFEITO!$J$450*EFEITO!$Y$450</f>
        <v>0</v>
      </c>
      <c r="K450" s="46">
        <f ca="1">EFEITO!$L$450*EFEITO!$Z$450</f>
        <v>42718.326724614577</v>
      </c>
      <c r="L450" s="46">
        <f>EFEITO!$N$450*EFEITO!$AA$450</f>
        <v>0</v>
      </c>
      <c r="M450" s="46">
        <f>$J$450-EFEITO!$K$450*EFEITO!$Y$450</f>
        <v>0</v>
      </c>
      <c r="N450" s="46">
        <f ca="1">$K$450-EFEITO!$M$450*EFEITO!$Z$450</f>
        <v>0</v>
      </c>
      <c r="O450" s="46">
        <f>$L$450-EFEITO!$O$450*EFEITO!$AA$450</f>
        <v>0</v>
      </c>
      <c r="P450" s="38"/>
      <c r="Q450" s="38"/>
      <c r="R450" s="38"/>
      <c r="S450" s="38"/>
      <c r="T450" s="38"/>
      <c r="U450" s="38"/>
      <c r="V450" s="38"/>
      <c r="W450" s="3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35" t="s">
        <v>21</v>
      </c>
      <c r="B451" s="35" t="s">
        <v>39</v>
      </c>
      <c r="C451" s="35" t="s">
        <v>41</v>
      </c>
      <c r="D451" s="35" t="s">
        <v>38</v>
      </c>
      <c r="E451" s="35" t="s">
        <v>25</v>
      </c>
      <c r="F451" s="35" t="s">
        <v>25</v>
      </c>
      <c r="G451" s="35" t="s">
        <v>25</v>
      </c>
      <c r="H451" s="35" t="s">
        <v>35</v>
      </c>
      <c r="I451" s="45">
        <v>44409</v>
      </c>
      <c r="J451" s="46">
        <f>EFEITO!$J$451*EFEITO!$Y$451</f>
        <v>0</v>
      </c>
      <c r="K451" s="46">
        <f ca="1">EFEITO!$L$451*EFEITO!$Z$451</f>
        <v>165924.47502088576</v>
      </c>
      <c r="L451" s="46">
        <f>EFEITO!$N$451*EFEITO!$AA$451</f>
        <v>795014.36403964611</v>
      </c>
      <c r="M451" s="46">
        <f>$J$451-EFEITO!$K$451*EFEITO!$Y$451</f>
        <v>0</v>
      </c>
      <c r="N451" s="46">
        <f ca="1">$K$451-EFEITO!$M$451*EFEITO!$Z$451</f>
        <v>0</v>
      </c>
      <c r="O451" s="46">
        <f>$L$451-EFEITO!$O$451*EFEITO!$AA$451</f>
        <v>0</v>
      </c>
      <c r="P451" s="38"/>
      <c r="Q451" s="38"/>
      <c r="R451" s="38"/>
      <c r="S451" s="38"/>
      <c r="T451" s="38"/>
      <c r="U451" s="38"/>
      <c r="V451" s="38"/>
      <c r="W451" s="3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35" t="s">
        <v>28</v>
      </c>
      <c r="B452" s="35" t="s">
        <v>39</v>
      </c>
      <c r="C452" s="35" t="s">
        <v>41</v>
      </c>
      <c r="D452" s="35" t="s">
        <v>38</v>
      </c>
      <c r="E452" s="35" t="s">
        <v>25</v>
      </c>
      <c r="F452" s="35" t="s">
        <v>25</v>
      </c>
      <c r="G452" s="35" t="s">
        <v>25</v>
      </c>
      <c r="H452" s="35" t="s">
        <v>35</v>
      </c>
      <c r="I452" s="45">
        <v>44409</v>
      </c>
      <c r="J452" s="46">
        <f>EFEITO!$J$452*EFEITO!$Y$452</f>
        <v>0</v>
      </c>
      <c r="K452" s="46">
        <f ca="1">EFEITO!$L$452*EFEITO!$Z$452</f>
        <v>9287.1750581351207</v>
      </c>
      <c r="L452" s="46">
        <f>EFEITO!$N$452*EFEITO!$AA$452</f>
        <v>44498.785195124263</v>
      </c>
      <c r="M452" s="46">
        <f>$J$452-EFEITO!$K$452*EFEITO!$Y$452</f>
        <v>0</v>
      </c>
      <c r="N452" s="46">
        <f ca="1">$K$452-EFEITO!$M$452*EFEITO!$Z$452</f>
        <v>0</v>
      </c>
      <c r="O452" s="46">
        <f>$L$452-EFEITO!$O$452*EFEITO!$AA$452</f>
        <v>0</v>
      </c>
      <c r="P452" s="38"/>
      <c r="Q452" s="38"/>
      <c r="R452" s="38"/>
      <c r="S452" s="38"/>
      <c r="T452" s="38"/>
      <c r="U452" s="38"/>
      <c r="V452" s="38"/>
      <c r="W452" s="3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35" t="s">
        <v>21</v>
      </c>
      <c r="B453" s="35" t="s">
        <v>39</v>
      </c>
      <c r="C453" s="35" t="s">
        <v>41</v>
      </c>
      <c r="D453" s="35" t="s">
        <v>38</v>
      </c>
      <c r="E453" s="35" t="s">
        <v>25</v>
      </c>
      <c r="F453" s="35" t="s">
        <v>25</v>
      </c>
      <c r="G453" s="35" t="s">
        <v>25</v>
      </c>
      <c r="H453" s="35" t="s">
        <v>35</v>
      </c>
      <c r="I453" s="45">
        <v>44409</v>
      </c>
      <c r="J453" s="46">
        <f>EFEITO!$J$453*EFEITO!$Y$453</f>
        <v>0</v>
      </c>
      <c r="K453" s="46">
        <f ca="1">EFEITO!$L$453*EFEITO!$Z$453</f>
        <v>49337.862337757586</v>
      </c>
      <c r="L453" s="46">
        <f>EFEITO!$N$453*EFEITO!$AA$453</f>
        <v>0</v>
      </c>
      <c r="M453" s="46">
        <f>$J$453-EFEITO!$K$453*EFEITO!$Y$453</f>
        <v>0</v>
      </c>
      <c r="N453" s="46">
        <f ca="1">$K$453-EFEITO!$M$453*EFEITO!$Z$453</f>
        <v>0</v>
      </c>
      <c r="O453" s="46">
        <f>$L$453-EFEITO!$O$453*EFEITO!$AA$453</f>
        <v>0</v>
      </c>
      <c r="P453" s="38"/>
      <c r="Q453" s="38"/>
      <c r="R453" s="38"/>
      <c r="S453" s="38"/>
      <c r="T453" s="38"/>
      <c r="U453" s="38"/>
      <c r="V453" s="38"/>
      <c r="W453" s="3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35" t="s">
        <v>21</v>
      </c>
      <c r="B454" s="35" t="s">
        <v>39</v>
      </c>
      <c r="C454" s="35" t="s">
        <v>41</v>
      </c>
      <c r="D454" s="35" t="s">
        <v>38</v>
      </c>
      <c r="E454" s="35" t="s">
        <v>25</v>
      </c>
      <c r="F454" s="35" t="s">
        <v>25</v>
      </c>
      <c r="G454" s="35" t="s">
        <v>25</v>
      </c>
      <c r="H454" s="35" t="s">
        <v>35</v>
      </c>
      <c r="I454" s="45">
        <v>44440</v>
      </c>
      <c r="J454" s="46">
        <f>EFEITO!$J$454*EFEITO!$Y$454</f>
        <v>0</v>
      </c>
      <c r="K454" s="46">
        <f ca="1">EFEITO!$L$454*EFEITO!$Z$454</f>
        <v>160874.62523707983</v>
      </c>
      <c r="L454" s="46">
        <f>EFEITO!$N$454*EFEITO!$AA$454</f>
        <v>770818.39708623034</v>
      </c>
      <c r="M454" s="46">
        <f>$J$454-EFEITO!$K$454*EFEITO!$Y$454</f>
        <v>0</v>
      </c>
      <c r="N454" s="46">
        <f ca="1">$K$454-EFEITO!$M$454*EFEITO!$Z$454</f>
        <v>0</v>
      </c>
      <c r="O454" s="46">
        <f>$L$454-EFEITO!$O$454*EFEITO!$AA$454</f>
        <v>0</v>
      </c>
      <c r="P454" s="38"/>
      <c r="Q454" s="38"/>
      <c r="R454" s="38"/>
      <c r="S454" s="38"/>
      <c r="T454" s="38"/>
      <c r="U454" s="38"/>
      <c r="V454" s="38"/>
      <c r="W454" s="3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35" t="s">
        <v>28</v>
      </c>
      <c r="B455" s="35" t="s">
        <v>39</v>
      </c>
      <c r="C455" s="35" t="s">
        <v>41</v>
      </c>
      <c r="D455" s="35" t="s">
        <v>38</v>
      </c>
      <c r="E455" s="35" t="s">
        <v>25</v>
      </c>
      <c r="F455" s="35" t="s">
        <v>25</v>
      </c>
      <c r="G455" s="35" t="s">
        <v>25</v>
      </c>
      <c r="H455" s="35" t="s">
        <v>35</v>
      </c>
      <c r="I455" s="45">
        <v>44440</v>
      </c>
      <c r="J455" s="46">
        <f>EFEITO!$J$455*EFEITO!$Y$455</f>
        <v>0</v>
      </c>
      <c r="K455" s="46">
        <f ca="1">EFEITO!$L$455*EFEITO!$Z$455</f>
        <v>8051.7594222187654</v>
      </c>
      <c r="L455" s="46">
        <f>EFEITO!$N$455*EFEITO!$AA$455</f>
        <v>38579.386167409721</v>
      </c>
      <c r="M455" s="46">
        <f>$J$455-EFEITO!$K$455*EFEITO!$Y$455</f>
        <v>0</v>
      </c>
      <c r="N455" s="46">
        <f ca="1">$K$455-EFEITO!$M$455*EFEITO!$Z$455</f>
        <v>0</v>
      </c>
      <c r="O455" s="46">
        <f>$L$455-EFEITO!$O$455*EFEITO!$AA$455</f>
        <v>0</v>
      </c>
      <c r="P455" s="38"/>
      <c r="Q455" s="38"/>
      <c r="R455" s="38"/>
      <c r="S455" s="38"/>
      <c r="T455" s="38"/>
      <c r="U455" s="38"/>
      <c r="V455" s="38"/>
      <c r="W455" s="3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35" t="s">
        <v>21</v>
      </c>
      <c r="B456" s="35" t="s">
        <v>39</v>
      </c>
      <c r="C456" s="35" t="s">
        <v>41</v>
      </c>
      <c r="D456" s="35" t="s">
        <v>38</v>
      </c>
      <c r="E456" s="35" t="s">
        <v>25</v>
      </c>
      <c r="F456" s="35" t="s">
        <v>25</v>
      </c>
      <c r="G456" s="35" t="s">
        <v>25</v>
      </c>
      <c r="H456" s="35" t="s">
        <v>35</v>
      </c>
      <c r="I456" s="45">
        <v>44440</v>
      </c>
      <c r="J456" s="46">
        <f>EFEITO!$J$456*EFEITO!$Y$456</f>
        <v>0</v>
      </c>
      <c r="K456" s="46">
        <f ca="1">EFEITO!$L$456*EFEITO!$Z$456</f>
        <v>52714.120737613783</v>
      </c>
      <c r="L456" s="46">
        <f>EFEITO!$N$456*EFEITO!$AA$456</f>
        <v>0</v>
      </c>
      <c r="M456" s="46">
        <f>$J$456-EFEITO!$K$456*EFEITO!$Y$456</f>
        <v>0</v>
      </c>
      <c r="N456" s="46">
        <f ca="1">$K$456-EFEITO!$M$456*EFEITO!$Z$456</f>
        <v>0</v>
      </c>
      <c r="O456" s="46">
        <f>$L$456-EFEITO!$O$456*EFEITO!$AA$456</f>
        <v>0</v>
      </c>
      <c r="P456" s="38"/>
      <c r="Q456" s="38"/>
      <c r="R456" s="38"/>
      <c r="S456" s="38"/>
      <c r="T456" s="38"/>
      <c r="U456" s="38"/>
      <c r="V456" s="38"/>
      <c r="W456" s="3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35" t="s">
        <v>21</v>
      </c>
      <c r="B457" s="35" t="s">
        <v>39</v>
      </c>
      <c r="C457" s="35" t="s">
        <v>41</v>
      </c>
      <c r="D457" s="35" t="s">
        <v>38</v>
      </c>
      <c r="E457" s="35" t="s">
        <v>25</v>
      </c>
      <c r="F457" s="35" t="s">
        <v>25</v>
      </c>
      <c r="G457" s="35" t="s">
        <v>25</v>
      </c>
      <c r="H457" s="35" t="s">
        <v>35</v>
      </c>
      <c r="I457" s="45">
        <v>44470</v>
      </c>
      <c r="J457" s="46">
        <f>EFEITO!$J$457*EFEITO!$Y$457</f>
        <v>0</v>
      </c>
      <c r="K457" s="46">
        <f ca="1">EFEITO!$L$457*EFEITO!$Z$457</f>
        <v>165807.12696519724</v>
      </c>
      <c r="L457" s="46">
        <f>EFEITO!$N$457*EFEITO!$AA$457</f>
        <v>794452.09985377023</v>
      </c>
      <c r="M457" s="46">
        <f>$J$457-EFEITO!$K$457*EFEITO!$Y$457</f>
        <v>0</v>
      </c>
      <c r="N457" s="46">
        <f ca="1">$K$457-EFEITO!$M$457*EFEITO!$Z$457</f>
        <v>0</v>
      </c>
      <c r="O457" s="46">
        <f>$L$457-EFEITO!$O$457*EFEITO!$AA$457</f>
        <v>0</v>
      </c>
      <c r="P457" s="38"/>
      <c r="Q457" s="38"/>
      <c r="R457" s="38"/>
      <c r="S457" s="38"/>
      <c r="T457" s="38"/>
      <c r="U457" s="38"/>
      <c r="V457" s="38"/>
      <c r="W457" s="3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35" t="s">
        <v>28</v>
      </c>
      <c r="B458" s="35" t="s">
        <v>39</v>
      </c>
      <c r="C458" s="35" t="s">
        <v>41</v>
      </c>
      <c r="D458" s="35" t="s">
        <v>38</v>
      </c>
      <c r="E458" s="35" t="s">
        <v>25</v>
      </c>
      <c r="F458" s="35" t="s">
        <v>25</v>
      </c>
      <c r="G458" s="35" t="s">
        <v>25</v>
      </c>
      <c r="H458" s="35" t="s">
        <v>35</v>
      </c>
      <c r="I458" s="45">
        <v>44470</v>
      </c>
      <c r="J458" s="46">
        <f>EFEITO!$J$458*EFEITO!$Y$458</f>
        <v>0</v>
      </c>
      <c r="K458" s="46">
        <f ca="1">EFEITO!$L$458*EFEITO!$Z$458</f>
        <v>7414.1367878518458</v>
      </c>
      <c r="L458" s="46">
        <f>EFEITO!$N$458*EFEITO!$AA$458</f>
        <v>35524.26634199101</v>
      </c>
      <c r="M458" s="46">
        <f>$J$458-EFEITO!$K$458*EFEITO!$Y$458</f>
        <v>0</v>
      </c>
      <c r="N458" s="46">
        <f ca="1">$K$458-EFEITO!$M$458*EFEITO!$Z$458</f>
        <v>0</v>
      </c>
      <c r="O458" s="46">
        <f>$L$458-EFEITO!$O$458*EFEITO!$AA$458</f>
        <v>0</v>
      </c>
      <c r="P458" s="38"/>
      <c r="Q458" s="38"/>
      <c r="R458" s="38"/>
      <c r="S458" s="38"/>
      <c r="T458" s="38"/>
      <c r="U458" s="38"/>
      <c r="V458" s="38"/>
      <c r="W458" s="3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35" t="s">
        <v>21</v>
      </c>
      <c r="B459" s="35" t="s">
        <v>39</v>
      </c>
      <c r="C459" s="35" t="s">
        <v>41</v>
      </c>
      <c r="D459" s="35" t="s">
        <v>38</v>
      </c>
      <c r="E459" s="35" t="s">
        <v>25</v>
      </c>
      <c r="F459" s="35" t="s">
        <v>25</v>
      </c>
      <c r="G459" s="35" t="s">
        <v>25</v>
      </c>
      <c r="H459" s="35" t="s">
        <v>35</v>
      </c>
      <c r="I459" s="45">
        <v>44470</v>
      </c>
      <c r="J459" s="46">
        <f>EFEITO!$J$459*EFEITO!$Y$459</f>
        <v>0</v>
      </c>
      <c r="K459" s="46">
        <f ca="1">EFEITO!$L$459*EFEITO!$Z$459</f>
        <v>49884.125751849402</v>
      </c>
      <c r="L459" s="46">
        <f>EFEITO!$N$459*EFEITO!$AA$459</f>
        <v>0</v>
      </c>
      <c r="M459" s="46">
        <f>$J$459-EFEITO!$K$459*EFEITO!$Y$459</f>
        <v>0</v>
      </c>
      <c r="N459" s="46">
        <f ca="1">$K$459-EFEITO!$M$459*EFEITO!$Z$459</f>
        <v>0</v>
      </c>
      <c r="O459" s="46">
        <f>$L$459-EFEITO!$O$459*EFEITO!$AA$459</f>
        <v>0</v>
      </c>
      <c r="P459" s="38"/>
      <c r="Q459" s="38"/>
      <c r="R459" s="38"/>
      <c r="S459" s="38"/>
      <c r="T459" s="38"/>
      <c r="U459" s="38"/>
      <c r="V459" s="38"/>
      <c r="W459" s="3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35" t="s">
        <v>21</v>
      </c>
      <c r="B460" s="35" t="s">
        <v>39</v>
      </c>
      <c r="C460" s="35" t="s">
        <v>41</v>
      </c>
      <c r="D460" s="35" t="s">
        <v>38</v>
      </c>
      <c r="E460" s="35" t="s">
        <v>25</v>
      </c>
      <c r="F460" s="35" t="s">
        <v>25</v>
      </c>
      <c r="G460" s="35" t="s">
        <v>25</v>
      </c>
      <c r="H460" s="35" t="s">
        <v>35</v>
      </c>
      <c r="I460" s="45">
        <v>44501</v>
      </c>
      <c r="J460" s="46">
        <f>EFEITO!$J$460*EFEITO!$Y$460</f>
        <v>0</v>
      </c>
      <c r="K460" s="46">
        <f ca="1">EFEITO!$L$460*EFEITO!$Z$460</f>
        <v>163129.28117679563</v>
      </c>
      <c r="L460" s="46">
        <f>EFEITO!$N$460*EFEITO!$AA$460</f>
        <v>781621.40765965986</v>
      </c>
      <c r="M460" s="46">
        <f>$J$460-EFEITO!$K$460*EFEITO!$Y$460</f>
        <v>0</v>
      </c>
      <c r="N460" s="46">
        <f ca="1">$K$460-EFEITO!$M$460*EFEITO!$Z$460</f>
        <v>0</v>
      </c>
      <c r="O460" s="46">
        <f>$L$460-EFEITO!$O$460*EFEITO!$AA$460</f>
        <v>0</v>
      </c>
      <c r="P460" s="38"/>
      <c r="Q460" s="38"/>
      <c r="R460" s="38"/>
      <c r="S460" s="38"/>
      <c r="T460" s="38"/>
      <c r="U460" s="38"/>
      <c r="V460" s="38"/>
      <c r="W460" s="3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35" t="s">
        <v>28</v>
      </c>
      <c r="B461" s="35" t="s">
        <v>39</v>
      </c>
      <c r="C461" s="35" t="s">
        <v>41</v>
      </c>
      <c r="D461" s="35" t="s">
        <v>38</v>
      </c>
      <c r="E461" s="35" t="s">
        <v>25</v>
      </c>
      <c r="F461" s="35" t="s">
        <v>25</v>
      </c>
      <c r="G461" s="35" t="s">
        <v>25</v>
      </c>
      <c r="H461" s="35" t="s">
        <v>35</v>
      </c>
      <c r="I461" s="45">
        <v>44501</v>
      </c>
      <c r="J461" s="46">
        <f>EFEITO!$J$461*EFEITO!$Y$461</f>
        <v>0</v>
      </c>
      <c r="K461" s="46">
        <f ca="1">EFEITO!$L$461*EFEITO!$Z$461</f>
        <v>5433.4589348793179</v>
      </c>
      <c r="L461" s="46">
        <f>EFEITO!$N$461*EFEITO!$AA$461</f>
        <v>26034.000704868125</v>
      </c>
      <c r="M461" s="46">
        <f>$J$461-EFEITO!$K$461*EFEITO!$Y$461</f>
        <v>0</v>
      </c>
      <c r="N461" s="46">
        <f ca="1">$K$461-EFEITO!$M$461*EFEITO!$Z$461</f>
        <v>0</v>
      </c>
      <c r="O461" s="46">
        <f>$L$461-EFEITO!$O$461*EFEITO!$AA$461</f>
        <v>0</v>
      </c>
      <c r="P461" s="38"/>
      <c r="Q461" s="38"/>
      <c r="R461" s="38"/>
      <c r="S461" s="38"/>
      <c r="T461" s="38"/>
      <c r="U461" s="38"/>
      <c r="V461" s="38"/>
      <c r="W461" s="3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35" t="s">
        <v>21</v>
      </c>
      <c r="B462" s="35" t="s">
        <v>39</v>
      </c>
      <c r="C462" s="35" t="s">
        <v>41</v>
      </c>
      <c r="D462" s="35" t="s">
        <v>38</v>
      </c>
      <c r="E462" s="35" t="s">
        <v>25</v>
      </c>
      <c r="F462" s="35" t="s">
        <v>25</v>
      </c>
      <c r="G462" s="35" t="s">
        <v>25</v>
      </c>
      <c r="H462" s="35" t="s">
        <v>35</v>
      </c>
      <c r="I462" s="45">
        <v>44501</v>
      </c>
      <c r="J462" s="46">
        <f>EFEITO!$J$462*EFEITO!$Y$462</f>
        <v>0</v>
      </c>
      <c r="K462" s="46">
        <f ca="1">EFEITO!$L$462*EFEITO!$Z$462</f>
        <v>52354.807662559047</v>
      </c>
      <c r="L462" s="46">
        <f>EFEITO!$N$462*EFEITO!$AA$462</f>
        <v>0</v>
      </c>
      <c r="M462" s="46">
        <f>$J$462-EFEITO!$K$462*EFEITO!$Y$462</f>
        <v>0</v>
      </c>
      <c r="N462" s="46">
        <f ca="1">$K$462-EFEITO!$M$462*EFEITO!$Z$462</f>
        <v>0</v>
      </c>
      <c r="O462" s="46">
        <f>$L$462-EFEITO!$O$462*EFEITO!$AA$462</f>
        <v>0</v>
      </c>
      <c r="P462" s="38"/>
      <c r="Q462" s="38"/>
      <c r="R462" s="38"/>
      <c r="S462" s="38"/>
      <c r="T462" s="38"/>
      <c r="U462" s="38"/>
      <c r="V462" s="38"/>
      <c r="W462" s="3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35" t="s">
        <v>21</v>
      </c>
      <c r="B463" s="35" t="s">
        <v>39</v>
      </c>
      <c r="C463" s="35" t="s">
        <v>41</v>
      </c>
      <c r="D463" s="35" t="s">
        <v>38</v>
      </c>
      <c r="E463" s="35" t="s">
        <v>25</v>
      </c>
      <c r="F463" s="35" t="s">
        <v>25</v>
      </c>
      <c r="G463" s="35" t="s">
        <v>25</v>
      </c>
      <c r="H463" s="35" t="s">
        <v>35</v>
      </c>
      <c r="I463" s="45">
        <v>44531</v>
      </c>
      <c r="J463" s="46">
        <f>EFEITO!$J$463*EFEITO!$Y$463</f>
        <v>0</v>
      </c>
      <c r="K463" s="46">
        <f ca="1">EFEITO!$L$463*EFEITO!$Z$463</f>
        <v>149922.7208882969</v>
      </c>
      <c r="L463" s="46">
        <f>EFEITO!$N$463*EFEITO!$AA$463</f>
        <v>718343.18949690566</v>
      </c>
      <c r="M463" s="46">
        <f>$J$463-EFEITO!$K$463*EFEITO!$Y$463</f>
        <v>0</v>
      </c>
      <c r="N463" s="46">
        <f ca="1">$K$463-EFEITO!$M$463*EFEITO!$Z$463</f>
        <v>0</v>
      </c>
      <c r="O463" s="46">
        <f>$L$463-EFEITO!$O$463*EFEITO!$AA$463</f>
        <v>0</v>
      </c>
      <c r="P463" s="38"/>
      <c r="Q463" s="38"/>
      <c r="R463" s="38"/>
      <c r="S463" s="38"/>
      <c r="T463" s="38"/>
      <c r="U463" s="38"/>
      <c r="V463" s="38"/>
      <c r="W463" s="3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35" t="s">
        <v>28</v>
      </c>
      <c r="B464" s="35" t="s">
        <v>39</v>
      </c>
      <c r="C464" s="35" t="s">
        <v>41</v>
      </c>
      <c r="D464" s="35" t="s">
        <v>38</v>
      </c>
      <c r="E464" s="35" t="s">
        <v>25</v>
      </c>
      <c r="F464" s="35" t="s">
        <v>25</v>
      </c>
      <c r="G464" s="35" t="s">
        <v>25</v>
      </c>
      <c r="H464" s="35" t="s">
        <v>35</v>
      </c>
      <c r="I464" s="45">
        <v>44531</v>
      </c>
      <c r="J464" s="46">
        <f>EFEITO!$J$464*EFEITO!$Y$464</f>
        <v>0</v>
      </c>
      <c r="K464" s="46">
        <f ca="1">EFEITO!$L$464*EFEITO!$Z$464</f>
        <v>6069.3390228104727</v>
      </c>
      <c r="L464" s="46">
        <f>EFEITO!$N$464*EFEITO!$AA$464</f>
        <v>29080.771253025217</v>
      </c>
      <c r="M464" s="46">
        <f>$J$464-EFEITO!$K$464*EFEITO!$Y$464</f>
        <v>0</v>
      </c>
      <c r="N464" s="46">
        <f ca="1">$K$464-EFEITO!$M$464*EFEITO!$Z$464</f>
        <v>0</v>
      </c>
      <c r="O464" s="46">
        <f>$L$464-EFEITO!$O$464*EFEITO!$AA$464</f>
        <v>0</v>
      </c>
      <c r="P464" s="38"/>
      <c r="Q464" s="38"/>
      <c r="R464" s="38"/>
      <c r="S464" s="38"/>
      <c r="T464" s="38"/>
      <c r="U464" s="38"/>
      <c r="V464" s="38"/>
      <c r="W464" s="3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35" t="s">
        <v>21</v>
      </c>
      <c r="B465" s="35" t="s">
        <v>39</v>
      </c>
      <c r="C465" s="35" t="s">
        <v>41</v>
      </c>
      <c r="D465" s="35" t="s">
        <v>38</v>
      </c>
      <c r="E465" s="35" t="s">
        <v>25</v>
      </c>
      <c r="F465" s="35" t="s">
        <v>25</v>
      </c>
      <c r="G465" s="35" t="s">
        <v>25</v>
      </c>
      <c r="H465" s="35" t="s">
        <v>35</v>
      </c>
      <c r="I465" s="45">
        <v>44531</v>
      </c>
      <c r="J465" s="46">
        <f>EFEITO!$J$465*EFEITO!$Y$465</f>
        <v>0</v>
      </c>
      <c r="K465" s="46">
        <f ca="1">EFEITO!$L$465*EFEITO!$Z$465</f>
        <v>47429.624629471858</v>
      </c>
      <c r="L465" s="46">
        <f>EFEITO!$N$465*EFEITO!$AA$465</f>
        <v>0</v>
      </c>
      <c r="M465" s="46">
        <f>$J$465-EFEITO!$K$465*EFEITO!$Y$465</f>
        <v>0</v>
      </c>
      <c r="N465" s="46">
        <f ca="1">$K$465-EFEITO!$M$465*EFEITO!$Z$465</f>
        <v>0</v>
      </c>
      <c r="O465" s="46">
        <f>$L$465-EFEITO!$O$465*EFEITO!$AA$465</f>
        <v>0</v>
      </c>
      <c r="P465" s="38"/>
      <c r="Q465" s="38"/>
      <c r="R465" s="38"/>
      <c r="S465" s="38"/>
      <c r="T465" s="38"/>
      <c r="U465" s="38"/>
      <c r="V465" s="38"/>
      <c r="W465" s="3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35" t="s">
        <v>55</v>
      </c>
      <c r="B466" s="35" t="s">
        <v>39</v>
      </c>
      <c r="C466" s="35" t="s">
        <v>41</v>
      </c>
      <c r="D466" s="35" t="s">
        <v>38</v>
      </c>
      <c r="E466" s="35" t="s">
        <v>25</v>
      </c>
      <c r="F466" s="35" t="s">
        <v>25</v>
      </c>
      <c r="G466" s="35" t="s">
        <v>25</v>
      </c>
      <c r="H466" s="35" t="s">
        <v>35</v>
      </c>
      <c r="I466" s="45">
        <v>44562</v>
      </c>
      <c r="J466" s="46">
        <f>EFEITO!$J$466*EFEITO!$Y$466</f>
        <v>0</v>
      </c>
      <c r="K466" s="46">
        <f ca="1">EFEITO!$L$466*EFEITO!$Z$466</f>
        <v>149922.7208882969</v>
      </c>
      <c r="L466" s="46">
        <f>EFEITO!$N$466*EFEITO!$AA$466</f>
        <v>718343.18949690566</v>
      </c>
      <c r="M466" s="46">
        <f>$J$466-EFEITO!$K$466*EFEITO!$Y$466</f>
        <v>0</v>
      </c>
      <c r="N466" s="46">
        <f ca="1">$K$466-EFEITO!$M$466*EFEITO!$Z$466</f>
        <v>0</v>
      </c>
      <c r="O466" s="46">
        <f>$L$466-EFEITO!$O$466*EFEITO!$AA$466</f>
        <v>0</v>
      </c>
      <c r="P466" s="38"/>
      <c r="Q466" s="38"/>
      <c r="R466" s="38"/>
      <c r="S466" s="38"/>
      <c r="T466" s="38"/>
      <c r="U466" s="38"/>
      <c r="V466" s="38"/>
      <c r="W466" s="3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35" t="s">
        <v>55</v>
      </c>
      <c r="B467" s="35" t="s">
        <v>39</v>
      </c>
      <c r="C467" s="35" t="s">
        <v>41</v>
      </c>
      <c r="D467" s="35" t="s">
        <v>38</v>
      </c>
      <c r="E467" s="35" t="s">
        <v>25</v>
      </c>
      <c r="F467" s="35" t="s">
        <v>25</v>
      </c>
      <c r="G467" s="35" t="s">
        <v>25</v>
      </c>
      <c r="H467" s="35" t="s">
        <v>35</v>
      </c>
      <c r="I467" s="45">
        <v>44562</v>
      </c>
      <c r="J467" s="46">
        <f>EFEITO!$J$467*EFEITO!$Y$467</f>
        <v>0</v>
      </c>
      <c r="K467" s="46">
        <f ca="1">EFEITO!$L$467*EFEITO!$Z$467</f>
        <v>6069.3390228104727</v>
      </c>
      <c r="L467" s="46">
        <f>EFEITO!$N$467*EFEITO!$AA$467</f>
        <v>29080.771253025217</v>
      </c>
      <c r="M467" s="46">
        <f>$J$467-EFEITO!$K$467*EFEITO!$Y$467</f>
        <v>0</v>
      </c>
      <c r="N467" s="46">
        <f ca="1">$K$467-EFEITO!$M$467*EFEITO!$Z$467</f>
        <v>0</v>
      </c>
      <c r="O467" s="46">
        <f>$L$467-EFEITO!$O$467*EFEITO!$AA$467</f>
        <v>0</v>
      </c>
      <c r="P467" s="38"/>
      <c r="Q467" s="38"/>
      <c r="R467" s="38"/>
      <c r="S467" s="38"/>
      <c r="T467" s="38"/>
      <c r="U467" s="38"/>
      <c r="V467" s="38"/>
      <c r="W467" s="3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35" t="s">
        <v>55</v>
      </c>
      <c r="B468" s="35" t="s">
        <v>39</v>
      </c>
      <c r="C468" s="35" t="s">
        <v>41</v>
      </c>
      <c r="D468" s="35" t="s">
        <v>38</v>
      </c>
      <c r="E468" s="35" t="s">
        <v>25</v>
      </c>
      <c r="F468" s="35" t="s">
        <v>25</v>
      </c>
      <c r="G468" s="35" t="s">
        <v>25</v>
      </c>
      <c r="H468" s="35" t="s">
        <v>35</v>
      </c>
      <c r="I468" s="45">
        <v>44562</v>
      </c>
      <c r="J468" s="46">
        <f>EFEITO!$J$468*EFEITO!$Y$468</f>
        <v>0</v>
      </c>
      <c r="K468" s="46">
        <f ca="1">EFEITO!$L$468*EFEITO!$Z$468</f>
        <v>47429.624629471858</v>
      </c>
      <c r="L468" s="46">
        <f>EFEITO!$N$468*EFEITO!$AA$468</f>
        <v>0</v>
      </c>
      <c r="M468" s="46">
        <f>$J$468-EFEITO!$K$468*EFEITO!$Y$468</f>
        <v>0</v>
      </c>
      <c r="N468" s="46">
        <f ca="1">$K$468-EFEITO!$M$468*EFEITO!$Z$468</f>
        <v>0</v>
      </c>
      <c r="O468" s="46">
        <f>$L$468-EFEITO!$O$468*EFEITO!$AA$468</f>
        <v>0</v>
      </c>
      <c r="P468" s="38"/>
      <c r="Q468" s="38"/>
      <c r="R468" s="38"/>
      <c r="S468" s="38"/>
      <c r="T468" s="38"/>
      <c r="U468" s="38"/>
      <c r="V468" s="38"/>
      <c r="W468" s="3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35" t="s">
        <v>21</v>
      </c>
      <c r="B469" s="35" t="s">
        <v>39</v>
      </c>
      <c r="C469" s="35" t="s">
        <v>41</v>
      </c>
      <c r="D469" s="35" t="s">
        <v>38</v>
      </c>
      <c r="E469" s="35" t="s">
        <v>25</v>
      </c>
      <c r="F469" s="35" t="s">
        <v>25</v>
      </c>
      <c r="G469" s="35" t="s">
        <v>25</v>
      </c>
      <c r="H469" s="35" t="s">
        <v>25</v>
      </c>
      <c r="I469" s="45">
        <v>44228</v>
      </c>
      <c r="J469" s="46">
        <f ca="1">EFEITO!$J$469*EFEITO!$Y$469</f>
        <v>333012.25704034622</v>
      </c>
      <c r="K469" s="46">
        <f>EFEITO!$L$469*EFEITO!$Z$469</f>
        <v>0</v>
      </c>
      <c r="L469" s="46">
        <f>EFEITO!$N$469*EFEITO!$AA$469</f>
        <v>0</v>
      </c>
      <c r="M469" s="46">
        <f ca="1">$J$469-EFEITO!$K$469*EFEITO!$Y$469</f>
        <v>0</v>
      </c>
      <c r="N469" s="46">
        <f>$K$469-EFEITO!$M$469*EFEITO!$Z$469</f>
        <v>0</v>
      </c>
      <c r="O469" s="46">
        <f>$L$469-EFEITO!$O$469*EFEITO!$AA$469</f>
        <v>0</v>
      </c>
      <c r="P469" s="38"/>
      <c r="Q469" s="38"/>
      <c r="R469" s="38"/>
      <c r="S469" s="38"/>
      <c r="T469" s="38"/>
      <c r="U469" s="38"/>
      <c r="V469" s="38"/>
      <c r="W469" s="3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35" t="s">
        <v>28</v>
      </c>
      <c r="B470" s="35" t="s">
        <v>39</v>
      </c>
      <c r="C470" s="35" t="s">
        <v>41</v>
      </c>
      <c r="D470" s="35" t="s">
        <v>38</v>
      </c>
      <c r="E470" s="35" t="s">
        <v>25</v>
      </c>
      <c r="F470" s="35" t="s">
        <v>25</v>
      </c>
      <c r="G470" s="35" t="s">
        <v>25</v>
      </c>
      <c r="H470" s="35" t="s">
        <v>25</v>
      </c>
      <c r="I470" s="45">
        <v>44228</v>
      </c>
      <c r="J470" s="46">
        <f ca="1">EFEITO!$J$470*EFEITO!$Y$470</f>
        <v>24481.73115997183</v>
      </c>
      <c r="K470" s="46">
        <f>EFEITO!$L$470*EFEITO!$Z$470</f>
        <v>0</v>
      </c>
      <c r="L470" s="46">
        <f>EFEITO!$N$470*EFEITO!$AA$470</f>
        <v>0</v>
      </c>
      <c r="M470" s="46">
        <f ca="1">$J$470-EFEITO!$K$470*EFEITO!$Y$470</f>
        <v>0</v>
      </c>
      <c r="N470" s="46">
        <f>$K$470-EFEITO!$M$470*EFEITO!$Z$470</f>
        <v>0</v>
      </c>
      <c r="O470" s="46">
        <f>$L$470-EFEITO!$O$470*EFEITO!$AA$470</f>
        <v>0</v>
      </c>
      <c r="P470" s="38"/>
      <c r="Q470" s="38"/>
      <c r="R470" s="38"/>
      <c r="S470" s="38"/>
      <c r="T470" s="38"/>
      <c r="U470" s="38"/>
      <c r="V470" s="38"/>
      <c r="W470" s="3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35" t="s">
        <v>21</v>
      </c>
      <c r="B471" s="35" t="s">
        <v>39</v>
      </c>
      <c r="C471" s="35" t="s">
        <v>41</v>
      </c>
      <c r="D471" s="35" t="s">
        <v>38</v>
      </c>
      <c r="E471" s="35" t="s">
        <v>25</v>
      </c>
      <c r="F471" s="35" t="s">
        <v>25</v>
      </c>
      <c r="G471" s="35" t="s">
        <v>25</v>
      </c>
      <c r="H471" s="35" t="s">
        <v>25</v>
      </c>
      <c r="I471" s="45">
        <v>44228</v>
      </c>
      <c r="J471" s="46">
        <f ca="1">EFEITO!$J$471*EFEITO!$Y$471</f>
        <v>44642.10641862113</v>
      </c>
      <c r="K471" s="46">
        <f>EFEITO!$L$471*EFEITO!$Z$471</f>
        <v>0</v>
      </c>
      <c r="L471" s="46">
        <f>EFEITO!$N$471*EFEITO!$AA$471</f>
        <v>0</v>
      </c>
      <c r="M471" s="46">
        <f ca="1">$J$471-EFEITO!$K$471*EFEITO!$Y$471</f>
        <v>0</v>
      </c>
      <c r="N471" s="46">
        <f>$K$471-EFEITO!$M$471*EFEITO!$Z$471</f>
        <v>0</v>
      </c>
      <c r="O471" s="46">
        <f>$L$471-EFEITO!$O$471*EFEITO!$AA$471</f>
        <v>0</v>
      </c>
      <c r="P471" s="38"/>
      <c r="Q471" s="38"/>
      <c r="R471" s="38"/>
      <c r="S471" s="38"/>
      <c r="T471" s="38"/>
      <c r="U471" s="38"/>
      <c r="V471" s="38"/>
      <c r="W471" s="3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35" t="s">
        <v>21</v>
      </c>
      <c r="B472" s="35" t="s">
        <v>39</v>
      </c>
      <c r="C472" s="35" t="s">
        <v>41</v>
      </c>
      <c r="D472" s="35" t="s">
        <v>38</v>
      </c>
      <c r="E472" s="35" t="s">
        <v>25</v>
      </c>
      <c r="F472" s="35" t="s">
        <v>25</v>
      </c>
      <c r="G472" s="35" t="s">
        <v>25</v>
      </c>
      <c r="H472" s="35" t="s">
        <v>25</v>
      </c>
      <c r="I472" s="45">
        <v>44256</v>
      </c>
      <c r="J472" s="46">
        <f ca="1">EFEITO!$J$472*EFEITO!$Y$472</f>
        <v>325155.24631066888</v>
      </c>
      <c r="K472" s="46">
        <f>EFEITO!$L$472*EFEITO!$Z$472</f>
        <v>0</v>
      </c>
      <c r="L472" s="46">
        <f>EFEITO!$N$472*EFEITO!$AA$472</f>
        <v>0</v>
      </c>
      <c r="M472" s="46">
        <f ca="1">$J$472-EFEITO!$K$472*EFEITO!$Y$472</f>
        <v>0</v>
      </c>
      <c r="N472" s="46">
        <f>$K$472-EFEITO!$M$472*EFEITO!$Z$472</f>
        <v>0</v>
      </c>
      <c r="O472" s="46">
        <f>$L$472-EFEITO!$O$472*EFEITO!$AA$472</f>
        <v>0</v>
      </c>
      <c r="P472" s="38"/>
      <c r="Q472" s="38"/>
      <c r="R472" s="38"/>
      <c r="S472" s="38"/>
      <c r="T472" s="38"/>
      <c r="U472" s="38"/>
      <c r="V472" s="38"/>
      <c r="W472" s="3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35" t="s">
        <v>28</v>
      </c>
      <c r="B473" s="35" t="s">
        <v>39</v>
      </c>
      <c r="C473" s="35" t="s">
        <v>41</v>
      </c>
      <c r="D473" s="35" t="s">
        <v>38</v>
      </c>
      <c r="E473" s="35" t="s">
        <v>25</v>
      </c>
      <c r="F473" s="35" t="s">
        <v>25</v>
      </c>
      <c r="G473" s="35" t="s">
        <v>25</v>
      </c>
      <c r="H473" s="35" t="s">
        <v>25</v>
      </c>
      <c r="I473" s="45">
        <v>44256</v>
      </c>
      <c r="J473" s="46">
        <f ca="1">EFEITO!$J$473*EFEITO!$Y$473</f>
        <v>28106.670201163866</v>
      </c>
      <c r="K473" s="46">
        <f>EFEITO!$L$473*EFEITO!$Z$473</f>
        <v>0</v>
      </c>
      <c r="L473" s="46">
        <f>EFEITO!$N$473*EFEITO!$AA$473</f>
        <v>0</v>
      </c>
      <c r="M473" s="46">
        <f ca="1">$J$473-EFEITO!$K$473*EFEITO!$Y$473</f>
        <v>0</v>
      </c>
      <c r="N473" s="46">
        <f>$K$473-EFEITO!$M$473*EFEITO!$Z$473</f>
        <v>0</v>
      </c>
      <c r="O473" s="46">
        <f>$L$473-EFEITO!$O$473*EFEITO!$AA$473</f>
        <v>0</v>
      </c>
      <c r="P473" s="38"/>
      <c r="Q473" s="38"/>
      <c r="R473" s="38"/>
      <c r="S473" s="38"/>
      <c r="T473" s="38"/>
      <c r="U473" s="38"/>
      <c r="V473" s="38"/>
      <c r="W473" s="3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35" t="s">
        <v>21</v>
      </c>
      <c r="B474" s="35" t="s">
        <v>39</v>
      </c>
      <c r="C474" s="35" t="s">
        <v>41</v>
      </c>
      <c r="D474" s="35" t="s">
        <v>38</v>
      </c>
      <c r="E474" s="35" t="s">
        <v>25</v>
      </c>
      <c r="F474" s="35" t="s">
        <v>25</v>
      </c>
      <c r="G474" s="35" t="s">
        <v>25</v>
      </c>
      <c r="H474" s="35" t="s">
        <v>25</v>
      </c>
      <c r="I474" s="45">
        <v>44256</v>
      </c>
      <c r="J474" s="46">
        <f ca="1">EFEITO!$J$474*EFEITO!$Y$474</f>
        <v>52391.976092893761</v>
      </c>
      <c r="K474" s="46">
        <f>EFEITO!$L$474*EFEITO!$Z$474</f>
        <v>0</v>
      </c>
      <c r="L474" s="46">
        <f>EFEITO!$N$474*EFEITO!$AA$474</f>
        <v>0</v>
      </c>
      <c r="M474" s="46">
        <f ca="1">$J$474-EFEITO!$K$474*EFEITO!$Y$474</f>
        <v>0</v>
      </c>
      <c r="N474" s="46">
        <f>$K$474-EFEITO!$M$474*EFEITO!$Z$474</f>
        <v>0</v>
      </c>
      <c r="O474" s="46">
        <f>$L$474-EFEITO!$O$474*EFEITO!$AA$474</f>
        <v>0</v>
      </c>
      <c r="P474" s="38"/>
      <c r="Q474" s="38"/>
      <c r="R474" s="38"/>
      <c r="S474" s="38"/>
      <c r="T474" s="38"/>
      <c r="U474" s="38"/>
      <c r="V474" s="38"/>
      <c r="W474" s="3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35" t="s">
        <v>21</v>
      </c>
      <c r="B475" s="35" t="s">
        <v>39</v>
      </c>
      <c r="C475" s="35" t="s">
        <v>41</v>
      </c>
      <c r="D475" s="35" t="s">
        <v>38</v>
      </c>
      <c r="E475" s="35" t="s">
        <v>25</v>
      </c>
      <c r="F475" s="35" t="s">
        <v>25</v>
      </c>
      <c r="G475" s="35" t="s">
        <v>25</v>
      </c>
      <c r="H475" s="35" t="s">
        <v>25</v>
      </c>
      <c r="I475" s="45">
        <v>44287</v>
      </c>
      <c r="J475" s="46">
        <f ca="1">EFEITO!$J$475*EFEITO!$Y$475</f>
        <v>323440.9894241938</v>
      </c>
      <c r="K475" s="46">
        <f>EFEITO!$L$475*EFEITO!$Z$475</f>
        <v>0</v>
      </c>
      <c r="L475" s="46">
        <f>EFEITO!$N$475*EFEITO!$AA$475</f>
        <v>0</v>
      </c>
      <c r="M475" s="46">
        <f ca="1">$J$475-EFEITO!$K$475*EFEITO!$Y$475</f>
        <v>0</v>
      </c>
      <c r="N475" s="46">
        <f>$K$475-EFEITO!$M$475*EFEITO!$Z$475</f>
        <v>0</v>
      </c>
      <c r="O475" s="46">
        <f>$L$475-EFEITO!$O$475*EFEITO!$AA$475</f>
        <v>0</v>
      </c>
      <c r="P475" s="38"/>
      <c r="Q475" s="38"/>
      <c r="R475" s="38"/>
      <c r="S475" s="38"/>
      <c r="T475" s="38"/>
      <c r="U475" s="38"/>
      <c r="V475" s="38"/>
      <c r="W475" s="3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35" t="s">
        <v>28</v>
      </c>
      <c r="B476" s="35" t="s">
        <v>39</v>
      </c>
      <c r="C476" s="35" t="s">
        <v>41</v>
      </c>
      <c r="D476" s="35" t="s">
        <v>38</v>
      </c>
      <c r="E476" s="35" t="s">
        <v>25</v>
      </c>
      <c r="F476" s="35" t="s">
        <v>25</v>
      </c>
      <c r="G476" s="35" t="s">
        <v>25</v>
      </c>
      <c r="H476" s="35" t="s">
        <v>25</v>
      </c>
      <c r="I476" s="45">
        <v>44287</v>
      </c>
      <c r="J476" s="46">
        <f ca="1">EFEITO!$J$476*EFEITO!$Y$476</f>
        <v>27695.962822112549</v>
      </c>
      <c r="K476" s="46">
        <f>EFEITO!$L$476*EFEITO!$Z$476</f>
        <v>0</v>
      </c>
      <c r="L476" s="46">
        <f>EFEITO!$N$476*EFEITO!$AA$476</f>
        <v>0</v>
      </c>
      <c r="M476" s="46">
        <f ca="1">$J$476-EFEITO!$K$476*EFEITO!$Y$476</f>
        <v>0</v>
      </c>
      <c r="N476" s="46">
        <f>$K$476-EFEITO!$M$476*EFEITO!$Z$476</f>
        <v>0</v>
      </c>
      <c r="O476" s="46">
        <f>$L$476-EFEITO!$O$476*EFEITO!$AA$476</f>
        <v>0</v>
      </c>
      <c r="P476" s="38"/>
      <c r="Q476" s="38"/>
      <c r="R476" s="38"/>
      <c r="S476" s="38"/>
      <c r="T476" s="38"/>
      <c r="U476" s="38"/>
      <c r="V476" s="38"/>
      <c r="W476" s="3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35" t="s">
        <v>21</v>
      </c>
      <c r="B477" s="35" t="s">
        <v>39</v>
      </c>
      <c r="C477" s="35" t="s">
        <v>41</v>
      </c>
      <c r="D477" s="35" t="s">
        <v>38</v>
      </c>
      <c r="E477" s="35" t="s">
        <v>25</v>
      </c>
      <c r="F477" s="35" t="s">
        <v>25</v>
      </c>
      <c r="G477" s="35" t="s">
        <v>25</v>
      </c>
      <c r="H477" s="35" t="s">
        <v>25</v>
      </c>
      <c r="I477" s="45">
        <v>44287</v>
      </c>
      <c r="J477" s="46">
        <f ca="1">EFEITO!$J$477*EFEITO!$Y$477</f>
        <v>52391.976092893761</v>
      </c>
      <c r="K477" s="46">
        <f>EFEITO!$L$477*EFEITO!$Z$477</f>
        <v>0</v>
      </c>
      <c r="L477" s="46">
        <f>EFEITO!$N$477*EFEITO!$AA$477</f>
        <v>0</v>
      </c>
      <c r="M477" s="46">
        <f ca="1">$J$477-EFEITO!$K$477*EFEITO!$Y$477</f>
        <v>0</v>
      </c>
      <c r="N477" s="46">
        <f>$K$477-EFEITO!$M$477*EFEITO!$Z$477</f>
        <v>0</v>
      </c>
      <c r="O477" s="46">
        <f>$L$477-EFEITO!$O$477*EFEITO!$AA$477</f>
        <v>0</v>
      </c>
      <c r="P477" s="38"/>
      <c r="Q477" s="38"/>
      <c r="R477" s="38"/>
      <c r="S477" s="38"/>
      <c r="T477" s="38"/>
      <c r="U477" s="38"/>
      <c r="V477" s="38"/>
      <c r="W477" s="38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35" t="s">
        <v>21</v>
      </c>
      <c r="B478" s="35" t="s">
        <v>39</v>
      </c>
      <c r="C478" s="35" t="s">
        <v>41</v>
      </c>
      <c r="D478" s="35" t="s">
        <v>38</v>
      </c>
      <c r="E478" s="35" t="s">
        <v>25</v>
      </c>
      <c r="F478" s="35" t="s">
        <v>25</v>
      </c>
      <c r="G478" s="35" t="s">
        <v>25</v>
      </c>
      <c r="H478" s="35" t="s">
        <v>25</v>
      </c>
      <c r="I478" s="45">
        <v>44317</v>
      </c>
      <c r="J478" s="46">
        <f ca="1">EFEITO!$J$478*EFEITO!$Y$478</f>
        <v>315512.55132424674</v>
      </c>
      <c r="K478" s="46">
        <f>EFEITO!$L$478*EFEITO!$Z$478</f>
        <v>0</v>
      </c>
      <c r="L478" s="46">
        <f>EFEITO!$N$478*EFEITO!$AA$478</f>
        <v>0</v>
      </c>
      <c r="M478" s="46">
        <f ca="1">$J$478-EFEITO!$K$478*EFEITO!$Y$478</f>
        <v>0</v>
      </c>
      <c r="N478" s="46">
        <f>$K$478-EFEITO!$M$478*EFEITO!$Z$478</f>
        <v>0</v>
      </c>
      <c r="O478" s="46">
        <f>$L$478-EFEITO!$O$478*EFEITO!$AA$478</f>
        <v>0</v>
      </c>
      <c r="P478" s="38"/>
      <c r="Q478" s="38"/>
      <c r="R478" s="38"/>
      <c r="S478" s="38"/>
      <c r="T478" s="38"/>
      <c r="U478" s="38"/>
      <c r="V478" s="38"/>
      <c r="W478" s="38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35" t="s">
        <v>28</v>
      </c>
      <c r="B479" s="35" t="s">
        <v>39</v>
      </c>
      <c r="C479" s="35" t="s">
        <v>41</v>
      </c>
      <c r="D479" s="35" t="s">
        <v>38</v>
      </c>
      <c r="E479" s="35" t="s">
        <v>25</v>
      </c>
      <c r="F479" s="35" t="s">
        <v>25</v>
      </c>
      <c r="G479" s="35" t="s">
        <v>25</v>
      </c>
      <c r="H479" s="35" t="s">
        <v>25</v>
      </c>
      <c r="I479" s="45">
        <v>44317</v>
      </c>
      <c r="J479" s="46">
        <f ca="1">EFEITO!$J$479*EFEITO!$Y$479</f>
        <v>27910.244932921931</v>
      </c>
      <c r="K479" s="46">
        <f>EFEITO!$L$479*EFEITO!$Z$479</f>
        <v>0</v>
      </c>
      <c r="L479" s="46">
        <f>EFEITO!$N$479*EFEITO!$AA$479</f>
        <v>0</v>
      </c>
      <c r="M479" s="46">
        <f ca="1">$J$479-EFEITO!$K$479*EFEITO!$Y$479</f>
        <v>0</v>
      </c>
      <c r="N479" s="46">
        <f>$K$479-EFEITO!$M$479*EFEITO!$Z$479</f>
        <v>0</v>
      </c>
      <c r="O479" s="46">
        <f>$L$479-EFEITO!$O$479*EFEITO!$AA$479</f>
        <v>0</v>
      </c>
      <c r="P479" s="38"/>
      <c r="Q479" s="38"/>
      <c r="R479" s="38"/>
      <c r="S479" s="38"/>
      <c r="T479" s="38"/>
      <c r="U479" s="38"/>
      <c r="V479" s="38"/>
      <c r="W479" s="38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35" t="s">
        <v>21</v>
      </c>
      <c r="B480" s="35" t="s">
        <v>39</v>
      </c>
      <c r="C480" s="35" t="s">
        <v>41</v>
      </c>
      <c r="D480" s="35" t="s">
        <v>38</v>
      </c>
      <c r="E480" s="35" t="s">
        <v>25</v>
      </c>
      <c r="F480" s="35" t="s">
        <v>25</v>
      </c>
      <c r="G480" s="35" t="s">
        <v>25</v>
      </c>
      <c r="H480" s="35" t="s">
        <v>25</v>
      </c>
      <c r="I480" s="45">
        <v>44317</v>
      </c>
      <c r="J480" s="46">
        <f ca="1">EFEITO!$J$480*EFEITO!$Y$480</f>
        <v>44642.10641862113</v>
      </c>
      <c r="K480" s="46">
        <f>EFEITO!$L$480*EFEITO!$Z$480</f>
        <v>0</v>
      </c>
      <c r="L480" s="46">
        <f>EFEITO!$N$480*EFEITO!$AA$480</f>
        <v>0</v>
      </c>
      <c r="M480" s="46">
        <f ca="1">$J$480-EFEITO!$K$480*EFEITO!$Y$480</f>
        <v>0</v>
      </c>
      <c r="N480" s="46">
        <f>$K$480-EFEITO!$M$480*EFEITO!$Z$480</f>
        <v>0</v>
      </c>
      <c r="O480" s="46">
        <f>$L$480-EFEITO!$O$480*EFEITO!$AA$480</f>
        <v>0</v>
      </c>
      <c r="P480" s="38"/>
      <c r="Q480" s="38"/>
      <c r="R480" s="38"/>
      <c r="S480" s="38"/>
      <c r="T480" s="38"/>
      <c r="U480" s="38"/>
      <c r="V480" s="38"/>
      <c r="W480" s="38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35" t="s">
        <v>21</v>
      </c>
      <c r="B481" s="35" t="s">
        <v>39</v>
      </c>
      <c r="C481" s="35" t="s">
        <v>41</v>
      </c>
      <c r="D481" s="35" t="s">
        <v>38</v>
      </c>
      <c r="E481" s="35" t="s">
        <v>25</v>
      </c>
      <c r="F481" s="35" t="s">
        <v>25</v>
      </c>
      <c r="G481" s="35" t="s">
        <v>25</v>
      </c>
      <c r="H481" s="35" t="s">
        <v>25</v>
      </c>
      <c r="I481" s="45">
        <v>44348</v>
      </c>
      <c r="J481" s="46">
        <f ca="1">EFEITO!$J$481*EFEITO!$Y$481</f>
        <v>318244.64823706634</v>
      </c>
      <c r="K481" s="46">
        <f>EFEITO!$L$481*EFEITO!$Z$481</f>
        <v>0</v>
      </c>
      <c r="L481" s="46">
        <f>EFEITO!$N$481*EFEITO!$AA$481</f>
        <v>0</v>
      </c>
      <c r="M481" s="46">
        <f ca="1">$J$481-EFEITO!$K$481*EFEITO!$Y$481</f>
        <v>0</v>
      </c>
      <c r="N481" s="46">
        <f>$K$481-EFEITO!$M$481*EFEITO!$Z$481</f>
        <v>0</v>
      </c>
      <c r="O481" s="46">
        <f>$L$481-EFEITO!$O$481*EFEITO!$AA$481</f>
        <v>0</v>
      </c>
      <c r="P481" s="38"/>
      <c r="Q481" s="38"/>
      <c r="R481" s="38"/>
      <c r="S481" s="38"/>
      <c r="T481" s="38"/>
      <c r="U481" s="38"/>
      <c r="V481" s="38"/>
      <c r="W481" s="38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35" t="s">
        <v>28</v>
      </c>
      <c r="B482" s="35" t="s">
        <v>39</v>
      </c>
      <c r="C482" s="35" t="s">
        <v>41</v>
      </c>
      <c r="D482" s="35" t="s">
        <v>38</v>
      </c>
      <c r="E482" s="35" t="s">
        <v>25</v>
      </c>
      <c r="F482" s="35" t="s">
        <v>25</v>
      </c>
      <c r="G482" s="35" t="s">
        <v>25</v>
      </c>
      <c r="H482" s="35" t="s">
        <v>25</v>
      </c>
      <c r="I482" s="45">
        <v>44348</v>
      </c>
      <c r="J482" s="46">
        <f ca="1">EFEITO!$J$482*EFEITO!$Y$482</f>
        <v>27713.819664679999</v>
      </c>
      <c r="K482" s="46">
        <f>EFEITO!$L$482*EFEITO!$Z$482</f>
        <v>0</v>
      </c>
      <c r="L482" s="46">
        <f>EFEITO!$N$482*EFEITO!$AA$482</f>
        <v>0</v>
      </c>
      <c r="M482" s="46">
        <f ca="1">$J$482-EFEITO!$K$482*EFEITO!$Y$482</f>
        <v>0</v>
      </c>
      <c r="N482" s="46">
        <f>$K$482-EFEITO!$M$482*EFEITO!$Z$482</f>
        <v>0</v>
      </c>
      <c r="O482" s="46">
        <f>$L$482-EFEITO!$O$482*EFEITO!$AA$482</f>
        <v>0</v>
      </c>
      <c r="P482" s="38"/>
      <c r="Q482" s="38"/>
      <c r="R482" s="38"/>
      <c r="S482" s="38"/>
      <c r="T482" s="38"/>
      <c r="U482" s="38"/>
      <c r="V482" s="38"/>
      <c r="W482" s="38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35" t="s">
        <v>21</v>
      </c>
      <c r="B483" s="35" t="s">
        <v>39</v>
      </c>
      <c r="C483" s="35" t="s">
        <v>41</v>
      </c>
      <c r="D483" s="35" t="s">
        <v>38</v>
      </c>
      <c r="E483" s="35" t="s">
        <v>25</v>
      </c>
      <c r="F483" s="35" t="s">
        <v>25</v>
      </c>
      <c r="G483" s="35" t="s">
        <v>25</v>
      </c>
      <c r="H483" s="35" t="s">
        <v>25</v>
      </c>
      <c r="I483" s="45">
        <v>44348</v>
      </c>
      <c r="J483" s="46">
        <f ca="1">EFEITO!$J$483*EFEITO!$Y$483</f>
        <v>44642.10641862113</v>
      </c>
      <c r="K483" s="46">
        <f>EFEITO!$L$483*EFEITO!$Z$483</f>
        <v>0</v>
      </c>
      <c r="L483" s="46">
        <f>EFEITO!$N$483*EFEITO!$AA$483</f>
        <v>0</v>
      </c>
      <c r="M483" s="46">
        <f ca="1">$J$483-EFEITO!$K$483*EFEITO!$Y$483</f>
        <v>0</v>
      </c>
      <c r="N483" s="46">
        <f>$K$483-EFEITO!$M$483*EFEITO!$Z$483</f>
        <v>0</v>
      </c>
      <c r="O483" s="46">
        <f>$L$483-EFEITO!$O$483*EFEITO!$AA$483</f>
        <v>0</v>
      </c>
      <c r="P483" s="38"/>
      <c r="Q483" s="38"/>
      <c r="R483" s="38"/>
      <c r="S483" s="38"/>
      <c r="T483" s="38"/>
      <c r="U483" s="38"/>
      <c r="V483" s="38"/>
      <c r="W483" s="38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35" t="s">
        <v>21</v>
      </c>
      <c r="B484" s="35" t="s">
        <v>39</v>
      </c>
      <c r="C484" s="35" t="s">
        <v>41</v>
      </c>
      <c r="D484" s="35" t="s">
        <v>38</v>
      </c>
      <c r="E484" s="35" t="s">
        <v>25</v>
      </c>
      <c r="F484" s="35" t="s">
        <v>25</v>
      </c>
      <c r="G484" s="35" t="s">
        <v>25</v>
      </c>
      <c r="H484" s="35" t="s">
        <v>25</v>
      </c>
      <c r="I484" s="45">
        <v>44378</v>
      </c>
      <c r="J484" s="46">
        <f ca="1">EFEITO!$J$484*EFEITO!$Y$484</f>
        <v>317298.23558099155</v>
      </c>
      <c r="K484" s="46">
        <f>EFEITO!$L$484*EFEITO!$Z$484</f>
        <v>0</v>
      </c>
      <c r="L484" s="46">
        <f>EFEITO!$N$484*EFEITO!$AA$484</f>
        <v>0</v>
      </c>
      <c r="M484" s="46">
        <f ca="1">$J$484-EFEITO!$K$484*EFEITO!$Y$484</f>
        <v>0</v>
      </c>
      <c r="N484" s="46">
        <f>$K$484-EFEITO!$M$484*EFEITO!$Z$484</f>
        <v>0</v>
      </c>
      <c r="O484" s="46">
        <f>$L$484-EFEITO!$O$484*EFEITO!$AA$484</f>
        <v>0</v>
      </c>
      <c r="P484" s="38"/>
      <c r="Q484" s="38"/>
      <c r="R484" s="38"/>
      <c r="S484" s="38"/>
      <c r="T484" s="38"/>
      <c r="U484" s="38"/>
      <c r="V484" s="38"/>
      <c r="W484" s="38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35" t="s">
        <v>28</v>
      </c>
      <c r="B485" s="35" t="s">
        <v>39</v>
      </c>
      <c r="C485" s="35" t="s">
        <v>41</v>
      </c>
      <c r="D485" s="35" t="s">
        <v>38</v>
      </c>
      <c r="E485" s="35" t="s">
        <v>25</v>
      </c>
      <c r="F485" s="35" t="s">
        <v>25</v>
      </c>
      <c r="G485" s="35" t="s">
        <v>25</v>
      </c>
      <c r="H485" s="35" t="s">
        <v>25</v>
      </c>
      <c r="I485" s="45">
        <v>44378</v>
      </c>
      <c r="J485" s="46">
        <f ca="1">EFEITO!$J$485*EFEITO!$Y$485</f>
        <v>31910.177668030385</v>
      </c>
      <c r="K485" s="46">
        <f>EFEITO!$L$485*EFEITO!$Z$485</f>
        <v>0</v>
      </c>
      <c r="L485" s="46">
        <f>EFEITO!$N$485*EFEITO!$AA$485</f>
        <v>0</v>
      </c>
      <c r="M485" s="46">
        <f ca="1">$J$485-EFEITO!$K$485*EFEITO!$Y$485</f>
        <v>0</v>
      </c>
      <c r="N485" s="46">
        <f>$K$485-EFEITO!$M$485*EFEITO!$Z$485</f>
        <v>0</v>
      </c>
      <c r="O485" s="46">
        <f>$L$485-EFEITO!$O$485*EFEITO!$AA$485</f>
        <v>0</v>
      </c>
      <c r="P485" s="38"/>
      <c r="Q485" s="38"/>
      <c r="R485" s="38"/>
      <c r="S485" s="38"/>
      <c r="T485" s="38"/>
      <c r="U485" s="38"/>
      <c r="V485" s="38"/>
      <c r="W485" s="38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35" t="s">
        <v>21</v>
      </c>
      <c r="B486" s="35" t="s">
        <v>39</v>
      </c>
      <c r="C486" s="35" t="s">
        <v>41</v>
      </c>
      <c r="D486" s="35" t="s">
        <v>38</v>
      </c>
      <c r="E486" s="35" t="s">
        <v>25</v>
      </c>
      <c r="F486" s="35" t="s">
        <v>25</v>
      </c>
      <c r="G486" s="35" t="s">
        <v>25</v>
      </c>
      <c r="H486" s="35" t="s">
        <v>25</v>
      </c>
      <c r="I486" s="45">
        <v>44378</v>
      </c>
      <c r="J486" s="46">
        <f ca="1">EFEITO!$J$486*EFEITO!$Y$486</f>
        <v>45534.948546993553</v>
      </c>
      <c r="K486" s="46">
        <f>EFEITO!$L$486*EFEITO!$Z$486</f>
        <v>0</v>
      </c>
      <c r="L486" s="46">
        <f>EFEITO!$N$486*EFEITO!$AA$486</f>
        <v>0</v>
      </c>
      <c r="M486" s="46">
        <f ca="1">$J$486-EFEITO!$K$486*EFEITO!$Y$486</f>
        <v>0</v>
      </c>
      <c r="N486" s="46">
        <f>$K$486-EFEITO!$M$486*EFEITO!$Z$486</f>
        <v>0</v>
      </c>
      <c r="O486" s="46">
        <f>$L$486-EFEITO!$O$486*EFEITO!$AA$486</f>
        <v>0</v>
      </c>
      <c r="P486" s="38"/>
      <c r="Q486" s="38"/>
      <c r="R486" s="38"/>
      <c r="S486" s="38"/>
      <c r="T486" s="38"/>
      <c r="U486" s="38"/>
      <c r="V486" s="38"/>
      <c r="W486" s="38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35" t="s">
        <v>21</v>
      </c>
      <c r="B487" s="35" t="s">
        <v>39</v>
      </c>
      <c r="C487" s="35" t="s">
        <v>41</v>
      </c>
      <c r="D487" s="35" t="s">
        <v>38</v>
      </c>
      <c r="E487" s="35" t="s">
        <v>25</v>
      </c>
      <c r="F487" s="35" t="s">
        <v>25</v>
      </c>
      <c r="G487" s="35" t="s">
        <v>25</v>
      </c>
      <c r="H487" s="35" t="s">
        <v>25</v>
      </c>
      <c r="I487" s="45">
        <v>44409</v>
      </c>
      <c r="J487" s="46">
        <f ca="1">EFEITO!$J$487*EFEITO!$Y$487</f>
        <v>314780.42077898135</v>
      </c>
      <c r="K487" s="46">
        <f>EFEITO!$L$487*EFEITO!$Z$487</f>
        <v>0</v>
      </c>
      <c r="L487" s="46">
        <f>EFEITO!$N$487*EFEITO!$AA$487</f>
        <v>0</v>
      </c>
      <c r="M487" s="46">
        <f ca="1">$J$487-EFEITO!$K$487*EFEITO!$Y$487</f>
        <v>0</v>
      </c>
      <c r="N487" s="46">
        <f>$K$487-EFEITO!$M$487*EFEITO!$Z$487</f>
        <v>0</v>
      </c>
      <c r="O487" s="46">
        <f>$L$487-EFEITO!$O$487*EFEITO!$AA$487</f>
        <v>0</v>
      </c>
      <c r="P487" s="38"/>
      <c r="Q487" s="38"/>
      <c r="R487" s="38"/>
      <c r="S487" s="38"/>
      <c r="T487" s="38"/>
      <c r="U487" s="38"/>
      <c r="V487" s="38"/>
      <c r="W487" s="38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35" t="s">
        <v>28</v>
      </c>
      <c r="B488" s="35" t="s">
        <v>39</v>
      </c>
      <c r="C488" s="35" t="s">
        <v>41</v>
      </c>
      <c r="D488" s="35" t="s">
        <v>38</v>
      </c>
      <c r="E488" s="35" t="s">
        <v>25</v>
      </c>
      <c r="F488" s="35" t="s">
        <v>25</v>
      </c>
      <c r="G488" s="35" t="s">
        <v>25</v>
      </c>
      <c r="H488" s="35" t="s">
        <v>25</v>
      </c>
      <c r="I488" s="45">
        <v>44409</v>
      </c>
      <c r="J488" s="46">
        <f ca="1">EFEITO!$J$488*EFEITO!$Y$488</f>
        <v>35731.541977464352</v>
      </c>
      <c r="K488" s="46">
        <f>EFEITO!$L$488*EFEITO!$Z$488</f>
        <v>0</v>
      </c>
      <c r="L488" s="46">
        <f>EFEITO!$N$488*EFEITO!$AA$488</f>
        <v>0</v>
      </c>
      <c r="M488" s="46">
        <f ca="1">$J$488-EFEITO!$K$488*EFEITO!$Y$488</f>
        <v>0</v>
      </c>
      <c r="N488" s="46">
        <f>$K$488-EFEITO!$M$488*EFEITO!$Z$488</f>
        <v>0</v>
      </c>
      <c r="O488" s="46">
        <f>$L$488-EFEITO!$O$488*EFEITO!$AA$488</f>
        <v>0</v>
      </c>
      <c r="P488" s="38"/>
      <c r="Q488" s="38"/>
      <c r="R488" s="38"/>
      <c r="S488" s="38"/>
      <c r="T488" s="38"/>
      <c r="U488" s="38"/>
      <c r="V488" s="38"/>
      <c r="W488" s="38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35" t="s">
        <v>21</v>
      </c>
      <c r="B489" s="35" t="s">
        <v>39</v>
      </c>
      <c r="C489" s="35" t="s">
        <v>41</v>
      </c>
      <c r="D489" s="35" t="s">
        <v>38</v>
      </c>
      <c r="E489" s="35" t="s">
        <v>25</v>
      </c>
      <c r="F489" s="35" t="s">
        <v>25</v>
      </c>
      <c r="G489" s="35" t="s">
        <v>25</v>
      </c>
      <c r="H489" s="35" t="s">
        <v>25</v>
      </c>
      <c r="I489" s="45">
        <v>44409</v>
      </c>
      <c r="J489" s="46">
        <f ca="1">EFEITO!$J$489*EFEITO!$Y$489</f>
        <v>45534.948546993553</v>
      </c>
      <c r="K489" s="46">
        <f>EFEITO!$L$489*EFEITO!$Z$489</f>
        <v>0</v>
      </c>
      <c r="L489" s="46">
        <f>EFEITO!$N$489*EFEITO!$AA$489</f>
        <v>0</v>
      </c>
      <c r="M489" s="46">
        <f ca="1">$J$489-EFEITO!$K$489*EFEITO!$Y$489</f>
        <v>0</v>
      </c>
      <c r="N489" s="46">
        <f>$K$489-EFEITO!$M$489*EFEITO!$Z$489</f>
        <v>0</v>
      </c>
      <c r="O489" s="46">
        <f>$L$489-EFEITO!$O$489*EFEITO!$AA$489</f>
        <v>0</v>
      </c>
      <c r="P489" s="38"/>
      <c r="Q489" s="38"/>
      <c r="R489" s="38"/>
      <c r="S489" s="38"/>
      <c r="T489" s="38"/>
      <c r="U489" s="38"/>
      <c r="V489" s="38"/>
      <c r="W489" s="38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35" t="s">
        <v>21</v>
      </c>
      <c r="B490" s="35" t="s">
        <v>39</v>
      </c>
      <c r="C490" s="35" t="s">
        <v>41</v>
      </c>
      <c r="D490" s="35" t="s">
        <v>38</v>
      </c>
      <c r="E490" s="35" t="s">
        <v>25</v>
      </c>
      <c r="F490" s="35" t="s">
        <v>25</v>
      </c>
      <c r="G490" s="35" t="s">
        <v>25</v>
      </c>
      <c r="H490" s="35" t="s">
        <v>25</v>
      </c>
      <c r="I490" s="45">
        <v>44440</v>
      </c>
      <c r="J490" s="46">
        <f ca="1">EFEITO!$J$490*EFEITO!$Y$490</f>
        <v>313209.01863304584</v>
      </c>
      <c r="K490" s="46">
        <f>EFEITO!$L$490*EFEITO!$Z$490</f>
        <v>0</v>
      </c>
      <c r="L490" s="46">
        <f>EFEITO!$N$490*EFEITO!$AA$490</f>
        <v>0</v>
      </c>
      <c r="M490" s="46">
        <f ca="1">$J$490-EFEITO!$K$490*EFEITO!$Y$490</f>
        <v>0</v>
      </c>
      <c r="N490" s="46">
        <f>$K$490-EFEITO!$M$490*EFEITO!$Z$490</f>
        <v>0</v>
      </c>
      <c r="O490" s="46">
        <f>$L$490-EFEITO!$O$490*EFEITO!$AA$490</f>
        <v>0</v>
      </c>
      <c r="P490" s="38"/>
      <c r="Q490" s="38"/>
      <c r="R490" s="38"/>
      <c r="S490" s="38"/>
      <c r="T490" s="38"/>
      <c r="U490" s="38"/>
      <c r="V490" s="38"/>
      <c r="W490" s="38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35" t="s">
        <v>28</v>
      </c>
      <c r="B491" s="35" t="s">
        <v>39</v>
      </c>
      <c r="C491" s="35" t="s">
        <v>41</v>
      </c>
      <c r="D491" s="35" t="s">
        <v>38</v>
      </c>
      <c r="E491" s="35" t="s">
        <v>25</v>
      </c>
      <c r="F491" s="35" t="s">
        <v>25</v>
      </c>
      <c r="G491" s="35" t="s">
        <v>25</v>
      </c>
      <c r="H491" s="35" t="s">
        <v>25</v>
      </c>
      <c r="I491" s="45">
        <v>44440</v>
      </c>
      <c r="J491" s="46">
        <f ca="1">EFEITO!$J$491*EFEITO!$Y$491</f>
        <v>35356.548283547934</v>
      </c>
      <c r="K491" s="46">
        <f>EFEITO!$L$491*EFEITO!$Z$491</f>
        <v>0</v>
      </c>
      <c r="L491" s="46">
        <f>EFEITO!$N$491*EFEITO!$AA$491</f>
        <v>0</v>
      </c>
      <c r="M491" s="46">
        <f ca="1">$J$491-EFEITO!$K$491*EFEITO!$Y$491</f>
        <v>0</v>
      </c>
      <c r="N491" s="46">
        <f>$K$491-EFEITO!$M$491*EFEITO!$Z$491</f>
        <v>0</v>
      </c>
      <c r="O491" s="46">
        <f>$L$491-EFEITO!$O$491*EFEITO!$AA$491</f>
        <v>0</v>
      </c>
      <c r="P491" s="38"/>
      <c r="Q491" s="38"/>
      <c r="R491" s="38"/>
      <c r="S491" s="38"/>
      <c r="T491" s="38"/>
      <c r="U491" s="38"/>
      <c r="V491" s="38"/>
      <c r="W491" s="38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35" t="s">
        <v>21</v>
      </c>
      <c r="B492" s="35" t="s">
        <v>39</v>
      </c>
      <c r="C492" s="35" t="s">
        <v>41</v>
      </c>
      <c r="D492" s="35" t="s">
        <v>38</v>
      </c>
      <c r="E492" s="35" t="s">
        <v>25</v>
      </c>
      <c r="F492" s="35" t="s">
        <v>25</v>
      </c>
      <c r="G492" s="35" t="s">
        <v>25</v>
      </c>
      <c r="H492" s="35" t="s">
        <v>25</v>
      </c>
      <c r="I492" s="45">
        <v>44440</v>
      </c>
      <c r="J492" s="46">
        <f ca="1">EFEITO!$J$492*EFEITO!$Y$492</f>
        <v>45534.948546993553</v>
      </c>
      <c r="K492" s="46">
        <f>EFEITO!$L$492*EFEITO!$Z$492</f>
        <v>0</v>
      </c>
      <c r="L492" s="46">
        <f>EFEITO!$N$492*EFEITO!$AA$492</f>
        <v>0</v>
      </c>
      <c r="M492" s="46">
        <f ca="1">$J$492-EFEITO!$K$492*EFEITO!$Y$492</f>
        <v>0</v>
      </c>
      <c r="N492" s="46">
        <f>$K$492-EFEITO!$M$492*EFEITO!$Z$492</f>
        <v>0</v>
      </c>
      <c r="O492" s="46">
        <f>$L$492-EFEITO!$O$492*EFEITO!$AA$492</f>
        <v>0</v>
      </c>
      <c r="P492" s="38"/>
      <c r="Q492" s="38"/>
      <c r="R492" s="38"/>
      <c r="S492" s="38"/>
      <c r="T492" s="38"/>
      <c r="U492" s="38"/>
      <c r="V492" s="38"/>
      <c r="W492" s="38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35" t="s">
        <v>21</v>
      </c>
      <c r="B493" s="35" t="s">
        <v>39</v>
      </c>
      <c r="C493" s="35" t="s">
        <v>41</v>
      </c>
      <c r="D493" s="35" t="s">
        <v>38</v>
      </c>
      <c r="E493" s="35" t="s">
        <v>25</v>
      </c>
      <c r="F493" s="35" t="s">
        <v>25</v>
      </c>
      <c r="G493" s="35" t="s">
        <v>25</v>
      </c>
      <c r="H493" s="35" t="s">
        <v>25</v>
      </c>
      <c r="I493" s="45">
        <v>44470</v>
      </c>
      <c r="J493" s="46">
        <f ca="1">EFEITO!$J$493*EFEITO!$Y$493</f>
        <v>309459.08169388172</v>
      </c>
      <c r="K493" s="46">
        <f>EFEITO!$L$493*EFEITO!$Z$493</f>
        <v>0</v>
      </c>
      <c r="L493" s="46">
        <f>EFEITO!$N$493*EFEITO!$AA$493</f>
        <v>0</v>
      </c>
      <c r="M493" s="46">
        <f ca="1">$J$493-EFEITO!$K$493*EFEITO!$Y$493</f>
        <v>0</v>
      </c>
      <c r="N493" s="46">
        <f>$K$493-EFEITO!$M$493*EFEITO!$Z$493</f>
        <v>0</v>
      </c>
      <c r="O493" s="46">
        <f>$L$493-EFEITO!$O$493*EFEITO!$AA$493</f>
        <v>0</v>
      </c>
      <c r="P493" s="38"/>
      <c r="Q493" s="38"/>
      <c r="R493" s="38"/>
      <c r="S493" s="38"/>
      <c r="T493" s="38"/>
      <c r="U493" s="38"/>
      <c r="V493" s="38"/>
      <c r="W493" s="38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35" t="s">
        <v>28</v>
      </c>
      <c r="B494" s="35" t="s">
        <v>39</v>
      </c>
      <c r="C494" s="35" t="s">
        <v>41</v>
      </c>
      <c r="D494" s="35" t="s">
        <v>38</v>
      </c>
      <c r="E494" s="35" t="s">
        <v>25</v>
      </c>
      <c r="F494" s="35" t="s">
        <v>25</v>
      </c>
      <c r="G494" s="35" t="s">
        <v>25</v>
      </c>
      <c r="H494" s="35" t="s">
        <v>25</v>
      </c>
      <c r="I494" s="45">
        <v>44470</v>
      </c>
      <c r="J494" s="46">
        <f ca="1">EFEITO!$J$494*EFEITO!$Y$494</f>
        <v>48695.609681431932</v>
      </c>
      <c r="K494" s="46">
        <f>EFEITO!$L$494*EFEITO!$Z$494</f>
        <v>0</v>
      </c>
      <c r="L494" s="46">
        <f>EFEITO!$N$494*EFEITO!$AA$494</f>
        <v>0</v>
      </c>
      <c r="M494" s="46">
        <f ca="1">$J$494-EFEITO!$K$494*EFEITO!$Y$494</f>
        <v>0</v>
      </c>
      <c r="N494" s="46">
        <f>$K$494-EFEITO!$M$494*EFEITO!$Z$494</f>
        <v>0</v>
      </c>
      <c r="O494" s="46">
        <f>$L$494-EFEITO!$O$494*EFEITO!$AA$494</f>
        <v>0</v>
      </c>
      <c r="P494" s="38"/>
      <c r="Q494" s="38"/>
      <c r="R494" s="38"/>
      <c r="S494" s="38"/>
      <c r="T494" s="38"/>
      <c r="U494" s="38"/>
      <c r="V494" s="38"/>
      <c r="W494" s="38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35" t="s">
        <v>21</v>
      </c>
      <c r="B495" s="35" t="s">
        <v>39</v>
      </c>
      <c r="C495" s="35" t="s">
        <v>41</v>
      </c>
      <c r="D495" s="35" t="s">
        <v>38</v>
      </c>
      <c r="E495" s="35" t="s">
        <v>25</v>
      </c>
      <c r="F495" s="35" t="s">
        <v>25</v>
      </c>
      <c r="G495" s="35" t="s">
        <v>25</v>
      </c>
      <c r="H495" s="35" t="s">
        <v>25</v>
      </c>
      <c r="I495" s="45">
        <v>44470</v>
      </c>
      <c r="J495" s="46">
        <f ca="1">EFEITO!$J$495*EFEITO!$Y$495</f>
        <v>45534.948546993553</v>
      </c>
      <c r="K495" s="46">
        <f>EFEITO!$L$495*EFEITO!$Z$495</f>
        <v>0</v>
      </c>
      <c r="L495" s="46">
        <f>EFEITO!$N$495*EFEITO!$AA$495</f>
        <v>0</v>
      </c>
      <c r="M495" s="46">
        <f ca="1">$J$495-EFEITO!$K$495*EFEITO!$Y$495</f>
        <v>0</v>
      </c>
      <c r="N495" s="46">
        <f>$K$495-EFEITO!$M$495*EFEITO!$Z$495</f>
        <v>0</v>
      </c>
      <c r="O495" s="46">
        <f>$L$495-EFEITO!$O$495*EFEITO!$AA$495</f>
        <v>0</v>
      </c>
      <c r="P495" s="38"/>
      <c r="Q495" s="38"/>
      <c r="R495" s="38"/>
      <c r="S495" s="38"/>
      <c r="T495" s="38"/>
      <c r="U495" s="38"/>
      <c r="V495" s="38"/>
      <c r="W495" s="38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35" t="s">
        <v>21</v>
      </c>
      <c r="B496" s="35" t="s">
        <v>39</v>
      </c>
      <c r="C496" s="35" t="s">
        <v>41</v>
      </c>
      <c r="D496" s="35" t="s">
        <v>38</v>
      </c>
      <c r="E496" s="35" t="s">
        <v>25</v>
      </c>
      <c r="F496" s="35" t="s">
        <v>25</v>
      </c>
      <c r="G496" s="35" t="s">
        <v>25</v>
      </c>
      <c r="H496" s="35" t="s">
        <v>25</v>
      </c>
      <c r="I496" s="45">
        <v>44501</v>
      </c>
      <c r="J496" s="46">
        <f ca="1">EFEITO!$J$496*EFEITO!$Y$496</f>
        <v>312976.87967966904</v>
      </c>
      <c r="K496" s="46">
        <f>EFEITO!$L$496*EFEITO!$Z$496</f>
        <v>0</v>
      </c>
      <c r="L496" s="46">
        <f>EFEITO!$N$496*EFEITO!$AA$496</f>
        <v>0</v>
      </c>
      <c r="M496" s="46">
        <f ca="1">$J$496-EFEITO!$K$496*EFEITO!$Y$496</f>
        <v>0</v>
      </c>
      <c r="N496" s="46">
        <f>$K$496-EFEITO!$M$496*EFEITO!$Z$496</f>
        <v>0</v>
      </c>
      <c r="O496" s="46">
        <f>$L$496-EFEITO!$O$496*EFEITO!$AA$496</f>
        <v>0</v>
      </c>
      <c r="P496" s="38"/>
      <c r="Q496" s="38"/>
      <c r="R496" s="38"/>
      <c r="S496" s="38"/>
      <c r="T496" s="38"/>
      <c r="U496" s="38"/>
      <c r="V496" s="38"/>
      <c r="W496" s="38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35" t="s">
        <v>27</v>
      </c>
      <c r="B497" s="35" t="s">
        <v>39</v>
      </c>
      <c r="C497" s="35" t="s">
        <v>41</v>
      </c>
      <c r="D497" s="35" t="s">
        <v>38</v>
      </c>
      <c r="E497" s="35" t="s">
        <v>25</v>
      </c>
      <c r="F497" s="35" t="s">
        <v>25</v>
      </c>
      <c r="G497" s="35" t="s">
        <v>25</v>
      </c>
      <c r="H497" s="35" t="s">
        <v>25</v>
      </c>
      <c r="I497" s="45">
        <v>44501</v>
      </c>
      <c r="J497" s="46">
        <f ca="1">EFEITO!$J$497*EFEITO!$Y$497</f>
        <v>1053.5537114794588</v>
      </c>
      <c r="K497" s="46">
        <f>EFEITO!$L$497*EFEITO!$Z$497</f>
        <v>0</v>
      </c>
      <c r="L497" s="46">
        <f>EFEITO!$N$497*EFEITO!$AA$497</f>
        <v>0</v>
      </c>
      <c r="M497" s="46">
        <f ca="1">$J$497-EFEITO!$K$497*EFEITO!$Y$497</f>
        <v>0</v>
      </c>
      <c r="N497" s="46">
        <f>$K$497-EFEITO!$M$497*EFEITO!$Z$497</f>
        <v>0</v>
      </c>
      <c r="O497" s="46">
        <f>$L$497-EFEITO!$O$497*EFEITO!$AA$497</f>
        <v>0</v>
      </c>
      <c r="P497" s="38"/>
      <c r="Q497" s="38"/>
      <c r="R497" s="38"/>
      <c r="S497" s="38"/>
      <c r="T497" s="38"/>
      <c r="U497" s="38"/>
      <c r="V497" s="38"/>
      <c r="W497" s="38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35" t="s">
        <v>28</v>
      </c>
      <c r="B498" s="35" t="s">
        <v>39</v>
      </c>
      <c r="C498" s="35" t="s">
        <v>41</v>
      </c>
      <c r="D498" s="35" t="s">
        <v>38</v>
      </c>
      <c r="E498" s="35" t="s">
        <v>25</v>
      </c>
      <c r="F498" s="35" t="s">
        <v>25</v>
      </c>
      <c r="G498" s="35" t="s">
        <v>25</v>
      </c>
      <c r="H498" s="35" t="s">
        <v>25</v>
      </c>
      <c r="I498" s="45">
        <v>44501</v>
      </c>
      <c r="J498" s="46">
        <f ca="1">EFEITO!$J$498*EFEITO!$Y$498</f>
        <v>48695.609681431932</v>
      </c>
      <c r="K498" s="46">
        <f>EFEITO!$L$498*EFEITO!$Z$498</f>
        <v>0</v>
      </c>
      <c r="L498" s="46">
        <f>EFEITO!$N$498*EFEITO!$AA$498</f>
        <v>0</v>
      </c>
      <c r="M498" s="46">
        <f ca="1">$J$498-EFEITO!$K$498*EFEITO!$Y$498</f>
        <v>0</v>
      </c>
      <c r="N498" s="46">
        <f>$K$498-EFEITO!$M$498*EFEITO!$Z$498</f>
        <v>0</v>
      </c>
      <c r="O498" s="46">
        <f>$L$498-EFEITO!$O$498*EFEITO!$AA$498</f>
        <v>0</v>
      </c>
      <c r="P498" s="38"/>
      <c r="Q498" s="38"/>
      <c r="R498" s="38"/>
      <c r="S498" s="38"/>
      <c r="T498" s="38"/>
      <c r="U498" s="38"/>
      <c r="V498" s="38"/>
      <c r="W498" s="38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35" t="s">
        <v>21</v>
      </c>
      <c r="B499" s="35" t="s">
        <v>39</v>
      </c>
      <c r="C499" s="35" t="s">
        <v>41</v>
      </c>
      <c r="D499" s="35" t="s">
        <v>38</v>
      </c>
      <c r="E499" s="35" t="s">
        <v>25</v>
      </c>
      <c r="F499" s="35" t="s">
        <v>25</v>
      </c>
      <c r="G499" s="35" t="s">
        <v>25</v>
      </c>
      <c r="H499" s="35" t="s">
        <v>25</v>
      </c>
      <c r="I499" s="45">
        <v>44501</v>
      </c>
      <c r="J499" s="46">
        <f ca="1">EFEITO!$J$499*EFEITO!$Y$499</f>
        <v>45534.948546993553</v>
      </c>
      <c r="K499" s="46">
        <f>EFEITO!$L$499*EFEITO!$Z$499</f>
        <v>0</v>
      </c>
      <c r="L499" s="46">
        <f>EFEITO!$N$499*EFEITO!$AA$499</f>
        <v>0</v>
      </c>
      <c r="M499" s="46">
        <f ca="1">$J$499-EFEITO!$K$499*EFEITO!$Y$499</f>
        <v>0</v>
      </c>
      <c r="N499" s="46">
        <f>$K$499-EFEITO!$M$499*EFEITO!$Z$499</f>
        <v>0</v>
      </c>
      <c r="O499" s="46">
        <f>$L$499-EFEITO!$O$499*EFEITO!$AA$499</f>
        <v>0</v>
      </c>
      <c r="P499" s="38"/>
      <c r="Q499" s="38"/>
      <c r="R499" s="38"/>
      <c r="S499" s="38"/>
      <c r="T499" s="38"/>
      <c r="U499" s="38"/>
      <c r="V499" s="38"/>
      <c r="W499" s="38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35" t="s">
        <v>21</v>
      </c>
      <c r="B500" s="35" t="s">
        <v>39</v>
      </c>
      <c r="C500" s="35" t="s">
        <v>41</v>
      </c>
      <c r="D500" s="35" t="s">
        <v>38</v>
      </c>
      <c r="E500" s="35" t="s">
        <v>25</v>
      </c>
      <c r="F500" s="35" t="s">
        <v>25</v>
      </c>
      <c r="G500" s="35" t="s">
        <v>25</v>
      </c>
      <c r="H500" s="35" t="s">
        <v>25</v>
      </c>
      <c r="I500" s="45">
        <v>44531</v>
      </c>
      <c r="J500" s="46">
        <f ca="1">EFEITO!$J$500*EFEITO!$Y$500</f>
        <v>305137.72579255915</v>
      </c>
      <c r="K500" s="46">
        <f>EFEITO!$L$500*EFEITO!$Z$500</f>
        <v>0</v>
      </c>
      <c r="L500" s="46">
        <f>EFEITO!$N$500*EFEITO!$AA$500</f>
        <v>0</v>
      </c>
      <c r="M500" s="46">
        <f ca="1">$J$500-EFEITO!$K$500*EFEITO!$Y$500</f>
        <v>0</v>
      </c>
      <c r="N500" s="46">
        <f>$K$500-EFEITO!$M$500*EFEITO!$Z$500</f>
        <v>0</v>
      </c>
      <c r="O500" s="46">
        <f>$L$500-EFEITO!$O$500*EFEITO!$AA$500</f>
        <v>0</v>
      </c>
      <c r="P500" s="38"/>
      <c r="Q500" s="38"/>
      <c r="R500" s="38"/>
      <c r="S500" s="38"/>
      <c r="T500" s="38"/>
      <c r="U500" s="38"/>
      <c r="V500" s="38"/>
      <c r="W500" s="38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35" t="s">
        <v>28</v>
      </c>
      <c r="B501" s="35" t="s">
        <v>39</v>
      </c>
      <c r="C501" s="35" t="s">
        <v>41</v>
      </c>
      <c r="D501" s="35" t="s">
        <v>38</v>
      </c>
      <c r="E501" s="35" t="s">
        <v>25</v>
      </c>
      <c r="F501" s="35" t="s">
        <v>25</v>
      </c>
      <c r="G501" s="35" t="s">
        <v>25</v>
      </c>
      <c r="H501" s="35" t="s">
        <v>25</v>
      </c>
      <c r="I501" s="45">
        <v>44531</v>
      </c>
      <c r="J501" s="46">
        <f ca="1">EFEITO!$J$501*EFEITO!$Y$501</f>
        <v>48052.763349003784</v>
      </c>
      <c r="K501" s="46">
        <f>EFEITO!$L$501*EFEITO!$Z$501</f>
        <v>0</v>
      </c>
      <c r="L501" s="46">
        <f>EFEITO!$N$501*EFEITO!$AA$501</f>
        <v>0</v>
      </c>
      <c r="M501" s="46">
        <f ca="1">$J$501-EFEITO!$K$501*EFEITO!$Y$501</f>
        <v>0</v>
      </c>
      <c r="N501" s="46">
        <f>$K$501-EFEITO!$M$501*EFEITO!$Z$501</f>
        <v>0</v>
      </c>
      <c r="O501" s="46">
        <f>$L$501-EFEITO!$O$501*EFEITO!$AA$501</f>
        <v>0</v>
      </c>
      <c r="P501" s="38"/>
      <c r="Q501" s="38"/>
      <c r="R501" s="38"/>
      <c r="S501" s="38"/>
      <c r="T501" s="38"/>
      <c r="U501" s="38"/>
      <c r="V501" s="38"/>
      <c r="W501" s="38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35" t="s">
        <v>21</v>
      </c>
      <c r="B502" s="35" t="s">
        <v>39</v>
      </c>
      <c r="C502" s="35" t="s">
        <v>41</v>
      </c>
      <c r="D502" s="35" t="s">
        <v>38</v>
      </c>
      <c r="E502" s="35" t="s">
        <v>25</v>
      </c>
      <c r="F502" s="35" t="s">
        <v>25</v>
      </c>
      <c r="G502" s="35" t="s">
        <v>25</v>
      </c>
      <c r="H502" s="35" t="s">
        <v>25</v>
      </c>
      <c r="I502" s="45">
        <v>44531</v>
      </c>
      <c r="J502" s="46">
        <f ca="1">EFEITO!$J$502*EFEITO!$Y$502</f>
        <v>44642.10641862113</v>
      </c>
      <c r="K502" s="46">
        <f>EFEITO!$L$502*EFEITO!$Z$502</f>
        <v>0</v>
      </c>
      <c r="L502" s="46">
        <f>EFEITO!$N$502*EFEITO!$AA$502</f>
        <v>0</v>
      </c>
      <c r="M502" s="46">
        <f ca="1">$J$502-EFEITO!$K$502*EFEITO!$Y$502</f>
        <v>0</v>
      </c>
      <c r="N502" s="46">
        <f>$K$502-EFEITO!$M$502*EFEITO!$Z$502</f>
        <v>0</v>
      </c>
      <c r="O502" s="46">
        <f>$L$502-EFEITO!$O$502*EFEITO!$AA$502</f>
        <v>0</v>
      </c>
      <c r="P502" s="38"/>
      <c r="Q502" s="38"/>
      <c r="R502" s="38"/>
      <c r="S502" s="38"/>
      <c r="T502" s="38"/>
      <c r="U502" s="38"/>
      <c r="V502" s="38"/>
      <c r="W502" s="38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35" t="s">
        <v>55</v>
      </c>
      <c r="B503" s="35" t="s">
        <v>39</v>
      </c>
      <c r="C503" s="35" t="s">
        <v>41</v>
      </c>
      <c r="D503" s="35" t="s">
        <v>38</v>
      </c>
      <c r="E503" s="35" t="s">
        <v>25</v>
      </c>
      <c r="F503" s="35" t="s">
        <v>25</v>
      </c>
      <c r="G503" s="35" t="s">
        <v>25</v>
      </c>
      <c r="H503" s="35" t="s">
        <v>25</v>
      </c>
      <c r="I503" s="45">
        <v>44562</v>
      </c>
      <c r="J503" s="46">
        <f ca="1">EFEITO!$J$503*EFEITO!$Y$503</f>
        <v>305137.72579255915</v>
      </c>
      <c r="K503" s="46">
        <f>EFEITO!$L$503*EFEITO!$Z$503</f>
        <v>0</v>
      </c>
      <c r="L503" s="46">
        <f>EFEITO!$N$503*EFEITO!$AA$503</f>
        <v>0</v>
      </c>
      <c r="M503" s="46">
        <f ca="1">$J$503-EFEITO!$K$503*EFEITO!$Y$503</f>
        <v>0</v>
      </c>
      <c r="N503" s="46">
        <f>$K$503-EFEITO!$M$503*EFEITO!$Z$503</f>
        <v>0</v>
      </c>
      <c r="O503" s="46">
        <f>$L$503-EFEITO!$O$503*EFEITO!$AA$503</f>
        <v>0</v>
      </c>
      <c r="P503" s="38"/>
      <c r="Q503" s="38"/>
      <c r="R503" s="38"/>
      <c r="S503" s="38"/>
      <c r="T503" s="38"/>
      <c r="U503" s="38"/>
      <c r="V503" s="38"/>
      <c r="W503" s="38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35" t="s">
        <v>55</v>
      </c>
      <c r="B504" s="35" t="s">
        <v>39</v>
      </c>
      <c r="C504" s="35" t="s">
        <v>41</v>
      </c>
      <c r="D504" s="35" t="s">
        <v>38</v>
      </c>
      <c r="E504" s="35" t="s">
        <v>25</v>
      </c>
      <c r="F504" s="35" t="s">
        <v>25</v>
      </c>
      <c r="G504" s="35" t="s">
        <v>25</v>
      </c>
      <c r="H504" s="35" t="s">
        <v>25</v>
      </c>
      <c r="I504" s="45">
        <v>44562</v>
      </c>
      <c r="J504" s="46">
        <f ca="1">EFEITO!$J$504*EFEITO!$Y$504</f>
        <v>48052.763349003784</v>
      </c>
      <c r="K504" s="46">
        <f>EFEITO!$L$504*EFEITO!$Z$504</f>
        <v>0</v>
      </c>
      <c r="L504" s="46">
        <f>EFEITO!$N$504*EFEITO!$AA$504</f>
        <v>0</v>
      </c>
      <c r="M504" s="46">
        <f ca="1">$J$504-EFEITO!$K$504*EFEITO!$Y$504</f>
        <v>0</v>
      </c>
      <c r="N504" s="46">
        <f>$K$504-EFEITO!$M$504*EFEITO!$Z$504</f>
        <v>0</v>
      </c>
      <c r="O504" s="46">
        <f>$L$504-EFEITO!$O$504*EFEITO!$AA$504</f>
        <v>0</v>
      </c>
      <c r="P504" s="38"/>
      <c r="Q504" s="38"/>
      <c r="R504" s="38"/>
      <c r="S504" s="38"/>
      <c r="T504" s="38"/>
      <c r="U504" s="38"/>
      <c r="V504" s="38"/>
      <c r="W504" s="38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35" t="s">
        <v>55</v>
      </c>
      <c r="B505" s="35" t="s">
        <v>39</v>
      </c>
      <c r="C505" s="35" t="s">
        <v>41</v>
      </c>
      <c r="D505" s="35" t="s">
        <v>38</v>
      </c>
      <c r="E505" s="35" t="s">
        <v>25</v>
      </c>
      <c r="F505" s="35" t="s">
        <v>25</v>
      </c>
      <c r="G505" s="35" t="s">
        <v>25</v>
      </c>
      <c r="H505" s="35" t="s">
        <v>25</v>
      </c>
      <c r="I505" s="45">
        <v>44562</v>
      </c>
      <c r="J505" s="46">
        <f ca="1">EFEITO!$J$505*EFEITO!$Y$505</f>
        <v>44642.10641862113</v>
      </c>
      <c r="K505" s="46">
        <f>EFEITO!$L$505*EFEITO!$Z$505</f>
        <v>0</v>
      </c>
      <c r="L505" s="46">
        <f>EFEITO!$N$505*EFEITO!$AA$505</f>
        <v>0</v>
      </c>
      <c r="M505" s="46">
        <f ca="1">$J$505-EFEITO!$K$505*EFEITO!$Y$505</f>
        <v>0</v>
      </c>
      <c r="N505" s="46">
        <f>$K$505-EFEITO!$M$505*EFEITO!$Z$505</f>
        <v>0</v>
      </c>
      <c r="O505" s="46">
        <f>$L$505-EFEITO!$O$505*EFEITO!$AA$505</f>
        <v>0</v>
      </c>
      <c r="P505" s="38"/>
      <c r="Q505" s="38"/>
      <c r="R505" s="38"/>
      <c r="S505" s="38"/>
      <c r="T505" s="38"/>
      <c r="U505" s="38"/>
      <c r="V505" s="38"/>
      <c r="W505" s="38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35" t="s">
        <v>21</v>
      </c>
      <c r="B506" s="35" t="s">
        <v>39</v>
      </c>
      <c r="C506" s="35" t="s">
        <v>41</v>
      </c>
      <c r="D506" s="35" t="s">
        <v>38</v>
      </c>
      <c r="E506" s="35" t="s">
        <v>25</v>
      </c>
      <c r="F506" s="35" t="s">
        <v>25</v>
      </c>
      <c r="G506" s="35" t="s">
        <v>25</v>
      </c>
      <c r="H506" s="35" t="s">
        <v>34</v>
      </c>
      <c r="I506" s="45">
        <v>44228</v>
      </c>
      <c r="J506" s="46">
        <f>EFEITO!$J$506*EFEITO!$Y$506</f>
        <v>0</v>
      </c>
      <c r="K506" s="46">
        <f ca="1">EFEITO!$L$506*EFEITO!$Z$506</f>
        <v>120797.81872489672</v>
      </c>
      <c r="L506" s="46">
        <f>EFEITO!$N$506*EFEITO!$AA$506</f>
        <v>50129.025971750409</v>
      </c>
      <c r="M506" s="46">
        <f>$J$506-EFEITO!$K$506*EFEITO!$Y$506</f>
        <v>0</v>
      </c>
      <c r="N506" s="46">
        <f ca="1">$K$506-EFEITO!$M$506*EFEITO!$Z$506</f>
        <v>0</v>
      </c>
      <c r="O506" s="46">
        <f>$L$506-EFEITO!$O$506*EFEITO!$AA$506</f>
        <v>0</v>
      </c>
      <c r="P506" s="38"/>
      <c r="Q506" s="38"/>
      <c r="R506" s="38"/>
      <c r="S506" s="38"/>
      <c r="T506" s="38"/>
      <c r="U506" s="38"/>
      <c r="V506" s="38"/>
      <c r="W506" s="38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35" t="s">
        <v>28</v>
      </c>
      <c r="B507" s="35" t="s">
        <v>39</v>
      </c>
      <c r="C507" s="35" t="s">
        <v>41</v>
      </c>
      <c r="D507" s="35" t="s">
        <v>38</v>
      </c>
      <c r="E507" s="35" t="s">
        <v>25</v>
      </c>
      <c r="F507" s="35" t="s">
        <v>25</v>
      </c>
      <c r="G507" s="35" t="s">
        <v>25</v>
      </c>
      <c r="H507" s="35" t="s">
        <v>34</v>
      </c>
      <c r="I507" s="45">
        <v>44228</v>
      </c>
      <c r="J507" s="46">
        <f>EFEITO!$J$507*EFEITO!$Y$507</f>
        <v>0</v>
      </c>
      <c r="K507" s="46">
        <f ca="1">EFEITO!$L$507*EFEITO!$Z$507</f>
        <v>2622.2028963181551</v>
      </c>
      <c r="L507" s="46">
        <f>EFEITO!$N$507*EFEITO!$AA$507</f>
        <v>1088.1692937857667</v>
      </c>
      <c r="M507" s="46">
        <f>$J$507-EFEITO!$K$507*EFEITO!$Y$507</f>
        <v>0</v>
      </c>
      <c r="N507" s="46">
        <f ca="1">$K$507-EFEITO!$M$507*EFEITO!$Z$507</f>
        <v>0</v>
      </c>
      <c r="O507" s="46">
        <f>$L$507-EFEITO!$O$507*EFEITO!$AA$507</f>
        <v>0</v>
      </c>
      <c r="P507" s="38"/>
      <c r="Q507" s="38"/>
      <c r="R507" s="38"/>
      <c r="S507" s="38"/>
      <c r="T507" s="38"/>
      <c r="U507" s="38"/>
      <c r="V507" s="38"/>
      <c r="W507" s="38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35" t="s">
        <v>21</v>
      </c>
      <c r="B508" s="35" t="s">
        <v>39</v>
      </c>
      <c r="C508" s="35" t="s">
        <v>41</v>
      </c>
      <c r="D508" s="35" t="s">
        <v>38</v>
      </c>
      <c r="E508" s="35" t="s">
        <v>25</v>
      </c>
      <c r="F508" s="35" t="s">
        <v>25</v>
      </c>
      <c r="G508" s="35" t="s">
        <v>25</v>
      </c>
      <c r="H508" s="35" t="s">
        <v>34</v>
      </c>
      <c r="I508" s="45">
        <v>44228</v>
      </c>
      <c r="J508" s="46">
        <f>EFEITO!$J$508*EFEITO!$Y$508</f>
        <v>0</v>
      </c>
      <c r="K508" s="46">
        <f ca="1">EFEITO!$L$508*EFEITO!$Z$508</f>
        <v>22030.962909980164</v>
      </c>
      <c r="L508" s="46">
        <f>EFEITO!$N$508*EFEITO!$AA$508</f>
        <v>0</v>
      </c>
      <c r="M508" s="46">
        <f>$J$508-EFEITO!$K$508*EFEITO!$Y$508</f>
        <v>0</v>
      </c>
      <c r="N508" s="46">
        <f ca="1">$K$508-EFEITO!$M$508*EFEITO!$Z$508</f>
        <v>0</v>
      </c>
      <c r="O508" s="46">
        <f>$L$508-EFEITO!$O$508*EFEITO!$AA$508</f>
        <v>0</v>
      </c>
      <c r="P508" s="38"/>
      <c r="Q508" s="38"/>
      <c r="R508" s="38"/>
      <c r="S508" s="38"/>
      <c r="T508" s="38"/>
      <c r="U508" s="38"/>
      <c r="V508" s="38"/>
      <c r="W508" s="38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35" t="s">
        <v>21</v>
      </c>
      <c r="B509" s="35" t="s">
        <v>39</v>
      </c>
      <c r="C509" s="35" t="s">
        <v>41</v>
      </c>
      <c r="D509" s="35" t="s">
        <v>38</v>
      </c>
      <c r="E509" s="35" t="s">
        <v>25</v>
      </c>
      <c r="F509" s="35" t="s">
        <v>25</v>
      </c>
      <c r="G509" s="35" t="s">
        <v>25</v>
      </c>
      <c r="H509" s="35" t="s">
        <v>34</v>
      </c>
      <c r="I509" s="45">
        <v>44256</v>
      </c>
      <c r="J509" s="46">
        <f>EFEITO!$J$509*EFEITO!$Y$509</f>
        <v>0</v>
      </c>
      <c r="K509" s="46">
        <f ca="1">EFEITO!$L$509*EFEITO!$Z$509</f>
        <v>121537.2000587505</v>
      </c>
      <c r="L509" s="46">
        <f>EFEITO!$N$509*EFEITO!$AA$509</f>
        <v>50435.856562559282</v>
      </c>
      <c r="M509" s="46">
        <f>$J$509-EFEITO!$K$509*EFEITO!$Y$509</f>
        <v>0</v>
      </c>
      <c r="N509" s="46">
        <f ca="1">$K$509-EFEITO!$M$509*EFEITO!$Z$509</f>
        <v>0</v>
      </c>
      <c r="O509" s="46">
        <f>$L$509-EFEITO!$O$509*EFEITO!$AA$509</f>
        <v>0</v>
      </c>
      <c r="P509" s="38"/>
      <c r="Q509" s="38"/>
      <c r="R509" s="38"/>
      <c r="S509" s="38"/>
      <c r="T509" s="38"/>
      <c r="U509" s="38"/>
      <c r="V509" s="38"/>
      <c r="W509" s="38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35" t="s">
        <v>27</v>
      </c>
      <c r="B510" s="35" t="s">
        <v>39</v>
      </c>
      <c r="C510" s="35" t="s">
        <v>41</v>
      </c>
      <c r="D510" s="35" t="s">
        <v>38</v>
      </c>
      <c r="E510" s="35" t="s">
        <v>25</v>
      </c>
      <c r="F510" s="35" t="s">
        <v>25</v>
      </c>
      <c r="G510" s="35" t="s">
        <v>25</v>
      </c>
      <c r="H510" s="35" t="s">
        <v>34</v>
      </c>
      <c r="I510" s="45">
        <v>44256</v>
      </c>
      <c r="J510" s="46">
        <f>EFEITO!$J$510*EFEITO!$Y$510</f>
        <v>0</v>
      </c>
      <c r="K510" s="46">
        <f ca="1">EFEITO!$L$510*EFEITO!$Z$510</f>
        <v>-7997.5795031170082</v>
      </c>
      <c r="L510" s="46">
        <f>EFEITO!$N$510*EFEITO!$AA$510</f>
        <v>-3318.8585262116371</v>
      </c>
      <c r="M510" s="46">
        <f>$J$510-EFEITO!$K$510*EFEITO!$Y$510</f>
        <v>0</v>
      </c>
      <c r="N510" s="46">
        <f ca="1">$K$510-EFEITO!$M$510*EFEITO!$Z$510</f>
        <v>0</v>
      </c>
      <c r="O510" s="46">
        <f>$L$510-EFEITO!$O$510*EFEITO!$AA$510</f>
        <v>0</v>
      </c>
      <c r="P510" s="38"/>
      <c r="Q510" s="38"/>
      <c r="R510" s="38"/>
      <c r="S510" s="38"/>
      <c r="T510" s="38"/>
      <c r="U510" s="38"/>
      <c r="V510" s="38"/>
      <c r="W510" s="38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35" t="s">
        <v>28</v>
      </c>
      <c r="B511" s="35" t="s">
        <v>39</v>
      </c>
      <c r="C511" s="35" t="s">
        <v>41</v>
      </c>
      <c r="D511" s="35" t="s">
        <v>38</v>
      </c>
      <c r="E511" s="35" t="s">
        <v>25</v>
      </c>
      <c r="F511" s="35" t="s">
        <v>25</v>
      </c>
      <c r="G511" s="35" t="s">
        <v>25</v>
      </c>
      <c r="H511" s="35" t="s">
        <v>34</v>
      </c>
      <c r="I511" s="45">
        <v>44256</v>
      </c>
      <c r="J511" s="46">
        <f>EFEITO!$J$511*EFEITO!$Y$511</f>
        <v>0</v>
      </c>
      <c r="K511" s="46">
        <f ca="1">EFEITO!$L$511*EFEITO!$Z$511</f>
        <v>3809.3000629829098</v>
      </c>
      <c r="L511" s="46">
        <f>EFEITO!$N$511*EFEITO!$AA$511</f>
        <v>1580.7942875718843</v>
      </c>
      <c r="M511" s="46">
        <f>$J$511-EFEITO!$K$511*EFEITO!$Y$511</f>
        <v>0</v>
      </c>
      <c r="N511" s="46">
        <f ca="1">$K$511-EFEITO!$M$511*EFEITO!$Z$511</f>
        <v>0</v>
      </c>
      <c r="O511" s="46">
        <f>$L$511-EFEITO!$O$511*EFEITO!$AA$511</f>
        <v>0</v>
      </c>
      <c r="P511" s="38"/>
      <c r="Q511" s="38"/>
      <c r="R511" s="38"/>
      <c r="S511" s="38"/>
      <c r="T511" s="38"/>
      <c r="U511" s="38"/>
      <c r="V511" s="38"/>
      <c r="W511" s="38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35" t="s">
        <v>21</v>
      </c>
      <c r="B512" s="35" t="s">
        <v>39</v>
      </c>
      <c r="C512" s="35" t="s">
        <v>41</v>
      </c>
      <c r="D512" s="35" t="s">
        <v>38</v>
      </c>
      <c r="E512" s="35" t="s">
        <v>25</v>
      </c>
      <c r="F512" s="35" t="s">
        <v>25</v>
      </c>
      <c r="G512" s="35" t="s">
        <v>25</v>
      </c>
      <c r="H512" s="35" t="s">
        <v>34</v>
      </c>
      <c r="I512" s="45">
        <v>44256</v>
      </c>
      <c r="J512" s="46">
        <f>EFEITO!$J$512*EFEITO!$Y$512</f>
        <v>0</v>
      </c>
      <c r="K512" s="46">
        <f ca="1">EFEITO!$L$512*EFEITO!$Z$512</f>
        <v>29262.223819592931</v>
      </c>
      <c r="L512" s="46">
        <f>EFEITO!$N$512*EFEITO!$AA$512</f>
        <v>0</v>
      </c>
      <c r="M512" s="46">
        <f>$J$512-EFEITO!$K$512*EFEITO!$Y$512</f>
        <v>0</v>
      </c>
      <c r="N512" s="46">
        <f ca="1">$K$512-EFEITO!$M$512*EFEITO!$Z$512</f>
        <v>0</v>
      </c>
      <c r="O512" s="46">
        <f>$L$512-EFEITO!$O$512*EFEITO!$AA$512</f>
        <v>0</v>
      </c>
      <c r="P512" s="38"/>
      <c r="Q512" s="38"/>
      <c r="R512" s="38"/>
      <c r="S512" s="38"/>
      <c r="T512" s="38"/>
      <c r="U512" s="38"/>
      <c r="V512" s="38"/>
      <c r="W512" s="38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35" t="s">
        <v>21</v>
      </c>
      <c r="B513" s="35" t="s">
        <v>39</v>
      </c>
      <c r="C513" s="35" t="s">
        <v>41</v>
      </c>
      <c r="D513" s="35" t="s">
        <v>38</v>
      </c>
      <c r="E513" s="35" t="s">
        <v>25</v>
      </c>
      <c r="F513" s="35" t="s">
        <v>25</v>
      </c>
      <c r="G513" s="35" t="s">
        <v>25</v>
      </c>
      <c r="H513" s="35" t="s">
        <v>34</v>
      </c>
      <c r="I513" s="45">
        <v>44287</v>
      </c>
      <c r="J513" s="46">
        <f>EFEITO!$J$513*EFEITO!$Y$513</f>
        <v>0</v>
      </c>
      <c r="K513" s="46">
        <f ca="1">EFEITO!$L$513*EFEITO!$Z$513</f>
        <v>121889.24217625125</v>
      </c>
      <c r="L513" s="46">
        <f>EFEITO!$N$513*EFEITO!$AA$513</f>
        <v>50581.948012203218</v>
      </c>
      <c r="M513" s="46">
        <f>$J$513-EFEITO!$K$513*EFEITO!$Y$513</f>
        <v>0</v>
      </c>
      <c r="N513" s="46">
        <f ca="1">$K$513-EFEITO!$M$513*EFEITO!$Z$513</f>
        <v>0</v>
      </c>
      <c r="O513" s="46">
        <f>$L$513-EFEITO!$O$513*EFEITO!$AA$513</f>
        <v>0</v>
      </c>
      <c r="P513" s="38"/>
      <c r="Q513" s="38"/>
      <c r="R513" s="38"/>
      <c r="S513" s="38"/>
      <c r="T513" s="38"/>
      <c r="U513" s="38"/>
      <c r="V513" s="38"/>
      <c r="W513" s="38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35" t="s">
        <v>28</v>
      </c>
      <c r="B514" s="35" t="s">
        <v>39</v>
      </c>
      <c r="C514" s="35" t="s">
        <v>41</v>
      </c>
      <c r="D514" s="35" t="s">
        <v>38</v>
      </c>
      <c r="E514" s="35" t="s">
        <v>25</v>
      </c>
      <c r="F514" s="35" t="s">
        <v>25</v>
      </c>
      <c r="G514" s="35" t="s">
        <v>25</v>
      </c>
      <c r="H514" s="35" t="s">
        <v>34</v>
      </c>
      <c r="I514" s="45">
        <v>44287</v>
      </c>
      <c r="J514" s="46">
        <f>EFEITO!$J$514*EFEITO!$Y$514</f>
        <v>0</v>
      </c>
      <c r="K514" s="46">
        <f ca="1">EFEITO!$L$514*EFEITO!$Z$514</f>
        <v>3024.404049030079</v>
      </c>
      <c r="L514" s="46">
        <f>EFEITO!$N$514*EFEITO!$AA$514</f>
        <v>1255.0758840122055</v>
      </c>
      <c r="M514" s="46">
        <f>$J$514-EFEITO!$K$514*EFEITO!$Y$514</f>
        <v>0</v>
      </c>
      <c r="N514" s="46">
        <f ca="1">$K$514-EFEITO!$M$514*EFEITO!$Z$514</f>
        <v>0</v>
      </c>
      <c r="O514" s="46">
        <f>$L$514-EFEITO!$O$514*EFEITO!$AA$514</f>
        <v>0</v>
      </c>
      <c r="P514" s="38"/>
      <c r="Q514" s="38"/>
      <c r="R514" s="38"/>
      <c r="S514" s="38"/>
      <c r="T514" s="38"/>
      <c r="U514" s="38"/>
      <c r="V514" s="38"/>
      <c r="W514" s="38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35" t="s">
        <v>21</v>
      </c>
      <c r="B515" s="35" t="s">
        <v>39</v>
      </c>
      <c r="C515" s="35" t="s">
        <v>41</v>
      </c>
      <c r="D515" s="35" t="s">
        <v>38</v>
      </c>
      <c r="E515" s="35" t="s">
        <v>25</v>
      </c>
      <c r="F515" s="35" t="s">
        <v>25</v>
      </c>
      <c r="G515" s="35" t="s">
        <v>25</v>
      </c>
      <c r="H515" s="35" t="s">
        <v>34</v>
      </c>
      <c r="I515" s="45">
        <v>44287</v>
      </c>
      <c r="J515" s="46">
        <f>EFEITO!$J$515*EFEITO!$Y$515</f>
        <v>0</v>
      </c>
      <c r="K515" s="46">
        <f ca="1">EFEITO!$L$515*EFEITO!$Z$515</f>
        <v>38506.348234810175</v>
      </c>
      <c r="L515" s="46">
        <f>EFEITO!$N$515*EFEITO!$AA$515</f>
        <v>0</v>
      </c>
      <c r="M515" s="46">
        <f>$J$515-EFEITO!$K$515*EFEITO!$Y$515</f>
        <v>0</v>
      </c>
      <c r="N515" s="46">
        <f ca="1">$K$515-EFEITO!$M$515*EFEITO!$Z$515</f>
        <v>0</v>
      </c>
      <c r="O515" s="46">
        <f>$L$515-EFEITO!$O$515*EFEITO!$AA$515</f>
        <v>0</v>
      </c>
      <c r="P515" s="38"/>
      <c r="Q515" s="38"/>
      <c r="R515" s="38"/>
      <c r="S515" s="38"/>
      <c r="T515" s="38"/>
      <c r="U515" s="38"/>
      <c r="V515" s="38"/>
      <c r="W515" s="38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35" t="s">
        <v>21</v>
      </c>
      <c r="B516" s="35" t="s">
        <v>39</v>
      </c>
      <c r="C516" s="35" t="s">
        <v>41</v>
      </c>
      <c r="D516" s="35" t="s">
        <v>38</v>
      </c>
      <c r="E516" s="35" t="s">
        <v>25</v>
      </c>
      <c r="F516" s="35" t="s">
        <v>25</v>
      </c>
      <c r="G516" s="35" t="s">
        <v>25</v>
      </c>
      <c r="H516" s="35" t="s">
        <v>34</v>
      </c>
      <c r="I516" s="45">
        <v>44317</v>
      </c>
      <c r="J516" s="46">
        <f>EFEITO!$J$516*EFEITO!$Y$516</f>
        <v>0</v>
      </c>
      <c r="K516" s="46">
        <f ca="1">EFEITO!$L$516*EFEITO!$Z$516</f>
        <v>99373.408592562948</v>
      </c>
      <c r="L516" s="46">
        <f>EFEITO!$N$516*EFEITO!$AA$516</f>
        <v>41238.262684053378</v>
      </c>
      <c r="M516" s="46">
        <f>$J$516-EFEITO!$K$516*EFEITO!$Y$516</f>
        <v>0</v>
      </c>
      <c r="N516" s="46">
        <f ca="1">$K$516-EFEITO!$M$516*EFEITO!$Z$516</f>
        <v>0</v>
      </c>
      <c r="O516" s="46">
        <f>$L$516-EFEITO!$O$516*EFEITO!$AA$516</f>
        <v>0</v>
      </c>
      <c r="P516" s="38"/>
      <c r="Q516" s="38"/>
      <c r="R516" s="38"/>
      <c r="S516" s="38"/>
      <c r="T516" s="38"/>
      <c r="U516" s="38"/>
      <c r="V516" s="38"/>
      <c r="W516" s="38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35" t="s">
        <v>28</v>
      </c>
      <c r="B517" s="35" t="s">
        <v>39</v>
      </c>
      <c r="C517" s="35" t="s">
        <v>41</v>
      </c>
      <c r="D517" s="35" t="s">
        <v>38</v>
      </c>
      <c r="E517" s="35" t="s">
        <v>25</v>
      </c>
      <c r="F517" s="35" t="s">
        <v>25</v>
      </c>
      <c r="G517" s="35" t="s">
        <v>25</v>
      </c>
      <c r="H517" s="35" t="s">
        <v>34</v>
      </c>
      <c r="I517" s="45">
        <v>44317</v>
      </c>
      <c r="J517" s="46">
        <f>EFEITO!$J$517*EFEITO!$Y$517</f>
        <v>0</v>
      </c>
      <c r="K517" s="46">
        <f ca="1">EFEITO!$L$517*EFEITO!$Z$517</f>
        <v>3327.2160023420583</v>
      </c>
      <c r="L517" s="46">
        <f>EFEITO!$N$517*EFEITO!$AA$517</f>
        <v>1380.7376586399632</v>
      </c>
      <c r="M517" s="46">
        <f>$J$517-EFEITO!$K$517*EFEITO!$Y$517</f>
        <v>0</v>
      </c>
      <c r="N517" s="46">
        <f ca="1">$K$517-EFEITO!$M$517*EFEITO!$Z$517</f>
        <v>0</v>
      </c>
      <c r="O517" s="46">
        <f>$L$517-EFEITO!$O$517*EFEITO!$AA$517</f>
        <v>0</v>
      </c>
      <c r="P517" s="38"/>
      <c r="Q517" s="38"/>
      <c r="R517" s="38"/>
      <c r="S517" s="38"/>
      <c r="T517" s="38"/>
      <c r="U517" s="38"/>
      <c r="V517" s="38"/>
      <c r="W517" s="38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35" t="s">
        <v>21</v>
      </c>
      <c r="B518" s="35" t="s">
        <v>39</v>
      </c>
      <c r="C518" s="35" t="s">
        <v>41</v>
      </c>
      <c r="D518" s="35" t="s">
        <v>38</v>
      </c>
      <c r="E518" s="35" t="s">
        <v>25</v>
      </c>
      <c r="F518" s="35" t="s">
        <v>25</v>
      </c>
      <c r="G518" s="35" t="s">
        <v>25</v>
      </c>
      <c r="H518" s="35" t="s">
        <v>34</v>
      </c>
      <c r="I518" s="45">
        <v>44317</v>
      </c>
      <c r="J518" s="46">
        <f>EFEITO!$J$518*EFEITO!$Y$518</f>
        <v>0</v>
      </c>
      <c r="K518" s="46">
        <f ca="1">EFEITO!$L$518*EFEITO!$Z$518</f>
        <v>19347.454526181671</v>
      </c>
      <c r="L518" s="46">
        <f>EFEITO!$N$518*EFEITO!$AA$518</f>
        <v>0</v>
      </c>
      <c r="M518" s="46">
        <f>$J$518-EFEITO!$K$518*EFEITO!$Y$518</f>
        <v>0</v>
      </c>
      <c r="N518" s="46">
        <f ca="1">$K$518-EFEITO!$M$518*EFEITO!$Z$518</f>
        <v>0</v>
      </c>
      <c r="O518" s="46">
        <f>$L$518-EFEITO!$O$518*EFEITO!$AA$518</f>
        <v>0</v>
      </c>
      <c r="P518" s="38"/>
      <c r="Q518" s="38"/>
      <c r="R518" s="38"/>
      <c r="S518" s="38"/>
      <c r="T518" s="38"/>
      <c r="U518" s="38"/>
      <c r="V518" s="38"/>
      <c r="W518" s="38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35" t="s">
        <v>21</v>
      </c>
      <c r="B519" s="35" t="s">
        <v>39</v>
      </c>
      <c r="C519" s="35" t="s">
        <v>41</v>
      </c>
      <c r="D519" s="35" t="s">
        <v>38</v>
      </c>
      <c r="E519" s="35" t="s">
        <v>25</v>
      </c>
      <c r="F519" s="35" t="s">
        <v>25</v>
      </c>
      <c r="G519" s="35" t="s">
        <v>25</v>
      </c>
      <c r="H519" s="35" t="s">
        <v>34</v>
      </c>
      <c r="I519" s="45">
        <v>44348</v>
      </c>
      <c r="J519" s="46">
        <f>EFEITO!$J$519*EFEITO!$Y$519</f>
        <v>0</v>
      </c>
      <c r="K519" s="46">
        <f ca="1">EFEITO!$L$519*EFEITO!$Z$519</f>
        <v>128523.23901844192</v>
      </c>
      <c r="L519" s="46">
        <f>EFEITO!$N$519*EFEITO!$AA$519</f>
        <v>53334.943087023603</v>
      </c>
      <c r="M519" s="46">
        <f>$J$519-EFEITO!$K$519*EFEITO!$Y$519</f>
        <v>0</v>
      </c>
      <c r="N519" s="46">
        <f ca="1">$K$519-EFEITO!$M$519*EFEITO!$Z$519</f>
        <v>0</v>
      </c>
      <c r="O519" s="46">
        <f>$L$519-EFEITO!$O$519*EFEITO!$AA$519</f>
        <v>0</v>
      </c>
      <c r="P519" s="38"/>
      <c r="Q519" s="38"/>
      <c r="R519" s="38"/>
      <c r="S519" s="38"/>
      <c r="T519" s="38"/>
      <c r="U519" s="38"/>
      <c r="V519" s="38"/>
      <c r="W519" s="38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35" t="s">
        <v>27</v>
      </c>
      <c r="B520" s="35" t="s">
        <v>39</v>
      </c>
      <c r="C520" s="35" t="s">
        <v>41</v>
      </c>
      <c r="D520" s="35" t="s">
        <v>38</v>
      </c>
      <c r="E520" s="35" t="s">
        <v>25</v>
      </c>
      <c r="F520" s="35" t="s">
        <v>25</v>
      </c>
      <c r="G520" s="35" t="s">
        <v>25</v>
      </c>
      <c r="H520" s="35" t="s">
        <v>34</v>
      </c>
      <c r="I520" s="45">
        <v>44348</v>
      </c>
      <c r="J520" s="46">
        <f>EFEITO!$J$520*EFEITO!$Y$520</f>
        <v>0</v>
      </c>
      <c r="K520" s="46">
        <f ca="1">EFEITO!$L$520*EFEITO!$Z$520</f>
        <v>-975.31457355085479</v>
      </c>
      <c r="L520" s="46">
        <f>EFEITO!$N$520*EFEITO!$AA$520</f>
        <v>-404.73884465995576</v>
      </c>
      <c r="M520" s="46">
        <f>$J$520-EFEITO!$K$520*EFEITO!$Y$520</f>
        <v>0</v>
      </c>
      <c r="N520" s="46">
        <f ca="1">$K$520-EFEITO!$M$520*EFEITO!$Z$520</f>
        <v>0</v>
      </c>
      <c r="O520" s="46">
        <f>$L$520-EFEITO!$O$520*EFEITO!$AA$520</f>
        <v>0</v>
      </c>
      <c r="P520" s="38"/>
      <c r="Q520" s="38"/>
      <c r="R520" s="38"/>
      <c r="S520" s="38"/>
      <c r="T520" s="38"/>
      <c r="U520" s="38"/>
      <c r="V520" s="38"/>
      <c r="W520" s="38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35" t="s">
        <v>28</v>
      </c>
      <c r="B521" s="35" t="s">
        <v>39</v>
      </c>
      <c r="C521" s="35" t="s">
        <v>41</v>
      </c>
      <c r="D521" s="35" t="s">
        <v>38</v>
      </c>
      <c r="E521" s="35" t="s">
        <v>25</v>
      </c>
      <c r="F521" s="35" t="s">
        <v>25</v>
      </c>
      <c r="G521" s="35" t="s">
        <v>25</v>
      </c>
      <c r="H521" s="35" t="s">
        <v>34</v>
      </c>
      <c r="I521" s="45">
        <v>44348</v>
      </c>
      <c r="J521" s="46">
        <f>EFEITO!$J$521*EFEITO!$Y$521</f>
        <v>0</v>
      </c>
      <c r="K521" s="46">
        <f ca="1">EFEITO!$L$521*EFEITO!$Z$521</f>
        <v>3280.7724512205896</v>
      </c>
      <c r="L521" s="46">
        <f>EFEITO!$N$521*EFEITO!$AA$521</f>
        <v>1361.4643803228225</v>
      </c>
      <c r="M521" s="46">
        <f>$J$521-EFEITO!$K$521*EFEITO!$Y$521</f>
        <v>0</v>
      </c>
      <c r="N521" s="46">
        <f ca="1">$K$521-EFEITO!$M$521*EFEITO!$Z$521</f>
        <v>0</v>
      </c>
      <c r="O521" s="46">
        <f>$L$521-EFEITO!$O$521*EFEITO!$AA$521</f>
        <v>0</v>
      </c>
      <c r="P521" s="38"/>
      <c r="Q521" s="38"/>
      <c r="R521" s="38"/>
      <c r="S521" s="38"/>
      <c r="T521" s="38"/>
      <c r="U521" s="38"/>
      <c r="V521" s="38"/>
      <c r="W521" s="38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35" t="s">
        <v>21</v>
      </c>
      <c r="B522" s="35" t="s">
        <v>39</v>
      </c>
      <c r="C522" s="35" t="s">
        <v>41</v>
      </c>
      <c r="D522" s="35" t="s">
        <v>38</v>
      </c>
      <c r="E522" s="35" t="s">
        <v>25</v>
      </c>
      <c r="F522" s="35" t="s">
        <v>25</v>
      </c>
      <c r="G522" s="35" t="s">
        <v>25</v>
      </c>
      <c r="H522" s="35" t="s">
        <v>34</v>
      </c>
      <c r="I522" s="45">
        <v>44348</v>
      </c>
      <c r="J522" s="46">
        <f>EFEITO!$J$522*EFEITO!$Y$522</f>
        <v>0</v>
      </c>
      <c r="K522" s="46">
        <f ca="1">EFEITO!$L$522*EFEITO!$Z$522</f>
        <v>22709.038756353617</v>
      </c>
      <c r="L522" s="46">
        <f>EFEITO!$N$522*EFEITO!$AA$522</f>
        <v>0</v>
      </c>
      <c r="M522" s="46">
        <f>$J$522-EFEITO!$K$522*EFEITO!$Y$522</f>
        <v>0</v>
      </c>
      <c r="N522" s="46">
        <f ca="1">$K$522-EFEITO!$M$522*EFEITO!$Z$522</f>
        <v>0</v>
      </c>
      <c r="O522" s="46">
        <f>$L$522-EFEITO!$O$522*EFEITO!$AA$522</f>
        <v>0</v>
      </c>
      <c r="P522" s="38"/>
      <c r="Q522" s="38"/>
      <c r="R522" s="38"/>
      <c r="S522" s="38"/>
      <c r="T522" s="38"/>
      <c r="U522" s="38"/>
      <c r="V522" s="38"/>
      <c r="W522" s="38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35" t="s">
        <v>21</v>
      </c>
      <c r="B523" s="35" t="s">
        <v>39</v>
      </c>
      <c r="C523" s="35" t="s">
        <v>41</v>
      </c>
      <c r="D523" s="35" t="s">
        <v>38</v>
      </c>
      <c r="E523" s="35" t="s">
        <v>25</v>
      </c>
      <c r="F523" s="35" t="s">
        <v>25</v>
      </c>
      <c r="G523" s="35" t="s">
        <v>25</v>
      </c>
      <c r="H523" s="35" t="s">
        <v>34</v>
      </c>
      <c r="I523" s="45">
        <v>44378</v>
      </c>
      <c r="J523" s="46">
        <f>EFEITO!$J$523*EFEITO!$Y$523</f>
        <v>0</v>
      </c>
      <c r="K523" s="46">
        <f ca="1">EFEITO!$L$523*EFEITO!$Z$523</f>
        <v>132680.86571483585</v>
      </c>
      <c r="L523" s="46">
        <f>EFEITO!$N$523*EFEITO!$AA$523</f>
        <v>55060.286961974045</v>
      </c>
      <c r="M523" s="46">
        <f>$J$523-EFEITO!$K$523*EFEITO!$Y$523</f>
        <v>0</v>
      </c>
      <c r="N523" s="46">
        <f ca="1">$K$523-EFEITO!$M$523*EFEITO!$Z$523</f>
        <v>0</v>
      </c>
      <c r="O523" s="46">
        <f>$L$523-EFEITO!$O$523*EFEITO!$AA$523</f>
        <v>0</v>
      </c>
      <c r="P523" s="38"/>
      <c r="Q523" s="38"/>
      <c r="R523" s="38"/>
      <c r="S523" s="38"/>
      <c r="T523" s="38"/>
      <c r="U523" s="38"/>
      <c r="V523" s="38"/>
      <c r="W523" s="38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35" t="s">
        <v>28</v>
      </c>
      <c r="B524" s="35" t="s">
        <v>39</v>
      </c>
      <c r="C524" s="35" t="s">
        <v>41</v>
      </c>
      <c r="D524" s="35" t="s">
        <v>38</v>
      </c>
      <c r="E524" s="35" t="s">
        <v>25</v>
      </c>
      <c r="F524" s="35" t="s">
        <v>25</v>
      </c>
      <c r="G524" s="35" t="s">
        <v>25</v>
      </c>
      <c r="H524" s="35" t="s">
        <v>34</v>
      </c>
      <c r="I524" s="45">
        <v>44378</v>
      </c>
      <c r="J524" s="46">
        <f>EFEITO!$J$524*EFEITO!$Y$524</f>
        <v>0</v>
      </c>
      <c r="K524" s="46">
        <f ca="1">EFEITO!$L$524*EFEITO!$Z$524</f>
        <v>9386.2416816489404</v>
      </c>
      <c r="L524" s="46">
        <f>EFEITO!$N$524*EFEITO!$AA$524</f>
        <v>3895.1295478941456</v>
      </c>
      <c r="M524" s="46">
        <f>$J$524-EFEITO!$K$524*EFEITO!$Y$524</f>
        <v>0</v>
      </c>
      <c r="N524" s="46">
        <f ca="1">$K$524-EFEITO!$M$524*EFEITO!$Z$524</f>
        <v>0</v>
      </c>
      <c r="O524" s="46">
        <f>$L$524-EFEITO!$O$524*EFEITO!$AA$524</f>
        <v>0</v>
      </c>
      <c r="P524" s="38"/>
      <c r="Q524" s="38"/>
      <c r="R524" s="38"/>
      <c r="S524" s="38"/>
      <c r="T524" s="38"/>
      <c r="U524" s="38"/>
      <c r="V524" s="38"/>
      <c r="W524" s="38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35" t="s">
        <v>21</v>
      </c>
      <c r="B525" s="35" t="s">
        <v>39</v>
      </c>
      <c r="C525" s="35" t="s">
        <v>41</v>
      </c>
      <c r="D525" s="35" t="s">
        <v>38</v>
      </c>
      <c r="E525" s="35" t="s">
        <v>25</v>
      </c>
      <c r="F525" s="35" t="s">
        <v>25</v>
      </c>
      <c r="G525" s="35" t="s">
        <v>25</v>
      </c>
      <c r="H525" s="35" t="s">
        <v>34</v>
      </c>
      <c r="I525" s="45">
        <v>44378</v>
      </c>
      <c r="J525" s="46">
        <f>EFEITO!$J$525*EFEITO!$Y$525</f>
        <v>0</v>
      </c>
      <c r="K525" s="46">
        <f ca="1">EFEITO!$L$525*EFEITO!$Z$525</f>
        <v>24916.965176668265</v>
      </c>
      <c r="L525" s="46">
        <f>EFEITO!$N$525*EFEITO!$AA$525</f>
        <v>0</v>
      </c>
      <c r="M525" s="46">
        <f>$J$525-EFEITO!$K$525*EFEITO!$Y$525</f>
        <v>0</v>
      </c>
      <c r="N525" s="46">
        <f ca="1">$K$525-EFEITO!$M$525*EFEITO!$Z$525</f>
        <v>0</v>
      </c>
      <c r="O525" s="46">
        <f>$L$525-EFEITO!$O$525*EFEITO!$AA$525</f>
        <v>0</v>
      </c>
      <c r="P525" s="38"/>
      <c r="Q525" s="38"/>
      <c r="R525" s="38"/>
      <c r="S525" s="38"/>
      <c r="T525" s="38"/>
      <c r="U525" s="38"/>
      <c r="V525" s="38"/>
      <c r="W525" s="38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35" t="s">
        <v>21</v>
      </c>
      <c r="B526" s="35" t="s">
        <v>39</v>
      </c>
      <c r="C526" s="35" t="s">
        <v>41</v>
      </c>
      <c r="D526" s="35" t="s">
        <v>38</v>
      </c>
      <c r="E526" s="35" t="s">
        <v>25</v>
      </c>
      <c r="F526" s="35" t="s">
        <v>25</v>
      </c>
      <c r="G526" s="35" t="s">
        <v>25</v>
      </c>
      <c r="H526" s="35" t="s">
        <v>34</v>
      </c>
      <c r="I526" s="45">
        <v>44409</v>
      </c>
      <c r="J526" s="46">
        <f>EFEITO!$J$526*EFEITO!$Y$526</f>
        <v>0</v>
      </c>
      <c r="K526" s="46">
        <f ca="1">EFEITO!$L$526*EFEITO!$Z$526</f>
        <v>139178.3185167294</v>
      </c>
      <c r="L526" s="46">
        <f>EFEITO!$N$526*EFEITO!$AA$526</f>
        <v>57756.618598542038</v>
      </c>
      <c r="M526" s="46">
        <f>$J$526-EFEITO!$K$526*EFEITO!$Y$526</f>
        <v>0</v>
      </c>
      <c r="N526" s="46">
        <f ca="1">$K$526-EFEITO!$M$526*EFEITO!$Z$526</f>
        <v>0</v>
      </c>
      <c r="O526" s="46">
        <f>$L$526-EFEITO!$O$526*EFEITO!$AA$526</f>
        <v>0</v>
      </c>
      <c r="P526" s="38"/>
      <c r="Q526" s="38"/>
      <c r="R526" s="38"/>
      <c r="S526" s="38"/>
      <c r="T526" s="38"/>
      <c r="U526" s="38"/>
      <c r="V526" s="38"/>
      <c r="W526" s="38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35" t="s">
        <v>28</v>
      </c>
      <c r="B527" s="35" t="s">
        <v>39</v>
      </c>
      <c r="C527" s="35" t="s">
        <v>41</v>
      </c>
      <c r="D527" s="35" t="s">
        <v>38</v>
      </c>
      <c r="E527" s="35" t="s">
        <v>25</v>
      </c>
      <c r="F527" s="35" t="s">
        <v>25</v>
      </c>
      <c r="G527" s="35" t="s">
        <v>25</v>
      </c>
      <c r="H527" s="35" t="s">
        <v>34</v>
      </c>
      <c r="I527" s="45">
        <v>44409</v>
      </c>
      <c r="J527" s="46">
        <f>EFEITO!$J$527*EFEITO!$Y$527</f>
        <v>0</v>
      </c>
      <c r="K527" s="46">
        <f ca="1">EFEITO!$L$527*EFEITO!$Z$527</f>
        <v>6929.3778273232156</v>
      </c>
      <c r="L527" s="46">
        <f>EFEITO!$N$527*EFEITO!$AA$527</f>
        <v>2875.5731249174</v>
      </c>
      <c r="M527" s="46">
        <f>$J$527-EFEITO!$K$527*EFEITO!$Y$527</f>
        <v>0</v>
      </c>
      <c r="N527" s="46">
        <f ca="1">$K$527-EFEITO!$M$527*EFEITO!$Z$527</f>
        <v>0</v>
      </c>
      <c r="O527" s="46">
        <f>$L$527-EFEITO!$O$527*EFEITO!$AA$527</f>
        <v>0</v>
      </c>
      <c r="P527" s="38"/>
      <c r="Q527" s="38"/>
      <c r="R527" s="38"/>
      <c r="S527" s="38"/>
      <c r="T527" s="38"/>
      <c r="U527" s="38"/>
      <c r="V527" s="38"/>
      <c r="W527" s="38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35" t="s">
        <v>21</v>
      </c>
      <c r="B528" s="35" t="s">
        <v>39</v>
      </c>
      <c r="C528" s="35" t="s">
        <v>41</v>
      </c>
      <c r="D528" s="35" t="s">
        <v>38</v>
      </c>
      <c r="E528" s="35" t="s">
        <v>25</v>
      </c>
      <c r="F528" s="35" t="s">
        <v>25</v>
      </c>
      <c r="G528" s="35" t="s">
        <v>25</v>
      </c>
      <c r="H528" s="35" t="s">
        <v>34</v>
      </c>
      <c r="I528" s="45">
        <v>44409</v>
      </c>
      <c r="J528" s="46">
        <f>EFEITO!$J$528*EFEITO!$Y$528</f>
        <v>0</v>
      </c>
      <c r="K528" s="46">
        <f ca="1">EFEITO!$L$528*EFEITO!$Z$528</f>
        <v>27020.858042470823</v>
      </c>
      <c r="L528" s="46">
        <f>EFEITO!$N$528*EFEITO!$AA$528</f>
        <v>0</v>
      </c>
      <c r="M528" s="46">
        <f>$J$528-EFEITO!$K$528*EFEITO!$Y$528</f>
        <v>0</v>
      </c>
      <c r="N528" s="46">
        <f ca="1">$K$528-EFEITO!$M$528*EFEITO!$Z$528</f>
        <v>0</v>
      </c>
      <c r="O528" s="46">
        <f>$L$528-EFEITO!$O$528*EFEITO!$AA$528</f>
        <v>0</v>
      </c>
      <c r="P528" s="38"/>
      <c r="Q528" s="38"/>
      <c r="R528" s="38"/>
      <c r="S528" s="38"/>
      <c r="T528" s="38"/>
      <c r="U528" s="38"/>
      <c r="V528" s="38"/>
      <c r="W528" s="38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35" t="s">
        <v>21</v>
      </c>
      <c r="B529" s="35" t="s">
        <v>39</v>
      </c>
      <c r="C529" s="35" t="s">
        <v>41</v>
      </c>
      <c r="D529" s="35" t="s">
        <v>38</v>
      </c>
      <c r="E529" s="35" t="s">
        <v>25</v>
      </c>
      <c r="F529" s="35" t="s">
        <v>25</v>
      </c>
      <c r="G529" s="35" t="s">
        <v>25</v>
      </c>
      <c r="H529" s="35" t="s">
        <v>34</v>
      </c>
      <c r="I529" s="45">
        <v>44440</v>
      </c>
      <c r="J529" s="46">
        <f>EFEITO!$J$529*EFEITO!$Y$529</f>
        <v>0</v>
      </c>
      <c r="K529" s="46">
        <f ca="1">EFEITO!$L$529*EFEITO!$Z$529</f>
        <v>111266.6731637488</v>
      </c>
      <c r="L529" s="46">
        <f>EFEITO!$N$529*EFEITO!$AA$529</f>
        <v>46173.763795506784</v>
      </c>
      <c r="M529" s="46">
        <f>$J$529-EFEITO!$K$529*EFEITO!$Y$529</f>
        <v>0</v>
      </c>
      <c r="N529" s="46">
        <f ca="1">$K$529-EFEITO!$M$529*EFEITO!$Z$529</f>
        <v>0</v>
      </c>
      <c r="O529" s="46">
        <f>$L$529-EFEITO!$O$529*EFEITO!$AA$529</f>
        <v>0</v>
      </c>
      <c r="P529" s="38"/>
      <c r="Q529" s="38"/>
      <c r="R529" s="38"/>
      <c r="S529" s="38"/>
      <c r="T529" s="38"/>
      <c r="U529" s="38"/>
      <c r="V529" s="38"/>
      <c r="W529" s="38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35" t="s">
        <v>28</v>
      </c>
      <c r="B530" s="35" t="s">
        <v>39</v>
      </c>
      <c r="C530" s="35" t="s">
        <v>41</v>
      </c>
      <c r="D530" s="35" t="s">
        <v>38</v>
      </c>
      <c r="E530" s="35" t="s">
        <v>25</v>
      </c>
      <c r="F530" s="35" t="s">
        <v>25</v>
      </c>
      <c r="G530" s="35" t="s">
        <v>25</v>
      </c>
      <c r="H530" s="35" t="s">
        <v>34</v>
      </c>
      <c r="I530" s="45">
        <v>44440</v>
      </c>
      <c r="J530" s="46">
        <f>EFEITO!$J$530*EFEITO!$Y$530</f>
        <v>0</v>
      </c>
      <c r="K530" s="46">
        <f ca="1">EFEITO!$L$530*EFEITO!$Z$530</f>
        <v>5355.8703153278366</v>
      </c>
      <c r="L530" s="46">
        <f>EFEITO!$N$530*EFEITO!$AA$530</f>
        <v>2222.5944555326714</v>
      </c>
      <c r="M530" s="46">
        <f>$J$530-EFEITO!$K$530*EFEITO!$Y$530</f>
        <v>0</v>
      </c>
      <c r="N530" s="46">
        <f ca="1">$K$530-EFEITO!$M$530*EFEITO!$Z$530</f>
        <v>0</v>
      </c>
      <c r="O530" s="46">
        <f>$L$530-EFEITO!$O$530*EFEITO!$AA$530</f>
        <v>0</v>
      </c>
      <c r="P530" s="38"/>
      <c r="Q530" s="38"/>
      <c r="R530" s="38"/>
      <c r="S530" s="38"/>
      <c r="T530" s="38"/>
      <c r="U530" s="38"/>
      <c r="V530" s="38"/>
      <c r="W530" s="38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35" t="s">
        <v>21</v>
      </c>
      <c r="B531" s="35" t="s">
        <v>39</v>
      </c>
      <c r="C531" s="35" t="s">
        <v>41</v>
      </c>
      <c r="D531" s="35" t="s">
        <v>38</v>
      </c>
      <c r="E531" s="35" t="s">
        <v>25</v>
      </c>
      <c r="F531" s="35" t="s">
        <v>25</v>
      </c>
      <c r="G531" s="35" t="s">
        <v>25</v>
      </c>
      <c r="H531" s="35" t="s">
        <v>34</v>
      </c>
      <c r="I531" s="45">
        <v>44440</v>
      </c>
      <c r="J531" s="46">
        <f>EFEITO!$J$531*EFEITO!$Y$531</f>
        <v>0</v>
      </c>
      <c r="K531" s="46">
        <f ca="1">EFEITO!$L$531*EFEITO!$Z$531</f>
        <v>26255.468319989006</v>
      </c>
      <c r="L531" s="46">
        <f>EFEITO!$N$531*EFEITO!$AA$531</f>
        <v>0</v>
      </c>
      <c r="M531" s="46">
        <f>$J$531-EFEITO!$K$531*EFEITO!$Y$531</f>
        <v>0</v>
      </c>
      <c r="N531" s="46">
        <f ca="1">$K$531-EFEITO!$M$531*EFEITO!$Z$531</f>
        <v>0</v>
      </c>
      <c r="O531" s="46">
        <f>$L$531-EFEITO!$O$531*EFEITO!$AA$531</f>
        <v>0</v>
      </c>
      <c r="P531" s="38"/>
      <c r="Q531" s="38"/>
      <c r="R531" s="38"/>
      <c r="S531" s="38"/>
      <c r="T531" s="38"/>
      <c r="U531" s="38"/>
      <c r="V531" s="38"/>
      <c r="W531" s="38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35" t="s">
        <v>21</v>
      </c>
      <c r="B532" s="35" t="s">
        <v>39</v>
      </c>
      <c r="C532" s="35" t="s">
        <v>41</v>
      </c>
      <c r="D532" s="35" t="s">
        <v>38</v>
      </c>
      <c r="E532" s="35" t="s">
        <v>25</v>
      </c>
      <c r="F532" s="35" t="s">
        <v>25</v>
      </c>
      <c r="G532" s="35" t="s">
        <v>25</v>
      </c>
      <c r="H532" s="35" t="s">
        <v>34</v>
      </c>
      <c r="I532" s="45">
        <v>44470</v>
      </c>
      <c r="J532" s="46">
        <f>EFEITO!$J$532*EFEITO!$Y$532</f>
        <v>0</v>
      </c>
      <c r="K532" s="46">
        <f ca="1">EFEITO!$L$532*EFEITO!$Z$532</f>
        <v>95925.439357305062</v>
      </c>
      <c r="L532" s="46">
        <f>EFEITO!$N$532*EFEITO!$AA$532</f>
        <v>39807.414501788851</v>
      </c>
      <c r="M532" s="46">
        <f>$J$532-EFEITO!$K$532*EFEITO!$Y$532</f>
        <v>0</v>
      </c>
      <c r="N532" s="46">
        <f ca="1">$K$532-EFEITO!$M$532*EFEITO!$Z$532</f>
        <v>0</v>
      </c>
      <c r="O532" s="46">
        <f>$L$532-EFEITO!$O$532*EFEITO!$AA$532</f>
        <v>0</v>
      </c>
      <c r="P532" s="38"/>
      <c r="Q532" s="38"/>
      <c r="R532" s="38"/>
      <c r="S532" s="38"/>
      <c r="T532" s="38"/>
      <c r="U532" s="38"/>
      <c r="V532" s="38"/>
      <c r="W532" s="38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35" t="s">
        <v>28</v>
      </c>
      <c r="B533" s="35" t="s">
        <v>39</v>
      </c>
      <c r="C533" s="35" t="s">
        <v>41</v>
      </c>
      <c r="D533" s="35" t="s">
        <v>38</v>
      </c>
      <c r="E533" s="35" t="s">
        <v>25</v>
      </c>
      <c r="F533" s="35" t="s">
        <v>25</v>
      </c>
      <c r="G533" s="35" t="s">
        <v>25</v>
      </c>
      <c r="H533" s="35" t="s">
        <v>34</v>
      </c>
      <c r="I533" s="45">
        <v>44470</v>
      </c>
      <c r="J533" s="46">
        <f>EFEITO!$J$533*EFEITO!$Y$533</f>
        <v>0</v>
      </c>
      <c r="K533" s="46">
        <f ca="1">EFEITO!$L$533*EFEITO!$Z$533</f>
        <v>4808.765283116928</v>
      </c>
      <c r="L533" s="46">
        <f>EFEITO!$N$533*EFEITO!$AA$533</f>
        <v>1995.5552369567531</v>
      </c>
      <c r="M533" s="46">
        <f>$J$533-EFEITO!$K$533*EFEITO!$Y$533</f>
        <v>0</v>
      </c>
      <c r="N533" s="46">
        <f ca="1">$K$533-EFEITO!$M$533*EFEITO!$Z$533</f>
        <v>0</v>
      </c>
      <c r="O533" s="46">
        <f>$L$533-EFEITO!$O$533*EFEITO!$AA$533</f>
        <v>0</v>
      </c>
      <c r="P533" s="38"/>
      <c r="Q533" s="38"/>
      <c r="R533" s="38"/>
      <c r="S533" s="38"/>
      <c r="T533" s="38"/>
      <c r="U533" s="38"/>
      <c r="V533" s="38"/>
      <c r="W533" s="38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35" t="s">
        <v>21</v>
      </c>
      <c r="B534" s="35" t="s">
        <v>39</v>
      </c>
      <c r="C534" s="35" t="s">
        <v>41</v>
      </c>
      <c r="D534" s="35" t="s">
        <v>38</v>
      </c>
      <c r="E534" s="35" t="s">
        <v>25</v>
      </c>
      <c r="F534" s="35" t="s">
        <v>25</v>
      </c>
      <c r="G534" s="35" t="s">
        <v>25</v>
      </c>
      <c r="H534" s="35" t="s">
        <v>34</v>
      </c>
      <c r="I534" s="45">
        <v>44470</v>
      </c>
      <c r="J534" s="46">
        <f>EFEITO!$J$534*EFEITO!$Y$534</f>
        <v>0</v>
      </c>
      <c r="K534" s="46">
        <f ca="1">EFEITO!$L$534*EFEITO!$Z$534</f>
        <v>29575.253354151631</v>
      </c>
      <c r="L534" s="46">
        <f>EFEITO!$N$534*EFEITO!$AA$534</f>
        <v>0</v>
      </c>
      <c r="M534" s="46">
        <f>$J$534-EFEITO!$K$534*EFEITO!$Y$534</f>
        <v>0</v>
      </c>
      <c r="N534" s="46">
        <f ca="1">$K$534-EFEITO!$M$534*EFEITO!$Z$534</f>
        <v>0</v>
      </c>
      <c r="O534" s="46">
        <f>$L$534-EFEITO!$O$534*EFEITO!$AA$534</f>
        <v>0</v>
      </c>
      <c r="P534" s="38"/>
      <c r="Q534" s="38"/>
      <c r="R534" s="38"/>
      <c r="S534" s="38"/>
      <c r="T534" s="38"/>
      <c r="U534" s="38"/>
      <c r="V534" s="38"/>
      <c r="W534" s="38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35" t="s">
        <v>21</v>
      </c>
      <c r="B535" s="35" t="s">
        <v>39</v>
      </c>
      <c r="C535" s="35" t="s">
        <v>41</v>
      </c>
      <c r="D535" s="35" t="s">
        <v>38</v>
      </c>
      <c r="E535" s="35" t="s">
        <v>25</v>
      </c>
      <c r="F535" s="35" t="s">
        <v>25</v>
      </c>
      <c r="G535" s="35" t="s">
        <v>25</v>
      </c>
      <c r="H535" s="35" t="s">
        <v>34</v>
      </c>
      <c r="I535" s="45">
        <v>44501</v>
      </c>
      <c r="J535" s="46">
        <f>EFEITO!$J$535*EFEITO!$Y$535</f>
        <v>0</v>
      </c>
      <c r="K535" s="46">
        <f ca="1">EFEITO!$L$535*EFEITO!$Z$535</f>
        <v>107566.97988141255</v>
      </c>
      <c r="L535" s="46">
        <f>EFEITO!$N$535*EFEITO!$AA$535</f>
        <v>44638.454444763353</v>
      </c>
      <c r="M535" s="46">
        <f>$J$535-EFEITO!$K$535*EFEITO!$Y$535</f>
        <v>0</v>
      </c>
      <c r="N535" s="46">
        <f ca="1">$K$535-EFEITO!$M$535*EFEITO!$Z$535</f>
        <v>0</v>
      </c>
      <c r="O535" s="46">
        <f>$L$535-EFEITO!$O$535*EFEITO!$AA$535</f>
        <v>0</v>
      </c>
      <c r="P535" s="38"/>
      <c r="Q535" s="38"/>
      <c r="R535" s="38"/>
      <c r="S535" s="38"/>
      <c r="T535" s="38"/>
      <c r="U535" s="38"/>
      <c r="V535" s="38"/>
      <c r="W535" s="38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35" t="s">
        <v>28</v>
      </c>
      <c r="B536" s="35" t="s">
        <v>39</v>
      </c>
      <c r="C536" s="35" t="s">
        <v>41</v>
      </c>
      <c r="D536" s="35" t="s">
        <v>38</v>
      </c>
      <c r="E536" s="35" t="s">
        <v>25</v>
      </c>
      <c r="F536" s="35" t="s">
        <v>25</v>
      </c>
      <c r="G536" s="35" t="s">
        <v>25</v>
      </c>
      <c r="H536" s="35" t="s">
        <v>34</v>
      </c>
      <c r="I536" s="45">
        <v>44501</v>
      </c>
      <c r="J536" s="46">
        <f>EFEITO!$J$536*EFEITO!$Y$536</f>
        <v>0</v>
      </c>
      <c r="K536" s="46">
        <f ca="1">EFEITO!$L$536*EFEITO!$Z$536</f>
        <v>5100.4307841597556</v>
      </c>
      <c r="L536" s="46">
        <f>EFEITO!$N$536*EFEITO!$AA$536</f>
        <v>2116.591424788397</v>
      </c>
      <c r="M536" s="46">
        <f>$J$536-EFEITO!$K$536*EFEITO!$Y$536</f>
        <v>0</v>
      </c>
      <c r="N536" s="46">
        <f ca="1">$K$536-EFEITO!$M$536*EFEITO!$Z$536</f>
        <v>0</v>
      </c>
      <c r="O536" s="46">
        <f>$L$536-EFEITO!$O$536*EFEITO!$AA$536</f>
        <v>0</v>
      </c>
      <c r="P536" s="38"/>
      <c r="Q536" s="38"/>
      <c r="R536" s="38"/>
      <c r="S536" s="38"/>
      <c r="T536" s="38"/>
      <c r="U536" s="38"/>
      <c r="V536" s="38"/>
      <c r="W536" s="38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35" t="s">
        <v>21</v>
      </c>
      <c r="B537" s="35" t="s">
        <v>39</v>
      </c>
      <c r="C537" s="35" t="s">
        <v>41</v>
      </c>
      <c r="D537" s="35" t="s">
        <v>38</v>
      </c>
      <c r="E537" s="35" t="s">
        <v>25</v>
      </c>
      <c r="F537" s="35" t="s">
        <v>25</v>
      </c>
      <c r="G537" s="35" t="s">
        <v>25</v>
      </c>
      <c r="H537" s="35" t="s">
        <v>34</v>
      </c>
      <c r="I537" s="45">
        <v>44501</v>
      </c>
      <c r="J537" s="46">
        <f>EFEITO!$J$537*EFEITO!$Y$537</f>
        <v>0</v>
      </c>
      <c r="K537" s="46">
        <f ca="1">EFEITO!$L$537*EFEITO!$Z$537</f>
        <v>34942.270121748625</v>
      </c>
      <c r="L537" s="46">
        <f>EFEITO!$N$537*EFEITO!$AA$537</f>
        <v>0</v>
      </c>
      <c r="M537" s="46">
        <f>$J$537-EFEITO!$K$537*EFEITO!$Y$537</f>
        <v>0</v>
      </c>
      <c r="N537" s="46">
        <f ca="1">$K$537-EFEITO!$M$537*EFEITO!$Z$537</f>
        <v>0</v>
      </c>
      <c r="O537" s="46">
        <f>$L$537-EFEITO!$O$537*EFEITO!$AA$537</f>
        <v>0</v>
      </c>
      <c r="P537" s="38"/>
      <c r="Q537" s="38"/>
      <c r="R537" s="38"/>
      <c r="S537" s="38"/>
      <c r="T537" s="38"/>
      <c r="U537" s="38"/>
      <c r="V537" s="38"/>
      <c r="W537" s="38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35" t="s">
        <v>21</v>
      </c>
      <c r="B538" s="35" t="s">
        <v>39</v>
      </c>
      <c r="C538" s="35" t="s">
        <v>41</v>
      </c>
      <c r="D538" s="35" t="s">
        <v>38</v>
      </c>
      <c r="E538" s="35" t="s">
        <v>25</v>
      </c>
      <c r="F538" s="35" t="s">
        <v>25</v>
      </c>
      <c r="G538" s="35" t="s">
        <v>25</v>
      </c>
      <c r="H538" s="35" t="s">
        <v>34</v>
      </c>
      <c r="I538" s="45">
        <v>44531</v>
      </c>
      <c r="J538" s="46">
        <f>EFEITO!$J$538*EFEITO!$Y$538</f>
        <v>0</v>
      </c>
      <c r="K538" s="46">
        <f ca="1">EFEITO!$L$538*EFEITO!$Z$538</f>
        <v>95077.380113827036</v>
      </c>
      <c r="L538" s="46">
        <f>EFEITO!$N$538*EFEITO!$AA$538</f>
        <v>39455.48443971786</v>
      </c>
      <c r="M538" s="46">
        <f>$J$538-EFEITO!$K$538*EFEITO!$Y$538</f>
        <v>0</v>
      </c>
      <c r="N538" s="46">
        <f ca="1">$K$538-EFEITO!$M$538*EFEITO!$Z$538</f>
        <v>0</v>
      </c>
      <c r="O538" s="46">
        <f>$L$538-EFEITO!$O$538*EFEITO!$AA$538</f>
        <v>0</v>
      </c>
      <c r="P538" s="38"/>
      <c r="Q538" s="38"/>
      <c r="R538" s="38"/>
      <c r="S538" s="38"/>
      <c r="T538" s="38"/>
      <c r="U538" s="38"/>
      <c r="V538" s="38"/>
      <c r="W538" s="38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35" t="s">
        <v>28</v>
      </c>
      <c r="B539" s="35" t="s">
        <v>39</v>
      </c>
      <c r="C539" s="35" t="s">
        <v>41</v>
      </c>
      <c r="D539" s="35" t="s">
        <v>38</v>
      </c>
      <c r="E539" s="35" t="s">
        <v>25</v>
      </c>
      <c r="F539" s="35" t="s">
        <v>25</v>
      </c>
      <c r="G539" s="35" t="s">
        <v>25</v>
      </c>
      <c r="H539" s="35" t="s">
        <v>34</v>
      </c>
      <c r="I539" s="45">
        <v>44531</v>
      </c>
      <c r="J539" s="46">
        <f>EFEITO!$J$539*EFEITO!$Y$539</f>
        <v>0</v>
      </c>
      <c r="K539" s="46">
        <f ca="1">EFEITO!$L$539*EFEITO!$Z$539</f>
        <v>5512.8495181184026</v>
      </c>
      <c r="L539" s="46">
        <f>EFEITO!$N$539*EFEITO!$AA$539</f>
        <v>2287.7381362446067</v>
      </c>
      <c r="M539" s="46">
        <f>$J$539-EFEITO!$K$539*EFEITO!$Y$539</f>
        <v>0</v>
      </c>
      <c r="N539" s="46">
        <f ca="1">$K$539-EFEITO!$M$539*EFEITO!$Z$539</f>
        <v>0</v>
      </c>
      <c r="O539" s="46">
        <f>$L$539-EFEITO!$O$539*EFEITO!$AA$539</f>
        <v>0</v>
      </c>
      <c r="P539" s="38"/>
      <c r="Q539" s="38"/>
      <c r="R539" s="38"/>
      <c r="S539" s="38"/>
      <c r="T539" s="38"/>
      <c r="U539" s="38"/>
      <c r="V539" s="38"/>
      <c r="W539" s="38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35" t="s">
        <v>21</v>
      </c>
      <c r="B540" s="35" t="s">
        <v>39</v>
      </c>
      <c r="C540" s="35" t="s">
        <v>41</v>
      </c>
      <c r="D540" s="35" t="s">
        <v>38</v>
      </c>
      <c r="E540" s="35" t="s">
        <v>25</v>
      </c>
      <c r="F540" s="35" t="s">
        <v>25</v>
      </c>
      <c r="G540" s="35" t="s">
        <v>25</v>
      </c>
      <c r="H540" s="35" t="s">
        <v>34</v>
      </c>
      <c r="I540" s="45">
        <v>44531</v>
      </c>
      <c r="J540" s="46">
        <f>EFEITO!$J$540*EFEITO!$Y$540</f>
        <v>0</v>
      </c>
      <c r="K540" s="46">
        <f ca="1">EFEITO!$L$540*EFEITO!$Z$540</f>
        <v>37293.242679517396</v>
      </c>
      <c r="L540" s="46">
        <f>EFEITO!$N$540*EFEITO!$AA$540</f>
        <v>0</v>
      </c>
      <c r="M540" s="46">
        <f>$J$540-EFEITO!$K$540*EFEITO!$Y$540</f>
        <v>0</v>
      </c>
      <c r="N540" s="46">
        <f ca="1">$K$540-EFEITO!$M$540*EFEITO!$Z$540</f>
        <v>0</v>
      </c>
      <c r="O540" s="46">
        <f>$L$540-EFEITO!$O$540*EFEITO!$AA$540</f>
        <v>0</v>
      </c>
      <c r="P540" s="38"/>
      <c r="Q540" s="38"/>
      <c r="R540" s="38"/>
      <c r="S540" s="38"/>
      <c r="T540" s="38"/>
      <c r="U540" s="38"/>
      <c r="V540" s="38"/>
      <c r="W540" s="38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35" t="s">
        <v>55</v>
      </c>
      <c r="B541" s="35" t="s">
        <v>39</v>
      </c>
      <c r="C541" s="35" t="s">
        <v>41</v>
      </c>
      <c r="D541" s="35" t="s">
        <v>38</v>
      </c>
      <c r="E541" s="35" t="s">
        <v>25</v>
      </c>
      <c r="F541" s="35" t="s">
        <v>25</v>
      </c>
      <c r="G541" s="35" t="s">
        <v>25</v>
      </c>
      <c r="H541" s="35" t="s">
        <v>34</v>
      </c>
      <c r="I541" s="45">
        <v>44562</v>
      </c>
      <c r="J541" s="46">
        <f>EFEITO!$J$541*EFEITO!$Y$541</f>
        <v>0</v>
      </c>
      <c r="K541" s="46">
        <f ca="1">EFEITO!$L$541*EFEITO!$Z$541</f>
        <v>95077.380113827036</v>
      </c>
      <c r="L541" s="46">
        <f>EFEITO!$N$541*EFEITO!$AA$541</f>
        <v>39455.48443971786</v>
      </c>
      <c r="M541" s="46">
        <f>$J$541-EFEITO!$K$541*EFEITO!$Y$541</f>
        <v>0</v>
      </c>
      <c r="N541" s="46">
        <f ca="1">$K$541-EFEITO!$M$541*EFEITO!$Z$541</f>
        <v>0</v>
      </c>
      <c r="O541" s="46">
        <f>$L$541-EFEITO!$O$541*EFEITO!$AA$541</f>
        <v>0</v>
      </c>
      <c r="P541" s="38"/>
      <c r="Q541" s="38"/>
      <c r="R541" s="38"/>
      <c r="S541" s="38"/>
      <c r="T541" s="38"/>
      <c r="U541" s="38"/>
      <c r="V541" s="38"/>
      <c r="W541" s="38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35" t="s">
        <v>55</v>
      </c>
      <c r="B542" s="35" t="s">
        <v>39</v>
      </c>
      <c r="C542" s="35" t="s">
        <v>41</v>
      </c>
      <c r="D542" s="35" t="s">
        <v>38</v>
      </c>
      <c r="E542" s="35" t="s">
        <v>25</v>
      </c>
      <c r="F542" s="35" t="s">
        <v>25</v>
      </c>
      <c r="G542" s="35" t="s">
        <v>25</v>
      </c>
      <c r="H542" s="35" t="s">
        <v>34</v>
      </c>
      <c r="I542" s="45">
        <v>44562</v>
      </c>
      <c r="J542" s="46">
        <f>EFEITO!$J$542*EFEITO!$Y$542</f>
        <v>0</v>
      </c>
      <c r="K542" s="46">
        <f ca="1">EFEITO!$L$542*EFEITO!$Z$542</f>
        <v>5512.8495181184026</v>
      </c>
      <c r="L542" s="46">
        <f>EFEITO!$N$542*EFEITO!$AA$542</f>
        <v>2287.7381362446067</v>
      </c>
      <c r="M542" s="46">
        <f>$J$542-EFEITO!$K$542*EFEITO!$Y$542</f>
        <v>0</v>
      </c>
      <c r="N542" s="46">
        <f ca="1">$K$542-EFEITO!$M$542*EFEITO!$Z$542</f>
        <v>0</v>
      </c>
      <c r="O542" s="46">
        <f>$L$542-EFEITO!$O$542*EFEITO!$AA$542</f>
        <v>0</v>
      </c>
      <c r="P542" s="38"/>
      <c r="Q542" s="38"/>
      <c r="R542" s="38"/>
      <c r="S542" s="38"/>
      <c r="T542" s="38"/>
      <c r="U542" s="38"/>
      <c r="V542" s="38"/>
      <c r="W542" s="38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35" t="s">
        <v>55</v>
      </c>
      <c r="B543" s="35" t="s">
        <v>39</v>
      </c>
      <c r="C543" s="35" t="s">
        <v>41</v>
      </c>
      <c r="D543" s="35" t="s">
        <v>38</v>
      </c>
      <c r="E543" s="35" t="s">
        <v>25</v>
      </c>
      <c r="F543" s="35" t="s">
        <v>25</v>
      </c>
      <c r="G543" s="35" t="s">
        <v>25</v>
      </c>
      <c r="H543" s="35" t="s">
        <v>34</v>
      </c>
      <c r="I543" s="45">
        <v>44562</v>
      </c>
      <c r="J543" s="46">
        <f>EFEITO!$J$543*EFEITO!$Y$543</f>
        <v>0</v>
      </c>
      <c r="K543" s="46">
        <f ca="1">EFEITO!$L$543*EFEITO!$Z$543</f>
        <v>37293.242679517396</v>
      </c>
      <c r="L543" s="46">
        <f>EFEITO!$N$543*EFEITO!$AA$543</f>
        <v>0</v>
      </c>
      <c r="M543" s="46">
        <f>$J$543-EFEITO!$K$543*EFEITO!$Y$543</f>
        <v>0</v>
      </c>
      <c r="N543" s="46">
        <f ca="1">$K$543-EFEITO!$M$543*EFEITO!$Z$543</f>
        <v>0</v>
      </c>
      <c r="O543" s="46">
        <f>$L$543-EFEITO!$O$543*EFEITO!$AA$543</f>
        <v>0</v>
      </c>
      <c r="P543" s="38"/>
      <c r="Q543" s="38"/>
      <c r="R543" s="38"/>
      <c r="S543" s="38"/>
      <c r="T543" s="38"/>
      <c r="U543" s="38"/>
      <c r="V543" s="38"/>
      <c r="W543" s="38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35" t="s">
        <v>21</v>
      </c>
      <c r="B544" s="35" t="s">
        <v>39</v>
      </c>
      <c r="C544" s="35" t="s">
        <v>41</v>
      </c>
      <c r="D544" s="35" t="s">
        <v>45</v>
      </c>
      <c r="E544" s="35" t="s">
        <v>25</v>
      </c>
      <c r="F544" s="35" t="s">
        <v>25</v>
      </c>
      <c r="G544" s="35" t="s">
        <v>25</v>
      </c>
      <c r="H544" s="35" t="s">
        <v>35</v>
      </c>
      <c r="I544" s="45">
        <v>44228</v>
      </c>
      <c r="J544" s="46">
        <f>EFEITO!$J$544*EFEITO!$Y$544</f>
        <v>0</v>
      </c>
      <c r="K544" s="46">
        <f ca="1">EFEITO!$L$544*EFEITO!$Z$544</f>
        <v>68192.712643144972</v>
      </c>
      <c r="L544" s="46">
        <f>EFEITO!$N$544*EFEITO!$AA$544</f>
        <v>326740.13925494731</v>
      </c>
      <c r="M544" s="46">
        <f>$J$544-EFEITO!$K$544*EFEITO!$Y$544</f>
        <v>0</v>
      </c>
      <c r="N544" s="46">
        <f ca="1">$K$544-EFEITO!$M$544*EFEITO!$Z$544</f>
        <v>0</v>
      </c>
      <c r="O544" s="46">
        <f>$L$544-EFEITO!$O$544*EFEITO!$AA$544</f>
        <v>0</v>
      </c>
      <c r="P544" s="38"/>
      <c r="Q544" s="38"/>
      <c r="R544" s="38"/>
      <c r="S544" s="38"/>
      <c r="T544" s="38"/>
      <c r="U544" s="38"/>
      <c r="V544" s="38"/>
      <c r="W544" s="38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35" t="s">
        <v>28</v>
      </c>
      <c r="B545" s="35" t="s">
        <v>39</v>
      </c>
      <c r="C545" s="35" t="s">
        <v>41</v>
      </c>
      <c r="D545" s="35" t="s">
        <v>45</v>
      </c>
      <c r="E545" s="35" t="s">
        <v>25</v>
      </c>
      <c r="F545" s="35" t="s">
        <v>25</v>
      </c>
      <c r="G545" s="35" t="s">
        <v>25</v>
      </c>
      <c r="H545" s="35" t="s">
        <v>35</v>
      </c>
      <c r="I545" s="45">
        <v>44228</v>
      </c>
      <c r="J545" s="46">
        <f>EFEITO!$J$545*EFEITO!$Y$545</f>
        <v>0</v>
      </c>
      <c r="K545" s="46">
        <f ca="1">EFEITO!$L$545*EFEITO!$Z$545</f>
        <v>264.86705823627807</v>
      </c>
      <c r="L545" s="46">
        <f>EFEITO!$N$545*EFEITO!$AA$545</f>
        <v>1269.090143767281</v>
      </c>
      <c r="M545" s="46">
        <f>$J$545-EFEITO!$K$545*EFEITO!$Y$545</f>
        <v>0</v>
      </c>
      <c r="N545" s="46">
        <f ca="1">$K$545-EFEITO!$M$545*EFEITO!$Z$545</f>
        <v>0</v>
      </c>
      <c r="O545" s="46">
        <f>$L$545-EFEITO!$O$545*EFEITO!$AA$545</f>
        <v>0</v>
      </c>
      <c r="P545" s="38"/>
      <c r="Q545" s="38"/>
      <c r="R545" s="38"/>
      <c r="S545" s="38"/>
      <c r="T545" s="38"/>
      <c r="U545" s="38"/>
      <c r="V545" s="38"/>
      <c r="W545" s="38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35" t="s">
        <v>21</v>
      </c>
      <c r="B546" s="35" t="s">
        <v>39</v>
      </c>
      <c r="C546" s="35" t="s">
        <v>41</v>
      </c>
      <c r="D546" s="35" t="s">
        <v>45</v>
      </c>
      <c r="E546" s="35" t="s">
        <v>25</v>
      </c>
      <c r="F546" s="35" t="s">
        <v>25</v>
      </c>
      <c r="G546" s="35" t="s">
        <v>25</v>
      </c>
      <c r="H546" s="35" t="s">
        <v>35</v>
      </c>
      <c r="I546" s="45">
        <v>44256</v>
      </c>
      <c r="J546" s="46">
        <f>EFEITO!$J$546*EFEITO!$Y$546</f>
        <v>0</v>
      </c>
      <c r="K546" s="46">
        <f ca="1">EFEITO!$L$546*EFEITO!$Z$546</f>
        <v>70940.310076018184</v>
      </c>
      <c r="L546" s="46">
        <f>EFEITO!$N$546*EFEITO!$AA$546</f>
        <v>339905.04109030159</v>
      </c>
      <c r="M546" s="46">
        <f>$J$546-EFEITO!$K$546*EFEITO!$Y$546</f>
        <v>0</v>
      </c>
      <c r="N546" s="46">
        <f ca="1">$K$546-EFEITO!$M$546*EFEITO!$Z$546</f>
        <v>0</v>
      </c>
      <c r="O546" s="46">
        <f>$L$546-EFEITO!$O$546*EFEITO!$AA$546</f>
        <v>0</v>
      </c>
      <c r="P546" s="38"/>
      <c r="Q546" s="38"/>
      <c r="R546" s="38"/>
      <c r="S546" s="38"/>
      <c r="T546" s="38"/>
      <c r="U546" s="38"/>
      <c r="V546" s="38"/>
      <c r="W546" s="38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35" t="s">
        <v>28</v>
      </c>
      <c r="B547" s="35" t="s">
        <v>39</v>
      </c>
      <c r="C547" s="35" t="s">
        <v>41</v>
      </c>
      <c r="D547" s="35" t="s">
        <v>45</v>
      </c>
      <c r="E547" s="35" t="s">
        <v>25</v>
      </c>
      <c r="F547" s="35" t="s">
        <v>25</v>
      </c>
      <c r="G547" s="35" t="s">
        <v>25</v>
      </c>
      <c r="H547" s="35" t="s">
        <v>35</v>
      </c>
      <c r="I547" s="45">
        <v>44256</v>
      </c>
      <c r="J547" s="46">
        <f>EFEITO!$J$547*EFEITO!$Y$547</f>
        <v>0</v>
      </c>
      <c r="K547" s="46">
        <f ca="1">EFEITO!$L$547*EFEITO!$Z$547</f>
        <v>209.1055722917985</v>
      </c>
      <c r="L547" s="46">
        <f>EFEITO!$N$547*EFEITO!$AA$547</f>
        <v>1001.9132713952218</v>
      </c>
      <c r="M547" s="46">
        <f>$J$547-EFEITO!$K$547*EFEITO!$Y$547</f>
        <v>0</v>
      </c>
      <c r="N547" s="46">
        <f ca="1">$K$547-EFEITO!$M$547*EFEITO!$Z$547</f>
        <v>0</v>
      </c>
      <c r="O547" s="46">
        <f>$L$547-EFEITO!$O$547*EFEITO!$AA$547</f>
        <v>0</v>
      </c>
      <c r="P547" s="38"/>
      <c r="Q547" s="38"/>
      <c r="R547" s="38"/>
      <c r="S547" s="38"/>
      <c r="T547" s="38"/>
      <c r="U547" s="38"/>
      <c r="V547" s="38"/>
      <c r="W547" s="38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35" t="s">
        <v>21</v>
      </c>
      <c r="B548" s="35" t="s">
        <v>39</v>
      </c>
      <c r="C548" s="35" t="s">
        <v>41</v>
      </c>
      <c r="D548" s="35" t="s">
        <v>45</v>
      </c>
      <c r="E548" s="35" t="s">
        <v>25</v>
      </c>
      <c r="F548" s="35" t="s">
        <v>25</v>
      </c>
      <c r="G548" s="35" t="s">
        <v>25</v>
      </c>
      <c r="H548" s="35" t="s">
        <v>35</v>
      </c>
      <c r="I548" s="45">
        <v>44287</v>
      </c>
      <c r="J548" s="46">
        <f>EFEITO!$J$548*EFEITO!$Y$548</f>
        <v>0</v>
      </c>
      <c r="K548" s="46">
        <f ca="1">EFEITO!$L$548*EFEITO!$Z$548</f>
        <v>70056.490523798173</v>
      </c>
      <c r="L548" s="46">
        <f>EFEITO!$N$548*EFEITO!$AA$548</f>
        <v>335670.28766320448</v>
      </c>
      <c r="M548" s="46">
        <f>$J$548-EFEITO!$K$548*EFEITO!$Y$548</f>
        <v>0</v>
      </c>
      <c r="N548" s="46">
        <f ca="1">$K$548-EFEITO!$M$548*EFEITO!$Z$548</f>
        <v>0</v>
      </c>
      <c r="O548" s="46">
        <f>$L$548-EFEITO!$O$548*EFEITO!$AA$548</f>
        <v>0</v>
      </c>
      <c r="P548" s="38"/>
      <c r="Q548" s="38"/>
      <c r="R548" s="38"/>
      <c r="S548" s="38"/>
      <c r="T548" s="38"/>
      <c r="U548" s="38"/>
      <c r="V548" s="38"/>
      <c r="W548" s="38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35" t="s">
        <v>28</v>
      </c>
      <c r="B549" s="35" t="s">
        <v>39</v>
      </c>
      <c r="C549" s="35" t="s">
        <v>41</v>
      </c>
      <c r="D549" s="35" t="s">
        <v>45</v>
      </c>
      <c r="E549" s="35" t="s">
        <v>25</v>
      </c>
      <c r="F549" s="35" t="s">
        <v>25</v>
      </c>
      <c r="G549" s="35" t="s">
        <v>25</v>
      </c>
      <c r="H549" s="35" t="s">
        <v>35</v>
      </c>
      <c r="I549" s="45">
        <v>44287</v>
      </c>
      <c r="J549" s="46">
        <f>EFEITO!$J$549*EFEITO!$Y$549</f>
        <v>0</v>
      </c>
      <c r="K549" s="46">
        <f ca="1">EFEITO!$L$549*EFEITO!$Z$549</f>
        <v>306.68817269463779</v>
      </c>
      <c r="L549" s="46">
        <f>EFEITO!$N$549*EFEITO!$AA$549</f>
        <v>1469.4727980463254</v>
      </c>
      <c r="M549" s="46">
        <f>$J$549-EFEITO!$K$549*EFEITO!$Y$549</f>
        <v>0</v>
      </c>
      <c r="N549" s="46">
        <f ca="1">$K$549-EFEITO!$M$549*EFEITO!$Z$549</f>
        <v>0</v>
      </c>
      <c r="O549" s="46">
        <f>$L$549-EFEITO!$O$549*EFEITO!$AA$549</f>
        <v>0</v>
      </c>
      <c r="P549" s="38"/>
      <c r="Q549" s="38"/>
      <c r="R549" s="38"/>
      <c r="S549" s="38"/>
      <c r="T549" s="38"/>
      <c r="U549" s="38"/>
      <c r="V549" s="38"/>
      <c r="W549" s="38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35" t="s">
        <v>21</v>
      </c>
      <c r="B550" s="35" t="s">
        <v>39</v>
      </c>
      <c r="C550" s="35" t="s">
        <v>41</v>
      </c>
      <c r="D550" s="35" t="s">
        <v>45</v>
      </c>
      <c r="E550" s="35" t="s">
        <v>25</v>
      </c>
      <c r="F550" s="35" t="s">
        <v>25</v>
      </c>
      <c r="G550" s="35" t="s">
        <v>25</v>
      </c>
      <c r="H550" s="35" t="s">
        <v>35</v>
      </c>
      <c r="I550" s="45">
        <v>44317</v>
      </c>
      <c r="J550" s="46">
        <f>EFEITO!$J$550*EFEITO!$Y$550</f>
        <v>0</v>
      </c>
      <c r="K550" s="46">
        <f ca="1">EFEITO!$L$550*EFEITO!$Z$550</f>
        <v>66072.23277898306</v>
      </c>
      <c r="L550" s="46">
        <f>EFEITO!$N$550*EFEITO!$AA$550</f>
        <v>316580.02303066303</v>
      </c>
      <c r="M550" s="46">
        <f>$J$550-EFEITO!$K$550*EFEITO!$Y$550</f>
        <v>0</v>
      </c>
      <c r="N550" s="46">
        <f ca="1">$K$550-EFEITO!$M$550*EFEITO!$Z$550</f>
        <v>0</v>
      </c>
      <c r="O550" s="46">
        <f>$L$550-EFEITO!$O$550*EFEITO!$AA$550</f>
        <v>0</v>
      </c>
      <c r="P550" s="38"/>
      <c r="Q550" s="38"/>
      <c r="R550" s="38"/>
      <c r="S550" s="38"/>
      <c r="T550" s="38"/>
      <c r="U550" s="38"/>
      <c r="V550" s="38"/>
      <c r="W550" s="38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35" t="s">
        <v>28</v>
      </c>
      <c r="B551" s="35" t="s">
        <v>39</v>
      </c>
      <c r="C551" s="35" t="s">
        <v>41</v>
      </c>
      <c r="D551" s="35" t="s">
        <v>45</v>
      </c>
      <c r="E551" s="35" t="s">
        <v>25</v>
      </c>
      <c r="F551" s="35" t="s">
        <v>25</v>
      </c>
      <c r="G551" s="35" t="s">
        <v>25</v>
      </c>
      <c r="H551" s="35" t="s">
        <v>35</v>
      </c>
      <c r="I551" s="45">
        <v>44317</v>
      </c>
      <c r="J551" s="46">
        <f>EFEITO!$J$551*EFEITO!$Y$551</f>
        <v>0</v>
      </c>
      <c r="K551" s="46">
        <f ca="1">EFEITO!$L$551*EFEITO!$Z$551</f>
        <v>250.92668675015818</v>
      </c>
      <c r="L551" s="46">
        <f>EFEITO!$N$551*EFEITO!$AA$551</f>
        <v>1202.2959256742661</v>
      </c>
      <c r="M551" s="46">
        <f>$J$551-EFEITO!$K$551*EFEITO!$Y$551</f>
        <v>0</v>
      </c>
      <c r="N551" s="46">
        <f ca="1">$K$551-EFEITO!$M$551*EFEITO!$Z$551</f>
        <v>0</v>
      </c>
      <c r="O551" s="46">
        <f>$L$551-EFEITO!$O$551*EFEITO!$AA$551</f>
        <v>0</v>
      </c>
      <c r="P551" s="38"/>
      <c r="Q551" s="38"/>
      <c r="R551" s="38"/>
      <c r="S551" s="38"/>
      <c r="T551" s="38"/>
      <c r="U551" s="38"/>
      <c r="V551" s="38"/>
      <c r="W551" s="38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35" t="s">
        <v>21</v>
      </c>
      <c r="B552" s="35" t="s">
        <v>39</v>
      </c>
      <c r="C552" s="35" t="s">
        <v>41</v>
      </c>
      <c r="D552" s="35" t="s">
        <v>45</v>
      </c>
      <c r="E552" s="35" t="s">
        <v>25</v>
      </c>
      <c r="F552" s="35" t="s">
        <v>25</v>
      </c>
      <c r="G552" s="35" t="s">
        <v>25</v>
      </c>
      <c r="H552" s="35" t="s">
        <v>35</v>
      </c>
      <c r="I552" s="45">
        <v>44348</v>
      </c>
      <c r="J552" s="46">
        <f>EFEITO!$J$552*EFEITO!$Y$552</f>
        <v>0</v>
      </c>
      <c r="K552" s="46">
        <f ca="1">EFEITO!$L$552*EFEITO!$Z$552</f>
        <v>63121.205496494556</v>
      </c>
      <c r="L552" s="46">
        <f>EFEITO!$N$552*EFEITO!$AA$552</f>
        <v>302440.40271270851</v>
      </c>
      <c r="M552" s="46">
        <f>$J$552-EFEITO!$K$552*EFEITO!$Y$552</f>
        <v>0</v>
      </c>
      <c r="N552" s="46">
        <f ca="1">$K$552-EFEITO!$M$552*EFEITO!$Z$552</f>
        <v>0</v>
      </c>
      <c r="O552" s="46">
        <f>$L$552-EFEITO!$O$552*EFEITO!$AA$552</f>
        <v>0</v>
      </c>
      <c r="P552" s="38"/>
      <c r="Q552" s="38"/>
      <c r="R552" s="38"/>
      <c r="S552" s="38"/>
      <c r="T552" s="38"/>
      <c r="U552" s="38"/>
      <c r="V552" s="38"/>
      <c r="W552" s="38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35" t="s">
        <v>28</v>
      </c>
      <c r="B553" s="35" t="s">
        <v>39</v>
      </c>
      <c r="C553" s="35" t="s">
        <v>41</v>
      </c>
      <c r="D553" s="35" t="s">
        <v>45</v>
      </c>
      <c r="E553" s="35" t="s">
        <v>25</v>
      </c>
      <c r="F553" s="35" t="s">
        <v>25</v>
      </c>
      <c r="G553" s="35" t="s">
        <v>25</v>
      </c>
      <c r="H553" s="35" t="s">
        <v>35</v>
      </c>
      <c r="I553" s="45">
        <v>44348</v>
      </c>
      <c r="J553" s="46">
        <f>EFEITO!$J$553*EFEITO!$Y$553</f>
        <v>0</v>
      </c>
      <c r="K553" s="46">
        <f ca="1">EFEITO!$L$553*EFEITO!$Z$553</f>
        <v>292.74780120851784</v>
      </c>
      <c r="L553" s="46">
        <f>EFEITO!$N$553*EFEITO!$AA$553</f>
        <v>1402.6785799533104</v>
      </c>
      <c r="M553" s="46">
        <f>$J$553-EFEITO!$K$553*EFEITO!$Y$553</f>
        <v>0</v>
      </c>
      <c r="N553" s="46">
        <f ca="1">$K$553-EFEITO!$M$553*EFEITO!$Z$553</f>
        <v>0</v>
      </c>
      <c r="O553" s="46">
        <f>$L$553-EFEITO!$O$553*EFEITO!$AA$553</f>
        <v>0</v>
      </c>
      <c r="P553" s="38"/>
      <c r="Q553" s="38"/>
      <c r="R553" s="38"/>
      <c r="S553" s="38"/>
      <c r="T553" s="38"/>
      <c r="U553" s="38"/>
      <c r="V553" s="38"/>
      <c r="W553" s="38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35" t="s">
        <v>21</v>
      </c>
      <c r="B554" s="35" t="s">
        <v>39</v>
      </c>
      <c r="C554" s="35" t="s">
        <v>41</v>
      </c>
      <c r="D554" s="35" t="s">
        <v>45</v>
      </c>
      <c r="E554" s="35" t="s">
        <v>25</v>
      </c>
      <c r="F554" s="35" t="s">
        <v>25</v>
      </c>
      <c r="G554" s="35" t="s">
        <v>25</v>
      </c>
      <c r="H554" s="35" t="s">
        <v>35</v>
      </c>
      <c r="I554" s="45">
        <v>44378</v>
      </c>
      <c r="J554" s="46">
        <f>EFEITO!$J$554*EFEITO!$Y$554</f>
        <v>0</v>
      </c>
      <c r="K554" s="46">
        <f ca="1">EFEITO!$L$554*EFEITO!$Z$554</f>
        <v>61259.817393810386</v>
      </c>
      <c r="L554" s="46">
        <f>EFEITO!$N$554*EFEITO!$AA$554</f>
        <v>293521.70474183868</v>
      </c>
      <c r="M554" s="46">
        <f>$J$554-EFEITO!$K$554*EFEITO!$Y$554</f>
        <v>0</v>
      </c>
      <c r="N554" s="46">
        <f ca="1">$K$554-EFEITO!$M$554*EFEITO!$Z$554</f>
        <v>0</v>
      </c>
      <c r="O554" s="46">
        <f>$L$554-EFEITO!$O$554*EFEITO!$AA$554</f>
        <v>0</v>
      </c>
      <c r="P554" s="38"/>
      <c r="Q554" s="38"/>
      <c r="R554" s="38"/>
      <c r="S554" s="38"/>
      <c r="T554" s="38"/>
      <c r="U554" s="38"/>
      <c r="V554" s="38"/>
      <c r="W554" s="38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35" t="s">
        <v>28</v>
      </c>
      <c r="B555" s="35" t="s">
        <v>39</v>
      </c>
      <c r="C555" s="35" t="s">
        <v>41</v>
      </c>
      <c r="D555" s="35" t="s">
        <v>45</v>
      </c>
      <c r="E555" s="35" t="s">
        <v>25</v>
      </c>
      <c r="F555" s="35" t="s">
        <v>25</v>
      </c>
      <c r="G555" s="35" t="s">
        <v>25</v>
      </c>
      <c r="H555" s="35" t="s">
        <v>35</v>
      </c>
      <c r="I555" s="45">
        <v>44378</v>
      </c>
      <c r="J555" s="46">
        <f>EFEITO!$J$555*EFEITO!$Y$555</f>
        <v>0</v>
      </c>
      <c r="K555" s="46">
        <f ca="1">EFEITO!$L$555*EFEITO!$Z$555</f>
        <v>278.80742972239796</v>
      </c>
      <c r="L555" s="46">
        <f>EFEITO!$N$555*EFEITO!$AA$555</f>
        <v>1335.8843618602957</v>
      </c>
      <c r="M555" s="46">
        <f>$J$555-EFEITO!$K$555*EFEITO!$Y$555</f>
        <v>0</v>
      </c>
      <c r="N555" s="46">
        <f ca="1">$K$555-EFEITO!$M$555*EFEITO!$Z$555</f>
        <v>0</v>
      </c>
      <c r="O555" s="46">
        <f>$L$555-EFEITO!$O$555*EFEITO!$AA$555</f>
        <v>0</v>
      </c>
      <c r="P555" s="38"/>
      <c r="Q555" s="38"/>
      <c r="R555" s="38"/>
      <c r="S555" s="38"/>
      <c r="T555" s="38"/>
      <c r="U555" s="38"/>
      <c r="V555" s="38"/>
      <c r="W555" s="38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35" t="s">
        <v>21</v>
      </c>
      <c r="B556" s="35" t="s">
        <v>39</v>
      </c>
      <c r="C556" s="35" t="s">
        <v>41</v>
      </c>
      <c r="D556" s="35" t="s">
        <v>45</v>
      </c>
      <c r="E556" s="35" t="s">
        <v>25</v>
      </c>
      <c r="F556" s="35" t="s">
        <v>25</v>
      </c>
      <c r="G556" s="35" t="s">
        <v>25</v>
      </c>
      <c r="H556" s="35" t="s">
        <v>35</v>
      </c>
      <c r="I556" s="45">
        <v>44409</v>
      </c>
      <c r="J556" s="46">
        <f>EFEITO!$J$556*EFEITO!$Y$556</f>
        <v>0</v>
      </c>
      <c r="K556" s="46">
        <f ca="1">EFEITO!$L$556*EFEITO!$Z$556</f>
        <v>59145.610696817239</v>
      </c>
      <c r="L556" s="46">
        <f>EFEITO!$N$556*EFEITO!$AA$556</f>
        <v>283391.64591569628</v>
      </c>
      <c r="M556" s="46">
        <f>$J$556-EFEITO!$K$556*EFEITO!$Y$556</f>
        <v>0</v>
      </c>
      <c r="N556" s="46">
        <f ca="1">$K$556-EFEITO!$M$556*EFEITO!$Z$556</f>
        <v>0</v>
      </c>
      <c r="O556" s="46">
        <f>$L$556-EFEITO!$O$556*EFEITO!$AA$556</f>
        <v>0</v>
      </c>
      <c r="P556" s="38"/>
      <c r="Q556" s="38"/>
      <c r="R556" s="38"/>
      <c r="S556" s="38"/>
      <c r="T556" s="38"/>
      <c r="U556" s="38"/>
      <c r="V556" s="38"/>
      <c r="W556" s="38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35" t="s">
        <v>28</v>
      </c>
      <c r="B557" s="35" t="s">
        <v>39</v>
      </c>
      <c r="C557" s="35" t="s">
        <v>41</v>
      </c>
      <c r="D557" s="35" t="s">
        <v>45</v>
      </c>
      <c r="E557" s="35" t="s">
        <v>25</v>
      </c>
      <c r="F557" s="35" t="s">
        <v>25</v>
      </c>
      <c r="G557" s="35" t="s">
        <v>25</v>
      </c>
      <c r="H557" s="35" t="s">
        <v>35</v>
      </c>
      <c r="I557" s="45">
        <v>44409</v>
      </c>
      <c r="J557" s="46">
        <f>EFEITO!$J$557*EFEITO!$Y$557</f>
        <v>0</v>
      </c>
      <c r="K557" s="46">
        <f ca="1">EFEITO!$L$557*EFEITO!$Z$557</f>
        <v>306.68817269463779</v>
      </c>
      <c r="L557" s="46">
        <f>EFEITO!$N$557*EFEITO!$AA$557</f>
        <v>1469.4727980463254</v>
      </c>
      <c r="M557" s="46">
        <f>$J$557-EFEITO!$K$557*EFEITO!$Y$557</f>
        <v>0</v>
      </c>
      <c r="N557" s="46">
        <f ca="1">$K$557-EFEITO!$M$557*EFEITO!$Z$557</f>
        <v>0</v>
      </c>
      <c r="O557" s="46">
        <f>$L$557-EFEITO!$O$557*EFEITO!$AA$557</f>
        <v>0</v>
      </c>
      <c r="P557" s="38"/>
      <c r="Q557" s="38"/>
      <c r="R557" s="38"/>
      <c r="S557" s="38"/>
      <c r="T557" s="38"/>
      <c r="U557" s="38"/>
      <c r="V557" s="38"/>
      <c r="W557" s="38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35" t="s">
        <v>21</v>
      </c>
      <c r="B558" s="35" t="s">
        <v>39</v>
      </c>
      <c r="C558" s="35" t="s">
        <v>41</v>
      </c>
      <c r="D558" s="35" t="s">
        <v>45</v>
      </c>
      <c r="E558" s="35" t="s">
        <v>25</v>
      </c>
      <c r="F558" s="35" t="s">
        <v>25</v>
      </c>
      <c r="G558" s="35" t="s">
        <v>25</v>
      </c>
      <c r="H558" s="35" t="s">
        <v>35</v>
      </c>
      <c r="I558" s="45">
        <v>44440</v>
      </c>
      <c r="J558" s="46">
        <f>EFEITO!$J$558*EFEITO!$Y$558</f>
        <v>0</v>
      </c>
      <c r="K558" s="46">
        <f ca="1">EFEITO!$L$558*EFEITO!$Z$558</f>
        <v>63533.043899827353</v>
      </c>
      <c r="L558" s="46">
        <f>EFEITO!$N$558*EFEITO!$AA$558</f>
        <v>304413.69475579925</v>
      </c>
      <c r="M558" s="46">
        <f>$J$558-EFEITO!$K$558*EFEITO!$Y$558</f>
        <v>0</v>
      </c>
      <c r="N558" s="46">
        <f ca="1">$K$558-EFEITO!$M$558*EFEITO!$Z$558</f>
        <v>0</v>
      </c>
      <c r="O558" s="46">
        <f>$L$558-EFEITO!$O$558*EFEITO!$AA$558</f>
        <v>0</v>
      </c>
      <c r="P558" s="38"/>
      <c r="Q558" s="38"/>
      <c r="R558" s="38"/>
      <c r="S558" s="38"/>
      <c r="T558" s="38"/>
      <c r="U558" s="38"/>
      <c r="V558" s="38"/>
      <c r="W558" s="38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35" t="s">
        <v>28</v>
      </c>
      <c r="B559" s="35" t="s">
        <v>39</v>
      </c>
      <c r="C559" s="35" t="s">
        <v>41</v>
      </c>
      <c r="D559" s="35" t="s">
        <v>45</v>
      </c>
      <c r="E559" s="35" t="s">
        <v>25</v>
      </c>
      <c r="F559" s="35" t="s">
        <v>25</v>
      </c>
      <c r="G559" s="35" t="s">
        <v>25</v>
      </c>
      <c r="H559" s="35" t="s">
        <v>35</v>
      </c>
      <c r="I559" s="45">
        <v>44440</v>
      </c>
      <c r="J559" s="46">
        <f>EFEITO!$J$559*EFEITO!$Y$559</f>
        <v>0</v>
      </c>
      <c r="K559" s="46">
        <f ca="1">EFEITO!$L$559*EFEITO!$Z$559</f>
        <v>223.04594377791838</v>
      </c>
      <c r="L559" s="46">
        <f>EFEITO!$N$559*EFEITO!$AA$559</f>
        <v>1068.7074894882367</v>
      </c>
      <c r="M559" s="46">
        <f>$J$559-EFEITO!$K$559*EFEITO!$Y$559</f>
        <v>0</v>
      </c>
      <c r="N559" s="46">
        <f ca="1">$K$559-EFEITO!$M$559*EFEITO!$Z$559</f>
        <v>0</v>
      </c>
      <c r="O559" s="46">
        <f>$L$559-EFEITO!$O$559*EFEITO!$AA$559</f>
        <v>0</v>
      </c>
      <c r="P559" s="38"/>
      <c r="Q559" s="38"/>
      <c r="R559" s="38"/>
      <c r="S559" s="38"/>
      <c r="T559" s="38"/>
      <c r="U559" s="38"/>
      <c r="V559" s="38"/>
      <c r="W559" s="38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35" t="s">
        <v>21</v>
      </c>
      <c r="B560" s="35" t="s">
        <v>39</v>
      </c>
      <c r="C560" s="35" t="s">
        <v>41</v>
      </c>
      <c r="D560" s="35" t="s">
        <v>45</v>
      </c>
      <c r="E560" s="35" t="s">
        <v>25</v>
      </c>
      <c r="F560" s="35" t="s">
        <v>25</v>
      </c>
      <c r="G560" s="35" t="s">
        <v>25</v>
      </c>
      <c r="H560" s="35" t="s">
        <v>35</v>
      </c>
      <c r="I560" s="45">
        <v>44470</v>
      </c>
      <c r="J560" s="46">
        <f>EFEITO!$J$560*EFEITO!$Y$560</f>
        <v>0</v>
      </c>
      <c r="K560" s="46">
        <f ca="1">EFEITO!$L$560*EFEITO!$Z$560</f>
        <v>71566.830200237222</v>
      </c>
      <c r="L560" s="46">
        <f>EFEITO!$N$560*EFEITO!$AA$560</f>
        <v>342906.96409202478</v>
      </c>
      <c r="M560" s="46">
        <f>$J$560-EFEITO!$K$560*EFEITO!$Y$560</f>
        <v>0</v>
      </c>
      <c r="N560" s="46">
        <f ca="1">$K$560-EFEITO!$M$560*EFEITO!$Z$560</f>
        <v>0</v>
      </c>
      <c r="O560" s="46">
        <f>$L$560-EFEITO!$O$560*EFEITO!$AA$560</f>
        <v>0</v>
      </c>
      <c r="P560" s="38"/>
      <c r="Q560" s="38"/>
      <c r="R560" s="38"/>
      <c r="S560" s="38"/>
      <c r="T560" s="38"/>
      <c r="U560" s="38"/>
      <c r="V560" s="38"/>
      <c r="W560" s="38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35" t="s">
        <v>28</v>
      </c>
      <c r="B561" s="35" t="s">
        <v>39</v>
      </c>
      <c r="C561" s="35" t="s">
        <v>41</v>
      </c>
      <c r="D561" s="35" t="s">
        <v>45</v>
      </c>
      <c r="E561" s="35" t="s">
        <v>25</v>
      </c>
      <c r="F561" s="35" t="s">
        <v>25</v>
      </c>
      <c r="G561" s="35" t="s">
        <v>25</v>
      </c>
      <c r="H561" s="35" t="s">
        <v>35</v>
      </c>
      <c r="I561" s="45">
        <v>44470</v>
      </c>
      <c r="J561" s="46">
        <f>EFEITO!$J$561*EFEITO!$Y$561</f>
        <v>0</v>
      </c>
      <c r="K561" s="46">
        <f ca="1">EFEITO!$L$561*EFEITO!$Z$561</f>
        <v>181.22482931955869</v>
      </c>
      <c r="L561" s="46">
        <f>EFEITO!$N$561*EFEITO!$AA$561</f>
        <v>868.3248352091922</v>
      </c>
      <c r="M561" s="46">
        <f>$J$561-EFEITO!$K$561*EFEITO!$Y$561</f>
        <v>0</v>
      </c>
      <c r="N561" s="46">
        <f ca="1">$K$561-EFEITO!$M$561*EFEITO!$Z$561</f>
        <v>0</v>
      </c>
      <c r="O561" s="46">
        <f>$L$561-EFEITO!$O$561*EFEITO!$AA$561</f>
        <v>0</v>
      </c>
      <c r="P561" s="38"/>
      <c r="Q561" s="38"/>
      <c r="R561" s="38"/>
      <c r="S561" s="38"/>
      <c r="T561" s="38"/>
      <c r="U561" s="38"/>
      <c r="V561" s="38"/>
      <c r="W561" s="38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35" t="s">
        <v>21</v>
      </c>
      <c r="B562" s="35" t="s">
        <v>39</v>
      </c>
      <c r="C562" s="35" t="s">
        <v>41</v>
      </c>
      <c r="D562" s="35" t="s">
        <v>45</v>
      </c>
      <c r="E562" s="35" t="s">
        <v>25</v>
      </c>
      <c r="F562" s="35" t="s">
        <v>25</v>
      </c>
      <c r="G562" s="35" t="s">
        <v>25</v>
      </c>
      <c r="H562" s="35" t="s">
        <v>35</v>
      </c>
      <c r="I562" s="45">
        <v>44501</v>
      </c>
      <c r="J562" s="46">
        <f>EFEITO!$J$562*EFEITO!$Y$562</f>
        <v>0</v>
      </c>
      <c r="K562" s="46">
        <f ca="1">EFEITO!$L$562*EFEITO!$Z$562</f>
        <v>75452.75853903417</v>
      </c>
      <c r="L562" s="46">
        <f>EFEITO!$N$562*EFEITO!$AA$562</f>
        <v>361526.09093623154</v>
      </c>
      <c r="M562" s="46">
        <f>$J$562-EFEITO!$K$562*EFEITO!$Y$562</f>
        <v>0</v>
      </c>
      <c r="N562" s="46">
        <f ca="1">$K$562-EFEITO!$M$562*EFEITO!$Z$562</f>
        <v>0</v>
      </c>
      <c r="O562" s="46">
        <f>$L$562-EFEITO!$O$562*EFEITO!$AA$562</f>
        <v>0</v>
      </c>
      <c r="P562" s="38"/>
      <c r="Q562" s="38"/>
      <c r="R562" s="38"/>
      <c r="S562" s="38"/>
      <c r="T562" s="38"/>
      <c r="U562" s="38"/>
      <c r="V562" s="38"/>
      <c r="W562" s="38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35" t="s">
        <v>28</v>
      </c>
      <c r="B563" s="35" t="s">
        <v>39</v>
      </c>
      <c r="C563" s="35" t="s">
        <v>41</v>
      </c>
      <c r="D563" s="35" t="s">
        <v>45</v>
      </c>
      <c r="E563" s="35" t="s">
        <v>25</v>
      </c>
      <c r="F563" s="35" t="s">
        <v>25</v>
      </c>
      <c r="G563" s="35" t="s">
        <v>25</v>
      </c>
      <c r="H563" s="35" t="s">
        <v>35</v>
      </c>
      <c r="I563" s="45">
        <v>44501</v>
      </c>
      <c r="J563" s="46">
        <f>EFEITO!$J$563*EFEITO!$Y$563</f>
        <v>0</v>
      </c>
      <c r="K563" s="46">
        <f ca="1">EFEITO!$L$563*EFEITO!$Z$563</f>
        <v>334.56891566687756</v>
      </c>
      <c r="L563" s="46">
        <f>EFEITO!$N$563*EFEITO!$AA$563</f>
        <v>1603.0612342323548</v>
      </c>
      <c r="M563" s="46">
        <f>$J$563-EFEITO!$K$563*EFEITO!$Y$563</f>
        <v>0</v>
      </c>
      <c r="N563" s="46">
        <f ca="1">$K$563-EFEITO!$M$563*EFEITO!$Z$563</f>
        <v>0</v>
      </c>
      <c r="O563" s="46">
        <f>$L$563-EFEITO!$O$563*EFEITO!$AA$563</f>
        <v>0</v>
      </c>
      <c r="P563" s="38"/>
      <c r="Q563" s="38"/>
      <c r="R563" s="38"/>
      <c r="S563" s="38"/>
      <c r="T563" s="38"/>
      <c r="U563" s="38"/>
      <c r="V563" s="38"/>
      <c r="W563" s="38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35" t="s">
        <v>21</v>
      </c>
      <c r="B564" s="35" t="s">
        <v>39</v>
      </c>
      <c r="C564" s="35" t="s">
        <v>41</v>
      </c>
      <c r="D564" s="35" t="s">
        <v>45</v>
      </c>
      <c r="E564" s="35" t="s">
        <v>25</v>
      </c>
      <c r="F564" s="35" t="s">
        <v>25</v>
      </c>
      <c r="G564" s="35" t="s">
        <v>25</v>
      </c>
      <c r="H564" s="35" t="s">
        <v>35</v>
      </c>
      <c r="I564" s="45">
        <v>44531</v>
      </c>
      <c r="J564" s="46">
        <f>EFEITO!$J$564*EFEITO!$Y$564</f>
        <v>0</v>
      </c>
      <c r="K564" s="46">
        <f ca="1">EFEITO!$L$564*EFEITO!$Z$564</f>
        <v>75806.097169166285</v>
      </c>
      <c r="L564" s="46">
        <f>EFEITO!$N$564*EFEITO!$AA$564</f>
        <v>363219.08581411059</v>
      </c>
      <c r="M564" s="46">
        <f>$J$564-EFEITO!$K$564*EFEITO!$Y$564</f>
        <v>0</v>
      </c>
      <c r="N564" s="46">
        <f ca="1">$K$564-EFEITO!$M$564*EFEITO!$Z$564</f>
        <v>0</v>
      </c>
      <c r="O564" s="46">
        <f>$L$564-EFEITO!$O$564*EFEITO!$AA$564</f>
        <v>0</v>
      </c>
      <c r="P564" s="38"/>
      <c r="Q564" s="38"/>
      <c r="R564" s="38"/>
      <c r="S564" s="38"/>
      <c r="T564" s="38"/>
      <c r="U564" s="38"/>
      <c r="V564" s="38"/>
      <c r="W564" s="38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35" t="s">
        <v>28</v>
      </c>
      <c r="B565" s="35" t="s">
        <v>39</v>
      </c>
      <c r="C565" s="35" t="s">
        <v>41</v>
      </c>
      <c r="D565" s="35" t="s">
        <v>45</v>
      </c>
      <c r="E565" s="35" t="s">
        <v>25</v>
      </c>
      <c r="F565" s="35" t="s">
        <v>25</v>
      </c>
      <c r="G565" s="35" t="s">
        <v>25</v>
      </c>
      <c r="H565" s="35" t="s">
        <v>35</v>
      </c>
      <c r="I565" s="45">
        <v>44531</v>
      </c>
      <c r="J565" s="46">
        <f>EFEITO!$J$565*EFEITO!$Y$565</f>
        <v>0</v>
      </c>
      <c r="K565" s="46">
        <f ca="1">EFEITO!$L$565*EFEITO!$Z$565</f>
        <v>501.85337350031637</v>
      </c>
      <c r="L565" s="46">
        <f>EFEITO!$N$565*EFEITO!$AA$565</f>
        <v>2404.5918513485321</v>
      </c>
      <c r="M565" s="46">
        <f>$J$565-EFEITO!$K$565*EFEITO!$Y$565</f>
        <v>0</v>
      </c>
      <c r="N565" s="46">
        <f ca="1">$K$565-EFEITO!$M$565*EFEITO!$Z$565</f>
        <v>0</v>
      </c>
      <c r="O565" s="46">
        <f>$L$565-EFEITO!$O$565*EFEITO!$AA$565</f>
        <v>0</v>
      </c>
      <c r="P565" s="38"/>
      <c r="Q565" s="38"/>
      <c r="R565" s="38"/>
      <c r="S565" s="38"/>
      <c r="T565" s="38"/>
      <c r="U565" s="38"/>
      <c r="V565" s="38"/>
      <c r="W565" s="38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35" t="s">
        <v>55</v>
      </c>
      <c r="B566" s="35" t="s">
        <v>39</v>
      </c>
      <c r="C566" s="35" t="s">
        <v>41</v>
      </c>
      <c r="D566" s="35" t="s">
        <v>45</v>
      </c>
      <c r="E566" s="35" t="s">
        <v>25</v>
      </c>
      <c r="F566" s="35" t="s">
        <v>25</v>
      </c>
      <c r="G566" s="35" t="s">
        <v>25</v>
      </c>
      <c r="H566" s="35" t="s">
        <v>35</v>
      </c>
      <c r="I566" s="45">
        <v>44562</v>
      </c>
      <c r="J566" s="46">
        <f>EFEITO!$J$566*EFEITO!$Y$566</f>
        <v>0</v>
      </c>
      <c r="K566" s="46">
        <f ca="1">EFEITO!$L$566*EFEITO!$Z$566</f>
        <v>75806.097169166285</v>
      </c>
      <c r="L566" s="46">
        <f>EFEITO!$N$566*EFEITO!$AA$566</f>
        <v>363219.08581411059</v>
      </c>
      <c r="M566" s="46">
        <f>$J$566-EFEITO!$K$566*EFEITO!$Y$566</f>
        <v>0</v>
      </c>
      <c r="N566" s="46">
        <f ca="1">$K$566-EFEITO!$M$566*EFEITO!$Z$566</f>
        <v>0</v>
      </c>
      <c r="O566" s="46">
        <f>$L$566-EFEITO!$O$566*EFEITO!$AA$566</f>
        <v>0</v>
      </c>
      <c r="P566" s="38"/>
      <c r="Q566" s="38"/>
      <c r="R566" s="38"/>
      <c r="S566" s="38"/>
      <c r="T566" s="38"/>
      <c r="U566" s="38"/>
      <c r="V566" s="38"/>
      <c r="W566" s="38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35" t="s">
        <v>55</v>
      </c>
      <c r="B567" s="35" t="s">
        <v>39</v>
      </c>
      <c r="C567" s="35" t="s">
        <v>41</v>
      </c>
      <c r="D567" s="35" t="s">
        <v>45</v>
      </c>
      <c r="E567" s="35" t="s">
        <v>25</v>
      </c>
      <c r="F567" s="35" t="s">
        <v>25</v>
      </c>
      <c r="G567" s="35" t="s">
        <v>25</v>
      </c>
      <c r="H567" s="35" t="s">
        <v>35</v>
      </c>
      <c r="I567" s="45">
        <v>44562</v>
      </c>
      <c r="J567" s="46">
        <f>EFEITO!$J$567*EFEITO!$Y$567</f>
        <v>0</v>
      </c>
      <c r="K567" s="46">
        <f ca="1">EFEITO!$L$567*EFEITO!$Z$567</f>
        <v>501.85337350031637</v>
      </c>
      <c r="L567" s="46">
        <f>EFEITO!$N$567*EFEITO!$AA$567</f>
        <v>2404.5918513485321</v>
      </c>
      <c r="M567" s="46">
        <f>$J$567-EFEITO!$K$567*EFEITO!$Y$567</f>
        <v>0</v>
      </c>
      <c r="N567" s="46">
        <f ca="1">$K$567-EFEITO!$M$567*EFEITO!$Z$567</f>
        <v>0</v>
      </c>
      <c r="O567" s="46">
        <f>$L$567-EFEITO!$O$567*EFEITO!$AA$567</f>
        <v>0</v>
      </c>
      <c r="P567" s="38"/>
      <c r="Q567" s="38"/>
      <c r="R567" s="38"/>
      <c r="S567" s="38"/>
      <c r="T567" s="38"/>
      <c r="U567" s="38"/>
      <c r="V567" s="38"/>
      <c r="W567" s="38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35" t="s">
        <v>21</v>
      </c>
      <c r="B568" s="35" t="s">
        <v>39</v>
      </c>
      <c r="C568" s="35" t="s">
        <v>41</v>
      </c>
      <c r="D568" s="35" t="s">
        <v>45</v>
      </c>
      <c r="E568" s="35" t="s">
        <v>25</v>
      </c>
      <c r="F568" s="35" t="s">
        <v>25</v>
      </c>
      <c r="G568" s="35" t="s">
        <v>25</v>
      </c>
      <c r="H568" s="35" t="s">
        <v>25</v>
      </c>
      <c r="I568" s="45">
        <v>44228</v>
      </c>
      <c r="J568" s="46">
        <f ca="1">EFEITO!$J$568*EFEITO!$Y$568</f>
        <v>169747.145446165</v>
      </c>
      <c r="K568" s="46">
        <f>EFEITO!$L$568*EFEITO!$Z$568</f>
        <v>0</v>
      </c>
      <c r="L568" s="46">
        <f>EFEITO!$N$568*EFEITO!$AA$568</f>
        <v>0</v>
      </c>
      <c r="M568" s="46">
        <f ca="1">$J$568-EFEITO!$K$568*EFEITO!$Y$568</f>
        <v>0</v>
      </c>
      <c r="N568" s="46">
        <f>$K$568-EFEITO!$M$568*EFEITO!$Z$568</f>
        <v>0</v>
      </c>
      <c r="O568" s="46">
        <f>$L$568-EFEITO!$O$568*EFEITO!$AA$568</f>
        <v>0</v>
      </c>
      <c r="P568" s="38"/>
      <c r="Q568" s="38"/>
      <c r="R568" s="38"/>
      <c r="S568" s="38"/>
      <c r="T568" s="38"/>
      <c r="U568" s="38"/>
      <c r="V568" s="38"/>
      <c r="W568" s="38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35" t="s">
        <v>28</v>
      </c>
      <c r="B569" s="35" t="s">
        <v>39</v>
      </c>
      <c r="C569" s="35" t="s">
        <v>41</v>
      </c>
      <c r="D569" s="35" t="s">
        <v>45</v>
      </c>
      <c r="E569" s="35" t="s">
        <v>25</v>
      </c>
      <c r="F569" s="35" t="s">
        <v>25</v>
      </c>
      <c r="G569" s="35" t="s">
        <v>25</v>
      </c>
      <c r="H569" s="35" t="s">
        <v>25</v>
      </c>
      <c r="I569" s="45">
        <v>44228</v>
      </c>
      <c r="J569" s="46">
        <f ca="1">EFEITO!$J$569*EFEITO!$Y$569</f>
        <v>4196.3580033503868</v>
      </c>
      <c r="K569" s="46">
        <f>EFEITO!$L$569*EFEITO!$Z$569</f>
        <v>0</v>
      </c>
      <c r="L569" s="46">
        <f>EFEITO!$N$569*EFEITO!$AA$569</f>
        <v>0</v>
      </c>
      <c r="M569" s="46">
        <f ca="1">$J$569-EFEITO!$K$569*EFEITO!$Y$569</f>
        <v>0</v>
      </c>
      <c r="N569" s="46">
        <f>$K$569-EFEITO!$M$569*EFEITO!$Z$569</f>
        <v>0</v>
      </c>
      <c r="O569" s="46">
        <f>$L$569-EFEITO!$O$569*EFEITO!$AA$569</f>
        <v>0</v>
      </c>
      <c r="P569" s="38"/>
      <c r="Q569" s="38"/>
      <c r="R569" s="38"/>
      <c r="S569" s="38"/>
      <c r="T569" s="38"/>
      <c r="U569" s="38"/>
      <c r="V569" s="38"/>
      <c r="W569" s="38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35" t="s">
        <v>21</v>
      </c>
      <c r="B570" s="35" t="s">
        <v>39</v>
      </c>
      <c r="C570" s="35" t="s">
        <v>41</v>
      </c>
      <c r="D570" s="35" t="s">
        <v>45</v>
      </c>
      <c r="E570" s="35" t="s">
        <v>25</v>
      </c>
      <c r="F570" s="35" t="s">
        <v>25</v>
      </c>
      <c r="G570" s="35" t="s">
        <v>25</v>
      </c>
      <c r="H570" s="35" t="s">
        <v>25</v>
      </c>
      <c r="I570" s="45">
        <v>44256</v>
      </c>
      <c r="J570" s="46">
        <f ca="1">EFEITO!$J$570*EFEITO!$Y$570</f>
        <v>170943.55389818404</v>
      </c>
      <c r="K570" s="46">
        <f>EFEITO!$L$570*EFEITO!$Z$570</f>
        <v>0</v>
      </c>
      <c r="L570" s="46">
        <f>EFEITO!$N$570*EFEITO!$AA$570</f>
        <v>0</v>
      </c>
      <c r="M570" s="46">
        <f ca="1">$J$570-EFEITO!$K$570*EFEITO!$Y$570</f>
        <v>0</v>
      </c>
      <c r="N570" s="46">
        <f>$K$570-EFEITO!$M$570*EFEITO!$Z$570</f>
        <v>0</v>
      </c>
      <c r="O570" s="46">
        <f>$L$570-EFEITO!$O$570*EFEITO!$AA$570</f>
        <v>0</v>
      </c>
      <c r="P570" s="38"/>
      <c r="Q570" s="38"/>
      <c r="R570" s="38"/>
      <c r="S570" s="38"/>
      <c r="T570" s="38"/>
      <c r="U570" s="38"/>
      <c r="V570" s="38"/>
      <c r="W570" s="38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35" t="s">
        <v>28</v>
      </c>
      <c r="B571" s="35" t="s">
        <v>39</v>
      </c>
      <c r="C571" s="35" t="s">
        <v>41</v>
      </c>
      <c r="D571" s="35" t="s">
        <v>45</v>
      </c>
      <c r="E571" s="35" t="s">
        <v>25</v>
      </c>
      <c r="F571" s="35" t="s">
        <v>25</v>
      </c>
      <c r="G571" s="35" t="s">
        <v>25</v>
      </c>
      <c r="H571" s="35" t="s">
        <v>25</v>
      </c>
      <c r="I571" s="45">
        <v>44256</v>
      </c>
      <c r="J571" s="46">
        <f ca="1">EFEITO!$J$571*EFEITO!$Y$571</f>
        <v>4196.3580033503868</v>
      </c>
      <c r="K571" s="46">
        <f>EFEITO!$L$571*EFEITO!$Z$571</f>
        <v>0</v>
      </c>
      <c r="L571" s="46">
        <f>EFEITO!$N$571*EFEITO!$AA$571</f>
        <v>0</v>
      </c>
      <c r="M571" s="46">
        <f ca="1">$J$571-EFEITO!$K$571*EFEITO!$Y$571</f>
        <v>0</v>
      </c>
      <c r="N571" s="46">
        <f>$K$571-EFEITO!$M$571*EFEITO!$Z$571</f>
        <v>0</v>
      </c>
      <c r="O571" s="46">
        <f>$L$571-EFEITO!$O$571*EFEITO!$AA$571</f>
        <v>0</v>
      </c>
      <c r="P571" s="38"/>
      <c r="Q571" s="38"/>
      <c r="R571" s="38"/>
      <c r="S571" s="38"/>
      <c r="T571" s="38"/>
      <c r="U571" s="38"/>
      <c r="V571" s="38"/>
      <c r="W571" s="38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35" t="s">
        <v>21</v>
      </c>
      <c r="B572" s="35" t="s">
        <v>39</v>
      </c>
      <c r="C572" s="35" t="s">
        <v>41</v>
      </c>
      <c r="D572" s="35" t="s">
        <v>45</v>
      </c>
      <c r="E572" s="35" t="s">
        <v>25</v>
      </c>
      <c r="F572" s="35" t="s">
        <v>25</v>
      </c>
      <c r="G572" s="35" t="s">
        <v>25</v>
      </c>
      <c r="H572" s="35" t="s">
        <v>25</v>
      </c>
      <c r="I572" s="45">
        <v>44287</v>
      </c>
      <c r="J572" s="46">
        <f ca="1">EFEITO!$J$572*EFEITO!$Y$572</f>
        <v>171389.97496237024</v>
      </c>
      <c r="K572" s="46">
        <f>EFEITO!$L$572*EFEITO!$Z$572</f>
        <v>0</v>
      </c>
      <c r="L572" s="46">
        <f>EFEITO!$N$572*EFEITO!$AA$572</f>
        <v>0</v>
      </c>
      <c r="M572" s="46">
        <f ca="1">$J$572-EFEITO!$K$572*EFEITO!$Y$572</f>
        <v>0</v>
      </c>
      <c r="N572" s="46">
        <f>$K$572-EFEITO!$M$572*EFEITO!$Z$572</f>
        <v>0</v>
      </c>
      <c r="O572" s="46">
        <f>$L$572-EFEITO!$O$572*EFEITO!$AA$572</f>
        <v>0</v>
      </c>
      <c r="P572" s="38"/>
      <c r="Q572" s="38"/>
      <c r="R572" s="38"/>
      <c r="S572" s="38"/>
      <c r="T572" s="38"/>
      <c r="U572" s="38"/>
      <c r="V572" s="38"/>
      <c r="W572" s="38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35" t="s">
        <v>28</v>
      </c>
      <c r="B573" s="35" t="s">
        <v>39</v>
      </c>
      <c r="C573" s="35" t="s">
        <v>41</v>
      </c>
      <c r="D573" s="35" t="s">
        <v>45</v>
      </c>
      <c r="E573" s="35" t="s">
        <v>25</v>
      </c>
      <c r="F573" s="35" t="s">
        <v>25</v>
      </c>
      <c r="G573" s="35" t="s">
        <v>25</v>
      </c>
      <c r="H573" s="35" t="s">
        <v>25</v>
      </c>
      <c r="I573" s="45">
        <v>44287</v>
      </c>
      <c r="J573" s="46">
        <f ca="1">EFEITO!$J$573*EFEITO!$Y$573</f>
        <v>4196.3580033503868</v>
      </c>
      <c r="K573" s="46">
        <f>EFEITO!$L$573*EFEITO!$Z$573</f>
        <v>0</v>
      </c>
      <c r="L573" s="46">
        <f>EFEITO!$N$573*EFEITO!$AA$573</f>
        <v>0</v>
      </c>
      <c r="M573" s="46">
        <f ca="1">$J$573-EFEITO!$K$573*EFEITO!$Y$573</f>
        <v>0</v>
      </c>
      <c r="N573" s="46">
        <f>$K$573-EFEITO!$M$573*EFEITO!$Z$573</f>
        <v>0</v>
      </c>
      <c r="O573" s="46">
        <f>$L$573-EFEITO!$O$573*EFEITO!$AA$573</f>
        <v>0</v>
      </c>
      <c r="P573" s="38"/>
      <c r="Q573" s="38"/>
      <c r="R573" s="38"/>
      <c r="S573" s="38"/>
      <c r="T573" s="38"/>
      <c r="U573" s="38"/>
      <c r="V573" s="38"/>
      <c r="W573" s="38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35" t="s">
        <v>21</v>
      </c>
      <c r="B574" s="35" t="s">
        <v>39</v>
      </c>
      <c r="C574" s="35" t="s">
        <v>41</v>
      </c>
      <c r="D574" s="35" t="s">
        <v>45</v>
      </c>
      <c r="E574" s="35" t="s">
        <v>25</v>
      </c>
      <c r="F574" s="35" t="s">
        <v>25</v>
      </c>
      <c r="G574" s="35" t="s">
        <v>25</v>
      </c>
      <c r="H574" s="35" t="s">
        <v>25</v>
      </c>
      <c r="I574" s="45">
        <v>44317</v>
      </c>
      <c r="J574" s="46">
        <f ca="1">EFEITO!$J$574*EFEITO!$Y$574</f>
        <v>170032.85492724416</v>
      </c>
      <c r="K574" s="46">
        <f>EFEITO!$L$574*EFEITO!$Z$574</f>
        <v>0</v>
      </c>
      <c r="L574" s="46">
        <f>EFEITO!$N$574*EFEITO!$AA$574</f>
        <v>0</v>
      </c>
      <c r="M574" s="46">
        <f ca="1">$J$574-EFEITO!$K$574*EFEITO!$Y$574</f>
        <v>0</v>
      </c>
      <c r="N574" s="46">
        <f>$K$574-EFEITO!$M$574*EFEITO!$Z$574</f>
        <v>0</v>
      </c>
      <c r="O574" s="46">
        <f>$L$574-EFEITO!$O$574*EFEITO!$AA$574</f>
        <v>0</v>
      </c>
      <c r="P574" s="38"/>
      <c r="Q574" s="38"/>
      <c r="R574" s="38"/>
      <c r="S574" s="38"/>
      <c r="T574" s="38"/>
      <c r="U574" s="38"/>
      <c r="V574" s="38"/>
      <c r="W574" s="38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35" t="s">
        <v>28</v>
      </c>
      <c r="B575" s="35" t="s">
        <v>39</v>
      </c>
      <c r="C575" s="35" t="s">
        <v>41</v>
      </c>
      <c r="D575" s="35" t="s">
        <v>45</v>
      </c>
      <c r="E575" s="35" t="s">
        <v>25</v>
      </c>
      <c r="F575" s="35" t="s">
        <v>25</v>
      </c>
      <c r="G575" s="35" t="s">
        <v>25</v>
      </c>
      <c r="H575" s="35" t="s">
        <v>25</v>
      </c>
      <c r="I575" s="45">
        <v>44317</v>
      </c>
      <c r="J575" s="46">
        <f ca="1">EFEITO!$J$575*EFEITO!$Y$575</f>
        <v>4196.3580033503868</v>
      </c>
      <c r="K575" s="46">
        <f>EFEITO!$L$575*EFEITO!$Z$575</f>
        <v>0</v>
      </c>
      <c r="L575" s="46">
        <f>EFEITO!$N$575*EFEITO!$AA$575</f>
        <v>0</v>
      </c>
      <c r="M575" s="46">
        <f ca="1">$J$575-EFEITO!$K$575*EFEITO!$Y$575</f>
        <v>0</v>
      </c>
      <c r="N575" s="46">
        <f>$K$575-EFEITO!$M$575*EFEITO!$Z$575</f>
        <v>0</v>
      </c>
      <c r="O575" s="46">
        <f>$L$575-EFEITO!$O$575*EFEITO!$AA$575</f>
        <v>0</v>
      </c>
      <c r="P575" s="38"/>
      <c r="Q575" s="38"/>
      <c r="R575" s="38"/>
      <c r="S575" s="38"/>
      <c r="T575" s="38"/>
      <c r="U575" s="38"/>
      <c r="V575" s="38"/>
      <c r="W575" s="38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35" t="s">
        <v>21</v>
      </c>
      <c r="B576" s="35" t="s">
        <v>39</v>
      </c>
      <c r="C576" s="35" t="s">
        <v>41</v>
      </c>
      <c r="D576" s="35" t="s">
        <v>45</v>
      </c>
      <c r="E576" s="35" t="s">
        <v>25</v>
      </c>
      <c r="F576" s="35" t="s">
        <v>25</v>
      </c>
      <c r="G576" s="35" t="s">
        <v>25</v>
      </c>
      <c r="H576" s="35" t="s">
        <v>25</v>
      </c>
      <c r="I576" s="45">
        <v>44348</v>
      </c>
      <c r="J576" s="46">
        <f ca="1">EFEITO!$J$576*EFEITO!$Y$576</f>
        <v>171318.54759210045</v>
      </c>
      <c r="K576" s="46">
        <f>EFEITO!$L$576*EFEITO!$Z$576</f>
        <v>0</v>
      </c>
      <c r="L576" s="46">
        <f>EFEITO!$N$576*EFEITO!$AA$576</f>
        <v>0</v>
      </c>
      <c r="M576" s="46">
        <f ca="1">$J$576-EFEITO!$K$576*EFEITO!$Y$576</f>
        <v>0</v>
      </c>
      <c r="N576" s="46">
        <f>$K$576-EFEITO!$M$576*EFEITO!$Z$576</f>
        <v>0</v>
      </c>
      <c r="O576" s="46">
        <f>$L$576-EFEITO!$O$576*EFEITO!$AA$576</f>
        <v>0</v>
      </c>
      <c r="P576" s="38"/>
      <c r="Q576" s="38"/>
      <c r="R576" s="38"/>
      <c r="S576" s="38"/>
      <c r="T576" s="38"/>
      <c r="U576" s="38"/>
      <c r="V576" s="38"/>
      <c r="W576" s="38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35" t="s">
        <v>28</v>
      </c>
      <c r="B577" s="35" t="s">
        <v>39</v>
      </c>
      <c r="C577" s="35" t="s">
        <v>41</v>
      </c>
      <c r="D577" s="35" t="s">
        <v>45</v>
      </c>
      <c r="E577" s="35" t="s">
        <v>25</v>
      </c>
      <c r="F577" s="35" t="s">
        <v>25</v>
      </c>
      <c r="G577" s="35" t="s">
        <v>25</v>
      </c>
      <c r="H577" s="35" t="s">
        <v>25</v>
      </c>
      <c r="I577" s="45">
        <v>44348</v>
      </c>
      <c r="J577" s="46">
        <f ca="1">EFEITO!$J$577*EFEITO!$Y$577</f>
        <v>4196.3580033503868</v>
      </c>
      <c r="K577" s="46">
        <f>EFEITO!$L$577*EFEITO!$Z$577</f>
        <v>0</v>
      </c>
      <c r="L577" s="46">
        <f>EFEITO!$N$577*EFEITO!$AA$577</f>
        <v>0</v>
      </c>
      <c r="M577" s="46">
        <f ca="1">$J$577-EFEITO!$K$577*EFEITO!$Y$577</f>
        <v>0</v>
      </c>
      <c r="N577" s="46">
        <f>$K$577-EFEITO!$M$577*EFEITO!$Z$577</f>
        <v>0</v>
      </c>
      <c r="O577" s="46">
        <f>$L$577-EFEITO!$O$577*EFEITO!$AA$577</f>
        <v>0</v>
      </c>
      <c r="P577" s="38"/>
      <c r="Q577" s="38"/>
      <c r="R577" s="38"/>
      <c r="S577" s="38"/>
      <c r="T577" s="38"/>
      <c r="U577" s="38"/>
      <c r="V577" s="38"/>
      <c r="W577" s="38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35" t="s">
        <v>21</v>
      </c>
      <c r="B578" s="35" t="s">
        <v>39</v>
      </c>
      <c r="C578" s="35" t="s">
        <v>41</v>
      </c>
      <c r="D578" s="35" t="s">
        <v>45</v>
      </c>
      <c r="E578" s="35" t="s">
        <v>25</v>
      </c>
      <c r="F578" s="35" t="s">
        <v>25</v>
      </c>
      <c r="G578" s="35" t="s">
        <v>25</v>
      </c>
      <c r="H578" s="35" t="s">
        <v>25</v>
      </c>
      <c r="I578" s="45">
        <v>44378</v>
      </c>
      <c r="J578" s="46">
        <f ca="1">EFEITO!$J$578*EFEITO!$Y$578</f>
        <v>174193.49924545965</v>
      </c>
      <c r="K578" s="46">
        <f>EFEITO!$L$578*EFEITO!$Z$578</f>
        <v>0</v>
      </c>
      <c r="L578" s="46">
        <f>EFEITO!$N$578*EFEITO!$AA$578</f>
        <v>0</v>
      </c>
      <c r="M578" s="46">
        <f ca="1">$J$578-EFEITO!$K$578*EFEITO!$Y$578</f>
        <v>0</v>
      </c>
      <c r="N578" s="46">
        <f>$K$578-EFEITO!$M$578*EFEITO!$Z$578</f>
        <v>0</v>
      </c>
      <c r="O578" s="46">
        <f>$L$578-EFEITO!$O$578*EFEITO!$AA$578</f>
        <v>0</v>
      </c>
      <c r="P578" s="38"/>
      <c r="Q578" s="38"/>
      <c r="R578" s="38"/>
      <c r="S578" s="38"/>
      <c r="T578" s="38"/>
      <c r="U578" s="38"/>
      <c r="V578" s="38"/>
      <c r="W578" s="38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35" t="s">
        <v>28</v>
      </c>
      <c r="B579" s="35" t="s">
        <v>39</v>
      </c>
      <c r="C579" s="35" t="s">
        <v>41</v>
      </c>
      <c r="D579" s="35" t="s">
        <v>45</v>
      </c>
      <c r="E579" s="35" t="s">
        <v>25</v>
      </c>
      <c r="F579" s="35" t="s">
        <v>25</v>
      </c>
      <c r="G579" s="35" t="s">
        <v>25</v>
      </c>
      <c r="H579" s="35" t="s">
        <v>25</v>
      </c>
      <c r="I579" s="45">
        <v>44378</v>
      </c>
      <c r="J579" s="46">
        <f ca="1">EFEITO!$J$579*EFEITO!$Y$579</f>
        <v>4196.3580033503868</v>
      </c>
      <c r="K579" s="46">
        <f>EFEITO!$L$579*EFEITO!$Z$579</f>
        <v>0</v>
      </c>
      <c r="L579" s="46">
        <f>EFEITO!$N$579*EFEITO!$AA$579</f>
        <v>0</v>
      </c>
      <c r="M579" s="46">
        <f ca="1">$J$579-EFEITO!$K$579*EFEITO!$Y$579</f>
        <v>0</v>
      </c>
      <c r="N579" s="46">
        <f>$K$579-EFEITO!$M$579*EFEITO!$Z$579</f>
        <v>0</v>
      </c>
      <c r="O579" s="46">
        <f>$L$579-EFEITO!$O$579*EFEITO!$AA$579</f>
        <v>0</v>
      </c>
      <c r="P579" s="38"/>
      <c r="Q579" s="38"/>
      <c r="R579" s="38"/>
      <c r="S579" s="38"/>
      <c r="T579" s="38"/>
      <c r="U579" s="38"/>
      <c r="V579" s="38"/>
      <c r="W579" s="38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35" t="s">
        <v>21</v>
      </c>
      <c r="B580" s="35" t="s">
        <v>39</v>
      </c>
      <c r="C580" s="35" t="s">
        <v>41</v>
      </c>
      <c r="D580" s="35" t="s">
        <v>45</v>
      </c>
      <c r="E580" s="35" t="s">
        <v>25</v>
      </c>
      <c r="F580" s="35" t="s">
        <v>25</v>
      </c>
      <c r="G580" s="35" t="s">
        <v>25</v>
      </c>
      <c r="H580" s="35" t="s">
        <v>25</v>
      </c>
      <c r="I580" s="45">
        <v>44409</v>
      </c>
      <c r="J580" s="46">
        <f ca="1">EFEITO!$J$580*EFEITO!$Y$580</f>
        <v>173729.221338706</v>
      </c>
      <c r="K580" s="46">
        <f>EFEITO!$L$580*EFEITO!$Z$580</f>
        <v>0</v>
      </c>
      <c r="L580" s="46">
        <f>EFEITO!$N$580*EFEITO!$AA$580</f>
        <v>0</v>
      </c>
      <c r="M580" s="46">
        <f ca="1">$J$580-EFEITO!$K$580*EFEITO!$Y$580</f>
        <v>0</v>
      </c>
      <c r="N580" s="46">
        <f>$K$580-EFEITO!$M$580*EFEITO!$Z$580</f>
        <v>0</v>
      </c>
      <c r="O580" s="46">
        <f>$L$580-EFEITO!$O$580*EFEITO!$AA$580</f>
        <v>0</v>
      </c>
      <c r="P580" s="38"/>
      <c r="Q580" s="38"/>
      <c r="R580" s="38"/>
      <c r="S580" s="38"/>
      <c r="T580" s="38"/>
      <c r="U580" s="38"/>
      <c r="V580" s="38"/>
      <c r="W580" s="38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35" t="s">
        <v>28</v>
      </c>
      <c r="B581" s="35" t="s">
        <v>39</v>
      </c>
      <c r="C581" s="35" t="s">
        <v>41</v>
      </c>
      <c r="D581" s="35" t="s">
        <v>45</v>
      </c>
      <c r="E581" s="35" t="s">
        <v>25</v>
      </c>
      <c r="F581" s="35" t="s">
        <v>25</v>
      </c>
      <c r="G581" s="35" t="s">
        <v>25</v>
      </c>
      <c r="H581" s="35" t="s">
        <v>25</v>
      </c>
      <c r="I581" s="45">
        <v>44409</v>
      </c>
      <c r="J581" s="46">
        <f ca="1">EFEITO!$J$581*EFEITO!$Y$581</f>
        <v>4196.3580033503868</v>
      </c>
      <c r="K581" s="46">
        <f>EFEITO!$L$581*EFEITO!$Z$581</f>
        <v>0</v>
      </c>
      <c r="L581" s="46">
        <f>EFEITO!$N$581*EFEITO!$AA$581</f>
        <v>0</v>
      </c>
      <c r="M581" s="46">
        <f ca="1">$J$581-EFEITO!$K$581*EFEITO!$Y$581</f>
        <v>0</v>
      </c>
      <c r="N581" s="46">
        <f>$K$581-EFEITO!$M$581*EFEITO!$Z$581</f>
        <v>0</v>
      </c>
      <c r="O581" s="46">
        <f>$L$581-EFEITO!$O$581*EFEITO!$AA$581</f>
        <v>0</v>
      </c>
      <c r="P581" s="38"/>
      <c r="Q581" s="38"/>
      <c r="R581" s="38"/>
      <c r="S581" s="38"/>
      <c r="T581" s="38"/>
      <c r="U581" s="38"/>
      <c r="V581" s="38"/>
      <c r="W581" s="38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35" t="s">
        <v>21</v>
      </c>
      <c r="B582" s="35" t="s">
        <v>39</v>
      </c>
      <c r="C582" s="35" t="s">
        <v>41</v>
      </c>
      <c r="D582" s="35" t="s">
        <v>45</v>
      </c>
      <c r="E582" s="35" t="s">
        <v>25</v>
      </c>
      <c r="F582" s="35" t="s">
        <v>25</v>
      </c>
      <c r="G582" s="35" t="s">
        <v>25</v>
      </c>
      <c r="H582" s="35" t="s">
        <v>25</v>
      </c>
      <c r="I582" s="45">
        <v>44440</v>
      </c>
      <c r="J582" s="46">
        <f ca="1">EFEITO!$J$582*EFEITO!$Y$582</f>
        <v>171247.12022183067</v>
      </c>
      <c r="K582" s="46">
        <f>EFEITO!$L$582*EFEITO!$Z$582</f>
        <v>0</v>
      </c>
      <c r="L582" s="46">
        <f>EFEITO!$N$582*EFEITO!$AA$582</f>
        <v>0</v>
      </c>
      <c r="M582" s="46">
        <f ca="1">$J$582-EFEITO!$K$582*EFEITO!$Y$582</f>
        <v>0</v>
      </c>
      <c r="N582" s="46">
        <f>$K$582-EFEITO!$M$582*EFEITO!$Z$582</f>
        <v>0</v>
      </c>
      <c r="O582" s="46">
        <f>$L$582-EFEITO!$O$582*EFEITO!$AA$582</f>
        <v>0</v>
      </c>
      <c r="P582" s="38"/>
      <c r="Q582" s="38"/>
      <c r="R582" s="38"/>
      <c r="S582" s="38"/>
      <c r="T582" s="38"/>
      <c r="U582" s="38"/>
      <c r="V582" s="38"/>
      <c r="W582" s="38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35" t="s">
        <v>28</v>
      </c>
      <c r="B583" s="35" t="s">
        <v>39</v>
      </c>
      <c r="C583" s="35" t="s">
        <v>41</v>
      </c>
      <c r="D583" s="35" t="s">
        <v>45</v>
      </c>
      <c r="E583" s="35" t="s">
        <v>25</v>
      </c>
      <c r="F583" s="35" t="s">
        <v>25</v>
      </c>
      <c r="G583" s="35" t="s">
        <v>25</v>
      </c>
      <c r="H583" s="35" t="s">
        <v>25</v>
      </c>
      <c r="I583" s="45">
        <v>44440</v>
      </c>
      <c r="J583" s="46">
        <f ca="1">EFEITO!$J$583*EFEITO!$Y$583</f>
        <v>4196.3580033503868</v>
      </c>
      <c r="K583" s="46">
        <f>EFEITO!$L$583*EFEITO!$Z$583</f>
        <v>0</v>
      </c>
      <c r="L583" s="46">
        <f>EFEITO!$N$583*EFEITO!$AA$583</f>
        <v>0</v>
      </c>
      <c r="M583" s="46">
        <f ca="1">$J$583-EFEITO!$K$583*EFEITO!$Y$583</f>
        <v>0</v>
      </c>
      <c r="N583" s="46">
        <f>$K$583-EFEITO!$M$583*EFEITO!$Z$583</f>
        <v>0</v>
      </c>
      <c r="O583" s="46">
        <f>$L$583-EFEITO!$O$583*EFEITO!$AA$583</f>
        <v>0</v>
      </c>
      <c r="P583" s="38"/>
      <c r="Q583" s="38"/>
      <c r="R583" s="38"/>
      <c r="S583" s="38"/>
      <c r="T583" s="38"/>
      <c r="U583" s="38"/>
      <c r="V583" s="38"/>
      <c r="W583" s="38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35" t="s">
        <v>21</v>
      </c>
      <c r="B584" s="35" t="s">
        <v>39</v>
      </c>
      <c r="C584" s="35" t="s">
        <v>41</v>
      </c>
      <c r="D584" s="35" t="s">
        <v>45</v>
      </c>
      <c r="E584" s="35" t="s">
        <v>25</v>
      </c>
      <c r="F584" s="35" t="s">
        <v>25</v>
      </c>
      <c r="G584" s="35" t="s">
        <v>25</v>
      </c>
      <c r="H584" s="35" t="s">
        <v>25</v>
      </c>
      <c r="I584" s="45">
        <v>44470</v>
      </c>
      <c r="J584" s="46">
        <f ca="1">EFEITO!$J$584*EFEITO!$Y$584</f>
        <v>171425.68864750516</v>
      </c>
      <c r="K584" s="46">
        <f>EFEITO!$L$584*EFEITO!$Z$584</f>
        <v>0</v>
      </c>
      <c r="L584" s="46">
        <f>EFEITO!$N$584*EFEITO!$AA$584</f>
        <v>0</v>
      </c>
      <c r="M584" s="46">
        <f ca="1">$J$584-EFEITO!$K$584*EFEITO!$Y$584</f>
        <v>0</v>
      </c>
      <c r="N584" s="46">
        <f>$K$584-EFEITO!$M$584*EFEITO!$Z$584</f>
        <v>0</v>
      </c>
      <c r="O584" s="46">
        <f>$L$584-EFEITO!$O$584*EFEITO!$AA$584</f>
        <v>0</v>
      </c>
      <c r="P584" s="38"/>
      <c r="Q584" s="38"/>
      <c r="R584" s="38"/>
      <c r="S584" s="38"/>
      <c r="T584" s="38"/>
      <c r="U584" s="38"/>
      <c r="V584" s="38"/>
      <c r="W584" s="38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35" t="s">
        <v>28</v>
      </c>
      <c r="B585" s="35" t="s">
        <v>39</v>
      </c>
      <c r="C585" s="35" t="s">
        <v>41</v>
      </c>
      <c r="D585" s="35" t="s">
        <v>45</v>
      </c>
      <c r="E585" s="35" t="s">
        <v>25</v>
      </c>
      <c r="F585" s="35" t="s">
        <v>25</v>
      </c>
      <c r="G585" s="35" t="s">
        <v>25</v>
      </c>
      <c r="H585" s="35" t="s">
        <v>25</v>
      </c>
      <c r="I585" s="45">
        <v>44470</v>
      </c>
      <c r="J585" s="46">
        <f ca="1">EFEITO!$J$585*EFEITO!$Y$585</f>
        <v>4196.3580033503868</v>
      </c>
      <c r="K585" s="46">
        <f>EFEITO!$L$585*EFEITO!$Z$585</f>
        <v>0</v>
      </c>
      <c r="L585" s="46">
        <f>EFEITO!$N$585*EFEITO!$AA$585</f>
        <v>0</v>
      </c>
      <c r="M585" s="46">
        <f ca="1">$J$585-EFEITO!$K$585*EFEITO!$Y$585</f>
        <v>0</v>
      </c>
      <c r="N585" s="46">
        <f>$K$585-EFEITO!$M$585*EFEITO!$Z$585</f>
        <v>0</v>
      </c>
      <c r="O585" s="46">
        <f>$L$585-EFEITO!$O$585*EFEITO!$AA$585</f>
        <v>0</v>
      </c>
      <c r="P585" s="38"/>
      <c r="Q585" s="38"/>
      <c r="R585" s="38"/>
      <c r="S585" s="38"/>
      <c r="T585" s="38"/>
      <c r="U585" s="38"/>
      <c r="V585" s="38"/>
      <c r="W585" s="38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35" t="s">
        <v>21</v>
      </c>
      <c r="B586" s="35" t="s">
        <v>39</v>
      </c>
      <c r="C586" s="35" t="s">
        <v>41</v>
      </c>
      <c r="D586" s="35" t="s">
        <v>45</v>
      </c>
      <c r="E586" s="35" t="s">
        <v>25</v>
      </c>
      <c r="F586" s="35" t="s">
        <v>25</v>
      </c>
      <c r="G586" s="35" t="s">
        <v>25</v>
      </c>
      <c r="H586" s="35" t="s">
        <v>25</v>
      </c>
      <c r="I586" s="45">
        <v>44501</v>
      </c>
      <c r="J586" s="46">
        <f ca="1">EFEITO!$J$586*EFEITO!$Y$586</f>
        <v>174961.34347585993</v>
      </c>
      <c r="K586" s="46">
        <f>EFEITO!$L$586*EFEITO!$Z$586</f>
        <v>0</v>
      </c>
      <c r="L586" s="46">
        <f>EFEITO!$N$586*EFEITO!$AA$586</f>
        <v>0</v>
      </c>
      <c r="M586" s="46">
        <f ca="1">$J$586-EFEITO!$K$586*EFEITO!$Y$586</f>
        <v>0</v>
      </c>
      <c r="N586" s="46">
        <f>$K$586-EFEITO!$M$586*EFEITO!$Z$586</f>
        <v>0</v>
      </c>
      <c r="O586" s="46">
        <f>$L$586-EFEITO!$O$586*EFEITO!$AA$586</f>
        <v>0</v>
      </c>
      <c r="P586" s="38"/>
      <c r="Q586" s="38"/>
      <c r="R586" s="38"/>
      <c r="S586" s="38"/>
      <c r="T586" s="38"/>
      <c r="U586" s="38"/>
      <c r="V586" s="38"/>
      <c r="W586" s="38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35" t="s">
        <v>27</v>
      </c>
      <c r="B587" s="35" t="s">
        <v>39</v>
      </c>
      <c r="C587" s="35" t="s">
        <v>41</v>
      </c>
      <c r="D587" s="35" t="s">
        <v>45</v>
      </c>
      <c r="E587" s="35" t="s">
        <v>25</v>
      </c>
      <c r="F587" s="35" t="s">
        <v>25</v>
      </c>
      <c r="G587" s="35" t="s">
        <v>25</v>
      </c>
      <c r="H587" s="35" t="s">
        <v>25</v>
      </c>
      <c r="I587" s="45">
        <v>44501</v>
      </c>
      <c r="J587" s="46">
        <f ca="1">EFEITO!$J$587*EFEITO!$Y$587</f>
        <v>1464.2610905307731</v>
      </c>
      <c r="K587" s="46">
        <f>EFEITO!$L$587*EFEITO!$Z$587</f>
        <v>0</v>
      </c>
      <c r="L587" s="46">
        <f>EFEITO!$N$587*EFEITO!$AA$587</f>
        <v>0</v>
      </c>
      <c r="M587" s="46">
        <f ca="1">$J$587-EFEITO!$K$587*EFEITO!$Y$587</f>
        <v>0</v>
      </c>
      <c r="N587" s="46">
        <f>$K$587-EFEITO!$M$587*EFEITO!$Z$587</f>
        <v>0</v>
      </c>
      <c r="O587" s="46">
        <f>$L$587-EFEITO!$O$587*EFEITO!$AA$587</f>
        <v>0</v>
      </c>
      <c r="P587" s="38"/>
      <c r="Q587" s="38"/>
      <c r="R587" s="38"/>
      <c r="S587" s="38"/>
      <c r="T587" s="38"/>
      <c r="U587" s="38"/>
      <c r="V587" s="38"/>
      <c r="W587" s="38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35" t="s">
        <v>28</v>
      </c>
      <c r="B588" s="35" t="s">
        <v>39</v>
      </c>
      <c r="C588" s="35" t="s">
        <v>41</v>
      </c>
      <c r="D588" s="35" t="s">
        <v>45</v>
      </c>
      <c r="E588" s="35" t="s">
        <v>25</v>
      </c>
      <c r="F588" s="35" t="s">
        <v>25</v>
      </c>
      <c r="G588" s="35" t="s">
        <v>25</v>
      </c>
      <c r="H588" s="35" t="s">
        <v>25</v>
      </c>
      <c r="I588" s="45">
        <v>44501</v>
      </c>
      <c r="J588" s="46">
        <f ca="1">EFEITO!$J$588*EFEITO!$Y$588</f>
        <v>4196.3580033503868</v>
      </c>
      <c r="K588" s="46">
        <f>EFEITO!$L$588*EFEITO!$Z$588</f>
        <v>0</v>
      </c>
      <c r="L588" s="46">
        <f>EFEITO!$N$588*EFEITO!$AA$588</f>
        <v>0</v>
      </c>
      <c r="M588" s="46">
        <f ca="1">$J$588-EFEITO!$K$588*EFEITO!$Y$588</f>
        <v>0</v>
      </c>
      <c r="N588" s="46">
        <f>$K$588-EFEITO!$M$588*EFEITO!$Z$588</f>
        <v>0</v>
      </c>
      <c r="O588" s="46">
        <f>$L$588-EFEITO!$O$588*EFEITO!$AA$588</f>
        <v>0</v>
      </c>
      <c r="P588" s="38"/>
      <c r="Q588" s="38"/>
      <c r="R588" s="38"/>
      <c r="S588" s="38"/>
      <c r="T588" s="38"/>
      <c r="U588" s="38"/>
      <c r="V588" s="38"/>
      <c r="W588" s="38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35" t="s">
        <v>21</v>
      </c>
      <c r="B589" s="35" t="s">
        <v>39</v>
      </c>
      <c r="C589" s="35" t="s">
        <v>41</v>
      </c>
      <c r="D589" s="35" t="s">
        <v>45</v>
      </c>
      <c r="E589" s="35" t="s">
        <v>25</v>
      </c>
      <c r="F589" s="35" t="s">
        <v>25</v>
      </c>
      <c r="G589" s="35" t="s">
        <v>25</v>
      </c>
      <c r="H589" s="35" t="s">
        <v>25</v>
      </c>
      <c r="I589" s="45">
        <v>44531</v>
      </c>
      <c r="J589" s="46">
        <f ca="1">EFEITO!$J$589*EFEITO!$Y$589</f>
        <v>176514.88877922797</v>
      </c>
      <c r="K589" s="46">
        <f>EFEITO!$L$589*EFEITO!$Z$589</f>
        <v>0</v>
      </c>
      <c r="L589" s="46">
        <f>EFEITO!$N$589*EFEITO!$AA$589</f>
        <v>0</v>
      </c>
      <c r="M589" s="46">
        <f ca="1">$J$589-EFEITO!$K$589*EFEITO!$Y$589</f>
        <v>0</v>
      </c>
      <c r="N589" s="46">
        <f>$K$589-EFEITO!$M$589*EFEITO!$Z$589</f>
        <v>0</v>
      </c>
      <c r="O589" s="46">
        <f>$L$589-EFEITO!$O$589*EFEITO!$AA$589</f>
        <v>0</v>
      </c>
      <c r="P589" s="38"/>
      <c r="Q589" s="38"/>
      <c r="R589" s="38"/>
      <c r="S589" s="38"/>
      <c r="T589" s="38"/>
      <c r="U589" s="38"/>
      <c r="V589" s="38"/>
      <c r="W589" s="38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35" t="s">
        <v>28</v>
      </c>
      <c r="B590" s="35" t="s">
        <v>39</v>
      </c>
      <c r="C590" s="35" t="s">
        <v>41</v>
      </c>
      <c r="D590" s="35" t="s">
        <v>45</v>
      </c>
      <c r="E590" s="35" t="s">
        <v>25</v>
      </c>
      <c r="F590" s="35" t="s">
        <v>25</v>
      </c>
      <c r="G590" s="35" t="s">
        <v>25</v>
      </c>
      <c r="H590" s="35" t="s">
        <v>25</v>
      </c>
      <c r="I590" s="45">
        <v>44531</v>
      </c>
      <c r="J590" s="46">
        <f ca="1">EFEITO!$J$590*EFEITO!$Y$590</f>
        <v>4196.3580033503868</v>
      </c>
      <c r="K590" s="46">
        <f>EFEITO!$L$590*EFEITO!$Z$590</f>
        <v>0</v>
      </c>
      <c r="L590" s="46">
        <f>EFEITO!$N$590*EFEITO!$AA$590</f>
        <v>0</v>
      </c>
      <c r="M590" s="46">
        <f ca="1">$J$590-EFEITO!$K$590*EFEITO!$Y$590</f>
        <v>0</v>
      </c>
      <c r="N590" s="46">
        <f>$K$590-EFEITO!$M$590*EFEITO!$Z$590</f>
        <v>0</v>
      </c>
      <c r="O590" s="46">
        <f>$L$590-EFEITO!$O$590*EFEITO!$AA$590</f>
        <v>0</v>
      </c>
      <c r="P590" s="38"/>
      <c r="Q590" s="38"/>
      <c r="R590" s="38"/>
      <c r="S590" s="38"/>
      <c r="T590" s="38"/>
      <c r="U590" s="38"/>
      <c r="V590" s="38"/>
      <c r="W590" s="38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35" t="s">
        <v>55</v>
      </c>
      <c r="B591" s="35" t="s">
        <v>39</v>
      </c>
      <c r="C591" s="35" t="s">
        <v>41</v>
      </c>
      <c r="D591" s="35" t="s">
        <v>45</v>
      </c>
      <c r="E591" s="35" t="s">
        <v>25</v>
      </c>
      <c r="F591" s="35" t="s">
        <v>25</v>
      </c>
      <c r="G591" s="35" t="s">
        <v>25</v>
      </c>
      <c r="H591" s="35" t="s">
        <v>25</v>
      </c>
      <c r="I591" s="45">
        <v>44562</v>
      </c>
      <c r="J591" s="46">
        <f ca="1">EFEITO!$J$591*EFEITO!$Y$591</f>
        <v>176514.88877922797</v>
      </c>
      <c r="K591" s="46">
        <f>EFEITO!$L$591*EFEITO!$Z$591</f>
        <v>0</v>
      </c>
      <c r="L591" s="46">
        <f>EFEITO!$N$591*EFEITO!$AA$591</f>
        <v>0</v>
      </c>
      <c r="M591" s="46">
        <f ca="1">$J$591-EFEITO!$K$591*EFEITO!$Y$591</f>
        <v>0</v>
      </c>
      <c r="N591" s="46">
        <f>$K$591-EFEITO!$M$591*EFEITO!$Z$591</f>
        <v>0</v>
      </c>
      <c r="O591" s="46">
        <f>$L$591-EFEITO!$O$591*EFEITO!$AA$591</f>
        <v>0</v>
      </c>
      <c r="P591" s="38"/>
      <c r="Q591" s="38"/>
      <c r="R591" s="38"/>
      <c r="S591" s="38"/>
      <c r="T591" s="38"/>
      <c r="U591" s="38"/>
      <c r="V591" s="38"/>
      <c r="W591" s="38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35" t="s">
        <v>55</v>
      </c>
      <c r="B592" s="35" t="s">
        <v>39</v>
      </c>
      <c r="C592" s="35" t="s">
        <v>41</v>
      </c>
      <c r="D592" s="35" t="s">
        <v>45</v>
      </c>
      <c r="E592" s="35" t="s">
        <v>25</v>
      </c>
      <c r="F592" s="35" t="s">
        <v>25</v>
      </c>
      <c r="G592" s="35" t="s">
        <v>25</v>
      </c>
      <c r="H592" s="35" t="s">
        <v>25</v>
      </c>
      <c r="I592" s="45">
        <v>44562</v>
      </c>
      <c r="J592" s="46">
        <f ca="1">EFEITO!$J$592*EFEITO!$Y$592</f>
        <v>4196.3580033503868</v>
      </c>
      <c r="K592" s="46">
        <f>EFEITO!$L$592*EFEITO!$Z$592</f>
        <v>0</v>
      </c>
      <c r="L592" s="46">
        <f>EFEITO!$N$592*EFEITO!$AA$592</f>
        <v>0</v>
      </c>
      <c r="M592" s="46">
        <f ca="1">$J$592-EFEITO!$K$592*EFEITO!$Y$592</f>
        <v>0</v>
      </c>
      <c r="N592" s="46">
        <f>$K$592-EFEITO!$M$592*EFEITO!$Z$592</f>
        <v>0</v>
      </c>
      <c r="O592" s="46">
        <f>$L$592-EFEITO!$O$592*EFEITO!$AA$592</f>
        <v>0</v>
      </c>
      <c r="P592" s="38"/>
      <c r="Q592" s="38"/>
      <c r="R592" s="38"/>
      <c r="S592" s="38"/>
      <c r="T592" s="38"/>
      <c r="U592" s="38"/>
      <c r="V592" s="38"/>
      <c r="W592" s="38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35" t="s">
        <v>21</v>
      </c>
      <c r="B593" s="35" t="s">
        <v>39</v>
      </c>
      <c r="C593" s="35" t="s">
        <v>41</v>
      </c>
      <c r="D593" s="35" t="s">
        <v>45</v>
      </c>
      <c r="E593" s="35" t="s">
        <v>25</v>
      </c>
      <c r="F593" s="35" t="s">
        <v>25</v>
      </c>
      <c r="G593" s="35" t="s">
        <v>25</v>
      </c>
      <c r="H593" s="35" t="s">
        <v>34</v>
      </c>
      <c r="I593" s="45">
        <v>44228</v>
      </c>
      <c r="J593" s="46">
        <f>EFEITO!$J$593*EFEITO!$Y$593</f>
        <v>0</v>
      </c>
      <c r="K593" s="46">
        <f ca="1">EFEITO!$L$593*EFEITO!$Z$593</f>
        <v>125322.34947515026</v>
      </c>
      <c r="L593" s="46">
        <f>EFEITO!$N$593*EFEITO!$AA$593</f>
        <v>52006.628745406262</v>
      </c>
      <c r="M593" s="46">
        <f>$J$593-EFEITO!$K$593*EFEITO!$Y$593</f>
        <v>0</v>
      </c>
      <c r="N593" s="46">
        <f ca="1">$K$593-EFEITO!$M$593*EFEITO!$Z$593</f>
        <v>0</v>
      </c>
      <c r="O593" s="46">
        <f>$L$593-EFEITO!$O$593*EFEITO!$AA$593</f>
        <v>0</v>
      </c>
      <c r="P593" s="38"/>
      <c r="Q593" s="38"/>
      <c r="R593" s="38"/>
      <c r="S593" s="38"/>
      <c r="T593" s="38"/>
      <c r="U593" s="38"/>
      <c r="V593" s="38"/>
      <c r="W593" s="38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35" t="s">
        <v>28</v>
      </c>
      <c r="B594" s="35" t="s">
        <v>39</v>
      </c>
      <c r="C594" s="35" t="s">
        <v>41</v>
      </c>
      <c r="D594" s="35" t="s">
        <v>45</v>
      </c>
      <c r="E594" s="35" t="s">
        <v>25</v>
      </c>
      <c r="F594" s="35" t="s">
        <v>25</v>
      </c>
      <c r="G594" s="35" t="s">
        <v>25</v>
      </c>
      <c r="H594" s="35" t="s">
        <v>34</v>
      </c>
      <c r="I594" s="45">
        <v>44228</v>
      </c>
      <c r="J594" s="46">
        <f>EFEITO!$J$594*EFEITO!$Y$594</f>
        <v>0</v>
      </c>
      <c r="K594" s="46">
        <f ca="1">EFEITO!$L$594*EFEITO!$Z$594</f>
        <v>2080.6710902418235</v>
      </c>
      <c r="L594" s="46">
        <f>EFEITO!$N$594*EFEITO!$AA$594</f>
        <v>863.44286860790567</v>
      </c>
      <c r="M594" s="46">
        <f>$J$594-EFEITO!$K$594*EFEITO!$Y$594</f>
        <v>0</v>
      </c>
      <c r="N594" s="46">
        <f ca="1">$K$594-EFEITO!$M$594*EFEITO!$Z$594</f>
        <v>0</v>
      </c>
      <c r="O594" s="46">
        <f>$L$594-EFEITO!$O$594*EFEITO!$AA$594</f>
        <v>0</v>
      </c>
      <c r="P594" s="38"/>
      <c r="Q594" s="38"/>
      <c r="R594" s="38"/>
      <c r="S594" s="38"/>
      <c r="T594" s="38"/>
      <c r="U594" s="38"/>
      <c r="V594" s="38"/>
      <c r="W594" s="38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35" t="s">
        <v>21</v>
      </c>
      <c r="B595" s="35" t="s">
        <v>39</v>
      </c>
      <c r="C595" s="35" t="s">
        <v>41</v>
      </c>
      <c r="D595" s="35" t="s">
        <v>45</v>
      </c>
      <c r="E595" s="35" t="s">
        <v>25</v>
      </c>
      <c r="F595" s="35" t="s">
        <v>25</v>
      </c>
      <c r="G595" s="35" t="s">
        <v>25</v>
      </c>
      <c r="H595" s="35" t="s">
        <v>34</v>
      </c>
      <c r="I595" s="45">
        <v>44256</v>
      </c>
      <c r="J595" s="46">
        <f>EFEITO!$J$595*EFEITO!$Y$595</f>
        <v>0</v>
      </c>
      <c r="K595" s="46">
        <f ca="1">EFEITO!$L$595*EFEITO!$Z$595</f>
        <v>139296.28513657794</v>
      </c>
      <c r="L595" s="46">
        <f>EFEITO!$N$595*EFEITO!$AA$595</f>
        <v>57805.572725467566</v>
      </c>
      <c r="M595" s="46">
        <f>$J$595-EFEITO!$K$595*EFEITO!$Y$595</f>
        <v>0</v>
      </c>
      <c r="N595" s="46">
        <f ca="1">$K$595-EFEITO!$M$595*EFEITO!$Z$595</f>
        <v>0</v>
      </c>
      <c r="O595" s="46">
        <f>$L$595-EFEITO!$O$595*EFEITO!$AA$595</f>
        <v>0</v>
      </c>
      <c r="P595" s="38"/>
      <c r="Q595" s="38"/>
      <c r="R595" s="38"/>
      <c r="S595" s="38"/>
      <c r="T595" s="38"/>
      <c r="U595" s="38"/>
      <c r="V595" s="38"/>
      <c r="W595" s="38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35" t="s">
        <v>28</v>
      </c>
      <c r="B596" s="35" t="s">
        <v>39</v>
      </c>
      <c r="C596" s="35" t="s">
        <v>41</v>
      </c>
      <c r="D596" s="35" t="s">
        <v>45</v>
      </c>
      <c r="E596" s="35" t="s">
        <v>25</v>
      </c>
      <c r="F596" s="35" t="s">
        <v>25</v>
      </c>
      <c r="G596" s="35" t="s">
        <v>25</v>
      </c>
      <c r="H596" s="35" t="s">
        <v>34</v>
      </c>
      <c r="I596" s="45">
        <v>44256</v>
      </c>
      <c r="J596" s="46">
        <f>EFEITO!$J$596*EFEITO!$Y$596</f>
        <v>0</v>
      </c>
      <c r="K596" s="46">
        <f ca="1">EFEITO!$L$596*EFEITO!$Z$596</f>
        <v>2340.7549765220515</v>
      </c>
      <c r="L596" s="46">
        <f>EFEITO!$N$596*EFEITO!$AA$596</f>
        <v>971.37322718389385</v>
      </c>
      <c r="M596" s="46">
        <f>$J$596-EFEITO!$K$596*EFEITO!$Y$596</f>
        <v>0</v>
      </c>
      <c r="N596" s="46">
        <f ca="1">$K$596-EFEITO!$M$596*EFEITO!$Z$596</f>
        <v>0</v>
      </c>
      <c r="O596" s="46">
        <f>$L$596-EFEITO!$O$596*EFEITO!$AA$596</f>
        <v>0</v>
      </c>
      <c r="P596" s="38"/>
      <c r="Q596" s="38"/>
      <c r="R596" s="38"/>
      <c r="S596" s="38"/>
      <c r="T596" s="38"/>
      <c r="U596" s="38"/>
      <c r="V596" s="38"/>
      <c r="W596" s="38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35" t="s">
        <v>21</v>
      </c>
      <c r="B597" s="35" t="s">
        <v>39</v>
      </c>
      <c r="C597" s="35" t="s">
        <v>41</v>
      </c>
      <c r="D597" s="35" t="s">
        <v>45</v>
      </c>
      <c r="E597" s="35" t="s">
        <v>25</v>
      </c>
      <c r="F597" s="35" t="s">
        <v>25</v>
      </c>
      <c r="G597" s="35" t="s">
        <v>25</v>
      </c>
      <c r="H597" s="35" t="s">
        <v>34</v>
      </c>
      <c r="I597" s="45">
        <v>44287</v>
      </c>
      <c r="J597" s="46">
        <f>EFEITO!$J$597*EFEITO!$Y$597</f>
        <v>0</v>
      </c>
      <c r="K597" s="46">
        <f ca="1">EFEITO!$L$597*EFEITO!$Z$597</f>
        <v>127324.06652848559</v>
      </c>
      <c r="L597" s="46">
        <f>EFEITO!$N$597*EFEITO!$AA$597</f>
        <v>52837.307040875028</v>
      </c>
      <c r="M597" s="46">
        <f>$J$597-EFEITO!$K$597*EFEITO!$Y$597</f>
        <v>0</v>
      </c>
      <c r="N597" s="46">
        <f ca="1">$K$597-EFEITO!$M$597*EFEITO!$Z$597</f>
        <v>0</v>
      </c>
      <c r="O597" s="46">
        <f>$L$597-EFEITO!$O$597*EFEITO!$AA$597</f>
        <v>0</v>
      </c>
      <c r="P597" s="38"/>
      <c r="Q597" s="38"/>
      <c r="R597" s="38"/>
      <c r="S597" s="38"/>
      <c r="T597" s="38"/>
      <c r="U597" s="38"/>
      <c r="V597" s="38"/>
      <c r="W597" s="38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35" t="s">
        <v>28</v>
      </c>
      <c r="B598" s="35" t="s">
        <v>39</v>
      </c>
      <c r="C598" s="35" t="s">
        <v>41</v>
      </c>
      <c r="D598" s="35" t="s">
        <v>45</v>
      </c>
      <c r="E598" s="35" t="s">
        <v>25</v>
      </c>
      <c r="F598" s="35" t="s">
        <v>25</v>
      </c>
      <c r="G598" s="35" t="s">
        <v>25</v>
      </c>
      <c r="H598" s="35" t="s">
        <v>34</v>
      </c>
      <c r="I598" s="45">
        <v>44287</v>
      </c>
      <c r="J598" s="46">
        <f>EFEITO!$J$598*EFEITO!$Y$598</f>
        <v>0</v>
      </c>
      <c r="K598" s="46">
        <f ca="1">EFEITO!$L$598*EFEITO!$Z$598</f>
        <v>2340.7549765220515</v>
      </c>
      <c r="L598" s="46">
        <f>EFEITO!$N$598*EFEITO!$AA$598</f>
        <v>971.37322718389385</v>
      </c>
      <c r="M598" s="46">
        <f>$J$598-EFEITO!$K$598*EFEITO!$Y$598</f>
        <v>0</v>
      </c>
      <c r="N598" s="46">
        <f ca="1">$K$598-EFEITO!$M$598*EFEITO!$Z$598</f>
        <v>0</v>
      </c>
      <c r="O598" s="46">
        <f>$L$598-EFEITO!$O$598*EFEITO!$AA$598</f>
        <v>0</v>
      </c>
      <c r="P598" s="38"/>
      <c r="Q598" s="38"/>
      <c r="R598" s="38"/>
      <c r="S598" s="38"/>
      <c r="T598" s="38"/>
      <c r="U598" s="38"/>
      <c r="V598" s="38"/>
      <c r="W598" s="38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35" t="s">
        <v>21</v>
      </c>
      <c r="B599" s="35" t="s">
        <v>39</v>
      </c>
      <c r="C599" s="35" t="s">
        <v>41</v>
      </c>
      <c r="D599" s="35" t="s">
        <v>45</v>
      </c>
      <c r="E599" s="35" t="s">
        <v>25</v>
      </c>
      <c r="F599" s="35" t="s">
        <v>25</v>
      </c>
      <c r="G599" s="35" t="s">
        <v>25</v>
      </c>
      <c r="H599" s="35" t="s">
        <v>34</v>
      </c>
      <c r="I599" s="45">
        <v>44317</v>
      </c>
      <c r="J599" s="46">
        <f>EFEITO!$J$599*EFEITO!$Y$599</f>
        <v>0</v>
      </c>
      <c r="K599" s="46">
        <f ca="1">EFEITO!$L$599*EFEITO!$Z$599</f>
        <v>122560.81592546769</v>
      </c>
      <c r="L599" s="46">
        <f>EFEITO!$N$599*EFEITO!$AA$599</f>
        <v>50860.639616669068</v>
      </c>
      <c r="M599" s="46">
        <f>$J$599-EFEITO!$K$599*EFEITO!$Y$599</f>
        <v>0</v>
      </c>
      <c r="N599" s="46">
        <f ca="1">$K$599-EFEITO!$M$599*EFEITO!$Z$599</f>
        <v>0</v>
      </c>
      <c r="O599" s="46">
        <f>$L$599-EFEITO!$O$599*EFEITO!$AA$599</f>
        <v>0</v>
      </c>
      <c r="P599" s="38"/>
      <c r="Q599" s="38"/>
      <c r="R599" s="38"/>
      <c r="S599" s="38"/>
      <c r="T599" s="38"/>
      <c r="U599" s="38"/>
      <c r="V599" s="38"/>
      <c r="W599" s="38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35" t="s">
        <v>28</v>
      </c>
      <c r="B600" s="35" t="s">
        <v>39</v>
      </c>
      <c r="C600" s="35" t="s">
        <v>41</v>
      </c>
      <c r="D600" s="35" t="s">
        <v>45</v>
      </c>
      <c r="E600" s="35" t="s">
        <v>25</v>
      </c>
      <c r="F600" s="35" t="s">
        <v>25</v>
      </c>
      <c r="G600" s="35" t="s">
        <v>25</v>
      </c>
      <c r="H600" s="35" t="s">
        <v>34</v>
      </c>
      <c r="I600" s="45">
        <v>44317</v>
      </c>
      <c r="J600" s="46">
        <f>EFEITO!$J$600*EFEITO!$Y$600</f>
        <v>0</v>
      </c>
      <c r="K600" s="46">
        <f ca="1">EFEITO!$L$600*EFEITO!$Z$600</f>
        <v>2080.6710902418235</v>
      </c>
      <c r="L600" s="46">
        <f>EFEITO!$N$600*EFEITO!$AA$600</f>
        <v>863.44286860790567</v>
      </c>
      <c r="M600" s="46">
        <f>$J$600-EFEITO!$K$600*EFEITO!$Y$600</f>
        <v>0</v>
      </c>
      <c r="N600" s="46">
        <f ca="1">$K$600-EFEITO!$M$600*EFEITO!$Z$600</f>
        <v>0</v>
      </c>
      <c r="O600" s="46">
        <f>$L$600-EFEITO!$O$600*EFEITO!$AA$600</f>
        <v>0</v>
      </c>
      <c r="P600" s="38"/>
      <c r="Q600" s="38"/>
      <c r="R600" s="38"/>
      <c r="S600" s="38"/>
      <c r="T600" s="38"/>
      <c r="U600" s="38"/>
      <c r="V600" s="38"/>
      <c r="W600" s="38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35" t="s">
        <v>21</v>
      </c>
      <c r="B601" s="35" t="s">
        <v>39</v>
      </c>
      <c r="C601" s="35" t="s">
        <v>41</v>
      </c>
      <c r="D601" s="35" t="s">
        <v>45</v>
      </c>
      <c r="E601" s="35" t="s">
        <v>25</v>
      </c>
      <c r="F601" s="35" t="s">
        <v>25</v>
      </c>
      <c r="G601" s="35" t="s">
        <v>25</v>
      </c>
      <c r="H601" s="35" t="s">
        <v>34</v>
      </c>
      <c r="I601" s="45">
        <v>44348</v>
      </c>
      <c r="J601" s="46">
        <f>EFEITO!$J$601*EFEITO!$Y$601</f>
        <v>0</v>
      </c>
      <c r="K601" s="46">
        <f ca="1">EFEITO!$L$601*EFEITO!$Z$601</f>
        <v>121866.02040069053</v>
      </c>
      <c r="L601" s="46">
        <f>EFEITO!$N$601*EFEITO!$AA$601</f>
        <v>50572.311373044649</v>
      </c>
      <c r="M601" s="46">
        <f>$J$601-EFEITO!$K$601*EFEITO!$Y$601</f>
        <v>0</v>
      </c>
      <c r="N601" s="46">
        <f ca="1">$K$601-EFEITO!$M$601*EFEITO!$Z$601</f>
        <v>0</v>
      </c>
      <c r="O601" s="46">
        <f>$L$601-EFEITO!$O$601*EFEITO!$AA$601</f>
        <v>0</v>
      </c>
      <c r="P601" s="38"/>
      <c r="Q601" s="38"/>
      <c r="R601" s="38"/>
      <c r="S601" s="38"/>
      <c r="T601" s="38"/>
      <c r="U601" s="38"/>
      <c r="V601" s="38"/>
      <c r="W601" s="38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35" t="s">
        <v>28</v>
      </c>
      <c r="B602" s="35" t="s">
        <v>39</v>
      </c>
      <c r="C602" s="35" t="s">
        <v>41</v>
      </c>
      <c r="D602" s="35" t="s">
        <v>45</v>
      </c>
      <c r="E602" s="35" t="s">
        <v>25</v>
      </c>
      <c r="F602" s="35" t="s">
        <v>25</v>
      </c>
      <c r="G602" s="35" t="s">
        <v>25</v>
      </c>
      <c r="H602" s="35" t="s">
        <v>34</v>
      </c>
      <c r="I602" s="45">
        <v>44348</v>
      </c>
      <c r="J602" s="46">
        <f>EFEITO!$J$602*EFEITO!$Y$602</f>
        <v>0</v>
      </c>
      <c r="K602" s="46">
        <f ca="1">EFEITO!$L$602*EFEITO!$Z$602</f>
        <v>1820.5872039615954</v>
      </c>
      <c r="L602" s="46">
        <f>EFEITO!$N$602*EFEITO!$AA$602</f>
        <v>755.51251003191737</v>
      </c>
      <c r="M602" s="46">
        <f>$J$602-EFEITO!$K$602*EFEITO!$Y$602</f>
        <v>0</v>
      </c>
      <c r="N602" s="46">
        <f ca="1">$K$602-EFEITO!$M$602*EFEITO!$Z$602</f>
        <v>0</v>
      </c>
      <c r="O602" s="46">
        <f>$L$602-EFEITO!$O$602*EFEITO!$AA$602</f>
        <v>0</v>
      </c>
      <c r="P602" s="38"/>
      <c r="Q602" s="38"/>
      <c r="R602" s="38"/>
      <c r="S602" s="38"/>
      <c r="T602" s="38"/>
      <c r="U602" s="38"/>
      <c r="V602" s="38"/>
      <c r="W602" s="38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35" t="s">
        <v>21</v>
      </c>
      <c r="B603" s="35" t="s">
        <v>39</v>
      </c>
      <c r="C603" s="35" t="s">
        <v>41</v>
      </c>
      <c r="D603" s="35" t="s">
        <v>45</v>
      </c>
      <c r="E603" s="35" t="s">
        <v>25</v>
      </c>
      <c r="F603" s="35" t="s">
        <v>25</v>
      </c>
      <c r="G603" s="35" t="s">
        <v>25</v>
      </c>
      <c r="H603" s="35" t="s">
        <v>34</v>
      </c>
      <c r="I603" s="45">
        <v>44378</v>
      </c>
      <c r="J603" s="46">
        <f>EFEITO!$J$603*EFEITO!$Y$603</f>
        <v>0</v>
      </c>
      <c r="K603" s="46">
        <f ca="1">EFEITO!$L$603*EFEITO!$Z$603</f>
        <v>122097.30928527543</v>
      </c>
      <c r="L603" s="46">
        <f>EFEITO!$N$603*EFEITO!$AA$603</f>
        <v>50668.292299064007</v>
      </c>
      <c r="M603" s="46">
        <f>$J$603-EFEITO!$K$603*EFEITO!$Y$603</f>
        <v>0</v>
      </c>
      <c r="N603" s="46">
        <f ca="1">$K$603-EFEITO!$M$603*EFEITO!$Z$603</f>
        <v>0</v>
      </c>
      <c r="O603" s="46">
        <f>$L$603-EFEITO!$O$603*EFEITO!$AA$603</f>
        <v>0</v>
      </c>
      <c r="P603" s="38"/>
      <c r="Q603" s="38"/>
      <c r="R603" s="38"/>
      <c r="S603" s="38"/>
      <c r="T603" s="38"/>
      <c r="U603" s="38"/>
      <c r="V603" s="38"/>
      <c r="W603" s="38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35" t="s">
        <v>28</v>
      </c>
      <c r="B604" s="35" t="s">
        <v>39</v>
      </c>
      <c r="C604" s="35" t="s">
        <v>41</v>
      </c>
      <c r="D604" s="35" t="s">
        <v>45</v>
      </c>
      <c r="E604" s="35" t="s">
        <v>25</v>
      </c>
      <c r="F604" s="35" t="s">
        <v>25</v>
      </c>
      <c r="G604" s="35" t="s">
        <v>25</v>
      </c>
      <c r="H604" s="35" t="s">
        <v>34</v>
      </c>
      <c r="I604" s="45">
        <v>44378</v>
      </c>
      <c r="J604" s="46">
        <f>EFEITO!$J$604*EFEITO!$Y$604</f>
        <v>0</v>
      </c>
      <c r="K604" s="46">
        <f ca="1">EFEITO!$L$604*EFEITO!$Z$604</f>
        <v>1820.5872039615954</v>
      </c>
      <c r="L604" s="46">
        <f>EFEITO!$N$604*EFEITO!$AA$604</f>
        <v>755.51251003191737</v>
      </c>
      <c r="M604" s="46">
        <f>$J$604-EFEITO!$K$604*EFEITO!$Y$604</f>
        <v>0</v>
      </c>
      <c r="N604" s="46">
        <f ca="1">$K$604-EFEITO!$M$604*EFEITO!$Z$604</f>
        <v>0</v>
      </c>
      <c r="O604" s="46">
        <f>$L$604-EFEITO!$O$604*EFEITO!$AA$604</f>
        <v>0</v>
      </c>
      <c r="P604" s="38"/>
      <c r="Q604" s="38"/>
      <c r="R604" s="38"/>
      <c r="S604" s="38"/>
      <c r="T604" s="38"/>
      <c r="U604" s="38"/>
      <c r="V604" s="38"/>
      <c r="W604" s="38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35" t="s">
        <v>21</v>
      </c>
      <c r="B605" s="35" t="s">
        <v>39</v>
      </c>
      <c r="C605" s="35" t="s">
        <v>41</v>
      </c>
      <c r="D605" s="35" t="s">
        <v>45</v>
      </c>
      <c r="E605" s="35" t="s">
        <v>25</v>
      </c>
      <c r="F605" s="35" t="s">
        <v>25</v>
      </c>
      <c r="G605" s="35" t="s">
        <v>25</v>
      </c>
      <c r="H605" s="35" t="s">
        <v>34</v>
      </c>
      <c r="I605" s="45">
        <v>44409</v>
      </c>
      <c r="J605" s="46">
        <f>EFEITO!$J$605*EFEITO!$Y$605</f>
        <v>0</v>
      </c>
      <c r="K605" s="46">
        <f ca="1">EFEITO!$L$605*EFEITO!$Z$605</f>
        <v>119652.52075424128</v>
      </c>
      <c r="L605" s="46">
        <f>EFEITO!$N$605*EFEITO!$AA$605</f>
        <v>49653.746928449713</v>
      </c>
      <c r="M605" s="46">
        <f>$J$605-EFEITO!$K$605*EFEITO!$Y$605</f>
        <v>0</v>
      </c>
      <c r="N605" s="46">
        <f ca="1">$K$605-EFEITO!$M$605*EFEITO!$Z$605</f>
        <v>0</v>
      </c>
      <c r="O605" s="46">
        <f>$L$605-EFEITO!$O$605*EFEITO!$AA$605</f>
        <v>0</v>
      </c>
      <c r="P605" s="38"/>
      <c r="Q605" s="38"/>
      <c r="R605" s="38"/>
      <c r="S605" s="38"/>
      <c r="T605" s="38"/>
      <c r="U605" s="38"/>
      <c r="V605" s="38"/>
      <c r="W605" s="38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35" t="s">
        <v>28</v>
      </c>
      <c r="B606" s="35" t="s">
        <v>39</v>
      </c>
      <c r="C606" s="35" t="s">
        <v>41</v>
      </c>
      <c r="D606" s="35" t="s">
        <v>45</v>
      </c>
      <c r="E606" s="35" t="s">
        <v>25</v>
      </c>
      <c r="F606" s="35" t="s">
        <v>25</v>
      </c>
      <c r="G606" s="35" t="s">
        <v>25</v>
      </c>
      <c r="H606" s="35" t="s">
        <v>34</v>
      </c>
      <c r="I606" s="45">
        <v>44409</v>
      </c>
      <c r="J606" s="46">
        <f>EFEITO!$J$606*EFEITO!$Y$606</f>
        <v>0</v>
      </c>
      <c r="K606" s="46">
        <f ca="1">EFEITO!$L$606*EFEITO!$Z$606</f>
        <v>2080.6710902418235</v>
      </c>
      <c r="L606" s="46">
        <f>EFEITO!$N$606*EFEITO!$AA$606</f>
        <v>863.44286860790567</v>
      </c>
      <c r="M606" s="46">
        <f>$J$606-EFEITO!$K$606*EFEITO!$Y$606</f>
        <v>0</v>
      </c>
      <c r="N606" s="46">
        <f ca="1">$K$606-EFEITO!$M$606*EFEITO!$Z$606</f>
        <v>0</v>
      </c>
      <c r="O606" s="46">
        <f>$L$606-EFEITO!$O$606*EFEITO!$AA$606</f>
        <v>0</v>
      </c>
      <c r="P606" s="38"/>
      <c r="Q606" s="38"/>
      <c r="R606" s="38"/>
      <c r="S606" s="38"/>
      <c r="T606" s="38"/>
      <c r="U606" s="38"/>
      <c r="V606" s="38"/>
      <c r="W606" s="38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35" t="s">
        <v>21</v>
      </c>
      <c r="B607" s="35" t="s">
        <v>39</v>
      </c>
      <c r="C607" s="35" t="s">
        <v>41</v>
      </c>
      <c r="D607" s="35" t="s">
        <v>45</v>
      </c>
      <c r="E607" s="35" t="s">
        <v>25</v>
      </c>
      <c r="F607" s="35" t="s">
        <v>25</v>
      </c>
      <c r="G607" s="35" t="s">
        <v>25</v>
      </c>
      <c r="H607" s="35" t="s">
        <v>34</v>
      </c>
      <c r="I607" s="45">
        <v>44440</v>
      </c>
      <c r="J607" s="46">
        <f>EFEITO!$J$607*EFEITO!$Y$607</f>
        <v>0</v>
      </c>
      <c r="K607" s="46">
        <f ca="1">EFEITO!$L$607*EFEITO!$Z$607</f>
        <v>123947.62036195476</v>
      </c>
      <c r="L607" s="46">
        <f>EFEITO!$N$607*EFEITO!$AA$607</f>
        <v>51436.139707218892</v>
      </c>
      <c r="M607" s="46">
        <f>$J$607-EFEITO!$K$607*EFEITO!$Y$607</f>
        <v>0</v>
      </c>
      <c r="N607" s="46">
        <f ca="1">$K$607-EFEITO!$M$607*EFEITO!$Z$607</f>
        <v>0</v>
      </c>
      <c r="O607" s="46">
        <f>$L$607-EFEITO!$O$607*EFEITO!$AA$607</f>
        <v>0</v>
      </c>
      <c r="P607" s="38"/>
      <c r="Q607" s="38"/>
      <c r="R607" s="38"/>
      <c r="S607" s="38"/>
      <c r="T607" s="38"/>
      <c r="U607" s="38"/>
      <c r="V607" s="38"/>
      <c r="W607" s="38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35" t="s">
        <v>28</v>
      </c>
      <c r="B608" s="35" t="s">
        <v>39</v>
      </c>
      <c r="C608" s="35" t="s">
        <v>41</v>
      </c>
      <c r="D608" s="35" t="s">
        <v>45</v>
      </c>
      <c r="E608" s="35" t="s">
        <v>25</v>
      </c>
      <c r="F608" s="35" t="s">
        <v>25</v>
      </c>
      <c r="G608" s="35" t="s">
        <v>25</v>
      </c>
      <c r="H608" s="35" t="s">
        <v>34</v>
      </c>
      <c r="I608" s="45">
        <v>44440</v>
      </c>
      <c r="J608" s="46">
        <f>EFEITO!$J$608*EFEITO!$Y$608</f>
        <v>0</v>
      </c>
      <c r="K608" s="46">
        <f ca="1">EFEITO!$L$608*EFEITO!$Z$608</f>
        <v>1820.5872039615954</v>
      </c>
      <c r="L608" s="46">
        <f>EFEITO!$N$608*EFEITO!$AA$608</f>
        <v>755.51251003191737</v>
      </c>
      <c r="M608" s="46">
        <f>$J$608-EFEITO!$K$608*EFEITO!$Y$608</f>
        <v>0</v>
      </c>
      <c r="N608" s="46">
        <f ca="1">$K$608-EFEITO!$M$608*EFEITO!$Z$608</f>
        <v>0</v>
      </c>
      <c r="O608" s="46">
        <f>$L$608-EFEITO!$O$608*EFEITO!$AA$608</f>
        <v>0</v>
      </c>
      <c r="P608" s="38"/>
      <c r="Q608" s="38"/>
      <c r="R608" s="38"/>
      <c r="S608" s="38"/>
      <c r="T608" s="38"/>
      <c r="U608" s="38"/>
      <c r="V608" s="38"/>
      <c r="W608" s="38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35" t="s">
        <v>21</v>
      </c>
      <c r="B609" s="35" t="s">
        <v>39</v>
      </c>
      <c r="C609" s="35" t="s">
        <v>41</v>
      </c>
      <c r="D609" s="35" t="s">
        <v>45</v>
      </c>
      <c r="E609" s="35" t="s">
        <v>25</v>
      </c>
      <c r="F609" s="35" t="s">
        <v>25</v>
      </c>
      <c r="G609" s="35" t="s">
        <v>25</v>
      </c>
      <c r="H609" s="35" t="s">
        <v>34</v>
      </c>
      <c r="I609" s="45">
        <v>44470</v>
      </c>
      <c r="J609" s="46">
        <f>EFEITO!$J$609*EFEITO!$Y$609</f>
        <v>0</v>
      </c>
      <c r="K609" s="46">
        <f ca="1">EFEITO!$L$609*EFEITO!$Z$609</f>
        <v>120084.44577967095</v>
      </c>
      <c r="L609" s="46">
        <f>EFEITO!$N$609*EFEITO!$AA$609</f>
        <v>49832.988416799126</v>
      </c>
      <c r="M609" s="46">
        <f>$J$609-EFEITO!$K$609*EFEITO!$Y$609</f>
        <v>0</v>
      </c>
      <c r="N609" s="46">
        <f ca="1">$K$609-EFEITO!$M$609*EFEITO!$Z$609</f>
        <v>0</v>
      </c>
      <c r="O609" s="46">
        <f>$L$609-EFEITO!$O$609*EFEITO!$AA$609</f>
        <v>0</v>
      </c>
      <c r="P609" s="38"/>
      <c r="Q609" s="38"/>
      <c r="R609" s="38"/>
      <c r="S609" s="38"/>
      <c r="T609" s="38"/>
      <c r="U609" s="38"/>
      <c r="V609" s="38"/>
      <c r="W609" s="38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35" t="s">
        <v>28</v>
      </c>
      <c r="B610" s="35" t="s">
        <v>39</v>
      </c>
      <c r="C610" s="35" t="s">
        <v>41</v>
      </c>
      <c r="D610" s="35" t="s">
        <v>45</v>
      </c>
      <c r="E610" s="35" t="s">
        <v>25</v>
      </c>
      <c r="F610" s="35" t="s">
        <v>25</v>
      </c>
      <c r="G610" s="35" t="s">
        <v>25</v>
      </c>
      <c r="H610" s="35" t="s">
        <v>34</v>
      </c>
      <c r="I610" s="45">
        <v>44470</v>
      </c>
      <c r="J610" s="46">
        <f>EFEITO!$J$610*EFEITO!$Y$610</f>
        <v>0</v>
      </c>
      <c r="K610" s="46">
        <f ca="1">EFEITO!$L$610*EFEITO!$Z$610</f>
        <v>2080.6710902418235</v>
      </c>
      <c r="L610" s="46">
        <f>EFEITO!$N$610*EFEITO!$AA$610</f>
        <v>863.44286860790567</v>
      </c>
      <c r="M610" s="46">
        <f>$J$610-EFEITO!$K$610*EFEITO!$Y$610</f>
        <v>0</v>
      </c>
      <c r="N610" s="46">
        <f ca="1">$K$610-EFEITO!$M$610*EFEITO!$Z$610</f>
        <v>0</v>
      </c>
      <c r="O610" s="46">
        <f>$L$610-EFEITO!$O$610*EFEITO!$AA$610</f>
        <v>0</v>
      </c>
      <c r="P610" s="38"/>
      <c r="Q610" s="38"/>
      <c r="R610" s="38"/>
      <c r="S610" s="38"/>
      <c r="T610" s="38"/>
      <c r="U610" s="38"/>
      <c r="V610" s="38"/>
      <c r="W610" s="38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35" t="s">
        <v>21</v>
      </c>
      <c r="B611" s="35" t="s">
        <v>39</v>
      </c>
      <c r="C611" s="35" t="s">
        <v>41</v>
      </c>
      <c r="D611" s="35" t="s">
        <v>45</v>
      </c>
      <c r="E611" s="35" t="s">
        <v>25</v>
      </c>
      <c r="F611" s="35" t="s">
        <v>25</v>
      </c>
      <c r="G611" s="35" t="s">
        <v>25</v>
      </c>
      <c r="H611" s="35" t="s">
        <v>34</v>
      </c>
      <c r="I611" s="45">
        <v>44501</v>
      </c>
      <c r="J611" s="46">
        <f>EFEITO!$J$611*EFEITO!$Y$611</f>
        <v>0</v>
      </c>
      <c r="K611" s="46">
        <f ca="1">EFEITO!$L$611*EFEITO!$Z$611</f>
        <v>129087.06372905656</v>
      </c>
      <c r="L611" s="46">
        <f>EFEITO!$N$611*EFEITO!$AA$611</f>
        <v>53568.920685793688</v>
      </c>
      <c r="M611" s="46">
        <f>$J$611-EFEITO!$K$611*EFEITO!$Y$611</f>
        <v>0</v>
      </c>
      <c r="N611" s="46">
        <f ca="1">$K$611-EFEITO!$M$611*EFEITO!$Z$611</f>
        <v>0</v>
      </c>
      <c r="O611" s="46">
        <f>$L$611-EFEITO!$O$611*EFEITO!$AA$611</f>
        <v>0</v>
      </c>
      <c r="P611" s="38"/>
      <c r="Q611" s="38"/>
      <c r="R611" s="38"/>
      <c r="S611" s="38"/>
      <c r="T611" s="38"/>
      <c r="U611" s="38"/>
      <c r="V611" s="38"/>
      <c r="W611" s="38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35" t="s">
        <v>28</v>
      </c>
      <c r="B612" s="35" t="s">
        <v>39</v>
      </c>
      <c r="C612" s="35" t="s">
        <v>41</v>
      </c>
      <c r="D612" s="35" t="s">
        <v>45</v>
      </c>
      <c r="E612" s="35" t="s">
        <v>25</v>
      </c>
      <c r="F612" s="35" t="s">
        <v>25</v>
      </c>
      <c r="G612" s="35" t="s">
        <v>25</v>
      </c>
      <c r="H612" s="35" t="s">
        <v>34</v>
      </c>
      <c r="I612" s="45">
        <v>44501</v>
      </c>
      <c r="J612" s="46">
        <f>EFEITO!$J$612*EFEITO!$Y$612</f>
        <v>0</v>
      </c>
      <c r="K612" s="46">
        <f ca="1">EFEITO!$L$612*EFEITO!$Z$612</f>
        <v>2340.7549765220515</v>
      </c>
      <c r="L612" s="46">
        <f>EFEITO!$N$612*EFEITO!$AA$612</f>
        <v>971.37322718389385</v>
      </c>
      <c r="M612" s="46">
        <f>$J$612-EFEITO!$K$612*EFEITO!$Y$612</f>
        <v>0</v>
      </c>
      <c r="N612" s="46">
        <f ca="1">$K$612-EFEITO!$M$612*EFEITO!$Z$612</f>
        <v>0</v>
      </c>
      <c r="O612" s="46">
        <f>$L$612-EFEITO!$O$612*EFEITO!$AA$612</f>
        <v>0</v>
      </c>
      <c r="P612" s="38"/>
      <c r="Q612" s="38"/>
      <c r="R612" s="38"/>
      <c r="S612" s="38"/>
      <c r="T612" s="38"/>
      <c r="U612" s="38"/>
      <c r="V612" s="38"/>
      <c r="W612" s="38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35" t="s">
        <v>21</v>
      </c>
      <c r="B613" s="35" t="s">
        <v>39</v>
      </c>
      <c r="C613" s="35" t="s">
        <v>41</v>
      </c>
      <c r="D613" s="35" t="s">
        <v>45</v>
      </c>
      <c r="E613" s="35" t="s">
        <v>25</v>
      </c>
      <c r="F613" s="35" t="s">
        <v>25</v>
      </c>
      <c r="G613" s="35" t="s">
        <v>25</v>
      </c>
      <c r="H613" s="35" t="s">
        <v>34</v>
      </c>
      <c r="I613" s="45">
        <v>44531</v>
      </c>
      <c r="J613" s="46">
        <f>EFEITO!$J$613*EFEITO!$Y$613</f>
        <v>0</v>
      </c>
      <c r="K613" s="46">
        <f ca="1">EFEITO!$L$613*EFEITO!$Z$613</f>
        <v>141576.66349664208</v>
      </c>
      <c r="L613" s="46">
        <f>EFEITO!$N$613*EFEITO!$AA$613</f>
        <v>58751.89069083918</v>
      </c>
      <c r="M613" s="46">
        <f>$J$613-EFEITO!$K$613*EFEITO!$Y$613</f>
        <v>0</v>
      </c>
      <c r="N613" s="46">
        <f ca="1">$K$613-EFEITO!$M$613*EFEITO!$Z$613</f>
        <v>0</v>
      </c>
      <c r="O613" s="46">
        <f>$L$613-EFEITO!$O$613*EFEITO!$AA$613</f>
        <v>0</v>
      </c>
      <c r="P613" s="38"/>
      <c r="Q613" s="38"/>
      <c r="R613" s="38"/>
      <c r="S613" s="38"/>
      <c r="T613" s="38"/>
      <c r="U613" s="38"/>
      <c r="V613" s="38"/>
      <c r="W613" s="38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35" t="s">
        <v>28</v>
      </c>
      <c r="B614" s="35" t="s">
        <v>39</v>
      </c>
      <c r="C614" s="35" t="s">
        <v>41</v>
      </c>
      <c r="D614" s="35" t="s">
        <v>45</v>
      </c>
      <c r="E614" s="35" t="s">
        <v>25</v>
      </c>
      <c r="F614" s="35" t="s">
        <v>25</v>
      </c>
      <c r="G614" s="35" t="s">
        <v>25</v>
      </c>
      <c r="H614" s="35" t="s">
        <v>34</v>
      </c>
      <c r="I614" s="45">
        <v>44531</v>
      </c>
      <c r="J614" s="46">
        <f>EFEITO!$J$614*EFEITO!$Y$614</f>
        <v>0</v>
      </c>
      <c r="K614" s="46">
        <f ca="1">EFEITO!$L$614*EFEITO!$Z$614</f>
        <v>2340.7549765220515</v>
      </c>
      <c r="L614" s="46">
        <f>EFEITO!$N$614*EFEITO!$AA$614</f>
        <v>971.37322718389385</v>
      </c>
      <c r="M614" s="46">
        <f>$J$614-EFEITO!$K$614*EFEITO!$Y$614</f>
        <v>0</v>
      </c>
      <c r="N614" s="46">
        <f ca="1">$K$614-EFEITO!$M$614*EFEITO!$Z$614</f>
        <v>0</v>
      </c>
      <c r="O614" s="46">
        <f>$L$614-EFEITO!$O$614*EFEITO!$AA$614</f>
        <v>0</v>
      </c>
      <c r="P614" s="38"/>
      <c r="Q614" s="38"/>
      <c r="R614" s="38"/>
      <c r="S614" s="38"/>
      <c r="T614" s="38"/>
      <c r="U614" s="38"/>
      <c r="V614" s="38"/>
      <c r="W614" s="38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35" t="s">
        <v>55</v>
      </c>
      <c r="B615" s="35" t="s">
        <v>39</v>
      </c>
      <c r="C615" s="35" t="s">
        <v>41</v>
      </c>
      <c r="D615" s="35" t="s">
        <v>45</v>
      </c>
      <c r="E615" s="35" t="s">
        <v>25</v>
      </c>
      <c r="F615" s="35" t="s">
        <v>25</v>
      </c>
      <c r="G615" s="35" t="s">
        <v>25</v>
      </c>
      <c r="H615" s="35" t="s">
        <v>34</v>
      </c>
      <c r="I615" s="45">
        <v>44562</v>
      </c>
      <c r="J615" s="46">
        <f>EFEITO!$J$615*EFEITO!$Y$615</f>
        <v>0</v>
      </c>
      <c r="K615" s="46">
        <f ca="1">EFEITO!$L$615*EFEITO!$Z$615</f>
        <v>141576.66349664208</v>
      </c>
      <c r="L615" s="46">
        <f>EFEITO!$N$615*EFEITO!$AA$615</f>
        <v>58751.89069083918</v>
      </c>
      <c r="M615" s="46">
        <f>$J$615-EFEITO!$K$615*EFEITO!$Y$615</f>
        <v>0</v>
      </c>
      <c r="N615" s="46">
        <f ca="1">$K$615-EFEITO!$M$615*EFEITO!$Z$615</f>
        <v>0</v>
      </c>
      <c r="O615" s="46">
        <f>$L$615-EFEITO!$O$615*EFEITO!$AA$615</f>
        <v>0</v>
      </c>
      <c r="P615" s="38"/>
      <c r="Q615" s="38"/>
      <c r="R615" s="38"/>
      <c r="S615" s="38"/>
      <c r="T615" s="38"/>
      <c r="U615" s="38"/>
      <c r="V615" s="38"/>
      <c r="W615" s="38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35" t="s">
        <v>55</v>
      </c>
      <c r="B616" s="35" t="s">
        <v>39</v>
      </c>
      <c r="C616" s="35" t="s">
        <v>41</v>
      </c>
      <c r="D616" s="35" t="s">
        <v>45</v>
      </c>
      <c r="E616" s="35" t="s">
        <v>25</v>
      </c>
      <c r="F616" s="35" t="s">
        <v>25</v>
      </c>
      <c r="G616" s="35" t="s">
        <v>25</v>
      </c>
      <c r="H616" s="35" t="s">
        <v>34</v>
      </c>
      <c r="I616" s="45">
        <v>44562</v>
      </c>
      <c r="J616" s="46">
        <f>EFEITO!$J$616*EFEITO!$Y$616</f>
        <v>0</v>
      </c>
      <c r="K616" s="46">
        <f ca="1">EFEITO!$L$616*EFEITO!$Z$616</f>
        <v>2340.7549765220515</v>
      </c>
      <c r="L616" s="46">
        <f>EFEITO!$N$616*EFEITO!$AA$616</f>
        <v>971.37322718389385</v>
      </c>
      <c r="M616" s="46">
        <f>$J$616-EFEITO!$K$616*EFEITO!$Y$616</f>
        <v>0</v>
      </c>
      <c r="N616" s="46">
        <f ca="1">$K$616-EFEITO!$M$616*EFEITO!$Z$616</f>
        <v>0</v>
      </c>
      <c r="O616" s="46">
        <f>$L$616-EFEITO!$O$616*EFEITO!$AA$616</f>
        <v>0</v>
      </c>
      <c r="P616" s="38"/>
      <c r="Q616" s="38"/>
      <c r="R616" s="38"/>
      <c r="S616" s="38"/>
      <c r="T616" s="38"/>
      <c r="U616" s="38"/>
      <c r="V616" s="38"/>
      <c r="W616" s="38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35" t="s">
        <v>21</v>
      </c>
      <c r="B617" s="35" t="s">
        <v>39</v>
      </c>
      <c r="C617" s="35" t="s">
        <v>41</v>
      </c>
      <c r="D617" s="35" t="s">
        <v>44</v>
      </c>
      <c r="E617" s="35" t="s">
        <v>25</v>
      </c>
      <c r="F617" s="35" t="s">
        <v>25</v>
      </c>
      <c r="G617" s="35" t="s">
        <v>25</v>
      </c>
      <c r="H617" s="35" t="s">
        <v>35</v>
      </c>
      <c r="I617" s="45">
        <v>44228</v>
      </c>
      <c r="J617" s="46">
        <f>EFEITO!$J$617*EFEITO!$Y$567</f>
        <v>0</v>
      </c>
      <c r="K617" s="46">
        <f ca="1">EFEITO!$L$617*EFEITO!$Z$567</f>
        <v>4904.6209851451549</v>
      </c>
      <c r="L617" s="46">
        <f>EFEITO!$N$617*EFEITO!$AA$567</f>
        <v>23500.11433135383</v>
      </c>
      <c r="M617" s="46">
        <f>$J$617-EFEITO!$K$617*EFEITO!$Y$617</f>
        <v>0</v>
      </c>
      <c r="N617" s="46">
        <f ca="1">$K$617-EFEITO!$M$617*EFEITO!$Z$617</f>
        <v>98.092419702902589</v>
      </c>
      <c r="O617" s="46">
        <f>$L$617-EFEITO!$O$617*EFEITO!$AA$617</f>
        <v>470.00228662707741</v>
      </c>
      <c r="P617" s="38"/>
      <c r="Q617" s="38"/>
      <c r="R617" s="38"/>
      <c r="S617" s="38"/>
      <c r="T617" s="38"/>
      <c r="U617" s="38"/>
      <c r="V617" s="38"/>
      <c r="W617" s="38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35" t="s">
        <v>21</v>
      </c>
      <c r="B618" s="35" t="s">
        <v>39</v>
      </c>
      <c r="C618" s="35" t="s">
        <v>41</v>
      </c>
      <c r="D618" s="35" t="s">
        <v>44</v>
      </c>
      <c r="E618" s="35" t="s">
        <v>25</v>
      </c>
      <c r="F618" s="35" t="s">
        <v>25</v>
      </c>
      <c r="G618" s="35" t="s">
        <v>25</v>
      </c>
      <c r="H618" s="35" t="s">
        <v>35</v>
      </c>
      <c r="I618" s="45">
        <v>44256</v>
      </c>
      <c r="J618" s="46">
        <f>EFEITO!$J$618*EFEITO!$Y$567</f>
        <v>0</v>
      </c>
      <c r="K618" s="46">
        <f ca="1">EFEITO!$L$618*EFEITO!$Z$567</f>
        <v>5438.6367871455905</v>
      </c>
      <c r="L618" s="46">
        <f>EFEITO!$N$618*EFEITO!$AA$567</f>
        <v>26058.809985874104</v>
      </c>
      <c r="M618" s="46">
        <f>$J$618-EFEITO!$K$618*EFEITO!$Y$618</f>
        <v>0</v>
      </c>
      <c r="N618" s="46">
        <f ca="1">$K$618-EFEITO!$M$618*EFEITO!$Z$618</f>
        <v>108.77273574291121</v>
      </c>
      <c r="O618" s="46">
        <f>$L$618-EFEITO!$O$618*EFEITO!$AA$618</f>
        <v>521.17619971748354</v>
      </c>
      <c r="P618" s="38"/>
      <c r="Q618" s="38"/>
      <c r="R618" s="38"/>
      <c r="S618" s="38"/>
      <c r="T618" s="38"/>
      <c r="U618" s="38"/>
      <c r="V618" s="38"/>
      <c r="W618" s="38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35" t="s">
        <v>21</v>
      </c>
      <c r="B619" s="35" t="s">
        <v>39</v>
      </c>
      <c r="C619" s="35" t="s">
        <v>41</v>
      </c>
      <c r="D619" s="35" t="s">
        <v>44</v>
      </c>
      <c r="E619" s="35" t="s">
        <v>25</v>
      </c>
      <c r="F619" s="35" t="s">
        <v>25</v>
      </c>
      <c r="G619" s="35" t="s">
        <v>25</v>
      </c>
      <c r="H619" s="35" t="s">
        <v>35</v>
      </c>
      <c r="I619" s="45">
        <v>44287</v>
      </c>
      <c r="J619" s="46">
        <f>EFEITO!$J$619*EFEITO!$Y$567</f>
        <v>0</v>
      </c>
      <c r="K619" s="46">
        <f ca="1">EFEITO!$L$619*EFEITO!$Z$567</f>
        <v>5778.0848328326101</v>
      </c>
      <c r="L619" s="46">
        <f>EFEITO!$N$619*EFEITO!$AA$567</f>
        <v>27685.249196439014</v>
      </c>
      <c r="M619" s="46">
        <f>$J$619-EFEITO!$K$619*EFEITO!$Y$619</f>
        <v>0</v>
      </c>
      <c r="N619" s="46">
        <f ca="1">$K$619-EFEITO!$M$619*EFEITO!$Z$619</f>
        <v>115.5616966566522</v>
      </c>
      <c r="O619" s="46">
        <f>$L$619-EFEITO!$O$619*EFEITO!$AA$619</f>
        <v>553.70498392877926</v>
      </c>
      <c r="P619" s="38"/>
      <c r="Q619" s="38"/>
      <c r="R619" s="38"/>
      <c r="S619" s="38"/>
      <c r="T619" s="38"/>
      <c r="U619" s="38"/>
      <c r="V619" s="38"/>
      <c r="W619" s="38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35" t="s">
        <v>21</v>
      </c>
      <c r="B620" s="35" t="s">
        <v>39</v>
      </c>
      <c r="C620" s="35" t="s">
        <v>41</v>
      </c>
      <c r="D620" s="35" t="s">
        <v>44</v>
      </c>
      <c r="E620" s="35" t="s">
        <v>25</v>
      </c>
      <c r="F620" s="35" t="s">
        <v>25</v>
      </c>
      <c r="G620" s="35" t="s">
        <v>25</v>
      </c>
      <c r="H620" s="35" t="s">
        <v>35</v>
      </c>
      <c r="I620" s="45">
        <v>44317</v>
      </c>
      <c r="J620" s="46">
        <f>EFEITO!$J$620*EFEITO!$Y$567</f>
        <v>0</v>
      </c>
      <c r="K620" s="46">
        <f ca="1">EFEITO!$L$620*EFEITO!$Z$567</f>
        <v>5429.7746938437003</v>
      </c>
      <c r="L620" s="46">
        <f>EFEITO!$N$620*EFEITO!$AA$567</f>
        <v>26016.34794722926</v>
      </c>
      <c r="M620" s="46">
        <f>$J$620-EFEITO!$K$620*EFEITO!$Y$620</f>
        <v>0</v>
      </c>
      <c r="N620" s="46">
        <f ca="1">$K$620-EFEITO!$M$620*EFEITO!$Z$620</f>
        <v>108.59549387687366</v>
      </c>
      <c r="O620" s="46">
        <f>$L$620-EFEITO!$O$620*EFEITO!$AA$620</f>
        <v>520.32695894458448</v>
      </c>
      <c r="P620" s="38"/>
      <c r="Q620" s="38"/>
      <c r="R620" s="38"/>
      <c r="S620" s="38"/>
      <c r="T620" s="38"/>
      <c r="U620" s="38"/>
      <c r="V620" s="38"/>
      <c r="W620" s="38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35" t="s">
        <v>21</v>
      </c>
      <c r="B621" s="35" t="s">
        <v>39</v>
      </c>
      <c r="C621" s="35" t="s">
        <v>41</v>
      </c>
      <c r="D621" s="35" t="s">
        <v>44</v>
      </c>
      <c r="E621" s="35" t="s">
        <v>25</v>
      </c>
      <c r="F621" s="35" t="s">
        <v>25</v>
      </c>
      <c r="G621" s="35" t="s">
        <v>25</v>
      </c>
      <c r="H621" s="35" t="s">
        <v>35</v>
      </c>
      <c r="I621" s="45">
        <v>44348</v>
      </c>
      <c r="J621" s="46">
        <f>EFEITO!$J$621*EFEITO!$Y$567</f>
        <v>0</v>
      </c>
      <c r="K621" s="46">
        <f ca="1">EFEITO!$L$621*EFEITO!$Z$567</f>
        <v>5238.9907526479446</v>
      </c>
      <c r="L621" s="46">
        <f>EFEITO!$N$621*EFEITO!$AA$567</f>
        <v>25102.221362470569</v>
      </c>
      <c r="M621" s="46">
        <f>$J$621-EFEITO!$K$621*EFEITO!$Y$621</f>
        <v>0</v>
      </c>
      <c r="N621" s="46">
        <f ca="1">$K$621-EFEITO!$M$621*EFEITO!$Z$621</f>
        <v>104.77981505295884</v>
      </c>
      <c r="O621" s="46">
        <f>$L$621-EFEITO!$O$621*EFEITO!$AA$621</f>
        <v>502.04442724940964</v>
      </c>
      <c r="P621" s="38"/>
      <c r="Q621" s="38"/>
      <c r="R621" s="38"/>
      <c r="S621" s="38"/>
      <c r="T621" s="38"/>
      <c r="U621" s="38"/>
      <c r="V621" s="38"/>
      <c r="W621" s="38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35" t="s">
        <v>21</v>
      </c>
      <c r="B622" s="35" t="s">
        <v>39</v>
      </c>
      <c r="C622" s="35" t="s">
        <v>41</v>
      </c>
      <c r="D622" s="35" t="s">
        <v>44</v>
      </c>
      <c r="E622" s="35" t="s">
        <v>25</v>
      </c>
      <c r="F622" s="35" t="s">
        <v>25</v>
      </c>
      <c r="G622" s="35" t="s">
        <v>25</v>
      </c>
      <c r="H622" s="35" t="s">
        <v>35</v>
      </c>
      <c r="I622" s="45">
        <v>44378</v>
      </c>
      <c r="J622" s="46">
        <f>EFEITO!$J$622*EFEITO!$Y$567</f>
        <v>0</v>
      </c>
      <c r="K622" s="46">
        <f ca="1">EFEITO!$L$622*EFEITO!$Z$567</f>
        <v>5524.7683681134031</v>
      </c>
      <c r="L622" s="46">
        <f>EFEITO!$N$622*EFEITO!$AA$567</f>
        <v>26471.502833377373</v>
      </c>
      <c r="M622" s="46">
        <f>$J$622-EFEITO!$K$622*EFEITO!$Y$622</f>
        <v>0</v>
      </c>
      <c r="N622" s="46">
        <f ca="1">$K$622-EFEITO!$M$622*EFEITO!$Z$622</f>
        <v>110.49536736226764</v>
      </c>
      <c r="O622" s="46">
        <f>$L$622-EFEITO!$O$622*EFEITO!$AA$622</f>
        <v>529.4300566675447</v>
      </c>
      <c r="P622" s="38"/>
      <c r="Q622" s="38"/>
      <c r="R622" s="38"/>
      <c r="S622" s="38"/>
      <c r="T622" s="38"/>
      <c r="U622" s="38"/>
      <c r="V622" s="38"/>
      <c r="W622" s="38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35" t="s">
        <v>21</v>
      </c>
      <c r="B623" s="35" t="s">
        <v>39</v>
      </c>
      <c r="C623" s="35" t="s">
        <v>41</v>
      </c>
      <c r="D623" s="35" t="s">
        <v>44</v>
      </c>
      <c r="E623" s="35" t="s">
        <v>25</v>
      </c>
      <c r="F623" s="35" t="s">
        <v>25</v>
      </c>
      <c r="G623" s="35" t="s">
        <v>25</v>
      </c>
      <c r="H623" s="35" t="s">
        <v>35</v>
      </c>
      <c r="I623" s="45">
        <v>44409</v>
      </c>
      <c r="J623" s="46">
        <f>EFEITO!$J$623*EFEITO!$Y$567</f>
        <v>0</v>
      </c>
      <c r="K623" s="46">
        <f ca="1">EFEITO!$L$623*EFEITO!$Z$567</f>
        <v>5334.4822973278669</v>
      </c>
      <c r="L623" s="46">
        <f>EFEITO!$N$623*EFEITO!$AA$567</f>
        <v>25559.761756407723</v>
      </c>
      <c r="M623" s="46">
        <f>$J$623-EFEITO!$K$623*EFEITO!$Y$623</f>
        <v>0</v>
      </c>
      <c r="N623" s="46">
        <f ca="1">$K$623-EFEITO!$M$623*EFEITO!$Z$623</f>
        <v>106.6896459465579</v>
      </c>
      <c r="O623" s="46">
        <f>$L$623-EFEITO!$O$623*EFEITO!$AA$623</f>
        <v>511.19523512815431</v>
      </c>
      <c r="P623" s="38"/>
      <c r="Q623" s="38"/>
      <c r="R623" s="38"/>
      <c r="S623" s="38"/>
      <c r="T623" s="38"/>
      <c r="U623" s="38"/>
      <c r="V623" s="38"/>
      <c r="W623" s="38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35" t="s">
        <v>21</v>
      </c>
      <c r="B624" s="35" t="s">
        <v>39</v>
      </c>
      <c r="C624" s="35" t="s">
        <v>41</v>
      </c>
      <c r="D624" s="35" t="s">
        <v>44</v>
      </c>
      <c r="E624" s="35" t="s">
        <v>25</v>
      </c>
      <c r="F624" s="35" t="s">
        <v>25</v>
      </c>
      <c r="G624" s="35" t="s">
        <v>25</v>
      </c>
      <c r="H624" s="35" t="s">
        <v>35</v>
      </c>
      <c r="I624" s="45">
        <v>44440</v>
      </c>
      <c r="J624" s="46">
        <f>EFEITO!$J$624*EFEITO!$Y$567</f>
        <v>0</v>
      </c>
      <c r="K624" s="46">
        <f ca="1">EFEITO!$L$624*EFEITO!$Z$567</f>
        <v>5271.4519033941961</v>
      </c>
      <c r="L624" s="46">
        <f>EFEITO!$N$624*EFEITO!$AA$567</f>
        <v>25257.756470315733</v>
      </c>
      <c r="M624" s="46">
        <f>$J$624-EFEITO!$K$624*EFEITO!$Y$624</f>
        <v>0</v>
      </c>
      <c r="N624" s="46">
        <f ca="1">$K$624-EFEITO!$M$624*EFEITO!$Z$624</f>
        <v>105.42903806788399</v>
      </c>
      <c r="O624" s="46">
        <f>$L$624-EFEITO!$O$624*EFEITO!$AA$624</f>
        <v>505.15512940631379</v>
      </c>
      <c r="P624" s="38"/>
      <c r="Q624" s="38"/>
      <c r="R624" s="38"/>
      <c r="S624" s="38"/>
      <c r="T624" s="38"/>
      <c r="U624" s="38"/>
      <c r="V624" s="38"/>
      <c r="W624" s="38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35" t="s">
        <v>21</v>
      </c>
      <c r="B625" s="35" t="s">
        <v>39</v>
      </c>
      <c r="C625" s="35" t="s">
        <v>41</v>
      </c>
      <c r="D625" s="35" t="s">
        <v>44</v>
      </c>
      <c r="E625" s="35" t="s">
        <v>25</v>
      </c>
      <c r="F625" s="35" t="s">
        <v>25</v>
      </c>
      <c r="G625" s="35" t="s">
        <v>25</v>
      </c>
      <c r="H625" s="35" t="s">
        <v>35</v>
      </c>
      <c r="I625" s="45">
        <v>44470</v>
      </c>
      <c r="J625" s="46">
        <f>EFEITO!$J$625*EFEITO!$Y$567</f>
        <v>0</v>
      </c>
      <c r="K625" s="46">
        <f ca="1">EFEITO!$L$625*EFEITO!$Z$567</f>
        <v>5076.6849989166922</v>
      </c>
      <c r="L625" s="46">
        <f>EFEITO!$N$625*EFEITO!$AA$567</f>
        <v>24324.545823244756</v>
      </c>
      <c r="M625" s="46">
        <f>$J$625-EFEITO!$K$625*EFEITO!$Y$625</f>
        <v>0</v>
      </c>
      <c r="N625" s="46">
        <f ca="1">$K$625-EFEITO!$M$625*EFEITO!$Z$625</f>
        <v>101.53369997833397</v>
      </c>
      <c r="O625" s="46">
        <f>$L$625-EFEITO!$O$625*EFEITO!$AA$625</f>
        <v>486.49091646489251</v>
      </c>
      <c r="P625" s="38"/>
      <c r="Q625" s="38"/>
      <c r="R625" s="38"/>
      <c r="S625" s="38"/>
      <c r="T625" s="38"/>
      <c r="U625" s="38"/>
      <c r="V625" s="38"/>
      <c r="W625" s="38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35" t="s">
        <v>21</v>
      </c>
      <c r="B626" s="35" t="s">
        <v>39</v>
      </c>
      <c r="C626" s="35" t="s">
        <v>41</v>
      </c>
      <c r="D626" s="35" t="s">
        <v>44</v>
      </c>
      <c r="E626" s="35" t="s">
        <v>25</v>
      </c>
      <c r="F626" s="35" t="s">
        <v>25</v>
      </c>
      <c r="G626" s="35" t="s">
        <v>25</v>
      </c>
      <c r="H626" s="35" t="s">
        <v>35</v>
      </c>
      <c r="I626" s="45">
        <v>44501</v>
      </c>
      <c r="J626" s="46">
        <f>EFEITO!$J$626*EFEITO!$Y$567</f>
        <v>0</v>
      </c>
      <c r="K626" s="46">
        <f ca="1">EFEITO!$L$626*EFEITO!$Z$567</f>
        <v>4907.8073557705538</v>
      </c>
      <c r="L626" s="46">
        <f>EFEITO!$N$626*EFEITO!$AA$567</f>
        <v>23515.381581203659</v>
      </c>
      <c r="M626" s="46">
        <f>$J$626-EFEITO!$K$626*EFEITO!$Y$626</f>
        <v>0</v>
      </c>
      <c r="N626" s="46">
        <f ca="1">$K$626-EFEITO!$M$626*EFEITO!$Z$626</f>
        <v>98.156147115410931</v>
      </c>
      <c r="O626" s="46">
        <f>$L$626-EFEITO!$O$626*EFEITO!$AA$626</f>
        <v>470.30763162406947</v>
      </c>
      <c r="P626" s="38"/>
      <c r="Q626" s="38"/>
      <c r="R626" s="38"/>
      <c r="S626" s="38"/>
      <c r="T626" s="38"/>
      <c r="U626" s="38"/>
      <c r="V626" s="38"/>
      <c r="W626" s="38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35" t="s">
        <v>21</v>
      </c>
      <c r="B627" s="35" t="s">
        <v>39</v>
      </c>
      <c r="C627" s="35" t="s">
        <v>41</v>
      </c>
      <c r="D627" s="35" t="s">
        <v>44</v>
      </c>
      <c r="E627" s="35" t="s">
        <v>25</v>
      </c>
      <c r="F627" s="35" t="s">
        <v>25</v>
      </c>
      <c r="G627" s="35" t="s">
        <v>25</v>
      </c>
      <c r="H627" s="35" t="s">
        <v>35</v>
      </c>
      <c r="I627" s="45">
        <v>44531</v>
      </c>
      <c r="J627" s="46">
        <f>EFEITO!$J$627*EFEITO!$Y$567</f>
        <v>0</v>
      </c>
      <c r="K627" s="46">
        <f ca="1">EFEITO!$L$627*EFEITO!$Z$567</f>
        <v>5631.1134877360892</v>
      </c>
      <c r="L627" s="46">
        <f>EFEITO!$N$627*EFEITO!$AA$567</f>
        <v>26981.047297115514</v>
      </c>
      <c r="M627" s="46">
        <f>$J$627-EFEITO!$K$627*EFEITO!$Y$627</f>
        <v>0</v>
      </c>
      <c r="N627" s="46">
        <f ca="1">$K$627-EFEITO!$M$627*EFEITO!$Z$627</f>
        <v>112.62226975472186</v>
      </c>
      <c r="O627" s="46">
        <f>$L$627-EFEITO!$O$627*EFEITO!$AA$627</f>
        <v>539.62094594230803</v>
      </c>
      <c r="P627" s="38"/>
      <c r="Q627" s="38"/>
      <c r="R627" s="38"/>
      <c r="S627" s="38"/>
      <c r="T627" s="38"/>
      <c r="U627" s="38"/>
      <c r="V627" s="38"/>
      <c r="W627" s="38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35" t="s">
        <v>55</v>
      </c>
      <c r="B628" s="35" t="s">
        <v>39</v>
      </c>
      <c r="C628" s="35" t="s">
        <v>41</v>
      </c>
      <c r="D628" s="35" t="s">
        <v>44</v>
      </c>
      <c r="E628" s="35" t="s">
        <v>25</v>
      </c>
      <c r="F628" s="35" t="s">
        <v>25</v>
      </c>
      <c r="G628" s="35" t="s">
        <v>25</v>
      </c>
      <c r="H628" s="35" t="s">
        <v>35</v>
      </c>
      <c r="I628" s="45">
        <v>44562</v>
      </c>
      <c r="J628" s="46">
        <f>EFEITO!$J$628*EFEITO!$Y$567</f>
        <v>0</v>
      </c>
      <c r="K628" s="46">
        <f ca="1">EFEITO!$L$628*EFEITO!$Z$567</f>
        <v>5631.1134877360892</v>
      </c>
      <c r="L628" s="46">
        <f>EFEITO!$N$628*EFEITO!$AA$567</f>
        <v>26981.047297115514</v>
      </c>
      <c r="M628" s="46">
        <f>$J$628-EFEITO!$K$628*EFEITO!$Y$628</f>
        <v>0</v>
      </c>
      <c r="N628" s="46">
        <f ca="1">$K$628-EFEITO!$M$628*EFEITO!$Z$628</f>
        <v>112.62226975472186</v>
      </c>
      <c r="O628" s="46">
        <f>$L$628-EFEITO!$O$628*EFEITO!$AA$628</f>
        <v>539.62094594230803</v>
      </c>
      <c r="P628" s="38"/>
      <c r="Q628" s="38"/>
      <c r="R628" s="38"/>
      <c r="S628" s="38"/>
      <c r="T628" s="38"/>
      <c r="U628" s="38"/>
      <c r="V628" s="38"/>
      <c r="W628" s="38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35" t="s">
        <v>21</v>
      </c>
      <c r="B629" s="35" t="s">
        <v>39</v>
      </c>
      <c r="C629" s="35" t="s">
        <v>41</v>
      </c>
      <c r="D629" s="35" t="s">
        <v>44</v>
      </c>
      <c r="E629" s="35" t="s">
        <v>25</v>
      </c>
      <c r="F629" s="35" t="s">
        <v>25</v>
      </c>
      <c r="G629" s="35" t="s">
        <v>25</v>
      </c>
      <c r="H629" s="35" t="s">
        <v>25</v>
      </c>
      <c r="I629" s="45">
        <v>44228</v>
      </c>
      <c r="J629" s="46">
        <f ca="1">EFEITO!$J$629*EFEITO!$Y$592</f>
        <v>6678.4591202257216</v>
      </c>
      <c r="K629" s="46">
        <f>EFEITO!$L$629*EFEITO!$Z$592</f>
        <v>0</v>
      </c>
      <c r="L629" s="46">
        <f>EFEITO!$N$629*EFEITO!$AA$592</f>
        <v>0</v>
      </c>
      <c r="M629" s="46">
        <f ca="1">$J$629-EFEITO!$K$629*EFEITO!$Y$629</f>
        <v>133.56918240451432</v>
      </c>
      <c r="N629" s="46">
        <f>$K$629-EFEITO!$M$629*EFEITO!$Z$629</f>
        <v>0</v>
      </c>
      <c r="O629" s="46">
        <f>$L$629-EFEITO!$O$629*EFEITO!$AA$629</f>
        <v>0</v>
      </c>
      <c r="P629" s="38"/>
      <c r="Q629" s="38"/>
      <c r="R629" s="38"/>
      <c r="S629" s="38"/>
      <c r="T629" s="38"/>
      <c r="U629" s="38"/>
      <c r="V629" s="38"/>
      <c r="W629" s="38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35" t="s">
        <v>21</v>
      </c>
      <c r="B630" s="35" t="s">
        <v>39</v>
      </c>
      <c r="C630" s="35" t="s">
        <v>41</v>
      </c>
      <c r="D630" s="35" t="s">
        <v>44</v>
      </c>
      <c r="E630" s="35" t="s">
        <v>25</v>
      </c>
      <c r="F630" s="35" t="s">
        <v>25</v>
      </c>
      <c r="G630" s="35" t="s">
        <v>25</v>
      </c>
      <c r="H630" s="35" t="s">
        <v>25</v>
      </c>
      <c r="I630" s="45">
        <v>44256</v>
      </c>
      <c r="J630" s="46">
        <f ca="1">EFEITO!$J$630*EFEITO!$Y$592</f>
        <v>6553.4612222535825</v>
      </c>
      <c r="K630" s="46">
        <f>EFEITO!$L$630*EFEITO!$Z$592</f>
        <v>0</v>
      </c>
      <c r="L630" s="46">
        <f>EFEITO!$N$630*EFEITO!$AA$592</f>
        <v>0</v>
      </c>
      <c r="M630" s="46">
        <f ca="1">$J$630-EFEITO!$K$630*EFEITO!$Y$630</f>
        <v>131.069224445072</v>
      </c>
      <c r="N630" s="46">
        <f>$K$630-EFEITO!$M$630*EFEITO!$Z$630</f>
        <v>0</v>
      </c>
      <c r="O630" s="46">
        <f>$L$630-EFEITO!$O$630*EFEITO!$AA$630</f>
        <v>0</v>
      </c>
      <c r="P630" s="38"/>
      <c r="Q630" s="38"/>
      <c r="R630" s="38"/>
      <c r="S630" s="38"/>
      <c r="T630" s="38"/>
      <c r="U630" s="38"/>
      <c r="V630" s="38"/>
      <c r="W630" s="38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35" t="s">
        <v>21</v>
      </c>
      <c r="B631" s="35" t="s">
        <v>39</v>
      </c>
      <c r="C631" s="35" t="s">
        <v>41</v>
      </c>
      <c r="D631" s="35" t="s">
        <v>44</v>
      </c>
      <c r="E631" s="35" t="s">
        <v>25</v>
      </c>
      <c r="F631" s="35" t="s">
        <v>25</v>
      </c>
      <c r="G631" s="35" t="s">
        <v>25</v>
      </c>
      <c r="H631" s="35" t="s">
        <v>25</v>
      </c>
      <c r="I631" s="45">
        <v>44287</v>
      </c>
      <c r="J631" s="46">
        <f ca="1">EFEITO!$J$631*EFEITO!$Y$592</f>
        <v>7178.4507121142778</v>
      </c>
      <c r="K631" s="46">
        <f>EFEITO!$L$631*EFEITO!$Z$592</f>
        <v>0</v>
      </c>
      <c r="L631" s="46">
        <f>EFEITO!$N$631*EFEITO!$AA$592</f>
        <v>0</v>
      </c>
      <c r="M631" s="46">
        <f ca="1">$J$631-EFEITO!$K$631*EFEITO!$Y$631</f>
        <v>143.56901424228545</v>
      </c>
      <c r="N631" s="46">
        <f>$K$631-EFEITO!$M$631*EFEITO!$Z$631</f>
        <v>0</v>
      </c>
      <c r="O631" s="46">
        <f>$L$631-EFEITO!$O$631*EFEITO!$AA$631</f>
        <v>0</v>
      </c>
      <c r="P631" s="38"/>
      <c r="Q631" s="38"/>
      <c r="R631" s="38"/>
      <c r="S631" s="38"/>
      <c r="T631" s="38"/>
      <c r="U631" s="38"/>
      <c r="V631" s="38"/>
      <c r="W631" s="38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35" t="s">
        <v>21</v>
      </c>
      <c r="B632" s="35" t="s">
        <v>39</v>
      </c>
      <c r="C632" s="35" t="s">
        <v>41</v>
      </c>
      <c r="D632" s="35" t="s">
        <v>44</v>
      </c>
      <c r="E632" s="35" t="s">
        <v>25</v>
      </c>
      <c r="F632" s="35" t="s">
        <v>25</v>
      </c>
      <c r="G632" s="35" t="s">
        <v>25</v>
      </c>
      <c r="H632" s="35" t="s">
        <v>25</v>
      </c>
      <c r="I632" s="45">
        <v>44317</v>
      </c>
      <c r="J632" s="46">
        <f ca="1">EFEITO!$J$632*EFEITO!$Y$592</f>
        <v>6624.8885925233762</v>
      </c>
      <c r="K632" s="46">
        <f>EFEITO!$L$632*EFEITO!$Z$592</f>
        <v>0</v>
      </c>
      <c r="L632" s="46">
        <f>EFEITO!$N$632*EFEITO!$AA$592</f>
        <v>0</v>
      </c>
      <c r="M632" s="46">
        <f ca="1">$J$632-EFEITO!$K$632*EFEITO!$Y$632</f>
        <v>132.49777185046787</v>
      </c>
      <c r="N632" s="46">
        <f>$K$632-EFEITO!$M$632*EFEITO!$Z$632</f>
        <v>0</v>
      </c>
      <c r="O632" s="46">
        <f>$L$632-EFEITO!$O$632*EFEITO!$AA$632</f>
        <v>0</v>
      </c>
      <c r="P632" s="38"/>
      <c r="Q632" s="38"/>
      <c r="R632" s="38"/>
      <c r="S632" s="38"/>
      <c r="T632" s="38"/>
      <c r="U632" s="38"/>
      <c r="V632" s="38"/>
      <c r="W632" s="38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35" t="s">
        <v>21</v>
      </c>
      <c r="B633" s="35" t="s">
        <v>39</v>
      </c>
      <c r="C633" s="35" t="s">
        <v>41</v>
      </c>
      <c r="D633" s="35" t="s">
        <v>44</v>
      </c>
      <c r="E633" s="35" t="s">
        <v>25</v>
      </c>
      <c r="F633" s="35" t="s">
        <v>25</v>
      </c>
      <c r="G633" s="35" t="s">
        <v>25</v>
      </c>
      <c r="H633" s="35" t="s">
        <v>25</v>
      </c>
      <c r="I633" s="45">
        <v>44348</v>
      </c>
      <c r="J633" s="46">
        <f ca="1">EFEITO!$J$633*EFEITO!$Y$592</f>
        <v>6553.4612222535825</v>
      </c>
      <c r="K633" s="46">
        <f>EFEITO!$L$633*EFEITO!$Z$592</f>
        <v>0</v>
      </c>
      <c r="L633" s="46">
        <f>EFEITO!$N$633*EFEITO!$AA$592</f>
        <v>0</v>
      </c>
      <c r="M633" s="46">
        <f ca="1">$J$633-EFEITO!$K$633*EFEITO!$Y$633</f>
        <v>131.069224445072</v>
      </c>
      <c r="N633" s="46">
        <f>$K$633-EFEITO!$M$633*EFEITO!$Z$633</f>
        <v>0</v>
      </c>
      <c r="O633" s="46">
        <f>$L$633-EFEITO!$O$633*EFEITO!$AA$633</f>
        <v>0</v>
      </c>
      <c r="P633" s="38"/>
      <c r="Q633" s="38"/>
      <c r="R633" s="38"/>
      <c r="S633" s="38"/>
      <c r="T633" s="38"/>
      <c r="U633" s="38"/>
      <c r="V633" s="38"/>
      <c r="W633" s="38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35" t="s">
        <v>21</v>
      </c>
      <c r="B634" s="35" t="s">
        <v>39</v>
      </c>
      <c r="C634" s="35" t="s">
        <v>41</v>
      </c>
      <c r="D634" s="35" t="s">
        <v>44</v>
      </c>
      <c r="E634" s="35" t="s">
        <v>25</v>
      </c>
      <c r="F634" s="35" t="s">
        <v>25</v>
      </c>
      <c r="G634" s="35" t="s">
        <v>25</v>
      </c>
      <c r="H634" s="35" t="s">
        <v>25</v>
      </c>
      <c r="I634" s="45">
        <v>44378</v>
      </c>
      <c r="J634" s="46">
        <f ca="1">EFEITO!$J$634*EFEITO!$Y$592</f>
        <v>6732.0296479280669</v>
      </c>
      <c r="K634" s="46">
        <f>EFEITO!$L$634*EFEITO!$Z$592</f>
        <v>0</v>
      </c>
      <c r="L634" s="46">
        <f>EFEITO!$N$634*EFEITO!$AA$592</f>
        <v>0</v>
      </c>
      <c r="M634" s="46">
        <f ca="1">$J$634-EFEITO!$K$634*EFEITO!$Y$634</f>
        <v>134.64059295856168</v>
      </c>
      <c r="N634" s="46">
        <f>$K$634-EFEITO!$M$634*EFEITO!$Z$634</f>
        <v>0</v>
      </c>
      <c r="O634" s="46">
        <f>$L$634-EFEITO!$O$634*EFEITO!$AA$634</f>
        <v>0</v>
      </c>
      <c r="P634" s="38"/>
      <c r="Q634" s="38"/>
      <c r="R634" s="38"/>
      <c r="S634" s="38"/>
      <c r="T634" s="38"/>
      <c r="U634" s="38"/>
      <c r="V634" s="38"/>
      <c r="W634" s="38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35" t="s">
        <v>21</v>
      </c>
      <c r="B635" s="35" t="s">
        <v>39</v>
      </c>
      <c r="C635" s="35" t="s">
        <v>41</v>
      </c>
      <c r="D635" s="35" t="s">
        <v>44</v>
      </c>
      <c r="E635" s="35" t="s">
        <v>25</v>
      </c>
      <c r="F635" s="35" t="s">
        <v>25</v>
      </c>
      <c r="G635" s="35" t="s">
        <v>25</v>
      </c>
      <c r="H635" s="35" t="s">
        <v>25</v>
      </c>
      <c r="I635" s="45">
        <v>44409</v>
      </c>
      <c r="J635" s="46">
        <f ca="1">EFEITO!$J$635*EFEITO!$Y$592</f>
        <v>6678.4591202257216</v>
      </c>
      <c r="K635" s="46">
        <f>EFEITO!$L$635*EFEITO!$Z$592</f>
        <v>0</v>
      </c>
      <c r="L635" s="46">
        <f>EFEITO!$N$635*EFEITO!$AA$592</f>
        <v>0</v>
      </c>
      <c r="M635" s="46">
        <f ca="1">$J$635-EFEITO!$K$635*EFEITO!$Y$635</f>
        <v>133.56918240451432</v>
      </c>
      <c r="N635" s="46">
        <f>$K$635-EFEITO!$M$635*EFEITO!$Z$635</f>
        <v>0</v>
      </c>
      <c r="O635" s="46">
        <f>$L$635-EFEITO!$O$635*EFEITO!$AA$635</f>
        <v>0</v>
      </c>
      <c r="P635" s="38"/>
      <c r="Q635" s="38"/>
      <c r="R635" s="38"/>
      <c r="S635" s="38"/>
      <c r="T635" s="38"/>
      <c r="U635" s="38"/>
      <c r="V635" s="38"/>
      <c r="W635" s="38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35" t="s">
        <v>21</v>
      </c>
      <c r="B636" s="35" t="s">
        <v>39</v>
      </c>
      <c r="C636" s="35" t="s">
        <v>41</v>
      </c>
      <c r="D636" s="35" t="s">
        <v>44</v>
      </c>
      <c r="E636" s="35" t="s">
        <v>25</v>
      </c>
      <c r="F636" s="35" t="s">
        <v>25</v>
      </c>
      <c r="G636" s="35" t="s">
        <v>25</v>
      </c>
      <c r="H636" s="35" t="s">
        <v>25</v>
      </c>
      <c r="I636" s="45">
        <v>44440</v>
      </c>
      <c r="J636" s="46">
        <f ca="1">EFEITO!$J$636*EFEITO!$Y$592</f>
        <v>6821.3138607653091</v>
      </c>
      <c r="K636" s="46">
        <f>EFEITO!$L$636*EFEITO!$Z$592</f>
        <v>0</v>
      </c>
      <c r="L636" s="46">
        <f>EFEITO!$N$636*EFEITO!$AA$592</f>
        <v>0</v>
      </c>
      <c r="M636" s="46">
        <f ca="1">$J$636-EFEITO!$K$636*EFEITO!$Y$636</f>
        <v>136.42627721530607</v>
      </c>
      <c r="N636" s="46">
        <f>$K$636-EFEITO!$M$636*EFEITO!$Z$636</f>
        <v>0</v>
      </c>
      <c r="O636" s="46">
        <f>$L$636-EFEITO!$O$636*EFEITO!$AA$636</f>
        <v>0</v>
      </c>
      <c r="P636" s="38"/>
      <c r="Q636" s="38"/>
      <c r="R636" s="38"/>
      <c r="S636" s="38"/>
      <c r="T636" s="38"/>
      <c r="U636" s="38"/>
      <c r="V636" s="38"/>
      <c r="W636" s="38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35" t="s">
        <v>21</v>
      </c>
      <c r="B637" s="35" t="s">
        <v>39</v>
      </c>
      <c r="C637" s="35" t="s">
        <v>41</v>
      </c>
      <c r="D637" s="35" t="s">
        <v>44</v>
      </c>
      <c r="E637" s="35" t="s">
        <v>25</v>
      </c>
      <c r="F637" s="35" t="s">
        <v>25</v>
      </c>
      <c r="G637" s="35" t="s">
        <v>25</v>
      </c>
      <c r="H637" s="35" t="s">
        <v>25</v>
      </c>
      <c r="I637" s="45">
        <v>44470</v>
      </c>
      <c r="J637" s="46">
        <f ca="1">EFEITO!$J$637*EFEITO!$Y$592</f>
        <v>7607.0149337330413</v>
      </c>
      <c r="K637" s="46">
        <f>EFEITO!$L$637*EFEITO!$Z$592</f>
        <v>0</v>
      </c>
      <c r="L637" s="46">
        <f>EFEITO!$N$637*EFEITO!$AA$592</f>
        <v>0</v>
      </c>
      <c r="M637" s="46">
        <f ca="1">$J$637-EFEITO!$K$637*EFEITO!$Y$637</f>
        <v>152.1402986746607</v>
      </c>
      <c r="N637" s="46">
        <f>$K$637-EFEITO!$M$637*EFEITO!$Z$637</f>
        <v>0</v>
      </c>
      <c r="O637" s="46">
        <f>$L$637-EFEITO!$O$637*EFEITO!$AA$637</f>
        <v>0</v>
      </c>
      <c r="P637" s="38"/>
      <c r="Q637" s="38"/>
      <c r="R637" s="38"/>
      <c r="S637" s="38"/>
      <c r="T637" s="38"/>
      <c r="U637" s="38"/>
      <c r="V637" s="38"/>
      <c r="W637" s="38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35" t="s">
        <v>21</v>
      </c>
      <c r="B638" s="35" t="s">
        <v>39</v>
      </c>
      <c r="C638" s="35" t="s">
        <v>41</v>
      </c>
      <c r="D638" s="35" t="s">
        <v>44</v>
      </c>
      <c r="E638" s="35" t="s">
        <v>25</v>
      </c>
      <c r="F638" s="35" t="s">
        <v>25</v>
      </c>
      <c r="G638" s="35" t="s">
        <v>25</v>
      </c>
      <c r="H638" s="35" t="s">
        <v>25</v>
      </c>
      <c r="I638" s="45">
        <v>44501</v>
      </c>
      <c r="J638" s="46">
        <f ca="1">EFEITO!$J$638*EFEITO!$Y$592</f>
        <v>7124.8801844119325</v>
      </c>
      <c r="K638" s="46">
        <f>EFEITO!$L$638*EFEITO!$Z$592</f>
        <v>0</v>
      </c>
      <c r="L638" s="46">
        <f>EFEITO!$N$638*EFEITO!$AA$592</f>
        <v>0</v>
      </c>
      <c r="M638" s="46">
        <f ca="1">$J$638-EFEITO!$K$638*EFEITO!$Y$638</f>
        <v>142.49760368823809</v>
      </c>
      <c r="N638" s="46">
        <f>$K$638-EFEITO!$M$638*EFEITO!$Z$638</f>
        <v>0</v>
      </c>
      <c r="O638" s="46">
        <f>$L$638-EFEITO!$O$638*EFEITO!$AA$638</f>
        <v>0</v>
      </c>
      <c r="P638" s="38"/>
      <c r="Q638" s="38"/>
      <c r="R638" s="38"/>
      <c r="S638" s="38"/>
      <c r="T638" s="38"/>
      <c r="U638" s="38"/>
      <c r="V638" s="38"/>
      <c r="W638" s="38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35" t="s">
        <v>21</v>
      </c>
      <c r="B639" s="35" t="s">
        <v>39</v>
      </c>
      <c r="C639" s="35" t="s">
        <v>41</v>
      </c>
      <c r="D639" s="35" t="s">
        <v>44</v>
      </c>
      <c r="E639" s="35" t="s">
        <v>25</v>
      </c>
      <c r="F639" s="35" t="s">
        <v>25</v>
      </c>
      <c r="G639" s="35" t="s">
        <v>25</v>
      </c>
      <c r="H639" s="35" t="s">
        <v>25</v>
      </c>
      <c r="I639" s="45">
        <v>44531</v>
      </c>
      <c r="J639" s="46">
        <f ca="1">EFEITO!$J$639*EFEITO!$Y$592</f>
        <v>7285.5917675189685</v>
      </c>
      <c r="K639" s="46">
        <f>EFEITO!$L$639*EFEITO!$Z$592</f>
        <v>0</v>
      </c>
      <c r="L639" s="46">
        <f>EFEITO!$N$639*EFEITO!$AA$592</f>
        <v>0</v>
      </c>
      <c r="M639" s="46">
        <f ca="1">$J$639-EFEITO!$K$639*EFEITO!$Y$639</f>
        <v>145.71183535037926</v>
      </c>
      <c r="N639" s="46">
        <f>$K$639-EFEITO!$M$639*EFEITO!$Z$639</f>
        <v>0</v>
      </c>
      <c r="O639" s="46">
        <f>$L$639-EFEITO!$O$639*EFEITO!$AA$639</f>
        <v>0</v>
      </c>
      <c r="P639" s="38"/>
      <c r="Q639" s="38"/>
      <c r="R639" s="38"/>
      <c r="S639" s="38"/>
      <c r="T639" s="38"/>
      <c r="U639" s="38"/>
      <c r="V639" s="38"/>
      <c r="W639" s="38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35" t="s">
        <v>55</v>
      </c>
      <c r="B640" s="35" t="s">
        <v>39</v>
      </c>
      <c r="C640" s="35" t="s">
        <v>41</v>
      </c>
      <c r="D640" s="35" t="s">
        <v>44</v>
      </c>
      <c r="E640" s="35" t="s">
        <v>25</v>
      </c>
      <c r="F640" s="35" t="s">
        <v>25</v>
      </c>
      <c r="G640" s="35" t="s">
        <v>25</v>
      </c>
      <c r="H640" s="35" t="s">
        <v>25</v>
      </c>
      <c r="I640" s="45">
        <v>44562</v>
      </c>
      <c r="J640" s="46">
        <f ca="1">EFEITO!$J$640*EFEITO!$Y$592</f>
        <v>7285.5917675189685</v>
      </c>
      <c r="K640" s="46">
        <f>EFEITO!$L$640*EFEITO!$Z$592</f>
        <v>0</v>
      </c>
      <c r="L640" s="46">
        <f>EFEITO!$N$640*EFEITO!$AA$592</f>
        <v>0</v>
      </c>
      <c r="M640" s="46">
        <f ca="1">$J$640-EFEITO!$K$640*EFEITO!$Y$640</f>
        <v>145.71183535037926</v>
      </c>
      <c r="N640" s="46">
        <f>$K$640-EFEITO!$M$640*EFEITO!$Z$640</f>
        <v>0</v>
      </c>
      <c r="O640" s="46">
        <f>$L$640-EFEITO!$O$640*EFEITO!$AA$640</f>
        <v>0</v>
      </c>
      <c r="P640" s="38"/>
      <c r="Q640" s="38"/>
      <c r="R640" s="38"/>
      <c r="S640" s="38"/>
      <c r="T640" s="38"/>
      <c r="U640" s="38"/>
      <c r="V640" s="38"/>
      <c r="W640" s="38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35" t="s">
        <v>21</v>
      </c>
      <c r="B641" s="35" t="s">
        <v>39</v>
      </c>
      <c r="C641" s="35" t="s">
        <v>41</v>
      </c>
      <c r="D641" s="35" t="s">
        <v>44</v>
      </c>
      <c r="E641" s="35" t="s">
        <v>25</v>
      </c>
      <c r="F641" s="35" t="s">
        <v>25</v>
      </c>
      <c r="G641" s="35" t="s">
        <v>25</v>
      </c>
      <c r="H641" s="35" t="s">
        <v>34</v>
      </c>
      <c r="I641" s="45">
        <v>44228</v>
      </c>
      <c r="J641" s="46">
        <f>EFEITO!$J$641*EFEITO!$Y$616</f>
        <v>0</v>
      </c>
      <c r="K641" s="46">
        <f ca="1">EFEITO!$L$641*EFEITO!$Z$616</f>
        <v>7417.9639851210723</v>
      </c>
      <c r="L641" s="46">
        <f>EFEITO!$N$641*EFEITO!$AA$616</f>
        <v>3078.3280128137208</v>
      </c>
      <c r="M641" s="46">
        <f>$J$641-EFEITO!$K$641*EFEITO!$Y$641</f>
        <v>0</v>
      </c>
      <c r="N641" s="46">
        <f ca="1">$K$641-EFEITO!$M$641*EFEITO!$Z$641</f>
        <v>148.3592797024221</v>
      </c>
      <c r="O641" s="46">
        <f>$L$641-EFEITO!$O$641*EFEITO!$AA$641</f>
        <v>61.566560256274897</v>
      </c>
      <c r="P641" s="38"/>
      <c r="Q641" s="38"/>
      <c r="R641" s="38"/>
      <c r="S641" s="38"/>
      <c r="T641" s="38"/>
      <c r="U641" s="38"/>
      <c r="V641" s="38"/>
      <c r="W641" s="38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35" t="s">
        <v>21</v>
      </c>
      <c r="B642" s="35" t="s">
        <v>39</v>
      </c>
      <c r="C642" s="35" t="s">
        <v>41</v>
      </c>
      <c r="D642" s="35" t="s">
        <v>44</v>
      </c>
      <c r="E642" s="35" t="s">
        <v>25</v>
      </c>
      <c r="F642" s="35" t="s">
        <v>25</v>
      </c>
      <c r="G642" s="35" t="s">
        <v>25</v>
      </c>
      <c r="H642" s="35" t="s">
        <v>34</v>
      </c>
      <c r="I642" s="45">
        <v>44256</v>
      </c>
      <c r="J642" s="46">
        <f>EFEITO!$J$642*EFEITO!$Y$616</f>
        <v>0</v>
      </c>
      <c r="K642" s="46">
        <f ca="1">EFEITO!$L$642*EFEITO!$Z$616</f>
        <v>8900.4421369183729</v>
      </c>
      <c r="L642" s="46">
        <f>EFEITO!$N$642*EFEITO!$AA$616</f>
        <v>3693.5310566968537</v>
      </c>
      <c r="M642" s="46">
        <f>$J$642-EFEITO!$K$642*EFEITO!$Y$642</f>
        <v>0</v>
      </c>
      <c r="N642" s="46">
        <f ca="1">$K$642-EFEITO!$M$642*EFEITO!$Z$642</f>
        <v>178.00884273836891</v>
      </c>
      <c r="O642" s="46">
        <f>$L$642-EFEITO!$O$642*EFEITO!$AA$642</f>
        <v>73.87062113393722</v>
      </c>
      <c r="P642" s="38"/>
      <c r="Q642" s="38"/>
      <c r="R642" s="38"/>
      <c r="S642" s="38"/>
      <c r="T642" s="38"/>
      <c r="U642" s="38"/>
      <c r="V642" s="38"/>
      <c r="W642" s="38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35" t="s">
        <v>21</v>
      </c>
      <c r="B643" s="35" t="s">
        <v>39</v>
      </c>
      <c r="C643" s="35" t="s">
        <v>41</v>
      </c>
      <c r="D643" s="35" t="s">
        <v>44</v>
      </c>
      <c r="E643" s="35" t="s">
        <v>25</v>
      </c>
      <c r="F643" s="35" t="s">
        <v>25</v>
      </c>
      <c r="G643" s="35" t="s">
        <v>25</v>
      </c>
      <c r="H643" s="35" t="s">
        <v>34</v>
      </c>
      <c r="I643" s="45">
        <v>44287</v>
      </c>
      <c r="J643" s="46">
        <f>EFEITO!$J$643*EFEITO!$Y$616</f>
        <v>0</v>
      </c>
      <c r="K643" s="46">
        <f ca="1">EFEITO!$L$643*EFEITO!$Z$616</f>
        <v>8250.2324212178009</v>
      </c>
      <c r="L643" s="46">
        <f>EFEITO!$N$643*EFEITO!$AA$616</f>
        <v>3423.7051602568827</v>
      </c>
      <c r="M643" s="46">
        <f>$J$643-EFEITO!$K$643*EFEITO!$Y$643</f>
        <v>0</v>
      </c>
      <c r="N643" s="46">
        <f ca="1">$K$643-EFEITO!$M$643*EFEITO!$Z$643</f>
        <v>165.00464842435576</v>
      </c>
      <c r="O643" s="46">
        <f>$L$643-EFEITO!$O$643*EFEITO!$AA$643</f>
        <v>68.474103205137908</v>
      </c>
      <c r="P643" s="38"/>
      <c r="Q643" s="38"/>
      <c r="R643" s="38"/>
      <c r="S643" s="38"/>
      <c r="T643" s="38"/>
      <c r="U643" s="38"/>
      <c r="V643" s="38"/>
      <c r="W643" s="38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35" t="s">
        <v>21</v>
      </c>
      <c r="B644" s="35" t="s">
        <v>39</v>
      </c>
      <c r="C644" s="35" t="s">
        <v>41</v>
      </c>
      <c r="D644" s="35" t="s">
        <v>44</v>
      </c>
      <c r="E644" s="35" t="s">
        <v>25</v>
      </c>
      <c r="F644" s="35" t="s">
        <v>25</v>
      </c>
      <c r="G644" s="35" t="s">
        <v>25</v>
      </c>
      <c r="H644" s="35" t="s">
        <v>34</v>
      </c>
      <c r="I644" s="45">
        <v>44317</v>
      </c>
      <c r="J644" s="46">
        <f>EFEITO!$J$644*EFEITO!$Y$616</f>
        <v>0</v>
      </c>
      <c r="K644" s="46">
        <f ca="1">EFEITO!$L$644*EFEITO!$Z$616</f>
        <v>8289.2450041598349</v>
      </c>
      <c r="L644" s="46">
        <f>EFEITO!$N$644*EFEITO!$AA$616</f>
        <v>3439.8947140432811</v>
      </c>
      <c r="M644" s="46">
        <f>$J$644-EFEITO!$K$644*EFEITO!$Y$644</f>
        <v>0</v>
      </c>
      <c r="N644" s="46">
        <f ca="1">$K$644-EFEITO!$M$644*EFEITO!$Z$644</f>
        <v>165.78490008319659</v>
      </c>
      <c r="O644" s="46">
        <f>$L$644-EFEITO!$O$644*EFEITO!$AA$644</f>
        <v>68.797894280865876</v>
      </c>
      <c r="P644" s="38"/>
      <c r="Q644" s="38"/>
      <c r="R644" s="38"/>
      <c r="S644" s="38"/>
      <c r="T644" s="38"/>
      <c r="U644" s="38"/>
      <c r="V644" s="38"/>
      <c r="W644" s="38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35" t="s">
        <v>21</v>
      </c>
      <c r="B645" s="35" t="s">
        <v>39</v>
      </c>
      <c r="C645" s="35" t="s">
        <v>41</v>
      </c>
      <c r="D645" s="35" t="s">
        <v>44</v>
      </c>
      <c r="E645" s="35" t="s">
        <v>25</v>
      </c>
      <c r="F645" s="35" t="s">
        <v>25</v>
      </c>
      <c r="G645" s="35" t="s">
        <v>25</v>
      </c>
      <c r="H645" s="35" t="s">
        <v>34</v>
      </c>
      <c r="I645" s="45">
        <v>44348</v>
      </c>
      <c r="J645" s="46">
        <f>EFEITO!$J$645*EFEITO!$Y$616</f>
        <v>0</v>
      </c>
      <c r="K645" s="46">
        <f ca="1">EFEITO!$L$645*EFEITO!$Z$616</f>
        <v>7748.6420691059338</v>
      </c>
      <c r="L645" s="46">
        <f>EFEITO!$N$645*EFEITO!$AA$616</f>
        <v>3215.5537544317631</v>
      </c>
      <c r="M645" s="46">
        <f>$J$645-EFEITO!$K$645*EFEITO!$Y$645</f>
        <v>0</v>
      </c>
      <c r="N645" s="46">
        <f ca="1">$K$645-EFEITO!$M$645*EFEITO!$Z$645</f>
        <v>154.97284138211944</v>
      </c>
      <c r="O645" s="46">
        <f>$L$645-EFEITO!$O$645*EFEITO!$AA$645</f>
        <v>64.311075088635334</v>
      </c>
      <c r="P645" s="38"/>
      <c r="Q645" s="38"/>
      <c r="R645" s="38"/>
      <c r="S645" s="38"/>
      <c r="T645" s="38"/>
      <c r="U645" s="38"/>
      <c r="V645" s="38"/>
      <c r="W645" s="38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35" t="s">
        <v>21</v>
      </c>
      <c r="B646" s="35" t="s">
        <v>39</v>
      </c>
      <c r="C646" s="35" t="s">
        <v>41</v>
      </c>
      <c r="D646" s="35" t="s">
        <v>44</v>
      </c>
      <c r="E646" s="35" t="s">
        <v>25</v>
      </c>
      <c r="F646" s="35" t="s">
        <v>25</v>
      </c>
      <c r="G646" s="35" t="s">
        <v>25</v>
      </c>
      <c r="H646" s="35" t="s">
        <v>34</v>
      </c>
      <c r="I646" s="45">
        <v>44378</v>
      </c>
      <c r="J646" s="46">
        <f>EFEITO!$J$646*EFEITO!$Y$616</f>
        <v>0</v>
      </c>
      <c r="K646" s="46">
        <f ca="1">EFEITO!$L$646*EFEITO!$Z$616</f>
        <v>7581.4452850686448</v>
      </c>
      <c r="L646" s="46">
        <f>EFEITO!$N$646*EFEITO!$AA$616</f>
        <v>3146.1699524900564</v>
      </c>
      <c r="M646" s="46">
        <f>$J$646-EFEITO!$K$646*EFEITO!$Y$646</f>
        <v>0</v>
      </c>
      <c r="N646" s="46">
        <f ca="1">$K$646-EFEITO!$M$646*EFEITO!$Z$646</f>
        <v>151.6289057013737</v>
      </c>
      <c r="O646" s="46">
        <f>$L$646-EFEITO!$O$646*EFEITO!$AA$646</f>
        <v>62.923399049801446</v>
      </c>
      <c r="P646" s="38"/>
      <c r="Q646" s="38"/>
      <c r="R646" s="38"/>
      <c r="S646" s="38"/>
      <c r="T646" s="38"/>
      <c r="U646" s="38"/>
      <c r="V646" s="38"/>
      <c r="W646" s="38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35" t="s">
        <v>21</v>
      </c>
      <c r="B647" s="35" t="s">
        <v>39</v>
      </c>
      <c r="C647" s="35" t="s">
        <v>41</v>
      </c>
      <c r="D647" s="35" t="s">
        <v>44</v>
      </c>
      <c r="E647" s="35" t="s">
        <v>25</v>
      </c>
      <c r="F647" s="35" t="s">
        <v>25</v>
      </c>
      <c r="G647" s="35" t="s">
        <v>25</v>
      </c>
      <c r="H647" s="35" t="s">
        <v>34</v>
      </c>
      <c r="I647" s="45">
        <v>44409</v>
      </c>
      <c r="J647" s="46">
        <f>EFEITO!$J$647*EFEITO!$Y$616</f>
        <v>0</v>
      </c>
      <c r="K647" s="46">
        <f ca="1">EFEITO!$L$647*EFEITO!$Z$616</f>
        <v>7228.474296545478</v>
      </c>
      <c r="L647" s="46">
        <f>EFEITO!$N$647*EFEITO!$AA$616</f>
        <v>2999.6930372797865</v>
      </c>
      <c r="M647" s="46">
        <f>$J$647-EFEITO!$K$647*EFEITO!$Y$647</f>
        <v>0</v>
      </c>
      <c r="N647" s="46">
        <f ca="1">$K$647-EFEITO!$M$647*EFEITO!$Z$647</f>
        <v>144.56948593091056</v>
      </c>
      <c r="O647" s="46">
        <f>$L$647-EFEITO!$O$647*EFEITO!$AA$647</f>
        <v>59.993860745596066</v>
      </c>
      <c r="P647" s="38"/>
      <c r="Q647" s="38"/>
      <c r="R647" s="38"/>
      <c r="S647" s="38"/>
      <c r="T647" s="38"/>
      <c r="U647" s="38"/>
      <c r="V647" s="38"/>
      <c r="W647" s="38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35" t="s">
        <v>21</v>
      </c>
      <c r="B648" s="35" t="s">
        <v>39</v>
      </c>
      <c r="C648" s="35" t="s">
        <v>41</v>
      </c>
      <c r="D648" s="35" t="s">
        <v>44</v>
      </c>
      <c r="E648" s="35" t="s">
        <v>25</v>
      </c>
      <c r="F648" s="35" t="s">
        <v>25</v>
      </c>
      <c r="G648" s="35" t="s">
        <v>25</v>
      </c>
      <c r="H648" s="35" t="s">
        <v>34</v>
      </c>
      <c r="I648" s="45">
        <v>44440</v>
      </c>
      <c r="J648" s="46">
        <f>EFEITO!$J$648*EFEITO!$Y$616</f>
        <v>0</v>
      </c>
      <c r="K648" s="46">
        <f ca="1">EFEITO!$L$648*EFEITO!$Z$616</f>
        <v>7878.6840122460471</v>
      </c>
      <c r="L648" s="46">
        <f>EFEITO!$N$648*EFEITO!$AA$616</f>
        <v>3269.5189337197567</v>
      </c>
      <c r="M648" s="46">
        <f>$J$648-EFEITO!$K$648*EFEITO!$Y$648</f>
        <v>0</v>
      </c>
      <c r="N648" s="46">
        <f ca="1">$K$648-EFEITO!$M$648*EFEITO!$Z$648</f>
        <v>157.57368024492189</v>
      </c>
      <c r="O648" s="46">
        <f>$L$648-EFEITO!$O$648*EFEITO!$AA$648</f>
        <v>65.390378674395379</v>
      </c>
      <c r="P648" s="38"/>
      <c r="Q648" s="38"/>
      <c r="R648" s="38"/>
      <c r="S648" s="38"/>
      <c r="T648" s="38"/>
      <c r="U648" s="38"/>
      <c r="V648" s="38"/>
      <c r="W648" s="38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35" t="s">
        <v>21</v>
      </c>
      <c r="B649" s="35" t="s">
        <v>39</v>
      </c>
      <c r="C649" s="35" t="s">
        <v>41</v>
      </c>
      <c r="D649" s="35" t="s">
        <v>44</v>
      </c>
      <c r="E649" s="35" t="s">
        <v>25</v>
      </c>
      <c r="F649" s="35" t="s">
        <v>25</v>
      </c>
      <c r="G649" s="35" t="s">
        <v>25</v>
      </c>
      <c r="H649" s="35" t="s">
        <v>34</v>
      </c>
      <c r="I649" s="45">
        <v>44470</v>
      </c>
      <c r="J649" s="46">
        <f>EFEITO!$J$649*EFEITO!$Y$616</f>
        <v>0</v>
      </c>
      <c r="K649" s="46">
        <f ca="1">EFEITO!$L$649*EFEITO!$Z$616</f>
        <v>6912.6581489194868</v>
      </c>
      <c r="L649" s="46">
        <f>EFEITO!$N$649*EFEITO!$AA$616</f>
        <v>2868.6347447232292</v>
      </c>
      <c r="M649" s="46">
        <f>$J$649-EFEITO!$K$649*EFEITO!$Y$649</f>
        <v>0</v>
      </c>
      <c r="N649" s="46">
        <f ca="1">$K$649-EFEITO!$M$649*EFEITO!$Z$649</f>
        <v>138.25316297839072</v>
      </c>
      <c r="O649" s="46">
        <f>$L$649-EFEITO!$O$649*EFEITO!$AA$649</f>
        <v>57.37269489446453</v>
      </c>
      <c r="P649" s="38"/>
      <c r="Q649" s="38"/>
      <c r="R649" s="38"/>
      <c r="S649" s="38"/>
      <c r="T649" s="38"/>
      <c r="U649" s="38"/>
      <c r="V649" s="38"/>
      <c r="W649" s="38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35" t="s">
        <v>21</v>
      </c>
      <c r="B650" s="35" t="s">
        <v>39</v>
      </c>
      <c r="C650" s="35" t="s">
        <v>41</v>
      </c>
      <c r="D650" s="35" t="s">
        <v>44</v>
      </c>
      <c r="E650" s="35" t="s">
        <v>25</v>
      </c>
      <c r="F650" s="35" t="s">
        <v>25</v>
      </c>
      <c r="G650" s="35" t="s">
        <v>25</v>
      </c>
      <c r="H650" s="35" t="s">
        <v>34</v>
      </c>
      <c r="I650" s="45">
        <v>44501</v>
      </c>
      <c r="J650" s="46">
        <f>EFEITO!$J$650*EFEITO!$Y$616</f>
        <v>0</v>
      </c>
      <c r="K650" s="46">
        <f ca="1">EFEITO!$L$650*EFEITO!$Z$616</f>
        <v>6299.6032741160925</v>
      </c>
      <c r="L650" s="46">
        <f>EFEITO!$N$650*EFEITO!$AA$616</f>
        <v>2614.2274709369713</v>
      </c>
      <c r="M650" s="46">
        <f>$J$650-EFEITO!$K$650*EFEITO!$Y$650</f>
        <v>0</v>
      </c>
      <c r="N650" s="46">
        <f ca="1">$K$650-EFEITO!$M$650*EFEITO!$Z$650</f>
        <v>125.99206548232269</v>
      </c>
      <c r="O650" s="46">
        <f>$L$650-EFEITO!$O$650*EFEITO!$AA$650</f>
        <v>52.284549418739516</v>
      </c>
      <c r="P650" s="38"/>
      <c r="Q650" s="38"/>
      <c r="R650" s="38"/>
      <c r="S650" s="38"/>
      <c r="T650" s="38"/>
      <c r="U650" s="38"/>
      <c r="V650" s="38"/>
      <c r="W650" s="38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35" t="s">
        <v>21</v>
      </c>
      <c r="B651" s="35" t="s">
        <v>39</v>
      </c>
      <c r="C651" s="35" t="s">
        <v>41</v>
      </c>
      <c r="D651" s="35" t="s">
        <v>44</v>
      </c>
      <c r="E651" s="35" t="s">
        <v>25</v>
      </c>
      <c r="F651" s="35" t="s">
        <v>25</v>
      </c>
      <c r="G651" s="35" t="s">
        <v>25</v>
      </c>
      <c r="H651" s="35" t="s">
        <v>34</v>
      </c>
      <c r="I651" s="45">
        <v>44531</v>
      </c>
      <c r="J651" s="46">
        <f>EFEITO!$J$651*EFEITO!$Y$616</f>
        <v>0</v>
      </c>
      <c r="K651" s="46">
        <f ca="1">EFEITO!$L$651*EFEITO!$Z$616</f>
        <v>8919.0195573669589</v>
      </c>
      <c r="L651" s="46">
        <f>EFEITO!$N$651*EFEITO!$AA$616</f>
        <v>3701.2403680237098</v>
      </c>
      <c r="M651" s="46">
        <f>$J$651-EFEITO!$K$651*EFEITO!$Y$651</f>
        <v>0</v>
      </c>
      <c r="N651" s="46">
        <f ca="1">$K$651-EFEITO!$M$651*EFEITO!$Z$651</f>
        <v>178.38039114733874</v>
      </c>
      <c r="O651" s="46">
        <f>$L$651-EFEITO!$O$651*EFEITO!$AA$651</f>
        <v>74.024807360474369</v>
      </c>
      <c r="P651" s="38"/>
      <c r="Q651" s="38"/>
      <c r="R651" s="38"/>
      <c r="S651" s="38"/>
      <c r="T651" s="38"/>
      <c r="U651" s="38"/>
      <c r="V651" s="38"/>
      <c r="W651" s="38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35" t="s">
        <v>55</v>
      </c>
      <c r="B652" s="35" t="s">
        <v>39</v>
      </c>
      <c r="C652" s="35" t="s">
        <v>41</v>
      </c>
      <c r="D652" s="35" t="s">
        <v>44</v>
      </c>
      <c r="E652" s="35" t="s">
        <v>25</v>
      </c>
      <c r="F652" s="35" t="s">
        <v>25</v>
      </c>
      <c r="G652" s="35" t="s">
        <v>25</v>
      </c>
      <c r="H652" s="35" t="s">
        <v>34</v>
      </c>
      <c r="I652" s="45">
        <v>44562</v>
      </c>
      <c r="J652" s="46">
        <f>EFEITO!$J$652*EFEITO!$Y$616</f>
        <v>0</v>
      </c>
      <c r="K652" s="46">
        <f ca="1">EFEITO!$L$652*EFEITO!$Z$616</f>
        <v>8919.0195573669589</v>
      </c>
      <c r="L652" s="46">
        <f>EFEITO!$N$652*EFEITO!$AA$616</f>
        <v>3701.2403680237098</v>
      </c>
      <c r="M652" s="46">
        <f>$J$652-EFEITO!$K$652*EFEITO!$Y$652</f>
        <v>0</v>
      </c>
      <c r="N652" s="46">
        <f ca="1">$K$652-EFEITO!$M$652*EFEITO!$Z$652</f>
        <v>178.38039114733874</v>
      </c>
      <c r="O652" s="46">
        <f>$L$652-EFEITO!$O$652*EFEITO!$AA$652</f>
        <v>74.024807360474369</v>
      </c>
      <c r="P652" s="38"/>
      <c r="Q652" s="38"/>
      <c r="R652" s="38"/>
      <c r="S652" s="38"/>
      <c r="T652" s="38"/>
      <c r="U652" s="38"/>
      <c r="V652" s="38"/>
      <c r="W652" s="38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35" t="s">
        <v>21</v>
      </c>
      <c r="B653" s="35" t="s">
        <v>39</v>
      </c>
      <c r="C653" s="35" t="s">
        <v>41</v>
      </c>
      <c r="D653" s="35" t="s">
        <v>49</v>
      </c>
      <c r="E653" s="35" t="s">
        <v>50</v>
      </c>
      <c r="F653" s="35" t="s">
        <v>25</v>
      </c>
      <c r="G653" s="35" t="s">
        <v>25</v>
      </c>
      <c r="H653" s="35" t="s">
        <v>35</v>
      </c>
      <c r="I653" s="45">
        <v>44228</v>
      </c>
      <c r="J653" s="46">
        <f>EFEITO!$J$653*EFEITO!$Y$567</f>
        <v>0</v>
      </c>
      <c r="K653" s="46">
        <f ca="1">EFEITO!$L$653*EFEITO!$Z$567</f>
        <v>8233.0838256203697</v>
      </c>
      <c r="L653" s="46">
        <f>EFEITO!$N$653*EFEITO!$AA$567</f>
        <v>39448.188104176726</v>
      </c>
      <c r="M653" s="46">
        <f>$J$653-EFEITO!$K$653*EFEITO!$Y$653</f>
        <v>0</v>
      </c>
      <c r="N653" s="46">
        <f ca="1">$K$653-EFEITO!$M$653*EFEITO!$Z$653</f>
        <v>246.99251476861173</v>
      </c>
      <c r="O653" s="46">
        <f>$L$653-EFEITO!$O$653*EFEITO!$AA$653</f>
        <v>1183.4456431253057</v>
      </c>
      <c r="P653" s="38"/>
      <c r="Q653" s="38"/>
      <c r="R653" s="38"/>
      <c r="S653" s="38"/>
      <c r="T653" s="38"/>
      <c r="U653" s="38"/>
      <c r="V653" s="38"/>
      <c r="W653" s="38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35" t="s">
        <v>21</v>
      </c>
      <c r="B654" s="35" t="s">
        <v>39</v>
      </c>
      <c r="C654" s="35" t="s">
        <v>41</v>
      </c>
      <c r="D654" s="35" t="s">
        <v>49</v>
      </c>
      <c r="E654" s="35" t="s">
        <v>50</v>
      </c>
      <c r="F654" s="35" t="s">
        <v>25</v>
      </c>
      <c r="G654" s="35" t="s">
        <v>25</v>
      </c>
      <c r="H654" s="35" t="s">
        <v>35</v>
      </c>
      <c r="I654" s="45">
        <v>44256</v>
      </c>
      <c r="J654" s="46">
        <f>EFEITO!$J$654*EFEITO!$Y$567</f>
        <v>0</v>
      </c>
      <c r="K654" s="46">
        <f ca="1">EFEITO!$L$654*EFEITO!$Z$567</f>
        <v>9082.9984029044863</v>
      </c>
      <c r="L654" s="46">
        <f>EFEITO!$N$654*EFEITO!$AA$567</f>
        <v>43520.488450840494</v>
      </c>
      <c r="M654" s="46">
        <f>$J$654-EFEITO!$K$654*EFEITO!$Y$654</f>
        <v>0</v>
      </c>
      <c r="N654" s="46">
        <f ca="1">$K$654-EFEITO!$M$654*EFEITO!$Z$654</f>
        <v>272.48995208713495</v>
      </c>
      <c r="O654" s="46">
        <f>$L$654-EFEITO!$O$654*EFEITO!$AA$654</f>
        <v>1305.6146535252119</v>
      </c>
      <c r="P654" s="38"/>
      <c r="Q654" s="38"/>
      <c r="R654" s="38"/>
      <c r="S654" s="38"/>
      <c r="T654" s="38"/>
      <c r="U654" s="38"/>
      <c r="V654" s="38"/>
      <c r="W654" s="38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35" t="s">
        <v>21</v>
      </c>
      <c r="B655" s="35" t="s">
        <v>39</v>
      </c>
      <c r="C655" s="35" t="s">
        <v>41</v>
      </c>
      <c r="D655" s="35" t="s">
        <v>49</v>
      </c>
      <c r="E655" s="35" t="s">
        <v>50</v>
      </c>
      <c r="F655" s="35" t="s">
        <v>25</v>
      </c>
      <c r="G655" s="35" t="s">
        <v>25</v>
      </c>
      <c r="H655" s="35" t="s">
        <v>35</v>
      </c>
      <c r="I655" s="45">
        <v>44287</v>
      </c>
      <c r="J655" s="46">
        <f>EFEITO!$J$655*EFEITO!$Y$567</f>
        <v>0</v>
      </c>
      <c r="K655" s="46">
        <f ca="1">EFEITO!$L$655*EFEITO!$Z$567</f>
        <v>9335.0701915981463</v>
      </c>
      <c r="L655" s="46">
        <f>EFEITO!$N$655*EFEITO!$AA$567</f>
        <v>44728.271044429544</v>
      </c>
      <c r="M655" s="46">
        <f>$J$655-EFEITO!$K$655*EFEITO!$Y$655</f>
        <v>0</v>
      </c>
      <c r="N655" s="46">
        <f ca="1">$K$655-EFEITO!$M$655*EFEITO!$Z$655</f>
        <v>280.05210574794364</v>
      </c>
      <c r="O655" s="46">
        <f>$L$655-EFEITO!$O$655*EFEITO!$AA$655</f>
        <v>1341.8481313328884</v>
      </c>
      <c r="P655" s="38"/>
      <c r="Q655" s="38"/>
      <c r="R655" s="38"/>
      <c r="S655" s="38"/>
      <c r="T655" s="38"/>
      <c r="U655" s="38"/>
      <c r="V655" s="38"/>
      <c r="W655" s="38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35" t="s">
        <v>21</v>
      </c>
      <c r="B656" s="35" t="s">
        <v>39</v>
      </c>
      <c r="C656" s="35" t="s">
        <v>41</v>
      </c>
      <c r="D656" s="35" t="s">
        <v>49</v>
      </c>
      <c r="E656" s="35" t="s">
        <v>50</v>
      </c>
      <c r="F656" s="35" t="s">
        <v>25</v>
      </c>
      <c r="G656" s="35" t="s">
        <v>25</v>
      </c>
      <c r="H656" s="35" t="s">
        <v>35</v>
      </c>
      <c r="I656" s="45">
        <v>44317</v>
      </c>
      <c r="J656" s="46">
        <f>EFEITO!$J$656*EFEITO!$Y$567</f>
        <v>0</v>
      </c>
      <c r="K656" s="46">
        <f ca="1">EFEITO!$L$656*EFEITO!$Z$567</f>
        <v>8888.9285170012863</v>
      </c>
      <c r="L656" s="46">
        <f>EFEITO!$N$656*EFEITO!$AA$567</f>
        <v>42590.617514674166</v>
      </c>
      <c r="M656" s="46">
        <f>$J$656-EFEITO!$K$656*EFEITO!$Y$656</f>
        <v>0</v>
      </c>
      <c r="N656" s="46">
        <f ca="1">$K$656-EFEITO!$M$656*EFEITO!$Z$656</f>
        <v>266.66785551003704</v>
      </c>
      <c r="O656" s="46">
        <f>$L$656-EFEITO!$O$656*EFEITO!$AA$656</f>
        <v>1277.7185254402284</v>
      </c>
      <c r="P656" s="38"/>
      <c r="Q656" s="38"/>
      <c r="R656" s="38"/>
      <c r="S656" s="38"/>
      <c r="T656" s="38"/>
      <c r="U656" s="38"/>
      <c r="V656" s="38"/>
      <c r="W656" s="38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35" t="s">
        <v>21</v>
      </c>
      <c r="B657" s="35" t="s">
        <v>39</v>
      </c>
      <c r="C657" s="35" t="s">
        <v>41</v>
      </c>
      <c r="D657" s="35" t="s">
        <v>49</v>
      </c>
      <c r="E657" s="35" t="s">
        <v>50</v>
      </c>
      <c r="F657" s="35" t="s">
        <v>25</v>
      </c>
      <c r="G657" s="35" t="s">
        <v>25</v>
      </c>
      <c r="H657" s="35" t="s">
        <v>35</v>
      </c>
      <c r="I657" s="45">
        <v>44348</v>
      </c>
      <c r="J657" s="46">
        <f>EFEITO!$J$657*EFEITO!$Y$567</f>
        <v>0</v>
      </c>
      <c r="K657" s="46">
        <f ca="1">EFEITO!$L$657*EFEITO!$Z$567</f>
        <v>7734.6159709095391</v>
      </c>
      <c r="L657" s="46">
        <f>EFEITO!$N$657*EFEITO!$AA$567</f>
        <v>37059.817705793641</v>
      </c>
      <c r="M657" s="46">
        <f>$J$657-EFEITO!$K$657*EFEITO!$Y$657</f>
        <v>0</v>
      </c>
      <c r="N657" s="46">
        <f ca="1">$K$657-EFEITO!$M$657*EFEITO!$Z$657</f>
        <v>232.03847912728634</v>
      </c>
      <c r="O657" s="46">
        <f>$L$657-EFEITO!$O$657*EFEITO!$AA$657</f>
        <v>1111.7945311738076</v>
      </c>
      <c r="P657" s="38"/>
      <c r="Q657" s="38"/>
      <c r="R657" s="38"/>
      <c r="S657" s="38"/>
      <c r="T657" s="38"/>
      <c r="U657" s="38"/>
      <c r="V657" s="38"/>
      <c r="W657" s="38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35" t="s">
        <v>21</v>
      </c>
      <c r="B658" s="35" t="s">
        <v>39</v>
      </c>
      <c r="C658" s="35" t="s">
        <v>41</v>
      </c>
      <c r="D658" s="35" t="s">
        <v>49</v>
      </c>
      <c r="E658" s="35" t="s">
        <v>50</v>
      </c>
      <c r="F658" s="35" t="s">
        <v>25</v>
      </c>
      <c r="G658" s="35" t="s">
        <v>25</v>
      </c>
      <c r="H658" s="35" t="s">
        <v>35</v>
      </c>
      <c r="I658" s="45">
        <v>44378</v>
      </c>
      <c r="J658" s="46">
        <f>EFEITO!$J$658*EFEITO!$Y$567</f>
        <v>0</v>
      </c>
      <c r="K658" s="46">
        <f ca="1">EFEITO!$L$658*EFEITO!$Z$567</f>
        <v>8838.643605569212</v>
      </c>
      <c r="L658" s="46">
        <f>EFEITO!$N$658*EFEITO!$AA$567</f>
        <v>42349.681227981506</v>
      </c>
      <c r="M658" s="46">
        <f>$J$658-EFEITO!$K$658*EFEITO!$Y$658</f>
        <v>0</v>
      </c>
      <c r="N658" s="46">
        <f ca="1">$K$658-EFEITO!$M$658*EFEITO!$Z$658</f>
        <v>265.15930816707623</v>
      </c>
      <c r="O658" s="46">
        <f>$L$658-EFEITO!$O$658*EFEITO!$AA$658</f>
        <v>1270.4904368394491</v>
      </c>
      <c r="P658" s="38"/>
      <c r="Q658" s="38"/>
      <c r="R658" s="38"/>
      <c r="S658" s="38"/>
      <c r="T658" s="38"/>
      <c r="U658" s="38"/>
      <c r="V658" s="38"/>
      <c r="W658" s="38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35" t="s">
        <v>21</v>
      </c>
      <c r="B659" s="35" t="s">
        <v>39</v>
      </c>
      <c r="C659" s="35" t="s">
        <v>41</v>
      </c>
      <c r="D659" s="35" t="s">
        <v>49</v>
      </c>
      <c r="E659" s="35" t="s">
        <v>50</v>
      </c>
      <c r="F659" s="35" t="s">
        <v>25</v>
      </c>
      <c r="G659" s="35" t="s">
        <v>25</v>
      </c>
      <c r="H659" s="35" t="s">
        <v>35</v>
      </c>
      <c r="I659" s="45">
        <v>44409</v>
      </c>
      <c r="J659" s="46">
        <f>EFEITO!$J$659*EFEITO!$Y$567</f>
        <v>0</v>
      </c>
      <c r="K659" s="46">
        <f ca="1">EFEITO!$L$659*EFEITO!$Z$567</f>
        <v>8757.4907287035858</v>
      </c>
      <c r="L659" s="46">
        <f>EFEITO!$N$659*EFEITO!$AA$567</f>
        <v>41960.843458368603</v>
      </c>
      <c r="M659" s="46">
        <f>$J$659-EFEITO!$K$659*EFEITO!$Y$659</f>
        <v>0</v>
      </c>
      <c r="N659" s="46">
        <f ca="1">$K$659-EFEITO!$M$659*EFEITO!$Z$659</f>
        <v>262.72472186110826</v>
      </c>
      <c r="O659" s="46">
        <f>$L$659-EFEITO!$O$659*EFEITO!$AA$659</f>
        <v>1258.8253037510658</v>
      </c>
      <c r="P659" s="38"/>
      <c r="Q659" s="38"/>
      <c r="R659" s="38"/>
      <c r="S659" s="38"/>
      <c r="T659" s="38"/>
      <c r="U659" s="38"/>
      <c r="V659" s="38"/>
      <c r="W659" s="38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35" t="s">
        <v>21</v>
      </c>
      <c r="B660" s="35" t="s">
        <v>39</v>
      </c>
      <c r="C660" s="35" t="s">
        <v>41</v>
      </c>
      <c r="D660" s="35" t="s">
        <v>49</v>
      </c>
      <c r="E660" s="35" t="s">
        <v>50</v>
      </c>
      <c r="F660" s="35" t="s">
        <v>25</v>
      </c>
      <c r="G660" s="35" t="s">
        <v>25</v>
      </c>
      <c r="H660" s="35" t="s">
        <v>35</v>
      </c>
      <c r="I660" s="45">
        <v>44440</v>
      </c>
      <c r="J660" s="46">
        <f>EFEITO!$J$660*EFEITO!$Y$567</f>
        <v>0</v>
      </c>
      <c r="K660" s="46">
        <f ca="1">EFEITO!$L$660*EFEITO!$Z$567</f>
        <v>8417.2460903602168</v>
      </c>
      <c r="L660" s="46">
        <f>EFEITO!$N$660*EFEITO!$AA$567</f>
        <v>40330.587435341229</v>
      </c>
      <c r="M660" s="46">
        <f>$J$660-EFEITO!$K$660*EFEITO!$Y$660</f>
        <v>0</v>
      </c>
      <c r="N660" s="46">
        <f ca="1">$K$660-EFEITO!$M$660*EFEITO!$Z$660</f>
        <v>252.51738271080649</v>
      </c>
      <c r="O660" s="46">
        <f>$L$660-EFEITO!$O$660*EFEITO!$AA$660</f>
        <v>1209.9176230602388</v>
      </c>
      <c r="P660" s="38"/>
      <c r="Q660" s="38"/>
      <c r="R660" s="38"/>
      <c r="S660" s="38"/>
      <c r="T660" s="38"/>
      <c r="U660" s="38"/>
      <c r="V660" s="38"/>
      <c r="W660" s="38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35" t="s">
        <v>21</v>
      </c>
      <c r="B661" s="35" t="s">
        <v>39</v>
      </c>
      <c r="C661" s="35" t="s">
        <v>41</v>
      </c>
      <c r="D661" s="35" t="s">
        <v>49</v>
      </c>
      <c r="E661" s="35" t="s">
        <v>50</v>
      </c>
      <c r="F661" s="35" t="s">
        <v>25</v>
      </c>
      <c r="G661" s="35" t="s">
        <v>25</v>
      </c>
      <c r="H661" s="35" t="s">
        <v>35</v>
      </c>
      <c r="I661" s="45">
        <v>44470</v>
      </c>
      <c r="J661" s="46">
        <f>EFEITO!$J$661*EFEITO!$Y$567</f>
        <v>0</v>
      </c>
      <c r="K661" s="46">
        <f ca="1">EFEITO!$L$661*EFEITO!$Z$567</f>
        <v>7499.9696465735269</v>
      </c>
      <c r="L661" s="46">
        <f>EFEITO!$N$661*EFEITO!$AA$567</f>
        <v>35935.527884820855</v>
      </c>
      <c r="M661" s="46">
        <f>$J$661-EFEITO!$K$661*EFEITO!$Y$661</f>
        <v>0</v>
      </c>
      <c r="N661" s="46">
        <f ca="1">$K$661-EFEITO!$M$661*EFEITO!$Z$661</f>
        <v>224.99908939720535</v>
      </c>
      <c r="O661" s="46">
        <f>$L$661-EFEITO!$O$661*EFEITO!$AA$661</f>
        <v>1078.0658365446288</v>
      </c>
      <c r="P661" s="38"/>
      <c r="Q661" s="38"/>
      <c r="R661" s="38"/>
      <c r="S661" s="38"/>
      <c r="T661" s="38"/>
      <c r="U661" s="38"/>
      <c r="V661" s="38"/>
      <c r="W661" s="38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35" t="s">
        <v>21</v>
      </c>
      <c r="B662" s="35" t="s">
        <v>39</v>
      </c>
      <c r="C662" s="35" t="s">
        <v>41</v>
      </c>
      <c r="D662" s="35" t="s">
        <v>49</v>
      </c>
      <c r="E662" s="35" t="s">
        <v>50</v>
      </c>
      <c r="F662" s="35" t="s">
        <v>25</v>
      </c>
      <c r="G662" s="35" t="s">
        <v>25</v>
      </c>
      <c r="H662" s="35" t="s">
        <v>35</v>
      </c>
      <c r="I662" s="45">
        <v>44501</v>
      </c>
      <c r="J662" s="46">
        <f>EFEITO!$J$662*EFEITO!$Y$567</f>
        <v>0</v>
      </c>
      <c r="K662" s="46">
        <f ca="1">EFEITO!$L$662*EFEITO!$Z$567</f>
        <v>7610.9947480522678</v>
      </c>
      <c r="L662" s="46">
        <f>EFEITO!$N$662*EFEITO!$AA$567</f>
        <v>36467.496121775941</v>
      </c>
      <c r="M662" s="46">
        <f>$J$662-EFEITO!$K$662*EFEITO!$Y$662</f>
        <v>0</v>
      </c>
      <c r="N662" s="46">
        <f ca="1">$K$662-EFEITO!$M$662*EFEITO!$Z$662</f>
        <v>228.32984244156705</v>
      </c>
      <c r="O662" s="46">
        <f>$L$662-EFEITO!$O$662*EFEITO!$AA$662</f>
        <v>1094.0248836532774</v>
      </c>
      <c r="P662" s="38"/>
      <c r="Q662" s="38"/>
      <c r="R662" s="38"/>
      <c r="S662" s="38"/>
      <c r="T662" s="38"/>
      <c r="U662" s="38"/>
      <c r="V662" s="38"/>
      <c r="W662" s="38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35" t="s">
        <v>21</v>
      </c>
      <c r="B663" s="35" t="s">
        <v>39</v>
      </c>
      <c r="C663" s="35" t="s">
        <v>41</v>
      </c>
      <c r="D663" s="35" t="s">
        <v>49</v>
      </c>
      <c r="E663" s="35" t="s">
        <v>50</v>
      </c>
      <c r="F663" s="35" t="s">
        <v>25</v>
      </c>
      <c r="G663" s="35" t="s">
        <v>25</v>
      </c>
      <c r="H663" s="35" t="s">
        <v>35</v>
      </c>
      <c r="I663" s="45">
        <v>44531</v>
      </c>
      <c r="J663" s="46">
        <f>EFEITO!$J$663*EFEITO!$Y$567</f>
        <v>0</v>
      </c>
      <c r="K663" s="46">
        <f ca="1">EFEITO!$L$663*EFEITO!$Z$567</f>
        <v>8669.8157494640964</v>
      </c>
      <c r="L663" s="46">
        <f>EFEITO!$N$663*EFEITO!$AA$567</f>
        <v>41540.75553671932</v>
      </c>
      <c r="M663" s="46">
        <f>$J$663-EFEITO!$K$663*EFEITO!$Y$663</f>
        <v>0</v>
      </c>
      <c r="N663" s="46">
        <f ca="1">$K$663-EFEITO!$M$663*EFEITO!$Z$663</f>
        <v>260.0944724839228</v>
      </c>
      <c r="O663" s="46">
        <f>$L$663-EFEITO!$O$663*EFEITO!$AA$663</f>
        <v>1246.2226661015884</v>
      </c>
      <c r="P663" s="38"/>
      <c r="Q663" s="38"/>
      <c r="R663" s="38"/>
      <c r="S663" s="38"/>
      <c r="T663" s="38"/>
      <c r="U663" s="38"/>
      <c r="V663" s="38"/>
      <c r="W663" s="38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35" t="s">
        <v>55</v>
      </c>
      <c r="B664" s="35" t="s">
        <v>39</v>
      </c>
      <c r="C664" s="35" t="s">
        <v>41</v>
      </c>
      <c r="D664" s="35" t="s">
        <v>49</v>
      </c>
      <c r="E664" s="35" t="s">
        <v>50</v>
      </c>
      <c r="F664" s="35" t="s">
        <v>25</v>
      </c>
      <c r="G664" s="35" t="s">
        <v>25</v>
      </c>
      <c r="H664" s="35" t="s">
        <v>35</v>
      </c>
      <c r="I664" s="45">
        <v>44562</v>
      </c>
      <c r="J664" s="46">
        <f>EFEITO!$J$664*EFEITO!$Y$567</f>
        <v>0</v>
      </c>
      <c r="K664" s="46">
        <f ca="1">EFEITO!$L$664*EFEITO!$Z$567</f>
        <v>8669.8157494640964</v>
      </c>
      <c r="L664" s="46">
        <f>EFEITO!$N$664*EFEITO!$AA$567</f>
        <v>41540.75553671932</v>
      </c>
      <c r="M664" s="46">
        <f>$J$664-EFEITO!$K$664*EFEITO!$Y$664</f>
        <v>0</v>
      </c>
      <c r="N664" s="46">
        <f ca="1">$K$664-EFEITO!$M$664*EFEITO!$Z$664</f>
        <v>260.0944724839228</v>
      </c>
      <c r="O664" s="46">
        <f>$L$664-EFEITO!$O$664*EFEITO!$AA$664</f>
        <v>1246.2226661015884</v>
      </c>
      <c r="P664" s="38"/>
      <c r="Q664" s="38"/>
      <c r="R664" s="38"/>
      <c r="S664" s="38"/>
      <c r="T664" s="38"/>
      <c r="U664" s="38"/>
      <c r="V664" s="38"/>
      <c r="W664" s="38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35" t="s">
        <v>21</v>
      </c>
      <c r="B665" s="35" t="s">
        <v>39</v>
      </c>
      <c r="C665" s="35" t="s">
        <v>41</v>
      </c>
      <c r="D665" s="35" t="s">
        <v>49</v>
      </c>
      <c r="E665" s="35" t="s">
        <v>50</v>
      </c>
      <c r="F665" s="35" t="s">
        <v>25</v>
      </c>
      <c r="G665" s="35" t="s">
        <v>25</v>
      </c>
      <c r="H665" s="35" t="s">
        <v>25</v>
      </c>
      <c r="I665" s="45">
        <v>44228</v>
      </c>
      <c r="J665" s="46">
        <f ca="1">EFEITO!$J$665*EFEITO!$Y$592</f>
        <v>12499.789797213916</v>
      </c>
      <c r="K665" s="46">
        <f>EFEITO!$L$665*EFEITO!$Z$592</f>
        <v>0</v>
      </c>
      <c r="L665" s="46">
        <f>EFEITO!$N$665*EFEITO!$AA$592</f>
        <v>0</v>
      </c>
      <c r="M665" s="46">
        <f ca="1">$J$665-EFEITO!$K$665*EFEITO!$Y$665</f>
        <v>374.99369391641631</v>
      </c>
      <c r="N665" s="46">
        <f>$K$665-EFEITO!$M$665*EFEITO!$Z$665</f>
        <v>0</v>
      </c>
      <c r="O665" s="46">
        <f>$L$665-EFEITO!$O$665*EFEITO!$AA$665</f>
        <v>0</v>
      </c>
      <c r="P665" s="38"/>
      <c r="Q665" s="38"/>
      <c r="R665" s="38"/>
      <c r="S665" s="38"/>
      <c r="T665" s="38"/>
      <c r="U665" s="38"/>
      <c r="V665" s="38"/>
      <c r="W665" s="38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35" t="s">
        <v>21</v>
      </c>
      <c r="B666" s="35" t="s">
        <v>39</v>
      </c>
      <c r="C666" s="35" t="s">
        <v>41</v>
      </c>
      <c r="D666" s="35" t="s">
        <v>49</v>
      </c>
      <c r="E666" s="35" t="s">
        <v>50</v>
      </c>
      <c r="F666" s="35" t="s">
        <v>25</v>
      </c>
      <c r="G666" s="35" t="s">
        <v>25</v>
      </c>
      <c r="H666" s="35" t="s">
        <v>25</v>
      </c>
      <c r="I666" s="45">
        <v>44256</v>
      </c>
      <c r="J666" s="46">
        <f ca="1">EFEITO!$J$666*EFEITO!$Y$592</f>
        <v>12499.789797213916</v>
      </c>
      <c r="K666" s="46">
        <f>EFEITO!$L$666*EFEITO!$Z$592</f>
        <v>0</v>
      </c>
      <c r="L666" s="46">
        <f>EFEITO!$N$666*EFEITO!$AA$592</f>
        <v>0</v>
      </c>
      <c r="M666" s="46">
        <f ca="1">$J$666-EFEITO!$K$666*EFEITO!$Y$666</f>
        <v>374.99369391641631</v>
      </c>
      <c r="N666" s="46">
        <f>$K$666-EFEITO!$M$666*EFEITO!$Z$666</f>
        <v>0</v>
      </c>
      <c r="O666" s="46">
        <f>$L$666-EFEITO!$O$666*EFEITO!$AA$666</f>
        <v>0</v>
      </c>
      <c r="P666" s="38"/>
      <c r="Q666" s="38"/>
      <c r="R666" s="38"/>
      <c r="S666" s="38"/>
      <c r="T666" s="38"/>
      <c r="U666" s="38"/>
      <c r="V666" s="38"/>
      <c r="W666" s="38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35" t="s">
        <v>21</v>
      </c>
      <c r="B667" s="35" t="s">
        <v>39</v>
      </c>
      <c r="C667" s="35" t="s">
        <v>41</v>
      </c>
      <c r="D667" s="35" t="s">
        <v>49</v>
      </c>
      <c r="E667" s="35" t="s">
        <v>50</v>
      </c>
      <c r="F667" s="35" t="s">
        <v>25</v>
      </c>
      <c r="G667" s="35" t="s">
        <v>25</v>
      </c>
      <c r="H667" s="35" t="s">
        <v>25</v>
      </c>
      <c r="I667" s="45">
        <v>44287</v>
      </c>
      <c r="J667" s="46">
        <f ca="1">EFEITO!$J$667*EFEITO!$Y$592</f>
        <v>12678.358222888402</v>
      </c>
      <c r="K667" s="46">
        <f>EFEITO!$L$667*EFEITO!$Z$592</f>
        <v>0</v>
      </c>
      <c r="L667" s="46">
        <f>EFEITO!$N$667*EFEITO!$AA$592</f>
        <v>0</v>
      </c>
      <c r="M667" s="46">
        <f ca="1">$J$667-EFEITO!$K$667*EFEITO!$Y$667</f>
        <v>380.3507466866522</v>
      </c>
      <c r="N667" s="46">
        <f>$K$667-EFEITO!$M$667*EFEITO!$Z$667</f>
        <v>0</v>
      </c>
      <c r="O667" s="46">
        <f>$L$667-EFEITO!$O$667*EFEITO!$AA$667</f>
        <v>0</v>
      </c>
      <c r="P667" s="38"/>
      <c r="Q667" s="38"/>
      <c r="R667" s="38"/>
      <c r="S667" s="38"/>
      <c r="T667" s="38"/>
      <c r="U667" s="38"/>
      <c r="V667" s="38"/>
      <c r="W667" s="38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35" t="s">
        <v>21</v>
      </c>
      <c r="B668" s="35" t="s">
        <v>39</v>
      </c>
      <c r="C668" s="35" t="s">
        <v>41</v>
      </c>
      <c r="D668" s="35" t="s">
        <v>49</v>
      </c>
      <c r="E668" s="35" t="s">
        <v>50</v>
      </c>
      <c r="F668" s="35" t="s">
        <v>25</v>
      </c>
      <c r="G668" s="35" t="s">
        <v>25</v>
      </c>
      <c r="H668" s="35" t="s">
        <v>25</v>
      </c>
      <c r="I668" s="45">
        <v>44317</v>
      </c>
      <c r="J668" s="46">
        <f ca="1">EFEITO!$J$668*EFEITO!$Y$592</f>
        <v>12553.360324916262</v>
      </c>
      <c r="K668" s="46">
        <f>EFEITO!$L$668*EFEITO!$Z$592</f>
        <v>0</v>
      </c>
      <c r="L668" s="46">
        <f>EFEITO!$N$668*EFEITO!$AA$592</f>
        <v>0</v>
      </c>
      <c r="M668" s="46">
        <f ca="1">$J$668-EFEITO!$K$668*EFEITO!$Y$668</f>
        <v>376.6008097474878</v>
      </c>
      <c r="N668" s="46">
        <f>$K$668-EFEITO!$M$668*EFEITO!$Z$668</f>
        <v>0</v>
      </c>
      <c r="O668" s="46">
        <f>$L$668-EFEITO!$O$668*EFEITO!$AA$668</f>
        <v>0</v>
      </c>
      <c r="P668" s="38"/>
      <c r="Q668" s="38"/>
      <c r="R668" s="38"/>
      <c r="S668" s="38"/>
      <c r="T668" s="38"/>
      <c r="U668" s="38"/>
      <c r="V668" s="38"/>
      <c r="W668" s="38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35" t="s">
        <v>21</v>
      </c>
      <c r="B669" s="35" t="s">
        <v>39</v>
      </c>
      <c r="C669" s="35" t="s">
        <v>41</v>
      </c>
      <c r="D669" s="35" t="s">
        <v>49</v>
      </c>
      <c r="E669" s="35" t="s">
        <v>50</v>
      </c>
      <c r="F669" s="35" t="s">
        <v>25</v>
      </c>
      <c r="G669" s="35" t="s">
        <v>25</v>
      </c>
      <c r="H669" s="35" t="s">
        <v>25</v>
      </c>
      <c r="I669" s="45">
        <v>44348</v>
      </c>
      <c r="J669" s="46">
        <f ca="1">EFEITO!$J$669*EFEITO!$Y$592</f>
        <v>12660.501380320953</v>
      </c>
      <c r="K669" s="46">
        <f>EFEITO!$L$669*EFEITO!$Z$592</f>
        <v>0</v>
      </c>
      <c r="L669" s="46">
        <f>EFEITO!$N$669*EFEITO!$AA$592</f>
        <v>0</v>
      </c>
      <c r="M669" s="46">
        <f ca="1">$J$669-EFEITO!$K$669*EFEITO!$Y$669</f>
        <v>379.81504140962898</v>
      </c>
      <c r="N669" s="46">
        <f>$K$669-EFEITO!$M$669*EFEITO!$Z$669</f>
        <v>0</v>
      </c>
      <c r="O669" s="46">
        <f>$L$669-EFEITO!$O$669*EFEITO!$AA$669</f>
        <v>0</v>
      </c>
      <c r="P669" s="38"/>
      <c r="Q669" s="38"/>
      <c r="R669" s="38"/>
      <c r="S669" s="38"/>
      <c r="T669" s="38"/>
      <c r="U669" s="38"/>
      <c r="V669" s="38"/>
      <c r="W669" s="38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35" t="s">
        <v>21</v>
      </c>
      <c r="B670" s="35" t="s">
        <v>39</v>
      </c>
      <c r="C670" s="35" t="s">
        <v>41</v>
      </c>
      <c r="D670" s="35" t="s">
        <v>49</v>
      </c>
      <c r="E670" s="35" t="s">
        <v>50</v>
      </c>
      <c r="F670" s="35" t="s">
        <v>25</v>
      </c>
      <c r="G670" s="35" t="s">
        <v>25</v>
      </c>
      <c r="H670" s="35" t="s">
        <v>25</v>
      </c>
      <c r="I670" s="45">
        <v>44378</v>
      </c>
      <c r="J670" s="46">
        <f ca="1">EFEITO!$J$670*EFEITO!$Y$592</f>
        <v>12731.928750590747</v>
      </c>
      <c r="K670" s="46">
        <f>EFEITO!$L$670*EFEITO!$Z$592</f>
        <v>0</v>
      </c>
      <c r="L670" s="46">
        <f>EFEITO!$N$670*EFEITO!$AA$592</f>
        <v>0</v>
      </c>
      <c r="M670" s="46">
        <f ca="1">$J$670-EFEITO!$K$670*EFEITO!$Y$670</f>
        <v>381.95786251772188</v>
      </c>
      <c r="N670" s="46">
        <f>$K$670-EFEITO!$M$670*EFEITO!$Z$670</f>
        <v>0</v>
      </c>
      <c r="O670" s="46">
        <f>$L$670-EFEITO!$O$670*EFEITO!$AA$670</f>
        <v>0</v>
      </c>
      <c r="P670" s="38"/>
      <c r="Q670" s="38"/>
      <c r="R670" s="38"/>
      <c r="S670" s="38"/>
      <c r="T670" s="38"/>
      <c r="U670" s="38"/>
      <c r="V670" s="38"/>
      <c r="W670" s="38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35" t="s">
        <v>21</v>
      </c>
      <c r="B671" s="35" t="s">
        <v>39</v>
      </c>
      <c r="C671" s="35" t="s">
        <v>41</v>
      </c>
      <c r="D671" s="35" t="s">
        <v>49</v>
      </c>
      <c r="E671" s="35" t="s">
        <v>50</v>
      </c>
      <c r="F671" s="35" t="s">
        <v>25</v>
      </c>
      <c r="G671" s="35" t="s">
        <v>25</v>
      </c>
      <c r="H671" s="35" t="s">
        <v>25</v>
      </c>
      <c r="I671" s="45">
        <v>44409</v>
      </c>
      <c r="J671" s="46">
        <f ca="1">EFEITO!$J$671*EFEITO!$Y$592</f>
        <v>12678.358222888402</v>
      </c>
      <c r="K671" s="46">
        <f>EFEITO!$L$671*EFEITO!$Z$592</f>
        <v>0</v>
      </c>
      <c r="L671" s="46">
        <f>EFEITO!$N$671*EFEITO!$AA$592</f>
        <v>0</v>
      </c>
      <c r="M671" s="46">
        <f ca="1">$J$671-EFEITO!$K$671*EFEITO!$Y$671</f>
        <v>380.3507466866522</v>
      </c>
      <c r="N671" s="46">
        <f>$K$671-EFEITO!$M$671*EFEITO!$Z$671</f>
        <v>0</v>
      </c>
      <c r="O671" s="46">
        <f>$L$671-EFEITO!$O$671*EFEITO!$AA$671</f>
        <v>0</v>
      </c>
      <c r="P671" s="38"/>
      <c r="Q671" s="38"/>
      <c r="R671" s="38"/>
      <c r="S671" s="38"/>
      <c r="T671" s="38"/>
      <c r="U671" s="38"/>
      <c r="V671" s="38"/>
      <c r="W671" s="38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35" t="s">
        <v>21</v>
      </c>
      <c r="B672" s="35" t="s">
        <v>39</v>
      </c>
      <c r="C672" s="35" t="s">
        <v>41</v>
      </c>
      <c r="D672" s="35" t="s">
        <v>49</v>
      </c>
      <c r="E672" s="35" t="s">
        <v>50</v>
      </c>
      <c r="F672" s="35" t="s">
        <v>25</v>
      </c>
      <c r="G672" s="35" t="s">
        <v>25</v>
      </c>
      <c r="H672" s="35" t="s">
        <v>25</v>
      </c>
      <c r="I672" s="45">
        <v>44440</v>
      </c>
      <c r="J672" s="46">
        <f ca="1">EFEITO!$J$672*EFEITO!$Y$592</f>
        <v>13767.625619502758</v>
      </c>
      <c r="K672" s="46">
        <f>EFEITO!$L$672*EFEITO!$Z$592</f>
        <v>0</v>
      </c>
      <c r="L672" s="46">
        <f>EFEITO!$N$672*EFEITO!$AA$592</f>
        <v>0</v>
      </c>
      <c r="M672" s="46">
        <f ca="1">$J$672-EFEITO!$K$672*EFEITO!$Y$672</f>
        <v>413.02876858508353</v>
      </c>
      <c r="N672" s="46">
        <f>$K$672-EFEITO!$M$672*EFEITO!$Z$672</f>
        <v>0</v>
      </c>
      <c r="O672" s="46">
        <f>$L$672-EFEITO!$O$672*EFEITO!$AA$672</f>
        <v>0</v>
      </c>
      <c r="P672" s="38"/>
      <c r="Q672" s="38"/>
      <c r="R672" s="38"/>
      <c r="S672" s="38"/>
      <c r="T672" s="38"/>
      <c r="U672" s="38"/>
      <c r="V672" s="38"/>
      <c r="W672" s="38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35" t="s">
        <v>21</v>
      </c>
      <c r="B673" s="35" t="s">
        <v>39</v>
      </c>
      <c r="C673" s="35" t="s">
        <v>41</v>
      </c>
      <c r="D673" s="35" t="s">
        <v>49</v>
      </c>
      <c r="E673" s="35" t="s">
        <v>50</v>
      </c>
      <c r="F673" s="35" t="s">
        <v>25</v>
      </c>
      <c r="G673" s="35" t="s">
        <v>25</v>
      </c>
      <c r="H673" s="35" t="s">
        <v>25</v>
      </c>
      <c r="I673" s="45">
        <v>44470</v>
      </c>
      <c r="J673" s="46">
        <f ca="1">EFEITO!$J$673*EFEITO!$Y$592</f>
        <v>13339.061397883994</v>
      </c>
      <c r="K673" s="46">
        <f>EFEITO!$L$673*EFEITO!$Z$592</f>
        <v>0</v>
      </c>
      <c r="L673" s="46">
        <f>EFEITO!$N$673*EFEITO!$AA$592</f>
        <v>0</v>
      </c>
      <c r="M673" s="46">
        <f ca="1">$J$673-EFEITO!$K$673*EFEITO!$Y$673</f>
        <v>400.17184193651883</v>
      </c>
      <c r="N673" s="46">
        <f>$K$673-EFEITO!$M$673*EFEITO!$Z$673</f>
        <v>0</v>
      </c>
      <c r="O673" s="46">
        <f>$L$673-EFEITO!$O$673*EFEITO!$AA$673</f>
        <v>0</v>
      </c>
      <c r="P673" s="38"/>
      <c r="Q673" s="38"/>
      <c r="R673" s="38"/>
      <c r="S673" s="38"/>
      <c r="T673" s="38"/>
      <c r="U673" s="38"/>
      <c r="V673" s="38"/>
      <c r="W673" s="38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35" t="s">
        <v>21</v>
      </c>
      <c r="B674" s="35" t="s">
        <v>39</v>
      </c>
      <c r="C674" s="35" t="s">
        <v>41</v>
      </c>
      <c r="D674" s="35" t="s">
        <v>49</v>
      </c>
      <c r="E674" s="35" t="s">
        <v>50</v>
      </c>
      <c r="F674" s="35" t="s">
        <v>25</v>
      </c>
      <c r="G674" s="35" t="s">
        <v>25</v>
      </c>
      <c r="H674" s="35" t="s">
        <v>25</v>
      </c>
      <c r="I674" s="45">
        <v>44501</v>
      </c>
      <c r="J674" s="46">
        <f ca="1">EFEITO!$J$674*EFEITO!$Y$592</f>
        <v>12696.21506545585</v>
      </c>
      <c r="K674" s="46">
        <f>EFEITO!$L$674*EFEITO!$Z$592</f>
        <v>0</v>
      </c>
      <c r="L674" s="46">
        <f>EFEITO!$N$674*EFEITO!$AA$592</f>
        <v>0</v>
      </c>
      <c r="M674" s="46">
        <f ca="1">$J$674-EFEITO!$K$674*EFEITO!$Y$674</f>
        <v>380.88645196367543</v>
      </c>
      <c r="N674" s="46">
        <f>$K$674-EFEITO!$M$674*EFEITO!$Z$674</f>
        <v>0</v>
      </c>
      <c r="O674" s="46">
        <f>$L$674-EFEITO!$O$674*EFEITO!$AA$674</f>
        <v>0</v>
      </c>
      <c r="P674" s="38"/>
      <c r="Q674" s="38"/>
      <c r="R674" s="38"/>
      <c r="S674" s="38"/>
      <c r="T674" s="38"/>
      <c r="U674" s="38"/>
      <c r="V674" s="38"/>
      <c r="W674" s="38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35" t="s">
        <v>21</v>
      </c>
      <c r="B675" s="35" t="s">
        <v>39</v>
      </c>
      <c r="C675" s="35" t="s">
        <v>41</v>
      </c>
      <c r="D675" s="35" t="s">
        <v>49</v>
      </c>
      <c r="E675" s="35" t="s">
        <v>50</v>
      </c>
      <c r="F675" s="35" t="s">
        <v>25</v>
      </c>
      <c r="G675" s="35" t="s">
        <v>25</v>
      </c>
      <c r="H675" s="35" t="s">
        <v>25</v>
      </c>
      <c r="I675" s="45">
        <v>44531</v>
      </c>
      <c r="J675" s="46">
        <f ca="1">EFEITO!$J$675*EFEITO!$Y$592</f>
        <v>13214.063499911856</v>
      </c>
      <c r="K675" s="46">
        <f>EFEITO!$L$675*EFEITO!$Z$592</f>
        <v>0</v>
      </c>
      <c r="L675" s="46">
        <f>EFEITO!$N$675*EFEITO!$AA$592</f>
        <v>0</v>
      </c>
      <c r="M675" s="46">
        <f ca="1">$J$675-EFEITO!$K$675*EFEITO!$Y$675</f>
        <v>396.42190499735625</v>
      </c>
      <c r="N675" s="46">
        <f>$K$675-EFEITO!$M$675*EFEITO!$Z$675</f>
        <v>0</v>
      </c>
      <c r="O675" s="46">
        <f>$L$675-EFEITO!$O$675*EFEITO!$AA$675</f>
        <v>0</v>
      </c>
      <c r="P675" s="38"/>
      <c r="Q675" s="38"/>
      <c r="R675" s="38"/>
      <c r="S675" s="38"/>
      <c r="T675" s="38"/>
      <c r="U675" s="38"/>
      <c r="V675" s="38"/>
      <c r="W675" s="38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35" t="s">
        <v>55</v>
      </c>
      <c r="B676" s="35" t="s">
        <v>39</v>
      </c>
      <c r="C676" s="35" t="s">
        <v>41</v>
      </c>
      <c r="D676" s="35" t="s">
        <v>49</v>
      </c>
      <c r="E676" s="35" t="s">
        <v>50</v>
      </c>
      <c r="F676" s="35" t="s">
        <v>25</v>
      </c>
      <c r="G676" s="35" t="s">
        <v>25</v>
      </c>
      <c r="H676" s="35" t="s">
        <v>25</v>
      </c>
      <c r="I676" s="45">
        <v>44562</v>
      </c>
      <c r="J676" s="46">
        <f ca="1">EFEITO!$J$676*EFEITO!$Y$592</f>
        <v>13214.063499911856</v>
      </c>
      <c r="K676" s="46">
        <f>EFEITO!$L$676*EFEITO!$Z$592</f>
        <v>0</v>
      </c>
      <c r="L676" s="46">
        <f>EFEITO!$N$676*EFEITO!$AA$592</f>
        <v>0</v>
      </c>
      <c r="M676" s="46">
        <f ca="1">$J$676-EFEITO!$K$676*EFEITO!$Y$676</f>
        <v>396.42190499735625</v>
      </c>
      <c r="N676" s="46">
        <f>$K$676-EFEITO!$M$676*EFEITO!$Z$676</f>
        <v>0</v>
      </c>
      <c r="O676" s="46">
        <f>$L$676-EFEITO!$O$676*EFEITO!$AA$676</f>
        <v>0</v>
      </c>
      <c r="P676" s="38"/>
      <c r="Q676" s="38"/>
      <c r="R676" s="38"/>
      <c r="S676" s="38"/>
      <c r="T676" s="38"/>
      <c r="U676" s="38"/>
      <c r="V676" s="38"/>
      <c r="W676" s="38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35" t="s">
        <v>21</v>
      </c>
      <c r="B677" s="35" t="s">
        <v>39</v>
      </c>
      <c r="C677" s="35" t="s">
        <v>41</v>
      </c>
      <c r="D677" s="35" t="s">
        <v>49</v>
      </c>
      <c r="E677" s="35" t="s">
        <v>50</v>
      </c>
      <c r="F677" s="35" t="s">
        <v>25</v>
      </c>
      <c r="G677" s="35" t="s">
        <v>25</v>
      </c>
      <c r="H677" s="35" t="s">
        <v>34</v>
      </c>
      <c r="I677" s="45">
        <v>44228</v>
      </c>
      <c r="J677" s="46">
        <f>EFEITO!$J$677*EFEITO!$Y$616</f>
        <v>0</v>
      </c>
      <c r="K677" s="46">
        <f ca="1">EFEITO!$L$677*EFEITO!$Z$616</f>
        <v>15498.213009234296</v>
      </c>
      <c r="L677" s="46">
        <f>EFEITO!$N$677*EFEITO!$AA$616</f>
        <v>6431.4929744298679</v>
      </c>
      <c r="M677" s="46">
        <f>$J$677-EFEITO!$K$677*EFEITO!$Y$677</f>
        <v>0</v>
      </c>
      <c r="N677" s="46">
        <f ca="1">$K$677-EFEITO!$M$677*EFEITO!$Z$677</f>
        <v>464.94639027702942</v>
      </c>
      <c r="O677" s="46">
        <f>$L$677-EFEITO!$O$677*EFEITO!$AA$677</f>
        <v>192.94478923289626</v>
      </c>
      <c r="P677" s="38"/>
      <c r="Q677" s="38"/>
      <c r="R677" s="38"/>
      <c r="S677" s="38"/>
      <c r="T677" s="38"/>
      <c r="U677" s="38"/>
      <c r="V677" s="38"/>
      <c r="W677" s="38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35" t="s">
        <v>21</v>
      </c>
      <c r="B678" s="35" t="s">
        <v>39</v>
      </c>
      <c r="C678" s="35" t="s">
        <v>41</v>
      </c>
      <c r="D678" s="35" t="s">
        <v>49</v>
      </c>
      <c r="E678" s="35" t="s">
        <v>50</v>
      </c>
      <c r="F678" s="35" t="s">
        <v>25</v>
      </c>
      <c r="G678" s="35" t="s">
        <v>25</v>
      </c>
      <c r="H678" s="35" t="s">
        <v>34</v>
      </c>
      <c r="I678" s="45">
        <v>44256</v>
      </c>
      <c r="J678" s="46">
        <f>EFEITO!$J$678*EFEITO!$Y$616</f>
        <v>0</v>
      </c>
      <c r="K678" s="46">
        <f ca="1">EFEITO!$L$678*EFEITO!$Z$616</f>
        <v>17377.319087608943</v>
      </c>
      <c r="L678" s="46">
        <f>EFEITO!$N$678*EFEITO!$AA$616</f>
        <v>7211.2898151413829</v>
      </c>
      <c r="M678" s="46">
        <f>$J$678-EFEITO!$K$678*EFEITO!$Y$678</f>
        <v>0</v>
      </c>
      <c r="N678" s="46">
        <f ca="1">$K$678-EFEITO!$M$678*EFEITO!$Z$678</f>
        <v>521.31957262826836</v>
      </c>
      <c r="O678" s="46">
        <f>$L$678-EFEITO!$O$678*EFEITO!$AA$678</f>
        <v>216.33869445424261</v>
      </c>
      <c r="P678" s="38"/>
      <c r="Q678" s="38"/>
      <c r="R678" s="38"/>
      <c r="S678" s="38"/>
      <c r="T678" s="38"/>
      <c r="U678" s="38"/>
      <c r="V678" s="38"/>
      <c r="W678" s="38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35" t="s">
        <v>21</v>
      </c>
      <c r="B679" s="35" t="s">
        <v>39</v>
      </c>
      <c r="C679" s="35" t="s">
        <v>41</v>
      </c>
      <c r="D679" s="35" t="s">
        <v>49</v>
      </c>
      <c r="E679" s="35" t="s">
        <v>50</v>
      </c>
      <c r="F679" s="35" t="s">
        <v>25</v>
      </c>
      <c r="G679" s="35" t="s">
        <v>25</v>
      </c>
      <c r="H679" s="35" t="s">
        <v>34</v>
      </c>
      <c r="I679" s="45">
        <v>44287</v>
      </c>
      <c r="J679" s="46">
        <f>EFEITO!$J$679*EFEITO!$Y$616</f>
        <v>0</v>
      </c>
      <c r="K679" s="46">
        <f ca="1">EFEITO!$L$679*EFEITO!$Z$616</f>
        <v>17276.072146164141</v>
      </c>
      <c r="L679" s="46">
        <f>EFEITO!$N$679*EFEITO!$AA$616</f>
        <v>7169.2740684100163</v>
      </c>
      <c r="M679" s="46">
        <f>$J$679-EFEITO!$K$679*EFEITO!$Y$679</f>
        <v>0</v>
      </c>
      <c r="N679" s="46">
        <f ca="1">$K$679-EFEITO!$M$679*EFEITO!$Z$679</f>
        <v>518.28216438492382</v>
      </c>
      <c r="O679" s="46">
        <f>$L$679-EFEITO!$O$679*EFEITO!$AA$679</f>
        <v>215.07822205230059</v>
      </c>
      <c r="P679" s="38"/>
      <c r="Q679" s="38"/>
      <c r="R679" s="38"/>
      <c r="S679" s="38"/>
      <c r="T679" s="38"/>
      <c r="U679" s="38"/>
      <c r="V679" s="38"/>
      <c r="W679" s="38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35" t="s">
        <v>21</v>
      </c>
      <c r="B680" s="35" t="s">
        <v>39</v>
      </c>
      <c r="C680" s="35" t="s">
        <v>41</v>
      </c>
      <c r="D680" s="35" t="s">
        <v>49</v>
      </c>
      <c r="E680" s="35" t="s">
        <v>50</v>
      </c>
      <c r="F680" s="35" t="s">
        <v>25</v>
      </c>
      <c r="G680" s="35" t="s">
        <v>25</v>
      </c>
      <c r="H680" s="35" t="s">
        <v>34</v>
      </c>
      <c r="I680" s="45">
        <v>44317</v>
      </c>
      <c r="J680" s="46">
        <f>EFEITO!$J$680*EFEITO!$Y$616</f>
        <v>0</v>
      </c>
      <c r="K680" s="46">
        <f ca="1">EFEITO!$L$680*EFEITO!$Z$616</f>
        <v>17301.151663769735</v>
      </c>
      <c r="L680" s="46">
        <f>EFEITO!$N$680*EFEITO!$AA$616</f>
        <v>7179.6816387012732</v>
      </c>
      <c r="M680" s="46">
        <f>$J$680-EFEITO!$K$680*EFEITO!$Y$680</f>
        <v>0</v>
      </c>
      <c r="N680" s="46">
        <f ca="1">$K$680-EFEITO!$M$680*EFEITO!$Z$680</f>
        <v>519.03454991309263</v>
      </c>
      <c r="O680" s="46">
        <f>$L$680-EFEITO!$O$680*EFEITO!$AA$680</f>
        <v>215.39044916103921</v>
      </c>
      <c r="P680" s="38"/>
      <c r="Q680" s="38"/>
      <c r="R680" s="38"/>
      <c r="S680" s="38"/>
      <c r="T680" s="38"/>
      <c r="U680" s="38"/>
      <c r="V680" s="38"/>
      <c r="W680" s="38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35" t="s">
        <v>21</v>
      </c>
      <c r="B681" s="35" t="s">
        <v>39</v>
      </c>
      <c r="C681" s="35" t="s">
        <v>41</v>
      </c>
      <c r="D681" s="35" t="s">
        <v>49</v>
      </c>
      <c r="E681" s="35" t="s">
        <v>50</v>
      </c>
      <c r="F681" s="35" t="s">
        <v>25</v>
      </c>
      <c r="G681" s="35" t="s">
        <v>25</v>
      </c>
      <c r="H681" s="35" t="s">
        <v>34</v>
      </c>
      <c r="I681" s="45">
        <v>44348</v>
      </c>
      <c r="J681" s="46">
        <f>EFEITO!$J$681*EFEITO!$Y$616</f>
        <v>0</v>
      </c>
      <c r="K681" s="46">
        <f ca="1">EFEITO!$L$681*EFEITO!$Z$616</f>
        <v>17087.511328610977</v>
      </c>
      <c r="L681" s="46">
        <f>EFEITO!$N$681*EFEITO!$AA$616</f>
        <v>7091.0245584424256</v>
      </c>
      <c r="M681" s="46">
        <f>$J$681-EFEITO!$K$681*EFEITO!$Y$681</f>
        <v>0</v>
      </c>
      <c r="N681" s="46">
        <f ca="1">$K$681-EFEITO!$M$681*EFEITO!$Z$681</f>
        <v>512.62533985833215</v>
      </c>
      <c r="O681" s="46">
        <f>$L$681-EFEITO!$O$681*EFEITO!$AA$681</f>
        <v>212.73073675327396</v>
      </c>
      <c r="P681" s="38"/>
      <c r="Q681" s="38"/>
      <c r="R681" s="38"/>
      <c r="S681" s="38"/>
      <c r="T681" s="38"/>
      <c r="U681" s="38"/>
      <c r="V681" s="38"/>
      <c r="W681" s="38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35" t="s">
        <v>21</v>
      </c>
      <c r="B682" s="35" t="s">
        <v>39</v>
      </c>
      <c r="C682" s="35" t="s">
        <v>41</v>
      </c>
      <c r="D682" s="35" t="s">
        <v>49</v>
      </c>
      <c r="E682" s="35" t="s">
        <v>50</v>
      </c>
      <c r="F682" s="35" t="s">
        <v>25</v>
      </c>
      <c r="G682" s="35" t="s">
        <v>25</v>
      </c>
      <c r="H682" s="35" t="s">
        <v>34</v>
      </c>
      <c r="I682" s="45">
        <v>44378</v>
      </c>
      <c r="J682" s="46">
        <f>EFEITO!$J$682*EFEITO!$Y$616</f>
        <v>0</v>
      </c>
      <c r="K682" s="46">
        <f ca="1">EFEITO!$L$682*EFEITO!$Z$616</f>
        <v>17085.653586566114</v>
      </c>
      <c r="L682" s="46">
        <f>EFEITO!$N$682*EFEITO!$AA$616</f>
        <v>7090.2536273097385</v>
      </c>
      <c r="M682" s="46">
        <f>$J$682-EFEITO!$K$682*EFEITO!$Y$682</f>
        <v>0</v>
      </c>
      <c r="N682" s="46">
        <f ca="1">$K$682-EFEITO!$M$682*EFEITO!$Z$682</f>
        <v>512.56960759698268</v>
      </c>
      <c r="O682" s="46">
        <f>$L$682-EFEITO!$O$682*EFEITO!$AA$682</f>
        <v>212.70760881929255</v>
      </c>
      <c r="P682" s="38"/>
      <c r="Q682" s="38"/>
      <c r="R682" s="38"/>
      <c r="S682" s="38"/>
      <c r="T682" s="38"/>
      <c r="U682" s="38"/>
      <c r="V682" s="38"/>
      <c r="W682" s="38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35" t="s">
        <v>21</v>
      </c>
      <c r="B683" s="35" t="s">
        <v>39</v>
      </c>
      <c r="C683" s="35" t="s">
        <v>41</v>
      </c>
      <c r="D683" s="35" t="s">
        <v>49</v>
      </c>
      <c r="E683" s="35" t="s">
        <v>50</v>
      </c>
      <c r="F683" s="35" t="s">
        <v>25</v>
      </c>
      <c r="G683" s="35" t="s">
        <v>25</v>
      </c>
      <c r="H683" s="35" t="s">
        <v>34</v>
      </c>
      <c r="I683" s="45">
        <v>44409</v>
      </c>
      <c r="J683" s="46">
        <f>EFEITO!$J$683*EFEITO!$Y$616</f>
        <v>0</v>
      </c>
      <c r="K683" s="46">
        <f ca="1">EFEITO!$L$683*EFEITO!$Z$616</f>
        <v>18025.671061264653</v>
      </c>
      <c r="L683" s="46">
        <f>EFEITO!$N$683*EFEITO!$AA$616</f>
        <v>7480.3447804486677</v>
      </c>
      <c r="M683" s="46">
        <f>$J$683-EFEITO!$K$683*EFEITO!$Y$683</f>
        <v>0</v>
      </c>
      <c r="N683" s="46">
        <f ca="1">$K$683-EFEITO!$M$683*EFEITO!$Z$683</f>
        <v>540.77013183794043</v>
      </c>
      <c r="O683" s="46">
        <f>$L$683-EFEITO!$O$683*EFEITO!$AA$683</f>
        <v>224.4103434134604</v>
      </c>
      <c r="P683" s="38"/>
      <c r="Q683" s="38"/>
      <c r="R683" s="38"/>
      <c r="S683" s="38"/>
      <c r="T683" s="38"/>
      <c r="U683" s="38"/>
      <c r="V683" s="38"/>
      <c r="W683" s="38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35" t="s">
        <v>21</v>
      </c>
      <c r="B684" s="35" t="s">
        <v>39</v>
      </c>
      <c r="C684" s="35" t="s">
        <v>41</v>
      </c>
      <c r="D684" s="35" t="s">
        <v>49</v>
      </c>
      <c r="E684" s="35" t="s">
        <v>50</v>
      </c>
      <c r="F684" s="35" t="s">
        <v>25</v>
      </c>
      <c r="G684" s="35" t="s">
        <v>25</v>
      </c>
      <c r="H684" s="35" t="s">
        <v>34</v>
      </c>
      <c r="I684" s="45">
        <v>44440</v>
      </c>
      <c r="J684" s="46">
        <f>EFEITO!$J$684*EFEITO!$Y$616</f>
        <v>0</v>
      </c>
      <c r="K684" s="46">
        <f ca="1">EFEITO!$L$684*EFEITO!$Z$616</f>
        <v>16769.837438940125</v>
      </c>
      <c r="L684" s="46">
        <f>EFEITO!$N$684*EFEITO!$AA$616</f>
        <v>6959.1953347531817</v>
      </c>
      <c r="M684" s="46">
        <f>$J$684-EFEITO!$K$684*EFEITO!$Y$684</f>
        <v>0</v>
      </c>
      <c r="N684" s="46">
        <f ca="1">$K$684-EFEITO!$M$684*EFEITO!$Z$684</f>
        <v>503.09512316820656</v>
      </c>
      <c r="O684" s="46">
        <f>$L$684-EFEITO!$O$684*EFEITO!$AA$684</f>
        <v>208.77586004259592</v>
      </c>
      <c r="P684" s="38"/>
      <c r="Q684" s="38"/>
      <c r="R684" s="38"/>
      <c r="S684" s="38"/>
      <c r="T684" s="38"/>
      <c r="U684" s="38"/>
      <c r="V684" s="38"/>
      <c r="W684" s="38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35" t="s">
        <v>21</v>
      </c>
      <c r="B685" s="35" t="s">
        <v>39</v>
      </c>
      <c r="C685" s="35" t="s">
        <v>41</v>
      </c>
      <c r="D685" s="35" t="s">
        <v>49</v>
      </c>
      <c r="E685" s="35" t="s">
        <v>50</v>
      </c>
      <c r="F685" s="35" t="s">
        <v>25</v>
      </c>
      <c r="G685" s="35" t="s">
        <v>25</v>
      </c>
      <c r="H685" s="35" t="s">
        <v>34</v>
      </c>
      <c r="I685" s="45">
        <v>44470</v>
      </c>
      <c r="J685" s="46">
        <f>EFEITO!$J$685*EFEITO!$Y$616</f>
        <v>0</v>
      </c>
      <c r="K685" s="46">
        <f ca="1">EFEITO!$L$685*EFEITO!$Z$616</f>
        <v>13592.169671209196</v>
      </c>
      <c r="L685" s="46">
        <f>EFEITO!$N$685*EFEITO!$AA$616</f>
        <v>5640.5176322944117</v>
      </c>
      <c r="M685" s="46">
        <f>$J$685-EFEITO!$K$685*EFEITO!$Y$685</f>
        <v>0</v>
      </c>
      <c r="N685" s="46">
        <f ca="1">$K$685-EFEITO!$M$685*EFEITO!$Z$685</f>
        <v>407.76509013627583</v>
      </c>
      <c r="O685" s="46">
        <f>$L$685-EFEITO!$O$685*EFEITO!$AA$685</f>
        <v>169.21552896883259</v>
      </c>
      <c r="P685" s="38"/>
      <c r="Q685" s="38"/>
      <c r="R685" s="38"/>
      <c r="S685" s="38"/>
      <c r="T685" s="38"/>
      <c r="U685" s="38"/>
      <c r="V685" s="38"/>
      <c r="W685" s="38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35" t="s">
        <v>21</v>
      </c>
      <c r="B686" s="35" t="s">
        <v>39</v>
      </c>
      <c r="C686" s="35" t="s">
        <v>41</v>
      </c>
      <c r="D686" s="35" t="s">
        <v>49</v>
      </c>
      <c r="E686" s="35" t="s">
        <v>50</v>
      </c>
      <c r="F686" s="35" t="s">
        <v>25</v>
      </c>
      <c r="G686" s="35" t="s">
        <v>25</v>
      </c>
      <c r="H686" s="35" t="s">
        <v>34</v>
      </c>
      <c r="I686" s="45">
        <v>44501</v>
      </c>
      <c r="J686" s="46">
        <f>EFEITO!$J$686*EFEITO!$Y$616</f>
        <v>0</v>
      </c>
      <c r="K686" s="46">
        <f ca="1">EFEITO!$L$686*EFEITO!$Z$616</f>
        <v>13342.303366175693</v>
      </c>
      <c r="L686" s="46">
        <f>EFEITO!$N$686*EFEITO!$AA$616</f>
        <v>5536.8273949481954</v>
      </c>
      <c r="M686" s="46">
        <f>$J$686-EFEITO!$K$686*EFEITO!$Y$686</f>
        <v>0</v>
      </c>
      <c r="N686" s="46">
        <f ca="1">$K$686-EFEITO!$M$686*EFEITO!$Z$686</f>
        <v>400.26910098526969</v>
      </c>
      <c r="O686" s="46">
        <f>$L$686-EFEITO!$O$686*EFEITO!$AA$686</f>
        <v>166.10482184844659</v>
      </c>
      <c r="P686" s="38"/>
      <c r="Q686" s="38"/>
      <c r="R686" s="38"/>
      <c r="S686" s="38"/>
      <c r="T686" s="38"/>
      <c r="U686" s="38"/>
      <c r="V686" s="38"/>
      <c r="W686" s="38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35" t="s">
        <v>21</v>
      </c>
      <c r="B687" s="35" t="s">
        <v>39</v>
      </c>
      <c r="C687" s="35" t="s">
        <v>41</v>
      </c>
      <c r="D687" s="35" t="s">
        <v>49</v>
      </c>
      <c r="E687" s="35" t="s">
        <v>50</v>
      </c>
      <c r="F687" s="35" t="s">
        <v>25</v>
      </c>
      <c r="G687" s="35" t="s">
        <v>25</v>
      </c>
      <c r="H687" s="35" t="s">
        <v>34</v>
      </c>
      <c r="I687" s="45">
        <v>44531</v>
      </c>
      <c r="J687" s="46">
        <f>EFEITO!$J$687*EFEITO!$Y$616</f>
        <v>0</v>
      </c>
      <c r="K687" s="46">
        <f ca="1">EFEITO!$L$687*EFEITO!$Z$616</f>
        <v>18166.859456673919</v>
      </c>
      <c r="L687" s="46">
        <f>EFEITO!$N$687*EFEITO!$AA$616</f>
        <v>7538.9355465327762</v>
      </c>
      <c r="M687" s="46">
        <f>$J$687-EFEITO!$K$687*EFEITO!$Y$687</f>
        <v>0</v>
      </c>
      <c r="N687" s="46">
        <f ca="1">$K$687-EFEITO!$M$687*EFEITO!$Z$687</f>
        <v>545.00578370021685</v>
      </c>
      <c r="O687" s="46">
        <f>$L$687-EFEITO!$O$687*EFEITO!$AA$687</f>
        <v>226.16806639598417</v>
      </c>
      <c r="P687" s="38"/>
      <c r="Q687" s="38"/>
      <c r="R687" s="38"/>
      <c r="S687" s="38"/>
      <c r="T687" s="38"/>
      <c r="U687" s="38"/>
      <c r="V687" s="38"/>
      <c r="W687" s="38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35" t="s">
        <v>55</v>
      </c>
      <c r="B688" s="35" t="s">
        <v>39</v>
      </c>
      <c r="C688" s="35" t="s">
        <v>41</v>
      </c>
      <c r="D688" s="35" t="s">
        <v>49</v>
      </c>
      <c r="E688" s="35" t="s">
        <v>50</v>
      </c>
      <c r="F688" s="35" t="s">
        <v>25</v>
      </c>
      <c r="G688" s="35" t="s">
        <v>25</v>
      </c>
      <c r="H688" s="35" t="s">
        <v>34</v>
      </c>
      <c r="I688" s="45">
        <v>44562</v>
      </c>
      <c r="J688" s="46">
        <f>EFEITO!$J$688*EFEITO!$Y$616</f>
        <v>0</v>
      </c>
      <c r="K688" s="46">
        <f ca="1">EFEITO!$L$688*EFEITO!$Z$616</f>
        <v>18166.859456673919</v>
      </c>
      <c r="L688" s="46">
        <f>EFEITO!$N$688*EFEITO!$AA$616</f>
        <v>7538.9355465327762</v>
      </c>
      <c r="M688" s="46">
        <f>$J$688-EFEITO!$K$688*EFEITO!$Y$688</f>
        <v>0</v>
      </c>
      <c r="N688" s="46">
        <f ca="1">$K$688-EFEITO!$M$688*EFEITO!$Z$688</f>
        <v>545.00578370021685</v>
      </c>
      <c r="O688" s="46">
        <f>$L$688-EFEITO!$O$688*EFEITO!$AA$688</f>
        <v>226.16806639598417</v>
      </c>
      <c r="P688" s="38"/>
      <c r="Q688" s="38"/>
      <c r="R688" s="38"/>
      <c r="S688" s="38"/>
      <c r="T688" s="38"/>
      <c r="U688" s="38"/>
      <c r="V688" s="38"/>
      <c r="W688" s="38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35" t="s">
        <v>21</v>
      </c>
      <c r="B689" s="35" t="s">
        <v>22</v>
      </c>
      <c r="C689" s="35" t="s">
        <v>33</v>
      </c>
      <c r="D689" s="35" t="s">
        <v>24</v>
      </c>
      <c r="E689" s="35" t="s">
        <v>24</v>
      </c>
      <c r="F689" s="35" t="s">
        <v>25</v>
      </c>
      <c r="G689" s="35" t="s">
        <v>25</v>
      </c>
      <c r="H689" s="35" t="s">
        <v>35</v>
      </c>
      <c r="I689" s="45">
        <v>44228</v>
      </c>
      <c r="J689" s="46">
        <f>EFEITO!$J$689*EFEITO!$Y$689</f>
        <v>0</v>
      </c>
      <c r="K689" s="46">
        <f ca="1">EFEITO!$L$689*EFEITO!$Z$689</f>
        <v>1375.3452450893922</v>
      </c>
      <c r="L689" s="46">
        <f>EFEITO!$N$689*EFEITO!$AA$689</f>
        <v>1582.0687656888358</v>
      </c>
      <c r="M689" s="46">
        <f>$J$689-EFEITO!$K$689*EFEITO!$Y$689</f>
        <v>0</v>
      </c>
      <c r="N689" s="46">
        <f ca="1">$K$689-EFEITO!$M$689*EFEITO!$Z$689</f>
        <v>0</v>
      </c>
      <c r="O689" s="46">
        <f>$L$689-EFEITO!$O$689*EFEITO!$AA$689</f>
        <v>0</v>
      </c>
      <c r="P689" s="38"/>
      <c r="Q689" s="38"/>
      <c r="R689" s="38"/>
      <c r="S689" s="38"/>
      <c r="T689" s="38"/>
      <c r="U689" s="38"/>
      <c r="V689" s="38"/>
      <c r="W689" s="38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35" t="s">
        <v>21</v>
      </c>
      <c r="B690" s="35" t="s">
        <v>22</v>
      </c>
      <c r="C690" s="35" t="s">
        <v>33</v>
      </c>
      <c r="D690" s="35" t="s">
        <v>24</v>
      </c>
      <c r="E690" s="35" t="s">
        <v>24</v>
      </c>
      <c r="F690" s="35" t="s">
        <v>25</v>
      </c>
      <c r="G690" s="35" t="s">
        <v>25</v>
      </c>
      <c r="H690" s="35" t="s">
        <v>35</v>
      </c>
      <c r="I690" s="45">
        <v>44256</v>
      </c>
      <c r="J690" s="46">
        <f>EFEITO!$J$690*EFEITO!$Y$690</f>
        <v>0</v>
      </c>
      <c r="K690" s="46">
        <f ca="1">EFEITO!$L$690*EFEITO!$Z$690</f>
        <v>1499.151202767071</v>
      </c>
      <c r="L690" s="46">
        <f>EFEITO!$N$690*EFEITO!$AA$690</f>
        <v>1724.4835806942997</v>
      </c>
      <c r="M690" s="46">
        <f>$J$690-EFEITO!$K$690*EFEITO!$Y$690</f>
        <v>0</v>
      </c>
      <c r="N690" s="46">
        <f ca="1">$K$690-EFEITO!$M$690*EFEITO!$Z$690</f>
        <v>0</v>
      </c>
      <c r="O690" s="46">
        <f>$L$690-EFEITO!$O$690*EFEITO!$AA$690</f>
        <v>0</v>
      </c>
      <c r="P690" s="38"/>
      <c r="Q690" s="38"/>
      <c r="R690" s="38"/>
      <c r="S690" s="38"/>
      <c r="T690" s="38"/>
      <c r="U690" s="38"/>
      <c r="V690" s="38"/>
      <c r="W690" s="38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35" t="s">
        <v>21</v>
      </c>
      <c r="B691" s="35" t="s">
        <v>22</v>
      </c>
      <c r="C691" s="35" t="s">
        <v>33</v>
      </c>
      <c r="D691" s="35" t="s">
        <v>24</v>
      </c>
      <c r="E691" s="35" t="s">
        <v>24</v>
      </c>
      <c r="F691" s="35" t="s">
        <v>25</v>
      </c>
      <c r="G691" s="35" t="s">
        <v>25</v>
      </c>
      <c r="H691" s="35" t="s">
        <v>35</v>
      </c>
      <c r="I691" s="45">
        <v>44287</v>
      </c>
      <c r="J691" s="46">
        <f>EFEITO!$J$691*EFEITO!$Y$691</f>
        <v>0</v>
      </c>
      <c r="K691" s="46">
        <f ca="1">EFEITO!$L$691*EFEITO!$Z$691</f>
        <v>1533.3689297634146</v>
      </c>
      <c r="L691" s="46">
        <f>EFEITO!$N$691*EFEITO!$AA$691</f>
        <v>1763.8444592133976</v>
      </c>
      <c r="M691" s="46">
        <f>$J$691-EFEITO!$K$691*EFEITO!$Y$691</f>
        <v>0</v>
      </c>
      <c r="N691" s="46">
        <f ca="1">$K$691-EFEITO!$M$691*EFEITO!$Z$691</f>
        <v>0</v>
      </c>
      <c r="O691" s="46">
        <f>$L$691-EFEITO!$O$691*EFEITO!$AA$691</f>
        <v>0</v>
      </c>
      <c r="P691" s="38"/>
      <c r="Q691" s="38"/>
      <c r="R691" s="38"/>
      <c r="S691" s="38"/>
      <c r="T691" s="38"/>
      <c r="U691" s="38"/>
      <c r="V691" s="38"/>
      <c r="W691" s="38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35" t="s">
        <v>27</v>
      </c>
      <c r="B692" s="35" t="s">
        <v>22</v>
      </c>
      <c r="C692" s="35" t="s">
        <v>33</v>
      </c>
      <c r="D692" s="35" t="s">
        <v>24</v>
      </c>
      <c r="E692" s="35" t="s">
        <v>24</v>
      </c>
      <c r="F692" s="35" t="s">
        <v>25</v>
      </c>
      <c r="G692" s="35" t="s">
        <v>25</v>
      </c>
      <c r="H692" s="35" t="s">
        <v>35</v>
      </c>
      <c r="I692" s="45">
        <v>44287</v>
      </c>
      <c r="J692" s="46">
        <f>EFEITO!$J$692*EFEITO!$Y$692</f>
        <v>0</v>
      </c>
      <c r="K692" s="46">
        <f ca="1">EFEITO!$L$692*EFEITO!$Z$692</f>
        <v>-644.12278818571349</v>
      </c>
      <c r="L692" s="46">
        <f>EFEITO!$N$692*EFEITO!$AA$692</f>
        <v>-740.93871927465682</v>
      </c>
      <c r="M692" s="46">
        <f>$J$692-EFEITO!$K$692*EFEITO!$Y$692</f>
        <v>0</v>
      </c>
      <c r="N692" s="46">
        <f ca="1">$K$692-EFEITO!$M$692*EFEITO!$Z$692</f>
        <v>0</v>
      </c>
      <c r="O692" s="46">
        <f>$L$692-EFEITO!$O$692*EFEITO!$AA$692</f>
        <v>0</v>
      </c>
      <c r="P692" s="38"/>
      <c r="Q692" s="38"/>
      <c r="R692" s="38"/>
      <c r="S692" s="38"/>
      <c r="T692" s="38"/>
      <c r="U692" s="38"/>
      <c r="V692" s="38"/>
      <c r="W692" s="38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35" t="s">
        <v>21</v>
      </c>
      <c r="B693" s="35" t="s">
        <v>22</v>
      </c>
      <c r="C693" s="35" t="s">
        <v>33</v>
      </c>
      <c r="D693" s="35" t="s">
        <v>24</v>
      </c>
      <c r="E693" s="35" t="s">
        <v>24</v>
      </c>
      <c r="F693" s="35" t="s">
        <v>25</v>
      </c>
      <c r="G693" s="35" t="s">
        <v>25</v>
      </c>
      <c r="H693" s="35" t="s">
        <v>35</v>
      </c>
      <c r="I693" s="45">
        <v>44317</v>
      </c>
      <c r="J693" s="46">
        <f>EFEITO!$J$693*EFEITO!$Y$693</f>
        <v>0</v>
      </c>
      <c r="K693" s="46">
        <f ca="1">EFEITO!$L$693*EFEITO!$Z$693</f>
        <v>1453.7349469355606</v>
      </c>
      <c r="L693" s="46">
        <f>EFEITO!$N$693*EFEITO!$AA$693</f>
        <v>1672.2409601144059</v>
      </c>
      <c r="M693" s="46">
        <f>$J$693-EFEITO!$K$693*EFEITO!$Y$693</f>
        <v>0</v>
      </c>
      <c r="N693" s="46">
        <f ca="1">$K$693-EFEITO!$M$693*EFEITO!$Z$693</f>
        <v>0</v>
      </c>
      <c r="O693" s="46">
        <f>$L$693-EFEITO!$O$693*EFEITO!$AA$693</f>
        <v>0</v>
      </c>
      <c r="P693" s="38"/>
      <c r="Q693" s="38"/>
      <c r="R693" s="38"/>
      <c r="S693" s="38"/>
      <c r="T693" s="38"/>
      <c r="U693" s="38"/>
      <c r="V693" s="38"/>
      <c r="W693" s="38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35" t="s">
        <v>21</v>
      </c>
      <c r="B694" s="35" t="s">
        <v>22</v>
      </c>
      <c r="C694" s="35" t="s">
        <v>33</v>
      </c>
      <c r="D694" s="35" t="s">
        <v>24</v>
      </c>
      <c r="E694" s="35" t="s">
        <v>24</v>
      </c>
      <c r="F694" s="35" t="s">
        <v>25</v>
      </c>
      <c r="G694" s="35" t="s">
        <v>25</v>
      </c>
      <c r="H694" s="35" t="s">
        <v>35</v>
      </c>
      <c r="I694" s="45">
        <v>44348</v>
      </c>
      <c r="J694" s="46">
        <f>EFEITO!$J$694*EFEITO!$Y$694</f>
        <v>0</v>
      </c>
      <c r="K694" s="46">
        <f ca="1">EFEITO!$L$694*EFEITO!$Z$694</f>
        <v>1265.2263782102505</v>
      </c>
      <c r="L694" s="46">
        <f>EFEITO!$N$694*EFEITO!$AA$694</f>
        <v>1455.3983020910114</v>
      </c>
      <c r="M694" s="46">
        <f>$J$694-EFEITO!$K$694*EFEITO!$Y$694</f>
        <v>0</v>
      </c>
      <c r="N694" s="46">
        <f ca="1">$K$694-EFEITO!$M$694*EFEITO!$Z$694</f>
        <v>0</v>
      </c>
      <c r="O694" s="46">
        <f>$L$694-EFEITO!$O$694*EFEITO!$AA$694</f>
        <v>0</v>
      </c>
      <c r="P694" s="38"/>
      <c r="Q694" s="38"/>
      <c r="R694" s="38"/>
      <c r="S694" s="38"/>
      <c r="T694" s="38"/>
      <c r="U694" s="38"/>
      <c r="V694" s="38"/>
      <c r="W694" s="38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35" t="s">
        <v>21</v>
      </c>
      <c r="B695" s="35" t="s">
        <v>22</v>
      </c>
      <c r="C695" s="35" t="s">
        <v>33</v>
      </c>
      <c r="D695" s="35" t="s">
        <v>24</v>
      </c>
      <c r="E695" s="35" t="s">
        <v>24</v>
      </c>
      <c r="F695" s="35" t="s">
        <v>25</v>
      </c>
      <c r="G695" s="35" t="s">
        <v>25</v>
      </c>
      <c r="H695" s="35" t="s">
        <v>35</v>
      </c>
      <c r="I695" s="45">
        <v>44378</v>
      </c>
      <c r="J695" s="46">
        <f>EFEITO!$J$695*EFEITO!$Y$695</f>
        <v>0</v>
      </c>
      <c r="K695" s="46">
        <f ca="1">EFEITO!$L$695*EFEITO!$Z$695</f>
        <v>1249.4654857755711</v>
      </c>
      <c r="L695" s="46">
        <f>EFEITO!$N$695*EFEITO!$AA$695</f>
        <v>1437.2684428943362</v>
      </c>
      <c r="M695" s="46">
        <f>$J$695-EFEITO!$K$695*EFEITO!$Y$695</f>
        <v>0</v>
      </c>
      <c r="N695" s="46">
        <f ca="1">$K$695-EFEITO!$M$695*EFEITO!$Z$695</f>
        <v>0</v>
      </c>
      <c r="O695" s="46">
        <f>$L$695-EFEITO!$O$695*EFEITO!$AA$695</f>
        <v>0</v>
      </c>
      <c r="P695" s="38"/>
      <c r="Q695" s="38"/>
      <c r="R695" s="38"/>
      <c r="S695" s="38"/>
      <c r="T695" s="38"/>
      <c r="U695" s="38"/>
      <c r="V695" s="38"/>
      <c r="W695" s="38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35" t="s">
        <v>21</v>
      </c>
      <c r="B696" s="35" t="s">
        <v>22</v>
      </c>
      <c r="C696" s="35" t="s">
        <v>33</v>
      </c>
      <c r="D696" s="35" t="s">
        <v>24</v>
      </c>
      <c r="E696" s="35" t="s">
        <v>24</v>
      </c>
      <c r="F696" s="35" t="s">
        <v>25</v>
      </c>
      <c r="G696" s="35" t="s">
        <v>25</v>
      </c>
      <c r="H696" s="35" t="s">
        <v>35</v>
      </c>
      <c r="I696" s="45">
        <v>44409</v>
      </c>
      <c r="J696" s="46">
        <f>EFEITO!$J$696*EFEITO!$Y$696</f>
        <v>0</v>
      </c>
      <c r="K696" s="46">
        <f ca="1">EFEITO!$L$696*EFEITO!$Z$696</f>
        <v>1107.6174538634566</v>
      </c>
      <c r="L696" s="46">
        <f>EFEITO!$N$696*EFEITO!$AA$696</f>
        <v>1274.0997101242572</v>
      </c>
      <c r="M696" s="46">
        <f>$J$696-EFEITO!$K$696*EFEITO!$Y$696</f>
        <v>0</v>
      </c>
      <c r="N696" s="46">
        <f ca="1">$K$696-EFEITO!$M$696*EFEITO!$Z$696</f>
        <v>0</v>
      </c>
      <c r="O696" s="46">
        <f>$L$696-EFEITO!$O$696*EFEITO!$AA$696</f>
        <v>0</v>
      </c>
      <c r="P696" s="38"/>
      <c r="Q696" s="38"/>
      <c r="R696" s="38"/>
      <c r="S696" s="38"/>
      <c r="T696" s="38"/>
      <c r="U696" s="38"/>
      <c r="V696" s="38"/>
      <c r="W696" s="38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35" t="s">
        <v>21</v>
      </c>
      <c r="B697" s="35" t="s">
        <v>22</v>
      </c>
      <c r="C697" s="35" t="s">
        <v>33</v>
      </c>
      <c r="D697" s="35" t="s">
        <v>24</v>
      </c>
      <c r="E697" s="35" t="s">
        <v>24</v>
      </c>
      <c r="F697" s="35" t="s">
        <v>25</v>
      </c>
      <c r="G697" s="35" t="s">
        <v>25</v>
      </c>
      <c r="H697" s="35" t="s">
        <v>35</v>
      </c>
      <c r="I697" s="45">
        <v>44440</v>
      </c>
      <c r="J697" s="46">
        <f>EFEITO!$J$697*EFEITO!$Y$697</f>
        <v>0</v>
      </c>
      <c r="K697" s="46">
        <f ca="1">EFEITO!$L$697*EFEITO!$Z$697</f>
        <v>1032.5458346351152</v>
      </c>
      <c r="L697" s="46">
        <f>EFEITO!$N$697*EFEITO!$AA$697</f>
        <v>1187.7443281611452</v>
      </c>
      <c r="M697" s="46">
        <f>$J$697-EFEITO!$K$697*EFEITO!$Y$697</f>
        <v>0</v>
      </c>
      <c r="N697" s="46">
        <f ca="1">$K$697-EFEITO!$M$697*EFEITO!$Z$697</f>
        <v>0</v>
      </c>
      <c r="O697" s="46">
        <f>$L$697-EFEITO!$O$697*EFEITO!$AA$697</f>
        <v>0</v>
      </c>
      <c r="P697" s="38"/>
      <c r="Q697" s="38"/>
      <c r="R697" s="38"/>
      <c r="S697" s="38"/>
      <c r="T697" s="38"/>
      <c r="U697" s="38"/>
      <c r="V697" s="38"/>
      <c r="W697" s="38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35" t="s">
        <v>21</v>
      </c>
      <c r="B698" s="35" t="s">
        <v>22</v>
      </c>
      <c r="C698" s="35" t="s">
        <v>33</v>
      </c>
      <c r="D698" s="35" t="s">
        <v>24</v>
      </c>
      <c r="E698" s="35" t="s">
        <v>24</v>
      </c>
      <c r="F698" s="35" t="s">
        <v>25</v>
      </c>
      <c r="G698" s="35" t="s">
        <v>25</v>
      </c>
      <c r="H698" s="35" t="s">
        <v>35</v>
      </c>
      <c r="I698" s="45">
        <v>44470</v>
      </c>
      <c r="J698" s="46">
        <f>EFEITO!$J$698*EFEITO!$Y$698</f>
        <v>0</v>
      </c>
      <c r="K698" s="46">
        <f ca="1">EFEITO!$L$698*EFEITO!$Z$698</f>
        <v>1251.3319072480988</v>
      </c>
      <c r="L698" s="46">
        <f>EFEITO!$N$698*EFEITO!$AA$698</f>
        <v>1439.4153999044686</v>
      </c>
      <c r="M698" s="46">
        <f>$J$698-EFEITO!$K$698*EFEITO!$Y$698</f>
        <v>0</v>
      </c>
      <c r="N698" s="46">
        <f ca="1">$K$698-EFEITO!$M$698*EFEITO!$Z$698</f>
        <v>0</v>
      </c>
      <c r="O698" s="46">
        <f>$L$698-EFEITO!$O$698*EFEITO!$AA$698</f>
        <v>0</v>
      </c>
      <c r="P698" s="38"/>
      <c r="Q698" s="38"/>
      <c r="R698" s="38"/>
      <c r="S698" s="38"/>
      <c r="T698" s="38"/>
      <c r="U698" s="38"/>
      <c r="V698" s="38"/>
      <c r="W698" s="38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35" t="s">
        <v>21</v>
      </c>
      <c r="B699" s="35" t="s">
        <v>22</v>
      </c>
      <c r="C699" s="35" t="s">
        <v>33</v>
      </c>
      <c r="D699" s="35" t="s">
        <v>24</v>
      </c>
      <c r="E699" s="35" t="s">
        <v>24</v>
      </c>
      <c r="F699" s="35" t="s">
        <v>25</v>
      </c>
      <c r="G699" s="35" t="s">
        <v>25</v>
      </c>
      <c r="H699" s="35" t="s">
        <v>35</v>
      </c>
      <c r="I699" s="45">
        <v>44501</v>
      </c>
      <c r="J699" s="46">
        <f>EFEITO!$J$699*EFEITO!$Y$699</f>
        <v>0</v>
      </c>
      <c r="K699" s="46">
        <f ca="1">EFEITO!$L$699*EFEITO!$Z$699</f>
        <v>1281.4020309721584</v>
      </c>
      <c r="L699" s="46">
        <f>EFEITO!$N$699*EFEITO!$AA$699</f>
        <v>1474.0052628454941</v>
      </c>
      <c r="M699" s="46">
        <f>$J$699-EFEITO!$K$699*EFEITO!$Y$699</f>
        <v>0</v>
      </c>
      <c r="N699" s="46">
        <f ca="1">$K$699-EFEITO!$M$699*EFEITO!$Z$699</f>
        <v>0</v>
      </c>
      <c r="O699" s="46">
        <f>$L$699-EFEITO!$O$699*EFEITO!$AA$699</f>
        <v>0</v>
      </c>
      <c r="P699" s="38"/>
      <c r="Q699" s="38"/>
      <c r="R699" s="38"/>
      <c r="S699" s="38"/>
      <c r="T699" s="38"/>
      <c r="U699" s="38"/>
      <c r="V699" s="38"/>
      <c r="W699" s="38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35" t="s">
        <v>21</v>
      </c>
      <c r="B700" s="35" t="s">
        <v>22</v>
      </c>
      <c r="C700" s="35" t="s">
        <v>33</v>
      </c>
      <c r="D700" s="35" t="s">
        <v>24</v>
      </c>
      <c r="E700" s="35" t="s">
        <v>24</v>
      </c>
      <c r="F700" s="35" t="s">
        <v>25</v>
      </c>
      <c r="G700" s="35" t="s">
        <v>25</v>
      </c>
      <c r="H700" s="35" t="s">
        <v>35</v>
      </c>
      <c r="I700" s="45">
        <v>44531</v>
      </c>
      <c r="J700" s="46">
        <f>EFEITO!$J$700*EFEITO!$Y$700</f>
        <v>0</v>
      </c>
      <c r="K700" s="46">
        <f ca="1">EFEITO!$L$700*EFEITO!$Z$700</f>
        <v>1381.5666499978181</v>
      </c>
      <c r="L700" s="46">
        <f>EFEITO!$N$700*EFEITO!$AA$700</f>
        <v>1589.2252890559446</v>
      </c>
      <c r="M700" s="46">
        <f>$J$700-EFEITO!$K$700*EFEITO!$Y$700</f>
        <v>0</v>
      </c>
      <c r="N700" s="46">
        <f ca="1">$K$700-EFEITO!$M$700*EFEITO!$Z$700</f>
        <v>0</v>
      </c>
      <c r="O700" s="46">
        <f>$L$700-EFEITO!$O$700*EFEITO!$AA$700</f>
        <v>0</v>
      </c>
      <c r="P700" s="38"/>
      <c r="Q700" s="38"/>
      <c r="R700" s="38"/>
      <c r="S700" s="38"/>
      <c r="T700" s="38"/>
      <c r="U700" s="38"/>
      <c r="V700" s="38"/>
      <c r="W700" s="38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35" t="s">
        <v>55</v>
      </c>
      <c r="B701" s="35" t="s">
        <v>22</v>
      </c>
      <c r="C701" s="35" t="s">
        <v>33</v>
      </c>
      <c r="D701" s="35" t="s">
        <v>24</v>
      </c>
      <c r="E701" s="35" t="s">
        <v>24</v>
      </c>
      <c r="F701" s="35" t="s">
        <v>25</v>
      </c>
      <c r="G701" s="35" t="s">
        <v>25</v>
      </c>
      <c r="H701" s="35" t="s">
        <v>35</v>
      </c>
      <c r="I701" s="45">
        <v>44562</v>
      </c>
      <c r="J701" s="46">
        <f>EFEITO!$J$701*EFEITO!$Y$701</f>
        <v>0</v>
      </c>
      <c r="K701" s="46">
        <f ca="1">EFEITO!$L$701*EFEITO!$Z$701</f>
        <v>1381.5666499978181</v>
      </c>
      <c r="L701" s="46">
        <f>EFEITO!$N$701*EFEITO!$AA$701</f>
        <v>1589.2252890559446</v>
      </c>
      <c r="M701" s="46">
        <f>$J$701-EFEITO!$K$701*EFEITO!$Y$701</f>
        <v>0</v>
      </c>
      <c r="N701" s="46">
        <f ca="1">$K$701-EFEITO!$M$701*EFEITO!$Z$701</f>
        <v>0</v>
      </c>
      <c r="O701" s="46">
        <f>$L$701-EFEITO!$O$701*EFEITO!$AA$701</f>
        <v>0</v>
      </c>
      <c r="P701" s="38"/>
      <c r="Q701" s="38"/>
      <c r="R701" s="38"/>
      <c r="S701" s="38"/>
      <c r="T701" s="38"/>
      <c r="U701" s="38"/>
      <c r="V701" s="38"/>
      <c r="W701" s="38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35" t="s">
        <v>21</v>
      </c>
      <c r="B702" s="35" t="s">
        <v>22</v>
      </c>
      <c r="C702" s="35" t="s">
        <v>33</v>
      </c>
      <c r="D702" s="35" t="s">
        <v>24</v>
      </c>
      <c r="E702" s="35" t="s">
        <v>24</v>
      </c>
      <c r="F702" s="35" t="s">
        <v>25</v>
      </c>
      <c r="G702" s="35" t="s">
        <v>25</v>
      </c>
      <c r="H702" s="35" t="s">
        <v>36</v>
      </c>
      <c r="I702" s="45">
        <v>44228</v>
      </c>
      <c r="J702" s="46">
        <f>EFEITO!$J$702*EFEITO!$Y$702</f>
        <v>0</v>
      </c>
      <c r="K702" s="46">
        <f ca="1">EFEITO!$L$702*EFEITO!$Z$702</f>
        <v>201.54714806606981</v>
      </c>
      <c r="L702" s="46">
        <f>EFEITO!$N$702*EFEITO!$AA$702</f>
        <v>98.998573245004053</v>
      </c>
      <c r="M702" s="46">
        <f>$J$702-EFEITO!$K$702*EFEITO!$Y$702</f>
        <v>0</v>
      </c>
      <c r="N702" s="46">
        <f ca="1">$K$702-EFEITO!$M$702*EFEITO!$Z$702</f>
        <v>0</v>
      </c>
      <c r="O702" s="46">
        <f>$L$702-EFEITO!$O$702*EFEITO!$AA$702</f>
        <v>0</v>
      </c>
      <c r="P702" s="38"/>
      <c r="Q702" s="38"/>
      <c r="R702" s="38"/>
      <c r="S702" s="38"/>
      <c r="T702" s="38"/>
      <c r="U702" s="38"/>
      <c r="V702" s="38"/>
      <c r="W702" s="38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35" t="s">
        <v>21</v>
      </c>
      <c r="B703" s="35" t="s">
        <v>22</v>
      </c>
      <c r="C703" s="35" t="s">
        <v>33</v>
      </c>
      <c r="D703" s="35" t="s">
        <v>24</v>
      </c>
      <c r="E703" s="35" t="s">
        <v>24</v>
      </c>
      <c r="F703" s="35" t="s">
        <v>25</v>
      </c>
      <c r="G703" s="35" t="s">
        <v>25</v>
      </c>
      <c r="H703" s="35" t="s">
        <v>36</v>
      </c>
      <c r="I703" s="45">
        <v>44256</v>
      </c>
      <c r="J703" s="46">
        <f>EFEITO!$J$703*EFEITO!$Y$703</f>
        <v>0</v>
      </c>
      <c r="K703" s="46">
        <f ca="1">EFEITO!$L$703*EFEITO!$Z$703</f>
        <v>228.74387166052742</v>
      </c>
      <c r="L703" s="46">
        <f>EFEITO!$N$703*EFEITO!$AA$703</f>
        <v>112.35741686360701</v>
      </c>
      <c r="M703" s="46">
        <f>$J$703-EFEITO!$K$703*EFEITO!$Y$703</f>
        <v>0</v>
      </c>
      <c r="N703" s="46">
        <f ca="1">$K$703-EFEITO!$M$703*EFEITO!$Z$703</f>
        <v>0</v>
      </c>
      <c r="O703" s="46">
        <f>$L$703-EFEITO!$O$703*EFEITO!$AA$703</f>
        <v>0</v>
      </c>
      <c r="P703" s="38"/>
      <c r="Q703" s="38"/>
      <c r="R703" s="38"/>
      <c r="S703" s="38"/>
      <c r="T703" s="38"/>
      <c r="U703" s="38"/>
      <c r="V703" s="38"/>
      <c r="W703" s="38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35" t="s">
        <v>21</v>
      </c>
      <c r="B704" s="35" t="s">
        <v>22</v>
      </c>
      <c r="C704" s="35" t="s">
        <v>33</v>
      </c>
      <c r="D704" s="35" t="s">
        <v>24</v>
      </c>
      <c r="E704" s="35" t="s">
        <v>24</v>
      </c>
      <c r="F704" s="35" t="s">
        <v>25</v>
      </c>
      <c r="G704" s="35" t="s">
        <v>25</v>
      </c>
      <c r="H704" s="35" t="s">
        <v>36</v>
      </c>
      <c r="I704" s="45">
        <v>44287</v>
      </c>
      <c r="J704" s="46">
        <f>EFEITO!$J$704*EFEITO!$Y$704</f>
        <v>0</v>
      </c>
      <c r="K704" s="46">
        <f ca="1">EFEITO!$L$704*EFEITO!$Z$704</f>
        <v>225.34428121122022</v>
      </c>
      <c r="L704" s="46">
        <f>EFEITO!$N$704*EFEITO!$AA$704</f>
        <v>110.68756141128165</v>
      </c>
      <c r="M704" s="46">
        <f>$J$704-EFEITO!$K$704*EFEITO!$Y$704</f>
        <v>0</v>
      </c>
      <c r="N704" s="46">
        <f ca="1">$K$704-EFEITO!$M$704*EFEITO!$Z$704</f>
        <v>0</v>
      </c>
      <c r="O704" s="46">
        <f>$L$704-EFEITO!$O$704*EFEITO!$AA$704</f>
        <v>0</v>
      </c>
      <c r="P704" s="38"/>
      <c r="Q704" s="38"/>
      <c r="R704" s="38"/>
      <c r="S704" s="38"/>
      <c r="T704" s="38"/>
      <c r="U704" s="38"/>
      <c r="V704" s="38"/>
      <c r="W704" s="38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35" t="s">
        <v>27</v>
      </c>
      <c r="B705" s="35" t="s">
        <v>22</v>
      </c>
      <c r="C705" s="35" t="s">
        <v>33</v>
      </c>
      <c r="D705" s="35" t="s">
        <v>24</v>
      </c>
      <c r="E705" s="35" t="s">
        <v>24</v>
      </c>
      <c r="F705" s="35" t="s">
        <v>25</v>
      </c>
      <c r="G705" s="35" t="s">
        <v>25</v>
      </c>
      <c r="H705" s="35" t="s">
        <v>36</v>
      </c>
      <c r="I705" s="45">
        <v>44287</v>
      </c>
      <c r="J705" s="46">
        <f>EFEITO!$J$705*EFEITO!$Y$705</f>
        <v>0</v>
      </c>
      <c r="K705" s="46">
        <f ca="1">EFEITO!$L$705*EFEITO!$Z$705</f>
        <v>-105.8729597069957</v>
      </c>
      <c r="L705" s="46">
        <f>EFEITO!$N$705*EFEITO!$AA$705</f>
        <v>-52.004069800990081</v>
      </c>
      <c r="M705" s="46">
        <f>$J$705-EFEITO!$K$705*EFEITO!$Y$705</f>
        <v>0</v>
      </c>
      <c r="N705" s="46">
        <f ca="1">$K$705-EFEITO!$M$705*EFEITO!$Z$705</f>
        <v>0</v>
      </c>
      <c r="O705" s="46">
        <f>$L$705-EFEITO!$O$705*EFEITO!$AA$705</f>
        <v>0</v>
      </c>
      <c r="P705" s="38"/>
      <c r="Q705" s="38"/>
      <c r="R705" s="38"/>
      <c r="S705" s="38"/>
      <c r="T705" s="38"/>
      <c r="U705" s="38"/>
      <c r="V705" s="38"/>
      <c r="W705" s="38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35" t="s">
        <v>21</v>
      </c>
      <c r="B706" s="35" t="s">
        <v>22</v>
      </c>
      <c r="C706" s="35" t="s">
        <v>33</v>
      </c>
      <c r="D706" s="35" t="s">
        <v>24</v>
      </c>
      <c r="E706" s="35" t="s">
        <v>24</v>
      </c>
      <c r="F706" s="35" t="s">
        <v>25</v>
      </c>
      <c r="G706" s="35" t="s">
        <v>25</v>
      </c>
      <c r="H706" s="35" t="s">
        <v>36</v>
      </c>
      <c r="I706" s="45">
        <v>44317</v>
      </c>
      <c r="J706" s="46">
        <f>EFEITO!$J$706*EFEITO!$Y$706</f>
        <v>0</v>
      </c>
      <c r="K706" s="46">
        <f ca="1">EFEITO!$L$706*EFEITO!$Z$706</f>
        <v>206.88936162926683</v>
      </c>
      <c r="L706" s="46">
        <f>EFEITO!$N$706*EFEITO!$AA$706</f>
        <v>101.62263181294392</v>
      </c>
      <c r="M706" s="46">
        <f>$J$706-EFEITO!$K$706*EFEITO!$Y$706</f>
        <v>0</v>
      </c>
      <c r="N706" s="46">
        <f ca="1">$K$706-EFEITO!$M$706*EFEITO!$Z$706</f>
        <v>0</v>
      </c>
      <c r="O706" s="46">
        <f>$L$706-EFEITO!$O$706*EFEITO!$AA$706</f>
        <v>0</v>
      </c>
      <c r="P706" s="38"/>
      <c r="Q706" s="38"/>
      <c r="R706" s="38"/>
      <c r="S706" s="38"/>
      <c r="T706" s="38"/>
      <c r="U706" s="38"/>
      <c r="V706" s="38"/>
      <c r="W706" s="38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35" t="s">
        <v>21</v>
      </c>
      <c r="B707" s="35" t="s">
        <v>22</v>
      </c>
      <c r="C707" s="35" t="s">
        <v>33</v>
      </c>
      <c r="D707" s="35" t="s">
        <v>24</v>
      </c>
      <c r="E707" s="35" t="s">
        <v>24</v>
      </c>
      <c r="F707" s="35" t="s">
        <v>25</v>
      </c>
      <c r="G707" s="35" t="s">
        <v>25</v>
      </c>
      <c r="H707" s="35" t="s">
        <v>36</v>
      </c>
      <c r="I707" s="45">
        <v>44348</v>
      </c>
      <c r="J707" s="46">
        <f>EFEITO!$J$707*EFEITO!$Y$707</f>
        <v>0</v>
      </c>
      <c r="K707" s="46">
        <f ca="1">EFEITO!$L$707*EFEITO!$Z$707</f>
        <v>195.23362294592786</v>
      </c>
      <c r="L707" s="46">
        <f>EFEITO!$N$707*EFEITO!$AA$707</f>
        <v>95.897413119256953</v>
      </c>
      <c r="M707" s="46">
        <f>$J$707-EFEITO!$K$707*EFEITO!$Y$707</f>
        <v>0</v>
      </c>
      <c r="N707" s="46">
        <f ca="1">$K$707-EFEITO!$M$707*EFEITO!$Z$707</f>
        <v>0</v>
      </c>
      <c r="O707" s="46">
        <f>$L$707-EFEITO!$O$707*EFEITO!$AA$707</f>
        <v>0</v>
      </c>
      <c r="P707" s="38"/>
      <c r="Q707" s="38"/>
      <c r="R707" s="38"/>
      <c r="S707" s="38"/>
      <c r="T707" s="38"/>
      <c r="U707" s="38"/>
      <c r="V707" s="38"/>
      <c r="W707" s="38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35" t="s">
        <v>21</v>
      </c>
      <c r="B708" s="35" t="s">
        <v>22</v>
      </c>
      <c r="C708" s="35" t="s">
        <v>33</v>
      </c>
      <c r="D708" s="35" t="s">
        <v>24</v>
      </c>
      <c r="E708" s="35" t="s">
        <v>24</v>
      </c>
      <c r="F708" s="35" t="s">
        <v>25</v>
      </c>
      <c r="G708" s="35" t="s">
        <v>25</v>
      </c>
      <c r="H708" s="35" t="s">
        <v>36</v>
      </c>
      <c r="I708" s="45">
        <v>44378</v>
      </c>
      <c r="J708" s="46">
        <f>EFEITO!$J$708*EFEITO!$Y$708</f>
        <v>0</v>
      </c>
      <c r="K708" s="46">
        <f ca="1">EFEITO!$L$708*EFEITO!$Z$708</f>
        <v>196.20493450287279</v>
      </c>
      <c r="L708" s="46">
        <f>EFEITO!$N$708*EFEITO!$AA$708</f>
        <v>96.374514677064198</v>
      </c>
      <c r="M708" s="46">
        <f>$J$708-EFEITO!$K$708*EFEITO!$Y$708</f>
        <v>0</v>
      </c>
      <c r="N708" s="46">
        <f ca="1">$K$708-EFEITO!$M$708*EFEITO!$Z$708</f>
        <v>0</v>
      </c>
      <c r="O708" s="46">
        <f>$L$708-EFEITO!$O$708*EFEITO!$AA$708</f>
        <v>0</v>
      </c>
      <c r="P708" s="38"/>
      <c r="Q708" s="38"/>
      <c r="R708" s="38"/>
      <c r="S708" s="38"/>
      <c r="T708" s="38"/>
      <c r="U708" s="38"/>
      <c r="V708" s="38"/>
      <c r="W708" s="38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35" t="s">
        <v>21</v>
      </c>
      <c r="B709" s="35" t="s">
        <v>22</v>
      </c>
      <c r="C709" s="35" t="s">
        <v>33</v>
      </c>
      <c r="D709" s="35" t="s">
        <v>24</v>
      </c>
      <c r="E709" s="35" t="s">
        <v>24</v>
      </c>
      <c r="F709" s="35" t="s">
        <v>25</v>
      </c>
      <c r="G709" s="35" t="s">
        <v>25</v>
      </c>
      <c r="H709" s="35" t="s">
        <v>36</v>
      </c>
      <c r="I709" s="45">
        <v>44409</v>
      </c>
      <c r="J709" s="46">
        <f>EFEITO!$J$709*EFEITO!$Y$709</f>
        <v>0</v>
      </c>
      <c r="K709" s="46">
        <f ca="1">EFEITO!$L$709*EFEITO!$Z$709</f>
        <v>167.06558779452533</v>
      </c>
      <c r="L709" s="46">
        <f>EFEITO!$N$709*EFEITO!$AA$709</f>
        <v>82.061467942846733</v>
      </c>
      <c r="M709" s="46">
        <f>$J$709-EFEITO!$K$709*EFEITO!$Y$709</f>
        <v>0</v>
      </c>
      <c r="N709" s="46">
        <f ca="1">$K$709-EFEITO!$M$709*EFEITO!$Z$709</f>
        <v>0</v>
      </c>
      <c r="O709" s="46">
        <f>$L$709-EFEITO!$O$709*EFEITO!$AA$709</f>
        <v>0</v>
      </c>
      <c r="P709" s="38"/>
      <c r="Q709" s="38"/>
      <c r="R709" s="38"/>
      <c r="S709" s="38"/>
      <c r="T709" s="38"/>
      <c r="U709" s="38"/>
      <c r="V709" s="38"/>
      <c r="W709" s="38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35" t="s">
        <v>21</v>
      </c>
      <c r="B710" s="35" t="s">
        <v>22</v>
      </c>
      <c r="C710" s="35" t="s">
        <v>33</v>
      </c>
      <c r="D710" s="35" t="s">
        <v>24</v>
      </c>
      <c r="E710" s="35" t="s">
        <v>24</v>
      </c>
      <c r="F710" s="35" t="s">
        <v>25</v>
      </c>
      <c r="G710" s="35" t="s">
        <v>25</v>
      </c>
      <c r="H710" s="35" t="s">
        <v>36</v>
      </c>
      <c r="I710" s="45">
        <v>44440</v>
      </c>
      <c r="J710" s="46">
        <f>EFEITO!$J$710*EFEITO!$Y$710</f>
        <v>0</v>
      </c>
      <c r="K710" s="46">
        <f ca="1">EFEITO!$L$710*EFEITO!$Z$710</f>
        <v>149.58197976951686</v>
      </c>
      <c r="L710" s="46">
        <f>EFEITO!$N$710*EFEITO!$AA$710</f>
        <v>73.473639902316265</v>
      </c>
      <c r="M710" s="46">
        <f>$J$710-EFEITO!$K$710*EFEITO!$Y$710</f>
        <v>0</v>
      </c>
      <c r="N710" s="46">
        <f ca="1">$K$710-EFEITO!$M$710*EFEITO!$Z$710</f>
        <v>0</v>
      </c>
      <c r="O710" s="46">
        <f>$L$710-EFEITO!$O$710*EFEITO!$AA$710</f>
        <v>0</v>
      </c>
      <c r="P710" s="38"/>
      <c r="Q710" s="38"/>
      <c r="R710" s="38"/>
      <c r="S710" s="38"/>
      <c r="T710" s="38"/>
      <c r="U710" s="38"/>
      <c r="V710" s="38"/>
      <c r="W710" s="38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35" t="s">
        <v>21</v>
      </c>
      <c r="B711" s="35" t="s">
        <v>22</v>
      </c>
      <c r="C711" s="35" t="s">
        <v>33</v>
      </c>
      <c r="D711" s="35" t="s">
        <v>24</v>
      </c>
      <c r="E711" s="35" t="s">
        <v>24</v>
      </c>
      <c r="F711" s="35" t="s">
        <v>25</v>
      </c>
      <c r="G711" s="35" t="s">
        <v>25</v>
      </c>
      <c r="H711" s="35" t="s">
        <v>36</v>
      </c>
      <c r="I711" s="45">
        <v>44470</v>
      </c>
      <c r="J711" s="46">
        <f>EFEITO!$J$711*EFEITO!$Y$711</f>
        <v>0</v>
      </c>
      <c r="K711" s="46">
        <f ca="1">EFEITO!$L$711*EFEITO!$Z$711</f>
        <v>186.49181893342364</v>
      </c>
      <c r="L711" s="46">
        <f>EFEITO!$N$711*EFEITO!$AA$711</f>
        <v>91.603499098991705</v>
      </c>
      <c r="M711" s="46">
        <f>$J$711-EFEITO!$K$711*EFEITO!$Y$711</f>
        <v>0</v>
      </c>
      <c r="N711" s="46">
        <f ca="1">$K$711-EFEITO!$M$711*EFEITO!$Z$711</f>
        <v>0</v>
      </c>
      <c r="O711" s="46">
        <f>$L$711-EFEITO!$O$711*EFEITO!$AA$711</f>
        <v>0</v>
      </c>
      <c r="P711" s="38"/>
      <c r="Q711" s="38"/>
      <c r="R711" s="38"/>
      <c r="S711" s="38"/>
      <c r="T711" s="38"/>
      <c r="U711" s="38"/>
      <c r="V711" s="38"/>
      <c r="W711" s="38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35" t="s">
        <v>21</v>
      </c>
      <c r="B712" s="35" t="s">
        <v>22</v>
      </c>
      <c r="C712" s="35" t="s">
        <v>33</v>
      </c>
      <c r="D712" s="35" t="s">
        <v>24</v>
      </c>
      <c r="E712" s="35" t="s">
        <v>24</v>
      </c>
      <c r="F712" s="35" t="s">
        <v>25</v>
      </c>
      <c r="G712" s="35" t="s">
        <v>25</v>
      </c>
      <c r="H712" s="35" t="s">
        <v>36</v>
      </c>
      <c r="I712" s="45">
        <v>44501</v>
      </c>
      <c r="J712" s="46">
        <f>EFEITO!$J$712*EFEITO!$Y$712</f>
        <v>0</v>
      </c>
      <c r="K712" s="46">
        <f ca="1">EFEITO!$L$712*EFEITO!$Z$712</f>
        <v>184.54919581953379</v>
      </c>
      <c r="L712" s="46">
        <f>EFEITO!$N$712*EFEITO!$AA$712</f>
        <v>90.649295983377215</v>
      </c>
      <c r="M712" s="46">
        <f>$J$712-EFEITO!$K$712*EFEITO!$Y$712</f>
        <v>0</v>
      </c>
      <c r="N712" s="46">
        <f ca="1">$K$712-EFEITO!$M$712*EFEITO!$Z$712</f>
        <v>0</v>
      </c>
      <c r="O712" s="46">
        <f>$L$712-EFEITO!$O$712*EFEITO!$AA$712</f>
        <v>0</v>
      </c>
      <c r="P712" s="38"/>
      <c r="Q712" s="38"/>
      <c r="R712" s="38"/>
      <c r="S712" s="38"/>
      <c r="T712" s="38"/>
      <c r="U712" s="38"/>
      <c r="V712" s="38"/>
      <c r="W712" s="38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35" t="s">
        <v>21</v>
      </c>
      <c r="B713" s="35" t="s">
        <v>22</v>
      </c>
      <c r="C713" s="35" t="s">
        <v>33</v>
      </c>
      <c r="D713" s="35" t="s">
        <v>24</v>
      </c>
      <c r="E713" s="35" t="s">
        <v>24</v>
      </c>
      <c r="F713" s="35" t="s">
        <v>25</v>
      </c>
      <c r="G713" s="35" t="s">
        <v>25</v>
      </c>
      <c r="H713" s="35" t="s">
        <v>36</v>
      </c>
      <c r="I713" s="45">
        <v>44531</v>
      </c>
      <c r="J713" s="46">
        <f>EFEITO!$J$713*EFEITO!$Y$713</f>
        <v>0</v>
      </c>
      <c r="K713" s="46">
        <f ca="1">EFEITO!$L$713*EFEITO!$Z$713</f>
        <v>201.54714806606981</v>
      </c>
      <c r="L713" s="46">
        <f>EFEITO!$N$713*EFEITO!$AA$713</f>
        <v>98.998573245004053</v>
      </c>
      <c r="M713" s="46">
        <f>$J$713-EFEITO!$K$713*EFEITO!$Y$713</f>
        <v>0</v>
      </c>
      <c r="N713" s="46">
        <f ca="1">$K$713-EFEITO!$M$713*EFEITO!$Z$713</f>
        <v>0</v>
      </c>
      <c r="O713" s="46">
        <f>$L$713-EFEITO!$O$713*EFEITO!$AA$713</f>
        <v>0</v>
      </c>
      <c r="P713" s="38"/>
      <c r="Q713" s="38"/>
      <c r="R713" s="38"/>
      <c r="S713" s="38"/>
      <c r="T713" s="38"/>
      <c r="U713" s="38"/>
      <c r="V713" s="38"/>
      <c r="W713" s="38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35" t="s">
        <v>55</v>
      </c>
      <c r="B714" s="35" t="s">
        <v>22</v>
      </c>
      <c r="C714" s="35" t="s">
        <v>33</v>
      </c>
      <c r="D714" s="35" t="s">
        <v>24</v>
      </c>
      <c r="E714" s="35" t="s">
        <v>24</v>
      </c>
      <c r="F714" s="35" t="s">
        <v>25</v>
      </c>
      <c r="G714" s="35" t="s">
        <v>25</v>
      </c>
      <c r="H714" s="35" t="s">
        <v>36</v>
      </c>
      <c r="I714" s="45">
        <v>44562</v>
      </c>
      <c r="J714" s="46">
        <f>EFEITO!$J$714*EFEITO!$Y$714</f>
        <v>0</v>
      </c>
      <c r="K714" s="46">
        <f ca="1">EFEITO!$L$714*EFEITO!$Z$714</f>
        <v>201.54714806606981</v>
      </c>
      <c r="L714" s="46">
        <f>EFEITO!$N$714*EFEITO!$AA$714</f>
        <v>98.998573245004053</v>
      </c>
      <c r="M714" s="46">
        <f>$J$714-EFEITO!$K$714*EFEITO!$Y$714</f>
        <v>0</v>
      </c>
      <c r="N714" s="46">
        <f ca="1">$K$714-EFEITO!$M$714*EFEITO!$Z$714</f>
        <v>0</v>
      </c>
      <c r="O714" s="46">
        <f>$L$714-EFEITO!$O$714*EFEITO!$AA$714</f>
        <v>0</v>
      </c>
      <c r="P714" s="38"/>
      <c r="Q714" s="38"/>
      <c r="R714" s="38"/>
      <c r="S714" s="38"/>
      <c r="T714" s="38"/>
      <c r="U714" s="38"/>
      <c r="V714" s="38"/>
      <c r="W714" s="38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35" t="s">
        <v>21</v>
      </c>
      <c r="B715" s="35" t="s">
        <v>22</v>
      </c>
      <c r="C715" s="35" t="s">
        <v>33</v>
      </c>
      <c r="D715" s="35" t="s">
        <v>24</v>
      </c>
      <c r="E715" s="35" t="s">
        <v>24</v>
      </c>
      <c r="F715" s="35" t="s">
        <v>25</v>
      </c>
      <c r="G715" s="35" t="s">
        <v>25</v>
      </c>
      <c r="H715" s="35" t="s">
        <v>34</v>
      </c>
      <c r="I715" s="45">
        <v>44228</v>
      </c>
      <c r="J715" s="46">
        <f>EFEITO!$J$715*EFEITO!$Y$715</f>
        <v>0</v>
      </c>
      <c r="K715" s="46">
        <f ca="1">EFEITO!$L$715*EFEITO!$Z$715</f>
        <v>485.09655169808372</v>
      </c>
      <c r="L715" s="46">
        <f>EFEITO!$N$715*EFEITO!$AA$715</f>
        <v>244.77063462768754</v>
      </c>
      <c r="M715" s="46">
        <f>$J$715-EFEITO!$K$715*EFEITO!$Y$715</f>
        <v>0</v>
      </c>
      <c r="N715" s="46">
        <f ca="1">$K$715-EFEITO!$M$715*EFEITO!$Z$715</f>
        <v>0</v>
      </c>
      <c r="O715" s="46">
        <f>$L$715-EFEITO!$O$715*EFEITO!$AA$715</f>
        <v>0</v>
      </c>
      <c r="P715" s="38"/>
      <c r="Q715" s="38"/>
      <c r="R715" s="38"/>
      <c r="S715" s="38"/>
      <c r="T715" s="38"/>
      <c r="U715" s="38"/>
      <c r="V715" s="38"/>
      <c r="W715" s="38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35" t="s">
        <v>21</v>
      </c>
      <c r="B716" s="35" t="s">
        <v>22</v>
      </c>
      <c r="C716" s="35" t="s">
        <v>33</v>
      </c>
      <c r="D716" s="35" t="s">
        <v>24</v>
      </c>
      <c r="E716" s="35" t="s">
        <v>24</v>
      </c>
      <c r="F716" s="35" t="s">
        <v>25</v>
      </c>
      <c r="G716" s="35" t="s">
        <v>25</v>
      </c>
      <c r="H716" s="35" t="s">
        <v>34</v>
      </c>
      <c r="I716" s="45">
        <v>44256</v>
      </c>
      <c r="J716" s="46">
        <f>EFEITO!$J$716*EFEITO!$Y$716</f>
        <v>0</v>
      </c>
      <c r="K716" s="46">
        <f ca="1">EFEITO!$L$716*EFEITO!$Z$716</f>
        <v>549.26680420617663</v>
      </c>
      <c r="L716" s="46">
        <f>EFEITO!$N$716*EFEITO!$AA$716</f>
        <v>277.14974220048396</v>
      </c>
      <c r="M716" s="46">
        <f>$J$716-EFEITO!$K$716*EFEITO!$Y$716</f>
        <v>0</v>
      </c>
      <c r="N716" s="46">
        <f ca="1">$K$716-EFEITO!$M$716*EFEITO!$Z$716</f>
        <v>0</v>
      </c>
      <c r="O716" s="46">
        <f>$L$716-EFEITO!$O$716*EFEITO!$AA$716</f>
        <v>0</v>
      </c>
      <c r="P716" s="38"/>
      <c r="Q716" s="38"/>
      <c r="R716" s="38"/>
      <c r="S716" s="38"/>
      <c r="T716" s="38"/>
      <c r="U716" s="38"/>
      <c r="V716" s="38"/>
      <c r="W716" s="38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35" t="s">
        <v>21</v>
      </c>
      <c r="B717" s="35" t="s">
        <v>22</v>
      </c>
      <c r="C717" s="35" t="s">
        <v>33</v>
      </c>
      <c r="D717" s="35" t="s">
        <v>24</v>
      </c>
      <c r="E717" s="35" t="s">
        <v>24</v>
      </c>
      <c r="F717" s="35" t="s">
        <v>25</v>
      </c>
      <c r="G717" s="35" t="s">
        <v>25</v>
      </c>
      <c r="H717" s="35" t="s">
        <v>34</v>
      </c>
      <c r="I717" s="45">
        <v>44287</v>
      </c>
      <c r="J717" s="46">
        <f>EFEITO!$J$717*EFEITO!$Y$717</f>
        <v>0</v>
      </c>
      <c r="K717" s="46">
        <f ca="1">EFEITO!$L$717*EFEITO!$Z$717</f>
        <v>547.73894105122201</v>
      </c>
      <c r="L717" s="46">
        <f>EFEITO!$N$717*EFEITO!$AA$717</f>
        <v>276.37881106779832</v>
      </c>
      <c r="M717" s="46">
        <f>$J$717-EFEITO!$K$717*EFEITO!$Y$717</f>
        <v>0</v>
      </c>
      <c r="N717" s="46">
        <f ca="1">$K$717-EFEITO!$M$717*EFEITO!$Z$717</f>
        <v>0</v>
      </c>
      <c r="O717" s="46">
        <f>$L$717-EFEITO!$O$717*EFEITO!$AA$717</f>
        <v>0</v>
      </c>
      <c r="P717" s="38"/>
      <c r="Q717" s="38"/>
      <c r="R717" s="38"/>
      <c r="S717" s="38"/>
      <c r="T717" s="38"/>
      <c r="U717" s="38"/>
      <c r="V717" s="38"/>
      <c r="W717" s="38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35" t="s">
        <v>27</v>
      </c>
      <c r="B718" s="35" t="s">
        <v>22</v>
      </c>
      <c r="C718" s="35" t="s">
        <v>33</v>
      </c>
      <c r="D718" s="35" t="s">
        <v>24</v>
      </c>
      <c r="E718" s="35" t="s">
        <v>24</v>
      </c>
      <c r="F718" s="35" t="s">
        <v>25</v>
      </c>
      <c r="G718" s="35" t="s">
        <v>25</v>
      </c>
      <c r="H718" s="35" t="s">
        <v>34</v>
      </c>
      <c r="I718" s="45">
        <v>44287</v>
      </c>
      <c r="J718" s="46">
        <f>EFEITO!$J$718*EFEITO!$Y$718</f>
        <v>0</v>
      </c>
      <c r="K718" s="46">
        <f ca="1">EFEITO!$L$718*EFEITO!$Z$718</f>
        <v>-281.89075208912266</v>
      </c>
      <c r="L718" s="46">
        <f>EFEITO!$N$718*EFEITO!$AA$718</f>
        <v>-142.23679398049873</v>
      </c>
      <c r="M718" s="46">
        <f>$J$718-EFEITO!$K$718*EFEITO!$Y$718</f>
        <v>0</v>
      </c>
      <c r="N718" s="46">
        <f ca="1">$K$718-EFEITO!$M$718*EFEITO!$Z$718</f>
        <v>0</v>
      </c>
      <c r="O718" s="46">
        <f>$L$718-EFEITO!$O$718*EFEITO!$AA$718</f>
        <v>0</v>
      </c>
      <c r="P718" s="38"/>
      <c r="Q718" s="38"/>
      <c r="R718" s="38"/>
      <c r="S718" s="38"/>
      <c r="T718" s="38"/>
      <c r="U718" s="38"/>
      <c r="V718" s="38"/>
      <c r="W718" s="38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35" t="s">
        <v>21</v>
      </c>
      <c r="B719" s="35" t="s">
        <v>22</v>
      </c>
      <c r="C719" s="35" t="s">
        <v>33</v>
      </c>
      <c r="D719" s="35" t="s">
        <v>24</v>
      </c>
      <c r="E719" s="35" t="s">
        <v>24</v>
      </c>
      <c r="F719" s="35" t="s">
        <v>25</v>
      </c>
      <c r="G719" s="35" t="s">
        <v>25</v>
      </c>
      <c r="H719" s="35" t="s">
        <v>34</v>
      </c>
      <c r="I719" s="45">
        <v>44317</v>
      </c>
      <c r="J719" s="46">
        <f>EFEITO!$J$719*EFEITO!$Y$719</f>
        <v>0</v>
      </c>
      <c r="K719" s="46">
        <f ca="1">EFEITO!$L$719*EFEITO!$Z$719</f>
        <v>527.87672003681234</v>
      </c>
      <c r="L719" s="46">
        <f>EFEITO!$N$719*EFEITO!$AA$719</f>
        <v>266.35670634288516</v>
      </c>
      <c r="M719" s="46">
        <f>$J$719-EFEITO!$K$719*EFEITO!$Y$719</f>
        <v>0</v>
      </c>
      <c r="N719" s="46">
        <f ca="1">$K$719-EFEITO!$M$719*EFEITO!$Z$719</f>
        <v>0</v>
      </c>
      <c r="O719" s="46">
        <f>$L$719-EFEITO!$O$719*EFEITO!$AA$719</f>
        <v>0</v>
      </c>
      <c r="P719" s="38"/>
      <c r="Q719" s="38"/>
      <c r="R719" s="38"/>
      <c r="S719" s="38"/>
      <c r="T719" s="38"/>
      <c r="U719" s="38"/>
      <c r="V719" s="38"/>
      <c r="W719" s="38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35" t="s">
        <v>21</v>
      </c>
      <c r="B720" s="35" t="s">
        <v>22</v>
      </c>
      <c r="C720" s="35" t="s">
        <v>33</v>
      </c>
      <c r="D720" s="35" t="s">
        <v>24</v>
      </c>
      <c r="E720" s="35" t="s">
        <v>24</v>
      </c>
      <c r="F720" s="35" t="s">
        <v>25</v>
      </c>
      <c r="G720" s="35" t="s">
        <v>25</v>
      </c>
      <c r="H720" s="35" t="s">
        <v>34</v>
      </c>
      <c r="I720" s="45">
        <v>44348</v>
      </c>
      <c r="J720" s="46">
        <f>EFEITO!$J$720*EFEITO!$Y$720</f>
        <v>0</v>
      </c>
      <c r="K720" s="46">
        <f ca="1">EFEITO!$L$720*EFEITO!$Z$720</f>
        <v>499.6112516701524</v>
      </c>
      <c r="L720" s="46">
        <f>EFEITO!$N$720*EFEITO!$AA$720</f>
        <v>252.09448038820102</v>
      </c>
      <c r="M720" s="46">
        <f>$J$720-EFEITO!$K$720*EFEITO!$Y$720</f>
        <v>0</v>
      </c>
      <c r="N720" s="46">
        <f ca="1">$K$720-EFEITO!$M$720*EFEITO!$Z$720</f>
        <v>0</v>
      </c>
      <c r="O720" s="46">
        <f>$L$720-EFEITO!$O$720*EFEITO!$AA$720</f>
        <v>0</v>
      </c>
      <c r="P720" s="38"/>
      <c r="Q720" s="38"/>
      <c r="R720" s="38"/>
      <c r="S720" s="38"/>
      <c r="T720" s="38"/>
      <c r="U720" s="38"/>
      <c r="V720" s="38"/>
      <c r="W720" s="38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35" t="s">
        <v>21</v>
      </c>
      <c r="B721" s="35" t="s">
        <v>22</v>
      </c>
      <c r="C721" s="35" t="s">
        <v>33</v>
      </c>
      <c r="D721" s="35" t="s">
        <v>24</v>
      </c>
      <c r="E721" s="35" t="s">
        <v>24</v>
      </c>
      <c r="F721" s="35" t="s">
        <v>25</v>
      </c>
      <c r="G721" s="35" t="s">
        <v>25</v>
      </c>
      <c r="H721" s="35" t="s">
        <v>34</v>
      </c>
      <c r="I721" s="45">
        <v>44378</v>
      </c>
      <c r="J721" s="46">
        <f>EFEITO!$J$721*EFEITO!$Y$721</f>
        <v>0</v>
      </c>
      <c r="K721" s="46">
        <f ca="1">EFEITO!$L$721*EFEITO!$Z$721</f>
        <v>499.6112516701524</v>
      </c>
      <c r="L721" s="46">
        <f>EFEITO!$N$721*EFEITO!$AA$721</f>
        <v>252.09448038820102</v>
      </c>
      <c r="M721" s="46">
        <f>$J$721-EFEITO!$K$721*EFEITO!$Y$721</f>
        <v>0</v>
      </c>
      <c r="N721" s="46">
        <f ca="1">$K$721-EFEITO!$M$721*EFEITO!$Z$721</f>
        <v>0</v>
      </c>
      <c r="O721" s="46">
        <f>$L$721-EFEITO!$O$721*EFEITO!$AA$721</f>
        <v>0</v>
      </c>
      <c r="P721" s="38"/>
      <c r="Q721" s="38"/>
      <c r="R721" s="38"/>
      <c r="S721" s="38"/>
      <c r="T721" s="38"/>
      <c r="U721" s="38"/>
      <c r="V721" s="38"/>
      <c r="W721" s="38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35" t="s">
        <v>21</v>
      </c>
      <c r="B722" s="35" t="s">
        <v>22</v>
      </c>
      <c r="C722" s="35" t="s">
        <v>33</v>
      </c>
      <c r="D722" s="35" t="s">
        <v>24</v>
      </c>
      <c r="E722" s="35" t="s">
        <v>24</v>
      </c>
      <c r="F722" s="35" t="s">
        <v>25</v>
      </c>
      <c r="G722" s="35" t="s">
        <v>25</v>
      </c>
      <c r="H722" s="35" t="s">
        <v>34</v>
      </c>
      <c r="I722" s="45">
        <v>44409</v>
      </c>
      <c r="J722" s="46">
        <f>EFEITO!$J$722*EFEITO!$Y$722</f>
        <v>0</v>
      </c>
      <c r="K722" s="46">
        <f ca="1">EFEITO!$L$722*EFEITO!$Z$722</f>
        <v>426.2738202323319</v>
      </c>
      <c r="L722" s="46">
        <f>EFEITO!$N$722*EFEITO!$AA$722</f>
        <v>215.08978601929078</v>
      </c>
      <c r="M722" s="46">
        <f>$J$722-EFEITO!$K$722*EFEITO!$Y$722</f>
        <v>0</v>
      </c>
      <c r="N722" s="46">
        <f ca="1">$K$722-EFEITO!$M$722*EFEITO!$Z$722</f>
        <v>0</v>
      </c>
      <c r="O722" s="46">
        <f>$L$722-EFEITO!$O$722*EFEITO!$AA$722</f>
        <v>0</v>
      </c>
      <c r="P722" s="38"/>
      <c r="Q722" s="38"/>
      <c r="R722" s="38"/>
      <c r="S722" s="38"/>
      <c r="T722" s="38"/>
      <c r="U722" s="38"/>
      <c r="V722" s="38"/>
      <c r="W722" s="38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35" t="s">
        <v>21</v>
      </c>
      <c r="B723" s="35" t="s">
        <v>22</v>
      </c>
      <c r="C723" s="35" t="s">
        <v>33</v>
      </c>
      <c r="D723" s="35" t="s">
        <v>24</v>
      </c>
      <c r="E723" s="35" t="s">
        <v>24</v>
      </c>
      <c r="F723" s="35" t="s">
        <v>25</v>
      </c>
      <c r="G723" s="35" t="s">
        <v>25</v>
      </c>
      <c r="H723" s="35" t="s">
        <v>34</v>
      </c>
      <c r="I723" s="45">
        <v>44440</v>
      </c>
      <c r="J723" s="46">
        <f>EFEITO!$J$723*EFEITO!$Y$723</f>
        <v>0</v>
      </c>
      <c r="K723" s="46">
        <f ca="1">EFEITO!$L$723*EFEITO!$Z$723</f>
        <v>368.21502034405722</v>
      </c>
      <c r="L723" s="46">
        <f>EFEITO!$N$723*EFEITO!$AA$723</f>
        <v>185.79440297723684</v>
      </c>
      <c r="M723" s="46">
        <f>$J$723-EFEITO!$K$723*EFEITO!$Y$723</f>
        <v>0</v>
      </c>
      <c r="N723" s="46">
        <f ca="1">$K$723-EFEITO!$M$723*EFEITO!$Z$723</f>
        <v>0</v>
      </c>
      <c r="O723" s="46">
        <f>$L$723-EFEITO!$O$723*EFEITO!$AA$723</f>
        <v>0</v>
      </c>
      <c r="P723" s="38"/>
      <c r="Q723" s="38"/>
      <c r="R723" s="38"/>
      <c r="S723" s="38"/>
      <c r="T723" s="38"/>
      <c r="U723" s="38"/>
      <c r="V723" s="38"/>
      <c r="W723" s="38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35" t="s">
        <v>21</v>
      </c>
      <c r="B724" s="35" t="s">
        <v>22</v>
      </c>
      <c r="C724" s="35" t="s">
        <v>33</v>
      </c>
      <c r="D724" s="35" t="s">
        <v>24</v>
      </c>
      <c r="E724" s="35" t="s">
        <v>24</v>
      </c>
      <c r="F724" s="35" t="s">
        <v>25</v>
      </c>
      <c r="G724" s="35" t="s">
        <v>25</v>
      </c>
      <c r="H724" s="35" t="s">
        <v>34</v>
      </c>
      <c r="I724" s="45">
        <v>44470</v>
      </c>
      <c r="J724" s="46">
        <f>EFEITO!$J$724*EFEITO!$Y$724</f>
        <v>0</v>
      </c>
      <c r="K724" s="46">
        <f ca="1">EFEITO!$L$724*EFEITO!$Z$724</f>
        <v>407.17553079539942</v>
      </c>
      <c r="L724" s="46">
        <f>EFEITO!$N$724*EFEITO!$AA$724</f>
        <v>205.45314686072041</v>
      </c>
      <c r="M724" s="46">
        <f>$J$724-EFEITO!$K$724*EFEITO!$Y$724</f>
        <v>0</v>
      </c>
      <c r="N724" s="46">
        <f ca="1">$K$724-EFEITO!$M$724*EFEITO!$Z$724</f>
        <v>0</v>
      </c>
      <c r="O724" s="46">
        <f>$L$724-EFEITO!$O$724*EFEITO!$AA$724</f>
        <v>0</v>
      </c>
      <c r="P724" s="38"/>
      <c r="Q724" s="38"/>
      <c r="R724" s="38"/>
      <c r="S724" s="38"/>
      <c r="T724" s="38"/>
      <c r="U724" s="38"/>
      <c r="V724" s="38"/>
      <c r="W724" s="38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35" t="s">
        <v>21</v>
      </c>
      <c r="B725" s="35" t="s">
        <v>22</v>
      </c>
      <c r="C725" s="35" t="s">
        <v>33</v>
      </c>
      <c r="D725" s="35" t="s">
        <v>24</v>
      </c>
      <c r="E725" s="35" t="s">
        <v>24</v>
      </c>
      <c r="F725" s="35" t="s">
        <v>25</v>
      </c>
      <c r="G725" s="35" t="s">
        <v>25</v>
      </c>
      <c r="H725" s="35" t="s">
        <v>34</v>
      </c>
      <c r="I725" s="45">
        <v>44501</v>
      </c>
      <c r="J725" s="46">
        <f>EFEITO!$J$725*EFEITO!$Y$725</f>
        <v>0</v>
      </c>
      <c r="K725" s="46">
        <f ca="1">EFEITO!$L$725*EFEITO!$Z$725</f>
        <v>394.18869397828536</v>
      </c>
      <c r="L725" s="46">
        <f>EFEITO!$N$725*EFEITO!$AA$725</f>
        <v>198.90023223289256</v>
      </c>
      <c r="M725" s="46">
        <f>$J$725-EFEITO!$K$725*EFEITO!$Y$725</f>
        <v>0</v>
      </c>
      <c r="N725" s="46">
        <f ca="1">$K$725-EFEITO!$M$725*EFEITO!$Z$725</f>
        <v>0</v>
      </c>
      <c r="O725" s="46">
        <f>$L$725-EFEITO!$O$725*EFEITO!$AA$725</f>
        <v>0</v>
      </c>
      <c r="P725" s="38"/>
      <c r="Q725" s="38"/>
      <c r="R725" s="38"/>
      <c r="S725" s="38"/>
      <c r="T725" s="38"/>
      <c r="U725" s="38"/>
      <c r="V725" s="38"/>
      <c r="W725" s="38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35" t="s">
        <v>21</v>
      </c>
      <c r="B726" s="35" t="s">
        <v>22</v>
      </c>
      <c r="C726" s="35" t="s">
        <v>33</v>
      </c>
      <c r="D726" s="35" t="s">
        <v>24</v>
      </c>
      <c r="E726" s="35" t="s">
        <v>24</v>
      </c>
      <c r="F726" s="35" t="s">
        <v>25</v>
      </c>
      <c r="G726" s="35" t="s">
        <v>25</v>
      </c>
      <c r="H726" s="35" t="s">
        <v>34</v>
      </c>
      <c r="I726" s="45">
        <v>44531</v>
      </c>
      <c r="J726" s="46">
        <f>EFEITO!$J$726*EFEITO!$Y$726</f>
        <v>0</v>
      </c>
      <c r="K726" s="46">
        <f ca="1">EFEITO!$L$726*EFEITO!$Z$726</f>
        <v>433.91313600710475</v>
      </c>
      <c r="L726" s="46">
        <f>EFEITO!$N$726*EFEITO!$AA$726</f>
        <v>218.94444168271892</v>
      </c>
      <c r="M726" s="46">
        <f>$J$726-EFEITO!$K$726*EFEITO!$Y$726</f>
        <v>0</v>
      </c>
      <c r="N726" s="46">
        <f ca="1">$K$726-EFEITO!$M$726*EFEITO!$Z$726</f>
        <v>0</v>
      </c>
      <c r="O726" s="46">
        <f>$L$726-EFEITO!$O$726*EFEITO!$AA$726</f>
        <v>0</v>
      </c>
      <c r="P726" s="38"/>
      <c r="Q726" s="38"/>
      <c r="R726" s="38"/>
      <c r="S726" s="38"/>
      <c r="T726" s="38"/>
      <c r="U726" s="38"/>
      <c r="V726" s="38"/>
      <c r="W726" s="38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35" t="s">
        <v>55</v>
      </c>
      <c r="B727" s="35" t="s">
        <v>22</v>
      </c>
      <c r="C727" s="35" t="s">
        <v>33</v>
      </c>
      <c r="D727" s="35" t="s">
        <v>24</v>
      </c>
      <c r="E727" s="35" t="s">
        <v>24</v>
      </c>
      <c r="F727" s="35" t="s">
        <v>25</v>
      </c>
      <c r="G727" s="35" t="s">
        <v>25</v>
      </c>
      <c r="H727" s="35" t="s">
        <v>34</v>
      </c>
      <c r="I727" s="45">
        <v>44562</v>
      </c>
      <c r="J727" s="46">
        <f>EFEITO!$J$727*EFEITO!$Y$727</f>
        <v>0</v>
      </c>
      <c r="K727" s="46">
        <f ca="1">EFEITO!$L$727*EFEITO!$Z$727</f>
        <v>433.91313600710475</v>
      </c>
      <c r="L727" s="46">
        <f>EFEITO!$N$727*EFEITO!$AA$727</f>
        <v>218.94444168271892</v>
      </c>
      <c r="M727" s="46">
        <f>$J$727-EFEITO!$K$727*EFEITO!$Y$727</f>
        <v>0</v>
      </c>
      <c r="N727" s="46">
        <f ca="1">$K$727-EFEITO!$M$727*EFEITO!$Z$727</f>
        <v>0</v>
      </c>
      <c r="O727" s="46">
        <f>$L$727-EFEITO!$O$727*EFEITO!$AA$727</f>
        <v>0</v>
      </c>
      <c r="P727" s="38"/>
      <c r="Q727" s="38"/>
      <c r="R727" s="38"/>
      <c r="S727" s="38"/>
      <c r="T727" s="38"/>
      <c r="U727" s="38"/>
      <c r="V727" s="38"/>
      <c r="W727" s="38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35" t="s">
        <v>21</v>
      </c>
      <c r="B728" s="35" t="s">
        <v>22</v>
      </c>
      <c r="C728" s="35" t="s">
        <v>23</v>
      </c>
      <c r="D728" s="35" t="s">
        <v>24</v>
      </c>
      <c r="E728" s="35" t="s">
        <v>24</v>
      </c>
      <c r="F728" s="35" t="s">
        <v>25</v>
      </c>
      <c r="G728" s="35" t="s">
        <v>25</v>
      </c>
      <c r="H728" s="35" t="s">
        <v>25</v>
      </c>
      <c r="I728" s="45">
        <v>44228</v>
      </c>
      <c r="J728" s="46">
        <f>EFEITO!$J$728*EFEITO!$Y$728</f>
        <v>0</v>
      </c>
      <c r="K728" s="46">
        <f ca="1">EFEITO!$L$728*EFEITO!$Z$728</f>
        <v>5061107.8874275256</v>
      </c>
      <c r="L728" s="46">
        <f>EFEITO!$N$728*EFEITO!$AA$728</f>
        <v>4443605.5207809713</v>
      </c>
      <c r="M728" s="46">
        <f>$J$728-EFEITO!$K$728*EFEITO!$Y$728</f>
        <v>0</v>
      </c>
      <c r="N728" s="46">
        <f ca="1">$K$728-EFEITO!$M$728*EFEITO!$Z$728</f>
        <v>0</v>
      </c>
      <c r="O728" s="46">
        <f>$L$728-EFEITO!$O$728*EFEITO!$AA$728</f>
        <v>0</v>
      </c>
      <c r="P728" s="38"/>
      <c r="Q728" s="38"/>
      <c r="R728" s="38"/>
      <c r="S728" s="38"/>
      <c r="T728" s="38"/>
      <c r="U728" s="38"/>
      <c r="V728" s="38"/>
      <c r="W728" s="38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35" t="s">
        <v>27</v>
      </c>
      <c r="B729" s="35" t="s">
        <v>22</v>
      </c>
      <c r="C729" s="35" t="s">
        <v>23</v>
      </c>
      <c r="D729" s="35" t="s">
        <v>24</v>
      </c>
      <c r="E729" s="35" t="s">
        <v>24</v>
      </c>
      <c r="F729" s="35" t="s">
        <v>25</v>
      </c>
      <c r="G729" s="35" t="s">
        <v>25</v>
      </c>
      <c r="H729" s="35" t="s">
        <v>25</v>
      </c>
      <c r="I729" s="45">
        <v>44228</v>
      </c>
      <c r="J729" s="46">
        <f>EFEITO!$J$729*EFEITO!$Y$729</f>
        <v>0</v>
      </c>
      <c r="K729" s="46">
        <f ca="1">EFEITO!$L$729*EFEITO!$Z$729</f>
        <v>-2344.5744594874195</v>
      </c>
      <c r="L729" s="46">
        <f>EFEITO!$N$729*EFEITO!$AA$729</f>
        <v>-2058.5145078493542</v>
      </c>
      <c r="M729" s="46">
        <f>$J$729-EFEITO!$K$729*EFEITO!$Y$729</f>
        <v>0</v>
      </c>
      <c r="N729" s="46">
        <f ca="1">$K$729-EFEITO!$M$729*EFEITO!$Z$729</f>
        <v>0</v>
      </c>
      <c r="O729" s="46">
        <f>$L$729-EFEITO!$O$729*EFEITO!$AA$729</f>
        <v>0</v>
      </c>
      <c r="P729" s="38"/>
      <c r="Q729" s="38"/>
      <c r="R729" s="38"/>
      <c r="S729" s="38"/>
      <c r="T729" s="38"/>
      <c r="U729" s="38"/>
      <c r="V729" s="38"/>
      <c r="W729" s="38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35" t="s">
        <v>28</v>
      </c>
      <c r="B730" s="35" t="s">
        <v>22</v>
      </c>
      <c r="C730" s="35" t="s">
        <v>23</v>
      </c>
      <c r="D730" s="35" t="s">
        <v>24</v>
      </c>
      <c r="E730" s="35" t="s">
        <v>24</v>
      </c>
      <c r="F730" s="35" t="s">
        <v>25</v>
      </c>
      <c r="G730" s="35" t="s">
        <v>25</v>
      </c>
      <c r="H730" s="35" t="s">
        <v>25</v>
      </c>
      <c r="I730" s="45">
        <v>44228</v>
      </c>
      <c r="J730" s="46">
        <f>EFEITO!$J$730*EFEITO!$Y$730</f>
        <v>0</v>
      </c>
      <c r="K730" s="46">
        <f ca="1">EFEITO!$L$730*EFEITO!$Z$730</f>
        <v>35414.271623690336</v>
      </c>
      <c r="L730" s="46">
        <f>EFEITO!$N$730*EFEITO!$AA$730</f>
        <v>31093.400180697241</v>
      </c>
      <c r="M730" s="46">
        <f>$J$730-EFEITO!$K$730*EFEITO!$Y$730</f>
        <v>0</v>
      </c>
      <c r="N730" s="46">
        <f ca="1">$K$730-EFEITO!$M$730*EFEITO!$Z$730</f>
        <v>0</v>
      </c>
      <c r="O730" s="46">
        <f>$L$730-EFEITO!$O$730*EFEITO!$AA$730</f>
        <v>0</v>
      </c>
      <c r="P730" s="38"/>
      <c r="Q730" s="38"/>
      <c r="R730" s="38"/>
      <c r="S730" s="38"/>
      <c r="T730" s="38"/>
      <c r="U730" s="38"/>
      <c r="V730" s="38"/>
      <c r="W730" s="38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35" t="s">
        <v>21</v>
      </c>
      <c r="B731" s="35" t="s">
        <v>22</v>
      </c>
      <c r="C731" s="35" t="s">
        <v>23</v>
      </c>
      <c r="D731" s="35" t="s">
        <v>24</v>
      </c>
      <c r="E731" s="35" t="s">
        <v>24</v>
      </c>
      <c r="F731" s="35" t="s">
        <v>25</v>
      </c>
      <c r="G731" s="35" t="s">
        <v>25</v>
      </c>
      <c r="H731" s="35" t="s">
        <v>25</v>
      </c>
      <c r="I731" s="45">
        <v>44256</v>
      </c>
      <c r="J731" s="46">
        <f>EFEITO!$J$731*EFEITO!$Y$731</f>
        <v>0</v>
      </c>
      <c r="K731" s="46">
        <f ca="1">EFEITO!$L$731*EFEITO!$Z$731</f>
        <v>5503169.0037998054</v>
      </c>
      <c r="L731" s="46">
        <f>EFEITO!$N$731*EFEITO!$AA$731</f>
        <v>4831731.0579018379</v>
      </c>
      <c r="M731" s="46">
        <f>$J$731-EFEITO!$K$731*EFEITO!$Y$731</f>
        <v>0</v>
      </c>
      <c r="N731" s="46">
        <f ca="1">$K$731-EFEITO!$M$731*EFEITO!$Z$731</f>
        <v>0</v>
      </c>
      <c r="O731" s="46">
        <f>$L$731-EFEITO!$O$731*EFEITO!$AA$731</f>
        <v>0</v>
      </c>
      <c r="P731" s="38"/>
      <c r="Q731" s="38"/>
      <c r="R731" s="38"/>
      <c r="S731" s="38"/>
      <c r="T731" s="38"/>
      <c r="U731" s="38"/>
      <c r="V731" s="38"/>
      <c r="W731" s="38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35" t="s">
        <v>27</v>
      </c>
      <c r="B732" s="35" t="s">
        <v>22</v>
      </c>
      <c r="C732" s="35" t="s">
        <v>23</v>
      </c>
      <c r="D732" s="35" t="s">
        <v>24</v>
      </c>
      <c r="E732" s="35" t="s">
        <v>24</v>
      </c>
      <c r="F732" s="35" t="s">
        <v>25</v>
      </c>
      <c r="G732" s="35" t="s">
        <v>25</v>
      </c>
      <c r="H732" s="35" t="s">
        <v>25</v>
      </c>
      <c r="I732" s="45">
        <v>44256</v>
      </c>
      <c r="J732" s="46">
        <f>EFEITO!$J$732*EFEITO!$Y$732</f>
        <v>0</v>
      </c>
      <c r="K732" s="46">
        <f ca="1">EFEITO!$L$732*EFEITO!$Z$732</f>
        <v>-3258.067286173673</v>
      </c>
      <c r="L732" s="46">
        <f>EFEITO!$N$732*EFEITO!$AA$732</f>
        <v>-2860.5526896356891</v>
      </c>
      <c r="M732" s="46">
        <f>$J$732-EFEITO!$K$732*EFEITO!$Y$732</f>
        <v>0</v>
      </c>
      <c r="N732" s="46">
        <f ca="1">$K$732-EFEITO!$M$732*EFEITO!$Z$732</f>
        <v>0</v>
      </c>
      <c r="O732" s="46">
        <f>$L$732-EFEITO!$O$732*EFEITO!$AA$732</f>
        <v>0</v>
      </c>
      <c r="P732" s="38"/>
      <c r="Q732" s="38"/>
      <c r="R732" s="38"/>
      <c r="S732" s="38"/>
      <c r="T732" s="38"/>
      <c r="U732" s="38"/>
      <c r="V732" s="38"/>
      <c r="W732" s="38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35" t="s">
        <v>28</v>
      </c>
      <c r="B733" s="35" t="s">
        <v>22</v>
      </c>
      <c r="C733" s="35" t="s">
        <v>23</v>
      </c>
      <c r="D733" s="35" t="s">
        <v>24</v>
      </c>
      <c r="E733" s="35" t="s">
        <v>24</v>
      </c>
      <c r="F733" s="35" t="s">
        <v>25</v>
      </c>
      <c r="G733" s="35" t="s">
        <v>25</v>
      </c>
      <c r="H733" s="35" t="s">
        <v>25</v>
      </c>
      <c r="I733" s="45">
        <v>44256</v>
      </c>
      <c r="J733" s="46">
        <f>EFEITO!$J$733*EFEITO!$Y$733</f>
        <v>0</v>
      </c>
      <c r="K733" s="46">
        <f ca="1">EFEITO!$L$733*EFEITO!$Z$733</f>
        <v>41304.5579210941</v>
      </c>
      <c r="L733" s="46">
        <f>EFEITO!$N$733*EFEITO!$AA$733</f>
        <v>36265.016611784173</v>
      </c>
      <c r="M733" s="46">
        <f>$J$733-EFEITO!$K$733*EFEITO!$Y$733</f>
        <v>0</v>
      </c>
      <c r="N733" s="46">
        <f ca="1">$K$733-EFEITO!$M$733*EFEITO!$Z$733</f>
        <v>0</v>
      </c>
      <c r="O733" s="46">
        <f>$L$733-EFEITO!$O$733*EFEITO!$AA$733</f>
        <v>0</v>
      </c>
      <c r="P733" s="38"/>
      <c r="Q733" s="38"/>
      <c r="R733" s="38"/>
      <c r="S733" s="38"/>
      <c r="T733" s="38"/>
      <c r="U733" s="38"/>
      <c r="V733" s="38"/>
      <c r="W733" s="38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35" t="s">
        <v>21</v>
      </c>
      <c r="B734" s="35" t="s">
        <v>22</v>
      </c>
      <c r="C734" s="35" t="s">
        <v>23</v>
      </c>
      <c r="D734" s="35" t="s">
        <v>24</v>
      </c>
      <c r="E734" s="35" t="s">
        <v>24</v>
      </c>
      <c r="F734" s="35" t="s">
        <v>25</v>
      </c>
      <c r="G734" s="35" t="s">
        <v>25</v>
      </c>
      <c r="H734" s="35" t="s">
        <v>25</v>
      </c>
      <c r="I734" s="45">
        <v>44287</v>
      </c>
      <c r="J734" s="46">
        <f>EFEITO!$J$734*EFEITO!$Y$734</f>
        <v>0</v>
      </c>
      <c r="K734" s="46">
        <f ca="1">EFEITO!$L$734*EFEITO!$Z$734</f>
        <v>5582359.2342002783</v>
      </c>
      <c r="L734" s="46">
        <f>EFEITO!$N$734*EFEITO!$AA$734</f>
        <v>4901259.3415951366</v>
      </c>
      <c r="M734" s="46">
        <f>$J$734-EFEITO!$K$734*EFEITO!$Y$734</f>
        <v>0</v>
      </c>
      <c r="N734" s="46">
        <f ca="1">$K$734-EFEITO!$M$734*EFEITO!$Z$734</f>
        <v>0</v>
      </c>
      <c r="O734" s="46">
        <f>$L$734-EFEITO!$O$734*EFEITO!$AA$734</f>
        <v>0</v>
      </c>
      <c r="P734" s="38"/>
      <c r="Q734" s="38"/>
      <c r="R734" s="38"/>
      <c r="S734" s="38"/>
      <c r="T734" s="38"/>
      <c r="U734" s="38"/>
      <c r="V734" s="38"/>
      <c r="W734" s="38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35" t="s">
        <v>27</v>
      </c>
      <c r="B735" s="35" t="s">
        <v>22</v>
      </c>
      <c r="C735" s="35" t="s">
        <v>23</v>
      </c>
      <c r="D735" s="35" t="s">
        <v>24</v>
      </c>
      <c r="E735" s="35" t="s">
        <v>24</v>
      </c>
      <c r="F735" s="35" t="s">
        <v>25</v>
      </c>
      <c r="G735" s="35" t="s">
        <v>25</v>
      </c>
      <c r="H735" s="35" t="s">
        <v>25</v>
      </c>
      <c r="I735" s="45">
        <v>44287</v>
      </c>
      <c r="J735" s="46">
        <f>EFEITO!$J$735*EFEITO!$Y$735</f>
        <v>0</v>
      </c>
      <c r="K735" s="46">
        <f ca="1">EFEITO!$L$735*EFEITO!$Z$735</f>
        <v>-1730.7232760763006</v>
      </c>
      <c r="L735" s="46">
        <f>EFEITO!$N$735*EFEITO!$AA$735</f>
        <v>-1519.5588941348974</v>
      </c>
      <c r="M735" s="46">
        <f>$J$735-EFEITO!$K$735*EFEITO!$Y$735</f>
        <v>0</v>
      </c>
      <c r="N735" s="46">
        <f ca="1">$K$735-EFEITO!$M$735*EFEITO!$Z$735</f>
        <v>0</v>
      </c>
      <c r="O735" s="46">
        <f>$L$735-EFEITO!$O$735*EFEITO!$AA$735</f>
        <v>0</v>
      </c>
      <c r="P735" s="38"/>
      <c r="Q735" s="38"/>
      <c r="R735" s="38"/>
      <c r="S735" s="38"/>
      <c r="T735" s="38"/>
      <c r="U735" s="38"/>
      <c r="V735" s="38"/>
      <c r="W735" s="38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35" t="s">
        <v>28</v>
      </c>
      <c r="B736" s="35" t="s">
        <v>22</v>
      </c>
      <c r="C736" s="35" t="s">
        <v>23</v>
      </c>
      <c r="D736" s="35" t="s">
        <v>24</v>
      </c>
      <c r="E736" s="35" t="s">
        <v>24</v>
      </c>
      <c r="F736" s="35" t="s">
        <v>25</v>
      </c>
      <c r="G736" s="35" t="s">
        <v>25</v>
      </c>
      <c r="H736" s="35" t="s">
        <v>25</v>
      </c>
      <c r="I736" s="45">
        <v>44287</v>
      </c>
      <c r="J736" s="46">
        <f>EFEITO!$J$736*EFEITO!$Y$736</f>
        <v>0</v>
      </c>
      <c r="K736" s="46">
        <f ca="1">EFEITO!$L$736*EFEITO!$Z$736</f>
        <v>48623.355045970646</v>
      </c>
      <c r="L736" s="46">
        <f>EFEITO!$N$736*EFEITO!$AA$736</f>
        <v>42690.85222583342</v>
      </c>
      <c r="M736" s="46">
        <f>$J$736-EFEITO!$K$736*EFEITO!$Y$736</f>
        <v>0</v>
      </c>
      <c r="N736" s="46">
        <f ca="1">$K$736-EFEITO!$M$736*EFEITO!$Z$736</f>
        <v>0</v>
      </c>
      <c r="O736" s="46">
        <f>$L$736-EFEITO!$O$736*EFEITO!$AA$736</f>
        <v>0</v>
      </c>
      <c r="P736" s="38"/>
      <c r="Q736" s="38"/>
      <c r="R736" s="38"/>
      <c r="S736" s="38"/>
      <c r="T736" s="38"/>
      <c r="U736" s="38"/>
      <c r="V736" s="38"/>
      <c r="W736" s="38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35" t="s">
        <v>21</v>
      </c>
      <c r="B737" s="35" t="s">
        <v>22</v>
      </c>
      <c r="C737" s="35" t="s">
        <v>23</v>
      </c>
      <c r="D737" s="35" t="s">
        <v>24</v>
      </c>
      <c r="E737" s="35" t="s">
        <v>24</v>
      </c>
      <c r="F737" s="35" t="s">
        <v>25</v>
      </c>
      <c r="G737" s="35" t="s">
        <v>25</v>
      </c>
      <c r="H737" s="35" t="s">
        <v>25</v>
      </c>
      <c r="I737" s="45">
        <v>44317</v>
      </c>
      <c r="J737" s="46">
        <f>EFEITO!$J$737*EFEITO!$Y$737</f>
        <v>0</v>
      </c>
      <c r="K737" s="46">
        <f ca="1">EFEITO!$L$737*EFEITO!$Z$737</f>
        <v>5166405.217227824</v>
      </c>
      <c r="L737" s="46">
        <f>EFEITO!$N$737*EFEITO!$AA$737</f>
        <v>4536055.5942493565</v>
      </c>
      <c r="M737" s="46">
        <f>$J$737-EFEITO!$K$737*EFEITO!$Y$737</f>
        <v>0</v>
      </c>
      <c r="N737" s="46">
        <f ca="1">$K$737-EFEITO!$M$737*EFEITO!$Z$737</f>
        <v>0</v>
      </c>
      <c r="O737" s="46">
        <f>$L$737-EFEITO!$O$737*EFEITO!$AA$737</f>
        <v>0</v>
      </c>
      <c r="P737" s="38"/>
      <c r="Q737" s="38"/>
      <c r="R737" s="38"/>
      <c r="S737" s="38"/>
      <c r="T737" s="38"/>
      <c r="U737" s="38"/>
      <c r="V737" s="38"/>
      <c r="W737" s="38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35" t="s">
        <v>27</v>
      </c>
      <c r="B738" s="35" t="s">
        <v>22</v>
      </c>
      <c r="C738" s="35" t="s">
        <v>23</v>
      </c>
      <c r="D738" s="35" t="s">
        <v>24</v>
      </c>
      <c r="E738" s="35" t="s">
        <v>24</v>
      </c>
      <c r="F738" s="35" t="s">
        <v>25</v>
      </c>
      <c r="G738" s="35" t="s">
        <v>25</v>
      </c>
      <c r="H738" s="35" t="s">
        <v>25</v>
      </c>
      <c r="I738" s="45">
        <v>44317</v>
      </c>
      <c r="J738" s="46">
        <f>EFEITO!$J$738*EFEITO!$Y$738</f>
        <v>0</v>
      </c>
      <c r="K738" s="46">
        <f ca="1">EFEITO!$L$738*EFEITO!$Z$738</f>
        <v>-3039.5488332609202</v>
      </c>
      <c r="L738" s="46">
        <f>EFEITO!$N$738*EFEITO!$AA$738</f>
        <v>-2668.6955260751683</v>
      </c>
      <c r="M738" s="46">
        <f>$J$738-EFEITO!$K$738*EFEITO!$Y$738</f>
        <v>0</v>
      </c>
      <c r="N738" s="46">
        <f ca="1">$K$738-EFEITO!$M$738*EFEITO!$Z$738</f>
        <v>0</v>
      </c>
      <c r="O738" s="46">
        <f>$L$738-EFEITO!$O$738*EFEITO!$AA$738</f>
        <v>0</v>
      </c>
      <c r="P738" s="38"/>
      <c r="Q738" s="38"/>
      <c r="R738" s="38"/>
      <c r="S738" s="38"/>
      <c r="T738" s="38"/>
      <c r="U738" s="38"/>
      <c r="V738" s="38"/>
      <c r="W738" s="38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35" t="s">
        <v>28</v>
      </c>
      <c r="B739" s="35" t="s">
        <v>22</v>
      </c>
      <c r="C739" s="35" t="s">
        <v>23</v>
      </c>
      <c r="D739" s="35" t="s">
        <v>24</v>
      </c>
      <c r="E739" s="35" t="s">
        <v>24</v>
      </c>
      <c r="F739" s="35" t="s">
        <v>25</v>
      </c>
      <c r="G739" s="35" t="s">
        <v>25</v>
      </c>
      <c r="H739" s="35" t="s">
        <v>25</v>
      </c>
      <c r="I739" s="45">
        <v>44317</v>
      </c>
      <c r="J739" s="46">
        <f>EFEITO!$J$739*EFEITO!$Y$739</f>
        <v>0</v>
      </c>
      <c r="K739" s="46">
        <f ca="1">EFEITO!$L$739*EFEITO!$Z$739</f>
        <v>48761.321598593982</v>
      </c>
      <c r="L739" s="46">
        <f>EFEITO!$N$739*EFEITO!$AA$739</f>
        <v>42811.985572238285</v>
      </c>
      <c r="M739" s="46">
        <f>$J$739-EFEITO!$K$739*EFEITO!$Y$739</f>
        <v>0</v>
      </c>
      <c r="N739" s="46">
        <f ca="1">$K$739-EFEITO!$M$739*EFEITO!$Z$739</f>
        <v>0</v>
      </c>
      <c r="O739" s="46">
        <f>$L$739-EFEITO!$O$739*EFEITO!$AA$739</f>
        <v>0</v>
      </c>
      <c r="P739" s="38"/>
      <c r="Q739" s="38"/>
      <c r="R739" s="38"/>
      <c r="S739" s="38"/>
      <c r="T739" s="38"/>
      <c r="U739" s="38"/>
      <c r="V739" s="38"/>
      <c r="W739" s="38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35" t="s">
        <v>28</v>
      </c>
      <c r="B740" s="35" t="s">
        <v>22</v>
      </c>
      <c r="C740" s="35" t="s">
        <v>23</v>
      </c>
      <c r="D740" s="35" t="s">
        <v>24</v>
      </c>
      <c r="E740" s="35" t="s">
        <v>24</v>
      </c>
      <c r="F740" s="35" t="s">
        <v>25</v>
      </c>
      <c r="G740" s="35" t="s">
        <v>25</v>
      </c>
      <c r="H740" s="35" t="s">
        <v>25</v>
      </c>
      <c r="I740" s="45">
        <v>44317</v>
      </c>
      <c r="J740" s="46">
        <f>EFEITO!$J$740*EFEITO!$Y$740</f>
        <v>0</v>
      </c>
      <c r="K740" s="46">
        <f ca="1">EFEITO!$L$740*EFEITO!$Z$740</f>
        <v>-8.5693510946177618</v>
      </c>
      <c r="L740" s="46">
        <f>EFEITO!$N$740*EFEITO!$AA$740</f>
        <v>-7.5238103357067043</v>
      </c>
      <c r="M740" s="46">
        <f>$J$740-EFEITO!$K$740*EFEITO!$Y$740</f>
        <v>0</v>
      </c>
      <c r="N740" s="46">
        <f ca="1">$K$740-EFEITO!$M$740*EFEITO!$Z$740</f>
        <v>0</v>
      </c>
      <c r="O740" s="46">
        <f>$L$740-EFEITO!$O$740*EFEITO!$AA$740</f>
        <v>0</v>
      </c>
      <c r="P740" s="38"/>
      <c r="Q740" s="38"/>
      <c r="R740" s="38"/>
      <c r="S740" s="38"/>
      <c r="T740" s="38"/>
      <c r="U740" s="38"/>
      <c r="V740" s="38"/>
      <c r="W740" s="38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35" t="s">
        <v>21</v>
      </c>
      <c r="B741" s="35" t="s">
        <v>22</v>
      </c>
      <c r="C741" s="35" t="s">
        <v>23</v>
      </c>
      <c r="D741" s="35" t="s">
        <v>24</v>
      </c>
      <c r="E741" s="35" t="s">
        <v>24</v>
      </c>
      <c r="F741" s="35" t="s">
        <v>25</v>
      </c>
      <c r="G741" s="35" t="s">
        <v>25</v>
      </c>
      <c r="H741" s="35" t="s">
        <v>25</v>
      </c>
      <c r="I741" s="45">
        <v>44348</v>
      </c>
      <c r="J741" s="46">
        <f>EFEITO!$J$741*EFEITO!$Y$741</f>
        <v>0</v>
      </c>
      <c r="K741" s="46">
        <f ca="1">EFEITO!$L$741*EFEITO!$Z$741</f>
        <v>4859380.5066946037</v>
      </c>
      <c r="L741" s="46">
        <f>EFEITO!$N$741*EFEITO!$AA$741</f>
        <v>4266490.761985912</v>
      </c>
      <c r="M741" s="46">
        <f>$J$741-EFEITO!$K$741*EFEITO!$Y$741</f>
        <v>0</v>
      </c>
      <c r="N741" s="46">
        <f ca="1">$K$741-EFEITO!$M$741*EFEITO!$Z$741</f>
        <v>0</v>
      </c>
      <c r="O741" s="46">
        <f>$L$741-EFEITO!$O$741*EFEITO!$AA$741</f>
        <v>0</v>
      </c>
      <c r="P741" s="38"/>
      <c r="Q741" s="38"/>
      <c r="R741" s="38"/>
      <c r="S741" s="38"/>
      <c r="T741" s="38"/>
      <c r="U741" s="38"/>
      <c r="V741" s="38"/>
      <c r="W741" s="38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35" t="s">
        <v>27</v>
      </c>
      <c r="B742" s="35" t="s">
        <v>22</v>
      </c>
      <c r="C742" s="35" t="s">
        <v>23</v>
      </c>
      <c r="D742" s="35" t="s">
        <v>24</v>
      </c>
      <c r="E742" s="35" t="s">
        <v>24</v>
      </c>
      <c r="F742" s="35" t="s">
        <v>25</v>
      </c>
      <c r="G742" s="35" t="s">
        <v>25</v>
      </c>
      <c r="H742" s="35" t="s">
        <v>25</v>
      </c>
      <c r="I742" s="45">
        <v>44348</v>
      </c>
      <c r="J742" s="46">
        <f>EFEITO!$J$742*EFEITO!$Y$742</f>
        <v>0</v>
      </c>
      <c r="K742" s="46">
        <f ca="1">EFEITO!$L$742*EFEITO!$Z$742</f>
        <v>-1266.5500917845052</v>
      </c>
      <c r="L742" s="46">
        <f>EFEITO!$N$742*EFEITO!$AA$742</f>
        <v>-1112.0191676174511</v>
      </c>
      <c r="M742" s="46">
        <f>$J$742-EFEITO!$K$742*EFEITO!$Y$742</f>
        <v>0</v>
      </c>
      <c r="N742" s="46">
        <f ca="1">$K$742-EFEITO!$M$742*EFEITO!$Z$742</f>
        <v>0</v>
      </c>
      <c r="O742" s="46">
        <f>$L$742-EFEITO!$O$742*EFEITO!$AA$742</f>
        <v>0</v>
      </c>
      <c r="P742" s="38"/>
      <c r="Q742" s="38"/>
      <c r="R742" s="38"/>
      <c r="S742" s="38"/>
      <c r="T742" s="38"/>
      <c r="U742" s="38"/>
      <c r="V742" s="38"/>
      <c r="W742" s="38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35" t="s">
        <v>28</v>
      </c>
      <c r="B743" s="35" t="s">
        <v>22</v>
      </c>
      <c r="C743" s="35" t="s">
        <v>23</v>
      </c>
      <c r="D743" s="35" t="s">
        <v>24</v>
      </c>
      <c r="E743" s="35" t="s">
        <v>24</v>
      </c>
      <c r="F743" s="35" t="s">
        <v>25</v>
      </c>
      <c r="G743" s="35" t="s">
        <v>25</v>
      </c>
      <c r="H743" s="35" t="s">
        <v>25</v>
      </c>
      <c r="I743" s="45">
        <v>44348</v>
      </c>
      <c r="J743" s="46">
        <f>EFEITO!$J$743*EFEITO!$Y$743</f>
        <v>0</v>
      </c>
      <c r="K743" s="46">
        <f ca="1">EFEITO!$L$743*EFEITO!$Z$743</f>
        <v>49466.864838717513</v>
      </c>
      <c r="L743" s="46">
        <f>EFEITO!$N$743*EFEITO!$AA$743</f>
        <v>43431.445956544805</v>
      </c>
      <c r="M743" s="46">
        <f>$J$743-EFEITO!$K$743*EFEITO!$Y$743</f>
        <v>0</v>
      </c>
      <c r="N743" s="46">
        <f ca="1">$K$743-EFEITO!$M$743*EFEITO!$Z$743</f>
        <v>0</v>
      </c>
      <c r="O743" s="46">
        <f>$L$743-EFEITO!$O$743*EFEITO!$AA$743</f>
        <v>0</v>
      </c>
      <c r="P743" s="38"/>
      <c r="Q743" s="38"/>
      <c r="R743" s="38"/>
      <c r="S743" s="38"/>
      <c r="T743" s="38"/>
      <c r="U743" s="38"/>
      <c r="V743" s="38"/>
      <c r="W743" s="38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35" t="s">
        <v>21</v>
      </c>
      <c r="B744" s="35" t="s">
        <v>22</v>
      </c>
      <c r="C744" s="35" t="s">
        <v>23</v>
      </c>
      <c r="D744" s="35" t="s">
        <v>24</v>
      </c>
      <c r="E744" s="35" t="s">
        <v>24</v>
      </c>
      <c r="F744" s="35" t="s">
        <v>25</v>
      </c>
      <c r="G744" s="35" t="s">
        <v>25</v>
      </c>
      <c r="H744" s="35" t="s">
        <v>25</v>
      </c>
      <c r="I744" s="45">
        <v>44378</v>
      </c>
      <c r="J744" s="46">
        <f>EFEITO!$J$744*EFEITO!$Y$744</f>
        <v>0</v>
      </c>
      <c r="K744" s="46">
        <f ca="1">EFEITO!$L$744*EFEITO!$Z$744</f>
        <v>5033320.0526330089</v>
      </c>
      <c r="L744" s="46">
        <f>EFEITO!$N$744*EFEITO!$AA$744</f>
        <v>4419208.0610053753</v>
      </c>
      <c r="M744" s="46">
        <f>$J$744-EFEITO!$K$744*EFEITO!$Y$744</f>
        <v>0</v>
      </c>
      <c r="N744" s="46">
        <f ca="1">$K$744-EFEITO!$M$744*EFEITO!$Z$744</f>
        <v>0</v>
      </c>
      <c r="O744" s="46">
        <f>$L$744-EFEITO!$O$744*EFEITO!$AA$744</f>
        <v>0</v>
      </c>
      <c r="P744" s="38"/>
      <c r="Q744" s="38"/>
      <c r="R744" s="38"/>
      <c r="S744" s="38"/>
      <c r="T744" s="38"/>
      <c r="U744" s="38"/>
      <c r="V744" s="38"/>
      <c r="W744" s="38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35" t="s">
        <v>27</v>
      </c>
      <c r="B745" s="35" t="s">
        <v>22</v>
      </c>
      <c r="C745" s="35" t="s">
        <v>23</v>
      </c>
      <c r="D745" s="35" t="s">
        <v>24</v>
      </c>
      <c r="E745" s="35" t="s">
        <v>24</v>
      </c>
      <c r="F745" s="35" t="s">
        <v>25</v>
      </c>
      <c r="G745" s="35" t="s">
        <v>25</v>
      </c>
      <c r="H745" s="35" t="s">
        <v>25</v>
      </c>
      <c r="I745" s="45">
        <v>44378</v>
      </c>
      <c r="J745" s="46">
        <f>EFEITO!$J$745*EFEITO!$Y$745</f>
        <v>0</v>
      </c>
      <c r="K745" s="46">
        <f ca="1">EFEITO!$L$745*EFEITO!$Z$745</f>
        <v>-3750.2336840412195</v>
      </c>
      <c r="L745" s="46">
        <f>EFEITO!$N$745*EFEITO!$AA$745</f>
        <v>-3292.6701965831107</v>
      </c>
      <c r="M745" s="46">
        <f>$J$745-EFEITO!$K$745*EFEITO!$Y$745</f>
        <v>0</v>
      </c>
      <c r="N745" s="46">
        <f ca="1">$K$745-EFEITO!$M$745*EFEITO!$Z$745</f>
        <v>0</v>
      </c>
      <c r="O745" s="46">
        <f>$L$745-EFEITO!$O$745*EFEITO!$AA$745</f>
        <v>0</v>
      </c>
      <c r="P745" s="38"/>
      <c r="Q745" s="38"/>
      <c r="R745" s="38"/>
      <c r="S745" s="38"/>
      <c r="T745" s="38"/>
      <c r="U745" s="38"/>
      <c r="V745" s="38"/>
      <c r="W745" s="38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35" t="s">
        <v>28</v>
      </c>
      <c r="B746" s="35" t="s">
        <v>22</v>
      </c>
      <c r="C746" s="35" t="s">
        <v>23</v>
      </c>
      <c r="D746" s="35" t="s">
        <v>24</v>
      </c>
      <c r="E746" s="35" t="s">
        <v>24</v>
      </c>
      <c r="F746" s="35" t="s">
        <v>25</v>
      </c>
      <c r="G746" s="35" t="s">
        <v>25</v>
      </c>
      <c r="H746" s="35" t="s">
        <v>25</v>
      </c>
      <c r="I746" s="45">
        <v>44378</v>
      </c>
      <c r="J746" s="46">
        <f>EFEITO!$J$746*EFEITO!$Y$746</f>
        <v>0</v>
      </c>
      <c r="K746" s="46">
        <f ca="1">EFEITO!$L$746*EFEITO!$Z$746</f>
        <v>58007.365784650065</v>
      </c>
      <c r="L746" s="46">
        <f>EFEITO!$N$746*EFEITO!$AA$746</f>
        <v>50929.926130787964</v>
      </c>
      <c r="M746" s="46">
        <f>$J$746-EFEITO!$K$746*EFEITO!$Y$746</f>
        <v>0</v>
      </c>
      <c r="N746" s="46">
        <f ca="1">$K$746-EFEITO!$M$746*EFEITO!$Z$746</f>
        <v>0</v>
      </c>
      <c r="O746" s="46">
        <f>$L$746-EFEITO!$O$746*EFEITO!$AA$746</f>
        <v>0</v>
      </c>
      <c r="P746" s="38"/>
      <c r="Q746" s="38"/>
      <c r="R746" s="38"/>
      <c r="S746" s="38"/>
      <c r="T746" s="38"/>
      <c r="U746" s="38"/>
      <c r="V746" s="38"/>
      <c r="W746" s="38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35" t="s">
        <v>21</v>
      </c>
      <c r="B747" s="35" t="s">
        <v>22</v>
      </c>
      <c r="C747" s="35" t="s">
        <v>23</v>
      </c>
      <c r="D747" s="35" t="s">
        <v>24</v>
      </c>
      <c r="E747" s="35" t="s">
        <v>24</v>
      </c>
      <c r="F747" s="35" t="s">
        <v>25</v>
      </c>
      <c r="G747" s="35" t="s">
        <v>25</v>
      </c>
      <c r="H747" s="35" t="s">
        <v>25</v>
      </c>
      <c r="I747" s="45">
        <v>44409</v>
      </c>
      <c r="J747" s="46">
        <f>EFEITO!$J$747*EFEITO!$Y$747</f>
        <v>0</v>
      </c>
      <c r="K747" s="46">
        <f ca="1">EFEITO!$L$747*EFEITO!$Z$747</f>
        <v>4678688.3120936397</v>
      </c>
      <c r="L747" s="46">
        <f>EFEITO!$N$747*EFEITO!$AA$747</f>
        <v>4107844.7004219117</v>
      </c>
      <c r="M747" s="46">
        <f>$J$747-EFEITO!$K$747*EFEITO!$Y$747</f>
        <v>0</v>
      </c>
      <c r="N747" s="46">
        <f ca="1">$K$747-EFEITO!$M$747*EFEITO!$Z$747</f>
        <v>0</v>
      </c>
      <c r="O747" s="46">
        <f>$L$747-EFEITO!$O$747*EFEITO!$AA$747</f>
        <v>0</v>
      </c>
      <c r="P747" s="38"/>
      <c r="Q747" s="38"/>
      <c r="R747" s="38"/>
      <c r="S747" s="38"/>
      <c r="T747" s="38"/>
      <c r="U747" s="38"/>
      <c r="V747" s="38"/>
      <c r="W747" s="38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35" t="s">
        <v>27</v>
      </c>
      <c r="B748" s="35" t="s">
        <v>22</v>
      </c>
      <c r="C748" s="35" t="s">
        <v>23</v>
      </c>
      <c r="D748" s="35" t="s">
        <v>24</v>
      </c>
      <c r="E748" s="35" t="s">
        <v>24</v>
      </c>
      <c r="F748" s="35" t="s">
        <v>25</v>
      </c>
      <c r="G748" s="35" t="s">
        <v>25</v>
      </c>
      <c r="H748" s="35" t="s">
        <v>25</v>
      </c>
      <c r="I748" s="45">
        <v>44409</v>
      </c>
      <c r="J748" s="46">
        <f>EFEITO!$J$748*EFEITO!$Y$748</f>
        <v>0</v>
      </c>
      <c r="K748" s="46">
        <f ca="1">EFEITO!$L$748*EFEITO!$Z$748</f>
        <v>-6957.1705086836737</v>
      </c>
      <c r="L748" s="46">
        <f>EFEITO!$N$748*EFEITO!$AA$748</f>
        <v>-6108.3308178824173</v>
      </c>
      <c r="M748" s="46">
        <f>$J$748-EFEITO!$K$748*EFEITO!$Y$748</f>
        <v>0</v>
      </c>
      <c r="N748" s="46">
        <f ca="1">$K$748-EFEITO!$M$748*EFEITO!$Z$748</f>
        <v>0</v>
      </c>
      <c r="O748" s="46">
        <f>$L$748-EFEITO!$O$748*EFEITO!$AA$748</f>
        <v>0</v>
      </c>
      <c r="P748" s="38"/>
      <c r="Q748" s="38"/>
      <c r="R748" s="38"/>
      <c r="S748" s="38"/>
      <c r="T748" s="38"/>
      <c r="U748" s="38"/>
      <c r="V748" s="38"/>
      <c r="W748" s="38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35" t="s">
        <v>28</v>
      </c>
      <c r="B749" s="35" t="s">
        <v>22</v>
      </c>
      <c r="C749" s="35" t="s">
        <v>23</v>
      </c>
      <c r="D749" s="35" t="s">
        <v>24</v>
      </c>
      <c r="E749" s="35" t="s">
        <v>24</v>
      </c>
      <c r="F749" s="35" t="s">
        <v>25</v>
      </c>
      <c r="G749" s="35" t="s">
        <v>25</v>
      </c>
      <c r="H749" s="35" t="s">
        <v>25</v>
      </c>
      <c r="I749" s="45">
        <v>44409</v>
      </c>
      <c r="J749" s="46">
        <f>EFEITO!$J$749*EFEITO!$Y$749</f>
        <v>0</v>
      </c>
      <c r="K749" s="46">
        <f ca="1">EFEITO!$L$749*EFEITO!$Z$749</f>
        <v>53235.9510951669</v>
      </c>
      <c r="L749" s="46">
        <f>EFEITO!$N$749*EFEITO!$AA$749</f>
        <v>46740.668535866476</v>
      </c>
      <c r="M749" s="46">
        <f>$J$749-EFEITO!$K$749*EFEITO!$Y$749</f>
        <v>0</v>
      </c>
      <c r="N749" s="46">
        <f ca="1">$K$749-EFEITO!$M$749*EFEITO!$Z$749</f>
        <v>0</v>
      </c>
      <c r="O749" s="46">
        <f>$L$749-EFEITO!$O$749*EFEITO!$AA$749</f>
        <v>0</v>
      </c>
      <c r="P749" s="38"/>
      <c r="Q749" s="38"/>
      <c r="R749" s="38"/>
      <c r="S749" s="38"/>
      <c r="T749" s="38"/>
      <c r="U749" s="38"/>
      <c r="V749" s="38"/>
      <c r="W749" s="38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35" t="s">
        <v>21</v>
      </c>
      <c r="B750" s="35" t="s">
        <v>22</v>
      </c>
      <c r="C750" s="35" t="s">
        <v>23</v>
      </c>
      <c r="D750" s="35" t="s">
        <v>24</v>
      </c>
      <c r="E750" s="35" t="s">
        <v>24</v>
      </c>
      <c r="F750" s="35" t="s">
        <v>25</v>
      </c>
      <c r="G750" s="35" t="s">
        <v>25</v>
      </c>
      <c r="H750" s="35" t="s">
        <v>25</v>
      </c>
      <c r="I750" s="45">
        <v>44440</v>
      </c>
      <c r="J750" s="46">
        <f>EFEITO!$J$750*EFEITO!$Y$750</f>
        <v>0</v>
      </c>
      <c r="K750" s="46">
        <f ca="1">EFEITO!$L$750*EFEITO!$Z$750</f>
        <v>4754058.0401310949</v>
      </c>
      <c r="L750" s="46">
        <f>EFEITO!$N$750*EFEITO!$AA$750</f>
        <v>4174018.618673875</v>
      </c>
      <c r="M750" s="46">
        <f>$J$750-EFEITO!$K$750*EFEITO!$Y$750</f>
        <v>0</v>
      </c>
      <c r="N750" s="46">
        <f ca="1">$K$750-EFEITO!$M$750*EFEITO!$Z$750</f>
        <v>0</v>
      </c>
      <c r="O750" s="46">
        <f>$L$750-EFEITO!$O$750*EFEITO!$AA$750</f>
        <v>0</v>
      </c>
      <c r="P750" s="38"/>
      <c r="Q750" s="38"/>
      <c r="R750" s="38"/>
      <c r="S750" s="38"/>
      <c r="T750" s="38"/>
      <c r="U750" s="38"/>
      <c r="V750" s="38"/>
      <c r="W750" s="38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35" t="s">
        <v>27</v>
      </c>
      <c r="B751" s="35" t="s">
        <v>22</v>
      </c>
      <c r="C751" s="35" t="s">
        <v>23</v>
      </c>
      <c r="D751" s="35" t="s">
        <v>24</v>
      </c>
      <c r="E751" s="35" t="s">
        <v>24</v>
      </c>
      <c r="F751" s="35" t="s">
        <v>25</v>
      </c>
      <c r="G751" s="35" t="s">
        <v>25</v>
      </c>
      <c r="H751" s="35" t="s">
        <v>25</v>
      </c>
      <c r="I751" s="45">
        <v>44440</v>
      </c>
      <c r="J751" s="46">
        <f>EFEITO!$J$751*EFEITO!$Y$751</f>
        <v>0</v>
      </c>
      <c r="K751" s="46">
        <f ca="1">EFEITO!$L$751*EFEITO!$Z$751</f>
        <v>-847.79446829418384</v>
      </c>
      <c r="L751" s="46">
        <f>EFEITO!$N$751*EFEITO!$AA$751</f>
        <v>-744.35563587925003</v>
      </c>
      <c r="M751" s="46">
        <f>$J$751-EFEITO!$K$751*EFEITO!$Y$751</f>
        <v>0</v>
      </c>
      <c r="N751" s="46">
        <f ca="1">$K$751-EFEITO!$M$751*EFEITO!$Z$751</f>
        <v>0</v>
      </c>
      <c r="O751" s="46">
        <f>$L$751-EFEITO!$O$751*EFEITO!$AA$751</f>
        <v>0</v>
      </c>
      <c r="P751" s="38"/>
      <c r="Q751" s="38"/>
      <c r="R751" s="38"/>
      <c r="S751" s="38"/>
      <c r="T751" s="38"/>
      <c r="U751" s="38"/>
      <c r="V751" s="38"/>
      <c r="W751" s="38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35" t="s">
        <v>28</v>
      </c>
      <c r="B752" s="35" t="s">
        <v>22</v>
      </c>
      <c r="C752" s="35" t="s">
        <v>23</v>
      </c>
      <c r="D752" s="35" t="s">
        <v>24</v>
      </c>
      <c r="E752" s="35" t="s">
        <v>24</v>
      </c>
      <c r="F752" s="35" t="s">
        <v>25</v>
      </c>
      <c r="G752" s="35" t="s">
        <v>25</v>
      </c>
      <c r="H752" s="35" t="s">
        <v>25</v>
      </c>
      <c r="I752" s="45">
        <v>44440</v>
      </c>
      <c r="J752" s="46">
        <f>EFEITO!$J$752*EFEITO!$Y$752</f>
        <v>0</v>
      </c>
      <c r="K752" s="46">
        <f ca="1">EFEITO!$L$752*EFEITO!$Z$752</f>
        <v>51855.428633823976</v>
      </c>
      <c r="L752" s="46">
        <f>EFEITO!$N$752*EFEITO!$AA$752</f>
        <v>45528.582690784126</v>
      </c>
      <c r="M752" s="46">
        <f>$J$752-EFEITO!$K$752*EFEITO!$Y$752</f>
        <v>0</v>
      </c>
      <c r="N752" s="46">
        <f ca="1">$K$752-EFEITO!$M$752*EFEITO!$Z$752</f>
        <v>0</v>
      </c>
      <c r="O752" s="46">
        <f>$L$752-EFEITO!$O$752*EFEITO!$AA$752</f>
        <v>0</v>
      </c>
      <c r="P752" s="38"/>
      <c r="Q752" s="38"/>
      <c r="R752" s="38"/>
      <c r="S752" s="38"/>
      <c r="T752" s="38"/>
      <c r="U752" s="38"/>
      <c r="V752" s="38"/>
      <c r="W752" s="38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35" t="s">
        <v>21</v>
      </c>
      <c r="B753" s="35" t="s">
        <v>22</v>
      </c>
      <c r="C753" s="35" t="s">
        <v>23</v>
      </c>
      <c r="D753" s="35" t="s">
        <v>24</v>
      </c>
      <c r="E753" s="35" t="s">
        <v>24</v>
      </c>
      <c r="F753" s="35" t="s">
        <v>25</v>
      </c>
      <c r="G753" s="35" t="s">
        <v>25</v>
      </c>
      <c r="H753" s="35" t="s">
        <v>25</v>
      </c>
      <c r="I753" s="45">
        <v>44470</v>
      </c>
      <c r="J753" s="46">
        <f>EFEITO!$J$753*EFEITO!$Y$753</f>
        <v>0</v>
      </c>
      <c r="K753" s="46">
        <f ca="1">EFEITO!$L$753*EFEITO!$Z$753</f>
        <v>4981019.017742265</v>
      </c>
      <c r="L753" s="46">
        <f>EFEITO!$N$753*EFEITO!$AA$753</f>
        <v>4373288.240177135</v>
      </c>
      <c r="M753" s="46">
        <f>$J$753-EFEITO!$K$753*EFEITO!$Y$753</f>
        <v>0</v>
      </c>
      <c r="N753" s="46">
        <f ca="1">$K$753-EFEITO!$M$753*EFEITO!$Z$753</f>
        <v>0</v>
      </c>
      <c r="O753" s="46">
        <f>$L$753-EFEITO!$O$753*EFEITO!$AA$753</f>
        <v>0</v>
      </c>
      <c r="P753" s="38"/>
      <c r="Q753" s="38"/>
      <c r="R753" s="38"/>
      <c r="S753" s="38"/>
      <c r="T753" s="38"/>
      <c r="U753" s="38"/>
      <c r="V753" s="38"/>
      <c r="W753" s="38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35" t="s">
        <v>27</v>
      </c>
      <c r="B754" s="35" t="s">
        <v>22</v>
      </c>
      <c r="C754" s="35" t="s">
        <v>23</v>
      </c>
      <c r="D754" s="35" t="s">
        <v>24</v>
      </c>
      <c r="E754" s="35" t="s">
        <v>24</v>
      </c>
      <c r="F754" s="35" t="s">
        <v>25</v>
      </c>
      <c r="G754" s="35" t="s">
        <v>25</v>
      </c>
      <c r="H754" s="35" t="s">
        <v>25</v>
      </c>
      <c r="I754" s="45">
        <v>44470</v>
      </c>
      <c r="J754" s="46">
        <f>EFEITO!$J$754*EFEITO!$Y$754</f>
        <v>0</v>
      </c>
      <c r="K754" s="46">
        <f ca="1">EFEITO!$L$754*EFEITO!$Z$754</f>
        <v>-1304.2552366008233</v>
      </c>
      <c r="L754" s="46">
        <f>EFEITO!$N$754*EFEITO!$AA$754</f>
        <v>-1145.1239330945605</v>
      </c>
      <c r="M754" s="46">
        <f>$J$754-EFEITO!$K$754*EFEITO!$Y$754</f>
        <v>0</v>
      </c>
      <c r="N754" s="46">
        <f ca="1">$K$754-EFEITO!$M$754*EFEITO!$Z$754</f>
        <v>0</v>
      </c>
      <c r="O754" s="46">
        <f>$L$754-EFEITO!$O$754*EFEITO!$AA$754</f>
        <v>0</v>
      </c>
      <c r="P754" s="38"/>
      <c r="Q754" s="38"/>
      <c r="R754" s="38"/>
      <c r="S754" s="38"/>
      <c r="T754" s="38"/>
      <c r="U754" s="38"/>
      <c r="V754" s="38"/>
      <c r="W754" s="38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35" t="s">
        <v>28</v>
      </c>
      <c r="B755" s="35" t="s">
        <v>22</v>
      </c>
      <c r="C755" s="35" t="s">
        <v>23</v>
      </c>
      <c r="D755" s="35" t="s">
        <v>24</v>
      </c>
      <c r="E755" s="35" t="s">
        <v>24</v>
      </c>
      <c r="F755" s="35" t="s">
        <v>25</v>
      </c>
      <c r="G755" s="35" t="s">
        <v>25</v>
      </c>
      <c r="H755" s="35" t="s">
        <v>25</v>
      </c>
      <c r="I755" s="45">
        <v>44470</v>
      </c>
      <c r="J755" s="46">
        <f>EFEITO!$J$755*EFEITO!$Y$755</f>
        <v>0</v>
      </c>
      <c r="K755" s="46">
        <f ca="1">EFEITO!$L$755*EFEITO!$Z$755</f>
        <v>59534.709794747439</v>
      </c>
      <c r="L755" s="46">
        <f>EFEITO!$N$755*EFEITO!$AA$755</f>
        <v>52270.919926288756</v>
      </c>
      <c r="M755" s="46">
        <f>$J$755-EFEITO!$K$755*EFEITO!$Y$755</f>
        <v>0</v>
      </c>
      <c r="N755" s="46">
        <f ca="1">$K$755-EFEITO!$M$755*EFEITO!$Z$755</f>
        <v>0</v>
      </c>
      <c r="O755" s="46">
        <f>$L$755-EFEITO!$O$755*EFEITO!$AA$755</f>
        <v>0</v>
      </c>
      <c r="P755" s="38"/>
      <c r="Q755" s="38"/>
      <c r="R755" s="38"/>
      <c r="S755" s="38"/>
      <c r="T755" s="38"/>
      <c r="U755" s="38"/>
      <c r="V755" s="38"/>
      <c r="W755" s="38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35" t="s">
        <v>28</v>
      </c>
      <c r="B756" s="35" t="s">
        <v>22</v>
      </c>
      <c r="C756" s="35" t="s">
        <v>23</v>
      </c>
      <c r="D756" s="35" t="s">
        <v>24</v>
      </c>
      <c r="E756" s="35" t="s">
        <v>24</v>
      </c>
      <c r="F756" s="35" t="s">
        <v>25</v>
      </c>
      <c r="G756" s="35" t="s">
        <v>25</v>
      </c>
      <c r="H756" s="35" t="s">
        <v>25</v>
      </c>
      <c r="I756" s="45">
        <v>44470</v>
      </c>
      <c r="J756" s="46">
        <f>EFEITO!$J$756*EFEITO!$Y$756</f>
        <v>0</v>
      </c>
      <c r="K756" s="46">
        <f ca="1">EFEITO!$L$756*EFEITO!$Z$756</f>
        <v>-67.697873647480307</v>
      </c>
      <c r="L756" s="46">
        <f>EFEITO!$N$756*EFEITO!$AA$756</f>
        <v>-59.438101652082963</v>
      </c>
      <c r="M756" s="46">
        <f>$J$756-EFEITO!$K$756*EFEITO!$Y$756</f>
        <v>0</v>
      </c>
      <c r="N756" s="46">
        <f ca="1">$K$756-EFEITO!$M$756*EFEITO!$Z$756</f>
        <v>0</v>
      </c>
      <c r="O756" s="46">
        <f>$L$756-EFEITO!$O$756*EFEITO!$AA$756</f>
        <v>0</v>
      </c>
      <c r="P756" s="38"/>
      <c r="Q756" s="38"/>
      <c r="R756" s="38"/>
      <c r="S756" s="38"/>
      <c r="T756" s="38"/>
      <c r="U756" s="38"/>
      <c r="V756" s="38"/>
      <c r="W756" s="38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35" t="s">
        <v>21</v>
      </c>
      <c r="B757" s="35" t="s">
        <v>22</v>
      </c>
      <c r="C757" s="35" t="s">
        <v>23</v>
      </c>
      <c r="D757" s="35" t="s">
        <v>24</v>
      </c>
      <c r="E757" s="35" t="s">
        <v>24</v>
      </c>
      <c r="F757" s="35" t="s">
        <v>25</v>
      </c>
      <c r="G757" s="35" t="s">
        <v>25</v>
      </c>
      <c r="H757" s="35" t="s">
        <v>25</v>
      </c>
      <c r="I757" s="45">
        <v>44501</v>
      </c>
      <c r="J757" s="46">
        <f>EFEITO!$J$757*EFEITO!$Y$757</f>
        <v>0</v>
      </c>
      <c r="K757" s="46">
        <f ca="1">EFEITO!$L$757*EFEITO!$Z$757</f>
        <v>5039009.8161147991</v>
      </c>
      <c r="L757" s="46">
        <f>EFEITO!$N$757*EFEITO!$AA$757</f>
        <v>4424203.6202746071</v>
      </c>
      <c r="M757" s="46">
        <f>$J$757-EFEITO!$K$757*EFEITO!$Y$757</f>
        <v>0</v>
      </c>
      <c r="N757" s="46">
        <f ca="1">$K$757-EFEITO!$M$757*EFEITO!$Z$757</f>
        <v>0</v>
      </c>
      <c r="O757" s="46">
        <f>$L$757-EFEITO!$O$757*EFEITO!$AA$757</f>
        <v>0</v>
      </c>
      <c r="P757" s="38"/>
      <c r="Q757" s="38"/>
      <c r="R757" s="38"/>
      <c r="S757" s="38"/>
      <c r="T757" s="38"/>
      <c r="U757" s="38"/>
      <c r="V757" s="38"/>
      <c r="W757" s="38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35" t="s">
        <v>27</v>
      </c>
      <c r="B758" s="35" t="s">
        <v>22</v>
      </c>
      <c r="C758" s="35" t="s">
        <v>23</v>
      </c>
      <c r="D758" s="35" t="s">
        <v>24</v>
      </c>
      <c r="E758" s="35" t="s">
        <v>24</v>
      </c>
      <c r="F758" s="35" t="s">
        <v>25</v>
      </c>
      <c r="G758" s="35" t="s">
        <v>25</v>
      </c>
      <c r="H758" s="35" t="s">
        <v>25</v>
      </c>
      <c r="I758" s="45">
        <v>44501</v>
      </c>
      <c r="J758" s="46">
        <f>EFEITO!$J$758*EFEITO!$Y$758</f>
        <v>0</v>
      </c>
      <c r="K758" s="46">
        <f ca="1">EFEITO!$L$758*EFEITO!$Z$758</f>
        <v>-2388.8494401429443</v>
      </c>
      <c r="L758" s="46">
        <f>EFEITO!$N$758*EFEITO!$AA$758</f>
        <v>-2097.3875279171721</v>
      </c>
      <c r="M758" s="46">
        <f>$J$758-EFEITO!$K$758*EFEITO!$Y$758</f>
        <v>0</v>
      </c>
      <c r="N758" s="46">
        <f ca="1">$K$758-EFEITO!$M$758*EFEITO!$Z$758</f>
        <v>0</v>
      </c>
      <c r="O758" s="46">
        <f>$L$758-EFEITO!$O$758*EFEITO!$AA$758</f>
        <v>0</v>
      </c>
      <c r="P758" s="38"/>
      <c r="Q758" s="38"/>
      <c r="R758" s="38"/>
      <c r="S758" s="38"/>
      <c r="T758" s="38"/>
      <c r="U758" s="38"/>
      <c r="V758" s="38"/>
      <c r="W758" s="38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35" t="s">
        <v>28</v>
      </c>
      <c r="B759" s="35" t="s">
        <v>22</v>
      </c>
      <c r="C759" s="35" t="s">
        <v>23</v>
      </c>
      <c r="D759" s="35" t="s">
        <v>24</v>
      </c>
      <c r="E759" s="35" t="s">
        <v>24</v>
      </c>
      <c r="F759" s="35" t="s">
        <v>25</v>
      </c>
      <c r="G759" s="35" t="s">
        <v>25</v>
      </c>
      <c r="H759" s="35" t="s">
        <v>25</v>
      </c>
      <c r="I759" s="45">
        <v>44501</v>
      </c>
      <c r="J759" s="46">
        <f>EFEITO!$J$759*EFEITO!$Y$759</f>
        <v>0</v>
      </c>
      <c r="K759" s="46">
        <f ca="1">EFEITO!$L$759*EFEITO!$Z$759</f>
        <v>59669.819897005917</v>
      </c>
      <c r="L759" s="46">
        <f>EFEITO!$N$759*EFEITO!$AA$759</f>
        <v>52389.545335915071</v>
      </c>
      <c r="M759" s="46">
        <f>$J$759-EFEITO!$K$759*EFEITO!$Y$759</f>
        <v>0</v>
      </c>
      <c r="N759" s="46">
        <f ca="1">$K$759-EFEITO!$M$759*EFEITO!$Z$759</f>
        <v>0</v>
      </c>
      <c r="O759" s="46">
        <f>$L$759-EFEITO!$O$759*EFEITO!$AA$759</f>
        <v>0</v>
      </c>
      <c r="P759" s="38"/>
      <c r="Q759" s="38"/>
      <c r="R759" s="38"/>
      <c r="S759" s="38"/>
      <c r="T759" s="38"/>
      <c r="U759" s="38"/>
      <c r="V759" s="38"/>
      <c r="W759" s="38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35" t="s">
        <v>21</v>
      </c>
      <c r="B760" s="35" t="s">
        <v>22</v>
      </c>
      <c r="C760" s="35" t="s">
        <v>23</v>
      </c>
      <c r="D760" s="35" t="s">
        <v>24</v>
      </c>
      <c r="E760" s="35" t="s">
        <v>24</v>
      </c>
      <c r="F760" s="35" t="s">
        <v>25</v>
      </c>
      <c r="G760" s="35" t="s">
        <v>25</v>
      </c>
      <c r="H760" s="35" t="s">
        <v>25</v>
      </c>
      <c r="I760" s="45">
        <v>44531</v>
      </c>
      <c r="J760" s="46">
        <f>EFEITO!$J$760*EFEITO!$Y$760</f>
        <v>0</v>
      </c>
      <c r="K760" s="46">
        <f ca="1">EFEITO!$L$760*EFEITO!$Z$760</f>
        <v>5284259.7884771386</v>
      </c>
      <c r="L760" s="46">
        <f>EFEITO!$N$760*EFEITO!$AA$760</f>
        <v>4639530.8085900089</v>
      </c>
      <c r="M760" s="46">
        <f>$J$760-EFEITO!$K$760*EFEITO!$Y$760</f>
        <v>0</v>
      </c>
      <c r="N760" s="46">
        <f ca="1">$K$760-EFEITO!$M$760*EFEITO!$Z$760</f>
        <v>0</v>
      </c>
      <c r="O760" s="46">
        <f>$L$760-EFEITO!$O$760*EFEITO!$AA$760</f>
        <v>0</v>
      </c>
      <c r="P760" s="38"/>
      <c r="Q760" s="38"/>
      <c r="R760" s="38"/>
      <c r="S760" s="38"/>
      <c r="T760" s="38"/>
      <c r="U760" s="38"/>
      <c r="V760" s="38"/>
      <c r="W760" s="38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35" t="s">
        <v>27</v>
      </c>
      <c r="B761" s="35" t="s">
        <v>22</v>
      </c>
      <c r="C761" s="35" t="s">
        <v>23</v>
      </c>
      <c r="D761" s="35" t="s">
        <v>24</v>
      </c>
      <c r="E761" s="35" t="s">
        <v>24</v>
      </c>
      <c r="F761" s="35" t="s">
        <v>25</v>
      </c>
      <c r="G761" s="35" t="s">
        <v>25</v>
      </c>
      <c r="H761" s="35" t="s">
        <v>25</v>
      </c>
      <c r="I761" s="45">
        <v>44531</v>
      </c>
      <c r="J761" s="46">
        <f>EFEITO!$J$761*EFEITO!$Y$761</f>
        <v>0</v>
      </c>
      <c r="K761" s="46">
        <f ca="1">EFEITO!$L$761*EFEITO!$Z$761</f>
        <v>-4494.9102941635037</v>
      </c>
      <c r="L761" s="46">
        <f>EFEITO!$N$761*EFEITO!$AA$761</f>
        <v>-3946.4893147560238</v>
      </c>
      <c r="M761" s="46">
        <f>$J$761-EFEITO!$K$761*EFEITO!$Y$761</f>
        <v>0</v>
      </c>
      <c r="N761" s="46">
        <f ca="1">$K$761-EFEITO!$M$761*EFEITO!$Z$761</f>
        <v>0</v>
      </c>
      <c r="O761" s="46">
        <f>$L$761-EFEITO!$O$761*EFEITO!$AA$761</f>
        <v>0</v>
      </c>
      <c r="P761" s="38"/>
      <c r="Q761" s="38"/>
      <c r="R761" s="38"/>
      <c r="S761" s="38"/>
      <c r="T761" s="38"/>
      <c r="U761" s="38"/>
      <c r="V761" s="38"/>
      <c r="W761" s="38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35" t="s">
        <v>28</v>
      </c>
      <c r="B762" s="35" t="s">
        <v>22</v>
      </c>
      <c r="C762" s="35" t="s">
        <v>23</v>
      </c>
      <c r="D762" s="35" t="s">
        <v>24</v>
      </c>
      <c r="E762" s="35" t="s">
        <v>24</v>
      </c>
      <c r="F762" s="35" t="s">
        <v>25</v>
      </c>
      <c r="G762" s="35" t="s">
        <v>25</v>
      </c>
      <c r="H762" s="35" t="s">
        <v>25</v>
      </c>
      <c r="I762" s="45">
        <v>44531</v>
      </c>
      <c r="J762" s="46">
        <f>EFEITO!$J$762*EFEITO!$Y$762</f>
        <v>0</v>
      </c>
      <c r="K762" s="46">
        <f ca="1">EFEITO!$L$762*EFEITO!$Z$762</f>
        <v>76911.068654340372</v>
      </c>
      <c r="L762" s="46">
        <f>EFEITO!$N$762*EFEITO!$AA$762</f>
        <v>67527.20093767911</v>
      </c>
      <c r="M762" s="46">
        <f>$J$762-EFEITO!$K$762*EFEITO!$Y$762</f>
        <v>0</v>
      </c>
      <c r="N762" s="46">
        <f ca="1">$K$762-EFEITO!$M$762*EFEITO!$Z$762</f>
        <v>0</v>
      </c>
      <c r="O762" s="46">
        <f>$L$762-EFEITO!$O$762*EFEITO!$AA$762</f>
        <v>0</v>
      </c>
      <c r="P762" s="38"/>
      <c r="Q762" s="38"/>
      <c r="R762" s="38"/>
      <c r="S762" s="38"/>
      <c r="T762" s="38"/>
      <c r="U762" s="38"/>
      <c r="V762" s="38"/>
      <c r="W762" s="38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35" t="s">
        <v>28</v>
      </c>
      <c r="B763" s="35" t="s">
        <v>22</v>
      </c>
      <c r="C763" s="35" t="s">
        <v>23</v>
      </c>
      <c r="D763" s="35" t="s">
        <v>24</v>
      </c>
      <c r="E763" s="35" t="s">
        <v>24</v>
      </c>
      <c r="F763" s="35" t="s">
        <v>25</v>
      </c>
      <c r="G763" s="35" t="s">
        <v>25</v>
      </c>
      <c r="H763" s="35" t="s">
        <v>25</v>
      </c>
      <c r="I763" s="45">
        <v>44531</v>
      </c>
      <c r="J763" s="46">
        <f>EFEITO!$J$763*EFEITO!$Y$763</f>
        <v>0</v>
      </c>
      <c r="K763" s="46">
        <f ca="1">EFEITO!$L$763*EFEITO!$Z$763</f>
        <v>-80.266255252919706</v>
      </c>
      <c r="L763" s="46">
        <f>EFEITO!$N$763*EFEITO!$AA$763</f>
        <v>-70.473023477786143</v>
      </c>
      <c r="M763" s="46">
        <f>$J$763-EFEITO!$K$763*EFEITO!$Y$763</f>
        <v>0</v>
      </c>
      <c r="N763" s="46">
        <f ca="1">$K$763-EFEITO!$M$763*EFEITO!$Z$763</f>
        <v>0</v>
      </c>
      <c r="O763" s="46">
        <f>$L$763-EFEITO!$O$763*EFEITO!$AA$763</f>
        <v>0</v>
      </c>
      <c r="P763" s="38"/>
      <c r="Q763" s="38"/>
      <c r="R763" s="38"/>
      <c r="S763" s="38"/>
      <c r="T763" s="38"/>
      <c r="U763" s="38"/>
      <c r="V763" s="38"/>
      <c r="W763" s="38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35" t="s">
        <v>55</v>
      </c>
      <c r="B764" s="35" t="s">
        <v>22</v>
      </c>
      <c r="C764" s="35" t="s">
        <v>23</v>
      </c>
      <c r="D764" s="35" t="s">
        <v>24</v>
      </c>
      <c r="E764" s="35" t="s">
        <v>24</v>
      </c>
      <c r="F764" s="35" t="s">
        <v>25</v>
      </c>
      <c r="G764" s="35" t="s">
        <v>25</v>
      </c>
      <c r="H764" s="35" t="s">
        <v>25</v>
      </c>
      <c r="I764" s="45">
        <v>44562</v>
      </c>
      <c r="J764" s="46">
        <f>EFEITO!$J$764*EFEITO!$Y$764</f>
        <v>0</v>
      </c>
      <c r="K764" s="46">
        <f ca="1">EFEITO!$L$764*EFEITO!$Z$764</f>
        <v>5284259.7884771386</v>
      </c>
      <c r="L764" s="46">
        <f>EFEITO!$N$764*EFEITO!$AA$764</f>
        <v>4639530.8085900089</v>
      </c>
      <c r="M764" s="46">
        <f>$J$764-EFEITO!$K$764*EFEITO!$Y$764</f>
        <v>0</v>
      </c>
      <c r="N764" s="46">
        <f ca="1">$K$764-EFEITO!$M$764*EFEITO!$Z$764</f>
        <v>0</v>
      </c>
      <c r="O764" s="46">
        <f>$L$764-EFEITO!$O$764*EFEITO!$AA$764</f>
        <v>0</v>
      </c>
      <c r="P764" s="38"/>
      <c r="Q764" s="38"/>
      <c r="R764" s="38"/>
      <c r="S764" s="38"/>
      <c r="T764" s="38"/>
      <c r="U764" s="38"/>
      <c r="V764" s="38"/>
      <c r="W764" s="38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35" t="s">
        <v>55</v>
      </c>
      <c r="B765" s="35" t="s">
        <v>22</v>
      </c>
      <c r="C765" s="35" t="s">
        <v>23</v>
      </c>
      <c r="D765" s="35" t="s">
        <v>24</v>
      </c>
      <c r="E765" s="35" t="s">
        <v>24</v>
      </c>
      <c r="F765" s="35" t="s">
        <v>25</v>
      </c>
      <c r="G765" s="35" t="s">
        <v>25</v>
      </c>
      <c r="H765" s="35" t="s">
        <v>25</v>
      </c>
      <c r="I765" s="45">
        <v>44562</v>
      </c>
      <c r="J765" s="46">
        <f>EFEITO!$J$765*EFEITO!$Y$765</f>
        <v>0</v>
      </c>
      <c r="K765" s="46">
        <f ca="1">EFEITO!$L$765*EFEITO!$Z$765</f>
        <v>-4494.9102941635037</v>
      </c>
      <c r="L765" s="46">
        <f>EFEITO!$N$765*EFEITO!$AA$765</f>
        <v>-3946.4893147560238</v>
      </c>
      <c r="M765" s="46">
        <f>$J$765-EFEITO!$K$765*EFEITO!$Y$765</f>
        <v>0</v>
      </c>
      <c r="N765" s="46">
        <f ca="1">$K$765-EFEITO!$M$765*EFEITO!$Z$765</f>
        <v>0</v>
      </c>
      <c r="O765" s="46">
        <f>$L$765-EFEITO!$O$765*EFEITO!$AA$765</f>
        <v>0</v>
      </c>
      <c r="P765" s="38"/>
      <c r="Q765" s="38"/>
      <c r="R765" s="38"/>
      <c r="S765" s="38"/>
      <c r="T765" s="38"/>
      <c r="U765" s="38"/>
      <c r="V765" s="38"/>
      <c r="W765" s="38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35" t="s">
        <v>55</v>
      </c>
      <c r="B766" s="35" t="s">
        <v>22</v>
      </c>
      <c r="C766" s="35" t="s">
        <v>23</v>
      </c>
      <c r="D766" s="35" t="s">
        <v>24</v>
      </c>
      <c r="E766" s="35" t="s">
        <v>24</v>
      </c>
      <c r="F766" s="35" t="s">
        <v>25</v>
      </c>
      <c r="G766" s="35" t="s">
        <v>25</v>
      </c>
      <c r="H766" s="35" t="s">
        <v>25</v>
      </c>
      <c r="I766" s="45">
        <v>44562</v>
      </c>
      <c r="J766" s="46">
        <f>EFEITO!$J$766*EFEITO!$Y$766</f>
        <v>0</v>
      </c>
      <c r="K766" s="46">
        <f ca="1">EFEITO!$L$766*EFEITO!$Z$766</f>
        <v>76911.068654340372</v>
      </c>
      <c r="L766" s="46">
        <f>EFEITO!$N$766*EFEITO!$AA$766</f>
        <v>67527.20093767911</v>
      </c>
      <c r="M766" s="46">
        <f>$J$766-EFEITO!$K$766*EFEITO!$Y$766</f>
        <v>0</v>
      </c>
      <c r="N766" s="46">
        <f ca="1">$K$766-EFEITO!$M$766*EFEITO!$Z$766</f>
        <v>0</v>
      </c>
      <c r="O766" s="46">
        <f>$L$766-EFEITO!$O$766*EFEITO!$AA$766</f>
        <v>0</v>
      </c>
      <c r="P766" s="38"/>
      <c r="Q766" s="38"/>
      <c r="R766" s="38"/>
      <c r="S766" s="38"/>
      <c r="T766" s="38"/>
      <c r="U766" s="38"/>
      <c r="V766" s="38"/>
      <c r="W766" s="38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35" t="s">
        <v>55</v>
      </c>
      <c r="B767" s="35" t="s">
        <v>22</v>
      </c>
      <c r="C767" s="35" t="s">
        <v>23</v>
      </c>
      <c r="D767" s="35" t="s">
        <v>24</v>
      </c>
      <c r="E767" s="35" t="s">
        <v>24</v>
      </c>
      <c r="F767" s="35" t="s">
        <v>25</v>
      </c>
      <c r="G767" s="35" t="s">
        <v>25</v>
      </c>
      <c r="H767" s="35" t="s">
        <v>25</v>
      </c>
      <c r="I767" s="45">
        <v>44562</v>
      </c>
      <c r="J767" s="46">
        <f>EFEITO!$J$767*EFEITO!$Y$767</f>
        <v>0</v>
      </c>
      <c r="K767" s="46">
        <f ca="1">EFEITO!$L$767*EFEITO!$Z$767</f>
        <v>-80.266255252919706</v>
      </c>
      <c r="L767" s="46">
        <f>EFEITO!$N$767*EFEITO!$AA$767</f>
        <v>-70.473023477786143</v>
      </c>
      <c r="M767" s="46">
        <f>$J$767-EFEITO!$K$767*EFEITO!$Y$767</f>
        <v>0</v>
      </c>
      <c r="N767" s="46">
        <f ca="1">$K$767-EFEITO!$M$767*EFEITO!$Z$767</f>
        <v>0</v>
      </c>
      <c r="O767" s="46">
        <f>$L$767-EFEITO!$O$767*EFEITO!$AA$767</f>
        <v>0</v>
      </c>
      <c r="P767" s="38"/>
      <c r="Q767" s="38"/>
      <c r="R767" s="38"/>
      <c r="S767" s="38"/>
      <c r="T767" s="38"/>
      <c r="U767" s="38"/>
      <c r="V767" s="38"/>
      <c r="W767" s="38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35" t="s">
        <v>21</v>
      </c>
      <c r="B768" s="35" t="s">
        <v>22</v>
      </c>
      <c r="C768" s="35" t="s">
        <v>23</v>
      </c>
      <c r="D768" s="35" t="s">
        <v>24</v>
      </c>
      <c r="E768" s="35" t="s">
        <v>29</v>
      </c>
      <c r="F768" s="35" t="s">
        <v>25</v>
      </c>
      <c r="G768" s="35" t="s">
        <v>25</v>
      </c>
      <c r="H768" s="35" t="s">
        <v>25</v>
      </c>
      <c r="I768" s="45">
        <v>44228</v>
      </c>
      <c r="J768" s="46">
        <f>EFEITO!$J$768*EFEITO!$Y$728</f>
        <v>0</v>
      </c>
      <c r="K768" s="46">
        <f ca="1">EFEITO!$L$768*EFEITO!$Z$873</f>
        <v>397261.00404046464</v>
      </c>
      <c r="L768" s="46">
        <f>EFEITO!$N$768*EFEITO!$AA$873</f>
        <v>417363.81646645663</v>
      </c>
      <c r="M768" s="46">
        <f>$J$768-EFEITO!$K$768*EFEITO!$Y$768</f>
        <v>0</v>
      </c>
      <c r="N768" s="46">
        <f ca="1">$K$768-EFEITO!$M$768*EFEITO!$Z$768</f>
        <v>258219.65262630201</v>
      </c>
      <c r="O768" s="46">
        <f>$L$768-EFEITO!$O$768*EFEITO!$AA$768</f>
        <v>271286.48070319684</v>
      </c>
      <c r="P768" s="38"/>
      <c r="Q768" s="38"/>
      <c r="R768" s="38"/>
      <c r="S768" s="38"/>
      <c r="T768" s="38"/>
      <c r="U768" s="38"/>
      <c r="V768" s="38"/>
      <c r="W768" s="38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35" t="s">
        <v>28</v>
      </c>
      <c r="B769" s="35" t="s">
        <v>22</v>
      </c>
      <c r="C769" s="35" t="s">
        <v>23</v>
      </c>
      <c r="D769" s="35" t="s">
        <v>24</v>
      </c>
      <c r="E769" s="35" t="s">
        <v>29</v>
      </c>
      <c r="F769" s="35" t="s">
        <v>25</v>
      </c>
      <c r="G769" s="35" t="s">
        <v>25</v>
      </c>
      <c r="H769" s="35" t="s">
        <v>25</v>
      </c>
      <c r="I769" s="45">
        <v>44228</v>
      </c>
      <c r="J769" s="46">
        <f>EFEITO!$J$769*EFEITO!$Y$728</f>
        <v>0</v>
      </c>
      <c r="K769" s="46">
        <f ca="1">EFEITO!$L$769*EFEITO!$Z$873</f>
        <v>100.25984194962729</v>
      </c>
      <c r="L769" s="46">
        <f>EFEITO!$N$769*EFEITO!$AA$873</f>
        <v>105.33334469989386</v>
      </c>
      <c r="M769" s="46">
        <f>$J$769-EFEITO!$K$769*EFEITO!$Y$769</f>
        <v>0</v>
      </c>
      <c r="N769" s="46">
        <f ca="1">$K$769-EFEITO!$M$769*EFEITO!$Z$769</f>
        <v>65.168897267257734</v>
      </c>
      <c r="O769" s="46">
        <f>$L$769-EFEITO!$O$769*EFEITO!$AA$769</f>
        <v>68.466674054931005</v>
      </c>
      <c r="P769" s="38"/>
      <c r="Q769" s="38"/>
      <c r="R769" s="38"/>
      <c r="S769" s="38"/>
      <c r="T769" s="38"/>
      <c r="U769" s="38"/>
      <c r="V769" s="38"/>
      <c r="W769" s="38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35" t="s">
        <v>21</v>
      </c>
      <c r="B770" s="35" t="s">
        <v>22</v>
      </c>
      <c r="C770" s="35" t="s">
        <v>23</v>
      </c>
      <c r="D770" s="35" t="s">
        <v>24</v>
      </c>
      <c r="E770" s="35" t="s">
        <v>29</v>
      </c>
      <c r="F770" s="35" t="s">
        <v>25</v>
      </c>
      <c r="G770" s="35" t="s">
        <v>25</v>
      </c>
      <c r="H770" s="35" t="s">
        <v>25</v>
      </c>
      <c r="I770" s="45">
        <v>44256</v>
      </c>
      <c r="J770" s="46">
        <f>EFEITO!$J$770*EFEITO!$Y$728</f>
        <v>0</v>
      </c>
      <c r="K770" s="46">
        <f ca="1">EFEITO!$L$770*EFEITO!$Z$873</f>
        <v>399298.18854331732</v>
      </c>
      <c r="L770" s="46">
        <f>EFEITO!$N$770*EFEITO!$AA$873</f>
        <v>419504.08971328731</v>
      </c>
      <c r="M770" s="46">
        <f>$J$770-EFEITO!$K$770*EFEITO!$Y$770</f>
        <v>0</v>
      </c>
      <c r="N770" s="46">
        <f ca="1">$K$770-EFEITO!$M$770*EFEITO!$Z$770</f>
        <v>259543.82255315626</v>
      </c>
      <c r="O770" s="46">
        <f>$L$770-EFEITO!$O$770*EFEITO!$AA$770</f>
        <v>272677.65831363678</v>
      </c>
      <c r="P770" s="38"/>
      <c r="Q770" s="38"/>
      <c r="R770" s="38"/>
      <c r="S770" s="38"/>
      <c r="T770" s="38"/>
      <c r="U770" s="38"/>
      <c r="V770" s="38"/>
      <c r="W770" s="38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35" t="s">
        <v>27</v>
      </c>
      <c r="B771" s="35" t="s">
        <v>22</v>
      </c>
      <c r="C771" s="35" t="s">
        <v>23</v>
      </c>
      <c r="D771" s="35" t="s">
        <v>24</v>
      </c>
      <c r="E771" s="35" t="s">
        <v>29</v>
      </c>
      <c r="F771" s="35" t="s">
        <v>25</v>
      </c>
      <c r="G771" s="35" t="s">
        <v>25</v>
      </c>
      <c r="H771" s="35" t="s">
        <v>25</v>
      </c>
      <c r="I771" s="45">
        <v>44256</v>
      </c>
      <c r="J771" s="46">
        <f>EFEITO!$J$771*EFEITO!$Y$728</f>
        <v>0</v>
      </c>
      <c r="K771" s="46">
        <f ca="1">EFEITO!$L$771*EFEITO!$Z$873</f>
        <v>135.11207272259296</v>
      </c>
      <c r="L771" s="46">
        <f>EFEITO!$N$771*EFEITO!$AA$873</f>
        <v>141.94922166699982</v>
      </c>
      <c r="M771" s="46">
        <f>$J$771-EFEITO!$K$771*EFEITO!$Y$771</f>
        <v>0</v>
      </c>
      <c r="N771" s="46">
        <f ca="1">$K$771-EFEITO!$M$771*EFEITO!$Z$771</f>
        <v>87.822847269685411</v>
      </c>
      <c r="O771" s="46">
        <f>$L$771-EFEITO!$O$771*EFEITO!$AA$771</f>
        <v>92.266994083549889</v>
      </c>
      <c r="P771" s="38"/>
      <c r="Q771" s="38"/>
      <c r="R771" s="38"/>
      <c r="S771" s="38"/>
      <c r="T771" s="38"/>
      <c r="U771" s="38"/>
      <c r="V771" s="38"/>
      <c r="W771" s="38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35" t="s">
        <v>28</v>
      </c>
      <c r="B772" s="35" t="s">
        <v>22</v>
      </c>
      <c r="C772" s="35" t="s">
        <v>23</v>
      </c>
      <c r="D772" s="35" t="s">
        <v>24</v>
      </c>
      <c r="E772" s="35" t="s">
        <v>29</v>
      </c>
      <c r="F772" s="35" t="s">
        <v>25</v>
      </c>
      <c r="G772" s="35" t="s">
        <v>25</v>
      </c>
      <c r="H772" s="35" t="s">
        <v>25</v>
      </c>
      <c r="I772" s="45">
        <v>44256</v>
      </c>
      <c r="J772" s="46">
        <f>EFEITO!$J$772*EFEITO!$Y$728</f>
        <v>0</v>
      </c>
      <c r="K772" s="46">
        <f ca="1">EFEITO!$L$772*EFEITO!$Z$873</f>
        <v>107.42125923174353</v>
      </c>
      <c r="L772" s="46">
        <f>EFEITO!$N$772*EFEITO!$AA$873</f>
        <v>112.85715503560057</v>
      </c>
      <c r="M772" s="46">
        <f>$J$772-EFEITO!$K$772*EFEITO!$Y$772</f>
        <v>0</v>
      </c>
      <c r="N772" s="46">
        <f ca="1">$K$772-EFEITO!$M$772*EFEITO!$Z$772</f>
        <v>69.823818500633308</v>
      </c>
      <c r="O772" s="46">
        <f>$L$772-EFEITO!$O$772*EFEITO!$AA$772</f>
        <v>73.357150773140376</v>
      </c>
      <c r="P772" s="38"/>
      <c r="Q772" s="38"/>
      <c r="R772" s="38"/>
      <c r="S772" s="38"/>
      <c r="T772" s="38"/>
      <c r="U772" s="38"/>
      <c r="V772" s="38"/>
      <c r="W772" s="38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35" t="s">
        <v>21</v>
      </c>
      <c r="B773" s="35" t="s">
        <v>22</v>
      </c>
      <c r="C773" s="35" t="s">
        <v>23</v>
      </c>
      <c r="D773" s="35" t="s">
        <v>24</v>
      </c>
      <c r="E773" s="35" t="s">
        <v>29</v>
      </c>
      <c r="F773" s="35" t="s">
        <v>25</v>
      </c>
      <c r="G773" s="35" t="s">
        <v>25</v>
      </c>
      <c r="H773" s="35" t="s">
        <v>25</v>
      </c>
      <c r="I773" s="45">
        <v>44287</v>
      </c>
      <c r="J773" s="46">
        <f>EFEITO!$J$773*EFEITO!$Y$728</f>
        <v>0</v>
      </c>
      <c r="K773" s="46">
        <f ca="1">EFEITO!$L$773*EFEITO!$Z$873</f>
        <v>399200.55455437116</v>
      </c>
      <c r="L773" s="46">
        <f>EFEITO!$N$773*EFEITO!$AA$873</f>
        <v>419401.51509904384</v>
      </c>
      <c r="M773" s="46">
        <f>$J$773-EFEITO!$K$773*EFEITO!$Y$773</f>
        <v>0</v>
      </c>
      <c r="N773" s="46">
        <f ca="1">$K$773-EFEITO!$M$773*EFEITO!$Z$773</f>
        <v>259480.36046034127</v>
      </c>
      <c r="O773" s="46">
        <f>$L$773-EFEITO!$O$773*EFEITO!$AA$773</f>
        <v>272610.98481437849</v>
      </c>
      <c r="P773" s="38"/>
      <c r="Q773" s="38"/>
      <c r="R773" s="38"/>
      <c r="S773" s="38"/>
      <c r="T773" s="38"/>
      <c r="U773" s="38"/>
      <c r="V773" s="38"/>
      <c r="W773" s="38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35" t="s">
        <v>27</v>
      </c>
      <c r="B774" s="35" t="s">
        <v>22</v>
      </c>
      <c r="C774" s="35" t="s">
        <v>23</v>
      </c>
      <c r="D774" s="35" t="s">
        <v>24</v>
      </c>
      <c r="E774" s="35" t="s">
        <v>29</v>
      </c>
      <c r="F774" s="35" t="s">
        <v>25</v>
      </c>
      <c r="G774" s="35" t="s">
        <v>25</v>
      </c>
      <c r="H774" s="35" t="s">
        <v>25</v>
      </c>
      <c r="I774" s="45">
        <v>44287</v>
      </c>
      <c r="J774" s="46">
        <f>EFEITO!$J$774*EFEITO!$Y$728</f>
        <v>0</v>
      </c>
      <c r="K774" s="46">
        <f ca="1">EFEITO!$L$774*EFEITO!$Z$873</f>
        <v>7.8775590103278592</v>
      </c>
      <c r="L774" s="46">
        <f>EFEITO!$N$774*EFEITO!$AA$873</f>
        <v>8.2761913692773756</v>
      </c>
      <c r="M774" s="46">
        <f>$J$774-EFEITO!$K$774*EFEITO!$Y$774</f>
        <v>0</v>
      </c>
      <c r="N774" s="46">
        <f ca="1">$K$774-EFEITO!$M$774*EFEITO!$Z$774</f>
        <v>5.120413356713108</v>
      </c>
      <c r="O774" s="46">
        <f>$L$774-EFEITO!$O$774*EFEITO!$AA$774</f>
        <v>5.3795243900302943</v>
      </c>
      <c r="P774" s="38"/>
      <c r="Q774" s="38"/>
      <c r="R774" s="38"/>
      <c r="S774" s="38"/>
      <c r="T774" s="38"/>
      <c r="U774" s="38"/>
      <c r="V774" s="38"/>
      <c r="W774" s="38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35" t="s">
        <v>28</v>
      </c>
      <c r="B775" s="35" t="s">
        <v>22</v>
      </c>
      <c r="C775" s="35" t="s">
        <v>23</v>
      </c>
      <c r="D775" s="35" t="s">
        <v>24</v>
      </c>
      <c r="E775" s="35" t="s">
        <v>29</v>
      </c>
      <c r="F775" s="35" t="s">
        <v>25</v>
      </c>
      <c r="G775" s="35" t="s">
        <v>25</v>
      </c>
      <c r="H775" s="35" t="s">
        <v>25</v>
      </c>
      <c r="I775" s="45">
        <v>44287</v>
      </c>
      <c r="J775" s="46">
        <f>EFEITO!$J$775*EFEITO!$Y$728</f>
        <v>0</v>
      </c>
      <c r="K775" s="46">
        <f ca="1">EFEITO!$L$775*EFEITO!$Z$873</f>
        <v>107.42125923174353</v>
      </c>
      <c r="L775" s="46">
        <f>EFEITO!$N$775*EFEITO!$AA$873</f>
        <v>112.85715503560057</v>
      </c>
      <c r="M775" s="46">
        <f>$J$775-EFEITO!$K$775*EFEITO!$Y$775</f>
        <v>0</v>
      </c>
      <c r="N775" s="46">
        <f ca="1">$K$775-EFEITO!$M$775*EFEITO!$Z$775</f>
        <v>69.823818500633308</v>
      </c>
      <c r="O775" s="46">
        <f>$L$775-EFEITO!$O$775*EFEITO!$AA$775</f>
        <v>73.357150773140376</v>
      </c>
      <c r="P775" s="38"/>
      <c r="Q775" s="38"/>
      <c r="R775" s="38"/>
      <c r="S775" s="38"/>
      <c r="T775" s="38"/>
      <c r="U775" s="38"/>
      <c r="V775" s="38"/>
      <c r="W775" s="38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35" t="s">
        <v>21</v>
      </c>
      <c r="B776" s="35" t="s">
        <v>22</v>
      </c>
      <c r="C776" s="35" t="s">
        <v>23</v>
      </c>
      <c r="D776" s="35" t="s">
        <v>24</v>
      </c>
      <c r="E776" s="35" t="s">
        <v>29</v>
      </c>
      <c r="F776" s="35" t="s">
        <v>25</v>
      </c>
      <c r="G776" s="35" t="s">
        <v>25</v>
      </c>
      <c r="H776" s="35" t="s">
        <v>25</v>
      </c>
      <c r="I776" s="45">
        <v>44317</v>
      </c>
      <c r="J776" s="46">
        <f>EFEITO!$J$776*EFEITO!$Y$728</f>
        <v>0</v>
      </c>
      <c r="K776" s="46">
        <f ca="1">EFEITO!$L$776*EFEITO!$Z$873</f>
        <v>400261.39916776196</v>
      </c>
      <c r="L776" s="46">
        <f>EFEITO!$N$776*EFEITO!$AA$873</f>
        <v>420516.04220343987</v>
      </c>
      <c r="M776" s="46">
        <f>$J$776-EFEITO!$K$776*EFEITO!$Y$776</f>
        <v>0</v>
      </c>
      <c r="N776" s="46">
        <f ca="1">$K$776-EFEITO!$M$776*EFEITO!$Z$776</f>
        <v>260169.90945904527</v>
      </c>
      <c r="O776" s="46">
        <f>$L$776-EFEITO!$O$776*EFEITO!$AA$776</f>
        <v>273335.42743223591</v>
      </c>
      <c r="P776" s="38"/>
      <c r="Q776" s="38"/>
      <c r="R776" s="38"/>
      <c r="S776" s="38"/>
      <c r="T776" s="38"/>
      <c r="U776" s="38"/>
      <c r="V776" s="38"/>
      <c r="W776" s="38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35" t="s">
        <v>27</v>
      </c>
      <c r="B777" s="35" t="s">
        <v>22</v>
      </c>
      <c r="C777" s="35" t="s">
        <v>23</v>
      </c>
      <c r="D777" s="35" t="s">
        <v>24</v>
      </c>
      <c r="E777" s="35" t="s">
        <v>29</v>
      </c>
      <c r="F777" s="35" t="s">
        <v>25</v>
      </c>
      <c r="G777" s="35" t="s">
        <v>25</v>
      </c>
      <c r="H777" s="35" t="s">
        <v>25</v>
      </c>
      <c r="I777" s="45">
        <v>44317</v>
      </c>
      <c r="J777" s="46">
        <f>EFEITO!$J$777*EFEITO!$Y$728</f>
        <v>0</v>
      </c>
      <c r="K777" s="46">
        <f ca="1">EFEITO!$L$777*EFEITO!$Z$873</f>
        <v>10.02598419496273</v>
      </c>
      <c r="L777" s="46">
        <f>EFEITO!$N$777*EFEITO!$AA$873</f>
        <v>10.533334469989388</v>
      </c>
      <c r="M777" s="46">
        <f>$J$777-EFEITO!$K$777*EFEITO!$Y$777</f>
        <v>0</v>
      </c>
      <c r="N777" s="46">
        <f ca="1">$K$777-EFEITO!$M$777*EFEITO!$Z$777</f>
        <v>6.5168897267257737</v>
      </c>
      <c r="O777" s="46">
        <f>$L$777-EFEITO!$O$777*EFEITO!$AA$777</f>
        <v>6.8466674054931023</v>
      </c>
      <c r="P777" s="38"/>
      <c r="Q777" s="38"/>
      <c r="R777" s="38"/>
      <c r="S777" s="38"/>
      <c r="T777" s="38"/>
      <c r="U777" s="38"/>
      <c r="V777" s="38"/>
      <c r="W777" s="38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35" t="s">
        <v>28</v>
      </c>
      <c r="B778" s="35" t="s">
        <v>22</v>
      </c>
      <c r="C778" s="35" t="s">
        <v>23</v>
      </c>
      <c r="D778" s="35" t="s">
        <v>24</v>
      </c>
      <c r="E778" s="35" t="s">
        <v>29</v>
      </c>
      <c r="F778" s="35" t="s">
        <v>25</v>
      </c>
      <c r="G778" s="35" t="s">
        <v>25</v>
      </c>
      <c r="H778" s="35" t="s">
        <v>25</v>
      </c>
      <c r="I778" s="45">
        <v>44317</v>
      </c>
      <c r="J778" s="46">
        <f>EFEITO!$J$778*EFEITO!$Y$728</f>
        <v>0</v>
      </c>
      <c r="K778" s="46">
        <f ca="1">EFEITO!$L$778*EFEITO!$Z$873</f>
        <v>114.58267651385977</v>
      </c>
      <c r="L778" s="46">
        <f>EFEITO!$N$778*EFEITO!$AA$873</f>
        <v>120.38096537130727</v>
      </c>
      <c r="M778" s="46">
        <f>$J$778-EFEITO!$K$778*EFEITO!$Y$778</f>
        <v>0</v>
      </c>
      <c r="N778" s="46">
        <f ca="1">$K$778-EFEITO!$M$778*EFEITO!$Z$778</f>
        <v>74.478739734008855</v>
      </c>
      <c r="O778" s="46">
        <f>$L$778-EFEITO!$O$778*EFEITO!$AA$778</f>
        <v>78.247627491349732</v>
      </c>
      <c r="P778" s="38"/>
      <c r="Q778" s="38"/>
      <c r="R778" s="38"/>
      <c r="S778" s="38"/>
      <c r="T778" s="38"/>
      <c r="U778" s="38"/>
      <c r="V778" s="38"/>
      <c r="W778" s="38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35" t="s">
        <v>21</v>
      </c>
      <c r="B779" s="35" t="s">
        <v>22</v>
      </c>
      <c r="C779" s="35" t="s">
        <v>23</v>
      </c>
      <c r="D779" s="35" t="s">
        <v>24</v>
      </c>
      <c r="E779" s="35" t="s">
        <v>29</v>
      </c>
      <c r="F779" s="35" t="s">
        <v>25</v>
      </c>
      <c r="G779" s="35" t="s">
        <v>25</v>
      </c>
      <c r="H779" s="35" t="s">
        <v>25</v>
      </c>
      <c r="I779" s="45">
        <v>44348</v>
      </c>
      <c r="J779" s="46">
        <f>EFEITO!$J$779*EFEITO!$Y$728</f>
        <v>0</v>
      </c>
      <c r="K779" s="46">
        <f ca="1">EFEITO!$L$779*EFEITO!$Z$873</f>
        <v>402297.62881497701</v>
      </c>
      <c r="L779" s="46">
        <f>EFEITO!$N$779*EFEITO!$AA$873</f>
        <v>422655.31227555912</v>
      </c>
      <c r="M779" s="46">
        <f>$J$779-EFEITO!$K$779*EFEITO!$Y$779</f>
        <v>0</v>
      </c>
      <c r="N779" s="46">
        <f ca="1">$K$779-EFEITO!$M$779*EFEITO!$Z$779</f>
        <v>261493.45872973508</v>
      </c>
      <c r="O779" s="46">
        <f>$L$779-EFEITO!$O$779*EFEITO!$AA$779</f>
        <v>274725.95297911344</v>
      </c>
      <c r="P779" s="38"/>
      <c r="Q779" s="38"/>
      <c r="R779" s="38"/>
      <c r="S779" s="38"/>
      <c r="T779" s="38"/>
      <c r="U779" s="38"/>
      <c r="V779" s="38"/>
      <c r="W779" s="38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35" t="s">
        <v>27</v>
      </c>
      <c r="B780" s="35" t="s">
        <v>22</v>
      </c>
      <c r="C780" s="35" t="s">
        <v>23</v>
      </c>
      <c r="D780" s="35" t="s">
        <v>24</v>
      </c>
      <c r="E780" s="35" t="s">
        <v>29</v>
      </c>
      <c r="F780" s="35" t="s">
        <v>25</v>
      </c>
      <c r="G780" s="35" t="s">
        <v>25</v>
      </c>
      <c r="H780" s="35" t="s">
        <v>25</v>
      </c>
      <c r="I780" s="45">
        <v>44348</v>
      </c>
      <c r="J780" s="46">
        <f>EFEITO!$J$780*EFEITO!$Y$728</f>
        <v>0</v>
      </c>
      <c r="K780" s="46">
        <f ca="1">EFEITO!$L$780*EFEITO!$Z$873</f>
        <v>168.5320200391354</v>
      </c>
      <c r="L780" s="46">
        <f>EFEITO!$N$780*EFEITO!$AA$873</f>
        <v>177.06033656696445</v>
      </c>
      <c r="M780" s="46">
        <f>$J$780-EFEITO!$K$780*EFEITO!$Y$780</f>
        <v>0</v>
      </c>
      <c r="N780" s="46">
        <f ca="1">$K$780-EFEITO!$M$780*EFEITO!$Z$780</f>
        <v>109.54581302543801</v>
      </c>
      <c r="O780" s="46">
        <f>$L$780-EFEITO!$O$780*EFEITO!$AA$780</f>
        <v>115.08921876852691</v>
      </c>
      <c r="P780" s="38"/>
      <c r="Q780" s="38"/>
      <c r="R780" s="38"/>
      <c r="S780" s="38"/>
      <c r="T780" s="38"/>
      <c r="U780" s="38"/>
      <c r="V780" s="38"/>
      <c r="W780" s="38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35" t="s">
        <v>28</v>
      </c>
      <c r="B781" s="35" t="s">
        <v>22</v>
      </c>
      <c r="C781" s="35" t="s">
        <v>23</v>
      </c>
      <c r="D781" s="35" t="s">
        <v>24</v>
      </c>
      <c r="E781" s="35" t="s">
        <v>29</v>
      </c>
      <c r="F781" s="35" t="s">
        <v>25</v>
      </c>
      <c r="G781" s="35" t="s">
        <v>25</v>
      </c>
      <c r="H781" s="35" t="s">
        <v>25</v>
      </c>
      <c r="I781" s="45">
        <v>44348</v>
      </c>
      <c r="J781" s="46">
        <f>EFEITO!$J$781*EFEITO!$Y$728</f>
        <v>0</v>
      </c>
      <c r="K781" s="46">
        <f ca="1">EFEITO!$L$781*EFEITO!$Z$873</f>
        <v>128.90551107809225</v>
      </c>
      <c r="L781" s="46">
        <f>EFEITO!$N$781*EFEITO!$AA$873</f>
        <v>135.4285860427207</v>
      </c>
      <c r="M781" s="46">
        <f>$J$781-EFEITO!$K$781*EFEITO!$Y$781</f>
        <v>0</v>
      </c>
      <c r="N781" s="46">
        <f ca="1">$K$781-EFEITO!$M$781*EFEITO!$Z$781</f>
        <v>83.788582200759961</v>
      </c>
      <c r="O781" s="46">
        <f>$L$781-EFEITO!$O$781*EFEITO!$AA$781</f>
        <v>88.028580927768445</v>
      </c>
      <c r="P781" s="38"/>
      <c r="Q781" s="38"/>
      <c r="R781" s="38"/>
      <c r="S781" s="38"/>
      <c r="T781" s="38"/>
      <c r="U781" s="38"/>
      <c r="V781" s="38"/>
      <c r="W781" s="38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35" t="s">
        <v>21</v>
      </c>
      <c r="B782" s="35" t="s">
        <v>22</v>
      </c>
      <c r="C782" s="35" t="s">
        <v>23</v>
      </c>
      <c r="D782" s="35" t="s">
        <v>24</v>
      </c>
      <c r="E782" s="35" t="s">
        <v>29</v>
      </c>
      <c r="F782" s="35" t="s">
        <v>25</v>
      </c>
      <c r="G782" s="35" t="s">
        <v>25</v>
      </c>
      <c r="H782" s="35" t="s">
        <v>25</v>
      </c>
      <c r="I782" s="45">
        <v>44378</v>
      </c>
      <c r="J782" s="46">
        <f>EFEITO!$J$782*EFEITO!$Y$728</f>
        <v>0</v>
      </c>
      <c r="K782" s="46">
        <f ca="1">EFEITO!$L$782*EFEITO!$Z$873</f>
        <v>406842.74165002676</v>
      </c>
      <c r="L782" s="46">
        <f>EFEITO!$N$782*EFEITO!$AA$873</f>
        <v>427430.42390195432</v>
      </c>
      <c r="M782" s="46">
        <f>$J$782-EFEITO!$K$782*EFEITO!$Y$782</f>
        <v>0</v>
      </c>
      <c r="N782" s="46">
        <f ca="1">$K$782-EFEITO!$M$782*EFEITO!$Z$782</f>
        <v>264447.78207251744</v>
      </c>
      <c r="O782" s="46">
        <f>$L$782-EFEITO!$O$782*EFEITO!$AA$782</f>
        <v>277829.77553627035</v>
      </c>
      <c r="P782" s="38"/>
      <c r="Q782" s="38"/>
      <c r="R782" s="38"/>
      <c r="S782" s="38"/>
      <c r="T782" s="38"/>
      <c r="U782" s="38"/>
      <c r="V782" s="38"/>
      <c r="W782" s="38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35" t="s">
        <v>27</v>
      </c>
      <c r="B783" s="35" t="s">
        <v>22</v>
      </c>
      <c r="C783" s="35" t="s">
        <v>23</v>
      </c>
      <c r="D783" s="35" t="s">
        <v>24</v>
      </c>
      <c r="E783" s="35" t="s">
        <v>29</v>
      </c>
      <c r="F783" s="35" t="s">
        <v>25</v>
      </c>
      <c r="G783" s="35" t="s">
        <v>25</v>
      </c>
      <c r="H783" s="35" t="s">
        <v>25</v>
      </c>
      <c r="I783" s="45">
        <v>44378</v>
      </c>
      <c r="J783" s="46">
        <f>EFEITO!$J$783*EFEITO!$Y$728</f>
        <v>0</v>
      </c>
      <c r="K783" s="46">
        <f ca="1">EFEITO!$L$783*EFEITO!$Z$873</f>
        <v>209.35209854719795</v>
      </c>
      <c r="L783" s="46">
        <f>EFEITO!$N$783*EFEITO!$AA$873</f>
        <v>219.94605548049267</v>
      </c>
      <c r="M783" s="46">
        <f>$J$783-EFEITO!$K$783*EFEITO!$Y$783</f>
        <v>0</v>
      </c>
      <c r="N783" s="46">
        <f ca="1">$K$783-EFEITO!$M$783*EFEITO!$Z$783</f>
        <v>136.07886405567868</v>
      </c>
      <c r="O783" s="46">
        <f>$L$783-EFEITO!$O$783*EFEITO!$AA$783</f>
        <v>142.96493606232025</v>
      </c>
      <c r="P783" s="38"/>
      <c r="Q783" s="38"/>
      <c r="R783" s="38"/>
      <c r="S783" s="38"/>
      <c r="T783" s="38"/>
      <c r="U783" s="38"/>
      <c r="V783" s="38"/>
      <c r="W783" s="38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35" t="s">
        <v>28</v>
      </c>
      <c r="B784" s="35" t="s">
        <v>22</v>
      </c>
      <c r="C784" s="35" t="s">
        <v>23</v>
      </c>
      <c r="D784" s="35" t="s">
        <v>24</v>
      </c>
      <c r="E784" s="35" t="s">
        <v>29</v>
      </c>
      <c r="F784" s="35" t="s">
        <v>25</v>
      </c>
      <c r="G784" s="35" t="s">
        <v>25</v>
      </c>
      <c r="H784" s="35" t="s">
        <v>25</v>
      </c>
      <c r="I784" s="45">
        <v>44378</v>
      </c>
      <c r="J784" s="46">
        <f>EFEITO!$J$784*EFEITO!$Y$728</f>
        <v>0</v>
      </c>
      <c r="K784" s="46">
        <f ca="1">EFEITO!$L$784*EFEITO!$Z$873</f>
        <v>179.03543205290589</v>
      </c>
      <c r="L784" s="46">
        <f>EFEITO!$N$784*EFEITO!$AA$873</f>
        <v>188.09525839266763</v>
      </c>
      <c r="M784" s="46">
        <f>$J$784-EFEITO!$K$784*EFEITO!$Y$784</f>
        <v>0</v>
      </c>
      <c r="N784" s="46">
        <f ca="1">$K$784-EFEITO!$M$784*EFEITO!$Z$784</f>
        <v>116.37303083438883</v>
      </c>
      <c r="O784" s="46">
        <f>$L$784-EFEITO!$O$784*EFEITO!$AA$784</f>
        <v>122.26191795523397</v>
      </c>
      <c r="P784" s="38"/>
      <c r="Q784" s="38"/>
      <c r="R784" s="38"/>
      <c r="S784" s="38"/>
      <c r="T784" s="38"/>
      <c r="U784" s="38"/>
      <c r="V784" s="38"/>
      <c r="W784" s="38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35" t="s">
        <v>21</v>
      </c>
      <c r="B785" s="35" t="s">
        <v>22</v>
      </c>
      <c r="C785" s="35" t="s">
        <v>23</v>
      </c>
      <c r="D785" s="35" t="s">
        <v>24</v>
      </c>
      <c r="E785" s="35" t="s">
        <v>29</v>
      </c>
      <c r="F785" s="35" t="s">
        <v>25</v>
      </c>
      <c r="G785" s="35" t="s">
        <v>25</v>
      </c>
      <c r="H785" s="35" t="s">
        <v>25</v>
      </c>
      <c r="I785" s="45">
        <v>44409</v>
      </c>
      <c r="J785" s="46">
        <f>EFEITO!$J$785*EFEITO!$Y$728</f>
        <v>0</v>
      </c>
      <c r="K785" s="46">
        <f ca="1">EFEITO!$L$785*EFEITO!$Z$873</f>
        <v>410774.35973790858</v>
      </c>
      <c r="L785" s="46">
        <f>EFEITO!$N$785*EFEITO!$AA$873</f>
        <v>431560.9957762573</v>
      </c>
      <c r="M785" s="46">
        <f>$J$785-EFEITO!$K$785*EFEITO!$Y$785</f>
        <v>0</v>
      </c>
      <c r="N785" s="46">
        <f ca="1">$K$785-EFEITO!$M$785*EFEITO!$Z$785</f>
        <v>267003.33382964059</v>
      </c>
      <c r="O785" s="46">
        <f>$L$785-EFEITO!$O$785*EFEITO!$AA$785</f>
        <v>280514.64725456724</v>
      </c>
      <c r="P785" s="38"/>
      <c r="Q785" s="38"/>
      <c r="R785" s="38"/>
      <c r="S785" s="38"/>
      <c r="T785" s="38"/>
      <c r="U785" s="38"/>
      <c r="V785" s="38"/>
      <c r="W785" s="38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35" t="s">
        <v>27</v>
      </c>
      <c r="B786" s="35" t="s">
        <v>22</v>
      </c>
      <c r="C786" s="35" t="s">
        <v>23</v>
      </c>
      <c r="D786" s="35" t="s">
        <v>24</v>
      </c>
      <c r="E786" s="35" t="s">
        <v>29</v>
      </c>
      <c r="F786" s="35" t="s">
        <v>25</v>
      </c>
      <c r="G786" s="35" t="s">
        <v>25</v>
      </c>
      <c r="H786" s="35" t="s">
        <v>25</v>
      </c>
      <c r="I786" s="45">
        <v>44409</v>
      </c>
      <c r="J786" s="46">
        <f>EFEITO!$J$786*EFEITO!$Y$728</f>
        <v>0</v>
      </c>
      <c r="K786" s="46">
        <f ca="1">EFEITO!$L$786*EFEITO!$Z$873</f>
        <v>79.969159650297968</v>
      </c>
      <c r="L786" s="46">
        <f>EFEITO!$N$786*EFEITO!$AA$873</f>
        <v>84.015882082058212</v>
      </c>
      <c r="M786" s="46">
        <f>$J$786-EFEITO!$K$786*EFEITO!$Y$786</f>
        <v>0</v>
      </c>
      <c r="N786" s="46">
        <f ca="1">$K$786-EFEITO!$M$786*EFEITO!$Z$786</f>
        <v>51.979953772693676</v>
      </c>
      <c r="O786" s="46">
        <f>$L$786-EFEITO!$O$786*EFEITO!$AA$786</f>
        <v>54.61032335333784</v>
      </c>
      <c r="P786" s="38"/>
      <c r="Q786" s="38"/>
      <c r="R786" s="38"/>
      <c r="S786" s="38"/>
      <c r="T786" s="38"/>
      <c r="U786" s="38"/>
      <c r="V786" s="38"/>
      <c r="W786" s="38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35" t="s">
        <v>28</v>
      </c>
      <c r="B787" s="35" t="s">
        <v>22</v>
      </c>
      <c r="C787" s="35" t="s">
        <v>23</v>
      </c>
      <c r="D787" s="35" t="s">
        <v>24</v>
      </c>
      <c r="E787" s="35" t="s">
        <v>29</v>
      </c>
      <c r="F787" s="35" t="s">
        <v>25</v>
      </c>
      <c r="G787" s="35" t="s">
        <v>25</v>
      </c>
      <c r="H787" s="35" t="s">
        <v>25</v>
      </c>
      <c r="I787" s="45">
        <v>44409</v>
      </c>
      <c r="J787" s="46">
        <f>EFEITO!$J$787*EFEITO!$Y$728</f>
        <v>0</v>
      </c>
      <c r="K787" s="46">
        <f ca="1">EFEITO!$L$787*EFEITO!$Z$873</f>
        <v>207.68110118137082</v>
      </c>
      <c r="L787" s="46">
        <f>EFEITO!$N$787*EFEITO!$AA$873</f>
        <v>218.19049973549443</v>
      </c>
      <c r="M787" s="46">
        <f>$J$787-EFEITO!$K$787*EFEITO!$Y$787</f>
        <v>0</v>
      </c>
      <c r="N787" s="46">
        <f ca="1">$K$787-EFEITO!$M$787*EFEITO!$Z$787</f>
        <v>134.99271576789101</v>
      </c>
      <c r="O787" s="46">
        <f>$L$787-EFEITO!$O$787*EFEITO!$AA$787</f>
        <v>141.82382482807139</v>
      </c>
      <c r="P787" s="38"/>
      <c r="Q787" s="38"/>
      <c r="R787" s="38"/>
      <c r="S787" s="38"/>
      <c r="T787" s="38"/>
      <c r="U787" s="38"/>
      <c r="V787" s="38"/>
      <c r="W787" s="38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35" t="s">
        <v>28</v>
      </c>
      <c r="B788" s="35" t="s">
        <v>22</v>
      </c>
      <c r="C788" s="35" t="s">
        <v>23</v>
      </c>
      <c r="D788" s="35" t="s">
        <v>24</v>
      </c>
      <c r="E788" s="35" t="s">
        <v>29</v>
      </c>
      <c r="F788" s="35" t="s">
        <v>25</v>
      </c>
      <c r="G788" s="35" t="s">
        <v>25</v>
      </c>
      <c r="H788" s="35" t="s">
        <v>25</v>
      </c>
      <c r="I788" s="45">
        <v>44409</v>
      </c>
      <c r="J788" s="46">
        <f>EFEITO!$J$788*EFEITO!$Y$728</f>
        <v>0</v>
      </c>
      <c r="K788" s="46">
        <f ca="1">EFEITO!$L$788*EFEITO!$Z$873</f>
        <v>16.471259748867343</v>
      </c>
      <c r="L788" s="46">
        <f>EFEITO!$N$788*EFEITO!$AA$873</f>
        <v>17.304763772125423</v>
      </c>
      <c r="M788" s="46">
        <f>$J$788-EFEITO!$K$788*EFEITO!$Y$788</f>
        <v>0</v>
      </c>
      <c r="N788" s="46">
        <f ca="1">$K$788-EFEITO!$M$788*EFEITO!$Z$788</f>
        <v>10.706318836763774</v>
      </c>
      <c r="O788" s="46">
        <f>$L$788-EFEITO!$O$788*EFEITO!$AA$788</f>
        <v>11.248096451881525</v>
      </c>
      <c r="P788" s="38"/>
      <c r="Q788" s="38"/>
      <c r="R788" s="38"/>
      <c r="S788" s="38"/>
      <c r="T788" s="38"/>
      <c r="U788" s="38"/>
      <c r="V788" s="38"/>
      <c r="W788" s="38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35" t="s">
        <v>21</v>
      </c>
      <c r="B789" s="35" t="s">
        <v>22</v>
      </c>
      <c r="C789" s="35" t="s">
        <v>23</v>
      </c>
      <c r="D789" s="35" t="s">
        <v>24</v>
      </c>
      <c r="E789" s="35" t="s">
        <v>29</v>
      </c>
      <c r="F789" s="35" t="s">
        <v>25</v>
      </c>
      <c r="G789" s="35" t="s">
        <v>25</v>
      </c>
      <c r="H789" s="35" t="s">
        <v>25</v>
      </c>
      <c r="I789" s="45">
        <v>44440</v>
      </c>
      <c r="J789" s="46">
        <f>EFEITO!$J$789*EFEITO!$Y$728</f>
        <v>0</v>
      </c>
      <c r="K789" s="46">
        <f ca="1">EFEITO!$L$789*EFEITO!$Z$873</f>
        <v>404984.592579227</v>
      </c>
      <c r="L789" s="46">
        <f>EFEITO!$N$789*EFEITO!$AA$873</f>
        <v>425478.24591351632</v>
      </c>
      <c r="M789" s="46">
        <f>$J$789-EFEITO!$K$789*EFEITO!$Y$789</f>
        <v>0</v>
      </c>
      <c r="N789" s="46">
        <f ca="1">$K$789-EFEITO!$M$789*EFEITO!$Z$789</f>
        <v>263239.98517649755</v>
      </c>
      <c r="O789" s="46">
        <f>$L$789-EFEITO!$O$789*EFEITO!$AA$789</f>
        <v>276560.85984378564</v>
      </c>
      <c r="P789" s="38"/>
      <c r="Q789" s="38"/>
      <c r="R789" s="38"/>
      <c r="S789" s="38"/>
      <c r="T789" s="38"/>
      <c r="U789" s="38"/>
      <c r="V789" s="38"/>
      <c r="W789" s="38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35" t="s">
        <v>27</v>
      </c>
      <c r="B790" s="35" t="s">
        <v>22</v>
      </c>
      <c r="C790" s="35" t="s">
        <v>23</v>
      </c>
      <c r="D790" s="35" t="s">
        <v>24</v>
      </c>
      <c r="E790" s="35" t="s">
        <v>29</v>
      </c>
      <c r="F790" s="35" t="s">
        <v>25</v>
      </c>
      <c r="G790" s="35" t="s">
        <v>25</v>
      </c>
      <c r="H790" s="35" t="s">
        <v>25</v>
      </c>
      <c r="I790" s="45">
        <v>44440</v>
      </c>
      <c r="J790" s="46">
        <f>EFEITO!$J$790*EFEITO!$Y$728</f>
        <v>0</v>
      </c>
      <c r="K790" s="46">
        <f ca="1">EFEITO!$L$790*EFEITO!$Z$873</f>
        <v>5.9678477350968633</v>
      </c>
      <c r="L790" s="46">
        <f>EFEITO!$N$790*EFEITO!$AA$873</f>
        <v>6.2698419464222539</v>
      </c>
      <c r="M790" s="46">
        <f>$J$790-EFEITO!$K$790*EFEITO!$Y$790</f>
        <v>0</v>
      </c>
      <c r="N790" s="46">
        <f ca="1">$K$790-EFEITO!$M$790*EFEITO!$Z$790</f>
        <v>3.8791010278129612</v>
      </c>
      <c r="O790" s="46">
        <f>$L$790-EFEITO!$O$790*EFEITO!$AA$790</f>
        <v>4.0753972651744643</v>
      </c>
      <c r="P790" s="38"/>
      <c r="Q790" s="38"/>
      <c r="R790" s="38"/>
      <c r="S790" s="38"/>
      <c r="T790" s="38"/>
      <c r="U790" s="38"/>
      <c r="V790" s="38"/>
      <c r="W790" s="38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35" t="s">
        <v>28</v>
      </c>
      <c r="B791" s="35" t="s">
        <v>22</v>
      </c>
      <c r="C791" s="35" t="s">
        <v>23</v>
      </c>
      <c r="D791" s="35" t="s">
        <v>24</v>
      </c>
      <c r="E791" s="35" t="s">
        <v>29</v>
      </c>
      <c r="F791" s="35" t="s">
        <v>25</v>
      </c>
      <c r="G791" s="35" t="s">
        <v>25</v>
      </c>
      <c r="H791" s="35" t="s">
        <v>25</v>
      </c>
      <c r="I791" s="45">
        <v>44440</v>
      </c>
      <c r="J791" s="46">
        <f>EFEITO!$J$791*EFEITO!$Y$728</f>
        <v>0</v>
      </c>
      <c r="K791" s="46">
        <f ca="1">EFEITO!$L$791*EFEITO!$Z$873</f>
        <v>229.16535302771953</v>
      </c>
      <c r="L791" s="46">
        <f>EFEITO!$N$791*EFEITO!$AA$873</f>
        <v>240.76193074261454</v>
      </c>
      <c r="M791" s="46">
        <f>$J$791-EFEITO!$K$791*EFEITO!$Y$791</f>
        <v>0</v>
      </c>
      <c r="N791" s="46">
        <f ca="1">$K$791-EFEITO!$M$791*EFEITO!$Z$791</f>
        <v>148.95747946801771</v>
      </c>
      <c r="O791" s="46">
        <f>$L$791-EFEITO!$O$791*EFEITO!$AA$791</f>
        <v>156.49525498269946</v>
      </c>
      <c r="P791" s="38"/>
      <c r="Q791" s="38"/>
      <c r="R791" s="38"/>
      <c r="S791" s="38"/>
      <c r="T791" s="38"/>
      <c r="U791" s="38"/>
      <c r="V791" s="38"/>
      <c r="W791" s="38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35" t="s">
        <v>21</v>
      </c>
      <c r="B792" s="35" t="s">
        <v>22</v>
      </c>
      <c r="C792" s="35" t="s">
        <v>23</v>
      </c>
      <c r="D792" s="35" t="s">
        <v>24</v>
      </c>
      <c r="E792" s="35" t="s">
        <v>29</v>
      </c>
      <c r="F792" s="35" t="s">
        <v>25</v>
      </c>
      <c r="G792" s="35" t="s">
        <v>25</v>
      </c>
      <c r="H792" s="35" t="s">
        <v>25</v>
      </c>
      <c r="I792" s="45">
        <v>44470</v>
      </c>
      <c r="J792" s="46">
        <f>EFEITO!$J$792*EFEITO!$Y$728</f>
        <v>0</v>
      </c>
      <c r="K792" s="46">
        <f ca="1">EFEITO!$L$792*EFEITO!$Z$873</f>
        <v>410913.52994709107</v>
      </c>
      <c r="L792" s="46">
        <f>EFEITO!$N$792*EFEITO!$AA$873</f>
        <v>431707.2084904479</v>
      </c>
      <c r="M792" s="46">
        <f>$J$792-EFEITO!$K$792*EFEITO!$Y$792</f>
        <v>0</v>
      </c>
      <c r="N792" s="46">
        <f ca="1">$K$792-EFEITO!$M$792*EFEITO!$Z$792</f>
        <v>267093.79446560924</v>
      </c>
      <c r="O792" s="46">
        <f>$L$792-EFEITO!$O$792*EFEITO!$AA$792</f>
        <v>280609.68551879114</v>
      </c>
      <c r="P792" s="38"/>
      <c r="Q792" s="38"/>
      <c r="R792" s="38"/>
      <c r="S792" s="38"/>
      <c r="T792" s="38"/>
      <c r="U792" s="38"/>
      <c r="V792" s="38"/>
      <c r="W792" s="38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35" t="s">
        <v>28</v>
      </c>
      <c r="B793" s="35" t="s">
        <v>22</v>
      </c>
      <c r="C793" s="35" t="s">
        <v>23</v>
      </c>
      <c r="D793" s="35" t="s">
        <v>24</v>
      </c>
      <c r="E793" s="35" t="s">
        <v>29</v>
      </c>
      <c r="F793" s="35" t="s">
        <v>25</v>
      </c>
      <c r="G793" s="35" t="s">
        <v>25</v>
      </c>
      <c r="H793" s="35" t="s">
        <v>25</v>
      </c>
      <c r="I793" s="45">
        <v>44470</v>
      </c>
      <c r="J793" s="46">
        <f>EFEITO!$J$793*EFEITO!$Y$728</f>
        <v>0</v>
      </c>
      <c r="K793" s="46">
        <f ca="1">EFEITO!$L$793*EFEITO!$Z$873</f>
        <v>257.81102215618449</v>
      </c>
      <c r="L793" s="46">
        <f>EFEITO!$N$793*EFEITO!$AA$873</f>
        <v>270.85717208544139</v>
      </c>
      <c r="M793" s="46">
        <f>$J$793-EFEITO!$K$793*EFEITO!$Y$793</f>
        <v>0</v>
      </c>
      <c r="N793" s="46">
        <f ca="1">$K$793-EFEITO!$M$793*EFEITO!$Z$793</f>
        <v>167.57716440151992</v>
      </c>
      <c r="O793" s="46">
        <f>$L$793-EFEITO!$O$793*EFEITO!$AA$793</f>
        <v>176.05716185553689</v>
      </c>
      <c r="P793" s="38"/>
      <c r="Q793" s="38"/>
      <c r="R793" s="38"/>
      <c r="S793" s="38"/>
      <c r="T793" s="38"/>
      <c r="U793" s="38"/>
      <c r="V793" s="38"/>
      <c r="W793" s="38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35" t="s">
        <v>21</v>
      </c>
      <c r="B794" s="35" t="s">
        <v>22</v>
      </c>
      <c r="C794" s="35" t="s">
        <v>23</v>
      </c>
      <c r="D794" s="35" t="s">
        <v>24</v>
      </c>
      <c r="E794" s="35" t="s">
        <v>29</v>
      </c>
      <c r="F794" s="35" t="s">
        <v>25</v>
      </c>
      <c r="G794" s="35" t="s">
        <v>25</v>
      </c>
      <c r="H794" s="35" t="s">
        <v>25</v>
      </c>
      <c r="I794" s="45">
        <v>44501</v>
      </c>
      <c r="J794" s="46">
        <f>EFEITO!$J$794*EFEITO!$Y$728</f>
        <v>0</v>
      </c>
      <c r="K794" s="46">
        <f ca="1">EFEITO!$L$794*EFEITO!$Z$873</f>
        <v>412195.66235449922</v>
      </c>
      <c r="L794" s="46">
        <f>EFEITO!$N$794*EFEITO!$AA$873</f>
        <v>433054.22133421717</v>
      </c>
      <c r="M794" s="46">
        <f>$J$794-EFEITO!$K$794*EFEITO!$Y$794</f>
        <v>0</v>
      </c>
      <c r="N794" s="46">
        <f ca="1">$K$794-EFEITO!$M$794*EFEITO!$Z$794</f>
        <v>267927.18053042446</v>
      </c>
      <c r="O794" s="46">
        <f>$L$794-EFEITO!$O$794*EFEITO!$AA$794</f>
        <v>281485.2438672412</v>
      </c>
      <c r="P794" s="38"/>
      <c r="Q794" s="38"/>
      <c r="R794" s="38"/>
      <c r="S794" s="38"/>
      <c r="T794" s="38"/>
      <c r="U794" s="38"/>
      <c r="V794" s="38"/>
      <c r="W794" s="38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35" t="s">
        <v>27</v>
      </c>
      <c r="B795" s="35" t="s">
        <v>22</v>
      </c>
      <c r="C795" s="35" t="s">
        <v>23</v>
      </c>
      <c r="D795" s="35" t="s">
        <v>24</v>
      </c>
      <c r="E795" s="35" t="s">
        <v>29</v>
      </c>
      <c r="F795" s="35" t="s">
        <v>25</v>
      </c>
      <c r="G795" s="35" t="s">
        <v>25</v>
      </c>
      <c r="H795" s="35" t="s">
        <v>25</v>
      </c>
      <c r="I795" s="45">
        <v>44501</v>
      </c>
      <c r="J795" s="46">
        <f>EFEITO!$J$795*EFEITO!$Y$728</f>
        <v>0</v>
      </c>
      <c r="K795" s="46">
        <f ca="1">EFEITO!$L$795*EFEITO!$Z$873</f>
        <v>110.5245400539939</v>
      </c>
      <c r="L795" s="46">
        <f>EFEITO!$N$795*EFEITO!$AA$873</f>
        <v>116.11747284774015</v>
      </c>
      <c r="M795" s="46">
        <f>$J$795-EFEITO!$K$795*EFEITO!$Y$795</f>
        <v>0</v>
      </c>
      <c r="N795" s="46">
        <f ca="1">$K$795-EFEITO!$M$795*EFEITO!$Z$795</f>
        <v>71.84095103509604</v>
      </c>
      <c r="O795" s="46">
        <f>$L$795-EFEITO!$O$795*EFEITO!$AA$795</f>
        <v>75.476357351031098</v>
      </c>
      <c r="P795" s="38"/>
      <c r="Q795" s="38"/>
      <c r="R795" s="38"/>
      <c r="S795" s="38"/>
      <c r="T795" s="38"/>
      <c r="U795" s="38"/>
      <c r="V795" s="38"/>
      <c r="W795" s="38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35" t="s">
        <v>28</v>
      </c>
      <c r="B796" s="35" t="s">
        <v>22</v>
      </c>
      <c r="C796" s="35" t="s">
        <v>23</v>
      </c>
      <c r="D796" s="35" t="s">
        <v>24</v>
      </c>
      <c r="E796" s="35" t="s">
        <v>29</v>
      </c>
      <c r="F796" s="35" t="s">
        <v>25</v>
      </c>
      <c r="G796" s="35" t="s">
        <v>25</v>
      </c>
      <c r="H796" s="35" t="s">
        <v>25</v>
      </c>
      <c r="I796" s="45">
        <v>44501</v>
      </c>
      <c r="J796" s="46">
        <f>EFEITO!$J$796*EFEITO!$Y$728</f>
        <v>0</v>
      </c>
      <c r="K796" s="46">
        <f ca="1">EFEITO!$L$796*EFEITO!$Z$873</f>
        <v>286.45669128464942</v>
      </c>
      <c r="L796" s="46">
        <f>EFEITO!$N$796*EFEITO!$AA$873</f>
        <v>300.95241342826819</v>
      </c>
      <c r="M796" s="46">
        <f>$J$796-EFEITO!$K$796*EFEITO!$Y$796</f>
        <v>0</v>
      </c>
      <c r="N796" s="46">
        <f ca="1">$K$796-EFEITO!$M$796*EFEITO!$Z$796</f>
        <v>186.19684933502214</v>
      </c>
      <c r="O796" s="46">
        <f>$L$796-EFEITO!$O$796*EFEITO!$AA$796</f>
        <v>195.61906872837432</v>
      </c>
      <c r="P796" s="38"/>
      <c r="Q796" s="38"/>
      <c r="R796" s="38"/>
      <c r="S796" s="38"/>
      <c r="T796" s="38"/>
      <c r="U796" s="38"/>
      <c r="V796" s="38"/>
      <c r="W796" s="38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35" t="s">
        <v>21</v>
      </c>
      <c r="B797" s="35" t="s">
        <v>22</v>
      </c>
      <c r="C797" s="35" t="s">
        <v>23</v>
      </c>
      <c r="D797" s="35" t="s">
        <v>24</v>
      </c>
      <c r="E797" s="35" t="s">
        <v>29</v>
      </c>
      <c r="F797" s="35" t="s">
        <v>25</v>
      </c>
      <c r="G797" s="35" t="s">
        <v>25</v>
      </c>
      <c r="H797" s="35" t="s">
        <v>25</v>
      </c>
      <c r="I797" s="45">
        <v>44531</v>
      </c>
      <c r="J797" s="46">
        <f>EFEITO!$J$797*EFEITO!$Y$728</f>
        <v>0</v>
      </c>
      <c r="K797" s="46">
        <f ca="1">EFEITO!$L$797*EFEITO!$Z$873</f>
        <v>411408.38388128526</v>
      </c>
      <c r="L797" s="46">
        <f>EFEITO!$N$797*EFEITO!$AA$873</f>
        <v>432227.10378464515</v>
      </c>
      <c r="M797" s="46">
        <f>$J$797-EFEITO!$K$797*EFEITO!$Y$797</f>
        <v>0</v>
      </c>
      <c r="N797" s="46">
        <f ca="1">$K$797-EFEITO!$M$797*EFEITO!$Z$797</f>
        <v>267415.44952283544</v>
      </c>
      <c r="O797" s="46">
        <f>$L$797-EFEITO!$O$797*EFEITO!$AA$797</f>
        <v>280947.6174600193</v>
      </c>
      <c r="P797" s="38"/>
      <c r="Q797" s="38"/>
      <c r="R797" s="38"/>
      <c r="S797" s="38"/>
      <c r="T797" s="38"/>
      <c r="U797" s="38"/>
      <c r="V797" s="38"/>
      <c r="W797" s="38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35" t="s">
        <v>27</v>
      </c>
      <c r="B798" s="35" t="s">
        <v>22</v>
      </c>
      <c r="C798" s="35" t="s">
        <v>23</v>
      </c>
      <c r="D798" s="35" t="s">
        <v>24</v>
      </c>
      <c r="E798" s="35" t="s">
        <v>29</v>
      </c>
      <c r="F798" s="35" t="s">
        <v>25</v>
      </c>
      <c r="G798" s="35" t="s">
        <v>25</v>
      </c>
      <c r="H798" s="35" t="s">
        <v>25</v>
      </c>
      <c r="I798" s="45">
        <v>44531</v>
      </c>
      <c r="J798" s="46">
        <f>EFEITO!$J$798*EFEITO!$Y$728</f>
        <v>0</v>
      </c>
      <c r="K798" s="46">
        <f ca="1">EFEITO!$L$798*EFEITO!$Z$873</f>
        <v>134.39593099438133</v>
      </c>
      <c r="L798" s="46">
        <f>EFEITO!$N$798*EFEITO!$AA$873</f>
        <v>141.19684063342913</v>
      </c>
      <c r="M798" s="46">
        <f>$J$798-EFEITO!$K$798*EFEITO!$Y$798</f>
        <v>0</v>
      </c>
      <c r="N798" s="46">
        <f ca="1">$K$798-EFEITO!$M$798*EFEITO!$Z$798</f>
        <v>87.357355146347857</v>
      </c>
      <c r="O798" s="46">
        <f>$L$798-EFEITO!$O$798*EFEITO!$AA$798</f>
        <v>91.777946411728934</v>
      </c>
      <c r="P798" s="38"/>
      <c r="Q798" s="38"/>
      <c r="R798" s="38"/>
      <c r="S798" s="38"/>
      <c r="T798" s="38"/>
      <c r="U798" s="38"/>
      <c r="V798" s="38"/>
      <c r="W798" s="38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35" t="s">
        <v>28</v>
      </c>
      <c r="B799" s="35" t="s">
        <v>22</v>
      </c>
      <c r="C799" s="35" t="s">
        <v>23</v>
      </c>
      <c r="D799" s="35" t="s">
        <v>24</v>
      </c>
      <c r="E799" s="35" t="s">
        <v>29</v>
      </c>
      <c r="F799" s="35" t="s">
        <v>25</v>
      </c>
      <c r="G799" s="35" t="s">
        <v>25</v>
      </c>
      <c r="H799" s="35" t="s">
        <v>25</v>
      </c>
      <c r="I799" s="45">
        <v>44531</v>
      </c>
      <c r="J799" s="46">
        <f>EFEITO!$J$799*EFEITO!$Y$728</f>
        <v>0</v>
      </c>
      <c r="K799" s="46">
        <f ca="1">EFEITO!$L$799*EFEITO!$Z$873</f>
        <v>329.42519497734679</v>
      </c>
      <c r="L799" s="46">
        <f>EFEITO!$N$799*EFEITO!$AA$873</f>
        <v>346.09527544250841</v>
      </c>
      <c r="M799" s="46">
        <f>$J$799-EFEITO!$K$799*EFEITO!$Y$799</f>
        <v>0</v>
      </c>
      <c r="N799" s="46">
        <f ca="1">$K$799-EFEITO!$M$799*EFEITO!$Z$799</f>
        <v>214.12637673527541</v>
      </c>
      <c r="O799" s="46">
        <f>$L$799-EFEITO!$O$799*EFEITO!$AA$799</f>
        <v>224.96192903763045</v>
      </c>
      <c r="P799" s="38"/>
      <c r="Q799" s="38"/>
      <c r="R799" s="38"/>
      <c r="S799" s="38"/>
      <c r="T799" s="38"/>
      <c r="U799" s="38"/>
      <c r="V799" s="38"/>
      <c r="W799" s="38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35" t="s">
        <v>55</v>
      </c>
      <c r="B800" s="35" t="s">
        <v>22</v>
      </c>
      <c r="C800" s="35" t="s">
        <v>23</v>
      </c>
      <c r="D800" s="35" t="s">
        <v>24</v>
      </c>
      <c r="E800" s="35" t="s">
        <v>29</v>
      </c>
      <c r="F800" s="35" t="s">
        <v>25</v>
      </c>
      <c r="G800" s="35" t="s">
        <v>25</v>
      </c>
      <c r="H800" s="35" t="s">
        <v>25</v>
      </c>
      <c r="I800" s="45">
        <v>44562</v>
      </c>
      <c r="J800" s="46">
        <f>EFEITO!$J$800*EFEITO!$Y$728</f>
        <v>0</v>
      </c>
      <c r="K800" s="46">
        <f ca="1">EFEITO!$L$800*EFEITO!$Z$873</f>
        <v>411408.38388128526</v>
      </c>
      <c r="L800" s="46">
        <f>EFEITO!$N$800*EFEITO!$AA$873</f>
        <v>432227.10378464515</v>
      </c>
      <c r="M800" s="46">
        <f>$J$800-EFEITO!$K$800*EFEITO!$Y$800</f>
        <v>0</v>
      </c>
      <c r="N800" s="46">
        <f ca="1">$K$800-EFEITO!$M$800*EFEITO!$Z$800</f>
        <v>267415.44952283544</v>
      </c>
      <c r="O800" s="46">
        <f>$L$800-EFEITO!$O$800*EFEITO!$AA$800</f>
        <v>280947.6174600193</v>
      </c>
      <c r="P800" s="38"/>
      <c r="Q800" s="38"/>
      <c r="R800" s="38"/>
      <c r="S800" s="38"/>
      <c r="T800" s="38"/>
      <c r="U800" s="38"/>
      <c r="V800" s="38"/>
      <c r="W800" s="38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35" t="s">
        <v>55</v>
      </c>
      <c r="B801" s="35" t="s">
        <v>22</v>
      </c>
      <c r="C801" s="35" t="s">
        <v>23</v>
      </c>
      <c r="D801" s="35" t="s">
        <v>24</v>
      </c>
      <c r="E801" s="35" t="s">
        <v>29</v>
      </c>
      <c r="F801" s="35" t="s">
        <v>25</v>
      </c>
      <c r="G801" s="35" t="s">
        <v>25</v>
      </c>
      <c r="H801" s="35" t="s">
        <v>25</v>
      </c>
      <c r="I801" s="45">
        <v>44562</v>
      </c>
      <c r="J801" s="46">
        <f>EFEITO!$J$801*EFEITO!$Y$728</f>
        <v>0</v>
      </c>
      <c r="K801" s="46">
        <f ca="1">EFEITO!$L$801*EFEITO!$Z$873</f>
        <v>134.39593099438133</v>
      </c>
      <c r="L801" s="46">
        <f>EFEITO!$N$801*EFEITO!$AA$873</f>
        <v>141.19684063342913</v>
      </c>
      <c r="M801" s="46">
        <f>$J$801-EFEITO!$K$801*EFEITO!$Y$801</f>
        <v>0</v>
      </c>
      <c r="N801" s="46">
        <f ca="1">$K$801-EFEITO!$M$801*EFEITO!$Z$801</f>
        <v>87.357355146347857</v>
      </c>
      <c r="O801" s="46">
        <f>$L$801-EFEITO!$O$801*EFEITO!$AA$801</f>
        <v>91.777946411728934</v>
      </c>
      <c r="P801" s="38"/>
      <c r="Q801" s="38"/>
      <c r="R801" s="38"/>
      <c r="S801" s="38"/>
      <c r="T801" s="38"/>
      <c r="U801" s="38"/>
      <c r="V801" s="38"/>
      <c r="W801" s="38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35" t="s">
        <v>55</v>
      </c>
      <c r="B802" s="35" t="s">
        <v>22</v>
      </c>
      <c r="C802" s="35" t="s">
        <v>23</v>
      </c>
      <c r="D802" s="35" t="s">
        <v>24</v>
      </c>
      <c r="E802" s="35" t="s">
        <v>29</v>
      </c>
      <c r="F802" s="35" t="s">
        <v>25</v>
      </c>
      <c r="G802" s="35" t="s">
        <v>25</v>
      </c>
      <c r="H802" s="35" t="s">
        <v>25</v>
      </c>
      <c r="I802" s="45">
        <v>44562</v>
      </c>
      <c r="J802" s="46">
        <f>EFEITO!$J$802*EFEITO!$Y$728</f>
        <v>0</v>
      </c>
      <c r="K802" s="46">
        <f ca="1">EFEITO!$L$802*EFEITO!$Z$873</f>
        <v>329.42519497734679</v>
      </c>
      <c r="L802" s="46">
        <f>EFEITO!$N$802*EFEITO!$AA$873</f>
        <v>346.09527544250841</v>
      </c>
      <c r="M802" s="46">
        <f>$J$802-EFEITO!$K$802*EFEITO!$Y$802</f>
        <v>0</v>
      </c>
      <c r="N802" s="46">
        <f ca="1">$K$802-EFEITO!$M$802*EFEITO!$Z$802</f>
        <v>214.12637673527541</v>
      </c>
      <c r="O802" s="46">
        <f>$L$802-EFEITO!$O$802*EFEITO!$AA$802</f>
        <v>224.96192903763045</v>
      </c>
      <c r="P802" s="38"/>
      <c r="Q802" s="38"/>
      <c r="R802" s="38"/>
      <c r="S802" s="38"/>
      <c r="T802" s="38"/>
      <c r="U802" s="38"/>
      <c r="V802" s="38"/>
      <c r="W802" s="38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35" t="s">
        <v>21</v>
      </c>
      <c r="B803" s="35" t="s">
        <v>22</v>
      </c>
      <c r="C803" s="35" t="s">
        <v>23</v>
      </c>
      <c r="D803" s="35" t="s">
        <v>24</v>
      </c>
      <c r="E803" s="35" t="s">
        <v>30</v>
      </c>
      <c r="F803" s="35" t="s">
        <v>25</v>
      </c>
      <c r="G803" s="35" t="s">
        <v>25</v>
      </c>
      <c r="H803" s="35" t="s">
        <v>25</v>
      </c>
      <c r="I803" s="45">
        <v>44228</v>
      </c>
      <c r="J803" s="46">
        <f>EFEITO!$J$803*EFEITO!$Y$728</f>
        <v>0</v>
      </c>
      <c r="K803" s="46">
        <f ca="1">EFEITO!$L$803*EFEITO!$Z$873</f>
        <v>639756.85791102471</v>
      </c>
      <c r="L803" s="46">
        <f>EFEITO!$N$803*EFEITO!$AA$873</f>
        <v>672130.81856163347</v>
      </c>
      <c r="M803" s="46">
        <f>$J$803-EFEITO!$K$803*EFEITO!$Y$803</f>
        <v>0</v>
      </c>
      <c r="N803" s="46">
        <f ca="1">$K$803-EFEITO!$M$803*EFEITO!$Z$803</f>
        <v>255902.74316440988</v>
      </c>
      <c r="O803" s="46">
        <f>$L$803-EFEITO!$O$803*EFEITO!$AA$803</f>
        <v>268852.3274246534</v>
      </c>
      <c r="P803" s="38"/>
      <c r="Q803" s="38"/>
      <c r="R803" s="38"/>
      <c r="S803" s="38"/>
      <c r="T803" s="38"/>
      <c r="U803" s="38"/>
      <c r="V803" s="38"/>
      <c r="W803" s="38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35" t="s">
        <v>27</v>
      </c>
      <c r="B804" s="35" t="s">
        <v>22</v>
      </c>
      <c r="C804" s="35" t="s">
        <v>23</v>
      </c>
      <c r="D804" s="35" t="s">
        <v>24</v>
      </c>
      <c r="E804" s="35" t="s">
        <v>30</v>
      </c>
      <c r="F804" s="35" t="s">
        <v>25</v>
      </c>
      <c r="G804" s="35" t="s">
        <v>25</v>
      </c>
      <c r="H804" s="35" t="s">
        <v>25</v>
      </c>
      <c r="I804" s="45">
        <v>44228</v>
      </c>
      <c r="J804" s="46">
        <f>EFEITO!$J$804*EFEITO!$Y$728</f>
        <v>0</v>
      </c>
      <c r="K804" s="46">
        <f ca="1">EFEITO!$L$804*EFEITO!$Z$873</f>
        <v>-46.787926243159404</v>
      </c>
      <c r="L804" s="46">
        <f>EFEITO!$N$804*EFEITO!$AA$873</f>
        <v>-49.155560859950469</v>
      </c>
      <c r="M804" s="46">
        <f>$J$804-EFEITO!$K$804*EFEITO!$Y$804</f>
        <v>0</v>
      </c>
      <c r="N804" s="46">
        <f ca="1">$K$804-EFEITO!$M$804*EFEITO!$Z$804</f>
        <v>-18.71517049726376</v>
      </c>
      <c r="O804" s="46">
        <f>$L$804-EFEITO!$O$804*EFEITO!$AA$804</f>
        <v>-19.662224343980185</v>
      </c>
      <c r="P804" s="38"/>
      <c r="Q804" s="38"/>
      <c r="R804" s="38"/>
      <c r="S804" s="38"/>
      <c r="T804" s="38"/>
      <c r="U804" s="38"/>
      <c r="V804" s="38"/>
      <c r="W804" s="38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35" t="s">
        <v>28</v>
      </c>
      <c r="B805" s="35" t="s">
        <v>22</v>
      </c>
      <c r="C805" s="35" t="s">
        <v>23</v>
      </c>
      <c r="D805" s="35" t="s">
        <v>24</v>
      </c>
      <c r="E805" s="35" t="s">
        <v>30</v>
      </c>
      <c r="F805" s="35" t="s">
        <v>25</v>
      </c>
      <c r="G805" s="35" t="s">
        <v>25</v>
      </c>
      <c r="H805" s="35" t="s">
        <v>25</v>
      </c>
      <c r="I805" s="45">
        <v>44228</v>
      </c>
      <c r="J805" s="46">
        <f>EFEITO!$J$805*EFEITO!$Y$728</f>
        <v>0</v>
      </c>
      <c r="K805" s="46">
        <f ca="1">EFEITO!$L$805*EFEITO!$Z$873</f>
        <v>131.77007799093874</v>
      </c>
      <c r="L805" s="46">
        <f>EFEITO!$N$805*EFEITO!$AA$873</f>
        <v>138.43811017700338</v>
      </c>
      <c r="M805" s="46">
        <f>$J$805-EFEITO!$K$805*EFEITO!$Y$805</f>
        <v>0</v>
      </c>
      <c r="N805" s="46">
        <f ca="1">$K$805-EFEITO!$M$805*EFEITO!$Z$805</f>
        <v>52.708031196375501</v>
      </c>
      <c r="O805" s="46">
        <f>$L$805-EFEITO!$O$805*EFEITO!$AA$805</f>
        <v>55.375244070801358</v>
      </c>
      <c r="P805" s="38"/>
      <c r="Q805" s="38"/>
      <c r="R805" s="38"/>
      <c r="S805" s="38"/>
      <c r="T805" s="38"/>
      <c r="U805" s="38"/>
      <c r="V805" s="38"/>
      <c r="W805" s="38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35" t="s">
        <v>21</v>
      </c>
      <c r="B806" s="35" t="s">
        <v>22</v>
      </c>
      <c r="C806" s="35" t="s">
        <v>23</v>
      </c>
      <c r="D806" s="35" t="s">
        <v>24</v>
      </c>
      <c r="E806" s="35" t="s">
        <v>30</v>
      </c>
      <c r="F806" s="35" t="s">
        <v>25</v>
      </c>
      <c r="G806" s="35" t="s">
        <v>25</v>
      </c>
      <c r="H806" s="35" t="s">
        <v>25</v>
      </c>
      <c r="I806" s="45">
        <v>44256</v>
      </c>
      <c r="J806" s="46">
        <f>EFEITO!$J$806*EFEITO!$Y$728</f>
        <v>0</v>
      </c>
      <c r="K806" s="46">
        <f ca="1">EFEITO!$L$806*EFEITO!$Z$873</f>
        <v>668793.54042309313</v>
      </c>
      <c r="L806" s="46">
        <f>EFEITO!$N$806*EFEITO!$AA$873</f>
        <v>702636.85994878982</v>
      </c>
      <c r="M806" s="46">
        <f>$J$806-EFEITO!$K$806*EFEITO!$Y$806</f>
        <v>0</v>
      </c>
      <c r="N806" s="46">
        <f ca="1">$K$806-EFEITO!$M$806*EFEITO!$Z$806</f>
        <v>267517.41616923723</v>
      </c>
      <c r="O806" s="46">
        <f>$L$806-EFEITO!$O$806*EFEITO!$AA$806</f>
        <v>281054.74397951592</v>
      </c>
      <c r="P806" s="38"/>
      <c r="Q806" s="38"/>
      <c r="R806" s="38"/>
      <c r="S806" s="38"/>
      <c r="T806" s="38"/>
      <c r="U806" s="38"/>
      <c r="V806" s="38"/>
      <c r="W806" s="38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35" t="s">
        <v>27</v>
      </c>
      <c r="B807" s="35" t="s">
        <v>22</v>
      </c>
      <c r="C807" s="35" t="s">
        <v>23</v>
      </c>
      <c r="D807" s="35" t="s">
        <v>24</v>
      </c>
      <c r="E807" s="35" t="s">
        <v>30</v>
      </c>
      <c r="F807" s="35" t="s">
        <v>25</v>
      </c>
      <c r="G807" s="35" t="s">
        <v>25</v>
      </c>
      <c r="H807" s="35" t="s">
        <v>25</v>
      </c>
      <c r="I807" s="45">
        <v>44256</v>
      </c>
      <c r="J807" s="46">
        <f>EFEITO!$J$807*EFEITO!$Y$728</f>
        <v>0</v>
      </c>
      <c r="K807" s="46">
        <f ca="1">EFEITO!$L$807*EFEITO!$Z$873</f>
        <v>-125.80223025584188</v>
      </c>
      <c r="L807" s="46">
        <f>EFEITO!$N$807*EFEITO!$AA$873</f>
        <v>-132.16826823058111</v>
      </c>
      <c r="M807" s="46">
        <f>$J$807-EFEITO!$K$807*EFEITO!$Y$807</f>
        <v>0</v>
      </c>
      <c r="N807" s="46">
        <f ca="1">$K$807-EFEITO!$M$807*EFEITO!$Z$807</f>
        <v>-50.320892102336757</v>
      </c>
      <c r="O807" s="46">
        <f>$L$807-EFEITO!$O$807*EFEITO!$AA$807</f>
        <v>-52.867307292232439</v>
      </c>
      <c r="P807" s="38"/>
      <c r="Q807" s="38"/>
      <c r="R807" s="38"/>
      <c r="S807" s="38"/>
      <c r="T807" s="38"/>
      <c r="U807" s="38"/>
      <c r="V807" s="38"/>
      <c r="W807" s="38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35" t="s">
        <v>28</v>
      </c>
      <c r="B808" s="35" t="s">
        <v>22</v>
      </c>
      <c r="C808" s="35" t="s">
        <v>23</v>
      </c>
      <c r="D808" s="35" t="s">
        <v>24</v>
      </c>
      <c r="E808" s="35" t="s">
        <v>30</v>
      </c>
      <c r="F808" s="35" t="s">
        <v>25</v>
      </c>
      <c r="G808" s="35" t="s">
        <v>25</v>
      </c>
      <c r="H808" s="35" t="s">
        <v>25</v>
      </c>
      <c r="I808" s="45">
        <v>44256</v>
      </c>
      <c r="J808" s="46">
        <f>EFEITO!$J$808*EFEITO!$Y$728</f>
        <v>0</v>
      </c>
      <c r="K808" s="46">
        <f ca="1">EFEITO!$L$808*EFEITO!$Z$873</f>
        <v>84.504723928971572</v>
      </c>
      <c r="L808" s="46">
        <f>EFEITO!$N$808*EFEITO!$AA$873</f>
        <v>88.780961961339116</v>
      </c>
      <c r="M808" s="46">
        <f>$J$808-EFEITO!$K$808*EFEITO!$Y$808</f>
        <v>0</v>
      </c>
      <c r="N808" s="46">
        <f ca="1">$K$808-EFEITO!$M$808*EFEITO!$Z$808</f>
        <v>33.801889571588625</v>
      </c>
      <c r="O808" s="46">
        <f>$L$808-EFEITO!$O$808*EFEITO!$AA$808</f>
        <v>35.512384784535648</v>
      </c>
      <c r="P808" s="38"/>
      <c r="Q808" s="38"/>
      <c r="R808" s="38"/>
      <c r="S808" s="38"/>
      <c r="T808" s="38"/>
      <c r="U808" s="38"/>
      <c r="V808" s="38"/>
      <c r="W808" s="38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35" t="s">
        <v>21</v>
      </c>
      <c r="B809" s="35" t="s">
        <v>22</v>
      </c>
      <c r="C809" s="35" t="s">
        <v>23</v>
      </c>
      <c r="D809" s="35" t="s">
        <v>24</v>
      </c>
      <c r="E809" s="35" t="s">
        <v>30</v>
      </c>
      <c r="F809" s="35" t="s">
        <v>25</v>
      </c>
      <c r="G809" s="35" t="s">
        <v>25</v>
      </c>
      <c r="H809" s="35" t="s">
        <v>25</v>
      </c>
      <c r="I809" s="45">
        <v>44287</v>
      </c>
      <c r="J809" s="46">
        <f>EFEITO!$J$809*EFEITO!$Y$728</f>
        <v>0</v>
      </c>
      <c r="K809" s="46">
        <f ca="1">EFEITO!$L$809*EFEITO!$Z$873</f>
        <v>673126.19787877356</v>
      </c>
      <c r="L809" s="46">
        <f>EFEITO!$N$809*EFEITO!$AA$873</f>
        <v>707188.76520189235</v>
      </c>
      <c r="M809" s="46">
        <f>$J$809-EFEITO!$K$809*EFEITO!$Y$809</f>
        <v>0</v>
      </c>
      <c r="N809" s="46">
        <f ca="1">$K$809-EFEITO!$M$809*EFEITO!$Z$809</f>
        <v>269250.47915150941</v>
      </c>
      <c r="O809" s="46">
        <f>$L$809-EFEITO!$O$809*EFEITO!$AA$809</f>
        <v>282875.5060807569</v>
      </c>
      <c r="P809" s="38"/>
      <c r="Q809" s="38"/>
      <c r="R809" s="38"/>
      <c r="S809" s="38"/>
      <c r="T809" s="38"/>
      <c r="U809" s="38"/>
      <c r="V809" s="38"/>
      <c r="W809" s="38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35" t="s">
        <v>27</v>
      </c>
      <c r="B810" s="35" t="s">
        <v>22</v>
      </c>
      <c r="C810" s="35" t="s">
        <v>23</v>
      </c>
      <c r="D810" s="35" t="s">
        <v>24</v>
      </c>
      <c r="E810" s="35" t="s">
        <v>30</v>
      </c>
      <c r="F810" s="35" t="s">
        <v>25</v>
      </c>
      <c r="G810" s="35" t="s">
        <v>25</v>
      </c>
      <c r="H810" s="35" t="s">
        <v>25</v>
      </c>
      <c r="I810" s="45">
        <v>44287</v>
      </c>
      <c r="J810" s="46">
        <f>EFEITO!$J$810*EFEITO!$Y$728</f>
        <v>0</v>
      </c>
      <c r="K810" s="46">
        <f ca="1">EFEITO!$L$810*EFEITO!$Z$873</f>
        <v>-16.709973658271217</v>
      </c>
      <c r="L810" s="46">
        <f>EFEITO!$N$810*EFEITO!$AA$873</f>
        <v>-17.555557449982313</v>
      </c>
      <c r="M810" s="46">
        <f>$J$810-EFEITO!$K$810*EFEITO!$Y$810</f>
        <v>0</v>
      </c>
      <c r="N810" s="46">
        <f ca="1">$K$810-EFEITO!$M$810*EFEITO!$Z$810</f>
        <v>-6.6839894633084853</v>
      </c>
      <c r="O810" s="46">
        <f>$L$810-EFEITO!$O$810*EFEITO!$AA$810</f>
        <v>-7.0222229799929252</v>
      </c>
      <c r="P810" s="38"/>
      <c r="Q810" s="38"/>
      <c r="R810" s="38"/>
      <c r="S810" s="38"/>
      <c r="T810" s="38"/>
      <c r="U810" s="38"/>
      <c r="V810" s="38"/>
      <c r="W810" s="38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35" t="s">
        <v>28</v>
      </c>
      <c r="B811" s="35" t="s">
        <v>22</v>
      </c>
      <c r="C811" s="35" t="s">
        <v>23</v>
      </c>
      <c r="D811" s="35" t="s">
        <v>24</v>
      </c>
      <c r="E811" s="35" t="s">
        <v>30</v>
      </c>
      <c r="F811" s="35" t="s">
        <v>25</v>
      </c>
      <c r="G811" s="35" t="s">
        <v>25</v>
      </c>
      <c r="H811" s="35" t="s">
        <v>25</v>
      </c>
      <c r="I811" s="45">
        <v>44287</v>
      </c>
      <c r="J811" s="46">
        <f>EFEITO!$J$811*EFEITO!$Y$728</f>
        <v>0</v>
      </c>
      <c r="K811" s="46">
        <f ca="1">EFEITO!$L$811*EFEITO!$Z$873</f>
        <v>83.549868291356077</v>
      </c>
      <c r="L811" s="46">
        <f>EFEITO!$N$811*EFEITO!$AA$873</f>
        <v>87.777787249911555</v>
      </c>
      <c r="M811" s="46">
        <f>$J$811-EFEITO!$K$811*EFEITO!$Y$811</f>
        <v>0</v>
      </c>
      <c r="N811" s="46">
        <f ca="1">$K$811-EFEITO!$M$811*EFEITO!$Z$811</f>
        <v>33.419947316542434</v>
      </c>
      <c r="O811" s="46">
        <f>$L$811-EFEITO!$O$811*EFEITO!$AA$811</f>
        <v>35.111114899964626</v>
      </c>
      <c r="P811" s="38"/>
      <c r="Q811" s="38"/>
      <c r="R811" s="38"/>
      <c r="S811" s="38"/>
      <c r="T811" s="38"/>
      <c r="U811" s="38"/>
      <c r="V811" s="38"/>
      <c r="W811" s="38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35" t="s">
        <v>21</v>
      </c>
      <c r="B812" s="35" t="s">
        <v>22</v>
      </c>
      <c r="C812" s="35" t="s">
        <v>23</v>
      </c>
      <c r="D812" s="35" t="s">
        <v>24</v>
      </c>
      <c r="E812" s="35" t="s">
        <v>30</v>
      </c>
      <c r="F812" s="35" t="s">
        <v>25</v>
      </c>
      <c r="G812" s="35" t="s">
        <v>25</v>
      </c>
      <c r="H812" s="35" t="s">
        <v>25</v>
      </c>
      <c r="I812" s="45">
        <v>44317</v>
      </c>
      <c r="J812" s="46">
        <f>EFEITO!$J$812*EFEITO!$Y$728</f>
        <v>0</v>
      </c>
      <c r="K812" s="46">
        <f ca="1">EFEITO!$L$812*EFEITO!$Z$873</f>
        <v>643800.67153632641</v>
      </c>
      <c r="L812" s="46">
        <f>EFEITO!$N$812*EFEITO!$AA$873</f>
        <v>676379.26346452918</v>
      </c>
      <c r="M812" s="46">
        <f>$J$812-EFEITO!$K$812*EFEITO!$Y$812</f>
        <v>0</v>
      </c>
      <c r="N812" s="46">
        <f ca="1">$K$812-EFEITO!$M$812*EFEITO!$Z$812</f>
        <v>257520.26861453056</v>
      </c>
      <c r="O812" s="46">
        <f>$L$812-EFEITO!$O$812*EFEITO!$AA$812</f>
        <v>270551.70538581169</v>
      </c>
      <c r="P812" s="38"/>
      <c r="Q812" s="38"/>
      <c r="R812" s="38"/>
      <c r="S812" s="38"/>
      <c r="T812" s="38"/>
      <c r="U812" s="38"/>
      <c r="V812" s="38"/>
      <c r="W812" s="38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35" t="s">
        <v>27</v>
      </c>
      <c r="B813" s="35" t="s">
        <v>22</v>
      </c>
      <c r="C813" s="35" t="s">
        <v>23</v>
      </c>
      <c r="D813" s="35" t="s">
        <v>24</v>
      </c>
      <c r="E813" s="35" t="s">
        <v>30</v>
      </c>
      <c r="F813" s="35" t="s">
        <v>25</v>
      </c>
      <c r="G813" s="35" t="s">
        <v>25</v>
      </c>
      <c r="H813" s="35" t="s">
        <v>25</v>
      </c>
      <c r="I813" s="45">
        <v>44317</v>
      </c>
      <c r="J813" s="46">
        <f>EFEITO!$J$813*EFEITO!$Y$728</f>
        <v>0</v>
      </c>
      <c r="K813" s="46">
        <f ca="1">EFEITO!$L$813*EFEITO!$Z$873</f>
        <v>-50.129920974813643</v>
      </c>
      <c r="L813" s="46">
        <f>EFEITO!$N$813*EFEITO!$AA$873</f>
        <v>-52.666672349946928</v>
      </c>
      <c r="M813" s="46">
        <f>$J$813-EFEITO!$K$813*EFEITO!$Y$813</f>
        <v>0</v>
      </c>
      <c r="N813" s="46">
        <f ca="1">$K$813-EFEITO!$M$813*EFEITO!$Z$813</f>
        <v>-20.051968389925456</v>
      </c>
      <c r="O813" s="46">
        <f>$L$813-EFEITO!$O$813*EFEITO!$AA$813</f>
        <v>-21.066668939978769</v>
      </c>
      <c r="P813" s="38"/>
      <c r="Q813" s="38"/>
      <c r="R813" s="38"/>
      <c r="S813" s="38"/>
      <c r="T813" s="38"/>
      <c r="U813" s="38"/>
      <c r="V813" s="38"/>
      <c r="W813" s="38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35" t="s">
        <v>28</v>
      </c>
      <c r="B814" s="35" t="s">
        <v>22</v>
      </c>
      <c r="C814" s="35" t="s">
        <v>23</v>
      </c>
      <c r="D814" s="35" t="s">
        <v>24</v>
      </c>
      <c r="E814" s="35" t="s">
        <v>30</v>
      </c>
      <c r="F814" s="35" t="s">
        <v>25</v>
      </c>
      <c r="G814" s="35" t="s">
        <v>25</v>
      </c>
      <c r="H814" s="35" t="s">
        <v>25</v>
      </c>
      <c r="I814" s="45">
        <v>44317</v>
      </c>
      <c r="J814" s="46">
        <f>EFEITO!$J$814*EFEITO!$Y$728</f>
        <v>0</v>
      </c>
      <c r="K814" s="46">
        <f ca="1">EFEITO!$L$814*EFEITO!$Z$873</f>
        <v>101.2146975872428</v>
      </c>
      <c r="L814" s="46">
        <f>EFEITO!$N$814*EFEITO!$AA$873</f>
        <v>106.33651941132142</v>
      </c>
      <c r="M814" s="46">
        <f>$J$814-EFEITO!$K$814*EFEITO!$Y$814</f>
        <v>0</v>
      </c>
      <c r="N814" s="46">
        <f ca="1">$K$814-EFEITO!$M$814*EFEITO!$Z$814</f>
        <v>40.485879034897117</v>
      </c>
      <c r="O814" s="46">
        <f>$L$814-EFEITO!$O$814*EFEITO!$AA$814</f>
        <v>42.534607764528566</v>
      </c>
      <c r="P814" s="38"/>
      <c r="Q814" s="38"/>
      <c r="R814" s="38"/>
      <c r="S814" s="38"/>
      <c r="T814" s="38"/>
      <c r="U814" s="38"/>
      <c r="V814" s="38"/>
      <c r="W814" s="38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35" t="s">
        <v>21</v>
      </c>
      <c r="B815" s="35" t="s">
        <v>22</v>
      </c>
      <c r="C815" s="35" t="s">
        <v>23</v>
      </c>
      <c r="D815" s="35" t="s">
        <v>24</v>
      </c>
      <c r="E815" s="35" t="s">
        <v>30</v>
      </c>
      <c r="F815" s="35" t="s">
        <v>25</v>
      </c>
      <c r="G815" s="35" t="s">
        <v>25</v>
      </c>
      <c r="H815" s="35" t="s">
        <v>25</v>
      </c>
      <c r="I815" s="45">
        <v>44348</v>
      </c>
      <c r="J815" s="46">
        <f>EFEITO!$J$815*EFEITO!$Y$728</f>
        <v>0</v>
      </c>
      <c r="K815" s="46">
        <f ca="1">EFEITO!$L$815*EFEITO!$Z$873</f>
        <v>621655.89830265718</v>
      </c>
      <c r="L815" s="46">
        <f>EFEITO!$N$815*EFEITO!$AA$873</f>
        <v>653113.8863507791</v>
      </c>
      <c r="M815" s="46">
        <f>$J$815-EFEITO!$K$815*EFEITO!$Y$815</f>
        <v>0</v>
      </c>
      <c r="N815" s="46">
        <f ca="1">$K$815-EFEITO!$M$815*EFEITO!$Z$815</f>
        <v>248662.35932106286</v>
      </c>
      <c r="O815" s="46">
        <f>$L$815-EFEITO!$O$815*EFEITO!$AA$815</f>
        <v>261245.55454031163</v>
      </c>
      <c r="P815" s="38"/>
      <c r="Q815" s="38"/>
      <c r="R815" s="38"/>
      <c r="S815" s="38"/>
      <c r="T815" s="38"/>
      <c r="U815" s="38"/>
      <c r="V815" s="38"/>
      <c r="W815" s="38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35" t="s">
        <v>27</v>
      </c>
      <c r="B816" s="35" t="s">
        <v>22</v>
      </c>
      <c r="C816" s="35" t="s">
        <v>23</v>
      </c>
      <c r="D816" s="35" t="s">
        <v>24</v>
      </c>
      <c r="E816" s="35" t="s">
        <v>30</v>
      </c>
      <c r="F816" s="35" t="s">
        <v>25</v>
      </c>
      <c r="G816" s="35" t="s">
        <v>25</v>
      </c>
      <c r="H816" s="35" t="s">
        <v>25</v>
      </c>
      <c r="I816" s="45">
        <v>44348</v>
      </c>
      <c r="J816" s="46">
        <f>EFEITO!$J$816*EFEITO!$Y$728</f>
        <v>0</v>
      </c>
      <c r="K816" s="46">
        <f ca="1">EFEITO!$L$816*EFEITO!$Z$873</f>
        <v>-100.25984194962729</v>
      </c>
      <c r="L816" s="46">
        <f>EFEITO!$N$816*EFEITO!$AA$873</f>
        <v>-105.33334469989386</v>
      </c>
      <c r="M816" s="46">
        <f>$J$816-EFEITO!$K$816*EFEITO!$Y$816</f>
        <v>0</v>
      </c>
      <c r="N816" s="46">
        <f ca="1">$K$816-EFEITO!$M$816*EFEITO!$Z$816</f>
        <v>-40.103936779850912</v>
      </c>
      <c r="O816" s="46">
        <f>$L$816-EFEITO!$O$816*EFEITO!$AA$816</f>
        <v>-42.133337879957537</v>
      </c>
      <c r="P816" s="38"/>
      <c r="Q816" s="38"/>
      <c r="R816" s="38"/>
      <c r="S816" s="38"/>
      <c r="T816" s="38"/>
      <c r="U816" s="38"/>
      <c r="V816" s="38"/>
      <c r="W816" s="38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35" t="s">
        <v>28</v>
      </c>
      <c r="B817" s="35" t="s">
        <v>22</v>
      </c>
      <c r="C817" s="35" t="s">
        <v>23</v>
      </c>
      <c r="D817" s="35" t="s">
        <v>24</v>
      </c>
      <c r="E817" s="35" t="s">
        <v>30</v>
      </c>
      <c r="F817" s="35" t="s">
        <v>25</v>
      </c>
      <c r="G817" s="35" t="s">
        <v>25</v>
      </c>
      <c r="H817" s="35" t="s">
        <v>25</v>
      </c>
      <c r="I817" s="45">
        <v>44348</v>
      </c>
      <c r="J817" s="46">
        <f>EFEITO!$J$817*EFEITO!$Y$728</f>
        <v>0</v>
      </c>
      <c r="K817" s="46">
        <f ca="1">EFEITO!$L$817*EFEITO!$Z$873</f>
        <v>133.67978926616973</v>
      </c>
      <c r="L817" s="46">
        <f>EFEITO!$N$817*EFEITO!$AA$873</f>
        <v>140.4444595998585</v>
      </c>
      <c r="M817" s="46">
        <f>$J$817-EFEITO!$K$817*EFEITO!$Y$817</f>
        <v>0</v>
      </c>
      <c r="N817" s="46">
        <f ca="1">$K$817-EFEITO!$M$817*EFEITO!$Z$817</f>
        <v>53.471915706467883</v>
      </c>
      <c r="O817" s="46">
        <f>$L$817-EFEITO!$O$817*EFEITO!$AA$817</f>
        <v>56.177783839943402</v>
      </c>
      <c r="P817" s="38"/>
      <c r="Q817" s="38"/>
      <c r="R817" s="38"/>
      <c r="S817" s="38"/>
      <c r="T817" s="38"/>
      <c r="U817" s="38"/>
      <c r="V817" s="38"/>
      <c r="W817" s="38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35" t="s">
        <v>21</v>
      </c>
      <c r="B818" s="35" t="s">
        <v>22</v>
      </c>
      <c r="C818" s="35" t="s">
        <v>23</v>
      </c>
      <c r="D818" s="35" t="s">
        <v>24</v>
      </c>
      <c r="E818" s="35" t="s">
        <v>30</v>
      </c>
      <c r="F818" s="35" t="s">
        <v>25</v>
      </c>
      <c r="G818" s="35" t="s">
        <v>25</v>
      </c>
      <c r="H818" s="35" t="s">
        <v>25</v>
      </c>
      <c r="I818" s="45">
        <v>44378</v>
      </c>
      <c r="J818" s="46">
        <f>EFEITO!$J$818*EFEITO!$Y$728</f>
        <v>0</v>
      </c>
      <c r="K818" s="46">
        <f ca="1">EFEITO!$L$818*EFEITO!$Z$873</f>
        <v>645435.62310183351</v>
      </c>
      <c r="L818" s="46">
        <f>EFEITO!$N$818*EFEITO!$AA$873</f>
        <v>678096.94936417101</v>
      </c>
      <c r="M818" s="46">
        <f>$J$818-EFEITO!$K$818*EFEITO!$Y$818</f>
        <v>0</v>
      </c>
      <c r="N818" s="46">
        <f ca="1">$K$818-EFEITO!$M$818*EFEITO!$Z$818</f>
        <v>258174.24924073339</v>
      </c>
      <c r="O818" s="46">
        <f>$L$818-EFEITO!$O$818*EFEITO!$AA$818</f>
        <v>271238.77974566841</v>
      </c>
      <c r="P818" s="38"/>
      <c r="Q818" s="38"/>
      <c r="R818" s="38"/>
      <c r="S818" s="38"/>
      <c r="T818" s="38"/>
      <c r="U818" s="38"/>
      <c r="V818" s="38"/>
      <c r="W818" s="38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35" t="s">
        <v>27</v>
      </c>
      <c r="B819" s="35" t="s">
        <v>22</v>
      </c>
      <c r="C819" s="35" t="s">
        <v>23</v>
      </c>
      <c r="D819" s="35" t="s">
        <v>24</v>
      </c>
      <c r="E819" s="35" t="s">
        <v>30</v>
      </c>
      <c r="F819" s="35" t="s">
        <v>25</v>
      </c>
      <c r="G819" s="35" t="s">
        <v>25</v>
      </c>
      <c r="H819" s="35" t="s">
        <v>25</v>
      </c>
      <c r="I819" s="45">
        <v>44378</v>
      </c>
      <c r="J819" s="46">
        <f>EFEITO!$J$819*EFEITO!$Y$728</f>
        <v>0</v>
      </c>
      <c r="K819" s="46">
        <f ca="1">EFEITO!$L$819*EFEITO!$Z$873</f>
        <v>-267.35957853233947</v>
      </c>
      <c r="L819" s="46">
        <f>EFEITO!$N$819*EFEITO!$AA$873</f>
        <v>-280.88891919971701</v>
      </c>
      <c r="M819" s="46">
        <f>$J$819-EFEITO!$K$819*EFEITO!$Y$819</f>
        <v>0</v>
      </c>
      <c r="N819" s="46">
        <f ca="1">$K$819-EFEITO!$M$819*EFEITO!$Z$819</f>
        <v>-106.94383141293577</v>
      </c>
      <c r="O819" s="46">
        <f>$L$819-EFEITO!$O$819*EFEITO!$AA$819</f>
        <v>-112.3555676798868</v>
      </c>
      <c r="P819" s="38"/>
      <c r="Q819" s="38"/>
      <c r="R819" s="38"/>
      <c r="S819" s="38"/>
      <c r="T819" s="38"/>
      <c r="U819" s="38"/>
      <c r="V819" s="38"/>
      <c r="W819" s="38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35" t="s">
        <v>28</v>
      </c>
      <c r="B820" s="35" t="s">
        <v>22</v>
      </c>
      <c r="C820" s="35" t="s">
        <v>23</v>
      </c>
      <c r="D820" s="35" t="s">
        <v>24</v>
      </c>
      <c r="E820" s="35" t="s">
        <v>30</v>
      </c>
      <c r="F820" s="35" t="s">
        <v>25</v>
      </c>
      <c r="G820" s="35" t="s">
        <v>25</v>
      </c>
      <c r="H820" s="35" t="s">
        <v>25</v>
      </c>
      <c r="I820" s="45">
        <v>44378</v>
      </c>
      <c r="J820" s="46">
        <f>EFEITO!$J$820*EFEITO!$Y$728</f>
        <v>0</v>
      </c>
      <c r="K820" s="46">
        <f ca="1">EFEITO!$L$820*EFEITO!$Z$873</f>
        <v>246.59146841420235</v>
      </c>
      <c r="L820" s="46">
        <f>EFEITO!$N$820*EFEITO!$AA$873</f>
        <v>259.0698692261675</v>
      </c>
      <c r="M820" s="46">
        <f>$J$820-EFEITO!$K$820*EFEITO!$Y$820</f>
        <v>0</v>
      </c>
      <c r="N820" s="46">
        <f ca="1">$K$820-EFEITO!$M$820*EFEITO!$Z$820</f>
        <v>98.636587365680924</v>
      </c>
      <c r="O820" s="46">
        <f>$L$820-EFEITO!$O$820*EFEITO!$AA$820</f>
        <v>103.62794769046698</v>
      </c>
      <c r="P820" s="38"/>
      <c r="Q820" s="38"/>
      <c r="R820" s="38"/>
      <c r="S820" s="38"/>
      <c r="T820" s="38"/>
      <c r="U820" s="38"/>
      <c r="V820" s="38"/>
      <c r="W820" s="38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35" t="s">
        <v>21</v>
      </c>
      <c r="B821" s="35" t="s">
        <v>22</v>
      </c>
      <c r="C821" s="35" t="s">
        <v>23</v>
      </c>
      <c r="D821" s="35" t="s">
        <v>24</v>
      </c>
      <c r="E821" s="35" t="s">
        <v>30</v>
      </c>
      <c r="F821" s="35" t="s">
        <v>25</v>
      </c>
      <c r="G821" s="35" t="s">
        <v>25</v>
      </c>
      <c r="H821" s="35" t="s">
        <v>25</v>
      </c>
      <c r="I821" s="45">
        <v>44409</v>
      </c>
      <c r="J821" s="46">
        <f>EFEITO!$J$821*EFEITO!$Y$728</f>
        <v>0</v>
      </c>
      <c r="K821" s="46">
        <f ca="1">EFEITO!$L$821*EFEITO!$Z$873</f>
        <v>620903.94948803494</v>
      </c>
      <c r="L821" s="46">
        <f>EFEITO!$N$821*EFEITO!$AA$873</f>
        <v>652323.8862655299</v>
      </c>
      <c r="M821" s="46">
        <f>$J$821-EFEITO!$K$821*EFEITO!$Y$821</f>
        <v>0</v>
      </c>
      <c r="N821" s="46">
        <f ca="1">$K$821-EFEITO!$M$821*EFEITO!$Z$821</f>
        <v>248361.57979521394</v>
      </c>
      <c r="O821" s="46">
        <f>$L$821-EFEITO!$O$821*EFEITO!$AA$821</f>
        <v>260929.55450621201</v>
      </c>
      <c r="P821" s="38"/>
      <c r="Q821" s="38"/>
      <c r="R821" s="38"/>
      <c r="S821" s="38"/>
      <c r="T821" s="38"/>
      <c r="U821" s="38"/>
      <c r="V821" s="38"/>
      <c r="W821" s="38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35" t="s">
        <v>27</v>
      </c>
      <c r="B822" s="35" t="s">
        <v>22</v>
      </c>
      <c r="C822" s="35" t="s">
        <v>23</v>
      </c>
      <c r="D822" s="35" t="s">
        <v>24</v>
      </c>
      <c r="E822" s="35" t="s">
        <v>30</v>
      </c>
      <c r="F822" s="35" t="s">
        <v>25</v>
      </c>
      <c r="G822" s="35" t="s">
        <v>25</v>
      </c>
      <c r="H822" s="35" t="s">
        <v>25</v>
      </c>
      <c r="I822" s="45">
        <v>44409</v>
      </c>
      <c r="J822" s="46">
        <f>EFEITO!$J$822*EFEITO!$Y$728</f>
        <v>0</v>
      </c>
      <c r="K822" s="46">
        <f ca="1">EFEITO!$L$822*EFEITO!$Z$873</f>
        <v>-132.72493362855423</v>
      </c>
      <c r="L822" s="46">
        <f>EFEITO!$N$822*EFEITO!$AA$873</f>
        <v>-139.44128488843094</v>
      </c>
      <c r="M822" s="46">
        <f>$J$822-EFEITO!$K$822*EFEITO!$Y$822</f>
        <v>0</v>
      </c>
      <c r="N822" s="46">
        <f ca="1">$K$822-EFEITO!$M$822*EFEITO!$Z$822</f>
        <v>-53.089973451421685</v>
      </c>
      <c r="O822" s="46">
        <f>$L$822-EFEITO!$O$822*EFEITO!$AA$822</f>
        <v>-55.77651395537238</v>
      </c>
      <c r="P822" s="38"/>
      <c r="Q822" s="38"/>
      <c r="R822" s="38"/>
      <c r="S822" s="38"/>
      <c r="T822" s="38"/>
      <c r="U822" s="38"/>
      <c r="V822" s="38"/>
      <c r="W822" s="38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35" t="s">
        <v>28</v>
      </c>
      <c r="B823" s="35" t="s">
        <v>22</v>
      </c>
      <c r="C823" s="35" t="s">
        <v>23</v>
      </c>
      <c r="D823" s="35" t="s">
        <v>24</v>
      </c>
      <c r="E823" s="35" t="s">
        <v>30</v>
      </c>
      <c r="F823" s="35" t="s">
        <v>25</v>
      </c>
      <c r="G823" s="35" t="s">
        <v>25</v>
      </c>
      <c r="H823" s="35" t="s">
        <v>25</v>
      </c>
      <c r="I823" s="45">
        <v>44409</v>
      </c>
      <c r="J823" s="46">
        <f>EFEITO!$J$823*EFEITO!$Y$728</f>
        <v>0</v>
      </c>
      <c r="K823" s="46">
        <f ca="1">EFEITO!$L$823*EFEITO!$Z$873</f>
        <v>225.82335829606527</v>
      </c>
      <c r="L823" s="46">
        <f>EFEITO!$N$823*EFEITO!$AA$873</f>
        <v>237.25081925261807</v>
      </c>
      <c r="M823" s="46">
        <f>$J$823-EFEITO!$K$823*EFEITO!$Y$823</f>
        <v>0</v>
      </c>
      <c r="N823" s="46">
        <f ca="1">$K$823-EFEITO!$M$823*EFEITO!$Z$823</f>
        <v>90.329343318426083</v>
      </c>
      <c r="O823" s="46">
        <f>$L$823-EFEITO!$O$823*EFEITO!$AA$823</f>
        <v>94.900327701047217</v>
      </c>
      <c r="P823" s="38"/>
      <c r="Q823" s="38"/>
      <c r="R823" s="38"/>
      <c r="S823" s="38"/>
      <c r="T823" s="38"/>
      <c r="U823" s="38"/>
      <c r="V823" s="38"/>
      <c r="W823" s="38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35" t="s">
        <v>21</v>
      </c>
      <c r="B824" s="35" t="s">
        <v>22</v>
      </c>
      <c r="C824" s="35" t="s">
        <v>23</v>
      </c>
      <c r="D824" s="35" t="s">
        <v>24</v>
      </c>
      <c r="E824" s="35" t="s">
        <v>30</v>
      </c>
      <c r="F824" s="35" t="s">
        <v>25</v>
      </c>
      <c r="G824" s="35" t="s">
        <v>25</v>
      </c>
      <c r="H824" s="35" t="s">
        <v>25</v>
      </c>
      <c r="I824" s="45">
        <v>44440</v>
      </c>
      <c r="J824" s="46">
        <f>EFEITO!$J$824*EFEITO!$Y$728</f>
        <v>0</v>
      </c>
      <c r="K824" s="46">
        <f ca="1">EFEITO!$L$824*EFEITO!$Z$873</f>
        <v>621206.1612973403</v>
      </c>
      <c r="L824" s="46">
        <f>EFEITO!$N$824*EFEITO!$AA$873</f>
        <v>652641.39106169669</v>
      </c>
      <c r="M824" s="46">
        <f>$J$824-EFEITO!$K$824*EFEITO!$Y$824</f>
        <v>0</v>
      </c>
      <c r="N824" s="46">
        <f ca="1">$K$824-EFEITO!$M$824*EFEITO!$Z$824</f>
        <v>248482.46451893612</v>
      </c>
      <c r="O824" s="46">
        <f>$L$824-EFEITO!$O$824*EFEITO!$AA$824</f>
        <v>261056.55642467865</v>
      </c>
      <c r="P824" s="38"/>
      <c r="Q824" s="38"/>
      <c r="R824" s="38"/>
      <c r="S824" s="38"/>
      <c r="T824" s="38"/>
      <c r="U824" s="38"/>
      <c r="V824" s="38"/>
      <c r="W824" s="38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35" t="s">
        <v>27</v>
      </c>
      <c r="B825" s="35" t="s">
        <v>22</v>
      </c>
      <c r="C825" s="35" t="s">
        <v>23</v>
      </c>
      <c r="D825" s="35" t="s">
        <v>24</v>
      </c>
      <c r="E825" s="35" t="s">
        <v>30</v>
      </c>
      <c r="F825" s="35" t="s">
        <v>25</v>
      </c>
      <c r="G825" s="35" t="s">
        <v>25</v>
      </c>
      <c r="H825" s="35" t="s">
        <v>25</v>
      </c>
      <c r="I825" s="45">
        <v>44440</v>
      </c>
      <c r="J825" s="46">
        <f>EFEITO!$J$825*EFEITO!$Y$728</f>
        <v>0</v>
      </c>
      <c r="K825" s="46">
        <f ca="1">EFEITO!$L$825*EFEITO!$Z$873</f>
        <v>-22.677821393368077</v>
      </c>
      <c r="L825" s="46">
        <f>EFEITO!$N$825*EFEITO!$AA$873</f>
        <v>-23.825399396404563</v>
      </c>
      <c r="M825" s="46">
        <f>$J$825-EFEITO!$K$825*EFEITO!$Y$825</f>
        <v>0</v>
      </c>
      <c r="N825" s="46">
        <f ca="1">$K$825-EFEITO!$M$825*EFEITO!$Z$825</f>
        <v>-9.0711285573472296</v>
      </c>
      <c r="O825" s="46">
        <f>$L$825-EFEITO!$O$825*EFEITO!$AA$825</f>
        <v>-9.5301597585618243</v>
      </c>
      <c r="P825" s="38"/>
      <c r="Q825" s="38"/>
      <c r="R825" s="38"/>
      <c r="S825" s="38"/>
      <c r="T825" s="38"/>
      <c r="U825" s="38"/>
      <c r="V825" s="38"/>
      <c r="W825" s="38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35" t="s">
        <v>28</v>
      </c>
      <c r="B826" s="35" t="s">
        <v>22</v>
      </c>
      <c r="C826" s="35" t="s">
        <v>23</v>
      </c>
      <c r="D826" s="35" t="s">
        <v>24</v>
      </c>
      <c r="E826" s="35" t="s">
        <v>30</v>
      </c>
      <c r="F826" s="35" t="s">
        <v>25</v>
      </c>
      <c r="G826" s="35" t="s">
        <v>25</v>
      </c>
      <c r="H826" s="35" t="s">
        <v>25</v>
      </c>
      <c r="I826" s="45">
        <v>44440</v>
      </c>
      <c r="J826" s="46">
        <f>EFEITO!$J$826*EFEITO!$Y$728</f>
        <v>0</v>
      </c>
      <c r="K826" s="46">
        <f ca="1">EFEITO!$L$826*EFEITO!$Z$873</f>
        <v>315.81850214132595</v>
      </c>
      <c r="L826" s="46">
        <f>EFEITO!$N$826*EFEITO!$AA$873</f>
        <v>331.80003580466564</v>
      </c>
      <c r="M826" s="46">
        <f>$J$826-EFEITO!$K$826*EFEITO!$Y$826</f>
        <v>0</v>
      </c>
      <c r="N826" s="46">
        <f ca="1">$K$826-EFEITO!$M$826*EFEITO!$Z$826</f>
        <v>126.32740085653037</v>
      </c>
      <c r="O826" s="46">
        <f>$L$826-EFEITO!$O$826*EFEITO!$AA$826</f>
        <v>132.72001432186624</v>
      </c>
      <c r="P826" s="38"/>
      <c r="Q826" s="38"/>
      <c r="R826" s="38"/>
      <c r="S826" s="38"/>
      <c r="T826" s="38"/>
      <c r="U826" s="38"/>
      <c r="V826" s="38"/>
      <c r="W826" s="38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35" t="s">
        <v>21</v>
      </c>
      <c r="B827" s="35" t="s">
        <v>22</v>
      </c>
      <c r="C827" s="35" t="s">
        <v>23</v>
      </c>
      <c r="D827" s="35" t="s">
        <v>24</v>
      </c>
      <c r="E827" s="35" t="s">
        <v>30</v>
      </c>
      <c r="F827" s="35" t="s">
        <v>25</v>
      </c>
      <c r="G827" s="35" t="s">
        <v>25</v>
      </c>
      <c r="H827" s="35" t="s">
        <v>25</v>
      </c>
      <c r="I827" s="45">
        <v>44470</v>
      </c>
      <c r="J827" s="46">
        <f>EFEITO!$J$827*EFEITO!$Y$728</f>
        <v>0</v>
      </c>
      <c r="K827" s="46">
        <f ca="1">EFEITO!$L$827*EFEITO!$Z$873</f>
        <v>656233.60807980841</v>
      </c>
      <c r="L827" s="46">
        <f>EFEITO!$N$827*EFEITO!$AA$873</f>
        <v>689441.35058834963</v>
      </c>
      <c r="M827" s="46">
        <f>$J$827-EFEITO!$K$827*EFEITO!$Y$827</f>
        <v>0</v>
      </c>
      <c r="N827" s="46">
        <f ca="1">$K$827-EFEITO!$M$827*EFEITO!$Z$827</f>
        <v>262493.44323192339</v>
      </c>
      <c r="O827" s="46">
        <f>$L$827-EFEITO!$O$827*EFEITO!$AA$827</f>
        <v>275776.54023533984</v>
      </c>
      <c r="P827" s="38"/>
      <c r="Q827" s="38"/>
      <c r="R827" s="38"/>
      <c r="S827" s="38"/>
      <c r="T827" s="38"/>
      <c r="U827" s="38"/>
      <c r="V827" s="38"/>
      <c r="W827" s="38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35" t="s">
        <v>28</v>
      </c>
      <c r="B828" s="35" t="s">
        <v>22</v>
      </c>
      <c r="C828" s="35" t="s">
        <v>23</v>
      </c>
      <c r="D828" s="35" t="s">
        <v>24</v>
      </c>
      <c r="E828" s="35" t="s">
        <v>30</v>
      </c>
      <c r="F828" s="35" t="s">
        <v>25</v>
      </c>
      <c r="G828" s="35" t="s">
        <v>25</v>
      </c>
      <c r="H828" s="35" t="s">
        <v>25</v>
      </c>
      <c r="I828" s="45">
        <v>44470</v>
      </c>
      <c r="J828" s="46">
        <f>EFEITO!$J$828*EFEITO!$Y$728</f>
        <v>0</v>
      </c>
      <c r="K828" s="46">
        <f ca="1">EFEITO!$L$828*EFEITO!$Z$873</f>
        <v>325.60577242688487</v>
      </c>
      <c r="L828" s="46">
        <f>EFEITO!$N$828*EFEITO!$AA$873</f>
        <v>342.08257659679822</v>
      </c>
      <c r="M828" s="46">
        <f>$J$828-EFEITO!$K$828*EFEITO!$Y$828</f>
        <v>0</v>
      </c>
      <c r="N828" s="46">
        <f ca="1">$K$828-EFEITO!$M$828*EFEITO!$Z$828</f>
        <v>130.24230897075395</v>
      </c>
      <c r="O828" s="46">
        <f>$L$828-EFEITO!$O$828*EFEITO!$AA$828</f>
        <v>136.83303063871929</v>
      </c>
      <c r="P828" s="38"/>
      <c r="Q828" s="38"/>
      <c r="R828" s="38"/>
      <c r="S828" s="38"/>
      <c r="T828" s="38"/>
      <c r="U828" s="38"/>
      <c r="V828" s="38"/>
      <c r="W828" s="38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35" t="s">
        <v>21</v>
      </c>
      <c r="B829" s="35" t="s">
        <v>22</v>
      </c>
      <c r="C829" s="35" t="s">
        <v>23</v>
      </c>
      <c r="D829" s="35" t="s">
        <v>24</v>
      </c>
      <c r="E829" s="35" t="s">
        <v>30</v>
      </c>
      <c r="F829" s="35" t="s">
        <v>25</v>
      </c>
      <c r="G829" s="35" t="s">
        <v>25</v>
      </c>
      <c r="H829" s="35" t="s">
        <v>25</v>
      </c>
      <c r="I829" s="45">
        <v>44501</v>
      </c>
      <c r="J829" s="46">
        <f>EFEITO!$J$829*EFEITO!$Y$728</f>
        <v>0</v>
      </c>
      <c r="K829" s="46">
        <f ca="1">EFEITO!$L$829*EFEITO!$Z$873</f>
        <v>661139.17891805805</v>
      </c>
      <c r="L829" s="46">
        <f>EFEITO!$N$829*EFEITO!$AA$873</f>
        <v>694595.16066830873</v>
      </c>
      <c r="M829" s="46">
        <f>$J$829-EFEITO!$K$829*EFEITO!$Y$829</f>
        <v>0</v>
      </c>
      <c r="N829" s="46">
        <f ca="1">$K$829-EFEITO!$M$829*EFEITO!$Z$829</f>
        <v>264455.67156722321</v>
      </c>
      <c r="O829" s="46">
        <f>$L$829-EFEITO!$O$829*EFEITO!$AA$829</f>
        <v>277838.06426732347</v>
      </c>
      <c r="P829" s="38"/>
      <c r="Q829" s="38"/>
      <c r="R829" s="38"/>
      <c r="S829" s="38"/>
      <c r="T829" s="38"/>
      <c r="U829" s="38"/>
      <c r="V829" s="38"/>
      <c r="W829" s="38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35" t="s">
        <v>27</v>
      </c>
      <c r="B830" s="35" t="s">
        <v>22</v>
      </c>
      <c r="C830" s="35" t="s">
        <v>23</v>
      </c>
      <c r="D830" s="35" t="s">
        <v>24</v>
      </c>
      <c r="E830" s="35" t="s">
        <v>30</v>
      </c>
      <c r="F830" s="35" t="s">
        <v>25</v>
      </c>
      <c r="G830" s="35" t="s">
        <v>25</v>
      </c>
      <c r="H830" s="35" t="s">
        <v>25</v>
      </c>
      <c r="I830" s="45">
        <v>44501</v>
      </c>
      <c r="J830" s="46">
        <f>EFEITO!$J$830*EFEITO!$Y$728</f>
        <v>0</v>
      </c>
      <c r="K830" s="46">
        <f ca="1">EFEITO!$L$830*EFEITO!$Z$873</f>
        <v>-79.014304012682473</v>
      </c>
      <c r="L830" s="46">
        <f>EFEITO!$N$830*EFEITO!$AA$873</f>
        <v>-83.01270737063065</v>
      </c>
      <c r="M830" s="46">
        <f>$J$830-EFEITO!$K$830*EFEITO!$Y$830</f>
        <v>0</v>
      </c>
      <c r="N830" s="46">
        <f ca="1">$K$830-EFEITO!$M$830*EFEITO!$Z$830</f>
        <v>-31.605721605072993</v>
      </c>
      <c r="O830" s="46">
        <f>$L$830-EFEITO!$O$830*EFEITO!$AA$830</f>
        <v>-33.205082948252262</v>
      </c>
      <c r="P830" s="38"/>
      <c r="Q830" s="38"/>
      <c r="R830" s="38"/>
      <c r="S830" s="38"/>
      <c r="T830" s="38"/>
      <c r="U830" s="38"/>
      <c r="V830" s="38"/>
      <c r="W830" s="38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35" t="s">
        <v>28</v>
      </c>
      <c r="B831" s="35" t="s">
        <v>22</v>
      </c>
      <c r="C831" s="35" t="s">
        <v>23</v>
      </c>
      <c r="D831" s="35" t="s">
        <v>24</v>
      </c>
      <c r="E831" s="35" t="s">
        <v>30</v>
      </c>
      <c r="F831" s="35" t="s">
        <v>25</v>
      </c>
      <c r="G831" s="35" t="s">
        <v>25</v>
      </c>
      <c r="H831" s="35" t="s">
        <v>25</v>
      </c>
      <c r="I831" s="45">
        <v>44501</v>
      </c>
      <c r="J831" s="46">
        <f>EFEITO!$J$831*EFEITO!$Y$728</f>
        <v>0</v>
      </c>
      <c r="K831" s="46">
        <f ca="1">EFEITO!$L$831*EFEITO!$Z$873</f>
        <v>352.1030163707149</v>
      </c>
      <c r="L831" s="46">
        <f>EFEITO!$N$831*EFEITO!$AA$873</f>
        <v>369.92067483891299</v>
      </c>
      <c r="M831" s="46">
        <f>$J$831-EFEITO!$K$831*EFEITO!$Y$831</f>
        <v>0</v>
      </c>
      <c r="N831" s="46">
        <f ca="1">$K$831-EFEITO!$M$831*EFEITO!$Z$831</f>
        <v>140.84120654828592</v>
      </c>
      <c r="O831" s="46">
        <f>$L$831-EFEITO!$O$831*EFEITO!$AA$831</f>
        <v>147.96826993556519</v>
      </c>
      <c r="P831" s="38"/>
      <c r="Q831" s="38"/>
      <c r="R831" s="38"/>
      <c r="S831" s="38"/>
      <c r="T831" s="38"/>
      <c r="U831" s="38"/>
      <c r="V831" s="38"/>
      <c r="W831" s="38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35" t="s">
        <v>21</v>
      </c>
      <c r="B832" s="35" t="s">
        <v>22</v>
      </c>
      <c r="C832" s="35" t="s">
        <v>23</v>
      </c>
      <c r="D832" s="35" t="s">
        <v>24</v>
      </c>
      <c r="E832" s="35" t="s">
        <v>30</v>
      </c>
      <c r="F832" s="35" t="s">
        <v>25</v>
      </c>
      <c r="G832" s="35" t="s">
        <v>25</v>
      </c>
      <c r="H832" s="35" t="s">
        <v>25</v>
      </c>
      <c r="I832" s="45">
        <v>44531</v>
      </c>
      <c r="J832" s="46">
        <f>EFEITO!$J$832*EFEITO!$Y$728</f>
        <v>0</v>
      </c>
      <c r="K832" s="46">
        <f ca="1">EFEITO!$L$832*EFEITO!$Z$873</f>
        <v>676831.2764666311</v>
      </c>
      <c r="L832" s="46">
        <f>EFEITO!$N$832*EFEITO!$AA$873</f>
        <v>711081.33387590921</v>
      </c>
      <c r="M832" s="46">
        <f>$J$832-EFEITO!$K$832*EFEITO!$Y$832</f>
        <v>0</v>
      </c>
      <c r="N832" s="46">
        <f ca="1">$K$832-EFEITO!$M$832*EFEITO!$Z$832</f>
        <v>270732.51058665244</v>
      </c>
      <c r="O832" s="46">
        <f>$L$832-EFEITO!$O$832*EFEITO!$AA$832</f>
        <v>284432.53355036367</v>
      </c>
      <c r="P832" s="38"/>
      <c r="Q832" s="38"/>
      <c r="R832" s="38"/>
      <c r="S832" s="38"/>
      <c r="T832" s="38"/>
      <c r="U832" s="38"/>
      <c r="V832" s="38"/>
      <c r="W832" s="38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35" t="s">
        <v>27</v>
      </c>
      <c r="B833" s="35" t="s">
        <v>22</v>
      </c>
      <c r="C833" s="35" t="s">
        <v>23</v>
      </c>
      <c r="D833" s="35" t="s">
        <v>24</v>
      </c>
      <c r="E833" s="35" t="s">
        <v>30</v>
      </c>
      <c r="F833" s="35" t="s">
        <v>25</v>
      </c>
      <c r="G833" s="35" t="s">
        <v>25</v>
      </c>
      <c r="H833" s="35" t="s">
        <v>25</v>
      </c>
      <c r="I833" s="45">
        <v>44531</v>
      </c>
      <c r="J833" s="46">
        <f>EFEITO!$J$833*EFEITO!$Y$728</f>
        <v>0</v>
      </c>
      <c r="K833" s="46">
        <f ca="1">EFEITO!$L$833*EFEITO!$Z$873</f>
        <v>-64.691469448449993</v>
      </c>
      <c r="L833" s="46">
        <f>EFEITO!$N$833*EFEITO!$AA$873</f>
        <v>-67.965086699217238</v>
      </c>
      <c r="M833" s="46">
        <f>$J$833-EFEITO!$K$833*EFEITO!$Y$833</f>
        <v>0</v>
      </c>
      <c r="N833" s="46">
        <f ca="1">$K$833-EFEITO!$M$833*EFEITO!$Z$833</f>
        <v>-25.876587779379996</v>
      </c>
      <c r="O833" s="46">
        <f>$L$833-EFEITO!$O$833*EFEITO!$AA$833</f>
        <v>-27.186034679686898</v>
      </c>
      <c r="P833" s="38"/>
      <c r="Q833" s="38"/>
      <c r="R833" s="38"/>
      <c r="S833" s="38"/>
      <c r="T833" s="38"/>
      <c r="U833" s="38"/>
      <c r="V833" s="38"/>
      <c r="W833" s="38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35" t="s">
        <v>28</v>
      </c>
      <c r="B834" s="35" t="s">
        <v>22</v>
      </c>
      <c r="C834" s="35" t="s">
        <v>23</v>
      </c>
      <c r="D834" s="35" t="s">
        <v>24</v>
      </c>
      <c r="E834" s="35" t="s">
        <v>30</v>
      </c>
      <c r="F834" s="35" t="s">
        <v>25</v>
      </c>
      <c r="G834" s="35" t="s">
        <v>25</v>
      </c>
      <c r="H834" s="35" t="s">
        <v>25</v>
      </c>
      <c r="I834" s="45">
        <v>44531</v>
      </c>
      <c r="J834" s="46">
        <f>EFEITO!$J$834*EFEITO!$Y$728</f>
        <v>0</v>
      </c>
      <c r="K834" s="46">
        <f ca="1">EFEITO!$L$834*EFEITO!$Z$873</f>
        <v>406.52978771479832</v>
      </c>
      <c r="L834" s="46">
        <f>EFEITO!$N$834*EFEITO!$AA$873</f>
        <v>427.10163339028395</v>
      </c>
      <c r="M834" s="46">
        <f>$J$834-EFEITO!$K$834*EFEITO!$Y$834</f>
        <v>0</v>
      </c>
      <c r="N834" s="46">
        <f ca="1">$K$834-EFEITO!$M$834*EFEITO!$Z$834</f>
        <v>162.61191508591932</v>
      </c>
      <c r="O834" s="46">
        <f>$L$834-EFEITO!$O$834*EFEITO!$AA$834</f>
        <v>170.84065335611359</v>
      </c>
      <c r="P834" s="38"/>
      <c r="Q834" s="38"/>
      <c r="R834" s="38"/>
      <c r="S834" s="38"/>
      <c r="T834" s="38"/>
      <c r="U834" s="38"/>
      <c r="V834" s="38"/>
      <c r="W834" s="38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35" t="s">
        <v>55</v>
      </c>
      <c r="B835" s="35" t="s">
        <v>22</v>
      </c>
      <c r="C835" s="35" t="s">
        <v>23</v>
      </c>
      <c r="D835" s="35" t="s">
        <v>24</v>
      </c>
      <c r="E835" s="35" t="s">
        <v>30</v>
      </c>
      <c r="F835" s="35" t="s">
        <v>25</v>
      </c>
      <c r="G835" s="35" t="s">
        <v>25</v>
      </c>
      <c r="H835" s="35" t="s">
        <v>25</v>
      </c>
      <c r="I835" s="45">
        <v>44562</v>
      </c>
      <c r="J835" s="46">
        <f>EFEITO!$J$835*EFEITO!$Y$728</f>
        <v>0</v>
      </c>
      <c r="K835" s="46">
        <f ca="1">EFEITO!$L$835*EFEITO!$Z$873</f>
        <v>676831.2764666311</v>
      </c>
      <c r="L835" s="46">
        <f>EFEITO!$N$835*EFEITO!$AA$873</f>
        <v>711081.33387590921</v>
      </c>
      <c r="M835" s="46">
        <f>$J$835-EFEITO!$K$835*EFEITO!$Y$835</f>
        <v>0</v>
      </c>
      <c r="N835" s="46">
        <f ca="1">$K$835-EFEITO!$M$835*EFEITO!$Z$835</f>
        <v>270732.51058665244</v>
      </c>
      <c r="O835" s="46">
        <f>$L$835-EFEITO!$O$835*EFEITO!$AA$835</f>
        <v>284432.53355036367</v>
      </c>
      <c r="P835" s="38"/>
      <c r="Q835" s="38"/>
      <c r="R835" s="38"/>
      <c r="S835" s="38"/>
      <c r="T835" s="38"/>
      <c r="U835" s="38"/>
      <c r="V835" s="38"/>
      <c r="W835" s="38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35" t="s">
        <v>55</v>
      </c>
      <c r="B836" s="35" t="s">
        <v>22</v>
      </c>
      <c r="C836" s="35" t="s">
        <v>23</v>
      </c>
      <c r="D836" s="35" t="s">
        <v>24</v>
      </c>
      <c r="E836" s="35" t="s">
        <v>30</v>
      </c>
      <c r="F836" s="35" t="s">
        <v>25</v>
      </c>
      <c r="G836" s="35" t="s">
        <v>25</v>
      </c>
      <c r="H836" s="35" t="s">
        <v>25</v>
      </c>
      <c r="I836" s="45">
        <v>44562</v>
      </c>
      <c r="J836" s="46">
        <f>EFEITO!$J$836*EFEITO!$Y$728</f>
        <v>0</v>
      </c>
      <c r="K836" s="46">
        <f ca="1">EFEITO!$L$836*EFEITO!$Z$873</f>
        <v>-64.691469448449993</v>
      </c>
      <c r="L836" s="46">
        <f>EFEITO!$N$836*EFEITO!$AA$873</f>
        <v>-67.965086699217238</v>
      </c>
      <c r="M836" s="46">
        <f>$J$836-EFEITO!$K$836*EFEITO!$Y$836</f>
        <v>0</v>
      </c>
      <c r="N836" s="46">
        <f ca="1">$K$836-EFEITO!$M$836*EFEITO!$Z$836</f>
        <v>-25.876587779379996</v>
      </c>
      <c r="O836" s="46">
        <f>$L$836-EFEITO!$O$836*EFEITO!$AA$836</f>
        <v>-27.186034679686898</v>
      </c>
      <c r="P836" s="38"/>
      <c r="Q836" s="38"/>
      <c r="R836" s="38"/>
      <c r="S836" s="38"/>
      <c r="T836" s="38"/>
      <c r="U836" s="38"/>
      <c r="V836" s="38"/>
      <c r="W836" s="38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35" t="s">
        <v>55</v>
      </c>
      <c r="B837" s="35" t="s">
        <v>22</v>
      </c>
      <c r="C837" s="35" t="s">
        <v>23</v>
      </c>
      <c r="D837" s="35" t="s">
        <v>24</v>
      </c>
      <c r="E837" s="35" t="s">
        <v>30</v>
      </c>
      <c r="F837" s="35" t="s">
        <v>25</v>
      </c>
      <c r="G837" s="35" t="s">
        <v>25</v>
      </c>
      <c r="H837" s="35" t="s">
        <v>25</v>
      </c>
      <c r="I837" s="45">
        <v>44562</v>
      </c>
      <c r="J837" s="46">
        <f>EFEITO!$J$837*EFEITO!$Y$728</f>
        <v>0</v>
      </c>
      <c r="K837" s="46">
        <f ca="1">EFEITO!$L$837*EFEITO!$Z$873</f>
        <v>406.52978771479832</v>
      </c>
      <c r="L837" s="46">
        <f>EFEITO!$N$837*EFEITO!$AA$873</f>
        <v>427.10163339028395</v>
      </c>
      <c r="M837" s="46">
        <f>$J$837-EFEITO!$K$837*EFEITO!$Y$837</f>
        <v>0</v>
      </c>
      <c r="N837" s="46">
        <f ca="1">$K$837-EFEITO!$M$837*EFEITO!$Z$837</f>
        <v>162.61191508591932</v>
      </c>
      <c r="O837" s="46">
        <f>$L$837-EFEITO!$O$837*EFEITO!$AA$837</f>
        <v>170.84065335611359</v>
      </c>
      <c r="P837" s="38"/>
      <c r="Q837" s="38"/>
      <c r="R837" s="38"/>
      <c r="S837" s="38"/>
      <c r="T837" s="38"/>
      <c r="U837" s="38"/>
      <c r="V837" s="38"/>
      <c r="W837" s="38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35" t="s">
        <v>21</v>
      </c>
      <c r="B838" s="35" t="s">
        <v>22</v>
      </c>
      <c r="C838" s="35" t="s">
        <v>23</v>
      </c>
      <c r="D838" s="35" t="s">
        <v>24</v>
      </c>
      <c r="E838" s="35" t="s">
        <v>31</v>
      </c>
      <c r="F838" s="35" t="s">
        <v>25</v>
      </c>
      <c r="G838" s="35" t="s">
        <v>25</v>
      </c>
      <c r="H838" s="35" t="s">
        <v>25</v>
      </c>
      <c r="I838" s="45">
        <v>44228</v>
      </c>
      <c r="J838" s="46">
        <f>EFEITO!$J$838*EFEITO!$Y$728</f>
        <v>0</v>
      </c>
      <c r="K838" s="46">
        <f ca="1">EFEITO!$L$838*EFEITO!$Z$873</f>
        <v>260362.87384771189</v>
      </c>
      <c r="L838" s="46">
        <f>EFEITO!$N$838*EFEITO!$AA$873</f>
        <v>273538.15650173154</v>
      </c>
      <c r="M838" s="46">
        <f>$J$838-EFEITO!$K$838*EFEITO!$Y$838</f>
        <v>0</v>
      </c>
      <c r="N838" s="46">
        <f ca="1">$K$838-EFEITO!$M$838*EFEITO!$Z$838</f>
        <v>26036.28738477116</v>
      </c>
      <c r="O838" s="46">
        <f>$L$838-EFEITO!$O$838*EFEITO!$AA$838</f>
        <v>27353.815650173172</v>
      </c>
      <c r="P838" s="38"/>
      <c r="Q838" s="38"/>
      <c r="R838" s="38"/>
      <c r="S838" s="38"/>
      <c r="T838" s="38"/>
      <c r="U838" s="38"/>
      <c r="V838" s="38"/>
      <c r="W838" s="38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35" t="s">
        <v>27</v>
      </c>
      <c r="B839" s="35" t="s">
        <v>22</v>
      </c>
      <c r="C839" s="35" t="s">
        <v>23</v>
      </c>
      <c r="D839" s="35" t="s">
        <v>24</v>
      </c>
      <c r="E839" s="35" t="s">
        <v>31</v>
      </c>
      <c r="F839" s="35" t="s">
        <v>25</v>
      </c>
      <c r="G839" s="35" t="s">
        <v>25</v>
      </c>
      <c r="H839" s="35" t="s">
        <v>25</v>
      </c>
      <c r="I839" s="45">
        <v>44228</v>
      </c>
      <c r="J839" s="46">
        <f>EFEITO!$J$839*EFEITO!$Y$728</f>
        <v>0</v>
      </c>
      <c r="K839" s="46">
        <f ca="1">EFEITO!$L$839*EFEITO!$Z$873</f>
        <v>-11.696981560789851</v>
      </c>
      <c r="L839" s="46">
        <f>EFEITO!$N$839*EFEITO!$AA$873</f>
        <v>-12.288890214987617</v>
      </c>
      <c r="M839" s="46">
        <f>$J$839-EFEITO!$K$839*EFEITO!$Y$839</f>
        <v>0</v>
      </c>
      <c r="N839" s="46">
        <f ca="1">$K$839-EFEITO!$M$839*EFEITO!$Z$839</f>
        <v>-1.1696981560789848</v>
      </c>
      <c r="O839" s="46">
        <f>$L$839-EFEITO!$O$839*EFEITO!$AA$839</f>
        <v>-1.2288890214987607</v>
      </c>
      <c r="P839" s="38"/>
      <c r="Q839" s="38"/>
      <c r="R839" s="38"/>
      <c r="S839" s="38"/>
      <c r="T839" s="38"/>
      <c r="U839" s="38"/>
      <c r="V839" s="38"/>
      <c r="W839" s="38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35" t="s">
        <v>28</v>
      </c>
      <c r="B840" s="35" t="s">
        <v>22</v>
      </c>
      <c r="C840" s="35" t="s">
        <v>23</v>
      </c>
      <c r="D840" s="35" t="s">
        <v>24</v>
      </c>
      <c r="E840" s="35" t="s">
        <v>31</v>
      </c>
      <c r="F840" s="35" t="s">
        <v>25</v>
      </c>
      <c r="G840" s="35" t="s">
        <v>25</v>
      </c>
      <c r="H840" s="35" t="s">
        <v>25</v>
      </c>
      <c r="I840" s="45">
        <v>44228</v>
      </c>
      <c r="J840" s="46">
        <f>EFEITO!$J$840*EFEITO!$Y$728</f>
        <v>0</v>
      </c>
      <c r="K840" s="46">
        <f ca="1">EFEITO!$L$840*EFEITO!$Z$873</f>
        <v>44.63950105852453</v>
      </c>
      <c r="L840" s="46">
        <f>EFEITO!$N$840*EFEITO!$AA$873</f>
        <v>46.898417759238463</v>
      </c>
      <c r="M840" s="46">
        <f>$J$840-EFEITO!$K$840*EFEITO!$Y$840</f>
        <v>0</v>
      </c>
      <c r="N840" s="46">
        <f ca="1">$K$840-EFEITO!$M$840*EFEITO!$Z$840</f>
        <v>4.4639501058524473</v>
      </c>
      <c r="O840" s="46">
        <f>$L$840-EFEITO!$O$840*EFEITO!$AA$840</f>
        <v>4.6898417759238527</v>
      </c>
      <c r="P840" s="38"/>
      <c r="Q840" s="38"/>
      <c r="R840" s="38"/>
      <c r="S840" s="38"/>
      <c r="T840" s="38"/>
      <c r="U840" s="38"/>
      <c r="V840" s="38"/>
      <c r="W840" s="38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35" t="s">
        <v>21</v>
      </c>
      <c r="B841" s="35" t="s">
        <v>22</v>
      </c>
      <c r="C841" s="35" t="s">
        <v>23</v>
      </c>
      <c r="D841" s="35" t="s">
        <v>24</v>
      </c>
      <c r="E841" s="35" t="s">
        <v>31</v>
      </c>
      <c r="F841" s="35" t="s">
        <v>25</v>
      </c>
      <c r="G841" s="35" t="s">
        <v>25</v>
      </c>
      <c r="H841" s="35" t="s">
        <v>25</v>
      </c>
      <c r="I841" s="45">
        <v>44256</v>
      </c>
      <c r="J841" s="46">
        <f>EFEITO!$J$841*EFEITO!$Y$728</f>
        <v>0</v>
      </c>
      <c r="K841" s="46">
        <f ca="1">EFEITO!$L$841*EFEITO!$Z$873</f>
        <v>301818.40878260758</v>
      </c>
      <c r="L841" s="46">
        <f>EFEITO!$N$841*EFEITO!$AA$873</f>
        <v>317091.48818571481</v>
      </c>
      <c r="M841" s="46">
        <f>$J$841-EFEITO!$K$841*EFEITO!$Y$841</f>
        <v>0</v>
      </c>
      <c r="N841" s="46">
        <f ca="1">$K$841-EFEITO!$M$841*EFEITO!$Z$841</f>
        <v>30181.840878260788</v>
      </c>
      <c r="O841" s="46">
        <f>$L$841-EFEITO!$O$841*EFEITO!$AA$841</f>
        <v>31709.14881857147</v>
      </c>
      <c r="P841" s="38"/>
      <c r="Q841" s="38"/>
      <c r="R841" s="38"/>
      <c r="S841" s="38"/>
      <c r="T841" s="38"/>
      <c r="U841" s="38"/>
      <c r="V841" s="38"/>
      <c r="W841" s="38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35" t="s">
        <v>27</v>
      </c>
      <c r="B842" s="35" t="s">
        <v>22</v>
      </c>
      <c r="C842" s="35" t="s">
        <v>23</v>
      </c>
      <c r="D842" s="35" t="s">
        <v>24</v>
      </c>
      <c r="E842" s="35" t="s">
        <v>31</v>
      </c>
      <c r="F842" s="35" t="s">
        <v>25</v>
      </c>
      <c r="G842" s="35" t="s">
        <v>25</v>
      </c>
      <c r="H842" s="35" t="s">
        <v>25</v>
      </c>
      <c r="I842" s="45">
        <v>44256</v>
      </c>
      <c r="J842" s="46">
        <f>EFEITO!$J$842*EFEITO!$Y$728</f>
        <v>0</v>
      </c>
      <c r="K842" s="46">
        <f ca="1">EFEITO!$L$842*EFEITO!$Z$873</f>
        <v>-94.053280305126563</v>
      </c>
      <c r="L842" s="46">
        <f>EFEITO!$N$842*EFEITO!$AA$873</f>
        <v>-98.81270907561472</v>
      </c>
      <c r="M842" s="46">
        <f>$J$842-EFEITO!$K$842*EFEITO!$Y$842</f>
        <v>0</v>
      </c>
      <c r="N842" s="46">
        <f ca="1">$K$842-EFEITO!$M$842*EFEITO!$Z$842</f>
        <v>-9.4053280305126492</v>
      </c>
      <c r="O842" s="46">
        <f>$L$842-EFEITO!$O$842*EFEITO!$AA$842</f>
        <v>-9.881270907561472</v>
      </c>
      <c r="P842" s="38"/>
      <c r="Q842" s="38"/>
      <c r="R842" s="38"/>
      <c r="S842" s="38"/>
      <c r="T842" s="38"/>
      <c r="U842" s="38"/>
      <c r="V842" s="38"/>
      <c r="W842" s="38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35" t="s">
        <v>28</v>
      </c>
      <c r="B843" s="35" t="s">
        <v>22</v>
      </c>
      <c r="C843" s="35" t="s">
        <v>23</v>
      </c>
      <c r="D843" s="35" t="s">
        <v>24</v>
      </c>
      <c r="E843" s="35" t="s">
        <v>31</v>
      </c>
      <c r="F843" s="35" t="s">
        <v>25</v>
      </c>
      <c r="G843" s="35" t="s">
        <v>25</v>
      </c>
      <c r="H843" s="35" t="s">
        <v>25</v>
      </c>
      <c r="I843" s="45">
        <v>44256</v>
      </c>
      <c r="J843" s="46">
        <f>EFEITO!$J$843*EFEITO!$Y$728</f>
        <v>0</v>
      </c>
      <c r="K843" s="46">
        <f ca="1">EFEITO!$L$843*EFEITO!$Z$873</f>
        <v>16.709973658271217</v>
      </c>
      <c r="L843" s="46">
        <f>EFEITO!$N$843*EFEITO!$AA$873</f>
        <v>17.555557449982313</v>
      </c>
      <c r="M843" s="46">
        <f>$J$843-EFEITO!$K$843*EFEITO!$Y$843</f>
        <v>0</v>
      </c>
      <c r="N843" s="46">
        <f ca="1">$K$843-EFEITO!$M$843*EFEITO!$Z$843</f>
        <v>1.6709973658271213</v>
      </c>
      <c r="O843" s="46">
        <f>$L$843-EFEITO!$O$843*EFEITO!$AA$843</f>
        <v>1.7555557449982313</v>
      </c>
      <c r="P843" s="38"/>
      <c r="Q843" s="38"/>
      <c r="R843" s="38"/>
      <c r="S843" s="38"/>
      <c r="T843" s="38"/>
      <c r="U843" s="38"/>
      <c r="V843" s="38"/>
      <c r="W843" s="38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35" t="s">
        <v>21</v>
      </c>
      <c r="B844" s="35" t="s">
        <v>22</v>
      </c>
      <c r="C844" s="35" t="s">
        <v>23</v>
      </c>
      <c r="D844" s="35" t="s">
        <v>24</v>
      </c>
      <c r="E844" s="35" t="s">
        <v>31</v>
      </c>
      <c r="F844" s="35" t="s">
        <v>25</v>
      </c>
      <c r="G844" s="35" t="s">
        <v>25</v>
      </c>
      <c r="H844" s="35" t="s">
        <v>25</v>
      </c>
      <c r="I844" s="45">
        <v>44287</v>
      </c>
      <c r="J844" s="46">
        <f>EFEITO!$J$844*EFEITO!$Y$728</f>
        <v>0</v>
      </c>
      <c r="K844" s="46">
        <f ca="1">EFEITO!$L$844*EFEITO!$Z$873</f>
        <v>311345.95833473495</v>
      </c>
      <c r="L844" s="46">
        <f>EFEITO!$N$844*EFEITO!$AA$873</f>
        <v>327101.16545633896</v>
      </c>
      <c r="M844" s="46">
        <f>$J$844-EFEITO!$K$844*EFEITO!$Y$844</f>
        <v>0</v>
      </c>
      <c r="N844" s="46">
        <f ca="1">$K$844-EFEITO!$M$844*EFEITO!$Z$844</f>
        <v>31134.59583347349</v>
      </c>
      <c r="O844" s="46">
        <f>$L$844-EFEITO!$O$844*EFEITO!$AA$844</f>
        <v>32710.116545633879</v>
      </c>
      <c r="P844" s="38"/>
      <c r="Q844" s="38"/>
      <c r="R844" s="38"/>
      <c r="S844" s="38"/>
      <c r="T844" s="38"/>
      <c r="U844" s="38"/>
      <c r="V844" s="38"/>
      <c r="W844" s="38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35" t="s">
        <v>27</v>
      </c>
      <c r="B845" s="35" t="s">
        <v>22</v>
      </c>
      <c r="C845" s="35" t="s">
        <v>23</v>
      </c>
      <c r="D845" s="35" t="s">
        <v>24</v>
      </c>
      <c r="E845" s="35" t="s">
        <v>31</v>
      </c>
      <c r="F845" s="35" t="s">
        <v>25</v>
      </c>
      <c r="G845" s="35" t="s">
        <v>25</v>
      </c>
      <c r="H845" s="35" t="s">
        <v>25</v>
      </c>
      <c r="I845" s="45">
        <v>44287</v>
      </c>
      <c r="J845" s="46">
        <f>EFEITO!$J$845*EFEITO!$Y$728</f>
        <v>0</v>
      </c>
      <c r="K845" s="46">
        <f ca="1">EFEITO!$L$845*EFEITO!$Z$873</f>
        <v>-16.232545839463469</v>
      </c>
      <c r="L845" s="46">
        <f>EFEITO!$N$845*EFEITO!$AA$873</f>
        <v>-17.053970094268532</v>
      </c>
      <c r="M845" s="46">
        <f>$J$845-EFEITO!$K$845*EFEITO!$Y$845</f>
        <v>0</v>
      </c>
      <c r="N845" s="46">
        <f ca="1">$K$845-EFEITO!$M$845*EFEITO!$Z$845</f>
        <v>-1.6232545839463484</v>
      </c>
      <c r="O845" s="46">
        <f>$L$845-EFEITO!$O$845*EFEITO!$AA$845</f>
        <v>-1.7053970094268536</v>
      </c>
      <c r="P845" s="38"/>
      <c r="Q845" s="38"/>
      <c r="R845" s="38"/>
      <c r="S845" s="38"/>
      <c r="T845" s="38"/>
      <c r="U845" s="38"/>
      <c r="V845" s="38"/>
      <c r="W845" s="38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35" t="s">
        <v>28</v>
      </c>
      <c r="B846" s="35" t="s">
        <v>22</v>
      </c>
      <c r="C846" s="35" t="s">
        <v>23</v>
      </c>
      <c r="D846" s="35" t="s">
        <v>24</v>
      </c>
      <c r="E846" s="35" t="s">
        <v>31</v>
      </c>
      <c r="F846" s="35" t="s">
        <v>25</v>
      </c>
      <c r="G846" s="35" t="s">
        <v>25</v>
      </c>
      <c r="H846" s="35" t="s">
        <v>25</v>
      </c>
      <c r="I846" s="45">
        <v>44287</v>
      </c>
      <c r="J846" s="46">
        <f>EFEITO!$J$846*EFEITO!$Y$728</f>
        <v>0</v>
      </c>
      <c r="K846" s="46">
        <f ca="1">EFEITO!$L$846*EFEITO!$Z$873</f>
        <v>33.897375135350174</v>
      </c>
      <c r="L846" s="46">
        <f>EFEITO!$N$846*EFEITO!$AA$873</f>
        <v>35.6127022556784</v>
      </c>
      <c r="M846" s="46">
        <f>$J$846-EFEITO!$K$846*EFEITO!$Y$846</f>
        <v>0</v>
      </c>
      <c r="N846" s="46">
        <f ca="1">$K$846-EFEITO!$M$846*EFEITO!$Z$846</f>
        <v>3.3897375135350138</v>
      </c>
      <c r="O846" s="46">
        <f>$L$846-EFEITO!$O$846*EFEITO!$AA$846</f>
        <v>3.5612702255678386</v>
      </c>
      <c r="P846" s="38"/>
      <c r="Q846" s="38"/>
      <c r="R846" s="38"/>
      <c r="S846" s="38"/>
      <c r="T846" s="38"/>
      <c r="U846" s="38"/>
      <c r="V846" s="38"/>
      <c r="W846" s="38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35" t="s">
        <v>21</v>
      </c>
      <c r="B847" s="35" t="s">
        <v>22</v>
      </c>
      <c r="C847" s="35" t="s">
        <v>23</v>
      </c>
      <c r="D847" s="35" t="s">
        <v>24</v>
      </c>
      <c r="E847" s="35" t="s">
        <v>31</v>
      </c>
      <c r="F847" s="35" t="s">
        <v>25</v>
      </c>
      <c r="G847" s="35" t="s">
        <v>25</v>
      </c>
      <c r="H847" s="35" t="s">
        <v>25</v>
      </c>
      <c r="I847" s="45">
        <v>44317</v>
      </c>
      <c r="J847" s="46">
        <f>EFEITO!$J$847*EFEITO!$Y$728</f>
        <v>0</v>
      </c>
      <c r="K847" s="46">
        <f ca="1">EFEITO!$L$847*EFEITO!$Z$873</f>
        <v>263914.9368196415</v>
      </c>
      <c r="L847" s="46">
        <f>EFEITO!$N$847*EFEITO!$AA$873</f>
        <v>277269.96642824204</v>
      </c>
      <c r="M847" s="46">
        <f>$J$847-EFEITO!$K$847*EFEITO!$Y$847</f>
        <v>0</v>
      </c>
      <c r="N847" s="46">
        <f ca="1">$K$847-EFEITO!$M$847*EFEITO!$Z$847</f>
        <v>26391.493681964115</v>
      </c>
      <c r="O847" s="46">
        <f>$L$847-EFEITO!$O$847*EFEITO!$AA$847</f>
        <v>27726.996642824204</v>
      </c>
      <c r="P847" s="38"/>
      <c r="Q847" s="38"/>
      <c r="R847" s="38"/>
      <c r="S847" s="38"/>
      <c r="T847" s="38"/>
      <c r="U847" s="38"/>
      <c r="V847" s="38"/>
      <c r="W847" s="38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35" t="s">
        <v>27</v>
      </c>
      <c r="B848" s="35" t="s">
        <v>22</v>
      </c>
      <c r="C848" s="35" t="s">
        <v>23</v>
      </c>
      <c r="D848" s="35" t="s">
        <v>24</v>
      </c>
      <c r="E848" s="35" t="s">
        <v>31</v>
      </c>
      <c r="F848" s="35" t="s">
        <v>25</v>
      </c>
      <c r="G848" s="35" t="s">
        <v>25</v>
      </c>
      <c r="H848" s="35" t="s">
        <v>25</v>
      </c>
      <c r="I848" s="45">
        <v>44317</v>
      </c>
      <c r="J848" s="46">
        <f>EFEITO!$J$848*EFEITO!$Y$728</f>
        <v>0</v>
      </c>
      <c r="K848" s="46">
        <f ca="1">EFEITO!$L$848*EFEITO!$Z$873</f>
        <v>-68.033464180104232</v>
      </c>
      <c r="L848" s="46">
        <f>EFEITO!$N$848*EFEITO!$AA$873</f>
        <v>-71.47619818921369</v>
      </c>
      <c r="M848" s="46">
        <f>$J$848-EFEITO!$K$848*EFEITO!$Y$848</f>
        <v>0</v>
      </c>
      <c r="N848" s="46">
        <f ca="1">$K$848-EFEITO!$M$848*EFEITO!$Z$848</f>
        <v>-6.8033464180104204</v>
      </c>
      <c r="O848" s="46">
        <f>$L$848-EFEITO!$O$848*EFEITO!$AA$848</f>
        <v>-7.1476198189213704</v>
      </c>
      <c r="P848" s="38"/>
      <c r="Q848" s="38"/>
      <c r="R848" s="38"/>
      <c r="S848" s="38"/>
      <c r="T848" s="38"/>
      <c r="U848" s="38"/>
      <c r="V848" s="38"/>
      <c r="W848" s="38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35" t="s">
        <v>28</v>
      </c>
      <c r="B849" s="35" t="s">
        <v>22</v>
      </c>
      <c r="C849" s="35" t="s">
        <v>23</v>
      </c>
      <c r="D849" s="35" t="s">
        <v>24</v>
      </c>
      <c r="E849" s="35" t="s">
        <v>31</v>
      </c>
      <c r="F849" s="35" t="s">
        <v>25</v>
      </c>
      <c r="G849" s="35" t="s">
        <v>25</v>
      </c>
      <c r="H849" s="35" t="s">
        <v>25</v>
      </c>
      <c r="I849" s="45">
        <v>44317</v>
      </c>
      <c r="J849" s="46">
        <f>EFEITO!$J$849*EFEITO!$Y$728</f>
        <v>0</v>
      </c>
      <c r="K849" s="46">
        <f ca="1">EFEITO!$L$849*EFEITO!$Z$873</f>
        <v>48.697637518390394</v>
      </c>
      <c r="L849" s="46">
        <f>EFEITO!$N$849*EFEITO!$AA$873</f>
        <v>51.161910282805586</v>
      </c>
      <c r="M849" s="46">
        <f>$J$849-EFEITO!$K$849*EFEITO!$Y$849</f>
        <v>0</v>
      </c>
      <c r="N849" s="46">
        <f ca="1">$K$849-EFEITO!$M$849*EFEITO!$Z$849</f>
        <v>4.869763751839038</v>
      </c>
      <c r="O849" s="46">
        <f>$L$849-EFEITO!$O$849*EFEITO!$AA$849</f>
        <v>5.1161910282805536</v>
      </c>
      <c r="P849" s="38"/>
      <c r="Q849" s="38"/>
      <c r="R849" s="38"/>
      <c r="S849" s="38"/>
      <c r="T849" s="38"/>
      <c r="U849" s="38"/>
      <c r="V849" s="38"/>
      <c r="W849" s="38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35" t="s">
        <v>21</v>
      </c>
      <c r="B850" s="35" t="s">
        <v>22</v>
      </c>
      <c r="C850" s="35" t="s">
        <v>23</v>
      </c>
      <c r="D850" s="35" t="s">
        <v>24</v>
      </c>
      <c r="E850" s="35" t="s">
        <v>31</v>
      </c>
      <c r="F850" s="35" t="s">
        <v>25</v>
      </c>
      <c r="G850" s="35" t="s">
        <v>25</v>
      </c>
      <c r="H850" s="35" t="s">
        <v>25</v>
      </c>
      <c r="I850" s="45">
        <v>44348</v>
      </c>
      <c r="J850" s="46">
        <f>EFEITO!$J$850*EFEITO!$Y$728</f>
        <v>0</v>
      </c>
      <c r="K850" s="46">
        <f ca="1">EFEITO!$L$850*EFEITO!$Z$873</f>
        <v>230731.79370122775</v>
      </c>
      <c r="L850" s="46">
        <f>EFEITO!$N$850*EFEITO!$AA$873</f>
        <v>242407.63885671148</v>
      </c>
      <c r="M850" s="46">
        <f>$J$850-EFEITO!$K$850*EFEITO!$Y$850</f>
        <v>0</v>
      </c>
      <c r="N850" s="46">
        <f ca="1">$K$850-EFEITO!$M$850*EFEITO!$Z$850</f>
        <v>23073.179370122758</v>
      </c>
      <c r="O850" s="46">
        <f>$L$850-EFEITO!$O$850*EFEITO!$AA$850</f>
        <v>24240.763885671156</v>
      </c>
      <c r="P850" s="38"/>
      <c r="Q850" s="38"/>
      <c r="R850" s="38"/>
      <c r="S850" s="38"/>
      <c r="T850" s="38"/>
      <c r="U850" s="38"/>
      <c r="V850" s="38"/>
      <c r="W850" s="38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35" t="s">
        <v>27</v>
      </c>
      <c r="B851" s="35" t="s">
        <v>22</v>
      </c>
      <c r="C851" s="35" t="s">
        <v>23</v>
      </c>
      <c r="D851" s="35" t="s">
        <v>24</v>
      </c>
      <c r="E851" s="35" t="s">
        <v>31</v>
      </c>
      <c r="F851" s="35" t="s">
        <v>25</v>
      </c>
      <c r="G851" s="35" t="s">
        <v>25</v>
      </c>
      <c r="H851" s="35" t="s">
        <v>25</v>
      </c>
      <c r="I851" s="45">
        <v>44348</v>
      </c>
      <c r="J851" s="46">
        <f>EFEITO!$J$851*EFEITO!$Y$728</f>
        <v>0</v>
      </c>
      <c r="K851" s="46">
        <f ca="1">EFEITO!$L$851*EFEITO!$Z$873</f>
        <v>-120.55052424895663</v>
      </c>
      <c r="L851" s="46">
        <f>EFEITO!$N$851*EFEITO!$AA$873</f>
        <v>-126.65080731772953</v>
      </c>
      <c r="M851" s="46">
        <f>$J$851-EFEITO!$K$851*EFEITO!$Y$851</f>
        <v>0</v>
      </c>
      <c r="N851" s="46">
        <f ca="1">$K$851-EFEITO!$M$851*EFEITO!$Z$851</f>
        <v>-12.055052424895663</v>
      </c>
      <c r="O851" s="46">
        <f>$L$851-EFEITO!$O$851*EFEITO!$AA$851</f>
        <v>-12.66508073177296</v>
      </c>
      <c r="P851" s="38"/>
      <c r="Q851" s="38"/>
      <c r="R851" s="38"/>
      <c r="S851" s="38"/>
      <c r="T851" s="38"/>
      <c r="U851" s="38"/>
      <c r="V851" s="38"/>
      <c r="W851" s="38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35" t="s">
        <v>28</v>
      </c>
      <c r="B852" s="35" t="s">
        <v>22</v>
      </c>
      <c r="C852" s="35" t="s">
        <v>23</v>
      </c>
      <c r="D852" s="35" t="s">
        <v>24</v>
      </c>
      <c r="E852" s="35" t="s">
        <v>31</v>
      </c>
      <c r="F852" s="35" t="s">
        <v>25</v>
      </c>
      <c r="G852" s="35" t="s">
        <v>25</v>
      </c>
      <c r="H852" s="35" t="s">
        <v>25</v>
      </c>
      <c r="I852" s="45">
        <v>44348</v>
      </c>
      <c r="J852" s="46">
        <f>EFEITO!$J$852*EFEITO!$Y$728</f>
        <v>0</v>
      </c>
      <c r="K852" s="46">
        <f ca="1">EFEITO!$L$852*EFEITO!$Z$873</f>
        <v>81.640157016125087</v>
      </c>
      <c r="L852" s="46">
        <f>EFEITO!$N$852*EFEITO!$AA$873</f>
        <v>85.771437827056445</v>
      </c>
      <c r="M852" s="46">
        <f>$J$852-EFEITO!$K$852*EFEITO!$Y$852</f>
        <v>0</v>
      </c>
      <c r="N852" s="46">
        <f ca="1">$K$852-EFEITO!$M$852*EFEITO!$Z$852</f>
        <v>8.1640157016124988</v>
      </c>
      <c r="O852" s="46">
        <f>$L$852-EFEITO!$O$852*EFEITO!$AA$852</f>
        <v>8.5771437827056474</v>
      </c>
      <c r="P852" s="38"/>
      <c r="Q852" s="38"/>
      <c r="R852" s="38"/>
      <c r="S852" s="38"/>
      <c r="T852" s="38"/>
      <c r="U852" s="38"/>
      <c r="V852" s="38"/>
      <c r="W852" s="38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35" t="s">
        <v>21</v>
      </c>
      <c r="B853" s="35" t="s">
        <v>22</v>
      </c>
      <c r="C853" s="35" t="s">
        <v>23</v>
      </c>
      <c r="D853" s="35" t="s">
        <v>24</v>
      </c>
      <c r="E853" s="35" t="s">
        <v>31</v>
      </c>
      <c r="F853" s="35" t="s">
        <v>25</v>
      </c>
      <c r="G853" s="35" t="s">
        <v>25</v>
      </c>
      <c r="H853" s="35" t="s">
        <v>25</v>
      </c>
      <c r="I853" s="45">
        <v>44378</v>
      </c>
      <c r="J853" s="46">
        <f>EFEITO!$J$853*EFEITO!$Y$728</f>
        <v>0</v>
      </c>
      <c r="K853" s="46">
        <f ca="1">EFEITO!$L$853*EFEITO!$Z$873</f>
        <v>256034.03581458205</v>
      </c>
      <c r="L853" s="46">
        <f>EFEITO!$N$853*EFEITO!$AA$873</f>
        <v>268990.26394747471</v>
      </c>
      <c r="M853" s="46">
        <f>$J$853-EFEITO!$K$853*EFEITO!$Y$853</f>
        <v>0</v>
      </c>
      <c r="N853" s="46">
        <f ca="1">$K$853-EFEITO!$M$853*EFEITO!$Z$853</f>
        <v>25603.403581458202</v>
      </c>
      <c r="O853" s="46">
        <f>$L$853-EFEITO!$O$853*EFEITO!$AA$853</f>
        <v>26899.026394747489</v>
      </c>
      <c r="P853" s="38"/>
      <c r="Q853" s="38"/>
      <c r="R853" s="38"/>
      <c r="S853" s="38"/>
      <c r="T853" s="38"/>
      <c r="U853" s="38"/>
      <c r="V853" s="38"/>
      <c r="W853" s="38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35" t="s">
        <v>27</v>
      </c>
      <c r="B854" s="35" t="s">
        <v>22</v>
      </c>
      <c r="C854" s="35" t="s">
        <v>23</v>
      </c>
      <c r="D854" s="35" t="s">
        <v>24</v>
      </c>
      <c r="E854" s="35" t="s">
        <v>31</v>
      </c>
      <c r="F854" s="35" t="s">
        <v>25</v>
      </c>
      <c r="G854" s="35" t="s">
        <v>25</v>
      </c>
      <c r="H854" s="35" t="s">
        <v>25</v>
      </c>
      <c r="I854" s="45">
        <v>44378</v>
      </c>
      <c r="J854" s="46">
        <f>EFEITO!$J$854*EFEITO!$Y$728</f>
        <v>0</v>
      </c>
      <c r="K854" s="46">
        <f ca="1">EFEITO!$L$854*EFEITO!$Z$873</f>
        <v>-358.07086410581178</v>
      </c>
      <c r="L854" s="46">
        <f>EFEITO!$N$854*EFEITO!$AA$873</f>
        <v>-376.19051678533526</v>
      </c>
      <c r="M854" s="46">
        <f>$J$854-EFEITO!$K$854*EFEITO!$Y$854</f>
        <v>0</v>
      </c>
      <c r="N854" s="46">
        <f ca="1">$K$854-EFEITO!$M$854*EFEITO!$Z$854</f>
        <v>-35.807086410581178</v>
      </c>
      <c r="O854" s="46">
        <f>$L$854-EFEITO!$O$854*EFEITO!$AA$854</f>
        <v>-37.619051678533538</v>
      </c>
      <c r="P854" s="38"/>
      <c r="Q854" s="38"/>
      <c r="R854" s="38"/>
      <c r="S854" s="38"/>
      <c r="T854" s="38"/>
      <c r="U854" s="38"/>
      <c r="V854" s="38"/>
      <c r="W854" s="38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35" t="s">
        <v>28</v>
      </c>
      <c r="B855" s="35" t="s">
        <v>22</v>
      </c>
      <c r="C855" s="35" t="s">
        <v>23</v>
      </c>
      <c r="D855" s="35" t="s">
        <v>24</v>
      </c>
      <c r="E855" s="35" t="s">
        <v>31</v>
      </c>
      <c r="F855" s="35" t="s">
        <v>25</v>
      </c>
      <c r="G855" s="35" t="s">
        <v>25</v>
      </c>
      <c r="H855" s="35" t="s">
        <v>25</v>
      </c>
      <c r="I855" s="45">
        <v>44378</v>
      </c>
      <c r="J855" s="46">
        <f>EFEITO!$J$855*EFEITO!$Y$728</f>
        <v>0</v>
      </c>
      <c r="K855" s="46">
        <f ca="1">EFEITO!$L$855*EFEITO!$Z$873</f>
        <v>111.00196787280166</v>
      </c>
      <c r="L855" s="46">
        <f>EFEITO!$N$855*EFEITO!$AA$873</f>
        <v>116.61906020345393</v>
      </c>
      <c r="M855" s="46">
        <f>$J$855-EFEITO!$K$855*EFEITO!$Y$855</f>
        <v>0</v>
      </c>
      <c r="N855" s="46">
        <f ca="1">$K$855-EFEITO!$M$855*EFEITO!$Z$855</f>
        <v>11.100196787280169</v>
      </c>
      <c r="O855" s="46">
        <f>$L$855-EFEITO!$O$855*EFEITO!$AA$855</f>
        <v>11.661906020345384</v>
      </c>
      <c r="P855" s="38"/>
      <c r="Q855" s="38"/>
      <c r="R855" s="38"/>
      <c r="S855" s="38"/>
      <c r="T855" s="38"/>
      <c r="U855" s="38"/>
      <c r="V855" s="38"/>
      <c r="W855" s="38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35" t="s">
        <v>21</v>
      </c>
      <c r="B856" s="35" t="s">
        <v>22</v>
      </c>
      <c r="C856" s="35" t="s">
        <v>23</v>
      </c>
      <c r="D856" s="35" t="s">
        <v>24</v>
      </c>
      <c r="E856" s="35" t="s">
        <v>31</v>
      </c>
      <c r="F856" s="35" t="s">
        <v>25</v>
      </c>
      <c r="G856" s="35" t="s">
        <v>25</v>
      </c>
      <c r="H856" s="35" t="s">
        <v>25</v>
      </c>
      <c r="I856" s="45">
        <v>44409</v>
      </c>
      <c r="J856" s="46">
        <f>EFEITO!$J$856*EFEITO!$Y$728</f>
        <v>0</v>
      </c>
      <c r="K856" s="46">
        <f ca="1">EFEITO!$L$856*EFEITO!$Z$873</f>
        <v>217969.43196276843</v>
      </c>
      <c r="L856" s="46">
        <f>EFEITO!$N$856*EFEITO!$AA$873</f>
        <v>228999.45645744857</v>
      </c>
      <c r="M856" s="46">
        <f>$J$856-EFEITO!$K$856*EFEITO!$Y$856</f>
        <v>0</v>
      </c>
      <c r="N856" s="46">
        <f ca="1">$K$856-EFEITO!$M$856*EFEITO!$Z$856</f>
        <v>21796.943196276843</v>
      </c>
      <c r="O856" s="46">
        <f>$L$856-EFEITO!$O$856*EFEITO!$AA$856</f>
        <v>22899.945645744883</v>
      </c>
      <c r="P856" s="38"/>
      <c r="Q856" s="38"/>
      <c r="R856" s="38"/>
      <c r="S856" s="38"/>
      <c r="T856" s="38"/>
      <c r="U856" s="38"/>
      <c r="V856" s="38"/>
      <c r="W856" s="38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35" t="s">
        <v>27</v>
      </c>
      <c r="B857" s="35" t="s">
        <v>22</v>
      </c>
      <c r="C857" s="35" t="s">
        <v>23</v>
      </c>
      <c r="D857" s="35" t="s">
        <v>24</v>
      </c>
      <c r="E857" s="35" t="s">
        <v>31</v>
      </c>
      <c r="F857" s="35" t="s">
        <v>25</v>
      </c>
      <c r="G857" s="35" t="s">
        <v>25</v>
      </c>
      <c r="H857" s="35" t="s">
        <v>25</v>
      </c>
      <c r="I857" s="45">
        <v>44409</v>
      </c>
      <c r="J857" s="46">
        <f>EFEITO!$J$857*EFEITO!$Y$728</f>
        <v>0</v>
      </c>
      <c r="K857" s="46">
        <f ca="1">EFEITO!$L$857*EFEITO!$Z$873</f>
        <v>-114.58267651385977</v>
      </c>
      <c r="L857" s="46">
        <f>EFEITO!$N$857*EFEITO!$AA$873</f>
        <v>-120.38096537130727</v>
      </c>
      <c r="M857" s="46">
        <f>$J$857-EFEITO!$K$857*EFEITO!$Y$857</f>
        <v>0</v>
      </c>
      <c r="N857" s="46">
        <f ca="1">$K$857-EFEITO!$M$857*EFEITO!$Z$857</f>
        <v>-11.458267651385981</v>
      </c>
      <c r="O857" s="46">
        <f>$L$857-EFEITO!$O$857*EFEITO!$AA$857</f>
        <v>-12.038096537130727</v>
      </c>
      <c r="P857" s="38"/>
      <c r="Q857" s="38"/>
      <c r="R857" s="38"/>
      <c r="S857" s="38"/>
      <c r="T857" s="38"/>
      <c r="U857" s="38"/>
      <c r="V857" s="38"/>
      <c r="W857" s="38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35" t="s">
        <v>28</v>
      </c>
      <c r="B858" s="35" t="s">
        <v>22</v>
      </c>
      <c r="C858" s="35" t="s">
        <v>23</v>
      </c>
      <c r="D858" s="35" t="s">
        <v>24</v>
      </c>
      <c r="E858" s="35" t="s">
        <v>31</v>
      </c>
      <c r="F858" s="35" t="s">
        <v>25</v>
      </c>
      <c r="G858" s="35" t="s">
        <v>25</v>
      </c>
      <c r="H858" s="35" t="s">
        <v>25</v>
      </c>
      <c r="I858" s="45">
        <v>44409</v>
      </c>
      <c r="J858" s="46">
        <f>EFEITO!$J$858*EFEITO!$Y$728</f>
        <v>0</v>
      </c>
      <c r="K858" s="46">
        <f ca="1">EFEITO!$L$858*EFEITO!$Z$873</f>
        <v>154.44789938430682</v>
      </c>
      <c r="L858" s="46">
        <f>EFEITO!$N$858*EFEITO!$AA$873</f>
        <v>162.26350957340793</v>
      </c>
      <c r="M858" s="46">
        <f>$J$858-EFEITO!$K$858*EFEITO!$Y$858</f>
        <v>0</v>
      </c>
      <c r="N858" s="46">
        <f ca="1">$K$858-EFEITO!$M$858*EFEITO!$Z$858</f>
        <v>15.444789938430688</v>
      </c>
      <c r="O858" s="46">
        <f>$L$858-EFEITO!$O$858*EFEITO!$AA$858</f>
        <v>16.226350957340799</v>
      </c>
      <c r="P858" s="38"/>
      <c r="Q858" s="38"/>
      <c r="R858" s="38"/>
      <c r="S858" s="38"/>
      <c r="T858" s="38"/>
      <c r="U858" s="38"/>
      <c r="V858" s="38"/>
      <c r="W858" s="38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35" t="s">
        <v>21</v>
      </c>
      <c r="B859" s="35" t="s">
        <v>22</v>
      </c>
      <c r="C859" s="35" t="s">
        <v>23</v>
      </c>
      <c r="D859" s="35" t="s">
        <v>24</v>
      </c>
      <c r="E859" s="35" t="s">
        <v>31</v>
      </c>
      <c r="F859" s="35" t="s">
        <v>25</v>
      </c>
      <c r="G859" s="35" t="s">
        <v>25</v>
      </c>
      <c r="H859" s="35" t="s">
        <v>25</v>
      </c>
      <c r="I859" s="45">
        <v>44440</v>
      </c>
      <c r="J859" s="46">
        <f>EFEITO!$J$859*EFEITO!$Y$728</f>
        <v>0</v>
      </c>
      <c r="K859" s="46">
        <f ca="1">EFEITO!$L$859*EFEITO!$Z$873</f>
        <v>221900.33390892201</v>
      </c>
      <c r="L859" s="46">
        <f>EFEITO!$N$859*EFEITO!$AA$873</f>
        <v>233129.27595071797</v>
      </c>
      <c r="M859" s="46">
        <f>$J$859-EFEITO!$K$859*EFEITO!$Y$859</f>
        <v>0</v>
      </c>
      <c r="N859" s="46">
        <f ca="1">$K$859-EFEITO!$M$859*EFEITO!$Z$859</f>
        <v>22190.033390892175</v>
      </c>
      <c r="O859" s="46">
        <f>$L$859-EFEITO!$O$859*EFEITO!$AA$859</f>
        <v>23312.927595071815</v>
      </c>
      <c r="P859" s="38"/>
      <c r="Q859" s="38"/>
      <c r="R859" s="38"/>
      <c r="S859" s="38"/>
      <c r="T859" s="38"/>
      <c r="U859" s="38"/>
      <c r="V859" s="38"/>
      <c r="W859" s="38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35" t="s">
        <v>27</v>
      </c>
      <c r="B860" s="35" t="s">
        <v>22</v>
      </c>
      <c r="C860" s="35" t="s">
        <v>23</v>
      </c>
      <c r="D860" s="35" t="s">
        <v>24</v>
      </c>
      <c r="E860" s="35" t="s">
        <v>31</v>
      </c>
      <c r="F860" s="35" t="s">
        <v>25</v>
      </c>
      <c r="G860" s="35" t="s">
        <v>25</v>
      </c>
      <c r="H860" s="35" t="s">
        <v>25</v>
      </c>
      <c r="I860" s="45">
        <v>44440</v>
      </c>
      <c r="J860" s="46">
        <f>EFEITO!$J$860*EFEITO!$Y$728</f>
        <v>0</v>
      </c>
      <c r="K860" s="46">
        <f ca="1">EFEITO!$L$860*EFEITO!$Z$873</f>
        <v>-28.645669128464942</v>
      </c>
      <c r="L860" s="46">
        <f>EFEITO!$N$860*EFEITO!$AA$873</f>
        <v>-30.095241342826817</v>
      </c>
      <c r="M860" s="46">
        <f>$J$860-EFEITO!$K$860*EFEITO!$Y$860</f>
        <v>0</v>
      </c>
      <c r="N860" s="46">
        <f ca="1">$K$860-EFEITO!$M$860*EFEITO!$Z$860</f>
        <v>-2.8645669128464952</v>
      </c>
      <c r="O860" s="46">
        <f>$L$860-EFEITO!$O$860*EFEITO!$AA$860</f>
        <v>-3.0095241342826817</v>
      </c>
      <c r="P860" s="38"/>
      <c r="Q860" s="38"/>
      <c r="R860" s="38"/>
      <c r="S860" s="38"/>
      <c r="T860" s="38"/>
      <c r="U860" s="38"/>
      <c r="V860" s="38"/>
      <c r="W860" s="38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35" t="s">
        <v>28</v>
      </c>
      <c r="B861" s="35" t="s">
        <v>22</v>
      </c>
      <c r="C861" s="35" t="s">
        <v>23</v>
      </c>
      <c r="D861" s="35" t="s">
        <v>24</v>
      </c>
      <c r="E861" s="35" t="s">
        <v>31</v>
      </c>
      <c r="F861" s="35" t="s">
        <v>25</v>
      </c>
      <c r="G861" s="35" t="s">
        <v>25</v>
      </c>
      <c r="H861" s="35" t="s">
        <v>25</v>
      </c>
      <c r="I861" s="45">
        <v>44440</v>
      </c>
      <c r="J861" s="46">
        <f>EFEITO!$J$861*EFEITO!$Y$728</f>
        <v>0</v>
      </c>
      <c r="K861" s="46">
        <f ca="1">EFEITO!$L$861*EFEITO!$Z$873</f>
        <v>113.62782087624426</v>
      </c>
      <c r="L861" s="46">
        <f>EFEITO!$N$861*EFEITO!$AA$873</f>
        <v>119.37779065987971</v>
      </c>
      <c r="M861" s="46">
        <f>$J$861-EFEITO!$K$861*EFEITO!$Y$861</f>
        <v>0</v>
      </c>
      <c r="N861" s="46">
        <f ca="1">$K$861-EFEITO!$M$861*EFEITO!$Z$861</f>
        <v>11.362782087624424</v>
      </c>
      <c r="O861" s="46">
        <f>$L$861-EFEITO!$O$861*EFEITO!$AA$861</f>
        <v>11.937779065987968</v>
      </c>
      <c r="P861" s="38"/>
      <c r="Q861" s="38"/>
      <c r="R861" s="38"/>
      <c r="S861" s="38"/>
      <c r="T861" s="38"/>
      <c r="U861" s="38"/>
      <c r="V861" s="38"/>
      <c r="W861" s="38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35" t="s">
        <v>21</v>
      </c>
      <c r="B862" s="35" t="s">
        <v>22</v>
      </c>
      <c r="C862" s="35" t="s">
        <v>23</v>
      </c>
      <c r="D862" s="35" t="s">
        <v>24</v>
      </c>
      <c r="E862" s="35" t="s">
        <v>31</v>
      </c>
      <c r="F862" s="35" t="s">
        <v>25</v>
      </c>
      <c r="G862" s="35" t="s">
        <v>25</v>
      </c>
      <c r="H862" s="35" t="s">
        <v>25</v>
      </c>
      <c r="I862" s="45">
        <v>44470</v>
      </c>
      <c r="J862" s="46">
        <f>EFEITO!$J$862*EFEITO!$Y$728</f>
        <v>0</v>
      </c>
      <c r="K862" s="46">
        <f ca="1">EFEITO!$L$862*EFEITO!$Z$873</f>
        <v>255284.47413905384</v>
      </c>
      <c r="L862" s="46">
        <f>EFEITO!$N$862*EFEITO!$AA$873</f>
        <v>268202.77179900405</v>
      </c>
      <c r="M862" s="46">
        <f>$J$862-EFEITO!$K$862*EFEITO!$Y$862</f>
        <v>0</v>
      </c>
      <c r="N862" s="46">
        <f ca="1">$K$862-EFEITO!$M$862*EFEITO!$Z$862</f>
        <v>25528.447413905378</v>
      </c>
      <c r="O862" s="46">
        <f>$L$862-EFEITO!$O$862*EFEITO!$AA$862</f>
        <v>26820.27717990044</v>
      </c>
      <c r="P862" s="38"/>
      <c r="Q862" s="38"/>
      <c r="R862" s="38"/>
      <c r="S862" s="38"/>
      <c r="T862" s="38"/>
      <c r="U862" s="38"/>
      <c r="V862" s="38"/>
      <c r="W862" s="38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35" t="s">
        <v>28</v>
      </c>
      <c r="B863" s="35" t="s">
        <v>22</v>
      </c>
      <c r="C863" s="35" t="s">
        <v>23</v>
      </c>
      <c r="D863" s="35" t="s">
        <v>24</v>
      </c>
      <c r="E863" s="35" t="s">
        <v>31</v>
      </c>
      <c r="F863" s="35" t="s">
        <v>25</v>
      </c>
      <c r="G863" s="35" t="s">
        <v>25</v>
      </c>
      <c r="H863" s="35" t="s">
        <v>25</v>
      </c>
      <c r="I863" s="45">
        <v>44470</v>
      </c>
      <c r="J863" s="46">
        <f>EFEITO!$J$863*EFEITO!$Y$728</f>
        <v>0</v>
      </c>
      <c r="K863" s="46">
        <f ca="1">EFEITO!$L$863*EFEITO!$Z$873</f>
        <v>161.37060275701918</v>
      </c>
      <c r="L863" s="46">
        <f>EFEITO!$N$863*EFEITO!$AA$873</f>
        <v>169.53652623125777</v>
      </c>
      <c r="M863" s="46">
        <f>$J$863-EFEITO!$K$863*EFEITO!$Y$863</f>
        <v>0</v>
      </c>
      <c r="N863" s="46">
        <f ca="1">$K$863-EFEITO!$M$863*EFEITO!$Z$863</f>
        <v>16.137060275701913</v>
      </c>
      <c r="O863" s="46">
        <f>$L$863-EFEITO!$O$863*EFEITO!$AA$863</f>
        <v>16.953652623125777</v>
      </c>
      <c r="P863" s="38"/>
      <c r="Q863" s="38"/>
      <c r="R863" s="38"/>
      <c r="S863" s="38"/>
      <c r="T863" s="38"/>
      <c r="U863" s="38"/>
      <c r="V863" s="38"/>
      <c r="W863" s="38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35" t="s">
        <v>21</v>
      </c>
      <c r="B864" s="35" t="s">
        <v>22</v>
      </c>
      <c r="C864" s="35" t="s">
        <v>23</v>
      </c>
      <c r="D864" s="35" t="s">
        <v>24</v>
      </c>
      <c r="E864" s="35" t="s">
        <v>31</v>
      </c>
      <c r="F864" s="35" t="s">
        <v>25</v>
      </c>
      <c r="G864" s="35" t="s">
        <v>25</v>
      </c>
      <c r="H864" s="35" t="s">
        <v>25</v>
      </c>
      <c r="I864" s="45">
        <v>44501</v>
      </c>
      <c r="J864" s="46">
        <f>EFEITO!$J$864*EFEITO!$Y$728</f>
        <v>0</v>
      </c>
      <c r="K864" s="46">
        <f ca="1">EFEITO!$L$864*EFEITO!$Z$873</f>
        <v>261493.90035046748</v>
      </c>
      <c r="L864" s="46">
        <f>EFEITO!$N$864*EFEITO!$AA$873</f>
        <v>274726.41694741749</v>
      </c>
      <c r="M864" s="46">
        <f>$J$864-EFEITO!$K$864*EFEITO!$Y$864</f>
        <v>0</v>
      </c>
      <c r="N864" s="46">
        <f ca="1">$K$864-EFEITO!$M$864*EFEITO!$Z$864</f>
        <v>26149.39003504673</v>
      </c>
      <c r="O864" s="46">
        <f>$L$864-EFEITO!$O$864*EFEITO!$AA$864</f>
        <v>27472.641694741731</v>
      </c>
      <c r="P864" s="38"/>
      <c r="Q864" s="38"/>
      <c r="R864" s="38"/>
      <c r="S864" s="38"/>
      <c r="T864" s="38"/>
      <c r="U864" s="38"/>
      <c r="V864" s="38"/>
      <c r="W864" s="38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35" t="s">
        <v>27</v>
      </c>
      <c r="B865" s="35" t="s">
        <v>22</v>
      </c>
      <c r="C865" s="35" t="s">
        <v>23</v>
      </c>
      <c r="D865" s="35" t="s">
        <v>24</v>
      </c>
      <c r="E865" s="35" t="s">
        <v>31</v>
      </c>
      <c r="F865" s="35" t="s">
        <v>25</v>
      </c>
      <c r="G865" s="35" t="s">
        <v>25</v>
      </c>
      <c r="H865" s="35" t="s">
        <v>25</v>
      </c>
      <c r="I865" s="45">
        <v>44501</v>
      </c>
      <c r="J865" s="46">
        <f>EFEITO!$J$865*EFEITO!$Y$728</f>
        <v>0</v>
      </c>
      <c r="K865" s="46">
        <f ca="1">EFEITO!$L$865*EFEITO!$Z$873</f>
        <v>-79.253017922086343</v>
      </c>
      <c r="L865" s="46">
        <f>EFEITO!$N$865*EFEITO!$AA$873</f>
        <v>-83.263501048487541</v>
      </c>
      <c r="M865" s="46">
        <f>$J$865-EFEITO!$K$865*EFEITO!$Y$865</f>
        <v>0</v>
      </c>
      <c r="N865" s="46">
        <f ca="1">$K$865-EFEITO!$M$865*EFEITO!$Z$865</f>
        <v>-7.9253017922086286</v>
      </c>
      <c r="O865" s="46">
        <f>$L$865-EFEITO!$O$865*EFEITO!$AA$865</f>
        <v>-8.3263501048487569</v>
      </c>
      <c r="P865" s="38"/>
      <c r="Q865" s="38"/>
      <c r="R865" s="38"/>
      <c r="S865" s="38"/>
      <c r="T865" s="38"/>
      <c r="U865" s="38"/>
      <c r="V865" s="38"/>
      <c r="W865" s="38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35" t="s">
        <v>28</v>
      </c>
      <c r="B866" s="35" t="s">
        <v>22</v>
      </c>
      <c r="C866" s="35" t="s">
        <v>23</v>
      </c>
      <c r="D866" s="35" t="s">
        <v>24</v>
      </c>
      <c r="E866" s="35" t="s">
        <v>31</v>
      </c>
      <c r="F866" s="35" t="s">
        <v>25</v>
      </c>
      <c r="G866" s="35" t="s">
        <v>25</v>
      </c>
      <c r="H866" s="35" t="s">
        <v>25</v>
      </c>
      <c r="I866" s="45">
        <v>44501</v>
      </c>
      <c r="J866" s="46">
        <f>EFEITO!$J$866*EFEITO!$Y$728</f>
        <v>0</v>
      </c>
      <c r="K866" s="46">
        <f ca="1">EFEITO!$L$866*EFEITO!$Z$873</f>
        <v>290.51482774451529</v>
      </c>
      <c r="L866" s="46">
        <f>EFEITO!$N$866*EFEITO!$AA$873</f>
        <v>305.21590595183534</v>
      </c>
      <c r="M866" s="46">
        <f>$J$866-EFEITO!$K$866*EFEITO!$Y$866</f>
        <v>0</v>
      </c>
      <c r="N866" s="46">
        <f ca="1">$K$866-EFEITO!$M$866*EFEITO!$Z$866</f>
        <v>29.051482774451529</v>
      </c>
      <c r="O866" s="46">
        <f>$L$866-EFEITO!$O$866*EFEITO!$AA$866</f>
        <v>30.521590595183511</v>
      </c>
      <c r="P866" s="38"/>
      <c r="Q866" s="38"/>
      <c r="R866" s="38"/>
      <c r="S866" s="38"/>
      <c r="T866" s="38"/>
      <c r="U866" s="38"/>
      <c r="V866" s="38"/>
      <c r="W866" s="38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35" t="s">
        <v>21</v>
      </c>
      <c r="B867" s="35" t="s">
        <v>22</v>
      </c>
      <c r="C867" s="35" t="s">
        <v>23</v>
      </c>
      <c r="D867" s="35" t="s">
        <v>24</v>
      </c>
      <c r="E867" s="35" t="s">
        <v>31</v>
      </c>
      <c r="F867" s="35" t="s">
        <v>25</v>
      </c>
      <c r="G867" s="35" t="s">
        <v>25</v>
      </c>
      <c r="H867" s="35" t="s">
        <v>25</v>
      </c>
      <c r="I867" s="45">
        <v>44531</v>
      </c>
      <c r="J867" s="46">
        <f>EFEITO!$J$867*EFEITO!$Y$728</f>
        <v>0</v>
      </c>
      <c r="K867" s="46">
        <f ca="1">EFEITO!$L$867*EFEITO!$Z$873</f>
        <v>286240.65519663889</v>
      </c>
      <c r="L867" s="46">
        <f>EFEITO!$N$867*EFEITO!$AA$873</f>
        <v>300725.44514980773</v>
      </c>
      <c r="M867" s="46">
        <f>$J$867-EFEITO!$K$867*EFEITO!$Y$867</f>
        <v>0</v>
      </c>
      <c r="N867" s="46">
        <f ca="1">$K$867-EFEITO!$M$867*EFEITO!$Z$867</f>
        <v>28624.065519663855</v>
      </c>
      <c r="O867" s="46">
        <f>$L$867-EFEITO!$O$867*EFEITO!$AA$867</f>
        <v>30072.544514980807</v>
      </c>
      <c r="P867" s="38"/>
      <c r="Q867" s="38"/>
      <c r="R867" s="38"/>
      <c r="S867" s="38"/>
      <c r="T867" s="38"/>
      <c r="U867" s="38"/>
      <c r="V867" s="38"/>
      <c r="W867" s="38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35" t="s">
        <v>27</v>
      </c>
      <c r="B868" s="35" t="s">
        <v>22</v>
      </c>
      <c r="C868" s="35" t="s">
        <v>23</v>
      </c>
      <c r="D868" s="35" t="s">
        <v>24</v>
      </c>
      <c r="E868" s="35" t="s">
        <v>31</v>
      </c>
      <c r="F868" s="35" t="s">
        <v>25</v>
      </c>
      <c r="G868" s="35" t="s">
        <v>25</v>
      </c>
      <c r="H868" s="35" t="s">
        <v>25</v>
      </c>
      <c r="I868" s="45">
        <v>44531</v>
      </c>
      <c r="J868" s="46">
        <f>EFEITO!$J$868*EFEITO!$Y$728</f>
        <v>0</v>
      </c>
      <c r="K868" s="46">
        <f ca="1">EFEITO!$L$868*EFEITO!$Z$873</f>
        <v>-37.00065595760055</v>
      </c>
      <c r="L868" s="46">
        <f>EFEITO!$N$868*EFEITO!$AA$873</f>
        <v>-38.873020067817976</v>
      </c>
      <c r="M868" s="46">
        <f>$J$868-EFEITO!$K$868*EFEITO!$Y$868</f>
        <v>0</v>
      </c>
      <c r="N868" s="46">
        <f ca="1">$K$868-EFEITO!$M$868*EFEITO!$Z$868</f>
        <v>-3.7000655957600515</v>
      </c>
      <c r="O868" s="46">
        <f>$L$868-EFEITO!$O$868*EFEITO!$AA$868</f>
        <v>-3.8873020067818018</v>
      </c>
      <c r="P868" s="38"/>
      <c r="Q868" s="38"/>
      <c r="R868" s="38"/>
      <c r="S868" s="38"/>
      <c r="T868" s="38"/>
      <c r="U868" s="38"/>
      <c r="V868" s="38"/>
      <c r="W868" s="38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35" t="s">
        <v>28</v>
      </c>
      <c r="B869" s="35" t="s">
        <v>22</v>
      </c>
      <c r="C869" s="35" t="s">
        <v>23</v>
      </c>
      <c r="D869" s="35" t="s">
        <v>24</v>
      </c>
      <c r="E869" s="35" t="s">
        <v>31</v>
      </c>
      <c r="F869" s="35" t="s">
        <v>25</v>
      </c>
      <c r="G869" s="35" t="s">
        <v>25</v>
      </c>
      <c r="H869" s="35" t="s">
        <v>25</v>
      </c>
      <c r="I869" s="45">
        <v>44531</v>
      </c>
      <c r="J869" s="46">
        <f>EFEITO!$J$869*EFEITO!$Y$728</f>
        <v>0</v>
      </c>
      <c r="K869" s="46">
        <f ca="1">EFEITO!$L$869*EFEITO!$Z$873</f>
        <v>368.33556221017835</v>
      </c>
      <c r="L869" s="46">
        <f>EFEITO!$N$869*EFEITO!$AA$873</f>
        <v>386.97464493318148</v>
      </c>
      <c r="M869" s="46">
        <f>$J$869-EFEITO!$K$869*EFEITO!$Y$869</f>
        <v>0</v>
      </c>
      <c r="N869" s="46">
        <f ca="1">$K$869-EFEITO!$M$869*EFEITO!$Z$869</f>
        <v>36.83355622101783</v>
      </c>
      <c r="O869" s="46">
        <f>$L$869-EFEITO!$O$869*EFEITO!$AA$869</f>
        <v>38.697464493318137</v>
      </c>
      <c r="P869" s="38"/>
      <c r="Q869" s="38"/>
      <c r="R869" s="38"/>
      <c r="S869" s="38"/>
      <c r="T869" s="38"/>
      <c r="U869" s="38"/>
      <c r="V869" s="38"/>
      <c r="W869" s="38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35" t="s">
        <v>55</v>
      </c>
      <c r="B870" s="35" t="s">
        <v>22</v>
      </c>
      <c r="C870" s="35" t="s">
        <v>23</v>
      </c>
      <c r="D870" s="35" t="s">
        <v>24</v>
      </c>
      <c r="E870" s="35" t="s">
        <v>31</v>
      </c>
      <c r="F870" s="35" t="s">
        <v>25</v>
      </c>
      <c r="G870" s="35" t="s">
        <v>25</v>
      </c>
      <c r="H870" s="35" t="s">
        <v>25</v>
      </c>
      <c r="I870" s="45">
        <v>44562</v>
      </c>
      <c r="J870" s="46">
        <f>EFEITO!$J$870*EFEITO!$Y$728</f>
        <v>0</v>
      </c>
      <c r="K870" s="46">
        <f ca="1">EFEITO!$L$870*EFEITO!$Z$873</f>
        <v>286240.65519663889</v>
      </c>
      <c r="L870" s="46">
        <f>EFEITO!$N$870*EFEITO!$AA$873</f>
        <v>300725.44514980773</v>
      </c>
      <c r="M870" s="46">
        <f>$J$870-EFEITO!$K$870*EFEITO!$Y$870</f>
        <v>0</v>
      </c>
      <c r="N870" s="46">
        <f ca="1">$K$870-EFEITO!$M$870*EFEITO!$Z$870</f>
        <v>28624.065519663855</v>
      </c>
      <c r="O870" s="46">
        <f>$L$870-EFEITO!$O$870*EFEITO!$AA$870</f>
        <v>30072.544514980807</v>
      </c>
      <c r="P870" s="38"/>
      <c r="Q870" s="38"/>
      <c r="R870" s="38"/>
      <c r="S870" s="38"/>
      <c r="T870" s="38"/>
      <c r="U870" s="38"/>
      <c r="V870" s="38"/>
      <c r="W870" s="38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35" t="s">
        <v>55</v>
      </c>
      <c r="B871" s="35" t="s">
        <v>22</v>
      </c>
      <c r="C871" s="35" t="s">
        <v>23</v>
      </c>
      <c r="D871" s="35" t="s">
        <v>24</v>
      </c>
      <c r="E871" s="35" t="s">
        <v>31</v>
      </c>
      <c r="F871" s="35" t="s">
        <v>25</v>
      </c>
      <c r="G871" s="35" t="s">
        <v>25</v>
      </c>
      <c r="H871" s="35" t="s">
        <v>25</v>
      </c>
      <c r="I871" s="45">
        <v>44562</v>
      </c>
      <c r="J871" s="46">
        <f>EFEITO!$J$871*EFEITO!$Y$728</f>
        <v>0</v>
      </c>
      <c r="K871" s="46">
        <f ca="1">EFEITO!$L$871*EFEITO!$Z$873</f>
        <v>-37.00065595760055</v>
      </c>
      <c r="L871" s="46">
        <f>EFEITO!$N$871*EFEITO!$AA$873</f>
        <v>-38.873020067817976</v>
      </c>
      <c r="M871" s="46">
        <f>$J$871-EFEITO!$K$871*EFEITO!$Y$871</f>
        <v>0</v>
      </c>
      <c r="N871" s="46">
        <f ca="1">$K$871-EFEITO!$M$871*EFEITO!$Z$871</f>
        <v>-3.7000655957600515</v>
      </c>
      <c r="O871" s="46">
        <f>$L$871-EFEITO!$O$871*EFEITO!$AA$871</f>
        <v>-3.8873020067818018</v>
      </c>
      <c r="P871" s="38"/>
      <c r="Q871" s="38"/>
      <c r="R871" s="38"/>
      <c r="S871" s="38"/>
      <c r="T871" s="38"/>
      <c r="U871" s="38"/>
      <c r="V871" s="38"/>
      <c r="W871" s="38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35" t="s">
        <v>55</v>
      </c>
      <c r="B872" s="35" t="s">
        <v>22</v>
      </c>
      <c r="C872" s="35" t="s">
        <v>23</v>
      </c>
      <c r="D872" s="35" t="s">
        <v>24</v>
      </c>
      <c r="E872" s="35" t="s">
        <v>31</v>
      </c>
      <c r="F872" s="35" t="s">
        <v>25</v>
      </c>
      <c r="G872" s="35" t="s">
        <v>25</v>
      </c>
      <c r="H872" s="35" t="s">
        <v>25</v>
      </c>
      <c r="I872" s="45">
        <v>44562</v>
      </c>
      <c r="J872" s="46">
        <f>EFEITO!$J$872*EFEITO!$Y$728</f>
        <v>0</v>
      </c>
      <c r="K872" s="46">
        <f ca="1">EFEITO!$L$872*EFEITO!$Z$873</f>
        <v>368.33556221017835</v>
      </c>
      <c r="L872" s="46">
        <f>EFEITO!$N$872*EFEITO!$AA$873</f>
        <v>386.97464493318148</v>
      </c>
      <c r="M872" s="46">
        <f>$J$872-EFEITO!$K$872*EFEITO!$Y$872</f>
        <v>0</v>
      </c>
      <c r="N872" s="46">
        <f ca="1">$K$872-EFEITO!$M$872*EFEITO!$Z$872</f>
        <v>36.83355622101783</v>
      </c>
      <c r="O872" s="46">
        <f>$L$872-EFEITO!$O$872*EFEITO!$AA$872</f>
        <v>38.697464493318137</v>
      </c>
      <c r="P872" s="38"/>
      <c r="Q872" s="38"/>
      <c r="R872" s="38"/>
      <c r="S872" s="38"/>
      <c r="T872" s="38"/>
      <c r="U872" s="38"/>
      <c r="V872" s="38"/>
      <c r="W872" s="38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35" t="s">
        <v>21</v>
      </c>
      <c r="B873" s="35" t="s">
        <v>22</v>
      </c>
      <c r="C873" s="35" t="s">
        <v>23</v>
      </c>
      <c r="D873" s="35" t="s">
        <v>24</v>
      </c>
      <c r="E873" s="35" t="s">
        <v>32</v>
      </c>
      <c r="F873" s="35" t="s">
        <v>25</v>
      </c>
      <c r="G873" s="35" t="s">
        <v>25</v>
      </c>
      <c r="H873" s="35" t="s">
        <v>25</v>
      </c>
      <c r="I873" s="45">
        <v>44228</v>
      </c>
      <c r="J873" s="46">
        <f>EFEITO!$J$873*EFEITO!$Y$728</f>
        <v>0</v>
      </c>
      <c r="K873" s="46">
        <f ca="1">EFEITO!$L$873*EFEITO!$Z$873</f>
        <v>54684.104938420765</v>
      </c>
      <c r="L873" s="46">
        <f>EFEITO!$N$873*EFEITO!$AA$873</f>
        <v>57451.314136100686</v>
      </c>
      <c r="M873" s="46">
        <f>$J$873-EFEITO!$K$873*EFEITO!$Y$873</f>
        <v>0</v>
      </c>
      <c r="N873" s="46">
        <f ca="1">$K$873-EFEITO!$M$873*EFEITO!$Z$873</f>
        <v>0</v>
      </c>
      <c r="O873" s="46">
        <f>$L$873-EFEITO!$O$873*EFEITO!$AA$873</f>
        <v>0</v>
      </c>
      <c r="P873" s="38"/>
      <c r="Q873" s="38"/>
      <c r="R873" s="38"/>
      <c r="S873" s="38"/>
      <c r="T873" s="38"/>
      <c r="U873" s="38"/>
      <c r="V873" s="38"/>
      <c r="W873" s="38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35" t="s">
        <v>28</v>
      </c>
      <c r="B874" s="35" t="s">
        <v>22</v>
      </c>
      <c r="C874" s="35" t="s">
        <v>23</v>
      </c>
      <c r="D874" s="35" t="s">
        <v>24</v>
      </c>
      <c r="E874" s="35" t="s">
        <v>32</v>
      </c>
      <c r="F874" s="35" t="s">
        <v>25</v>
      </c>
      <c r="G874" s="35" t="s">
        <v>25</v>
      </c>
      <c r="H874" s="35" t="s">
        <v>25</v>
      </c>
      <c r="I874" s="45">
        <v>44228</v>
      </c>
      <c r="J874" s="46">
        <f>EFEITO!$J$874*EFEITO!$Y$728</f>
        <v>0</v>
      </c>
      <c r="K874" s="46">
        <f ca="1">EFEITO!$L$874*EFEITO!$Z$873</f>
        <v>339.68989308171342</v>
      </c>
      <c r="L874" s="46">
        <f>EFEITO!$N$874*EFEITO!$AA$873</f>
        <v>356.87940359035468</v>
      </c>
      <c r="M874" s="46">
        <f>$J$874-EFEITO!$K$874*EFEITO!$Y$874</f>
        <v>0</v>
      </c>
      <c r="N874" s="46">
        <f ca="1">$K$874-EFEITO!$M$874*EFEITO!$Z$874</f>
        <v>0</v>
      </c>
      <c r="O874" s="46">
        <f>$L$874-EFEITO!$O$874*EFEITO!$AA$874</f>
        <v>0</v>
      </c>
      <c r="P874" s="38"/>
      <c r="Q874" s="38"/>
      <c r="R874" s="38"/>
      <c r="S874" s="38"/>
      <c r="T874" s="38"/>
      <c r="U874" s="38"/>
      <c r="V874" s="38"/>
      <c r="W874" s="38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35" t="s">
        <v>21</v>
      </c>
      <c r="B875" s="35" t="s">
        <v>22</v>
      </c>
      <c r="C875" s="35" t="s">
        <v>23</v>
      </c>
      <c r="D875" s="35" t="s">
        <v>24</v>
      </c>
      <c r="E875" s="35" t="s">
        <v>32</v>
      </c>
      <c r="F875" s="35" t="s">
        <v>25</v>
      </c>
      <c r="G875" s="35" t="s">
        <v>25</v>
      </c>
      <c r="H875" s="35" t="s">
        <v>25</v>
      </c>
      <c r="I875" s="45">
        <v>44256</v>
      </c>
      <c r="J875" s="46">
        <f>EFEITO!$J$875*EFEITO!$Y$728</f>
        <v>0</v>
      </c>
      <c r="K875" s="46">
        <f ca="1">EFEITO!$L$875*EFEITO!$Z$873</f>
        <v>68844.375330349198</v>
      </c>
      <c r="L875" s="46">
        <f>EFEITO!$N$875*EFEITO!$AA$873</f>
        <v>72328.14431289355</v>
      </c>
      <c r="M875" s="46">
        <f>$J$875-EFEITO!$K$875*EFEITO!$Y$875</f>
        <v>0</v>
      </c>
      <c r="N875" s="46">
        <f ca="1">$K$875-EFEITO!$M$875*EFEITO!$Z$875</f>
        <v>0</v>
      </c>
      <c r="O875" s="46">
        <f>$L$875-EFEITO!$O$875*EFEITO!$AA$875</f>
        <v>0</v>
      </c>
      <c r="P875" s="38"/>
      <c r="Q875" s="38"/>
      <c r="R875" s="38"/>
      <c r="S875" s="38"/>
      <c r="T875" s="38"/>
      <c r="U875" s="38"/>
      <c r="V875" s="38"/>
      <c r="W875" s="38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35" t="s">
        <v>27</v>
      </c>
      <c r="B876" s="35" t="s">
        <v>22</v>
      </c>
      <c r="C876" s="35" t="s">
        <v>23</v>
      </c>
      <c r="D876" s="35" t="s">
        <v>24</v>
      </c>
      <c r="E876" s="35" t="s">
        <v>32</v>
      </c>
      <c r="F876" s="35" t="s">
        <v>25</v>
      </c>
      <c r="G876" s="35" t="s">
        <v>25</v>
      </c>
      <c r="H876" s="35" t="s">
        <v>25</v>
      </c>
      <c r="I876" s="45">
        <v>44256</v>
      </c>
      <c r="J876" s="46">
        <f>EFEITO!$J$876*EFEITO!$Y$728</f>
        <v>0</v>
      </c>
      <c r="K876" s="46">
        <f ca="1">EFEITO!$L$876*EFEITO!$Z$873</f>
        <v>-149.67362119622931</v>
      </c>
      <c r="L876" s="46">
        <f>EFEITO!$N$876*EFEITO!$AA$873</f>
        <v>-157.24763601627012</v>
      </c>
      <c r="M876" s="46">
        <f>$J$876-EFEITO!$K$876*EFEITO!$Y$876</f>
        <v>0</v>
      </c>
      <c r="N876" s="46">
        <f ca="1">$K$876-EFEITO!$M$876*EFEITO!$Z$876</f>
        <v>0</v>
      </c>
      <c r="O876" s="46">
        <f>$L$876-EFEITO!$O$876*EFEITO!$AA$876</f>
        <v>0</v>
      </c>
      <c r="P876" s="38"/>
      <c r="Q876" s="38"/>
      <c r="R876" s="38"/>
      <c r="S876" s="38"/>
      <c r="T876" s="38"/>
      <c r="U876" s="38"/>
      <c r="V876" s="38"/>
      <c r="W876" s="38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35" t="s">
        <v>28</v>
      </c>
      <c r="B877" s="35" t="s">
        <v>22</v>
      </c>
      <c r="C877" s="35" t="s">
        <v>23</v>
      </c>
      <c r="D877" s="35" t="s">
        <v>24</v>
      </c>
      <c r="E877" s="35" t="s">
        <v>32</v>
      </c>
      <c r="F877" s="35" t="s">
        <v>25</v>
      </c>
      <c r="G877" s="35" t="s">
        <v>25</v>
      </c>
      <c r="H877" s="35" t="s">
        <v>25</v>
      </c>
      <c r="I877" s="45">
        <v>44256</v>
      </c>
      <c r="J877" s="46">
        <f>EFEITO!$J$877*EFEITO!$Y$728</f>
        <v>0</v>
      </c>
      <c r="K877" s="46">
        <f ca="1">EFEITO!$L$877*EFEITO!$Z$873</f>
        <v>372.87112648885198</v>
      </c>
      <c r="L877" s="46">
        <f>EFEITO!$N$877*EFEITO!$AA$873</f>
        <v>391.73972481246244</v>
      </c>
      <c r="M877" s="46">
        <f>$J$877-EFEITO!$K$877*EFEITO!$Y$877</f>
        <v>0</v>
      </c>
      <c r="N877" s="46">
        <f ca="1">$K$877-EFEITO!$M$877*EFEITO!$Z$877</f>
        <v>0</v>
      </c>
      <c r="O877" s="46">
        <f>$L$877-EFEITO!$O$877*EFEITO!$AA$877</f>
        <v>0</v>
      </c>
      <c r="P877" s="38"/>
      <c r="Q877" s="38"/>
      <c r="R877" s="38"/>
      <c r="S877" s="38"/>
      <c r="T877" s="38"/>
      <c r="U877" s="38"/>
      <c r="V877" s="38"/>
      <c r="W877" s="38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35" t="s">
        <v>21</v>
      </c>
      <c r="B878" s="35" t="s">
        <v>22</v>
      </c>
      <c r="C878" s="35" t="s">
        <v>23</v>
      </c>
      <c r="D878" s="35" t="s">
        <v>24</v>
      </c>
      <c r="E878" s="35" t="s">
        <v>32</v>
      </c>
      <c r="F878" s="35" t="s">
        <v>25</v>
      </c>
      <c r="G878" s="35" t="s">
        <v>25</v>
      </c>
      <c r="H878" s="35" t="s">
        <v>25</v>
      </c>
      <c r="I878" s="45">
        <v>44287</v>
      </c>
      <c r="J878" s="46">
        <f>EFEITO!$J$878*EFEITO!$Y$728</f>
        <v>0</v>
      </c>
      <c r="K878" s="46">
        <f ca="1">EFEITO!$L$878*EFEITO!$Z$873</f>
        <v>69307.241600683308</v>
      </c>
      <c r="L878" s="46">
        <f>EFEITO!$N$878*EFEITO!$AA$873</f>
        <v>72814.433254258067</v>
      </c>
      <c r="M878" s="46">
        <f>$J$878-EFEITO!$K$878*EFEITO!$Y$878</f>
        <v>0</v>
      </c>
      <c r="N878" s="46">
        <f ca="1">$K$878-EFEITO!$M$878*EFEITO!$Z$878</f>
        <v>0</v>
      </c>
      <c r="O878" s="46">
        <f>$L$878-EFEITO!$O$878*EFEITO!$AA$878</f>
        <v>0</v>
      </c>
      <c r="P878" s="38"/>
      <c r="Q878" s="38"/>
      <c r="R878" s="38"/>
      <c r="S878" s="38"/>
      <c r="T878" s="38"/>
      <c r="U878" s="38"/>
      <c r="V878" s="38"/>
      <c r="W878" s="38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35" t="s">
        <v>28</v>
      </c>
      <c r="B879" s="35" t="s">
        <v>22</v>
      </c>
      <c r="C879" s="35" t="s">
        <v>23</v>
      </c>
      <c r="D879" s="35" t="s">
        <v>24</v>
      </c>
      <c r="E879" s="35" t="s">
        <v>32</v>
      </c>
      <c r="F879" s="35" t="s">
        <v>25</v>
      </c>
      <c r="G879" s="35" t="s">
        <v>25</v>
      </c>
      <c r="H879" s="35" t="s">
        <v>25</v>
      </c>
      <c r="I879" s="45">
        <v>44287</v>
      </c>
      <c r="J879" s="46">
        <f>EFEITO!$J$879*EFEITO!$Y$728</f>
        <v>0</v>
      </c>
      <c r="K879" s="46">
        <f ca="1">EFEITO!$L$879*EFEITO!$Z$873</f>
        <v>403.42650689254793</v>
      </c>
      <c r="L879" s="46">
        <f>EFEITO!$N$879*EFEITO!$AA$873</f>
        <v>423.84131557814436</v>
      </c>
      <c r="M879" s="46">
        <f>$J$879-EFEITO!$K$879*EFEITO!$Y$879</f>
        <v>0</v>
      </c>
      <c r="N879" s="46">
        <f ca="1">$K$879-EFEITO!$M$879*EFEITO!$Z$879</f>
        <v>0</v>
      </c>
      <c r="O879" s="46">
        <f>$L$879-EFEITO!$O$879*EFEITO!$AA$879</f>
        <v>0</v>
      </c>
      <c r="P879" s="38"/>
      <c r="Q879" s="38"/>
      <c r="R879" s="38"/>
      <c r="S879" s="38"/>
      <c r="T879" s="38"/>
      <c r="U879" s="38"/>
      <c r="V879" s="38"/>
      <c r="W879" s="38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35" t="s">
        <v>21</v>
      </c>
      <c r="B880" s="35" t="s">
        <v>22</v>
      </c>
      <c r="C880" s="35" t="s">
        <v>23</v>
      </c>
      <c r="D880" s="35" t="s">
        <v>24</v>
      </c>
      <c r="E880" s="35" t="s">
        <v>32</v>
      </c>
      <c r="F880" s="35" t="s">
        <v>25</v>
      </c>
      <c r="G880" s="35" t="s">
        <v>25</v>
      </c>
      <c r="H880" s="35" t="s">
        <v>25</v>
      </c>
      <c r="I880" s="45">
        <v>44317</v>
      </c>
      <c r="J880" s="46">
        <f>EFEITO!$J$880*EFEITO!$Y$728</f>
        <v>0</v>
      </c>
      <c r="K880" s="46">
        <f ca="1">EFEITO!$L$880*EFEITO!$Z$873</f>
        <v>57265.795868623667</v>
      </c>
      <c r="L880" s="46">
        <f>EFEITO!$N$880*EFEITO!$AA$873</f>
        <v>60163.64776212295</v>
      </c>
      <c r="M880" s="46">
        <f>$J$880-EFEITO!$K$880*EFEITO!$Y$880</f>
        <v>0</v>
      </c>
      <c r="N880" s="46">
        <f ca="1">$K$880-EFEITO!$M$880*EFEITO!$Z$880</f>
        <v>0</v>
      </c>
      <c r="O880" s="46">
        <f>$L$880-EFEITO!$O$880*EFEITO!$AA$880</f>
        <v>0</v>
      </c>
      <c r="P880" s="38"/>
      <c r="Q880" s="38"/>
      <c r="R880" s="38"/>
      <c r="S880" s="38"/>
      <c r="T880" s="38"/>
      <c r="U880" s="38"/>
      <c r="V880" s="38"/>
      <c r="W880" s="38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35" t="s">
        <v>27</v>
      </c>
      <c r="B881" s="35" t="s">
        <v>22</v>
      </c>
      <c r="C881" s="35" t="s">
        <v>23</v>
      </c>
      <c r="D881" s="35" t="s">
        <v>24</v>
      </c>
      <c r="E881" s="35" t="s">
        <v>32</v>
      </c>
      <c r="F881" s="35" t="s">
        <v>25</v>
      </c>
      <c r="G881" s="35" t="s">
        <v>25</v>
      </c>
      <c r="H881" s="35" t="s">
        <v>25</v>
      </c>
      <c r="I881" s="45">
        <v>44317</v>
      </c>
      <c r="J881" s="46">
        <f>EFEITO!$J$881*EFEITO!$Y$728</f>
        <v>0</v>
      </c>
      <c r="K881" s="46">
        <f ca="1">EFEITO!$L$881*EFEITO!$Z$873</f>
        <v>-1.6709973658271216</v>
      </c>
      <c r="L881" s="46">
        <f>EFEITO!$N$881*EFEITO!$AA$873</f>
        <v>-1.7555557449982311</v>
      </c>
      <c r="M881" s="46">
        <f>$J$881-EFEITO!$K$881*EFEITO!$Y$881</f>
        <v>0</v>
      </c>
      <c r="N881" s="46">
        <f ca="1">$K$881-EFEITO!$M$881*EFEITO!$Z$881</f>
        <v>0</v>
      </c>
      <c r="O881" s="46">
        <f>$L$881-EFEITO!$O$881*EFEITO!$AA$881</f>
        <v>0</v>
      </c>
      <c r="P881" s="38"/>
      <c r="Q881" s="38"/>
      <c r="R881" s="38"/>
      <c r="S881" s="38"/>
      <c r="T881" s="38"/>
      <c r="U881" s="38"/>
      <c r="V881" s="38"/>
      <c r="W881" s="38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35" t="s">
        <v>28</v>
      </c>
      <c r="B882" s="35" t="s">
        <v>22</v>
      </c>
      <c r="C882" s="35" t="s">
        <v>23</v>
      </c>
      <c r="D882" s="35" t="s">
        <v>24</v>
      </c>
      <c r="E882" s="35" t="s">
        <v>32</v>
      </c>
      <c r="F882" s="35" t="s">
        <v>25</v>
      </c>
      <c r="G882" s="35" t="s">
        <v>25</v>
      </c>
      <c r="H882" s="35" t="s">
        <v>25</v>
      </c>
      <c r="I882" s="45">
        <v>44317</v>
      </c>
      <c r="J882" s="46">
        <f>EFEITO!$J$882*EFEITO!$Y$728</f>
        <v>0</v>
      </c>
      <c r="K882" s="46">
        <f ca="1">EFEITO!$L$882*EFEITO!$Z$873</f>
        <v>362.84514229388924</v>
      </c>
      <c r="L882" s="46">
        <f>EFEITO!$N$882*EFEITO!$AA$873</f>
        <v>381.20639034247301</v>
      </c>
      <c r="M882" s="46">
        <f>$J$882-EFEITO!$K$882*EFEITO!$Y$882</f>
        <v>0</v>
      </c>
      <c r="N882" s="46">
        <f ca="1">$K$882-EFEITO!$M$882*EFEITO!$Z$882</f>
        <v>0</v>
      </c>
      <c r="O882" s="46">
        <f>$L$882-EFEITO!$O$882*EFEITO!$AA$882</f>
        <v>0</v>
      </c>
      <c r="P882" s="38"/>
      <c r="Q882" s="38"/>
      <c r="R882" s="38"/>
      <c r="S882" s="38"/>
      <c r="T882" s="38"/>
      <c r="U882" s="38"/>
      <c r="V882" s="38"/>
      <c r="W882" s="38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35" t="s">
        <v>21</v>
      </c>
      <c r="B883" s="35" t="s">
        <v>22</v>
      </c>
      <c r="C883" s="35" t="s">
        <v>23</v>
      </c>
      <c r="D883" s="35" t="s">
        <v>24</v>
      </c>
      <c r="E883" s="35" t="s">
        <v>32</v>
      </c>
      <c r="F883" s="35" t="s">
        <v>25</v>
      </c>
      <c r="G883" s="35" t="s">
        <v>25</v>
      </c>
      <c r="H883" s="35" t="s">
        <v>25</v>
      </c>
      <c r="I883" s="45">
        <v>44348</v>
      </c>
      <c r="J883" s="46">
        <f>EFEITO!$J$883*EFEITO!$Y$728</f>
        <v>0</v>
      </c>
      <c r="K883" s="46">
        <f ca="1">EFEITO!$L$883*EFEITO!$Z$873</f>
        <v>48246.229515707673</v>
      </c>
      <c r="L883" s="46">
        <f>EFEITO!$N$883*EFEITO!$AA$873</f>
        <v>50687.659437978218</v>
      </c>
      <c r="M883" s="46">
        <f>$J$883-EFEITO!$K$883*EFEITO!$Y$883</f>
        <v>0</v>
      </c>
      <c r="N883" s="46">
        <f ca="1">$K$883-EFEITO!$M$883*EFEITO!$Z$883</f>
        <v>0</v>
      </c>
      <c r="O883" s="46">
        <f>$L$883-EFEITO!$O$883*EFEITO!$AA$883</f>
        <v>0</v>
      </c>
      <c r="P883" s="38"/>
      <c r="Q883" s="38"/>
      <c r="R883" s="38"/>
      <c r="S883" s="38"/>
      <c r="T883" s="38"/>
      <c r="U883" s="38"/>
      <c r="V883" s="38"/>
      <c r="W883" s="38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35" t="s">
        <v>27</v>
      </c>
      <c r="B884" s="35" t="s">
        <v>22</v>
      </c>
      <c r="C884" s="35" t="s">
        <v>23</v>
      </c>
      <c r="D884" s="35" t="s">
        <v>24</v>
      </c>
      <c r="E884" s="35" t="s">
        <v>32</v>
      </c>
      <c r="F884" s="35" t="s">
        <v>25</v>
      </c>
      <c r="G884" s="35" t="s">
        <v>25</v>
      </c>
      <c r="H884" s="35" t="s">
        <v>25</v>
      </c>
      <c r="I884" s="45">
        <v>44348</v>
      </c>
      <c r="J884" s="46">
        <f>EFEITO!$J$884*EFEITO!$Y$728</f>
        <v>0</v>
      </c>
      <c r="K884" s="46">
        <f ca="1">EFEITO!$L$884*EFEITO!$Z$873</f>
        <v>-486.49894736509623</v>
      </c>
      <c r="L884" s="46">
        <f>EFEITO!$N$884*EFEITO!$AA$873</f>
        <v>-511.11751547234206</v>
      </c>
      <c r="M884" s="46">
        <f>$J$884-EFEITO!$K$884*EFEITO!$Y$884</f>
        <v>0</v>
      </c>
      <c r="N884" s="46">
        <f ca="1">$K$884-EFEITO!$M$884*EFEITO!$Z$884</f>
        <v>0</v>
      </c>
      <c r="O884" s="46">
        <f>$L$884-EFEITO!$O$884*EFEITO!$AA$884</f>
        <v>0</v>
      </c>
      <c r="P884" s="38"/>
      <c r="Q884" s="38"/>
      <c r="R884" s="38"/>
      <c r="S884" s="38"/>
      <c r="T884" s="38"/>
      <c r="U884" s="38"/>
      <c r="V884" s="38"/>
      <c r="W884" s="38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35" t="s">
        <v>28</v>
      </c>
      <c r="B885" s="35" t="s">
        <v>22</v>
      </c>
      <c r="C885" s="35" t="s">
        <v>23</v>
      </c>
      <c r="D885" s="35" t="s">
        <v>24</v>
      </c>
      <c r="E885" s="35" t="s">
        <v>32</v>
      </c>
      <c r="F885" s="35" t="s">
        <v>25</v>
      </c>
      <c r="G885" s="35" t="s">
        <v>25</v>
      </c>
      <c r="H885" s="35" t="s">
        <v>25</v>
      </c>
      <c r="I885" s="45">
        <v>44348</v>
      </c>
      <c r="J885" s="46">
        <f>EFEITO!$J$885*EFEITO!$Y$728</f>
        <v>0</v>
      </c>
      <c r="K885" s="46">
        <f ca="1">EFEITO!$L$885*EFEITO!$Z$873</f>
        <v>334.19947316542431</v>
      </c>
      <c r="L885" s="46">
        <f>EFEITO!$N$885*EFEITO!$AA$873</f>
        <v>351.11114899964622</v>
      </c>
      <c r="M885" s="46">
        <f>$J$885-EFEITO!$K$885*EFEITO!$Y$885</f>
        <v>0</v>
      </c>
      <c r="N885" s="46">
        <f ca="1">$K$885-EFEITO!$M$885*EFEITO!$Z$885</f>
        <v>0</v>
      </c>
      <c r="O885" s="46">
        <f>$L$885-EFEITO!$O$885*EFEITO!$AA$885</f>
        <v>0</v>
      </c>
      <c r="P885" s="38"/>
      <c r="Q885" s="38"/>
      <c r="R885" s="38"/>
      <c r="S885" s="38"/>
      <c r="T885" s="38"/>
      <c r="U885" s="38"/>
      <c r="V885" s="38"/>
      <c r="W885" s="38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35" t="s">
        <v>21</v>
      </c>
      <c r="B886" s="35" t="s">
        <v>22</v>
      </c>
      <c r="C886" s="35" t="s">
        <v>23</v>
      </c>
      <c r="D886" s="35" t="s">
        <v>24</v>
      </c>
      <c r="E886" s="35" t="s">
        <v>32</v>
      </c>
      <c r="F886" s="35" t="s">
        <v>25</v>
      </c>
      <c r="G886" s="35" t="s">
        <v>25</v>
      </c>
      <c r="H886" s="35" t="s">
        <v>25</v>
      </c>
      <c r="I886" s="45">
        <v>44378</v>
      </c>
      <c r="J886" s="46">
        <f>EFEITO!$J$886*EFEITO!$Y$728</f>
        <v>0</v>
      </c>
      <c r="K886" s="46">
        <f ca="1">EFEITO!$L$886*EFEITO!$Z$873</f>
        <v>55439.634461684029</v>
      </c>
      <c r="L886" s="46">
        <f>EFEITO!$N$886*EFEITO!$AA$873</f>
        <v>58245.076126517743</v>
      </c>
      <c r="M886" s="46">
        <f>$J$886-EFEITO!$K$886*EFEITO!$Y$886</f>
        <v>0</v>
      </c>
      <c r="N886" s="46">
        <f ca="1">$K$886-EFEITO!$M$886*EFEITO!$Z$886</f>
        <v>0</v>
      </c>
      <c r="O886" s="46">
        <f>$L$886-EFEITO!$O$886*EFEITO!$AA$886</f>
        <v>0</v>
      </c>
      <c r="P886" s="38"/>
      <c r="Q886" s="38"/>
      <c r="R886" s="38"/>
      <c r="S886" s="38"/>
      <c r="T886" s="38"/>
      <c r="U886" s="38"/>
      <c r="V886" s="38"/>
      <c r="W886" s="38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35" t="s">
        <v>27</v>
      </c>
      <c r="B887" s="35" t="s">
        <v>22</v>
      </c>
      <c r="C887" s="35" t="s">
        <v>23</v>
      </c>
      <c r="D887" s="35" t="s">
        <v>24</v>
      </c>
      <c r="E887" s="35" t="s">
        <v>32</v>
      </c>
      <c r="F887" s="35" t="s">
        <v>25</v>
      </c>
      <c r="G887" s="35" t="s">
        <v>25</v>
      </c>
      <c r="H887" s="35" t="s">
        <v>25</v>
      </c>
      <c r="I887" s="45">
        <v>44378</v>
      </c>
      <c r="J887" s="46">
        <f>EFEITO!$J$887*EFEITO!$Y$728</f>
        <v>0</v>
      </c>
      <c r="K887" s="46">
        <f ca="1">EFEITO!$L$887*EFEITO!$Z$873</f>
        <v>-4461.3242528490109</v>
      </c>
      <c r="L887" s="46">
        <f>EFEITO!$N$887*EFEITO!$AA$873</f>
        <v>-4687.0830454674206</v>
      </c>
      <c r="M887" s="46">
        <f>$J$887-EFEITO!$K$887*EFEITO!$Y$887</f>
        <v>0</v>
      </c>
      <c r="N887" s="46">
        <f ca="1">$K$887-EFEITO!$M$887*EFEITO!$Z$887</f>
        <v>0</v>
      </c>
      <c r="O887" s="46">
        <f>$L$887-EFEITO!$O$887*EFEITO!$AA$887</f>
        <v>0</v>
      </c>
      <c r="P887" s="38"/>
      <c r="Q887" s="38"/>
      <c r="R887" s="38"/>
      <c r="S887" s="38"/>
      <c r="T887" s="38"/>
      <c r="U887" s="38"/>
      <c r="V887" s="38"/>
      <c r="W887" s="38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35" t="s">
        <v>28</v>
      </c>
      <c r="B888" s="35" t="s">
        <v>22</v>
      </c>
      <c r="C888" s="35" t="s">
        <v>23</v>
      </c>
      <c r="D888" s="35" t="s">
        <v>24</v>
      </c>
      <c r="E888" s="35" t="s">
        <v>32</v>
      </c>
      <c r="F888" s="35" t="s">
        <v>25</v>
      </c>
      <c r="G888" s="35" t="s">
        <v>25</v>
      </c>
      <c r="H888" s="35" t="s">
        <v>25</v>
      </c>
      <c r="I888" s="45">
        <v>44378</v>
      </c>
      <c r="J888" s="46">
        <f>EFEITO!$J$888*EFEITO!$Y$728</f>
        <v>0</v>
      </c>
      <c r="K888" s="46">
        <f ca="1">EFEITO!$L$888*EFEITO!$Z$873</f>
        <v>317.96692732596085</v>
      </c>
      <c r="L888" s="46">
        <f>EFEITO!$N$888*EFEITO!$AA$873</f>
        <v>334.05717890537773</v>
      </c>
      <c r="M888" s="46">
        <f>$J$888-EFEITO!$K$888*EFEITO!$Y$888</f>
        <v>0</v>
      </c>
      <c r="N888" s="46">
        <f ca="1">$K$888-EFEITO!$M$888*EFEITO!$Z$888</f>
        <v>0</v>
      </c>
      <c r="O888" s="46">
        <f>$L$888-EFEITO!$O$888*EFEITO!$AA$888</f>
        <v>0</v>
      </c>
      <c r="P888" s="38"/>
      <c r="Q888" s="38"/>
      <c r="R888" s="38"/>
      <c r="S888" s="38"/>
      <c r="T888" s="38"/>
      <c r="U888" s="38"/>
      <c r="V888" s="38"/>
      <c r="W888" s="38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35" t="s">
        <v>21</v>
      </c>
      <c r="B889" s="35" t="s">
        <v>22</v>
      </c>
      <c r="C889" s="35" t="s">
        <v>23</v>
      </c>
      <c r="D889" s="35" t="s">
        <v>24</v>
      </c>
      <c r="E889" s="35" t="s">
        <v>32</v>
      </c>
      <c r="F889" s="35" t="s">
        <v>25</v>
      </c>
      <c r="G889" s="35" t="s">
        <v>25</v>
      </c>
      <c r="H889" s="35" t="s">
        <v>25</v>
      </c>
      <c r="I889" s="45">
        <v>44409</v>
      </c>
      <c r="J889" s="46">
        <f>EFEITO!$J$889*EFEITO!$Y$728</f>
        <v>0</v>
      </c>
      <c r="K889" s="46">
        <f ca="1">EFEITO!$L$889*EFEITO!$Z$873</f>
        <v>44569.557883069196</v>
      </c>
      <c r="L889" s="46">
        <f>EFEITO!$N$889*EFEITO!$AA$873</f>
        <v>46824.935211626391</v>
      </c>
      <c r="M889" s="46">
        <f>$J$889-EFEITO!$K$889*EFEITO!$Y$889</f>
        <v>0</v>
      </c>
      <c r="N889" s="46">
        <f ca="1">$K$889-EFEITO!$M$889*EFEITO!$Z$889</f>
        <v>0</v>
      </c>
      <c r="O889" s="46">
        <f>$L$889-EFEITO!$O$889*EFEITO!$AA$889</f>
        <v>0</v>
      </c>
      <c r="P889" s="38"/>
      <c r="Q889" s="38"/>
      <c r="R889" s="38"/>
      <c r="S889" s="38"/>
      <c r="T889" s="38"/>
      <c r="U889" s="38"/>
      <c r="V889" s="38"/>
      <c r="W889" s="38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35" t="s">
        <v>27</v>
      </c>
      <c r="B890" s="35" t="s">
        <v>22</v>
      </c>
      <c r="C890" s="35" t="s">
        <v>23</v>
      </c>
      <c r="D890" s="35" t="s">
        <v>24</v>
      </c>
      <c r="E890" s="35" t="s">
        <v>32</v>
      </c>
      <c r="F890" s="35" t="s">
        <v>25</v>
      </c>
      <c r="G890" s="35" t="s">
        <v>25</v>
      </c>
      <c r="H890" s="35" t="s">
        <v>25</v>
      </c>
      <c r="I890" s="45">
        <v>44409</v>
      </c>
      <c r="J890" s="46">
        <f>EFEITO!$J$890*EFEITO!$Y$728</f>
        <v>0</v>
      </c>
      <c r="K890" s="46">
        <f ca="1">EFEITO!$L$890*EFEITO!$Z$873</f>
        <v>-53.949343525275644</v>
      </c>
      <c r="L890" s="46">
        <f>EFEITO!$N$890*EFEITO!$AA$873</f>
        <v>-56.679371195657176</v>
      </c>
      <c r="M890" s="46">
        <f>$J$890-EFEITO!$K$890*EFEITO!$Y$890</f>
        <v>0</v>
      </c>
      <c r="N890" s="46">
        <f ca="1">$K$890-EFEITO!$M$890*EFEITO!$Z$890</f>
        <v>0</v>
      </c>
      <c r="O890" s="46">
        <f>$L$890-EFEITO!$O$890*EFEITO!$AA$890</f>
        <v>0</v>
      </c>
      <c r="P890" s="38"/>
      <c r="Q890" s="38"/>
      <c r="R890" s="38"/>
      <c r="S890" s="38"/>
      <c r="T890" s="38"/>
      <c r="U890" s="38"/>
      <c r="V890" s="38"/>
      <c r="W890" s="38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35" t="s">
        <v>28</v>
      </c>
      <c r="B891" s="35" t="s">
        <v>22</v>
      </c>
      <c r="C891" s="35" t="s">
        <v>23</v>
      </c>
      <c r="D891" s="35" t="s">
        <v>24</v>
      </c>
      <c r="E891" s="35" t="s">
        <v>32</v>
      </c>
      <c r="F891" s="35" t="s">
        <v>25</v>
      </c>
      <c r="G891" s="35" t="s">
        <v>25</v>
      </c>
      <c r="H891" s="35" t="s">
        <v>25</v>
      </c>
      <c r="I891" s="45">
        <v>44409</v>
      </c>
      <c r="J891" s="46">
        <f>EFEITO!$J$891*EFEITO!$Y$728</f>
        <v>0</v>
      </c>
      <c r="K891" s="46">
        <f ca="1">EFEITO!$L$891*EFEITO!$Z$873</f>
        <v>256.37873869976124</v>
      </c>
      <c r="L891" s="46">
        <f>EFEITO!$N$891*EFEITO!$AA$873</f>
        <v>269.35241001830002</v>
      </c>
      <c r="M891" s="46">
        <f>$J$891-EFEITO!$K$891*EFEITO!$Y$891</f>
        <v>0</v>
      </c>
      <c r="N891" s="46">
        <f ca="1">$K$891-EFEITO!$M$891*EFEITO!$Z$891</f>
        <v>0</v>
      </c>
      <c r="O891" s="46">
        <f>$L$891-EFEITO!$O$891*EFEITO!$AA$891</f>
        <v>0</v>
      </c>
      <c r="P891" s="38"/>
      <c r="Q891" s="38"/>
      <c r="R891" s="38"/>
      <c r="S891" s="38"/>
      <c r="T891" s="38"/>
      <c r="U891" s="38"/>
      <c r="V891" s="38"/>
      <c r="W891" s="38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35" t="s">
        <v>21</v>
      </c>
      <c r="B892" s="35" t="s">
        <v>22</v>
      </c>
      <c r="C892" s="35" t="s">
        <v>23</v>
      </c>
      <c r="D892" s="35" t="s">
        <v>24</v>
      </c>
      <c r="E892" s="35" t="s">
        <v>32</v>
      </c>
      <c r="F892" s="35" t="s">
        <v>25</v>
      </c>
      <c r="G892" s="35" t="s">
        <v>25</v>
      </c>
      <c r="H892" s="35" t="s">
        <v>25</v>
      </c>
      <c r="I892" s="45">
        <v>44440</v>
      </c>
      <c r="J892" s="46">
        <f>EFEITO!$J$892*EFEITO!$Y$728</f>
        <v>0</v>
      </c>
      <c r="K892" s="46">
        <f ca="1">EFEITO!$L$892*EFEITO!$Z$873</f>
        <v>47485.448286437524</v>
      </c>
      <c r="L892" s="46">
        <f>EFEITO!$N$892*EFEITO!$AA$873</f>
        <v>49888.379986648302</v>
      </c>
      <c r="M892" s="46">
        <f>$J$892-EFEITO!$K$892*EFEITO!$Y$892</f>
        <v>0</v>
      </c>
      <c r="N892" s="46">
        <f ca="1">$K$892-EFEITO!$M$892*EFEITO!$Z$892</f>
        <v>0</v>
      </c>
      <c r="O892" s="46">
        <f>$L$892-EFEITO!$O$892*EFEITO!$AA$892</f>
        <v>0</v>
      </c>
      <c r="P892" s="38"/>
      <c r="Q892" s="38"/>
      <c r="R892" s="38"/>
      <c r="S892" s="38"/>
      <c r="T892" s="38"/>
      <c r="U892" s="38"/>
      <c r="V892" s="38"/>
      <c r="W892" s="38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35" t="s">
        <v>27</v>
      </c>
      <c r="B893" s="35" t="s">
        <v>22</v>
      </c>
      <c r="C893" s="35" t="s">
        <v>23</v>
      </c>
      <c r="D893" s="35" t="s">
        <v>24</v>
      </c>
      <c r="E893" s="35" t="s">
        <v>32</v>
      </c>
      <c r="F893" s="35" t="s">
        <v>25</v>
      </c>
      <c r="G893" s="35" t="s">
        <v>25</v>
      </c>
      <c r="H893" s="35" t="s">
        <v>25</v>
      </c>
      <c r="I893" s="45">
        <v>44440</v>
      </c>
      <c r="J893" s="46">
        <f>EFEITO!$J$893*EFEITO!$Y$728</f>
        <v>0</v>
      </c>
      <c r="K893" s="46">
        <f ca="1">EFEITO!$L$893*EFEITO!$Z$873</f>
        <v>-9.0711285573472313</v>
      </c>
      <c r="L893" s="46">
        <f>EFEITO!$N$893*EFEITO!$AA$873</f>
        <v>-9.5301597585618261</v>
      </c>
      <c r="M893" s="46">
        <f>$J$893-EFEITO!$K$893*EFEITO!$Y$893</f>
        <v>0</v>
      </c>
      <c r="N893" s="46">
        <f ca="1">$K$893-EFEITO!$M$893*EFEITO!$Z$893</f>
        <v>0</v>
      </c>
      <c r="O893" s="46">
        <f>$L$893-EFEITO!$O$893*EFEITO!$AA$893</f>
        <v>0</v>
      </c>
      <c r="P893" s="38"/>
      <c r="Q893" s="38"/>
      <c r="R893" s="38"/>
      <c r="S893" s="38"/>
      <c r="T893" s="38"/>
      <c r="U893" s="38"/>
      <c r="V893" s="38"/>
      <c r="W893" s="38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35" t="s">
        <v>28</v>
      </c>
      <c r="B894" s="35" t="s">
        <v>22</v>
      </c>
      <c r="C894" s="35" t="s">
        <v>23</v>
      </c>
      <c r="D894" s="35" t="s">
        <v>24</v>
      </c>
      <c r="E894" s="35" t="s">
        <v>32</v>
      </c>
      <c r="F894" s="35" t="s">
        <v>25</v>
      </c>
      <c r="G894" s="35" t="s">
        <v>25</v>
      </c>
      <c r="H894" s="35" t="s">
        <v>25</v>
      </c>
      <c r="I894" s="45">
        <v>44440</v>
      </c>
      <c r="J894" s="46">
        <f>EFEITO!$J$894*EFEITO!$Y$728</f>
        <v>0</v>
      </c>
      <c r="K894" s="46">
        <f ca="1">EFEITO!$L$894*EFEITO!$Z$873</f>
        <v>676.75393315998417</v>
      </c>
      <c r="L894" s="46">
        <f>EFEITO!$N$894*EFEITO!$AA$873</f>
        <v>711.00007672428353</v>
      </c>
      <c r="M894" s="46">
        <f>$J$894-EFEITO!$K$894*EFEITO!$Y$894</f>
        <v>0</v>
      </c>
      <c r="N894" s="46">
        <f ca="1">$K$894-EFEITO!$M$894*EFEITO!$Z$894</f>
        <v>0</v>
      </c>
      <c r="O894" s="46">
        <f>$L$894-EFEITO!$O$894*EFEITO!$AA$894</f>
        <v>0</v>
      </c>
      <c r="P894" s="38"/>
      <c r="Q894" s="38"/>
      <c r="R894" s="38"/>
      <c r="S894" s="38"/>
      <c r="T894" s="38"/>
      <c r="U894" s="38"/>
      <c r="V894" s="38"/>
      <c r="W894" s="38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35" t="s">
        <v>21</v>
      </c>
      <c r="B895" s="35" t="s">
        <v>22</v>
      </c>
      <c r="C895" s="35" t="s">
        <v>23</v>
      </c>
      <c r="D895" s="35" t="s">
        <v>24</v>
      </c>
      <c r="E895" s="35" t="s">
        <v>32</v>
      </c>
      <c r="F895" s="35" t="s">
        <v>25</v>
      </c>
      <c r="G895" s="35" t="s">
        <v>25</v>
      </c>
      <c r="H895" s="35" t="s">
        <v>25</v>
      </c>
      <c r="I895" s="45">
        <v>44470</v>
      </c>
      <c r="J895" s="46">
        <f>EFEITO!$J$895*EFEITO!$Y$728</f>
        <v>0</v>
      </c>
      <c r="K895" s="46">
        <f ca="1">EFEITO!$L$895*EFEITO!$Z$873</f>
        <v>55391.652965893853</v>
      </c>
      <c r="L895" s="46">
        <f>EFEITO!$N$895*EFEITO!$AA$873</f>
        <v>58194.666597268508</v>
      </c>
      <c r="M895" s="46">
        <f>$J$895-EFEITO!$K$895*EFEITO!$Y$895</f>
        <v>0</v>
      </c>
      <c r="N895" s="46">
        <f ca="1">$K$895-EFEITO!$M$895*EFEITO!$Z$895</f>
        <v>0</v>
      </c>
      <c r="O895" s="46">
        <f>$L$895-EFEITO!$O$895*EFEITO!$AA$895</f>
        <v>0</v>
      </c>
      <c r="P895" s="38"/>
      <c r="Q895" s="38"/>
      <c r="R895" s="38"/>
      <c r="S895" s="38"/>
      <c r="T895" s="38"/>
      <c r="U895" s="38"/>
      <c r="V895" s="38"/>
      <c r="W895" s="38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35" t="s">
        <v>28</v>
      </c>
      <c r="B896" s="35" t="s">
        <v>22</v>
      </c>
      <c r="C896" s="35" t="s">
        <v>23</v>
      </c>
      <c r="D896" s="35" t="s">
        <v>24</v>
      </c>
      <c r="E896" s="35" t="s">
        <v>32</v>
      </c>
      <c r="F896" s="35" t="s">
        <v>25</v>
      </c>
      <c r="G896" s="35" t="s">
        <v>25</v>
      </c>
      <c r="H896" s="35" t="s">
        <v>25</v>
      </c>
      <c r="I896" s="45">
        <v>44470</v>
      </c>
      <c r="J896" s="46">
        <f>EFEITO!$J$896*EFEITO!$Y$728</f>
        <v>0</v>
      </c>
      <c r="K896" s="46">
        <f ca="1">EFEITO!$L$896*EFEITO!$Z$873</f>
        <v>507.98319921144497</v>
      </c>
      <c r="L896" s="46">
        <f>EFEITO!$N$896*EFEITO!$AA$873</f>
        <v>533.68894647946229</v>
      </c>
      <c r="M896" s="46">
        <f>$J$896-EFEITO!$K$896*EFEITO!$Y$896</f>
        <v>0</v>
      </c>
      <c r="N896" s="46">
        <f ca="1">$K$896-EFEITO!$M$896*EFEITO!$Z$896</f>
        <v>0</v>
      </c>
      <c r="O896" s="46">
        <f>$L$896-EFEITO!$O$896*EFEITO!$AA$896</f>
        <v>0</v>
      </c>
      <c r="P896" s="38"/>
      <c r="Q896" s="38"/>
      <c r="R896" s="38"/>
      <c r="S896" s="38"/>
      <c r="T896" s="38"/>
      <c r="U896" s="38"/>
      <c r="V896" s="38"/>
      <c r="W896" s="38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35" t="s">
        <v>21</v>
      </c>
      <c r="B897" s="35" t="s">
        <v>22</v>
      </c>
      <c r="C897" s="35" t="s">
        <v>23</v>
      </c>
      <c r="D897" s="35" t="s">
        <v>24</v>
      </c>
      <c r="E897" s="35" t="s">
        <v>32</v>
      </c>
      <c r="F897" s="35" t="s">
        <v>25</v>
      </c>
      <c r="G897" s="35" t="s">
        <v>25</v>
      </c>
      <c r="H897" s="35" t="s">
        <v>25</v>
      </c>
      <c r="I897" s="45">
        <v>44501</v>
      </c>
      <c r="J897" s="46">
        <f>EFEITO!$J$897*EFEITO!$Y$728</f>
        <v>0</v>
      </c>
      <c r="K897" s="46">
        <f ca="1">EFEITO!$L$897*EFEITO!$Z$873</f>
        <v>58739.854259192594</v>
      </c>
      <c r="L897" s="46">
        <f>EFEITO!$N$897*EFEITO!$AA$873</f>
        <v>61712.298722889253</v>
      </c>
      <c r="M897" s="46">
        <f>$J$897-EFEITO!$K$897*EFEITO!$Y$897</f>
        <v>0</v>
      </c>
      <c r="N897" s="46">
        <f ca="1">$K$897-EFEITO!$M$897*EFEITO!$Z$897</f>
        <v>0</v>
      </c>
      <c r="O897" s="46">
        <f>$L$897-EFEITO!$O$897*EFEITO!$AA$897</f>
        <v>0</v>
      </c>
      <c r="P897" s="38"/>
      <c r="Q897" s="38"/>
      <c r="R897" s="38"/>
      <c r="S897" s="38"/>
      <c r="T897" s="38"/>
      <c r="U897" s="38"/>
      <c r="V897" s="38"/>
      <c r="W897" s="38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35" t="s">
        <v>27</v>
      </c>
      <c r="B898" s="35" t="s">
        <v>22</v>
      </c>
      <c r="C898" s="35" t="s">
        <v>23</v>
      </c>
      <c r="D898" s="35" t="s">
        <v>24</v>
      </c>
      <c r="E898" s="35" t="s">
        <v>32</v>
      </c>
      <c r="F898" s="35" t="s">
        <v>25</v>
      </c>
      <c r="G898" s="35" t="s">
        <v>25</v>
      </c>
      <c r="H898" s="35" t="s">
        <v>25</v>
      </c>
      <c r="I898" s="45">
        <v>44501</v>
      </c>
      <c r="J898" s="46">
        <f>EFEITO!$J$898*EFEITO!$Y$728</f>
        <v>0</v>
      </c>
      <c r="K898" s="46">
        <f ca="1">EFEITO!$L$898*EFEITO!$Z$873</f>
        <v>-278.34041836491764</v>
      </c>
      <c r="L898" s="46">
        <f>EFEITO!$N$898*EFEITO!$AA$873</f>
        <v>-292.42542838113388</v>
      </c>
      <c r="M898" s="46">
        <f>$J$898-EFEITO!$K$898*EFEITO!$Y$898</f>
        <v>0</v>
      </c>
      <c r="N898" s="46">
        <f ca="1">$K$898-EFEITO!$M$898*EFEITO!$Z$898</f>
        <v>0</v>
      </c>
      <c r="O898" s="46">
        <f>$L$898-EFEITO!$O$898*EFEITO!$AA$898</f>
        <v>0</v>
      </c>
      <c r="P898" s="38"/>
      <c r="Q898" s="38"/>
      <c r="R898" s="38"/>
      <c r="S898" s="38"/>
      <c r="T898" s="38"/>
      <c r="U898" s="38"/>
      <c r="V898" s="38"/>
      <c r="W898" s="38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35" t="s">
        <v>28</v>
      </c>
      <c r="B899" s="35" t="s">
        <v>22</v>
      </c>
      <c r="C899" s="35" t="s">
        <v>23</v>
      </c>
      <c r="D899" s="35" t="s">
        <v>24</v>
      </c>
      <c r="E899" s="35" t="s">
        <v>32</v>
      </c>
      <c r="F899" s="35" t="s">
        <v>25</v>
      </c>
      <c r="G899" s="35" t="s">
        <v>25</v>
      </c>
      <c r="H899" s="35" t="s">
        <v>25</v>
      </c>
      <c r="I899" s="45">
        <v>44501</v>
      </c>
      <c r="J899" s="46">
        <f>EFEITO!$J$899*EFEITO!$Y$728</f>
        <v>0</v>
      </c>
      <c r="K899" s="46">
        <f ca="1">EFEITO!$L$899*EFEITO!$Z$873</f>
        <v>636.17256856132553</v>
      </c>
      <c r="L899" s="46">
        <f>EFEITO!$N$899*EFEITO!$AA$873</f>
        <v>668.36515148861224</v>
      </c>
      <c r="M899" s="46">
        <f>$J$899-EFEITO!$K$899*EFEITO!$Y$899</f>
        <v>0</v>
      </c>
      <c r="N899" s="46">
        <f ca="1">$K$899-EFEITO!$M$899*EFEITO!$Z$899</f>
        <v>0</v>
      </c>
      <c r="O899" s="46">
        <f>$L$899-EFEITO!$O$899*EFEITO!$AA$899</f>
        <v>0</v>
      </c>
      <c r="P899" s="38"/>
      <c r="Q899" s="38"/>
      <c r="R899" s="38"/>
      <c r="S899" s="38"/>
      <c r="T899" s="38"/>
      <c r="U899" s="38"/>
      <c r="V899" s="38"/>
      <c r="W899" s="38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35" t="s">
        <v>21</v>
      </c>
      <c r="B900" s="35" t="s">
        <v>22</v>
      </c>
      <c r="C900" s="35" t="s">
        <v>23</v>
      </c>
      <c r="D900" s="35" t="s">
        <v>24</v>
      </c>
      <c r="E900" s="35" t="s">
        <v>32</v>
      </c>
      <c r="F900" s="35" t="s">
        <v>25</v>
      </c>
      <c r="G900" s="35" t="s">
        <v>25</v>
      </c>
      <c r="H900" s="35" t="s">
        <v>25</v>
      </c>
      <c r="I900" s="45">
        <v>44531</v>
      </c>
      <c r="J900" s="46">
        <f>EFEITO!$J$900*EFEITO!$Y$728</f>
        <v>0</v>
      </c>
      <c r="K900" s="46">
        <f ca="1">EFEITO!$L$900*EFEITO!$Z$873</f>
        <v>68977.816405705962</v>
      </c>
      <c r="L900" s="46">
        <f>EFEITO!$N$900*EFEITO!$AA$873</f>
        <v>72468.337978815558</v>
      </c>
      <c r="M900" s="46">
        <f>$J$900-EFEITO!$K$900*EFEITO!$Y$900</f>
        <v>0</v>
      </c>
      <c r="N900" s="46">
        <f ca="1">$K$900-EFEITO!$M$900*EFEITO!$Z$900</f>
        <v>0</v>
      </c>
      <c r="O900" s="46">
        <f>$L$900-EFEITO!$O$900*EFEITO!$AA$900</f>
        <v>0</v>
      </c>
      <c r="P900" s="38"/>
      <c r="Q900" s="38"/>
      <c r="R900" s="38"/>
      <c r="S900" s="38"/>
      <c r="T900" s="38"/>
      <c r="U900" s="38"/>
      <c r="V900" s="38"/>
      <c r="W900" s="38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35" t="s">
        <v>27</v>
      </c>
      <c r="B901" s="35" t="s">
        <v>22</v>
      </c>
      <c r="C901" s="35" t="s">
        <v>23</v>
      </c>
      <c r="D901" s="35" t="s">
        <v>24</v>
      </c>
      <c r="E901" s="35" t="s">
        <v>32</v>
      </c>
      <c r="F901" s="35" t="s">
        <v>25</v>
      </c>
      <c r="G901" s="35" t="s">
        <v>25</v>
      </c>
      <c r="H901" s="35" t="s">
        <v>25</v>
      </c>
      <c r="I901" s="45">
        <v>44531</v>
      </c>
      <c r="J901" s="46">
        <f>EFEITO!$J$901*EFEITO!$Y$728</f>
        <v>0</v>
      </c>
      <c r="K901" s="46">
        <f ca="1">EFEITO!$L$901*EFEITO!$Z$873</f>
        <v>-205.77138990613983</v>
      </c>
      <c r="L901" s="46">
        <f>EFEITO!$N$901*EFEITO!$AA$873</f>
        <v>-216.1841503126393</v>
      </c>
      <c r="M901" s="46">
        <f>$J$901-EFEITO!$K$901*EFEITO!$Y$901</f>
        <v>0</v>
      </c>
      <c r="N901" s="46">
        <f ca="1">$K$901-EFEITO!$M$901*EFEITO!$Z$901</f>
        <v>0</v>
      </c>
      <c r="O901" s="46">
        <f>$L$901-EFEITO!$O$901*EFEITO!$AA$901</f>
        <v>0</v>
      </c>
      <c r="P901" s="38"/>
      <c r="Q901" s="38"/>
      <c r="R901" s="38"/>
      <c r="S901" s="38"/>
      <c r="T901" s="38"/>
      <c r="U901" s="38"/>
      <c r="V901" s="38"/>
      <c r="W901" s="38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35" t="s">
        <v>28</v>
      </c>
      <c r="B902" s="35" t="s">
        <v>22</v>
      </c>
      <c r="C902" s="35" t="s">
        <v>23</v>
      </c>
      <c r="D902" s="35" t="s">
        <v>24</v>
      </c>
      <c r="E902" s="35" t="s">
        <v>32</v>
      </c>
      <c r="F902" s="35" t="s">
        <v>25</v>
      </c>
      <c r="G902" s="35" t="s">
        <v>25</v>
      </c>
      <c r="H902" s="35" t="s">
        <v>25</v>
      </c>
      <c r="I902" s="45">
        <v>44531</v>
      </c>
      <c r="J902" s="46">
        <f>EFEITO!$J$902*EFEITO!$Y$728</f>
        <v>0</v>
      </c>
      <c r="K902" s="46">
        <f ca="1">EFEITO!$L$902*EFEITO!$Z$873</f>
        <v>1699.8817488649904</v>
      </c>
      <c r="L902" s="46">
        <f>EFEITO!$N$902*EFEITO!$AA$873</f>
        <v>1785.9017800189149</v>
      </c>
      <c r="M902" s="46">
        <f>$J$902-EFEITO!$K$902*EFEITO!$Y$902</f>
        <v>0</v>
      </c>
      <c r="N902" s="46">
        <f ca="1">$K$902-EFEITO!$M$902*EFEITO!$Z$902</f>
        <v>0</v>
      </c>
      <c r="O902" s="46">
        <f>$L$902-EFEITO!$O$902*EFEITO!$AA$902</f>
        <v>0</v>
      </c>
      <c r="P902" s="38"/>
      <c r="Q902" s="38"/>
      <c r="R902" s="38"/>
      <c r="S902" s="38"/>
      <c r="T902" s="38"/>
      <c r="U902" s="38"/>
      <c r="V902" s="38"/>
      <c r="W902" s="38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35" t="s">
        <v>55</v>
      </c>
      <c r="B903" s="35" t="s">
        <v>22</v>
      </c>
      <c r="C903" s="35" t="s">
        <v>23</v>
      </c>
      <c r="D903" s="35" t="s">
        <v>24</v>
      </c>
      <c r="E903" s="35" t="s">
        <v>32</v>
      </c>
      <c r="F903" s="35" t="s">
        <v>25</v>
      </c>
      <c r="G903" s="35" t="s">
        <v>25</v>
      </c>
      <c r="H903" s="35" t="s">
        <v>25</v>
      </c>
      <c r="I903" s="45">
        <v>44562</v>
      </c>
      <c r="J903" s="46">
        <f>EFEITO!$J$903*EFEITO!$Y$728</f>
        <v>0</v>
      </c>
      <c r="K903" s="46">
        <f ca="1">EFEITO!$L$903*EFEITO!$Z$873</f>
        <v>68977.816405705962</v>
      </c>
      <c r="L903" s="46">
        <f>EFEITO!$N$903*EFEITO!$AA$873</f>
        <v>72468.337978815558</v>
      </c>
      <c r="M903" s="46">
        <f>$J$903-EFEITO!$K$903*EFEITO!$Y$903</f>
        <v>0</v>
      </c>
      <c r="N903" s="46">
        <f ca="1">$K$903-EFEITO!$M$903*EFEITO!$Z$903</f>
        <v>0</v>
      </c>
      <c r="O903" s="46">
        <f>$L$903-EFEITO!$O$903*EFEITO!$AA$903</f>
        <v>0</v>
      </c>
      <c r="P903" s="38"/>
      <c r="Q903" s="38"/>
      <c r="R903" s="38"/>
      <c r="S903" s="38"/>
      <c r="T903" s="38"/>
      <c r="U903" s="38"/>
      <c r="V903" s="38"/>
      <c r="W903" s="38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35" t="s">
        <v>55</v>
      </c>
      <c r="B904" s="35" t="s">
        <v>22</v>
      </c>
      <c r="C904" s="35" t="s">
        <v>23</v>
      </c>
      <c r="D904" s="35" t="s">
        <v>24</v>
      </c>
      <c r="E904" s="35" t="s">
        <v>32</v>
      </c>
      <c r="F904" s="35" t="s">
        <v>25</v>
      </c>
      <c r="G904" s="35" t="s">
        <v>25</v>
      </c>
      <c r="H904" s="35" t="s">
        <v>25</v>
      </c>
      <c r="I904" s="45">
        <v>44562</v>
      </c>
      <c r="J904" s="46">
        <f>EFEITO!$J$904*EFEITO!$Y$728</f>
        <v>0</v>
      </c>
      <c r="K904" s="46">
        <f ca="1">EFEITO!$L$904*EFEITO!$Z$873</f>
        <v>-205.77138990613983</v>
      </c>
      <c r="L904" s="46">
        <f>EFEITO!$N$904*EFEITO!$AA$873</f>
        <v>-216.1841503126393</v>
      </c>
      <c r="M904" s="46">
        <f>$J$904-EFEITO!$K$904*EFEITO!$Y$904</f>
        <v>0</v>
      </c>
      <c r="N904" s="46">
        <f ca="1">$K$904-EFEITO!$M$904*EFEITO!$Z$904</f>
        <v>0</v>
      </c>
      <c r="O904" s="46">
        <f>$L$904-EFEITO!$O$904*EFEITO!$AA$904</f>
        <v>0</v>
      </c>
      <c r="P904" s="38"/>
      <c r="Q904" s="38"/>
      <c r="R904" s="38"/>
      <c r="S904" s="38"/>
      <c r="T904" s="38"/>
      <c r="U904" s="38"/>
      <c r="V904" s="38"/>
      <c r="W904" s="38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35" t="s">
        <v>55</v>
      </c>
      <c r="B905" s="35" t="s">
        <v>22</v>
      </c>
      <c r="C905" s="35" t="s">
        <v>23</v>
      </c>
      <c r="D905" s="35" t="s">
        <v>24</v>
      </c>
      <c r="E905" s="35" t="s">
        <v>32</v>
      </c>
      <c r="F905" s="35" t="s">
        <v>25</v>
      </c>
      <c r="G905" s="35" t="s">
        <v>25</v>
      </c>
      <c r="H905" s="35" t="s">
        <v>25</v>
      </c>
      <c r="I905" s="45">
        <v>44562</v>
      </c>
      <c r="J905" s="46">
        <f>EFEITO!$J$905*EFEITO!$Y$728</f>
        <v>0</v>
      </c>
      <c r="K905" s="46">
        <f ca="1">EFEITO!$L$905*EFEITO!$Z$873</f>
        <v>1699.8817488649904</v>
      </c>
      <c r="L905" s="46">
        <f>EFEITO!$N$905*EFEITO!$AA$873</f>
        <v>1785.9017800189149</v>
      </c>
      <c r="M905" s="46">
        <f>$J$905-EFEITO!$K$905*EFEITO!$Y$905</f>
        <v>0</v>
      </c>
      <c r="N905" s="46">
        <f ca="1">$K$905-EFEITO!$M$905*EFEITO!$Z$905</f>
        <v>0</v>
      </c>
      <c r="O905" s="46">
        <f>$L$905-EFEITO!$O$905*EFEITO!$AA$905</f>
        <v>0</v>
      </c>
      <c r="P905" s="38"/>
      <c r="Q905" s="38"/>
      <c r="R905" s="38"/>
      <c r="S905" s="38"/>
      <c r="T905" s="38"/>
      <c r="U905" s="38"/>
      <c r="V905" s="38"/>
      <c r="W905" s="38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35" t="s">
        <v>21</v>
      </c>
      <c r="B906" s="35" t="s">
        <v>43</v>
      </c>
      <c r="C906" s="35" t="s">
        <v>33</v>
      </c>
      <c r="D906" s="35" t="s">
        <v>44</v>
      </c>
      <c r="E906" s="35" t="s">
        <v>25</v>
      </c>
      <c r="F906" s="35" t="s">
        <v>25</v>
      </c>
      <c r="G906" s="35" t="s">
        <v>25</v>
      </c>
      <c r="H906" s="35" t="s">
        <v>35</v>
      </c>
      <c r="I906" s="45">
        <v>44228</v>
      </c>
      <c r="J906" s="46">
        <f>EFEITO!$J$906*EFEITO!$Y$906/(1-CUSTOS!$M$38)</f>
        <v>0</v>
      </c>
      <c r="K906" s="46">
        <f ca="1">EFEITO!$L$906*EFEITO!$Z$906/(1-CUSTOS!$M$38)</f>
        <v>59.725487120890364</v>
      </c>
      <c r="L906" s="46">
        <f>EFEITO!$N$906*EFEITO!$AA$906/(1-CUSTOS!$M$38)</f>
        <v>68.702624324243772</v>
      </c>
      <c r="M906" s="46">
        <f>$J$906-EFEITO!$K$906*EFEITO!$Y$906</f>
        <v>0</v>
      </c>
      <c r="N906" s="46">
        <f ca="1">$K$906-EFEITO!$M$906*EFEITO!$Z$906</f>
        <v>3.5835292272534218</v>
      </c>
      <c r="O906" s="46">
        <f>$L$906-EFEITO!$O$906*EFEITO!$AA$906</f>
        <v>4.1221574594546269</v>
      </c>
      <c r="P906" s="38"/>
      <c r="Q906" s="38"/>
      <c r="R906" s="38"/>
      <c r="S906" s="38"/>
      <c r="T906" s="38"/>
      <c r="U906" s="38"/>
      <c r="V906" s="38"/>
      <c r="W906" s="38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35" t="s">
        <v>21</v>
      </c>
      <c r="B907" s="35" t="s">
        <v>43</v>
      </c>
      <c r="C907" s="35" t="s">
        <v>33</v>
      </c>
      <c r="D907" s="35" t="s">
        <v>44</v>
      </c>
      <c r="E907" s="35" t="s">
        <v>25</v>
      </c>
      <c r="F907" s="35" t="s">
        <v>25</v>
      </c>
      <c r="G907" s="35" t="s">
        <v>25</v>
      </c>
      <c r="H907" s="35" t="s">
        <v>35</v>
      </c>
      <c r="I907" s="45">
        <v>44256</v>
      </c>
      <c r="J907" s="46">
        <f>EFEITO!$J$907*EFEITO!$Y$907/(1-CUSTOS!$M$38)</f>
        <v>0</v>
      </c>
      <c r="K907" s="46">
        <f ca="1">EFEITO!$L$907*EFEITO!$Z$907/(1-CUSTOS!$M$38)</f>
        <v>72.168296937742525</v>
      </c>
      <c r="L907" s="46">
        <f>EFEITO!$N$907*EFEITO!$AA$907/(1-CUSTOS!$M$38)</f>
        <v>83.015671058461223</v>
      </c>
      <c r="M907" s="46">
        <f>$J$907-EFEITO!$K$907*EFEITO!$Y$907</f>
        <v>0</v>
      </c>
      <c r="N907" s="46">
        <f ca="1">$K$907-EFEITO!$M$907*EFEITO!$Z$907</f>
        <v>4.3300978162645549</v>
      </c>
      <c r="O907" s="46">
        <f>$L$907-EFEITO!$O$907*EFEITO!$AA$907</f>
        <v>4.9809402635076765</v>
      </c>
      <c r="P907" s="38"/>
      <c r="Q907" s="38"/>
      <c r="R907" s="38"/>
      <c r="S907" s="38"/>
      <c r="T907" s="38"/>
      <c r="U907" s="38"/>
      <c r="V907" s="38"/>
      <c r="W907" s="38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35" t="s">
        <v>21</v>
      </c>
      <c r="B908" s="35" t="s">
        <v>43</v>
      </c>
      <c r="C908" s="35" t="s">
        <v>33</v>
      </c>
      <c r="D908" s="35" t="s">
        <v>44</v>
      </c>
      <c r="E908" s="35" t="s">
        <v>25</v>
      </c>
      <c r="F908" s="35" t="s">
        <v>25</v>
      </c>
      <c r="G908" s="35" t="s">
        <v>25</v>
      </c>
      <c r="H908" s="35" t="s">
        <v>35</v>
      </c>
      <c r="I908" s="45">
        <v>44287</v>
      </c>
      <c r="J908" s="46">
        <f>EFEITO!$J$908*EFEITO!$Y$908/(1-CUSTOS!$M$38)</f>
        <v>0</v>
      </c>
      <c r="K908" s="46">
        <f ca="1">EFEITO!$L$908*EFEITO!$Z$908/(1-CUSTOS!$M$38)</f>
        <v>90.002991008563967</v>
      </c>
      <c r="L908" s="46">
        <f>EFEITO!$N$908*EFEITO!$AA$908/(1-CUSTOS!$M$38)</f>
        <v>103.53103804417292</v>
      </c>
      <c r="M908" s="46">
        <f>$J$908-EFEITO!$K$908*EFEITO!$Y$908</f>
        <v>0</v>
      </c>
      <c r="N908" s="46">
        <f ca="1">$K$908-EFEITO!$M$908*EFEITO!$Z$908</f>
        <v>5.40017946051384</v>
      </c>
      <c r="O908" s="46">
        <f>$L$908-EFEITO!$O$908*EFEITO!$AA$908</f>
        <v>6.2118622826503866</v>
      </c>
      <c r="P908" s="38"/>
      <c r="Q908" s="38"/>
      <c r="R908" s="38"/>
      <c r="S908" s="38"/>
      <c r="T908" s="38"/>
      <c r="U908" s="38"/>
      <c r="V908" s="38"/>
      <c r="W908" s="38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35" t="s">
        <v>21</v>
      </c>
      <c r="B909" s="35" t="s">
        <v>43</v>
      </c>
      <c r="C909" s="35" t="s">
        <v>33</v>
      </c>
      <c r="D909" s="35" t="s">
        <v>44</v>
      </c>
      <c r="E909" s="35" t="s">
        <v>25</v>
      </c>
      <c r="F909" s="35" t="s">
        <v>25</v>
      </c>
      <c r="G909" s="35" t="s">
        <v>25</v>
      </c>
      <c r="H909" s="35" t="s">
        <v>35</v>
      </c>
      <c r="I909" s="45">
        <v>44317</v>
      </c>
      <c r="J909" s="46">
        <f>EFEITO!$J$909*EFEITO!$Y$909/(1-CUSTOS!$M$38)</f>
        <v>0</v>
      </c>
      <c r="K909" s="46">
        <f ca="1">EFEITO!$L$909*EFEITO!$Z$909/(1-CUSTOS!$M$38)</f>
        <v>57.651685484748356</v>
      </c>
      <c r="L909" s="46">
        <f>EFEITO!$N$909*EFEITO!$AA$909/(1-CUSTOS!$M$38)</f>
        <v>66.317116535207546</v>
      </c>
      <c r="M909" s="46">
        <f>$J$909-EFEITO!$K$909*EFEITO!$Y$909</f>
        <v>0</v>
      </c>
      <c r="N909" s="46">
        <f ca="1">$K$909-EFEITO!$M$909*EFEITO!$Z$909</f>
        <v>3.4591011290849067</v>
      </c>
      <c r="O909" s="46">
        <f>$L$909-EFEITO!$O$909*EFEITO!$AA$909</f>
        <v>3.979026992112459</v>
      </c>
      <c r="P909" s="38"/>
      <c r="Q909" s="38"/>
      <c r="R909" s="38"/>
      <c r="S909" s="38"/>
      <c r="T909" s="38"/>
      <c r="U909" s="38"/>
      <c r="V909" s="38"/>
      <c r="W909" s="38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35" t="s">
        <v>21</v>
      </c>
      <c r="B910" s="35" t="s">
        <v>43</v>
      </c>
      <c r="C910" s="35" t="s">
        <v>33</v>
      </c>
      <c r="D910" s="35" t="s">
        <v>44</v>
      </c>
      <c r="E910" s="35" t="s">
        <v>25</v>
      </c>
      <c r="F910" s="35" t="s">
        <v>25</v>
      </c>
      <c r="G910" s="35" t="s">
        <v>25</v>
      </c>
      <c r="H910" s="35" t="s">
        <v>35</v>
      </c>
      <c r="I910" s="45">
        <v>44348</v>
      </c>
      <c r="J910" s="46">
        <f>EFEITO!$J$910*EFEITO!$Y$910/(1-CUSTOS!$M$38)</f>
        <v>0</v>
      </c>
      <c r="K910" s="46">
        <f ca="1">EFEITO!$L$910*EFEITO!$Z$910/(1-CUSTOS!$M$38)</f>
        <v>36.913669123328077</v>
      </c>
      <c r="L910" s="46">
        <f>EFEITO!$N$910*EFEITO!$AA$910/(1-CUSTOS!$M$38)</f>
        <v>42.462038644845116</v>
      </c>
      <c r="M910" s="46">
        <f>$J$910-EFEITO!$K$910*EFEITO!$Y$910</f>
        <v>0</v>
      </c>
      <c r="N910" s="46">
        <f ca="1">$K$910-EFEITO!$M$910*EFEITO!$Z$910</f>
        <v>2.2148201473996849</v>
      </c>
      <c r="O910" s="46">
        <f>$L$910-EFEITO!$O$910*EFEITO!$AA$910</f>
        <v>2.5477223186907096</v>
      </c>
      <c r="P910" s="38"/>
      <c r="Q910" s="38"/>
      <c r="R910" s="38"/>
      <c r="S910" s="38"/>
      <c r="T910" s="38"/>
      <c r="U910" s="38"/>
      <c r="V910" s="38"/>
      <c r="W910" s="38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35" t="s">
        <v>21</v>
      </c>
      <c r="B911" s="35" t="s">
        <v>43</v>
      </c>
      <c r="C911" s="35" t="s">
        <v>33</v>
      </c>
      <c r="D911" s="35" t="s">
        <v>44</v>
      </c>
      <c r="E911" s="35" t="s">
        <v>25</v>
      </c>
      <c r="F911" s="35" t="s">
        <v>25</v>
      </c>
      <c r="G911" s="35" t="s">
        <v>25</v>
      </c>
      <c r="H911" s="35" t="s">
        <v>35</v>
      </c>
      <c r="I911" s="45">
        <v>44378</v>
      </c>
      <c r="J911" s="46">
        <f>EFEITO!$J$911*EFEITO!$Y$911/(1-CUSTOS!$M$38)</f>
        <v>0</v>
      </c>
      <c r="K911" s="46">
        <f ca="1">EFEITO!$L$911*EFEITO!$Z$911/(1-CUSTOS!$M$38)</f>
        <v>50.185999594637046</v>
      </c>
      <c r="L911" s="46">
        <f>EFEITO!$N$911*EFEITO!$AA$911/(1-CUSTOS!$M$38)</f>
        <v>57.729288494677057</v>
      </c>
      <c r="M911" s="46">
        <f>$J$911-EFEITO!$K$911*EFEITO!$Y$911</f>
        <v>0</v>
      </c>
      <c r="N911" s="46">
        <f ca="1">$K$911-EFEITO!$M$911*EFEITO!$Z$911</f>
        <v>3.0111599756782255</v>
      </c>
      <c r="O911" s="46">
        <f>$L$911-EFEITO!$O$911*EFEITO!$AA$911</f>
        <v>3.4637573096806236</v>
      </c>
      <c r="P911" s="38"/>
      <c r="Q911" s="38"/>
      <c r="R911" s="38"/>
      <c r="S911" s="38"/>
      <c r="T911" s="38"/>
      <c r="U911" s="38"/>
      <c r="V911" s="38"/>
      <c r="W911" s="38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35" t="s">
        <v>21</v>
      </c>
      <c r="B912" s="35" t="s">
        <v>43</v>
      </c>
      <c r="C912" s="35" t="s">
        <v>33</v>
      </c>
      <c r="D912" s="35" t="s">
        <v>44</v>
      </c>
      <c r="E912" s="35" t="s">
        <v>25</v>
      </c>
      <c r="F912" s="35" t="s">
        <v>25</v>
      </c>
      <c r="G912" s="35" t="s">
        <v>25</v>
      </c>
      <c r="H912" s="35" t="s">
        <v>35</v>
      </c>
      <c r="I912" s="45">
        <v>44409</v>
      </c>
      <c r="J912" s="46">
        <f>EFEITO!$J$912*EFEITO!$Y$912/(1-CUSTOS!$M$38)</f>
        <v>0</v>
      </c>
      <c r="K912" s="46">
        <f ca="1">EFEITO!$L$912*EFEITO!$Z$912/(1-CUSTOS!$M$38)</f>
        <v>35.047247650800252</v>
      </c>
      <c r="L912" s="46">
        <f>EFEITO!$N$912*EFEITO!$AA$912/(1-CUSTOS!$M$38)</f>
        <v>40.315081634712499</v>
      </c>
      <c r="M912" s="46">
        <f>$J$912-EFEITO!$K$912*EFEITO!$Y$912</f>
        <v>0</v>
      </c>
      <c r="N912" s="46">
        <f ca="1">$K$912-EFEITO!$M$912*EFEITO!$Z$912</f>
        <v>2.1028348590480164</v>
      </c>
      <c r="O912" s="46">
        <f>$L$912-EFEITO!$O$912*EFEITO!$AA$912</f>
        <v>2.4189048980827508</v>
      </c>
      <c r="P912" s="38"/>
      <c r="Q912" s="38"/>
      <c r="R912" s="38"/>
      <c r="S912" s="38"/>
      <c r="T912" s="38"/>
      <c r="U912" s="38"/>
      <c r="V912" s="38"/>
      <c r="W912" s="38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35" t="s">
        <v>21</v>
      </c>
      <c r="B913" s="35" t="s">
        <v>43</v>
      </c>
      <c r="C913" s="35" t="s">
        <v>33</v>
      </c>
      <c r="D913" s="35" t="s">
        <v>44</v>
      </c>
      <c r="E913" s="35" t="s">
        <v>25</v>
      </c>
      <c r="F913" s="35" t="s">
        <v>25</v>
      </c>
      <c r="G913" s="35" t="s">
        <v>25</v>
      </c>
      <c r="H913" s="35" t="s">
        <v>35</v>
      </c>
      <c r="I913" s="45">
        <v>44440</v>
      </c>
      <c r="J913" s="46">
        <f>EFEITO!$J$913*EFEITO!$Y$913/(1-CUSTOS!$M$38)</f>
        <v>0</v>
      </c>
      <c r="K913" s="46">
        <f ca="1">EFEITO!$L$913*EFEITO!$Z$913/(1-CUSTOS!$M$38)</f>
        <v>39.609611250312717</v>
      </c>
      <c r="L913" s="46">
        <f>EFEITO!$N$913*EFEITO!$AA$913/(1-CUSTOS!$M$38)</f>
        <v>45.563198770592237</v>
      </c>
      <c r="M913" s="46">
        <f>$J$913-EFEITO!$K$913*EFEITO!$Y$913</f>
        <v>0</v>
      </c>
      <c r="N913" s="46">
        <f ca="1">$K$913-EFEITO!$M$913*EFEITO!$Z$913</f>
        <v>2.376576675018768</v>
      </c>
      <c r="O913" s="46">
        <f>$L$913-EFEITO!$O$913*EFEITO!$AA$913</f>
        <v>2.7337919262355399</v>
      </c>
      <c r="P913" s="38"/>
      <c r="Q913" s="38"/>
      <c r="R913" s="38"/>
      <c r="S913" s="38"/>
      <c r="T913" s="38"/>
      <c r="U913" s="38"/>
      <c r="V913" s="38"/>
      <c r="W913" s="38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35" t="s">
        <v>21</v>
      </c>
      <c r="B914" s="35" t="s">
        <v>43</v>
      </c>
      <c r="C914" s="35" t="s">
        <v>33</v>
      </c>
      <c r="D914" s="35" t="s">
        <v>44</v>
      </c>
      <c r="E914" s="35" t="s">
        <v>25</v>
      </c>
      <c r="F914" s="35" t="s">
        <v>25</v>
      </c>
      <c r="G914" s="35" t="s">
        <v>25</v>
      </c>
      <c r="H914" s="35" t="s">
        <v>35</v>
      </c>
      <c r="I914" s="45">
        <v>44470</v>
      </c>
      <c r="J914" s="46">
        <f>EFEITO!$J$914*EFEITO!$Y$914/(1-CUSTOS!$M$38)</f>
        <v>0</v>
      </c>
      <c r="K914" s="46">
        <f ca="1">EFEITO!$L$914*EFEITO!$Z$914/(1-CUSTOS!$M$38)</f>
        <v>52.674561558007483</v>
      </c>
      <c r="L914" s="46">
        <f>EFEITO!$N$914*EFEITO!$AA$914/(1-CUSTOS!$M$38)</f>
        <v>60.591897841520556</v>
      </c>
      <c r="M914" s="46">
        <f>$J$914-EFEITO!$K$914*EFEITO!$Y$914</f>
        <v>0</v>
      </c>
      <c r="N914" s="46">
        <f ca="1">$K$914-EFEITO!$M$914*EFEITO!$Z$914</f>
        <v>3.1604736934804549</v>
      </c>
      <c r="O914" s="46">
        <f>$L$914-EFEITO!$O$914*EFEITO!$AA$914</f>
        <v>3.6355138704912378</v>
      </c>
      <c r="P914" s="38"/>
      <c r="Q914" s="38"/>
      <c r="R914" s="38"/>
      <c r="S914" s="38"/>
      <c r="T914" s="38"/>
      <c r="U914" s="38"/>
      <c r="V914" s="38"/>
      <c r="W914" s="38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35" t="s">
        <v>21</v>
      </c>
      <c r="B915" s="35" t="s">
        <v>43</v>
      </c>
      <c r="C915" s="35" t="s">
        <v>33</v>
      </c>
      <c r="D915" s="35" t="s">
        <v>44</v>
      </c>
      <c r="E915" s="35" t="s">
        <v>25</v>
      </c>
      <c r="F915" s="35" t="s">
        <v>25</v>
      </c>
      <c r="G915" s="35" t="s">
        <v>25</v>
      </c>
      <c r="H915" s="35" t="s">
        <v>35</v>
      </c>
      <c r="I915" s="45">
        <v>44501</v>
      </c>
      <c r="J915" s="46">
        <f>EFEITO!$J$915*EFEITO!$Y$915/(1-CUSTOS!$M$38)</f>
        <v>0</v>
      </c>
      <c r="K915" s="46">
        <f ca="1">EFEITO!$L$915*EFEITO!$Z$915/(1-CUSTOS!$M$38)</f>
        <v>66.776412683773259</v>
      </c>
      <c r="L915" s="46">
        <f>EFEITO!$N$915*EFEITO!$AA$915/(1-CUSTOS!$M$38)</f>
        <v>76.813350806967009</v>
      </c>
      <c r="M915" s="46">
        <f>$J$915-EFEITO!$K$915*EFEITO!$Y$915</f>
        <v>0</v>
      </c>
      <c r="N915" s="46">
        <f ca="1">$K$915-EFEITO!$M$915*EFEITO!$Z$915</f>
        <v>4.0065847610263958</v>
      </c>
      <c r="O915" s="46">
        <f>$L$915-EFEITO!$O$915*EFEITO!$AA$915</f>
        <v>4.6088010484180302</v>
      </c>
      <c r="P915" s="38"/>
      <c r="Q915" s="38"/>
      <c r="R915" s="38"/>
      <c r="S915" s="38"/>
      <c r="T915" s="38"/>
      <c r="U915" s="38"/>
      <c r="V915" s="38"/>
      <c r="W915" s="38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35" t="s">
        <v>21</v>
      </c>
      <c r="B916" s="35" t="s">
        <v>43</v>
      </c>
      <c r="C916" s="35" t="s">
        <v>33</v>
      </c>
      <c r="D916" s="35" t="s">
        <v>44</v>
      </c>
      <c r="E916" s="35" t="s">
        <v>25</v>
      </c>
      <c r="F916" s="35" t="s">
        <v>25</v>
      </c>
      <c r="G916" s="35" t="s">
        <v>25</v>
      </c>
      <c r="H916" s="35" t="s">
        <v>35</v>
      </c>
      <c r="I916" s="45">
        <v>44531</v>
      </c>
      <c r="J916" s="46">
        <f>EFEITO!$J$916*EFEITO!$Y$916/(1-CUSTOS!$M$38)</f>
        <v>0</v>
      </c>
      <c r="K916" s="46">
        <f ca="1">EFEITO!$L$916*EFEITO!$Z$916/(1-CUSTOS!$M$38)</f>
        <v>69.057594483529499</v>
      </c>
      <c r="L916" s="46">
        <f>EFEITO!$N$916*EFEITO!$AA$916/(1-CUSTOS!$M$38)</f>
        <v>79.437409374906878</v>
      </c>
      <c r="M916" s="46">
        <f>$J$916-EFEITO!$K$916*EFEITO!$Y$916</f>
        <v>0</v>
      </c>
      <c r="N916" s="46">
        <f ca="1">$K$916-EFEITO!$M$916*EFEITO!$Z$916</f>
        <v>4.1434556690117716</v>
      </c>
      <c r="O916" s="46">
        <f>$L$916-EFEITO!$O$916*EFEITO!$AA$916</f>
        <v>4.7662445624944212</v>
      </c>
      <c r="P916" s="38"/>
      <c r="Q916" s="38"/>
      <c r="R916" s="38"/>
      <c r="S916" s="38"/>
      <c r="T916" s="38"/>
      <c r="U916" s="38"/>
      <c r="V916" s="38"/>
      <c r="W916" s="38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35" t="s">
        <v>55</v>
      </c>
      <c r="B917" s="35" t="s">
        <v>43</v>
      </c>
      <c r="C917" s="35" t="s">
        <v>33</v>
      </c>
      <c r="D917" s="35" t="s">
        <v>44</v>
      </c>
      <c r="E917" s="35" t="s">
        <v>25</v>
      </c>
      <c r="F917" s="35" t="s">
        <v>25</v>
      </c>
      <c r="G917" s="35" t="s">
        <v>25</v>
      </c>
      <c r="H917" s="35" t="s">
        <v>35</v>
      </c>
      <c r="I917" s="45">
        <v>44562</v>
      </c>
      <c r="J917" s="46">
        <f>EFEITO!$J$917*EFEITO!$Y$917/(1-CUSTOS!$M$38)</f>
        <v>0</v>
      </c>
      <c r="K917" s="46">
        <f ca="1">EFEITO!$L$917*EFEITO!$Z$917/(1-CUSTOS!$M$38)</f>
        <v>69.057594483529499</v>
      </c>
      <c r="L917" s="46">
        <f>EFEITO!$N$917*EFEITO!$AA$917/(1-CUSTOS!$M$38)</f>
        <v>79.437409374906878</v>
      </c>
      <c r="M917" s="46">
        <f>$J$917-EFEITO!$K$917*EFEITO!$Y$917</f>
        <v>0</v>
      </c>
      <c r="N917" s="46">
        <f ca="1">$K$917-EFEITO!$M$917*EFEITO!$Z$917</f>
        <v>4.1434556690117716</v>
      </c>
      <c r="O917" s="46">
        <f>$L$917-EFEITO!$O$917*EFEITO!$AA$917</f>
        <v>4.7662445624944212</v>
      </c>
      <c r="P917" s="38"/>
      <c r="Q917" s="38"/>
      <c r="R917" s="38"/>
      <c r="S917" s="38"/>
      <c r="T917" s="38"/>
      <c r="U917" s="38"/>
      <c r="V917" s="38"/>
      <c r="W917" s="38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35" t="s">
        <v>21</v>
      </c>
      <c r="B918" s="35" t="s">
        <v>43</v>
      </c>
      <c r="C918" s="35" t="s">
        <v>33</v>
      </c>
      <c r="D918" s="35" t="s">
        <v>44</v>
      </c>
      <c r="E918" s="35" t="s">
        <v>25</v>
      </c>
      <c r="F918" s="35" t="s">
        <v>25</v>
      </c>
      <c r="G918" s="35" t="s">
        <v>25</v>
      </c>
      <c r="H918" s="35" t="s">
        <v>36</v>
      </c>
      <c r="I918" s="45">
        <v>44228</v>
      </c>
      <c r="J918" s="46">
        <f>EFEITO!$J$918*EFEITO!$Y$918/(1-CUSTOS!$M$38)</f>
        <v>0</v>
      </c>
      <c r="K918" s="46">
        <f ca="1">EFEITO!$L$918*EFEITO!$Z$918/(1-CUSTOS!$M$38)</f>
        <v>7.7704924555593173</v>
      </c>
      <c r="L918" s="46">
        <f>EFEITO!$N$918*EFEITO!$AA$918/(1-CUSTOS!$M$38)</f>
        <v>3.8168124624579876</v>
      </c>
      <c r="M918" s="46">
        <f>$J$918-EFEITO!$K$918*EFEITO!$Y$918</f>
        <v>0</v>
      </c>
      <c r="N918" s="46">
        <f ca="1">$K$918-EFEITO!$M$918*EFEITO!$Z$918</f>
        <v>0.46622954733355915</v>
      </c>
      <c r="O918" s="46">
        <f>$L$918-EFEITO!$O$918*EFEITO!$AA$918</f>
        <v>0.22900874774747937</v>
      </c>
      <c r="P918" s="38"/>
      <c r="Q918" s="38"/>
      <c r="R918" s="38"/>
      <c r="S918" s="38"/>
      <c r="T918" s="38"/>
      <c r="U918" s="38"/>
      <c r="V918" s="38"/>
      <c r="W918" s="38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35" t="s">
        <v>21</v>
      </c>
      <c r="B919" s="35" t="s">
        <v>43</v>
      </c>
      <c r="C919" s="35" t="s">
        <v>33</v>
      </c>
      <c r="D919" s="35" t="s">
        <v>44</v>
      </c>
      <c r="E919" s="35" t="s">
        <v>25</v>
      </c>
      <c r="F919" s="35" t="s">
        <v>25</v>
      </c>
      <c r="G919" s="35" t="s">
        <v>25</v>
      </c>
      <c r="H919" s="35" t="s">
        <v>36</v>
      </c>
      <c r="I919" s="45">
        <v>44256</v>
      </c>
      <c r="J919" s="46">
        <f>EFEITO!$J$919*EFEITO!$Y$919/(1-CUSTOS!$M$38)</f>
        <v>0</v>
      </c>
      <c r="K919" s="46">
        <f ca="1">EFEITO!$L$919*EFEITO!$Z$919/(1-CUSTOS!$M$38)</f>
        <v>9.7131155694491458</v>
      </c>
      <c r="L919" s="46">
        <f>EFEITO!$N$919*EFEITO!$AA$919/(1-CUSTOS!$M$38)</f>
        <v>4.7710155780724843</v>
      </c>
      <c r="M919" s="46">
        <f>$J$919-EFEITO!$K$919*EFEITO!$Y$919</f>
        <v>0</v>
      </c>
      <c r="N919" s="46">
        <f ca="1">$K$919-EFEITO!$M$919*EFEITO!$Z$919</f>
        <v>0.58278693416694871</v>
      </c>
      <c r="O919" s="46">
        <f>$L$919-EFEITO!$O$919*EFEITO!$AA$919</f>
        <v>0.28626093468434899</v>
      </c>
      <c r="P919" s="38"/>
      <c r="Q919" s="38"/>
      <c r="R919" s="38"/>
      <c r="S919" s="38"/>
      <c r="T919" s="38"/>
      <c r="U919" s="38"/>
      <c r="V919" s="38"/>
      <c r="W919" s="38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35" t="s">
        <v>21</v>
      </c>
      <c r="B920" s="35" t="s">
        <v>43</v>
      </c>
      <c r="C920" s="35" t="s">
        <v>33</v>
      </c>
      <c r="D920" s="35" t="s">
        <v>44</v>
      </c>
      <c r="E920" s="35" t="s">
        <v>25</v>
      </c>
      <c r="F920" s="35" t="s">
        <v>25</v>
      </c>
      <c r="G920" s="35" t="s">
        <v>25</v>
      </c>
      <c r="H920" s="35" t="s">
        <v>36</v>
      </c>
      <c r="I920" s="45">
        <v>44287</v>
      </c>
      <c r="J920" s="46">
        <f>EFEITO!$J$920*EFEITO!$Y$920/(1-CUSTOS!$M$38)</f>
        <v>0</v>
      </c>
      <c r="K920" s="46">
        <f ca="1">EFEITO!$L$920*EFEITO!$Z$920/(1-CUSTOS!$M$38)</f>
        <v>4.8565577847245729</v>
      </c>
      <c r="L920" s="46">
        <f>EFEITO!$N$920*EFEITO!$AA$920/(1-CUSTOS!$M$38)</f>
        <v>2.3855077890362422</v>
      </c>
      <c r="M920" s="46">
        <f>$J$920-EFEITO!$K$920*EFEITO!$Y$920</f>
        <v>0</v>
      </c>
      <c r="N920" s="46">
        <f ca="1">$K$920-EFEITO!$M$920*EFEITO!$Z$920</f>
        <v>0.29139346708347436</v>
      </c>
      <c r="O920" s="46">
        <f>$L$920-EFEITO!$O$920*EFEITO!$AA$920</f>
        <v>0.14313046734217449</v>
      </c>
      <c r="P920" s="38"/>
      <c r="Q920" s="38"/>
      <c r="R920" s="38"/>
      <c r="S920" s="38"/>
      <c r="T920" s="38"/>
      <c r="U920" s="38"/>
      <c r="V920" s="38"/>
      <c r="W920" s="38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35" t="s">
        <v>21</v>
      </c>
      <c r="B921" s="35" t="s">
        <v>43</v>
      </c>
      <c r="C921" s="35" t="s">
        <v>33</v>
      </c>
      <c r="D921" s="35" t="s">
        <v>44</v>
      </c>
      <c r="E921" s="35" t="s">
        <v>25</v>
      </c>
      <c r="F921" s="35" t="s">
        <v>25</v>
      </c>
      <c r="G921" s="35" t="s">
        <v>25</v>
      </c>
      <c r="H921" s="35" t="s">
        <v>36</v>
      </c>
      <c r="I921" s="45">
        <v>44317</v>
      </c>
      <c r="J921" s="46">
        <f>EFEITO!$J$921*EFEITO!$Y$921/(1-CUSTOS!$M$38)</f>
        <v>0</v>
      </c>
      <c r="K921" s="46">
        <f ca="1">EFEITO!$L$921*EFEITO!$Z$921/(1-CUSTOS!$M$38)</f>
        <v>6.3135251201419447</v>
      </c>
      <c r="L921" s="46">
        <f>EFEITO!$N$921*EFEITO!$AA$921/(1-CUSTOS!$M$38)</f>
        <v>3.1011601257471151</v>
      </c>
      <c r="M921" s="46">
        <f>$J$921-EFEITO!$K$921*EFEITO!$Y$921</f>
        <v>0</v>
      </c>
      <c r="N921" s="46">
        <f ca="1">$K$921-EFEITO!$M$921*EFEITO!$Z$921</f>
        <v>0.37881150720851675</v>
      </c>
      <c r="O921" s="46">
        <f>$L$921-EFEITO!$O$921*EFEITO!$AA$921</f>
        <v>0.18606960754482715</v>
      </c>
      <c r="P921" s="38"/>
      <c r="Q921" s="38"/>
      <c r="R921" s="38"/>
      <c r="S921" s="38"/>
      <c r="T921" s="38"/>
      <c r="U921" s="38"/>
      <c r="V921" s="38"/>
      <c r="W921" s="38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35" t="s">
        <v>21</v>
      </c>
      <c r="B922" s="35" t="s">
        <v>43</v>
      </c>
      <c r="C922" s="35" t="s">
        <v>33</v>
      </c>
      <c r="D922" s="35" t="s">
        <v>44</v>
      </c>
      <c r="E922" s="35" t="s">
        <v>25</v>
      </c>
      <c r="F922" s="35" t="s">
        <v>25</v>
      </c>
      <c r="G922" s="35" t="s">
        <v>25</v>
      </c>
      <c r="H922" s="35" t="s">
        <v>36</v>
      </c>
      <c r="I922" s="45">
        <v>44348</v>
      </c>
      <c r="J922" s="46">
        <f>EFEITO!$J$922*EFEITO!$Y$922/(1-CUSTOS!$M$38)</f>
        <v>0</v>
      </c>
      <c r="K922" s="46">
        <f ca="1">EFEITO!$L$922*EFEITO!$Z$922/(1-CUSTOS!$M$38)</f>
        <v>5.3422135631970304</v>
      </c>
      <c r="L922" s="46">
        <f>EFEITO!$N$922*EFEITO!$AA$922/(1-CUSTOS!$M$38)</f>
        <v>2.624058567939866</v>
      </c>
      <c r="M922" s="46">
        <f>$J$922-EFEITO!$K$922*EFEITO!$Y$922</f>
        <v>0</v>
      </c>
      <c r="N922" s="46">
        <f ca="1">$K$922-EFEITO!$M$922*EFEITO!$Z$922</f>
        <v>0.32053281379182241</v>
      </c>
      <c r="O922" s="46">
        <f>$L$922-EFEITO!$O$922*EFEITO!$AA$922</f>
        <v>0.1574435140763919</v>
      </c>
      <c r="P922" s="38"/>
      <c r="Q922" s="38"/>
      <c r="R922" s="38"/>
      <c r="S922" s="38"/>
      <c r="T922" s="38"/>
      <c r="U922" s="38"/>
      <c r="V922" s="38"/>
      <c r="W922" s="38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35" t="s">
        <v>21</v>
      </c>
      <c r="B923" s="35" t="s">
        <v>43</v>
      </c>
      <c r="C923" s="35" t="s">
        <v>33</v>
      </c>
      <c r="D923" s="35" t="s">
        <v>44</v>
      </c>
      <c r="E923" s="35" t="s">
        <v>25</v>
      </c>
      <c r="F923" s="35" t="s">
        <v>25</v>
      </c>
      <c r="G923" s="35" t="s">
        <v>25</v>
      </c>
      <c r="H923" s="35" t="s">
        <v>36</v>
      </c>
      <c r="I923" s="45">
        <v>44378</v>
      </c>
      <c r="J923" s="46">
        <f>EFEITO!$J$923*EFEITO!$Y$923/(1-CUSTOS!$M$38)</f>
        <v>0</v>
      </c>
      <c r="K923" s="46">
        <f ca="1">EFEITO!$L$923*EFEITO!$Z$923/(1-CUSTOS!$M$38)</f>
        <v>4.8565577847245729</v>
      </c>
      <c r="L923" s="46">
        <f>EFEITO!$N$923*EFEITO!$AA$923/(1-CUSTOS!$M$38)</f>
        <v>2.3855077890362422</v>
      </c>
      <c r="M923" s="46">
        <f>$J$923-EFEITO!$K$923*EFEITO!$Y$923</f>
        <v>0</v>
      </c>
      <c r="N923" s="46">
        <f ca="1">$K$923-EFEITO!$M$923*EFEITO!$Z$923</f>
        <v>0.29139346708347436</v>
      </c>
      <c r="O923" s="46">
        <f>$L$923-EFEITO!$O$923*EFEITO!$AA$923</f>
        <v>0.14313046734217449</v>
      </c>
      <c r="P923" s="38"/>
      <c r="Q923" s="38"/>
      <c r="R923" s="38"/>
      <c r="S923" s="38"/>
      <c r="T923" s="38"/>
      <c r="U923" s="38"/>
      <c r="V923" s="38"/>
      <c r="W923" s="38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35" t="s">
        <v>21</v>
      </c>
      <c r="B924" s="35" t="s">
        <v>43</v>
      </c>
      <c r="C924" s="35" t="s">
        <v>33</v>
      </c>
      <c r="D924" s="35" t="s">
        <v>44</v>
      </c>
      <c r="E924" s="35" t="s">
        <v>25</v>
      </c>
      <c r="F924" s="35" t="s">
        <v>25</v>
      </c>
      <c r="G924" s="35" t="s">
        <v>25</v>
      </c>
      <c r="H924" s="35" t="s">
        <v>36</v>
      </c>
      <c r="I924" s="45">
        <v>44409</v>
      </c>
      <c r="J924" s="46">
        <f>EFEITO!$J$924*EFEITO!$Y$924/(1-CUSTOS!$M$38)</f>
        <v>0</v>
      </c>
      <c r="K924" s="46">
        <f ca="1">EFEITO!$L$924*EFEITO!$Z$924/(1-CUSTOS!$M$38)</f>
        <v>3.8852462277796587</v>
      </c>
      <c r="L924" s="46">
        <f>EFEITO!$N$924*EFEITO!$AA$924/(1-CUSTOS!$M$38)</f>
        <v>1.9084062312289938</v>
      </c>
      <c r="M924" s="46">
        <f>$J$924-EFEITO!$K$924*EFEITO!$Y$924</f>
        <v>0</v>
      </c>
      <c r="N924" s="46">
        <f ca="1">$K$924-EFEITO!$M$924*EFEITO!$Z$924</f>
        <v>0.23311477366677957</v>
      </c>
      <c r="O924" s="46">
        <f>$L$924-EFEITO!$O$924*EFEITO!$AA$924</f>
        <v>0.11450437387373968</v>
      </c>
      <c r="P924" s="38"/>
      <c r="Q924" s="38"/>
      <c r="R924" s="38"/>
      <c r="S924" s="38"/>
      <c r="T924" s="38"/>
      <c r="U924" s="38"/>
      <c r="V924" s="38"/>
      <c r="W924" s="38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35" t="s">
        <v>21</v>
      </c>
      <c r="B925" s="35" t="s">
        <v>43</v>
      </c>
      <c r="C925" s="35" t="s">
        <v>33</v>
      </c>
      <c r="D925" s="35" t="s">
        <v>44</v>
      </c>
      <c r="E925" s="35" t="s">
        <v>25</v>
      </c>
      <c r="F925" s="35" t="s">
        <v>25</v>
      </c>
      <c r="G925" s="35" t="s">
        <v>25</v>
      </c>
      <c r="H925" s="35" t="s">
        <v>36</v>
      </c>
      <c r="I925" s="45">
        <v>44440</v>
      </c>
      <c r="J925" s="46">
        <f>EFEITO!$J$925*EFEITO!$Y$925/(1-CUSTOS!$M$38)</f>
        <v>0</v>
      </c>
      <c r="K925" s="46">
        <f ca="1">EFEITO!$L$925*EFEITO!$Z$925/(1-CUSTOS!$M$38)</f>
        <v>5.3422135631970304</v>
      </c>
      <c r="L925" s="46">
        <f>EFEITO!$N$925*EFEITO!$AA$925/(1-CUSTOS!$M$38)</f>
        <v>2.624058567939866</v>
      </c>
      <c r="M925" s="46">
        <f>$J$925-EFEITO!$K$925*EFEITO!$Y$925</f>
        <v>0</v>
      </c>
      <c r="N925" s="46">
        <f ca="1">$K$925-EFEITO!$M$925*EFEITO!$Z$925</f>
        <v>0.32053281379182241</v>
      </c>
      <c r="O925" s="46">
        <f>$L$925-EFEITO!$O$925*EFEITO!$AA$925</f>
        <v>0.1574435140763919</v>
      </c>
      <c r="P925" s="38"/>
      <c r="Q925" s="38"/>
      <c r="R925" s="38"/>
      <c r="S925" s="38"/>
      <c r="T925" s="38"/>
      <c r="U925" s="38"/>
      <c r="V925" s="38"/>
      <c r="W925" s="38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35" t="s">
        <v>21</v>
      </c>
      <c r="B926" s="35" t="s">
        <v>43</v>
      </c>
      <c r="C926" s="35" t="s">
        <v>33</v>
      </c>
      <c r="D926" s="35" t="s">
        <v>44</v>
      </c>
      <c r="E926" s="35" t="s">
        <v>25</v>
      </c>
      <c r="F926" s="35" t="s">
        <v>25</v>
      </c>
      <c r="G926" s="35" t="s">
        <v>25</v>
      </c>
      <c r="H926" s="35" t="s">
        <v>36</v>
      </c>
      <c r="I926" s="45">
        <v>44470</v>
      </c>
      <c r="J926" s="46">
        <f>EFEITO!$J$926*EFEITO!$Y$926/(1-CUSTOS!$M$38)</f>
        <v>0</v>
      </c>
      <c r="K926" s="46">
        <f ca="1">EFEITO!$L$926*EFEITO!$Z$926/(1-CUSTOS!$M$38)</f>
        <v>5.827869341669488</v>
      </c>
      <c r="L926" s="46">
        <f>EFEITO!$N$926*EFEITO!$AA$926/(1-CUSTOS!$M$38)</f>
        <v>2.8626093468434912</v>
      </c>
      <c r="M926" s="46">
        <f>$J$926-EFEITO!$K$926*EFEITO!$Y$926</f>
        <v>0</v>
      </c>
      <c r="N926" s="46">
        <f ca="1">$K$926-EFEITO!$M$926*EFEITO!$Z$926</f>
        <v>0.34967216050016958</v>
      </c>
      <c r="O926" s="46">
        <f>$L$926-EFEITO!$O$926*EFEITO!$AA$926</f>
        <v>0.17175656081060975</v>
      </c>
      <c r="P926" s="38"/>
      <c r="Q926" s="38"/>
      <c r="R926" s="38"/>
      <c r="S926" s="38"/>
      <c r="T926" s="38"/>
      <c r="U926" s="38"/>
      <c r="V926" s="38"/>
      <c r="W926" s="38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35" t="s">
        <v>21</v>
      </c>
      <c r="B927" s="35" t="s">
        <v>43</v>
      </c>
      <c r="C927" s="35" t="s">
        <v>33</v>
      </c>
      <c r="D927" s="35" t="s">
        <v>44</v>
      </c>
      <c r="E927" s="35" t="s">
        <v>25</v>
      </c>
      <c r="F927" s="35" t="s">
        <v>25</v>
      </c>
      <c r="G927" s="35" t="s">
        <v>25</v>
      </c>
      <c r="H927" s="35" t="s">
        <v>36</v>
      </c>
      <c r="I927" s="45">
        <v>44501</v>
      </c>
      <c r="J927" s="46">
        <f>EFEITO!$J$927*EFEITO!$Y$927/(1-CUSTOS!$M$38)</f>
        <v>0</v>
      </c>
      <c r="K927" s="46">
        <f ca="1">EFEITO!$L$927*EFEITO!$Z$927/(1-CUSTOS!$M$38)</f>
        <v>4.8565577847245729</v>
      </c>
      <c r="L927" s="46">
        <f>EFEITO!$N$927*EFEITO!$AA$927/(1-CUSTOS!$M$38)</f>
        <v>2.3855077890362422</v>
      </c>
      <c r="M927" s="46">
        <f>$J$927-EFEITO!$K$927*EFEITO!$Y$927</f>
        <v>0</v>
      </c>
      <c r="N927" s="46">
        <f ca="1">$K$927-EFEITO!$M$927*EFEITO!$Z$927</f>
        <v>0.29139346708347436</v>
      </c>
      <c r="O927" s="46">
        <f>$L$927-EFEITO!$O$927*EFEITO!$AA$927</f>
        <v>0.14313046734217449</v>
      </c>
      <c r="P927" s="38"/>
      <c r="Q927" s="38"/>
      <c r="R927" s="38"/>
      <c r="S927" s="38"/>
      <c r="T927" s="38"/>
      <c r="U927" s="38"/>
      <c r="V927" s="38"/>
      <c r="W927" s="38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35" t="s">
        <v>21</v>
      </c>
      <c r="B928" s="35" t="s">
        <v>43</v>
      </c>
      <c r="C928" s="35" t="s">
        <v>33</v>
      </c>
      <c r="D928" s="35" t="s">
        <v>44</v>
      </c>
      <c r="E928" s="35" t="s">
        <v>25</v>
      </c>
      <c r="F928" s="35" t="s">
        <v>25</v>
      </c>
      <c r="G928" s="35" t="s">
        <v>25</v>
      </c>
      <c r="H928" s="35" t="s">
        <v>36</v>
      </c>
      <c r="I928" s="45">
        <v>44531</v>
      </c>
      <c r="J928" s="46">
        <f>EFEITO!$J$928*EFEITO!$Y$928/(1-CUSTOS!$M$38)</f>
        <v>0</v>
      </c>
      <c r="K928" s="46">
        <f ca="1">EFEITO!$L$928*EFEITO!$Z$928/(1-CUSTOS!$M$38)</f>
        <v>5.827869341669488</v>
      </c>
      <c r="L928" s="46">
        <f>EFEITO!$N$928*EFEITO!$AA$928/(1-CUSTOS!$M$38)</f>
        <v>2.8626093468434912</v>
      </c>
      <c r="M928" s="46">
        <f>$J$928-EFEITO!$K$928*EFEITO!$Y$928</f>
        <v>0</v>
      </c>
      <c r="N928" s="46">
        <f ca="1">$K$928-EFEITO!$M$928*EFEITO!$Z$928</f>
        <v>0.34967216050016958</v>
      </c>
      <c r="O928" s="46">
        <f>$L$928-EFEITO!$O$928*EFEITO!$AA$928</f>
        <v>0.17175656081060975</v>
      </c>
      <c r="P928" s="38"/>
      <c r="Q928" s="38"/>
      <c r="R928" s="38"/>
      <c r="S928" s="38"/>
      <c r="T928" s="38"/>
      <c r="U928" s="38"/>
      <c r="V928" s="38"/>
      <c r="W928" s="38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35" t="s">
        <v>55</v>
      </c>
      <c r="B929" s="35" t="s">
        <v>43</v>
      </c>
      <c r="C929" s="35" t="s">
        <v>33</v>
      </c>
      <c r="D929" s="35" t="s">
        <v>44</v>
      </c>
      <c r="E929" s="35" t="s">
        <v>25</v>
      </c>
      <c r="F929" s="35" t="s">
        <v>25</v>
      </c>
      <c r="G929" s="35" t="s">
        <v>25</v>
      </c>
      <c r="H929" s="35" t="s">
        <v>36</v>
      </c>
      <c r="I929" s="45">
        <v>44562</v>
      </c>
      <c r="J929" s="46">
        <f>EFEITO!$J$929*EFEITO!$Y$929/(1-CUSTOS!$M$38)</f>
        <v>0</v>
      </c>
      <c r="K929" s="46">
        <f ca="1">EFEITO!$L$929*EFEITO!$Z$929/(1-CUSTOS!$M$38)</f>
        <v>5.827869341669488</v>
      </c>
      <c r="L929" s="46">
        <f>EFEITO!$N$929*EFEITO!$AA$929/(1-CUSTOS!$M$38)</f>
        <v>2.8626093468434912</v>
      </c>
      <c r="M929" s="46">
        <f>$J$929-EFEITO!$K$929*EFEITO!$Y$929</f>
        <v>0</v>
      </c>
      <c r="N929" s="46">
        <f ca="1">$K$929-EFEITO!$M$929*EFEITO!$Z$929</f>
        <v>0.34967216050016958</v>
      </c>
      <c r="O929" s="46">
        <f>$L$929-EFEITO!$O$929*EFEITO!$AA$929</f>
        <v>0.17175656081060975</v>
      </c>
      <c r="P929" s="38"/>
      <c r="Q929" s="38"/>
      <c r="R929" s="38"/>
      <c r="S929" s="38"/>
      <c r="T929" s="38"/>
      <c r="U929" s="38"/>
      <c r="V929" s="38"/>
      <c r="W929" s="38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35" t="s">
        <v>21</v>
      </c>
      <c r="B930" s="35" t="s">
        <v>43</v>
      </c>
      <c r="C930" s="35" t="s">
        <v>33</v>
      </c>
      <c r="D930" s="35" t="s">
        <v>44</v>
      </c>
      <c r="E930" s="35" t="s">
        <v>25</v>
      </c>
      <c r="F930" s="35" t="s">
        <v>25</v>
      </c>
      <c r="G930" s="35" t="s">
        <v>25</v>
      </c>
      <c r="H930" s="35" t="s">
        <v>34</v>
      </c>
      <c r="I930" s="45">
        <v>44228</v>
      </c>
      <c r="J930" s="46">
        <f>EFEITO!$J$930*EFEITO!$Y$930/(1-CUSTOS!$M$38)</f>
        <v>0</v>
      </c>
      <c r="K930" s="46">
        <f ca="1">EFEITO!$L$930*EFEITO!$Z$930/(1-CUSTOS!$M$38)</f>
        <v>8.4032473522502684</v>
      </c>
      <c r="L930" s="46">
        <f>EFEITO!$N$930*EFEITO!$AA$930/(1-CUSTOS!$M$38)</f>
        <v>4.2401212297709652</v>
      </c>
      <c r="M930" s="46">
        <f>$J$930-EFEITO!$K$930*EFEITO!$Y$930</f>
        <v>0</v>
      </c>
      <c r="N930" s="46">
        <f ca="1">$K$930-EFEITO!$M$930*EFEITO!$Z$930</f>
        <v>0.50419484113501678</v>
      </c>
      <c r="O930" s="46">
        <f>$L$930-EFEITO!$O$930*EFEITO!$AA$930</f>
        <v>0.25440727378625816</v>
      </c>
      <c r="P930" s="38"/>
      <c r="Q930" s="38"/>
      <c r="R930" s="38"/>
      <c r="S930" s="38"/>
      <c r="T930" s="38"/>
      <c r="U930" s="38"/>
      <c r="V930" s="38"/>
      <c r="W930" s="38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35" t="s">
        <v>21</v>
      </c>
      <c r="B931" s="35" t="s">
        <v>43</v>
      </c>
      <c r="C931" s="35" t="s">
        <v>33</v>
      </c>
      <c r="D931" s="35" t="s">
        <v>44</v>
      </c>
      <c r="E931" s="35" t="s">
        <v>25</v>
      </c>
      <c r="F931" s="35" t="s">
        <v>25</v>
      </c>
      <c r="G931" s="35" t="s">
        <v>25</v>
      </c>
      <c r="H931" s="35" t="s">
        <v>34</v>
      </c>
      <c r="I931" s="45">
        <v>44256</v>
      </c>
      <c r="J931" s="46">
        <f>EFEITO!$J$931*EFEITO!$Y$931/(1-CUSTOS!$M$38)</f>
        <v>0</v>
      </c>
      <c r="K931" s="46">
        <f ca="1">EFEITO!$L$931*EFEITO!$Z$931/(1-CUSTOS!$M$38)</f>
        <v>10.695042084682161</v>
      </c>
      <c r="L931" s="46">
        <f>EFEITO!$N$931*EFEITO!$AA$931/(1-CUSTOS!$M$38)</f>
        <v>5.3965179287994109</v>
      </c>
      <c r="M931" s="46">
        <f>$J$931-EFEITO!$K$931*EFEITO!$Y$931</f>
        <v>0</v>
      </c>
      <c r="N931" s="46">
        <f ca="1">$K$931-EFEITO!$M$931*EFEITO!$Z$931</f>
        <v>0.64170252508093029</v>
      </c>
      <c r="O931" s="46">
        <f>$L$931-EFEITO!$O$931*EFEITO!$AA$931</f>
        <v>0.32379107572796517</v>
      </c>
      <c r="P931" s="38"/>
      <c r="Q931" s="38"/>
      <c r="R931" s="38"/>
      <c r="S931" s="38"/>
      <c r="T931" s="38"/>
      <c r="U931" s="38"/>
      <c r="V931" s="38"/>
      <c r="W931" s="38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35" t="s">
        <v>21</v>
      </c>
      <c r="B932" s="35" t="s">
        <v>43</v>
      </c>
      <c r="C932" s="35" t="s">
        <v>33</v>
      </c>
      <c r="D932" s="35" t="s">
        <v>44</v>
      </c>
      <c r="E932" s="35" t="s">
        <v>25</v>
      </c>
      <c r="F932" s="35" t="s">
        <v>25</v>
      </c>
      <c r="G932" s="35" t="s">
        <v>25</v>
      </c>
      <c r="H932" s="35" t="s">
        <v>34</v>
      </c>
      <c r="I932" s="45">
        <v>44287</v>
      </c>
      <c r="J932" s="46">
        <f>EFEITO!$J$932*EFEITO!$Y$932/(1-CUSTOS!$M$38)</f>
        <v>0</v>
      </c>
      <c r="K932" s="46">
        <f ca="1">EFEITO!$L$932*EFEITO!$Z$932/(1-CUSTOS!$M$38)</f>
        <v>9.9311105072048615</v>
      </c>
      <c r="L932" s="46">
        <f>EFEITO!$N$932*EFEITO!$AA$932/(1-CUSTOS!$M$38)</f>
        <v>5.0110523624565948</v>
      </c>
      <c r="M932" s="46">
        <f>$J$932-EFEITO!$K$932*EFEITO!$Y$932</f>
        <v>0</v>
      </c>
      <c r="N932" s="46">
        <f ca="1">$K$932-EFEITO!$M$932*EFEITO!$Z$932</f>
        <v>0.59586663043229215</v>
      </c>
      <c r="O932" s="46">
        <f>$L$932-EFEITO!$O$932*EFEITO!$AA$932</f>
        <v>0.30066314174739617</v>
      </c>
      <c r="P932" s="38"/>
      <c r="Q932" s="38"/>
      <c r="R932" s="38"/>
      <c r="S932" s="38"/>
      <c r="T932" s="38"/>
      <c r="U932" s="38"/>
      <c r="V932" s="38"/>
      <c r="W932" s="38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35" t="s">
        <v>21</v>
      </c>
      <c r="B933" s="35" t="s">
        <v>43</v>
      </c>
      <c r="C933" s="35" t="s">
        <v>33</v>
      </c>
      <c r="D933" s="35" t="s">
        <v>44</v>
      </c>
      <c r="E933" s="35" t="s">
        <v>25</v>
      </c>
      <c r="F933" s="35" t="s">
        <v>25</v>
      </c>
      <c r="G933" s="35" t="s">
        <v>25</v>
      </c>
      <c r="H933" s="35" t="s">
        <v>34</v>
      </c>
      <c r="I933" s="45">
        <v>44317</v>
      </c>
      <c r="J933" s="46">
        <f>EFEITO!$J$933*EFEITO!$Y$933/(1-CUSTOS!$M$38)</f>
        <v>0</v>
      </c>
      <c r="K933" s="46">
        <f ca="1">EFEITO!$L$933*EFEITO!$Z$933/(1-CUSTOS!$M$38)</f>
        <v>11.458973662159456</v>
      </c>
      <c r="L933" s="46">
        <f>EFEITO!$N$933*EFEITO!$AA$933/(1-CUSTOS!$M$38)</f>
        <v>5.7819834951422253</v>
      </c>
      <c r="M933" s="46">
        <f>$J$933-EFEITO!$K$933*EFEITO!$Y$933</f>
        <v>0</v>
      </c>
      <c r="N933" s="46">
        <f ca="1">$K$933-EFEITO!$M$933*EFEITO!$Z$933</f>
        <v>0.68753841972956842</v>
      </c>
      <c r="O933" s="46">
        <f>$L$933-EFEITO!$O$933*EFEITO!$AA$933</f>
        <v>0.34691900970853418</v>
      </c>
      <c r="P933" s="38"/>
      <c r="Q933" s="38"/>
      <c r="R933" s="38"/>
      <c r="S933" s="38"/>
      <c r="T933" s="38"/>
      <c r="U933" s="38"/>
      <c r="V933" s="38"/>
      <c r="W933" s="38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35" t="s">
        <v>21</v>
      </c>
      <c r="B934" s="35" t="s">
        <v>43</v>
      </c>
      <c r="C934" s="35" t="s">
        <v>33</v>
      </c>
      <c r="D934" s="35" t="s">
        <v>44</v>
      </c>
      <c r="E934" s="35" t="s">
        <v>25</v>
      </c>
      <c r="F934" s="35" t="s">
        <v>25</v>
      </c>
      <c r="G934" s="35" t="s">
        <v>25</v>
      </c>
      <c r="H934" s="35" t="s">
        <v>34</v>
      </c>
      <c r="I934" s="45">
        <v>44348</v>
      </c>
      <c r="J934" s="46">
        <f>EFEITO!$J$934*EFEITO!$Y$934/(1-CUSTOS!$M$38)</f>
        <v>0</v>
      </c>
      <c r="K934" s="46">
        <f ca="1">EFEITO!$L$934*EFEITO!$Z$934/(1-CUSTOS!$M$38)</f>
        <v>9.9311105072048615</v>
      </c>
      <c r="L934" s="46">
        <f>EFEITO!$N$934*EFEITO!$AA$934/(1-CUSTOS!$M$38)</f>
        <v>5.0110523624565948</v>
      </c>
      <c r="M934" s="46">
        <f>$J$934-EFEITO!$K$934*EFEITO!$Y$934</f>
        <v>0</v>
      </c>
      <c r="N934" s="46">
        <f ca="1">$K$934-EFEITO!$M$934*EFEITO!$Z$934</f>
        <v>0.59586663043229215</v>
      </c>
      <c r="O934" s="46">
        <f>$L$934-EFEITO!$O$934*EFEITO!$AA$934</f>
        <v>0.30066314174739617</v>
      </c>
      <c r="P934" s="38"/>
      <c r="Q934" s="38"/>
      <c r="R934" s="38"/>
      <c r="S934" s="38"/>
      <c r="T934" s="38"/>
      <c r="U934" s="38"/>
      <c r="V934" s="38"/>
      <c r="W934" s="38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35" t="s">
        <v>21</v>
      </c>
      <c r="B935" s="35" t="s">
        <v>43</v>
      </c>
      <c r="C935" s="35" t="s">
        <v>33</v>
      </c>
      <c r="D935" s="35" t="s">
        <v>44</v>
      </c>
      <c r="E935" s="35" t="s">
        <v>25</v>
      </c>
      <c r="F935" s="35" t="s">
        <v>25</v>
      </c>
      <c r="G935" s="35" t="s">
        <v>25</v>
      </c>
      <c r="H935" s="35" t="s">
        <v>34</v>
      </c>
      <c r="I935" s="45">
        <v>44378</v>
      </c>
      <c r="J935" s="46">
        <f>EFEITO!$J$935*EFEITO!$Y$935/(1-CUSTOS!$M$38)</f>
        <v>0</v>
      </c>
      <c r="K935" s="46">
        <f ca="1">EFEITO!$L$935*EFEITO!$Z$935/(1-CUSTOS!$M$38)</f>
        <v>9.9311105072048615</v>
      </c>
      <c r="L935" s="46">
        <f>EFEITO!$N$935*EFEITO!$AA$935/(1-CUSTOS!$M$38)</f>
        <v>5.0110523624565948</v>
      </c>
      <c r="M935" s="46">
        <f>$J$935-EFEITO!$K$935*EFEITO!$Y$935</f>
        <v>0</v>
      </c>
      <c r="N935" s="46">
        <f ca="1">$K$935-EFEITO!$M$935*EFEITO!$Z$935</f>
        <v>0.59586663043229215</v>
      </c>
      <c r="O935" s="46">
        <f>$L$935-EFEITO!$O$935*EFEITO!$AA$935</f>
        <v>0.30066314174739617</v>
      </c>
      <c r="P935" s="38"/>
      <c r="Q935" s="38"/>
      <c r="R935" s="38"/>
      <c r="S935" s="38"/>
      <c r="T935" s="38"/>
      <c r="U935" s="38"/>
      <c r="V935" s="38"/>
      <c r="W935" s="38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35" t="s">
        <v>21</v>
      </c>
      <c r="B936" s="35" t="s">
        <v>43</v>
      </c>
      <c r="C936" s="35" t="s">
        <v>33</v>
      </c>
      <c r="D936" s="35" t="s">
        <v>44</v>
      </c>
      <c r="E936" s="35" t="s">
        <v>25</v>
      </c>
      <c r="F936" s="35" t="s">
        <v>25</v>
      </c>
      <c r="G936" s="35" t="s">
        <v>25</v>
      </c>
      <c r="H936" s="35" t="s">
        <v>34</v>
      </c>
      <c r="I936" s="45">
        <v>44409</v>
      </c>
      <c r="J936" s="46">
        <f>EFEITO!$J$936*EFEITO!$Y$936/(1-CUSTOS!$M$38)</f>
        <v>0</v>
      </c>
      <c r="K936" s="46">
        <f ca="1">EFEITO!$L$936*EFEITO!$Z$936/(1-CUSTOS!$M$38)</f>
        <v>9.1671789297275659</v>
      </c>
      <c r="L936" s="46">
        <f>EFEITO!$N$936*EFEITO!$AA$936/(1-CUSTOS!$M$38)</f>
        <v>4.6255867961137804</v>
      </c>
      <c r="M936" s="46">
        <f>$J$936-EFEITO!$K$936*EFEITO!$Y$936</f>
        <v>0</v>
      </c>
      <c r="N936" s="46">
        <f ca="1">$K$936-EFEITO!$M$936*EFEITO!$Z$936</f>
        <v>0.55003073578365402</v>
      </c>
      <c r="O936" s="46">
        <f>$L$936-EFEITO!$O$936*EFEITO!$AA$936</f>
        <v>0.27753520776682716</v>
      </c>
      <c r="P936" s="38"/>
      <c r="Q936" s="38"/>
      <c r="R936" s="38"/>
      <c r="S936" s="38"/>
      <c r="T936" s="38"/>
      <c r="U936" s="38"/>
      <c r="V936" s="38"/>
      <c r="W936" s="38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35" t="s">
        <v>21</v>
      </c>
      <c r="B937" s="35" t="s">
        <v>43</v>
      </c>
      <c r="C937" s="35" t="s">
        <v>33</v>
      </c>
      <c r="D937" s="35" t="s">
        <v>44</v>
      </c>
      <c r="E937" s="35" t="s">
        <v>25</v>
      </c>
      <c r="F937" s="35" t="s">
        <v>25</v>
      </c>
      <c r="G937" s="35" t="s">
        <v>25</v>
      </c>
      <c r="H937" s="35" t="s">
        <v>34</v>
      </c>
      <c r="I937" s="45">
        <v>44440</v>
      </c>
      <c r="J937" s="46">
        <f>EFEITO!$J$937*EFEITO!$Y$937/(1-CUSTOS!$M$38)</f>
        <v>0</v>
      </c>
      <c r="K937" s="46">
        <f ca="1">EFEITO!$L$937*EFEITO!$Z$937/(1-CUSTOS!$M$38)</f>
        <v>9.9311105072048615</v>
      </c>
      <c r="L937" s="46">
        <f>EFEITO!$N$937*EFEITO!$AA$937/(1-CUSTOS!$M$38)</f>
        <v>5.0110523624565948</v>
      </c>
      <c r="M937" s="46">
        <f>$J$937-EFEITO!$K$937*EFEITO!$Y$937</f>
        <v>0</v>
      </c>
      <c r="N937" s="46">
        <f ca="1">$K$937-EFEITO!$M$937*EFEITO!$Z$937</f>
        <v>0.59586663043229215</v>
      </c>
      <c r="O937" s="46">
        <f>$L$937-EFEITO!$O$937*EFEITO!$AA$937</f>
        <v>0.30066314174739617</v>
      </c>
      <c r="P937" s="38"/>
      <c r="Q937" s="38"/>
      <c r="R937" s="38"/>
      <c r="S937" s="38"/>
      <c r="T937" s="38"/>
      <c r="U937" s="38"/>
      <c r="V937" s="38"/>
      <c r="W937" s="38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35" t="s">
        <v>21</v>
      </c>
      <c r="B938" s="35" t="s">
        <v>43</v>
      </c>
      <c r="C938" s="35" t="s">
        <v>33</v>
      </c>
      <c r="D938" s="35" t="s">
        <v>44</v>
      </c>
      <c r="E938" s="35" t="s">
        <v>25</v>
      </c>
      <c r="F938" s="35" t="s">
        <v>25</v>
      </c>
      <c r="G938" s="35" t="s">
        <v>25</v>
      </c>
      <c r="H938" s="35" t="s">
        <v>34</v>
      </c>
      <c r="I938" s="45">
        <v>44470</v>
      </c>
      <c r="J938" s="46">
        <f>EFEITO!$J$938*EFEITO!$Y$938/(1-CUSTOS!$M$38)</f>
        <v>0</v>
      </c>
      <c r="K938" s="46">
        <f ca="1">EFEITO!$L$938*EFEITO!$Z$938/(1-CUSTOS!$M$38)</f>
        <v>11.458973662159456</v>
      </c>
      <c r="L938" s="46">
        <f>EFEITO!$N$938*EFEITO!$AA$938/(1-CUSTOS!$M$38)</f>
        <v>5.7819834951422253</v>
      </c>
      <c r="M938" s="46">
        <f>$J$938-EFEITO!$K$938*EFEITO!$Y$938</f>
        <v>0</v>
      </c>
      <c r="N938" s="46">
        <f ca="1">$K$938-EFEITO!$M$938*EFEITO!$Z$938</f>
        <v>0.68753841972956842</v>
      </c>
      <c r="O938" s="46">
        <f>$L$938-EFEITO!$O$938*EFEITO!$AA$938</f>
        <v>0.34691900970853418</v>
      </c>
      <c r="P938" s="38"/>
      <c r="Q938" s="38"/>
      <c r="R938" s="38"/>
      <c r="S938" s="38"/>
      <c r="T938" s="38"/>
      <c r="U938" s="38"/>
      <c r="V938" s="38"/>
      <c r="W938" s="38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35" t="s">
        <v>21</v>
      </c>
      <c r="B939" s="35" t="s">
        <v>43</v>
      </c>
      <c r="C939" s="35" t="s">
        <v>33</v>
      </c>
      <c r="D939" s="35" t="s">
        <v>44</v>
      </c>
      <c r="E939" s="35" t="s">
        <v>25</v>
      </c>
      <c r="F939" s="35" t="s">
        <v>25</v>
      </c>
      <c r="G939" s="35" t="s">
        <v>25</v>
      </c>
      <c r="H939" s="35" t="s">
        <v>34</v>
      </c>
      <c r="I939" s="45">
        <v>44501</v>
      </c>
      <c r="J939" s="46">
        <f>EFEITO!$J$939*EFEITO!$Y$939/(1-CUSTOS!$M$38)</f>
        <v>0</v>
      </c>
      <c r="K939" s="46">
        <f ca="1">EFEITO!$L$939*EFEITO!$Z$939/(1-CUSTOS!$M$38)</f>
        <v>11.458973662159456</v>
      </c>
      <c r="L939" s="46">
        <f>EFEITO!$N$939*EFEITO!$AA$939/(1-CUSTOS!$M$38)</f>
        <v>5.7819834951422253</v>
      </c>
      <c r="M939" s="46">
        <f>$J$939-EFEITO!$K$939*EFEITO!$Y$939</f>
        <v>0</v>
      </c>
      <c r="N939" s="46">
        <f ca="1">$K$939-EFEITO!$M$939*EFEITO!$Z$939</f>
        <v>0.68753841972956842</v>
      </c>
      <c r="O939" s="46">
        <f>$L$939-EFEITO!$O$939*EFEITO!$AA$939</f>
        <v>0.34691900970853418</v>
      </c>
      <c r="P939" s="38"/>
      <c r="Q939" s="38"/>
      <c r="R939" s="38"/>
      <c r="S939" s="38"/>
      <c r="T939" s="38"/>
      <c r="U939" s="38"/>
      <c r="V939" s="38"/>
      <c r="W939" s="38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35" t="s">
        <v>21</v>
      </c>
      <c r="B940" s="35" t="s">
        <v>43</v>
      </c>
      <c r="C940" s="35" t="s">
        <v>33</v>
      </c>
      <c r="D940" s="35" t="s">
        <v>44</v>
      </c>
      <c r="E940" s="35" t="s">
        <v>25</v>
      </c>
      <c r="F940" s="35" t="s">
        <v>25</v>
      </c>
      <c r="G940" s="35" t="s">
        <v>25</v>
      </c>
      <c r="H940" s="35" t="s">
        <v>34</v>
      </c>
      <c r="I940" s="45">
        <v>44531</v>
      </c>
      <c r="J940" s="46">
        <f>EFEITO!$J$940*EFEITO!$Y$940/(1-CUSTOS!$M$38)</f>
        <v>0</v>
      </c>
      <c r="K940" s="46">
        <f ca="1">EFEITO!$L$940*EFEITO!$Z$940/(1-CUSTOS!$M$38)</f>
        <v>12.222905239636756</v>
      </c>
      <c r="L940" s="46">
        <f>EFEITO!$N$940*EFEITO!$AA$940/(1-CUSTOS!$M$38)</f>
        <v>6.1674490614850406</v>
      </c>
      <c r="M940" s="46">
        <f>$J$940-EFEITO!$K$940*EFEITO!$Y$940</f>
        <v>0</v>
      </c>
      <c r="N940" s="46">
        <f ca="1">$K$940-EFEITO!$M$940*EFEITO!$Z$940</f>
        <v>0.73337431437820655</v>
      </c>
      <c r="O940" s="46">
        <f>$L$940-EFEITO!$O$940*EFEITO!$AA$940</f>
        <v>0.37004694368910318</v>
      </c>
      <c r="P940" s="38"/>
      <c r="Q940" s="38"/>
      <c r="R940" s="38"/>
      <c r="S940" s="38"/>
      <c r="T940" s="38"/>
      <c r="U940" s="38"/>
      <c r="V940" s="38"/>
      <c r="W940" s="38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35" t="s">
        <v>55</v>
      </c>
      <c r="B941" s="35" t="s">
        <v>43</v>
      </c>
      <c r="C941" s="35" t="s">
        <v>33</v>
      </c>
      <c r="D941" s="35" t="s">
        <v>44</v>
      </c>
      <c r="E941" s="35" t="s">
        <v>25</v>
      </c>
      <c r="F941" s="35" t="s">
        <v>25</v>
      </c>
      <c r="G941" s="35" t="s">
        <v>25</v>
      </c>
      <c r="H941" s="35" t="s">
        <v>34</v>
      </c>
      <c r="I941" s="45">
        <v>44562</v>
      </c>
      <c r="J941" s="46">
        <f>EFEITO!$J$941*EFEITO!$Y$941/(1-CUSTOS!$M$38)</f>
        <v>0</v>
      </c>
      <c r="K941" s="46">
        <f ca="1">EFEITO!$L$941*EFEITO!$Z$941/(1-CUSTOS!$M$38)</f>
        <v>12.222905239636756</v>
      </c>
      <c r="L941" s="46">
        <f>EFEITO!$N$941*EFEITO!$AA$941/(1-CUSTOS!$M$38)</f>
        <v>6.1674490614850406</v>
      </c>
      <c r="M941" s="46">
        <f>$J$941-EFEITO!$K$941*EFEITO!$Y$941</f>
        <v>0</v>
      </c>
      <c r="N941" s="46">
        <f ca="1">$K$941-EFEITO!$M$941*EFEITO!$Z$941</f>
        <v>0.73337431437820655</v>
      </c>
      <c r="O941" s="46">
        <f>$L$941-EFEITO!$O$941*EFEITO!$AA$941</f>
        <v>0.37004694368910318</v>
      </c>
      <c r="P941" s="38"/>
      <c r="Q941" s="38"/>
      <c r="R941" s="38"/>
      <c r="S941" s="38"/>
      <c r="T941" s="38"/>
      <c r="U941" s="38"/>
      <c r="V941" s="38"/>
      <c r="W941" s="38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35" t="s">
        <v>21</v>
      </c>
      <c r="B942" s="35" t="s">
        <v>43</v>
      </c>
      <c r="C942" s="35" t="s">
        <v>23</v>
      </c>
      <c r="D942" s="35" t="s">
        <v>44</v>
      </c>
      <c r="E942" s="35" t="s">
        <v>52</v>
      </c>
      <c r="F942" s="35" t="s">
        <v>53</v>
      </c>
      <c r="G942" s="35" t="s">
        <v>25</v>
      </c>
      <c r="H942" s="35" t="s">
        <v>25</v>
      </c>
      <c r="I942" s="45">
        <v>44228</v>
      </c>
      <c r="J942" s="46">
        <f>EFEITO!$J$942*EFEITO!$Y$728</f>
        <v>0</v>
      </c>
      <c r="K942" s="46">
        <f ca="1">EFEITO!$L$942*EFEITO!$Z$728</f>
        <v>41750.449823050709</v>
      </c>
      <c r="L942" s="46">
        <f>EFEITO!$N$942*EFEITO!$AA$728</f>
        <v>36656.505542918778</v>
      </c>
      <c r="M942" s="46">
        <f>$J$942-EFEITO!$K$942*EFEITO!$Y$942</f>
        <v>0</v>
      </c>
      <c r="N942" s="46">
        <f ca="1">$K$942-EFEITO!$M$942*EFEITO!$Z$942</f>
        <v>2505.0269893830409</v>
      </c>
      <c r="O942" s="46">
        <f>$L$942-EFEITO!$O$942*EFEITO!$AA$942</f>
        <v>2199.3903325751235</v>
      </c>
      <c r="P942" s="38"/>
      <c r="Q942" s="38"/>
      <c r="R942" s="38"/>
      <c r="S942" s="38"/>
      <c r="T942" s="38"/>
      <c r="U942" s="38"/>
      <c r="V942" s="38"/>
      <c r="W942" s="38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35" t="s">
        <v>27</v>
      </c>
      <c r="B943" s="35" t="s">
        <v>43</v>
      </c>
      <c r="C943" s="35" t="s">
        <v>23</v>
      </c>
      <c r="D943" s="35" t="s">
        <v>44</v>
      </c>
      <c r="E943" s="35" t="s">
        <v>52</v>
      </c>
      <c r="F943" s="35" t="s">
        <v>53</v>
      </c>
      <c r="G943" s="35" t="s">
        <v>25</v>
      </c>
      <c r="H943" s="35" t="s">
        <v>25</v>
      </c>
      <c r="I943" s="45">
        <v>44228</v>
      </c>
      <c r="J943" s="46">
        <f>EFEITO!$J$943*EFEITO!$Y$728</f>
        <v>0</v>
      </c>
      <c r="K943" s="46">
        <f ca="1">EFEITO!$L$943*EFEITO!$Z$728</f>
        <v>-5239.5869042857867</v>
      </c>
      <c r="L943" s="46">
        <f>EFEITO!$N$943*EFEITO!$AA$728</f>
        <v>-4600.3084329289359</v>
      </c>
      <c r="M943" s="46">
        <f>$J$943-EFEITO!$K$943*EFEITO!$Y$943</f>
        <v>0</v>
      </c>
      <c r="N943" s="46">
        <f ca="1">$K$943-EFEITO!$M$943*EFEITO!$Z$943</f>
        <v>-314.37521425714658</v>
      </c>
      <c r="O943" s="46">
        <f>$L$943-EFEITO!$O$943*EFEITO!$AA$943</f>
        <v>-276.01850597573593</v>
      </c>
      <c r="P943" s="38"/>
      <c r="Q943" s="38"/>
      <c r="R943" s="38"/>
      <c r="S943" s="38"/>
      <c r="T943" s="38"/>
      <c r="U943" s="38"/>
      <c r="V943" s="38"/>
      <c r="W943" s="38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35" t="s">
        <v>28</v>
      </c>
      <c r="B944" s="35" t="s">
        <v>43</v>
      </c>
      <c r="C944" s="35" t="s">
        <v>23</v>
      </c>
      <c r="D944" s="35" t="s">
        <v>44</v>
      </c>
      <c r="E944" s="35" t="s">
        <v>52</v>
      </c>
      <c r="F944" s="35" t="s">
        <v>53</v>
      </c>
      <c r="G944" s="35" t="s">
        <v>25</v>
      </c>
      <c r="H944" s="35" t="s">
        <v>25</v>
      </c>
      <c r="I944" s="45">
        <v>44228</v>
      </c>
      <c r="J944" s="46">
        <f>EFEITO!$J$944*EFEITO!$Y$728</f>
        <v>0</v>
      </c>
      <c r="K944" s="46">
        <f ca="1">EFEITO!$L$944*EFEITO!$Z$728</f>
        <v>137.96655262334596</v>
      </c>
      <c r="L944" s="46">
        <f>EFEITO!$N$944*EFEITO!$AA$728</f>
        <v>121.13334640487794</v>
      </c>
      <c r="M944" s="46">
        <f>$J$944-EFEITO!$K$944*EFEITO!$Y$944</f>
        <v>0</v>
      </c>
      <c r="N944" s="46">
        <f ca="1">$K$944-EFEITO!$M$944*EFEITO!$Z$944</f>
        <v>8.2779931574007435</v>
      </c>
      <c r="O944" s="46">
        <f>$L$944-EFEITO!$O$944*EFEITO!$AA$944</f>
        <v>7.2680007842926813</v>
      </c>
      <c r="P944" s="38"/>
      <c r="Q944" s="38"/>
      <c r="R944" s="38"/>
      <c r="S944" s="38"/>
      <c r="T944" s="38"/>
      <c r="U944" s="38"/>
      <c r="V944" s="38"/>
      <c r="W944" s="38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35" t="s">
        <v>21</v>
      </c>
      <c r="B945" s="35" t="s">
        <v>43</v>
      </c>
      <c r="C945" s="35" t="s">
        <v>23</v>
      </c>
      <c r="D945" s="35" t="s">
        <v>44</v>
      </c>
      <c r="E945" s="35" t="s">
        <v>52</v>
      </c>
      <c r="F945" s="35" t="s">
        <v>53</v>
      </c>
      <c r="G945" s="35" t="s">
        <v>25</v>
      </c>
      <c r="H945" s="35" t="s">
        <v>25</v>
      </c>
      <c r="I945" s="45">
        <v>44256</v>
      </c>
      <c r="J945" s="46">
        <f>EFEITO!$J$945*EFEITO!$Y$728</f>
        <v>0</v>
      </c>
      <c r="K945" s="46">
        <f ca="1">EFEITO!$L$945*EFEITO!$Z$728</f>
        <v>37724.854323835767</v>
      </c>
      <c r="L945" s="46">
        <f>EFEITO!$N$945*EFEITO!$AA$728</f>
        <v>33122.070240881621</v>
      </c>
      <c r="M945" s="46">
        <f>$J$945-EFEITO!$K$945*EFEITO!$Y$945</f>
        <v>0</v>
      </c>
      <c r="N945" s="46">
        <f ca="1">$K$945-EFEITO!$M$945*EFEITO!$Z$945</f>
        <v>2263.4912594301422</v>
      </c>
      <c r="O945" s="46">
        <f>$L$945-EFEITO!$O$945*EFEITO!$AA$945</f>
        <v>1987.3242144528995</v>
      </c>
      <c r="P945" s="38"/>
      <c r="Q945" s="38"/>
      <c r="R945" s="38"/>
      <c r="S945" s="38"/>
      <c r="T945" s="38"/>
      <c r="U945" s="38"/>
      <c r="V945" s="38"/>
      <c r="W945" s="38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35" t="s">
        <v>28</v>
      </c>
      <c r="B946" s="35" t="s">
        <v>43</v>
      </c>
      <c r="C946" s="35" t="s">
        <v>23</v>
      </c>
      <c r="D946" s="35" t="s">
        <v>44</v>
      </c>
      <c r="E946" s="35" t="s">
        <v>52</v>
      </c>
      <c r="F946" s="35" t="s">
        <v>53</v>
      </c>
      <c r="G946" s="35" t="s">
        <v>25</v>
      </c>
      <c r="H946" s="35" t="s">
        <v>25</v>
      </c>
      <c r="I946" s="45">
        <v>44256</v>
      </c>
      <c r="J946" s="46">
        <f>EFEITO!$J$946*EFEITO!$Y$728</f>
        <v>0</v>
      </c>
      <c r="K946" s="46">
        <f ca="1">EFEITO!$L$946*EFEITO!$Z$728</f>
        <v>135.39574729496061</v>
      </c>
      <c r="L946" s="46">
        <f>EFEITO!$N$946*EFEITO!$AA$728</f>
        <v>118.87620330416593</v>
      </c>
      <c r="M946" s="46">
        <f>$J$946-EFEITO!$K$946*EFEITO!$Y$946</f>
        <v>0</v>
      </c>
      <c r="N946" s="46">
        <f ca="1">$K$946-EFEITO!$M$946*EFEITO!$Z$946</f>
        <v>8.1237448376976147</v>
      </c>
      <c r="O946" s="46">
        <f>$L$946-EFEITO!$O$946*EFEITO!$AA$946</f>
        <v>7.1325721982499601</v>
      </c>
      <c r="P946" s="38"/>
      <c r="Q946" s="38"/>
      <c r="R946" s="38"/>
      <c r="S946" s="38"/>
      <c r="T946" s="38"/>
      <c r="U946" s="38"/>
      <c r="V946" s="38"/>
      <c r="W946" s="38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35" t="s">
        <v>28</v>
      </c>
      <c r="B947" s="35" t="s">
        <v>43</v>
      </c>
      <c r="C947" s="35" t="s">
        <v>23</v>
      </c>
      <c r="D947" s="35" t="s">
        <v>44</v>
      </c>
      <c r="E947" s="35" t="s">
        <v>52</v>
      </c>
      <c r="F947" s="35" t="s">
        <v>53</v>
      </c>
      <c r="G947" s="35" t="s">
        <v>25</v>
      </c>
      <c r="H947" s="35" t="s">
        <v>25</v>
      </c>
      <c r="I947" s="45">
        <v>44256</v>
      </c>
      <c r="J947" s="46">
        <f>EFEITO!$J$947*EFEITO!$Y$728</f>
        <v>0</v>
      </c>
      <c r="K947" s="46">
        <f ca="1">EFEITO!$L$947*EFEITO!$Z$728</f>
        <v>189.95394926402707</v>
      </c>
      <c r="L947" s="46">
        <f>EFEITO!$N$947*EFEITO!$AA$728</f>
        <v>166.77779577483196</v>
      </c>
      <c r="M947" s="46">
        <f>$J$947-EFEITO!$K$947*EFEITO!$Y$947</f>
        <v>0</v>
      </c>
      <c r="N947" s="46">
        <f ca="1">$K$947-EFEITO!$M$947*EFEITO!$Z$947</f>
        <v>11.397236955841635</v>
      </c>
      <c r="O947" s="46">
        <f>$L$947-EFEITO!$O$947*EFEITO!$AA$947</f>
        <v>10.006667746489939</v>
      </c>
      <c r="P947" s="38"/>
      <c r="Q947" s="38"/>
      <c r="R947" s="38"/>
      <c r="S947" s="38"/>
      <c r="T947" s="38"/>
      <c r="U947" s="38"/>
      <c r="V947" s="38"/>
      <c r="W947" s="38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35" t="s">
        <v>21</v>
      </c>
      <c r="B948" s="35" t="s">
        <v>43</v>
      </c>
      <c r="C948" s="35" t="s">
        <v>23</v>
      </c>
      <c r="D948" s="35" t="s">
        <v>44</v>
      </c>
      <c r="E948" s="35" t="s">
        <v>52</v>
      </c>
      <c r="F948" s="35" t="s">
        <v>53</v>
      </c>
      <c r="G948" s="35" t="s">
        <v>25</v>
      </c>
      <c r="H948" s="35" t="s">
        <v>25</v>
      </c>
      <c r="I948" s="45">
        <v>44287</v>
      </c>
      <c r="J948" s="46">
        <f>EFEITO!$J$948*EFEITO!$Y$728</f>
        <v>0</v>
      </c>
      <c r="K948" s="46">
        <f ca="1">EFEITO!$L$948*EFEITO!$Z$728</f>
        <v>31702.314374538408</v>
      </c>
      <c r="L948" s="46">
        <f>EFEITO!$N$948*EFEITO!$AA$728</f>
        <v>27834.336336946955</v>
      </c>
      <c r="M948" s="46">
        <f>$J$948-EFEITO!$K$948*EFEITO!$Y$948</f>
        <v>0</v>
      </c>
      <c r="N948" s="46">
        <f ca="1">$K$948-EFEITO!$M$948*EFEITO!$Z$948</f>
        <v>1902.138862472304</v>
      </c>
      <c r="O948" s="46">
        <f>$L$948-EFEITO!$O$948*EFEITO!$AA$948</f>
        <v>1670.0601802168203</v>
      </c>
      <c r="P948" s="38"/>
      <c r="Q948" s="38"/>
      <c r="R948" s="38"/>
      <c r="S948" s="38"/>
      <c r="T948" s="38"/>
      <c r="U948" s="38"/>
      <c r="V948" s="38"/>
      <c r="W948" s="38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35" t="s">
        <v>27</v>
      </c>
      <c r="B949" s="35" t="s">
        <v>43</v>
      </c>
      <c r="C949" s="35" t="s">
        <v>23</v>
      </c>
      <c r="D949" s="35" t="s">
        <v>44</v>
      </c>
      <c r="E949" s="35" t="s">
        <v>52</v>
      </c>
      <c r="F949" s="35" t="s">
        <v>53</v>
      </c>
      <c r="G949" s="35" t="s">
        <v>25</v>
      </c>
      <c r="H949" s="35" t="s">
        <v>25</v>
      </c>
      <c r="I949" s="45">
        <v>44287</v>
      </c>
      <c r="J949" s="46">
        <f>EFEITO!$J$949*EFEITO!$Y$728</f>
        <v>0</v>
      </c>
      <c r="K949" s="46">
        <f ca="1">EFEITO!$L$949*EFEITO!$Z$728</f>
        <v>-897.49670464296685</v>
      </c>
      <c r="L949" s="46">
        <f>EFEITO!$N$949*EFEITO!$AA$728</f>
        <v>-787.99373582634882</v>
      </c>
      <c r="M949" s="46">
        <f>$J$949-EFEITO!$K$949*EFEITO!$Y$949</f>
        <v>0</v>
      </c>
      <c r="N949" s="46">
        <f ca="1">$K$949-EFEITO!$M$949*EFEITO!$Z$949</f>
        <v>-53.849802278577954</v>
      </c>
      <c r="O949" s="46">
        <f>$L$949-EFEITO!$O$949*EFEITO!$AA$949</f>
        <v>-47.279624149580968</v>
      </c>
      <c r="P949" s="38"/>
      <c r="Q949" s="38"/>
      <c r="R949" s="38"/>
      <c r="S949" s="38"/>
      <c r="T949" s="38"/>
      <c r="U949" s="38"/>
      <c r="V949" s="38"/>
      <c r="W949" s="38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35" t="s">
        <v>28</v>
      </c>
      <c r="B950" s="35" t="s">
        <v>43</v>
      </c>
      <c r="C950" s="35" t="s">
        <v>23</v>
      </c>
      <c r="D950" s="35" t="s">
        <v>44</v>
      </c>
      <c r="E950" s="35" t="s">
        <v>52</v>
      </c>
      <c r="F950" s="35" t="s">
        <v>53</v>
      </c>
      <c r="G950" s="35" t="s">
        <v>25</v>
      </c>
      <c r="H950" s="35" t="s">
        <v>25</v>
      </c>
      <c r="I950" s="45">
        <v>44287</v>
      </c>
      <c r="J950" s="46">
        <f>EFEITO!$J$950*EFEITO!$Y$728</f>
        <v>0</v>
      </c>
      <c r="K950" s="46">
        <f ca="1">EFEITO!$L$950*EFEITO!$Z$728</f>
        <v>45.703205837961399</v>
      </c>
      <c r="L950" s="46">
        <f>EFEITO!$N$950*EFEITO!$AA$728</f>
        <v>40.126988457102428</v>
      </c>
      <c r="M950" s="46">
        <f>$J$950-EFEITO!$K$950*EFEITO!$Y$950</f>
        <v>0</v>
      </c>
      <c r="N950" s="46">
        <f ca="1">$K$950-EFEITO!$M$950*EFEITO!$Z$950</f>
        <v>2.7421923502776835</v>
      </c>
      <c r="O950" s="46">
        <f>$L$950-EFEITO!$O$950*EFEITO!$AA$950</f>
        <v>2.4076193074261525</v>
      </c>
      <c r="P950" s="38"/>
      <c r="Q950" s="38"/>
      <c r="R950" s="38"/>
      <c r="S950" s="38"/>
      <c r="T950" s="38"/>
      <c r="U950" s="38"/>
      <c r="V950" s="38"/>
      <c r="W950" s="38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35" t="s">
        <v>28</v>
      </c>
      <c r="B951" s="35" t="s">
        <v>43</v>
      </c>
      <c r="C951" s="35" t="s">
        <v>23</v>
      </c>
      <c r="D951" s="35" t="s">
        <v>44</v>
      </c>
      <c r="E951" s="35" t="s">
        <v>52</v>
      </c>
      <c r="F951" s="35" t="s">
        <v>53</v>
      </c>
      <c r="G951" s="35" t="s">
        <v>25</v>
      </c>
      <c r="H951" s="35" t="s">
        <v>25</v>
      </c>
      <c r="I951" s="45">
        <v>44287</v>
      </c>
      <c r="J951" s="46">
        <f>EFEITO!$J$951*EFEITO!$Y$728</f>
        <v>0</v>
      </c>
      <c r="K951" s="46">
        <f ca="1">EFEITO!$L$951*EFEITO!$Z$728</f>
        <v>1007.4700436905615</v>
      </c>
      <c r="L951" s="46">
        <f>EFEITO!$N$951*EFEITO!$AA$728</f>
        <v>884.54930180125166</v>
      </c>
      <c r="M951" s="46">
        <f>$J$951-EFEITO!$K$951*EFEITO!$Y$951</f>
        <v>0</v>
      </c>
      <c r="N951" s="46">
        <f ca="1">$K$951-EFEITO!$M$951*EFEITO!$Z$951</f>
        <v>60.448202621433666</v>
      </c>
      <c r="O951" s="46">
        <f>$L$951-EFEITO!$O$951*EFEITO!$AA$951</f>
        <v>53.072958108075227</v>
      </c>
      <c r="P951" s="38"/>
      <c r="Q951" s="38"/>
      <c r="R951" s="38"/>
      <c r="S951" s="38"/>
      <c r="T951" s="38"/>
      <c r="U951" s="38"/>
      <c r="V951" s="38"/>
      <c r="W951" s="38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35" t="s">
        <v>21</v>
      </c>
      <c r="B952" s="35" t="s">
        <v>43</v>
      </c>
      <c r="C952" s="35" t="s">
        <v>23</v>
      </c>
      <c r="D952" s="35" t="s">
        <v>44</v>
      </c>
      <c r="E952" s="35" t="s">
        <v>52</v>
      </c>
      <c r="F952" s="35" t="s">
        <v>53</v>
      </c>
      <c r="G952" s="35" t="s">
        <v>25</v>
      </c>
      <c r="H952" s="35" t="s">
        <v>25</v>
      </c>
      <c r="I952" s="45">
        <v>44317</v>
      </c>
      <c r="J952" s="46">
        <f>EFEITO!$J$952*EFEITO!$Y$728</f>
        <v>0</v>
      </c>
      <c r="K952" s="46">
        <f ca="1">EFEITO!$L$952*EFEITO!$Z$728</f>
        <v>24339.813559079314</v>
      </c>
      <c r="L952" s="46">
        <f>EFEITO!$N$952*EFEITO!$AA$728</f>
        <v>21370.129290185607</v>
      </c>
      <c r="M952" s="46">
        <f>$J$952-EFEITO!$K$952*EFEITO!$Y$952</f>
        <v>0</v>
      </c>
      <c r="N952" s="46">
        <f ca="1">$K$952-EFEITO!$M$952*EFEITO!$Z$952</f>
        <v>1460.3888135447596</v>
      </c>
      <c r="O952" s="46">
        <f>$L$952-EFEITO!$O$952*EFEITO!$AA$952</f>
        <v>1282.2077574111354</v>
      </c>
      <c r="P952" s="38"/>
      <c r="Q952" s="38"/>
      <c r="R952" s="38"/>
      <c r="S952" s="38"/>
      <c r="T952" s="38"/>
      <c r="U952" s="38"/>
      <c r="V952" s="38"/>
      <c r="W952" s="38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35" t="s">
        <v>27</v>
      </c>
      <c r="B953" s="35" t="s">
        <v>43</v>
      </c>
      <c r="C953" s="35" t="s">
        <v>23</v>
      </c>
      <c r="D953" s="35" t="s">
        <v>44</v>
      </c>
      <c r="E953" s="35" t="s">
        <v>52</v>
      </c>
      <c r="F953" s="35" t="s">
        <v>53</v>
      </c>
      <c r="G953" s="35" t="s">
        <v>25</v>
      </c>
      <c r="H953" s="35" t="s">
        <v>25</v>
      </c>
      <c r="I953" s="45">
        <v>44317</v>
      </c>
      <c r="J953" s="46">
        <f>EFEITO!$J$953*EFEITO!$Y$728</f>
        <v>0</v>
      </c>
      <c r="K953" s="46">
        <f ca="1">EFEITO!$L$953*EFEITO!$Z$728</f>
        <v>-860.07720486313599</v>
      </c>
      <c r="L953" s="46">
        <f>EFEITO!$N$953*EFEITO!$AA$728</f>
        <v>-755.13976402709625</v>
      </c>
      <c r="M953" s="46">
        <f>$J$953-EFEITO!$K$953*EFEITO!$Y$953</f>
        <v>0</v>
      </c>
      <c r="N953" s="46">
        <f ca="1">$K$953-EFEITO!$M$953*EFEITO!$Z$953</f>
        <v>-51.604632291788107</v>
      </c>
      <c r="O953" s="46">
        <f>$L$953-EFEITO!$O$953*EFEITO!$AA$953</f>
        <v>-45.30838584162575</v>
      </c>
      <c r="P953" s="38"/>
      <c r="Q953" s="38"/>
      <c r="R953" s="38"/>
      <c r="S953" s="38"/>
      <c r="T953" s="38"/>
      <c r="U953" s="38"/>
      <c r="V953" s="38"/>
      <c r="W953" s="38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35" t="s">
        <v>28</v>
      </c>
      <c r="B954" s="35" t="s">
        <v>43</v>
      </c>
      <c r="C954" s="35" t="s">
        <v>23</v>
      </c>
      <c r="D954" s="35" t="s">
        <v>44</v>
      </c>
      <c r="E954" s="35" t="s">
        <v>52</v>
      </c>
      <c r="F954" s="35" t="s">
        <v>53</v>
      </c>
      <c r="G954" s="35" t="s">
        <v>25</v>
      </c>
      <c r="H954" s="35" t="s">
        <v>25</v>
      </c>
      <c r="I954" s="45">
        <v>44317</v>
      </c>
      <c r="J954" s="46">
        <f>EFEITO!$J$954*EFEITO!$Y$728</f>
        <v>0</v>
      </c>
      <c r="K954" s="46">
        <f ca="1">EFEITO!$L$954*EFEITO!$Z$728</f>
        <v>57.700297370426263</v>
      </c>
      <c r="L954" s="46">
        <f>EFEITO!$N$954*EFEITO!$AA$728</f>
        <v>50.660322927091812</v>
      </c>
      <c r="M954" s="46">
        <f>$J$954-EFEITO!$K$954*EFEITO!$Y$954</f>
        <v>0</v>
      </c>
      <c r="N954" s="46">
        <f ca="1">$K$954-EFEITO!$M$954*EFEITO!$Z$954</f>
        <v>3.4620178422255705</v>
      </c>
      <c r="O954" s="46">
        <f>$L$954-EFEITO!$O$954*EFEITO!$AA$954</f>
        <v>3.039619375625513</v>
      </c>
      <c r="P954" s="38"/>
      <c r="Q954" s="38"/>
      <c r="R954" s="38"/>
      <c r="S954" s="38"/>
      <c r="T954" s="38"/>
      <c r="U954" s="38"/>
      <c r="V954" s="38"/>
      <c r="W954" s="38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35" t="s">
        <v>21</v>
      </c>
      <c r="B955" s="35" t="s">
        <v>43</v>
      </c>
      <c r="C955" s="35" t="s">
        <v>23</v>
      </c>
      <c r="D955" s="35" t="s">
        <v>44</v>
      </c>
      <c r="E955" s="35" t="s">
        <v>52</v>
      </c>
      <c r="F955" s="35" t="s">
        <v>53</v>
      </c>
      <c r="G955" s="35" t="s">
        <v>25</v>
      </c>
      <c r="H955" s="35" t="s">
        <v>25</v>
      </c>
      <c r="I955" s="45">
        <v>44348</v>
      </c>
      <c r="J955" s="46">
        <f>EFEITO!$J$955*EFEITO!$Y$728</f>
        <v>0</v>
      </c>
      <c r="K955" s="46">
        <f ca="1">EFEITO!$L$955*EFEITO!$Z$728</f>
        <v>29224.914973084415</v>
      </c>
      <c r="L955" s="46">
        <f>EFEITO!$N$955*EFEITO!$AA$728</f>
        <v>25659.202768894145</v>
      </c>
      <c r="M955" s="46">
        <f>$J$955-EFEITO!$K$955*EFEITO!$Y$955</f>
        <v>0</v>
      </c>
      <c r="N955" s="46">
        <f ca="1">$K$955-EFEITO!$M$955*EFEITO!$Z$955</f>
        <v>1753.4948983850663</v>
      </c>
      <c r="O955" s="46">
        <f>$L$955-EFEITO!$O$955*EFEITO!$AA$955</f>
        <v>1539.5521661336497</v>
      </c>
      <c r="P955" s="38"/>
      <c r="Q955" s="38"/>
      <c r="R955" s="38"/>
      <c r="S955" s="38"/>
      <c r="T955" s="38"/>
      <c r="U955" s="38"/>
      <c r="V955" s="38"/>
      <c r="W955" s="38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35" t="s">
        <v>27</v>
      </c>
      <c r="B956" s="35" t="s">
        <v>43</v>
      </c>
      <c r="C956" s="35" t="s">
        <v>23</v>
      </c>
      <c r="D956" s="35" t="s">
        <v>44</v>
      </c>
      <c r="E956" s="35" t="s">
        <v>52</v>
      </c>
      <c r="F956" s="35" t="s">
        <v>53</v>
      </c>
      <c r="G956" s="35" t="s">
        <v>25</v>
      </c>
      <c r="H956" s="35" t="s">
        <v>25</v>
      </c>
      <c r="I956" s="45">
        <v>44348</v>
      </c>
      <c r="J956" s="46">
        <f>EFEITO!$J$956*EFEITO!$Y$728</f>
        <v>0</v>
      </c>
      <c r="K956" s="46">
        <f ca="1">EFEITO!$L$956*EFEITO!$Z$728</f>
        <v>209.37781174516064</v>
      </c>
      <c r="L956" s="46">
        <f>EFEITO!$N$956*EFEITO!$AA$728</f>
        <v>183.83176586910048</v>
      </c>
      <c r="M956" s="46">
        <f>$J$956-EFEITO!$K$956*EFEITO!$Y$956</f>
        <v>0</v>
      </c>
      <c r="N956" s="46">
        <f ca="1">$K$956-EFEITO!$M$956*EFEITO!$Z$956</f>
        <v>12.562668704709637</v>
      </c>
      <c r="O956" s="46">
        <f>$L$956-EFEITO!$O$956*EFEITO!$AA$956</f>
        <v>11.029905952146038</v>
      </c>
      <c r="P956" s="38"/>
      <c r="Q956" s="38"/>
      <c r="R956" s="38"/>
      <c r="S956" s="38"/>
      <c r="T956" s="38"/>
      <c r="U956" s="38"/>
      <c r="V956" s="38"/>
      <c r="W956" s="38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35" t="s">
        <v>28</v>
      </c>
      <c r="B957" s="35" t="s">
        <v>43</v>
      </c>
      <c r="C957" s="35" t="s">
        <v>23</v>
      </c>
      <c r="D957" s="35" t="s">
        <v>44</v>
      </c>
      <c r="E957" s="35" t="s">
        <v>52</v>
      </c>
      <c r="F957" s="35" t="s">
        <v>53</v>
      </c>
      <c r="G957" s="35" t="s">
        <v>25</v>
      </c>
      <c r="H957" s="35" t="s">
        <v>25</v>
      </c>
      <c r="I957" s="45">
        <v>44348</v>
      </c>
      <c r="J957" s="46">
        <f>EFEITO!$J$957*EFEITO!$Y$728</f>
        <v>0</v>
      </c>
      <c r="K957" s="46">
        <f ca="1">EFEITO!$L$957*EFEITO!$Z$728</f>
        <v>46.274495910935912</v>
      </c>
      <c r="L957" s="46">
        <f>EFEITO!$N$957*EFEITO!$AA$728</f>
        <v>40.628575812816209</v>
      </c>
      <c r="M957" s="46">
        <f>$J$957-EFEITO!$K$957*EFEITO!$Y$957</f>
        <v>0</v>
      </c>
      <c r="N957" s="46">
        <f ca="1">$K$957-EFEITO!$M$957*EFEITO!$Z$957</f>
        <v>2.7764697546561479</v>
      </c>
      <c r="O957" s="46">
        <f>$L$957-EFEITO!$O$957*EFEITO!$AA$957</f>
        <v>2.4377145487689802</v>
      </c>
      <c r="P957" s="38"/>
      <c r="Q957" s="38"/>
      <c r="R957" s="38"/>
      <c r="S957" s="38"/>
      <c r="T957" s="38"/>
      <c r="U957" s="38"/>
      <c r="V957" s="38"/>
      <c r="W957" s="38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35" t="s">
        <v>21</v>
      </c>
      <c r="B958" s="35" t="s">
        <v>43</v>
      </c>
      <c r="C958" s="35" t="s">
        <v>23</v>
      </c>
      <c r="D958" s="35" t="s">
        <v>44</v>
      </c>
      <c r="E958" s="35" t="s">
        <v>52</v>
      </c>
      <c r="F958" s="35" t="s">
        <v>53</v>
      </c>
      <c r="G958" s="35" t="s">
        <v>25</v>
      </c>
      <c r="H958" s="35" t="s">
        <v>25</v>
      </c>
      <c r="I958" s="45">
        <v>44378</v>
      </c>
      <c r="J958" s="46">
        <f>EFEITO!$J$958*EFEITO!$Y$728</f>
        <v>0</v>
      </c>
      <c r="K958" s="46">
        <f ca="1">EFEITO!$L$958*EFEITO!$Z$728</f>
        <v>29951.024655835026</v>
      </c>
      <c r="L958" s="46">
        <f>EFEITO!$N$958*EFEITO!$AA$728</f>
        <v>26296.720298006359</v>
      </c>
      <c r="M958" s="46">
        <f>$J$958-EFEITO!$K$958*EFEITO!$Y$958</f>
        <v>0</v>
      </c>
      <c r="N958" s="46">
        <f ca="1">$K$958-EFEITO!$M$958*EFEITO!$Z$958</f>
        <v>1797.0614793501009</v>
      </c>
      <c r="O958" s="46">
        <f>$L$958-EFEITO!$O$958*EFEITO!$AA$958</f>
        <v>1577.8032178803842</v>
      </c>
      <c r="P958" s="38"/>
      <c r="Q958" s="38"/>
      <c r="R958" s="38"/>
      <c r="S958" s="38"/>
      <c r="T958" s="38"/>
      <c r="U958" s="38"/>
      <c r="V958" s="38"/>
      <c r="W958" s="38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35" t="s">
        <v>28</v>
      </c>
      <c r="B959" s="35" t="s">
        <v>43</v>
      </c>
      <c r="C959" s="35" t="s">
        <v>23</v>
      </c>
      <c r="D959" s="35" t="s">
        <v>44</v>
      </c>
      <c r="E959" s="35" t="s">
        <v>52</v>
      </c>
      <c r="F959" s="35" t="s">
        <v>53</v>
      </c>
      <c r="G959" s="35" t="s">
        <v>25</v>
      </c>
      <c r="H959" s="35" t="s">
        <v>25</v>
      </c>
      <c r="I959" s="45">
        <v>44378</v>
      </c>
      <c r="J959" s="46">
        <f>EFEITO!$J$959*EFEITO!$Y$728</f>
        <v>0</v>
      </c>
      <c r="K959" s="46">
        <f ca="1">EFEITO!$L$959*EFEITO!$Z$728</f>
        <v>165.10283108963552</v>
      </c>
      <c r="L959" s="46">
        <f>EFEITO!$N$959*EFEITO!$AA$728</f>
        <v>144.9587458012825</v>
      </c>
      <c r="M959" s="46">
        <f>$J$959-EFEITO!$K$959*EFEITO!$Y$959</f>
        <v>0</v>
      </c>
      <c r="N959" s="46">
        <f ca="1">$K$959-EFEITO!$M$959*EFEITO!$Z$959</f>
        <v>9.9061698653781036</v>
      </c>
      <c r="O959" s="46">
        <f>$L$959-EFEITO!$O$959*EFEITO!$AA$959</f>
        <v>8.6975247480769724</v>
      </c>
      <c r="P959" s="38"/>
      <c r="Q959" s="38"/>
      <c r="R959" s="38"/>
      <c r="S959" s="38"/>
      <c r="T959" s="38"/>
      <c r="U959" s="38"/>
      <c r="V959" s="38"/>
      <c r="W959" s="38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35" t="s">
        <v>21</v>
      </c>
      <c r="B960" s="35" t="s">
        <v>43</v>
      </c>
      <c r="C960" s="35" t="s">
        <v>23</v>
      </c>
      <c r="D960" s="35" t="s">
        <v>44</v>
      </c>
      <c r="E960" s="35" t="s">
        <v>52</v>
      </c>
      <c r="F960" s="35" t="s">
        <v>53</v>
      </c>
      <c r="G960" s="35" t="s">
        <v>25</v>
      </c>
      <c r="H960" s="35" t="s">
        <v>25</v>
      </c>
      <c r="I960" s="45">
        <v>44409</v>
      </c>
      <c r="J960" s="46">
        <f>EFEITO!$J$960*EFEITO!$Y$728</f>
        <v>0</v>
      </c>
      <c r="K960" s="46">
        <f ca="1">EFEITO!$L$960*EFEITO!$Z$728</f>
        <v>28693.615205218113</v>
      </c>
      <c r="L960" s="46">
        <f>EFEITO!$N$960*EFEITO!$AA$728</f>
        <v>25192.726528080329</v>
      </c>
      <c r="M960" s="46">
        <f>$J$960-EFEITO!$K$960*EFEITO!$Y$960</f>
        <v>0</v>
      </c>
      <c r="N960" s="46">
        <f ca="1">$K$960-EFEITO!$M$960*EFEITO!$Z$960</f>
        <v>1721.6169123130858</v>
      </c>
      <c r="O960" s="46">
        <f>$L$960-EFEITO!$O$960*EFEITO!$AA$960</f>
        <v>1511.5635916848223</v>
      </c>
      <c r="P960" s="38"/>
      <c r="Q960" s="38"/>
      <c r="R960" s="38"/>
      <c r="S960" s="38"/>
      <c r="T960" s="38"/>
      <c r="U960" s="38"/>
      <c r="V960" s="38"/>
      <c r="W960" s="38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35" t="s">
        <v>28</v>
      </c>
      <c r="B961" s="35" t="s">
        <v>43</v>
      </c>
      <c r="C961" s="35" t="s">
        <v>23</v>
      </c>
      <c r="D961" s="35" t="s">
        <v>44</v>
      </c>
      <c r="E961" s="35" t="s">
        <v>52</v>
      </c>
      <c r="F961" s="35" t="s">
        <v>53</v>
      </c>
      <c r="G961" s="35" t="s">
        <v>25</v>
      </c>
      <c r="H961" s="35" t="s">
        <v>25</v>
      </c>
      <c r="I961" s="45">
        <v>44409</v>
      </c>
      <c r="J961" s="46">
        <f>EFEITO!$J$961*EFEITO!$Y$728</f>
        <v>0</v>
      </c>
      <c r="K961" s="46">
        <f ca="1">EFEITO!$L$961*EFEITO!$Z$728</f>
        <v>62.556262990709662</v>
      </c>
      <c r="L961" s="46">
        <f>EFEITO!$N$961*EFEITO!$AA$728</f>
        <v>54.923815450658942</v>
      </c>
      <c r="M961" s="46">
        <f>$J$961-EFEITO!$K$961*EFEITO!$Y$961</f>
        <v>0</v>
      </c>
      <c r="N961" s="46">
        <f ca="1">$K$961-EFEITO!$M$961*EFEITO!$Z$961</f>
        <v>3.7533757794425782</v>
      </c>
      <c r="O961" s="46">
        <f>$L$961-EFEITO!$O$961*EFEITO!$AA$961</f>
        <v>3.2954289270395378</v>
      </c>
      <c r="P961" s="38"/>
      <c r="Q961" s="38"/>
      <c r="R961" s="38"/>
      <c r="S961" s="38"/>
      <c r="T961" s="38"/>
      <c r="U961" s="38"/>
      <c r="V961" s="38"/>
      <c r="W961" s="38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35" t="s">
        <v>21</v>
      </c>
      <c r="B962" s="35" t="s">
        <v>43</v>
      </c>
      <c r="C962" s="35" t="s">
        <v>23</v>
      </c>
      <c r="D962" s="35" t="s">
        <v>44</v>
      </c>
      <c r="E962" s="35" t="s">
        <v>52</v>
      </c>
      <c r="F962" s="35" t="s">
        <v>53</v>
      </c>
      <c r="G962" s="35" t="s">
        <v>25</v>
      </c>
      <c r="H962" s="35" t="s">
        <v>25</v>
      </c>
      <c r="I962" s="45">
        <v>44440</v>
      </c>
      <c r="J962" s="46">
        <f>EFEITO!$J$962*EFEITO!$Y$728</f>
        <v>0</v>
      </c>
      <c r="K962" s="46">
        <f ca="1">EFEITO!$L$962*EFEITO!$Z$728</f>
        <v>47638.736605199061</v>
      </c>
      <c r="L962" s="46">
        <f>EFEITO!$N$962*EFEITO!$AA$728</f>
        <v>41826.366418260717</v>
      </c>
      <c r="M962" s="46">
        <f>$J$962-EFEITO!$K$962*EFEITO!$Y$962</f>
        <v>0</v>
      </c>
      <c r="N962" s="46">
        <f ca="1">$K$962-EFEITO!$M$962*EFEITO!$Z$962</f>
        <v>2858.3241963119435</v>
      </c>
      <c r="O962" s="46">
        <f>$L$962-EFEITO!$O$962*EFEITO!$AA$962</f>
        <v>2509.5819850956468</v>
      </c>
      <c r="P962" s="38"/>
      <c r="Q962" s="38"/>
      <c r="R962" s="38"/>
      <c r="S962" s="38"/>
      <c r="T962" s="38"/>
      <c r="U962" s="38"/>
      <c r="V962" s="38"/>
      <c r="W962" s="38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35" t="s">
        <v>28</v>
      </c>
      <c r="B963" s="35" t="s">
        <v>43</v>
      </c>
      <c r="C963" s="35" t="s">
        <v>23</v>
      </c>
      <c r="D963" s="35" t="s">
        <v>44</v>
      </c>
      <c r="E963" s="35" t="s">
        <v>52</v>
      </c>
      <c r="F963" s="35" t="s">
        <v>53</v>
      </c>
      <c r="G963" s="35" t="s">
        <v>25</v>
      </c>
      <c r="H963" s="35" t="s">
        <v>25</v>
      </c>
      <c r="I963" s="45">
        <v>44440</v>
      </c>
      <c r="J963" s="46">
        <f>EFEITO!$J$963*EFEITO!$Y$728</f>
        <v>0</v>
      </c>
      <c r="K963" s="46">
        <f ca="1">EFEITO!$L$963*EFEITO!$Z$728</f>
        <v>240.51312072227182</v>
      </c>
      <c r="L963" s="46">
        <f>EFEITO!$N$963*EFEITO!$AA$728</f>
        <v>211.16827675550149</v>
      </c>
      <c r="M963" s="46">
        <f>$J$963-EFEITO!$K$963*EFEITO!$Y$963</f>
        <v>0</v>
      </c>
      <c r="N963" s="46">
        <f ca="1">$K$963-EFEITO!$M$963*EFEITO!$Z$963</f>
        <v>14.430787243336283</v>
      </c>
      <c r="O963" s="46">
        <f>$L$963-EFEITO!$O$963*EFEITO!$AA$963</f>
        <v>12.670096605330087</v>
      </c>
      <c r="P963" s="38"/>
      <c r="Q963" s="38"/>
      <c r="R963" s="38"/>
      <c r="S963" s="38"/>
      <c r="T963" s="38"/>
      <c r="U963" s="38"/>
      <c r="V963" s="38"/>
      <c r="W963" s="38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35" t="s">
        <v>21</v>
      </c>
      <c r="B964" s="35" t="s">
        <v>43</v>
      </c>
      <c r="C964" s="35" t="s">
        <v>23</v>
      </c>
      <c r="D964" s="35" t="s">
        <v>44</v>
      </c>
      <c r="E964" s="35" t="s">
        <v>52</v>
      </c>
      <c r="F964" s="35" t="s">
        <v>53</v>
      </c>
      <c r="G964" s="35" t="s">
        <v>25</v>
      </c>
      <c r="H964" s="35" t="s">
        <v>25</v>
      </c>
      <c r="I964" s="45">
        <v>44470</v>
      </c>
      <c r="J964" s="46">
        <f>EFEITO!$J$964*EFEITO!$Y$728</f>
        <v>0</v>
      </c>
      <c r="K964" s="46">
        <f ca="1">EFEITO!$L$964*EFEITO!$Z$728</f>
        <v>43479.744873944575</v>
      </c>
      <c r="L964" s="46">
        <f>EFEITO!$N$964*EFEITO!$AA$728</f>
        <v>38174.810468664393</v>
      </c>
      <c r="M964" s="46">
        <f>$J$964-EFEITO!$K$964*EFEITO!$Y$964</f>
        <v>0</v>
      </c>
      <c r="N964" s="46">
        <f ca="1">$K$964-EFEITO!$M$964*EFEITO!$Z$964</f>
        <v>2608.784692436675</v>
      </c>
      <c r="O964" s="46">
        <f>$L$964-EFEITO!$O$964*EFEITO!$AA$964</f>
        <v>2290.4886281198633</v>
      </c>
      <c r="P964" s="38"/>
      <c r="Q964" s="38"/>
      <c r="R964" s="38"/>
      <c r="S964" s="38"/>
      <c r="T964" s="38"/>
      <c r="U964" s="38"/>
      <c r="V964" s="38"/>
      <c r="W964" s="38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35" t="s">
        <v>27</v>
      </c>
      <c r="B965" s="35" t="s">
        <v>43</v>
      </c>
      <c r="C965" s="35" t="s">
        <v>23</v>
      </c>
      <c r="D965" s="35" t="s">
        <v>44</v>
      </c>
      <c r="E965" s="35" t="s">
        <v>52</v>
      </c>
      <c r="F965" s="35" t="s">
        <v>53</v>
      </c>
      <c r="G965" s="35" t="s">
        <v>25</v>
      </c>
      <c r="H965" s="35" t="s">
        <v>25</v>
      </c>
      <c r="I965" s="45">
        <v>44470</v>
      </c>
      <c r="J965" s="46">
        <f>EFEITO!$J$965*EFEITO!$Y$728</f>
        <v>0</v>
      </c>
      <c r="K965" s="46">
        <f ca="1">EFEITO!$L$965*EFEITO!$Z$728</f>
        <v>-306.4971241508286</v>
      </c>
      <c r="L965" s="46">
        <f>EFEITO!$N$965*EFEITO!$AA$728</f>
        <v>-269.10161634044312</v>
      </c>
      <c r="M965" s="46">
        <f>$J$965-EFEITO!$K$965*EFEITO!$Y$965</f>
        <v>0</v>
      </c>
      <c r="N965" s="46">
        <f ca="1">$K$965-EFEITO!$M$965*EFEITO!$Z$965</f>
        <v>-18.389827449049733</v>
      </c>
      <c r="O965" s="46">
        <f>$L$965-EFEITO!$O$965*EFEITO!$AA$965</f>
        <v>-16.146096980426591</v>
      </c>
      <c r="P965" s="38"/>
      <c r="Q965" s="38"/>
      <c r="R965" s="38"/>
      <c r="S965" s="38"/>
      <c r="T965" s="38"/>
      <c r="U965" s="38"/>
      <c r="V965" s="38"/>
      <c r="W965" s="38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35" t="s">
        <v>28</v>
      </c>
      <c r="B966" s="35" t="s">
        <v>43</v>
      </c>
      <c r="C966" s="35" t="s">
        <v>23</v>
      </c>
      <c r="D966" s="35" t="s">
        <v>44</v>
      </c>
      <c r="E966" s="35" t="s">
        <v>52</v>
      </c>
      <c r="F966" s="35" t="s">
        <v>53</v>
      </c>
      <c r="G966" s="35" t="s">
        <v>25</v>
      </c>
      <c r="H966" s="35" t="s">
        <v>25</v>
      </c>
      <c r="I966" s="45">
        <v>44470</v>
      </c>
      <c r="J966" s="46">
        <f>EFEITO!$J$966*EFEITO!$Y$728</f>
        <v>0</v>
      </c>
      <c r="K966" s="46">
        <f ca="1">EFEITO!$L$966*EFEITO!$Z$728</f>
        <v>358.77016582799695</v>
      </c>
      <c r="L966" s="46">
        <f>EFEITO!$N$966*EFEITO!$AA$728</f>
        <v>314.99685938825405</v>
      </c>
      <c r="M966" s="46">
        <f>$J$966-EFEITO!$K$966*EFEITO!$Y$966</f>
        <v>0</v>
      </c>
      <c r="N966" s="46">
        <f ca="1">$K$966-EFEITO!$M$966*EFEITO!$Z$966</f>
        <v>21.52620994967981</v>
      </c>
      <c r="O966" s="46">
        <f>$L$966-EFEITO!$O$966*EFEITO!$AA$966</f>
        <v>18.899811563295259</v>
      </c>
      <c r="P966" s="38"/>
      <c r="Q966" s="38"/>
      <c r="R966" s="38"/>
      <c r="S966" s="38"/>
      <c r="T966" s="38"/>
      <c r="U966" s="38"/>
      <c r="V966" s="38"/>
      <c r="W966" s="38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35" t="s">
        <v>21</v>
      </c>
      <c r="B967" s="35" t="s">
        <v>43</v>
      </c>
      <c r="C967" s="35" t="s">
        <v>23</v>
      </c>
      <c r="D967" s="35" t="s">
        <v>44</v>
      </c>
      <c r="E967" s="35" t="s">
        <v>52</v>
      </c>
      <c r="F967" s="35" t="s">
        <v>53</v>
      </c>
      <c r="G967" s="35" t="s">
        <v>25</v>
      </c>
      <c r="H967" s="35" t="s">
        <v>25</v>
      </c>
      <c r="I967" s="45">
        <v>44501</v>
      </c>
      <c r="J967" s="46">
        <f>EFEITO!$J$967*EFEITO!$Y$728</f>
        <v>0</v>
      </c>
      <c r="K967" s="46">
        <f ca="1">EFEITO!$L$967*EFEITO!$Z$728</f>
        <v>38681.765196068089</v>
      </c>
      <c r="L967" s="46">
        <f>EFEITO!$N$967*EFEITO!$AA$728</f>
        <v>33962.229061702208</v>
      </c>
      <c r="M967" s="46">
        <f>$J$967-EFEITO!$K$967*EFEITO!$Y$967</f>
        <v>0</v>
      </c>
      <c r="N967" s="46">
        <f ca="1">$K$967-EFEITO!$M$967*EFEITO!$Z$967</f>
        <v>2320.9059117640791</v>
      </c>
      <c r="O967" s="46">
        <f>$L$967-EFEITO!$O$967*EFEITO!$AA$967</f>
        <v>2037.7337437021306</v>
      </c>
      <c r="P967" s="38"/>
      <c r="Q967" s="38"/>
      <c r="R967" s="38"/>
      <c r="S967" s="38"/>
      <c r="T967" s="38"/>
      <c r="U967" s="38"/>
      <c r="V967" s="38"/>
      <c r="W967" s="38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35" t="s">
        <v>27</v>
      </c>
      <c r="B968" s="35" t="s">
        <v>43</v>
      </c>
      <c r="C968" s="35" t="s">
        <v>23</v>
      </c>
      <c r="D968" s="35" t="s">
        <v>44</v>
      </c>
      <c r="E968" s="35" t="s">
        <v>52</v>
      </c>
      <c r="F968" s="35" t="s">
        <v>53</v>
      </c>
      <c r="G968" s="35" t="s">
        <v>25</v>
      </c>
      <c r="H968" s="35" t="s">
        <v>25</v>
      </c>
      <c r="I968" s="45">
        <v>44501</v>
      </c>
      <c r="J968" s="46">
        <f>EFEITO!$J$968*EFEITO!$Y$728</f>
        <v>0</v>
      </c>
      <c r="K968" s="46">
        <f ca="1">EFEITO!$L$968*EFEITO!$Z$728</f>
        <v>-716.96904158301936</v>
      </c>
      <c r="L968" s="46">
        <f>EFEITO!$N$968*EFEITO!$AA$728</f>
        <v>-629.49213142079429</v>
      </c>
      <c r="M968" s="46">
        <f>$J$968-EFEITO!$K$968*EFEITO!$Y$968</f>
        <v>0</v>
      </c>
      <c r="N968" s="46">
        <f ca="1">$K$968-EFEITO!$M$968*EFEITO!$Z$968</f>
        <v>-43.018142494981134</v>
      </c>
      <c r="O968" s="46">
        <f>$L$968-EFEITO!$O$968*EFEITO!$AA$968</f>
        <v>-37.769527885247726</v>
      </c>
      <c r="P968" s="38"/>
      <c r="Q968" s="38"/>
      <c r="R968" s="38"/>
      <c r="S968" s="38"/>
      <c r="T968" s="38"/>
      <c r="U968" s="38"/>
      <c r="V968" s="38"/>
      <c r="W968" s="38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35" t="s">
        <v>28</v>
      </c>
      <c r="B969" s="35" t="s">
        <v>43</v>
      </c>
      <c r="C969" s="35" t="s">
        <v>23</v>
      </c>
      <c r="D969" s="35" t="s">
        <v>44</v>
      </c>
      <c r="E969" s="35" t="s">
        <v>52</v>
      </c>
      <c r="F969" s="35" t="s">
        <v>53</v>
      </c>
      <c r="G969" s="35" t="s">
        <v>25</v>
      </c>
      <c r="H969" s="35" t="s">
        <v>25</v>
      </c>
      <c r="I969" s="45">
        <v>44501</v>
      </c>
      <c r="J969" s="46">
        <f>EFEITO!$J$969*EFEITO!$Y$728</f>
        <v>0</v>
      </c>
      <c r="K969" s="46">
        <f ca="1">EFEITO!$L$969*EFEITO!$Z$728</f>
        <v>230.51554444521781</v>
      </c>
      <c r="L969" s="46">
        <f>EFEITO!$N$969*EFEITO!$AA$728</f>
        <v>202.39049803051037</v>
      </c>
      <c r="M969" s="46">
        <f>$J$969-EFEITO!$K$969*EFEITO!$Y$969</f>
        <v>0</v>
      </c>
      <c r="N969" s="46">
        <f ca="1">$K$969-EFEITO!$M$969*EFEITO!$Z$969</f>
        <v>13.830932666713068</v>
      </c>
      <c r="O969" s="46">
        <f>$L$969-EFEITO!$O$969*EFEITO!$AA$969</f>
        <v>12.143429881830627</v>
      </c>
      <c r="P969" s="38"/>
      <c r="Q969" s="38"/>
      <c r="R969" s="38"/>
      <c r="S969" s="38"/>
      <c r="T969" s="38"/>
      <c r="U969" s="38"/>
      <c r="V969" s="38"/>
      <c r="W969" s="38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35" t="s">
        <v>21</v>
      </c>
      <c r="B970" s="35" t="s">
        <v>43</v>
      </c>
      <c r="C970" s="35" t="s">
        <v>23</v>
      </c>
      <c r="D970" s="35" t="s">
        <v>44</v>
      </c>
      <c r="E970" s="35" t="s">
        <v>52</v>
      </c>
      <c r="F970" s="35" t="s">
        <v>53</v>
      </c>
      <c r="G970" s="35" t="s">
        <v>25</v>
      </c>
      <c r="H970" s="35" t="s">
        <v>25</v>
      </c>
      <c r="I970" s="45">
        <v>44531</v>
      </c>
      <c r="J970" s="46">
        <f>EFEITO!$J$970*EFEITO!$Y$728</f>
        <v>0</v>
      </c>
      <c r="K970" s="46">
        <f ca="1">EFEITO!$L$970*EFEITO!$Z$728</f>
        <v>47013.459620328445</v>
      </c>
      <c r="L970" s="46">
        <f>EFEITO!$N$970*EFEITO!$AA$728</f>
        <v>41277.379057431979</v>
      </c>
      <c r="M970" s="46">
        <f>$J$970-EFEITO!$K$970*EFEITO!$Y$970</f>
        <v>0</v>
      </c>
      <c r="N970" s="46">
        <f ca="1">$K$970-EFEITO!$M$970*EFEITO!$Z$970</f>
        <v>2820.8075772197044</v>
      </c>
      <c r="O970" s="46">
        <f>$L$970-EFEITO!$O$970*EFEITO!$AA$970</f>
        <v>2476.6427434459256</v>
      </c>
      <c r="P970" s="38"/>
      <c r="Q970" s="38"/>
      <c r="R970" s="38"/>
      <c r="S970" s="38"/>
      <c r="T970" s="38"/>
      <c r="U970" s="38"/>
      <c r="V970" s="38"/>
      <c r="W970" s="38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35" t="s">
        <v>28</v>
      </c>
      <c r="B971" s="35" t="s">
        <v>43</v>
      </c>
      <c r="C971" s="35" t="s">
        <v>23</v>
      </c>
      <c r="D971" s="35" t="s">
        <v>44</v>
      </c>
      <c r="E971" s="35" t="s">
        <v>52</v>
      </c>
      <c r="F971" s="35" t="s">
        <v>53</v>
      </c>
      <c r="G971" s="35" t="s">
        <v>25</v>
      </c>
      <c r="H971" s="35" t="s">
        <v>25</v>
      </c>
      <c r="I971" s="45">
        <v>44531</v>
      </c>
      <c r="J971" s="46">
        <f>EFEITO!$J$971*EFEITO!$Y$728</f>
        <v>0</v>
      </c>
      <c r="K971" s="46">
        <f ca="1">EFEITO!$L$971*EFEITO!$Z$728</f>
        <v>423.04029903763018</v>
      </c>
      <c r="L971" s="46">
        <f>EFEITO!$N$971*EFEITO!$AA$728</f>
        <v>371.42543690605436</v>
      </c>
      <c r="M971" s="46">
        <f>$J$971-EFEITO!$K$971*EFEITO!$Y$971</f>
        <v>0</v>
      </c>
      <c r="N971" s="46">
        <f ca="1">$K$971-EFEITO!$M$971*EFEITO!$Z$971</f>
        <v>25.382417942257803</v>
      </c>
      <c r="O971" s="46">
        <f>$L$971-EFEITO!$O$971*EFEITO!$AA$971</f>
        <v>22.285526214363301</v>
      </c>
      <c r="P971" s="38"/>
      <c r="Q971" s="38"/>
      <c r="R971" s="38"/>
      <c r="S971" s="38"/>
      <c r="T971" s="38"/>
      <c r="U971" s="38"/>
      <c r="V971" s="38"/>
      <c r="W971" s="38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35" t="s">
        <v>55</v>
      </c>
      <c r="B972" s="35" t="s">
        <v>43</v>
      </c>
      <c r="C972" s="35" t="s">
        <v>23</v>
      </c>
      <c r="D972" s="35" t="s">
        <v>44</v>
      </c>
      <c r="E972" s="35" t="s">
        <v>52</v>
      </c>
      <c r="F972" s="35" t="s">
        <v>53</v>
      </c>
      <c r="G972" s="35" t="s">
        <v>25</v>
      </c>
      <c r="H972" s="35" t="s">
        <v>25</v>
      </c>
      <c r="I972" s="45">
        <v>44562</v>
      </c>
      <c r="J972" s="46">
        <f>EFEITO!$J$972*EFEITO!$Y$728</f>
        <v>0</v>
      </c>
      <c r="K972" s="46">
        <f ca="1">EFEITO!$L$972*EFEITO!$Z$728</f>
        <v>47013.459620328445</v>
      </c>
      <c r="L972" s="46">
        <f>EFEITO!$N$972*EFEITO!$AA$728</f>
        <v>41277.379057431979</v>
      </c>
      <c r="M972" s="46">
        <f>$J$972-EFEITO!$K$972*EFEITO!$Y$972</f>
        <v>0</v>
      </c>
      <c r="N972" s="46">
        <f ca="1">$K$972-EFEITO!$M$972*EFEITO!$Z$972</f>
        <v>2820.8075772197044</v>
      </c>
      <c r="O972" s="46">
        <f>$L$972-EFEITO!$O$972*EFEITO!$AA$972</f>
        <v>2476.6427434459256</v>
      </c>
      <c r="P972" s="38"/>
      <c r="Q972" s="38"/>
      <c r="R972" s="38"/>
      <c r="S972" s="38"/>
      <c r="T972" s="38"/>
      <c r="U972" s="38"/>
      <c r="V972" s="38"/>
      <c r="W972" s="38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35" t="s">
        <v>55</v>
      </c>
      <c r="B973" s="35" t="s">
        <v>43</v>
      </c>
      <c r="C973" s="35" t="s">
        <v>23</v>
      </c>
      <c r="D973" s="35" t="s">
        <v>44</v>
      </c>
      <c r="E973" s="35" t="s">
        <v>52</v>
      </c>
      <c r="F973" s="35" t="s">
        <v>53</v>
      </c>
      <c r="G973" s="35" t="s">
        <v>25</v>
      </c>
      <c r="H973" s="35" t="s">
        <v>25</v>
      </c>
      <c r="I973" s="45">
        <v>44562</v>
      </c>
      <c r="J973" s="46">
        <f>EFEITO!$J$973*EFEITO!$Y$728</f>
        <v>0</v>
      </c>
      <c r="K973" s="46">
        <f ca="1">EFEITO!$L$973*EFEITO!$Z$728</f>
        <v>423.04029903763018</v>
      </c>
      <c r="L973" s="46">
        <f>EFEITO!$N$973*EFEITO!$AA$728</f>
        <v>371.42543690605436</v>
      </c>
      <c r="M973" s="46">
        <f>$J$973-EFEITO!$K$973*EFEITO!$Y$973</f>
        <v>0</v>
      </c>
      <c r="N973" s="46">
        <f ca="1">$K$973-EFEITO!$M$973*EFEITO!$Z$973</f>
        <v>25.382417942257803</v>
      </c>
      <c r="O973" s="46">
        <f>$L$973-EFEITO!$O$973*EFEITO!$AA$973</f>
        <v>22.285526214363301</v>
      </c>
      <c r="P973" s="38"/>
      <c r="Q973" s="38"/>
      <c r="R973" s="38"/>
      <c r="S973" s="38"/>
      <c r="T973" s="38"/>
      <c r="U973" s="38"/>
      <c r="V973" s="38"/>
      <c r="W973" s="38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35" t="s">
        <v>21</v>
      </c>
      <c r="B974" s="35" t="s">
        <v>43</v>
      </c>
      <c r="C974" s="35" t="s">
        <v>23</v>
      </c>
      <c r="D974" s="35" t="s">
        <v>44</v>
      </c>
      <c r="E974" s="35" t="s">
        <v>52</v>
      </c>
      <c r="F974" s="35" t="s">
        <v>54</v>
      </c>
      <c r="G974" s="35" t="s">
        <v>25</v>
      </c>
      <c r="H974" s="35" t="s">
        <v>25</v>
      </c>
      <c r="I974" s="45">
        <v>44228</v>
      </c>
      <c r="J974" s="46">
        <f>EFEITO!$J$974*EFEITO!$Y$728</f>
        <v>0</v>
      </c>
      <c r="K974" s="46">
        <f ca="1">EFEITO!$L$974*EFEITO!$Z$728</f>
        <v>52904.317207805187</v>
      </c>
      <c r="L974" s="46">
        <f>EFEITO!$N$974*EFEITO!$AA$728</f>
        <v>46449.497075874628</v>
      </c>
      <c r="M974" s="46">
        <f>$J$974-EFEITO!$K$974*EFEITO!$Y$974</f>
        <v>0</v>
      </c>
      <c r="N974" s="46">
        <f ca="1">$K$974-EFEITO!$M$974*EFEITO!$Z$974</f>
        <v>39477.201500464231</v>
      </c>
      <c r="O974" s="46">
        <f>$L$974-EFEITO!$O$974*EFEITO!$AA$974</f>
        <v>34660.614718017649</v>
      </c>
      <c r="P974" s="38"/>
      <c r="Q974" s="38"/>
      <c r="R974" s="38"/>
      <c r="S974" s="38"/>
      <c r="T974" s="38"/>
      <c r="U974" s="38"/>
      <c r="V974" s="38"/>
      <c r="W974" s="38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35" t="s">
        <v>27</v>
      </c>
      <c r="B975" s="35" t="s">
        <v>43</v>
      </c>
      <c r="C975" s="35" t="s">
        <v>23</v>
      </c>
      <c r="D975" s="35" t="s">
        <v>44</v>
      </c>
      <c r="E975" s="35" t="s">
        <v>52</v>
      </c>
      <c r="F975" s="35" t="s">
        <v>54</v>
      </c>
      <c r="G975" s="35" t="s">
        <v>25</v>
      </c>
      <c r="H975" s="35" t="s">
        <v>25</v>
      </c>
      <c r="I975" s="45">
        <v>44228</v>
      </c>
      <c r="J975" s="46">
        <f>EFEITO!$J$975*EFEITO!$Y$728</f>
        <v>0</v>
      </c>
      <c r="K975" s="46">
        <f ca="1">EFEITO!$L$975*EFEITO!$Z$728</f>
        <v>-2137.7674530706445</v>
      </c>
      <c r="L975" s="46">
        <f>EFEITO!$N$975*EFEITO!$AA$728</f>
        <v>-1876.939885080966</v>
      </c>
      <c r="M975" s="46">
        <f>$J$975-EFEITO!$K$975*EFEITO!$Y$975</f>
        <v>0</v>
      </c>
      <c r="N975" s="46">
        <f ca="1">$K$975-EFEITO!$M$975*EFEITO!$Z$975</f>
        <v>-1595.202073481315</v>
      </c>
      <c r="O975" s="46">
        <f>$L$975-EFEITO!$O$975*EFEITO!$AA$975</f>
        <v>-1400.5725422474168</v>
      </c>
      <c r="P975" s="38"/>
      <c r="Q975" s="38"/>
      <c r="R975" s="38"/>
      <c r="S975" s="38"/>
      <c r="T975" s="38"/>
      <c r="U975" s="38"/>
      <c r="V975" s="38"/>
      <c r="W975" s="38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35" t="s">
        <v>28</v>
      </c>
      <c r="B976" s="35" t="s">
        <v>43</v>
      </c>
      <c r="C976" s="35" t="s">
        <v>23</v>
      </c>
      <c r="D976" s="35" t="s">
        <v>44</v>
      </c>
      <c r="E976" s="35" t="s">
        <v>52</v>
      </c>
      <c r="F976" s="35" t="s">
        <v>54</v>
      </c>
      <c r="G976" s="35" t="s">
        <v>25</v>
      </c>
      <c r="H976" s="35" t="s">
        <v>25</v>
      </c>
      <c r="I976" s="45">
        <v>44228</v>
      </c>
      <c r="J976" s="46">
        <f>EFEITO!$J$976*EFEITO!$Y$728</f>
        <v>0</v>
      </c>
      <c r="K976" s="46">
        <f ca="1">EFEITO!$L$976*EFEITO!$Z$728</f>
        <v>240.79876575875909</v>
      </c>
      <c r="L976" s="46">
        <f>EFEITO!$N$976*EFEITO!$AA$728</f>
        <v>211.4190704333584</v>
      </c>
      <c r="M976" s="46">
        <f>$J$976-EFEITO!$K$976*EFEITO!$Y$976</f>
        <v>0</v>
      </c>
      <c r="N976" s="46">
        <f ca="1">$K$976-EFEITO!$M$976*EFEITO!$Z$976</f>
        <v>179.68403900918602</v>
      </c>
      <c r="O976" s="46">
        <f>$L$976-EFEITO!$O$976*EFEITO!$AA$976</f>
        <v>157.76091035737204</v>
      </c>
      <c r="P976" s="38"/>
      <c r="Q976" s="38"/>
      <c r="R976" s="38"/>
      <c r="S976" s="38"/>
      <c r="T976" s="38"/>
      <c r="U976" s="38"/>
      <c r="V976" s="38"/>
      <c r="W976" s="38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35" t="s">
        <v>21</v>
      </c>
      <c r="B977" s="35" t="s">
        <v>43</v>
      </c>
      <c r="C977" s="35" t="s">
        <v>23</v>
      </c>
      <c r="D977" s="35" t="s">
        <v>44</v>
      </c>
      <c r="E977" s="35" t="s">
        <v>52</v>
      </c>
      <c r="F977" s="35" t="s">
        <v>54</v>
      </c>
      <c r="G977" s="35" t="s">
        <v>25</v>
      </c>
      <c r="H977" s="35" t="s">
        <v>25</v>
      </c>
      <c r="I977" s="45">
        <v>44256</v>
      </c>
      <c r="J977" s="46">
        <f>EFEITO!$J$977*EFEITO!$Y$728</f>
        <v>0</v>
      </c>
      <c r="K977" s="46">
        <f ca="1">EFEITO!$L$977*EFEITO!$Z$728</f>
        <v>43858.79583736317</v>
      </c>
      <c r="L977" s="46">
        <f>EFEITO!$N$977*EFEITO!$AA$728</f>
        <v>38507.613679180489</v>
      </c>
      <c r="M977" s="46">
        <f>$J$977-EFEITO!$K$977*EFEITO!$Y$977</f>
        <v>0</v>
      </c>
      <c r="N977" s="46">
        <f ca="1">$K$977-EFEITO!$M$977*EFEITO!$Z$977</f>
        <v>32727.4334538404</v>
      </c>
      <c r="O977" s="46">
        <f>$L$977-EFEITO!$O$977*EFEITO!$AA$977</f>
        <v>28734.381327404484</v>
      </c>
      <c r="P977" s="38"/>
      <c r="Q977" s="38"/>
      <c r="R977" s="38"/>
      <c r="S977" s="38"/>
      <c r="T977" s="38"/>
      <c r="U977" s="38"/>
      <c r="V977" s="38"/>
      <c r="W977" s="38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35" t="s">
        <v>28</v>
      </c>
      <c r="B978" s="35" t="s">
        <v>43</v>
      </c>
      <c r="C978" s="35" t="s">
        <v>23</v>
      </c>
      <c r="D978" s="35" t="s">
        <v>44</v>
      </c>
      <c r="E978" s="35" t="s">
        <v>52</v>
      </c>
      <c r="F978" s="35" t="s">
        <v>54</v>
      </c>
      <c r="G978" s="35" t="s">
        <v>25</v>
      </c>
      <c r="H978" s="35" t="s">
        <v>25</v>
      </c>
      <c r="I978" s="45">
        <v>44256</v>
      </c>
      <c r="J978" s="46">
        <f>EFEITO!$J$978*EFEITO!$Y$728</f>
        <v>0</v>
      </c>
      <c r="K978" s="46">
        <f ca="1">EFEITO!$L$978*EFEITO!$Z$728</f>
        <v>142.25122817065485</v>
      </c>
      <c r="L978" s="46">
        <f>EFEITO!$N$978*EFEITO!$AA$728</f>
        <v>124.8952515727313</v>
      </c>
      <c r="M978" s="46">
        <f>$J$978-EFEITO!$K$978*EFEITO!$Y$978</f>
        <v>0</v>
      </c>
      <c r="N978" s="46">
        <f ca="1">$K$978-EFEITO!$M$978*EFEITO!$Z$978</f>
        <v>106.14786646094265</v>
      </c>
      <c r="O978" s="46">
        <f>$L$978-EFEITO!$O$978*EFEITO!$AA$978</f>
        <v>93.19683672357209</v>
      </c>
      <c r="P978" s="38"/>
      <c r="Q978" s="38"/>
      <c r="R978" s="38"/>
      <c r="S978" s="38"/>
      <c r="T978" s="38"/>
      <c r="U978" s="38"/>
      <c r="V978" s="38"/>
      <c r="W978" s="38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35" t="s">
        <v>21</v>
      </c>
      <c r="B979" s="35" t="s">
        <v>43</v>
      </c>
      <c r="C979" s="35" t="s">
        <v>23</v>
      </c>
      <c r="D979" s="35" t="s">
        <v>44</v>
      </c>
      <c r="E979" s="35" t="s">
        <v>52</v>
      </c>
      <c r="F979" s="35" t="s">
        <v>54</v>
      </c>
      <c r="G979" s="35" t="s">
        <v>25</v>
      </c>
      <c r="H979" s="35" t="s">
        <v>25</v>
      </c>
      <c r="I979" s="45">
        <v>44287</v>
      </c>
      <c r="J979" s="46">
        <f>EFEITO!$J$979*EFEITO!$Y$728</f>
        <v>0</v>
      </c>
      <c r="K979" s="46">
        <f ca="1">EFEITO!$L$979*EFEITO!$Z$728</f>
        <v>32818.615177130618</v>
      </c>
      <c r="L979" s="46">
        <f>EFEITO!$N$979*EFEITO!$AA$728</f>
        <v>28814.438030011679</v>
      </c>
      <c r="M979" s="46">
        <f>$J$979-EFEITO!$K$979*EFEITO!$Y$979</f>
        <v>0</v>
      </c>
      <c r="N979" s="46">
        <f ca="1">$K$979-EFEITO!$M$979*EFEITO!$Z$979</f>
        <v>24489.250645174867</v>
      </c>
      <c r="O979" s="46">
        <f>$L$979-EFEITO!$O$979*EFEITO!$AA$979</f>
        <v>21501.333657994714</v>
      </c>
      <c r="P979" s="38"/>
      <c r="Q979" s="38"/>
      <c r="R979" s="38"/>
      <c r="S979" s="38"/>
      <c r="T979" s="38"/>
      <c r="U979" s="38"/>
      <c r="V979" s="38"/>
      <c r="W979" s="38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35" t="s">
        <v>27</v>
      </c>
      <c r="B980" s="35" t="s">
        <v>43</v>
      </c>
      <c r="C980" s="35" t="s">
        <v>23</v>
      </c>
      <c r="D980" s="35" t="s">
        <v>44</v>
      </c>
      <c r="E980" s="35" t="s">
        <v>52</v>
      </c>
      <c r="F980" s="35" t="s">
        <v>54</v>
      </c>
      <c r="G980" s="35" t="s">
        <v>25</v>
      </c>
      <c r="H980" s="35" t="s">
        <v>25</v>
      </c>
      <c r="I980" s="45">
        <v>44287</v>
      </c>
      <c r="J980" s="46">
        <f>EFEITO!$J$980*EFEITO!$Y$728</f>
        <v>0</v>
      </c>
      <c r="K980" s="46">
        <f ca="1">EFEITO!$L$980*EFEITO!$Z$728</f>
        <v>-1071.7401769001947</v>
      </c>
      <c r="L980" s="46">
        <f>EFEITO!$N$980*EFEITO!$AA$728</f>
        <v>-940.97787931905179</v>
      </c>
      <c r="M980" s="46">
        <f>$J$980-EFEITO!$K$980*EFEITO!$Y$980</f>
        <v>0</v>
      </c>
      <c r="N980" s="46">
        <f ca="1">$K$980-EFEITO!$M$980*EFEITO!$Z$980</f>
        <v>-799.7325200029253</v>
      </c>
      <c r="O980" s="46">
        <f>$L$980-EFEITO!$O$980*EFEITO!$AA$980</f>
        <v>-702.15769354787642</v>
      </c>
      <c r="P980" s="38"/>
      <c r="Q980" s="38"/>
      <c r="R980" s="38"/>
      <c r="S980" s="38"/>
      <c r="T980" s="38"/>
      <c r="U980" s="38"/>
      <c r="V980" s="38"/>
      <c r="W980" s="38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35" t="s">
        <v>28</v>
      </c>
      <c r="B981" s="35" t="s">
        <v>43</v>
      </c>
      <c r="C981" s="35" t="s">
        <v>23</v>
      </c>
      <c r="D981" s="35" t="s">
        <v>44</v>
      </c>
      <c r="E981" s="35" t="s">
        <v>52</v>
      </c>
      <c r="F981" s="35" t="s">
        <v>54</v>
      </c>
      <c r="G981" s="35" t="s">
        <v>25</v>
      </c>
      <c r="H981" s="35" t="s">
        <v>25</v>
      </c>
      <c r="I981" s="45">
        <v>44287</v>
      </c>
      <c r="J981" s="46">
        <f>EFEITO!$J$981*EFEITO!$Y$728</f>
        <v>0</v>
      </c>
      <c r="K981" s="46">
        <f ca="1">EFEITO!$L$981*EFEITO!$Z$728</f>
        <v>138.25219765983323</v>
      </c>
      <c r="L981" s="46">
        <f>EFEITO!$N$981*EFEITO!$AA$728</f>
        <v>121.38414008273483</v>
      </c>
      <c r="M981" s="46">
        <f>$J$981-EFEITO!$K$981*EFEITO!$Y$981</f>
        <v>0</v>
      </c>
      <c r="N981" s="46">
        <f ca="1">$K$981-EFEITO!$M$981*EFEITO!$Z$981</f>
        <v>103.16378989376756</v>
      </c>
      <c r="O981" s="46">
        <f>$L$981-EFEITO!$O$981*EFEITO!$AA$981</f>
        <v>90.576845329736727</v>
      </c>
      <c r="P981" s="38"/>
      <c r="Q981" s="38"/>
      <c r="R981" s="38"/>
      <c r="S981" s="38"/>
      <c r="T981" s="38"/>
      <c r="U981" s="38"/>
      <c r="V981" s="38"/>
      <c r="W981" s="38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35" t="s">
        <v>21</v>
      </c>
      <c r="B982" s="35" t="s">
        <v>43</v>
      </c>
      <c r="C982" s="35" t="s">
        <v>23</v>
      </c>
      <c r="D982" s="35" t="s">
        <v>44</v>
      </c>
      <c r="E982" s="35" t="s">
        <v>52</v>
      </c>
      <c r="F982" s="35" t="s">
        <v>54</v>
      </c>
      <c r="G982" s="35" t="s">
        <v>25</v>
      </c>
      <c r="H982" s="35" t="s">
        <v>25</v>
      </c>
      <c r="I982" s="45">
        <v>44317</v>
      </c>
      <c r="J982" s="46">
        <f>EFEITO!$J$982*EFEITO!$Y$728</f>
        <v>0</v>
      </c>
      <c r="K982" s="46">
        <f ca="1">EFEITO!$L$982*EFEITO!$Z$728</f>
        <v>24777.993045050771</v>
      </c>
      <c r="L982" s="46">
        <f>EFEITO!$N$982*EFEITO!$AA$728</f>
        <v>21754.846792018081</v>
      </c>
      <c r="M982" s="46">
        <f>$J$982-EFEITO!$K$982*EFEITO!$Y$982</f>
        <v>0</v>
      </c>
      <c r="N982" s="46">
        <f ca="1">$K$982-EFEITO!$M$982*EFEITO!$Z$982</f>
        <v>18489.338410216886</v>
      </c>
      <c r="O982" s="46">
        <f>$L$982-EFEITO!$O$982*EFEITO!$AA$982</f>
        <v>16233.466676203892</v>
      </c>
      <c r="P982" s="38"/>
      <c r="Q982" s="38"/>
      <c r="R982" s="38"/>
      <c r="S982" s="38"/>
      <c r="T982" s="38"/>
      <c r="U982" s="38"/>
      <c r="V982" s="38"/>
      <c r="W982" s="38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35" t="s">
        <v>27</v>
      </c>
      <c r="B983" s="35" t="s">
        <v>43</v>
      </c>
      <c r="C983" s="35" t="s">
        <v>23</v>
      </c>
      <c r="D983" s="35" t="s">
        <v>44</v>
      </c>
      <c r="E983" s="35" t="s">
        <v>52</v>
      </c>
      <c r="F983" s="35" t="s">
        <v>54</v>
      </c>
      <c r="G983" s="35" t="s">
        <v>25</v>
      </c>
      <c r="H983" s="35" t="s">
        <v>25</v>
      </c>
      <c r="I983" s="45">
        <v>44317</v>
      </c>
      <c r="J983" s="46">
        <f>EFEITO!$J$983*EFEITO!$Y$728</f>
        <v>0</v>
      </c>
      <c r="K983" s="46">
        <f ca="1">EFEITO!$L$983*EFEITO!$Z$728</f>
        <v>-1405.6592245538002</v>
      </c>
      <c r="L983" s="46">
        <f>EFEITO!$N$983*EFEITO!$AA$728</f>
        <v>-1234.1556887337565</v>
      </c>
      <c r="M983" s="46">
        <f>$J$983-EFEITO!$K$983*EFEITO!$Y$983</f>
        <v>0</v>
      </c>
      <c r="N983" s="46">
        <f ca="1">$K$983-EFEITO!$M$983*EFEITO!$Z$983</f>
        <v>-1048.9029133620456</v>
      </c>
      <c r="O983" s="46">
        <f>$L$983-EFEITO!$O$983*EFEITO!$AA$983</f>
        <v>-920.92697493312915</v>
      </c>
      <c r="P983" s="38"/>
      <c r="Q983" s="38"/>
      <c r="R983" s="38"/>
      <c r="S983" s="38"/>
      <c r="T983" s="38"/>
      <c r="U983" s="38"/>
      <c r="V983" s="38"/>
      <c r="W983" s="38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35" t="s">
        <v>28</v>
      </c>
      <c r="B984" s="35" t="s">
        <v>43</v>
      </c>
      <c r="C984" s="35" t="s">
        <v>23</v>
      </c>
      <c r="D984" s="35" t="s">
        <v>44</v>
      </c>
      <c r="E984" s="35" t="s">
        <v>52</v>
      </c>
      <c r="F984" s="35" t="s">
        <v>54</v>
      </c>
      <c r="G984" s="35" t="s">
        <v>25</v>
      </c>
      <c r="H984" s="35" t="s">
        <v>25</v>
      </c>
      <c r="I984" s="45">
        <v>44317</v>
      </c>
      <c r="J984" s="46">
        <f>EFEITO!$J$984*EFEITO!$Y$728</f>
        <v>0</v>
      </c>
      <c r="K984" s="46">
        <f ca="1">EFEITO!$L$984*EFEITO!$Z$728</f>
        <v>170.81573181938072</v>
      </c>
      <c r="L984" s="46">
        <f>EFEITO!$N$984*EFEITO!$AA$728</f>
        <v>149.97461935842031</v>
      </c>
      <c r="M984" s="46">
        <f>$J$984-EFEITO!$K$984*EFEITO!$Y$984</f>
        <v>0</v>
      </c>
      <c r="N984" s="46">
        <f ca="1">$K$984-EFEITO!$M$984*EFEITO!$Z$984</f>
        <v>127.46269908362189</v>
      </c>
      <c r="O984" s="46">
        <f>$L$984-EFEITO!$O$984*EFEITO!$AA$984</f>
        <v>111.91106096525324</v>
      </c>
      <c r="P984" s="38"/>
      <c r="Q984" s="38"/>
      <c r="R984" s="38"/>
      <c r="S984" s="38"/>
      <c r="T984" s="38"/>
      <c r="U984" s="38"/>
      <c r="V984" s="38"/>
      <c r="W984" s="38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35" t="s">
        <v>21</v>
      </c>
      <c r="B985" s="35" t="s">
        <v>43</v>
      </c>
      <c r="C985" s="35" t="s">
        <v>23</v>
      </c>
      <c r="D985" s="35" t="s">
        <v>44</v>
      </c>
      <c r="E985" s="35" t="s">
        <v>52</v>
      </c>
      <c r="F985" s="35" t="s">
        <v>54</v>
      </c>
      <c r="G985" s="35" t="s">
        <v>25</v>
      </c>
      <c r="H985" s="35" t="s">
        <v>25</v>
      </c>
      <c r="I985" s="45">
        <v>44348</v>
      </c>
      <c r="J985" s="46">
        <f>EFEITO!$J$985*EFEITO!$Y$728</f>
        <v>0</v>
      </c>
      <c r="K985" s="46">
        <f ca="1">EFEITO!$L$985*EFEITO!$Z$728</f>
        <v>33792.664751552169</v>
      </c>
      <c r="L985" s="46">
        <f>EFEITO!$N$985*EFEITO!$AA$728</f>
        <v>29669.644471503674</v>
      </c>
      <c r="M985" s="46">
        <f>$J$985-EFEITO!$K$985*EFEITO!$Y$985</f>
        <v>0</v>
      </c>
      <c r="N985" s="46">
        <f ca="1">$K$985-EFEITO!$M$985*EFEITO!$Z$985</f>
        <v>25216.086437608228</v>
      </c>
      <c r="O985" s="46">
        <f>$L$985-EFEITO!$O$985*EFEITO!$AA$985</f>
        <v>22139.488704636042</v>
      </c>
      <c r="P985" s="38"/>
      <c r="Q985" s="38"/>
      <c r="R985" s="38"/>
      <c r="S985" s="38"/>
      <c r="T985" s="38"/>
      <c r="U985" s="38"/>
      <c r="V985" s="38"/>
      <c r="W985" s="38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35" t="s">
        <v>28</v>
      </c>
      <c r="B986" s="35" t="s">
        <v>43</v>
      </c>
      <c r="C986" s="35" t="s">
        <v>23</v>
      </c>
      <c r="D986" s="35" t="s">
        <v>44</v>
      </c>
      <c r="E986" s="35" t="s">
        <v>52</v>
      </c>
      <c r="F986" s="35" t="s">
        <v>54</v>
      </c>
      <c r="G986" s="35" t="s">
        <v>25</v>
      </c>
      <c r="H986" s="35" t="s">
        <v>25</v>
      </c>
      <c r="I986" s="45">
        <v>44348</v>
      </c>
      <c r="J986" s="46">
        <f>EFEITO!$J$986*EFEITO!$Y$728</f>
        <v>0</v>
      </c>
      <c r="K986" s="46">
        <f ca="1">EFEITO!$L$986*EFEITO!$Z$728</f>
        <v>194.80991488431047</v>
      </c>
      <c r="L986" s="46">
        <f>EFEITO!$N$986*EFEITO!$AA$728</f>
        <v>171.04128829839911</v>
      </c>
      <c r="M986" s="46">
        <f>$J$986-EFEITO!$K$986*EFEITO!$Y$986</f>
        <v>0</v>
      </c>
      <c r="N986" s="46">
        <f ca="1">$K$986-EFEITO!$M$986*EFEITO!$Z$986</f>
        <v>145.36715848667248</v>
      </c>
      <c r="O986" s="46">
        <f>$L$986-EFEITO!$O$986*EFEITO!$AA$986</f>
        <v>127.63100932826543</v>
      </c>
      <c r="P986" s="38"/>
      <c r="Q986" s="38"/>
      <c r="R986" s="38"/>
      <c r="S986" s="38"/>
      <c r="T986" s="38"/>
      <c r="U986" s="38"/>
      <c r="V986" s="38"/>
      <c r="W986" s="38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35" t="s">
        <v>21</v>
      </c>
      <c r="B987" s="35" t="s">
        <v>43</v>
      </c>
      <c r="C987" s="35" t="s">
        <v>23</v>
      </c>
      <c r="D987" s="35" t="s">
        <v>44</v>
      </c>
      <c r="E987" s="35" t="s">
        <v>52</v>
      </c>
      <c r="F987" s="35" t="s">
        <v>54</v>
      </c>
      <c r="G987" s="35" t="s">
        <v>25</v>
      </c>
      <c r="H987" s="35" t="s">
        <v>25</v>
      </c>
      <c r="I987" s="45">
        <v>44378</v>
      </c>
      <c r="J987" s="46">
        <f>EFEITO!$J$987*EFEITO!$Y$728</f>
        <v>0</v>
      </c>
      <c r="K987" s="46">
        <f ca="1">EFEITO!$L$987*EFEITO!$Z$728</f>
        <v>41141.454605259874</v>
      </c>
      <c r="L987" s="46">
        <f>EFEITO!$N$987*EFEITO!$AA$728</f>
        <v>36121.813421727893</v>
      </c>
      <c r="M987" s="46">
        <f>$J$987-EFEITO!$K$987*EFEITO!$Y$987</f>
        <v>0</v>
      </c>
      <c r="N987" s="46">
        <f ca="1">$K$987-EFEITO!$M$987*EFEITO!$Z$987</f>
        <v>30699.75342644492</v>
      </c>
      <c r="O987" s="46">
        <f>$L$987-EFEITO!$O$987*EFEITO!$AA$987</f>
        <v>26954.097175293355</v>
      </c>
      <c r="P987" s="38"/>
      <c r="Q987" s="38"/>
      <c r="R987" s="38"/>
      <c r="S987" s="38"/>
      <c r="T987" s="38"/>
      <c r="U987" s="38"/>
      <c r="V987" s="38"/>
      <c r="W987" s="38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35" t="s">
        <v>28</v>
      </c>
      <c r="B988" s="35" t="s">
        <v>43</v>
      </c>
      <c r="C988" s="35" t="s">
        <v>23</v>
      </c>
      <c r="D988" s="35" t="s">
        <v>44</v>
      </c>
      <c r="E988" s="35" t="s">
        <v>52</v>
      </c>
      <c r="F988" s="35" t="s">
        <v>54</v>
      </c>
      <c r="G988" s="35" t="s">
        <v>25</v>
      </c>
      <c r="H988" s="35" t="s">
        <v>25</v>
      </c>
      <c r="I988" s="45">
        <v>44378</v>
      </c>
      <c r="J988" s="46">
        <f>EFEITO!$J$988*EFEITO!$Y$728</f>
        <v>0</v>
      </c>
      <c r="K988" s="46">
        <f ca="1">EFEITO!$L$988*EFEITO!$Z$728</f>
        <v>261.07956334935449</v>
      </c>
      <c r="L988" s="46">
        <f>EFEITO!$N$988*EFEITO!$AA$728</f>
        <v>229.22542156119761</v>
      </c>
      <c r="M988" s="46">
        <f>$J$988-EFEITO!$K$988*EFEITO!$Y$988</f>
        <v>0</v>
      </c>
      <c r="N988" s="46">
        <f ca="1">$K$988-EFEITO!$M$988*EFEITO!$Z$988</f>
        <v>194.81757017128831</v>
      </c>
      <c r="O988" s="46">
        <f>$L$988-EFEITO!$O$988*EFEITO!$AA$988</f>
        <v>171.04800956896565</v>
      </c>
      <c r="P988" s="38"/>
      <c r="Q988" s="38"/>
      <c r="R988" s="38"/>
      <c r="S988" s="38"/>
      <c r="T988" s="38"/>
      <c r="U988" s="38"/>
      <c r="V988" s="38"/>
      <c r="W988" s="38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35" t="s">
        <v>21</v>
      </c>
      <c r="B989" s="35" t="s">
        <v>43</v>
      </c>
      <c r="C989" s="35" t="s">
        <v>23</v>
      </c>
      <c r="D989" s="35" t="s">
        <v>44</v>
      </c>
      <c r="E989" s="35" t="s">
        <v>52</v>
      </c>
      <c r="F989" s="35" t="s">
        <v>54</v>
      </c>
      <c r="G989" s="35" t="s">
        <v>25</v>
      </c>
      <c r="H989" s="35" t="s">
        <v>25</v>
      </c>
      <c r="I989" s="45">
        <v>44409</v>
      </c>
      <c r="J989" s="46">
        <f>EFEITO!$J$989*EFEITO!$Y$728</f>
        <v>0</v>
      </c>
      <c r="K989" s="46">
        <f ca="1">EFEITO!$L$989*EFEITO!$Z$728</f>
        <v>37440.066222457979</v>
      </c>
      <c r="L989" s="46">
        <f>EFEITO!$N$989*EFEITO!$AA$728</f>
        <v>32872.028944058307</v>
      </c>
      <c r="M989" s="46">
        <f>$J$989-EFEITO!$K$989*EFEITO!$Y$989</f>
        <v>0</v>
      </c>
      <c r="N989" s="46">
        <f ca="1">$K$989-EFEITO!$M$989*EFEITO!$Z$989</f>
        <v>27937.777415198143</v>
      </c>
      <c r="O989" s="46">
        <f>$L$989-EFEITO!$O$989*EFEITO!$AA$989</f>
        <v>24529.107998056308</v>
      </c>
      <c r="P989" s="38"/>
      <c r="Q989" s="38"/>
      <c r="R989" s="38"/>
      <c r="S989" s="38"/>
      <c r="T989" s="38"/>
      <c r="U989" s="38"/>
      <c r="V989" s="38"/>
      <c r="W989" s="38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35" t="s">
        <v>28</v>
      </c>
      <c r="B990" s="35" t="s">
        <v>43</v>
      </c>
      <c r="C990" s="35" t="s">
        <v>23</v>
      </c>
      <c r="D990" s="35" t="s">
        <v>44</v>
      </c>
      <c r="E990" s="35" t="s">
        <v>52</v>
      </c>
      <c r="F990" s="35" t="s">
        <v>54</v>
      </c>
      <c r="G990" s="35" t="s">
        <v>25</v>
      </c>
      <c r="H990" s="35" t="s">
        <v>25</v>
      </c>
      <c r="I990" s="45">
        <v>44409</v>
      </c>
      <c r="J990" s="46">
        <f>EFEITO!$J$990*EFEITO!$Y$728</f>
        <v>0</v>
      </c>
      <c r="K990" s="46">
        <f ca="1">EFEITO!$L$990*EFEITO!$Z$728</f>
        <v>207.94958656272433</v>
      </c>
      <c r="L990" s="46">
        <f>EFEITO!$N$990*EFEITO!$AA$728</f>
        <v>182.57779747981604</v>
      </c>
      <c r="M990" s="46">
        <f>$J$990-EFEITO!$K$990*EFEITO!$Y$990</f>
        <v>0</v>
      </c>
      <c r="N990" s="46">
        <f ca="1">$K$990-EFEITO!$M$990*EFEITO!$Z$990</f>
        <v>155.17198149310488</v>
      </c>
      <c r="O990" s="46">
        <f>$L$990-EFEITO!$O$990*EFEITO!$AA$990</f>
        <v>136.23955247943874</v>
      </c>
      <c r="P990" s="38"/>
      <c r="Q990" s="38"/>
      <c r="R990" s="38"/>
      <c r="S990" s="38"/>
      <c r="T990" s="38"/>
      <c r="U990" s="38"/>
      <c r="V990" s="38"/>
      <c r="W990" s="38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35" t="s">
        <v>21</v>
      </c>
      <c r="B991" s="35" t="s">
        <v>43</v>
      </c>
      <c r="C991" s="35" t="s">
        <v>23</v>
      </c>
      <c r="D991" s="35" t="s">
        <v>44</v>
      </c>
      <c r="E991" s="35" t="s">
        <v>52</v>
      </c>
      <c r="F991" s="35" t="s">
        <v>54</v>
      </c>
      <c r="G991" s="35" t="s">
        <v>25</v>
      </c>
      <c r="H991" s="35" t="s">
        <v>25</v>
      </c>
      <c r="I991" s="45">
        <v>44440</v>
      </c>
      <c r="J991" s="46">
        <f>EFEITO!$J$991*EFEITO!$Y$728</f>
        <v>0</v>
      </c>
      <c r="K991" s="46">
        <f ca="1">EFEITO!$L$991*EFEITO!$Z$728</f>
        <v>55282.597781598102</v>
      </c>
      <c r="L991" s="46">
        <f>EFEITO!$N$991*EFEITO!$AA$728</f>
        <v>48537.60523771109</v>
      </c>
      <c r="M991" s="46">
        <f>$J$991-EFEITO!$K$991*EFEITO!$Y$991</f>
        <v>0</v>
      </c>
      <c r="N991" s="46">
        <f ca="1">$K$991-EFEITO!$M$991*EFEITO!$Z$991</f>
        <v>41251.874464628505</v>
      </c>
      <c r="O991" s="46">
        <f>$L$991-EFEITO!$O$991*EFEITO!$AA$991</f>
        <v>36218.761028380017</v>
      </c>
      <c r="P991" s="38"/>
      <c r="Q991" s="38"/>
      <c r="R991" s="38"/>
      <c r="S991" s="38"/>
      <c r="T991" s="38"/>
      <c r="U991" s="38"/>
      <c r="V991" s="38"/>
      <c r="W991" s="38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35" t="s">
        <v>28</v>
      </c>
      <c r="B992" s="35" t="s">
        <v>43</v>
      </c>
      <c r="C992" s="35" t="s">
        <v>23</v>
      </c>
      <c r="D992" s="35" t="s">
        <v>44</v>
      </c>
      <c r="E992" s="35" t="s">
        <v>52</v>
      </c>
      <c r="F992" s="35" t="s">
        <v>54</v>
      </c>
      <c r="G992" s="35" t="s">
        <v>25</v>
      </c>
      <c r="H992" s="35" t="s">
        <v>25</v>
      </c>
      <c r="I992" s="45">
        <v>44440</v>
      </c>
      <c r="J992" s="46">
        <f>EFEITO!$J$992*EFEITO!$Y$728</f>
        <v>0</v>
      </c>
      <c r="K992" s="46">
        <f ca="1">EFEITO!$L$992*EFEITO!$Z$728</f>
        <v>409.90062735921629</v>
      </c>
      <c r="L992" s="46">
        <f>EFEITO!$N$992*EFEITO!$AA$728</f>
        <v>359.88892772463737</v>
      </c>
      <c r="M992" s="46">
        <f>$J$992-EFEITO!$K$992*EFEITO!$Y$992</f>
        <v>0</v>
      </c>
      <c r="N992" s="46">
        <f ca="1">$K$992-EFEITO!$M$992*EFEITO!$Z$992</f>
        <v>305.86784813544716</v>
      </c>
      <c r="O992" s="46">
        <f>$L$992-EFEITO!$O$992*EFEITO!$AA$992</f>
        <v>268.54911786812443</v>
      </c>
      <c r="P992" s="38"/>
      <c r="Q992" s="38"/>
      <c r="R992" s="38"/>
      <c r="S992" s="38"/>
      <c r="T992" s="38"/>
      <c r="U992" s="38"/>
      <c r="V992" s="38"/>
      <c r="W992" s="38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35" t="s">
        <v>21</v>
      </c>
      <c r="B993" s="35" t="s">
        <v>43</v>
      </c>
      <c r="C993" s="35" t="s">
        <v>23</v>
      </c>
      <c r="D993" s="35" t="s">
        <v>44</v>
      </c>
      <c r="E993" s="35" t="s">
        <v>52</v>
      </c>
      <c r="F993" s="35" t="s">
        <v>54</v>
      </c>
      <c r="G993" s="35" t="s">
        <v>25</v>
      </c>
      <c r="H993" s="35" t="s">
        <v>25</v>
      </c>
      <c r="I993" s="45">
        <v>44470</v>
      </c>
      <c r="J993" s="46">
        <f>EFEITO!$J$993*EFEITO!$Y$728</f>
        <v>0</v>
      </c>
      <c r="K993" s="46">
        <f ca="1">EFEITO!$L$993*EFEITO!$Z$728</f>
        <v>55497.688494073009</v>
      </c>
      <c r="L993" s="46">
        <f>EFEITO!$N$993*EFEITO!$AA$728</f>
        <v>48726.45287713733</v>
      </c>
      <c r="M993" s="46">
        <f>$J$993-EFEITO!$K$993*EFEITO!$Y$993</f>
        <v>0</v>
      </c>
      <c r="N993" s="46">
        <f ca="1">$K$993-EFEITO!$M$993*EFEITO!$Z$993</f>
        <v>41412.375154277281</v>
      </c>
      <c r="O993" s="46">
        <f>$L$993-EFEITO!$O$993*EFEITO!$AA$993</f>
        <v>36359.679136919876</v>
      </c>
      <c r="P993" s="38"/>
      <c r="Q993" s="38"/>
      <c r="R993" s="38"/>
      <c r="S993" s="38"/>
      <c r="T993" s="38"/>
      <c r="U993" s="38"/>
      <c r="V993" s="38"/>
      <c r="W993" s="38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35" t="s">
        <v>27</v>
      </c>
      <c r="B994" s="35" t="s">
        <v>43</v>
      </c>
      <c r="C994" s="35" t="s">
        <v>23</v>
      </c>
      <c r="D994" s="35" t="s">
        <v>44</v>
      </c>
      <c r="E994" s="35" t="s">
        <v>52</v>
      </c>
      <c r="F994" s="35" t="s">
        <v>54</v>
      </c>
      <c r="G994" s="35" t="s">
        <v>25</v>
      </c>
      <c r="H994" s="35" t="s">
        <v>25</v>
      </c>
      <c r="I994" s="45">
        <v>44470</v>
      </c>
      <c r="J994" s="46">
        <f>EFEITO!$J$994*EFEITO!$Y$728</f>
        <v>0</v>
      </c>
      <c r="K994" s="46">
        <f ca="1">EFEITO!$L$994*EFEITO!$Z$728</f>
        <v>-516.44622596896374</v>
      </c>
      <c r="L994" s="46">
        <f>EFEITO!$N$994*EFEITO!$AA$728</f>
        <v>-453.4349695652574</v>
      </c>
      <c r="M994" s="46">
        <f>$J$994-EFEITO!$K$994*EFEITO!$Y$994</f>
        <v>0</v>
      </c>
      <c r="N994" s="46">
        <f ca="1">$K$994-EFEITO!$M$994*EFEITO!$Z$994</f>
        <v>-385.37217381804078</v>
      </c>
      <c r="O994" s="46">
        <f>$L$994-EFEITO!$O$994*EFEITO!$AA$994</f>
        <v>-338.35317428959507</v>
      </c>
      <c r="P994" s="38"/>
      <c r="Q994" s="38"/>
      <c r="R994" s="38"/>
      <c r="S994" s="38"/>
      <c r="T994" s="38"/>
      <c r="U994" s="38"/>
      <c r="V994" s="38"/>
      <c r="W994" s="38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35" t="s">
        <v>28</v>
      </c>
      <c r="B995" s="35" t="s">
        <v>43</v>
      </c>
      <c r="C995" s="35" t="s">
        <v>23</v>
      </c>
      <c r="D995" s="35" t="s">
        <v>44</v>
      </c>
      <c r="E995" s="35" t="s">
        <v>52</v>
      </c>
      <c r="F995" s="35" t="s">
        <v>54</v>
      </c>
      <c r="G995" s="35" t="s">
        <v>25</v>
      </c>
      <c r="H995" s="35" t="s">
        <v>25</v>
      </c>
      <c r="I995" s="45">
        <v>44470</v>
      </c>
      <c r="J995" s="46">
        <f>EFEITO!$J$995*EFEITO!$Y$728</f>
        <v>0</v>
      </c>
      <c r="K995" s="46">
        <f ca="1">EFEITO!$L$995*EFEITO!$Z$728</f>
        <v>476.45592086074754</v>
      </c>
      <c r="L995" s="46">
        <f>EFEITO!$N$995*EFEITO!$AA$728</f>
        <v>418.32385466529274</v>
      </c>
      <c r="M995" s="46">
        <f>$J$995-EFEITO!$K$995*EFEITO!$Y$995</f>
        <v>0</v>
      </c>
      <c r="N995" s="46">
        <f ca="1">$K$995-EFEITO!$M$995*EFEITO!$Z$995</f>
        <v>355.53140814628983</v>
      </c>
      <c r="O995" s="46">
        <f>$L$995-EFEITO!$O$995*EFEITO!$AA$995</f>
        <v>312.15326035124144</v>
      </c>
      <c r="P995" s="38"/>
      <c r="Q995" s="38"/>
      <c r="R995" s="38"/>
      <c r="S995" s="38"/>
      <c r="T995" s="38"/>
      <c r="U995" s="38"/>
      <c r="V995" s="38"/>
      <c r="W995" s="38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35" t="s">
        <v>21</v>
      </c>
      <c r="B996" s="35" t="s">
        <v>43</v>
      </c>
      <c r="C996" s="35" t="s">
        <v>23</v>
      </c>
      <c r="D996" s="35" t="s">
        <v>44</v>
      </c>
      <c r="E996" s="35" t="s">
        <v>52</v>
      </c>
      <c r="F996" s="35" t="s">
        <v>54</v>
      </c>
      <c r="G996" s="35" t="s">
        <v>25</v>
      </c>
      <c r="H996" s="35" t="s">
        <v>25</v>
      </c>
      <c r="I996" s="45">
        <v>44501</v>
      </c>
      <c r="J996" s="46">
        <f>EFEITO!$J$996*EFEITO!$Y$728</f>
        <v>0</v>
      </c>
      <c r="K996" s="46">
        <f ca="1">EFEITO!$L$996*EFEITO!$Z$728</f>
        <v>49114.37886369224</v>
      </c>
      <c r="L996" s="46">
        <f>EFEITO!$N$996*EFEITO!$AA$728</f>
        <v>43121.966558069405</v>
      </c>
      <c r="M996" s="46">
        <f>$J$996-EFEITO!$K$996*EFEITO!$Y$996</f>
        <v>0</v>
      </c>
      <c r="N996" s="46">
        <f ca="1">$K$996-EFEITO!$M$996*EFEITO!$Z$996</f>
        <v>36649.149508087154</v>
      </c>
      <c r="O996" s="46">
        <f>$L$996-EFEITO!$O$996*EFEITO!$AA$996</f>
        <v>32177.611445631388</v>
      </c>
      <c r="P996" s="38"/>
      <c r="Q996" s="38"/>
      <c r="R996" s="38"/>
      <c r="S996" s="38"/>
      <c r="T996" s="38"/>
      <c r="U996" s="38"/>
      <c r="V996" s="38"/>
      <c r="W996" s="38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35" t="s">
        <v>27</v>
      </c>
      <c r="B997" s="35" t="s">
        <v>43</v>
      </c>
      <c r="C997" s="35" t="s">
        <v>23</v>
      </c>
      <c r="D997" s="35" t="s">
        <v>44</v>
      </c>
      <c r="E997" s="35" t="s">
        <v>52</v>
      </c>
      <c r="F997" s="35" t="s">
        <v>54</v>
      </c>
      <c r="G997" s="35" t="s">
        <v>25</v>
      </c>
      <c r="H997" s="35" t="s">
        <v>25</v>
      </c>
      <c r="I997" s="45">
        <v>44501</v>
      </c>
      <c r="J997" s="46">
        <f>EFEITO!$J$997*EFEITO!$Y$728</f>
        <v>0</v>
      </c>
      <c r="K997" s="46">
        <f ca="1">EFEITO!$L$997*EFEITO!$Z$728</f>
        <v>398.18918086323862</v>
      </c>
      <c r="L997" s="46">
        <f>EFEITO!$N$997*EFEITO!$AA$728</f>
        <v>349.60638693250485</v>
      </c>
      <c r="M997" s="46">
        <f>$J$997-EFEITO!$K$997*EFEITO!$Y$997</f>
        <v>0</v>
      </c>
      <c r="N997" s="46">
        <f ca="1">$K$997-EFEITO!$M$997*EFEITO!$Z$997</f>
        <v>297.12876676014866</v>
      </c>
      <c r="O997" s="46">
        <f>$L$997-EFEITO!$O$997*EFEITO!$AA$997</f>
        <v>260.87628592903513</v>
      </c>
      <c r="P997" s="38"/>
      <c r="Q997" s="38"/>
      <c r="R997" s="38"/>
      <c r="S997" s="38"/>
      <c r="T997" s="38"/>
      <c r="U997" s="38"/>
      <c r="V997" s="38"/>
      <c r="W997" s="38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35" t="s">
        <v>28</v>
      </c>
      <c r="B998" s="35" t="s">
        <v>43</v>
      </c>
      <c r="C998" s="35" t="s">
        <v>23</v>
      </c>
      <c r="D998" s="35" t="s">
        <v>44</v>
      </c>
      <c r="E998" s="35" t="s">
        <v>52</v>
      </c>
      <c r="F998" s="35" t="s">
        <v>54</v>
      </c>
      <c r="G998" s="35" t="s">
        <v>25</v>
      </c>
      <c r="H998" s="35" t="s">
        <v>25</v>
      </c>
      <c r="I998" s="45">
        <v>44501</v>
      </c>
      <c r="J998" s="46">
        <f>EFEITO!$J$998*EFEITO!$Y$728</f>
        <v>0</v>
      </c>
      <c r="K998" s="46">
        <f ca="1">EFEITO!$L$998*EFEITO!$Z$728</f>
        <v>517.30316107842555</v>
      </c>
      <c r="L998" s="46">
        <f>EFEITO!$N$998*EFEITO!$AA$728</f>
        <v>454.18735059882806</v>
      </c>
      <c r="M998" s="46">
        <f>$J$998-EFEITO!$K$998*EFEITO!$Y$998</f>
        <v>0</v>
      </c>
      <c r="N998" s="46">
        <f ca="1">$K$998-EFEITO!$M$998*EFEITO!$Z$998</f>
        <v>386.01161879672111</v>
      </c>
      <c r="O998" s="46">
        <f>$L$998-EFEITO!$O$998*EFEITO!$AA$998</f>
        <v>338.91460101684549</v>
      </c>
      <c r="P998" s="38"/>
      <c r="Q998" s="38"/>
      <c r="R998" s="38"/>
      <c r="S998" s="38"/>
      <c r="T998" s="38"/>
      <c r="U998" s="38"/>
      <c r="V998" s="38"/>
      <c r="W998" s="38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35" t="s">
        <v>21</v>
      </c>
      <c r="B999" s="35" t="s">
        <v>43</v>
      </c>
      <c r="C999" s="35" t="s">
        <v>23</v>
      </c>
      <c r="D999" s="35" t="s">
        <v>44</v>
      </c>
      <c r="E999" s="35" t="s">
        <v>52</v>
      </c>
      <c r="F999" s="35" t="s">
        <v>54</v>
      </c>
      <c r="G999" s="35" t="s">
        <v>25</v>
      </c>
      <c r="H999" s="35" t="s">
        <v>25</v>
      </c>
      <c r="I999" s="45">
        <v>44531</v>
      </c>
      <c r="J999" s="46">
        <f>EFEITO!$J$999*EFEITO!$Y$728</f>
        <v>0</v>
      </c>
      <c r="K999" s="46">
        <f ca="1">EFEITO!$L$999*EFEITO!$Z$728</f>
        <v>50089.285373223247</v>
      </c>
      <c r="L999" s="46">
        <f>EFEITO!$N$999*EFEITO!$AA$728</f>
        <v>43977.92538059497</v>
      </c>
      <c r="M999" s="46">
        <f>$J$999-EFEITO!$K$999*EFEITO!$Y$999</f>
        <v>0</v>
      </c>
      <c r="N999" s="46">
        <f ca="1">$K$999-EFEITO!$M$999*EFEITO!$Z$999</f>
        <v>37376.624745499183</v>
      </c>
      <c r="O999" s="46">
        <f>$L$999-EFEITO!$O$999*EFEITO!$AA$999</f>
        <v>32816.327918999967</v>
      </c>
      <c r="P999" s="38"/>
      <c r="Q999" s="38"/>
      <c r="R999" s="38"/>
      <c r="S999" s="38"/>
      <c r="T999" s="38"/>
      <c r="U999" s="38"/>
      <c r="V999" s="38"/>
      <c r="W999" s="38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35" t="s">
        <v>28</v>
      </c>
      <c r="B1000" s="35" t="s">
        <v>43</v>
      </c>
      <c r="C1000" s="35" t="s">
        <v>23</v>
      </c>
      <c r="D1000" s="35" t="s">
        <v>44</v>
      </c>
      <c r="E1000" s="35" t="s">
        <v>52</v>
      </c>
      <c r="F1000" s="35" t="s">
        <v>54</v>
      </c>
      <c r="G1000" s="35" t="s">
        <v>25</v>
      </c>
      <c r="H1000" s="35" t="s">
        <v>25</v>
      </c>
      <c r="I1000" s="45">
        <v>44531</v>
      </c>
      <c r="J1000" s="46">
        <f>EFEITO!$J$1000*EFEITO!$Y$728</f>
        <v>0</v>
      </c>
      <c r="K1000" s="46">
        <f ca="1">EFEITO!$L$1000*EFEITO!$Z$728</f>
        <v>507.30558480137148</v>
      </c>
      <c r="L1000" s="46">
        <f>EFEITO!$N$1000*EFEITO!$AA$728</f>
        <v>445.40957187383691</v>
      </c>
      <c r="M1000" s="46">
        <f>$J$1000-EFEITO!$K$1000*EFEITO!$Y$1000</f>
        <v>0</v>
      </c>
      <c r="N1000" s="46">
        <f ca="1">$K$1000-EFEITO!$M$1000*EFEITO!$Z$1000</f>
        <v>378.55142737878339</v>
      </c>
      <c r="O1000" s="46">
        <f>$L$1000-EFEITO!$O$1000*EFEITO!$AA$1000</f>
        <v>332.3646225322571</v>
      </c>
      <c r="P1000" s="38"/>
      <c r="Q1000" s="38"/>
      <c r="R1000" s="38"/>
      <c r="S1000" s="38"/>
      <c r="T1000" s="38"/>
      <c r="U1000" s="38"/>
      <c r="V1000" s="38"/>
      <c r="W1000" s="38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35" t="s">
        <v>55</v>
      </c>
      <c r="B1001" s="35" t="s">
        <v>43</v>
      </c>
      <c r="C1001" s="35" t="s">
        <v>23</v>
      </c>
      <c r="D1001" s="35" t="s">
        <v>44</v>
      </c>
      <c r="E1001" s="35" t="s">
        <v>52</v>
      </c>
      <c r="F1001" s="35" t="s">
        <v>54</v>
      </c>
      <c r="G1001" s="35" t="s">
        <v>25</v>
      </c>
      <c r="H1001" s="35" t="s">
        <v>25</v>
      </c>
      <c r="I1001" s="45">
        <v>44562</v>
      </c>
      <c r="J1001" s="46">
        <f>EFEITO!$J$1001*EFEITO!$Y$728</f>
        <v>0</v>
      </c>
      <c r="K1001" s="46">
        <f ca="1">EFEITO!$L$1001*EFEITO!$Z$728</f>
        <v>50089.285373223247</v>
      </c>
      <c r="L1001" s="46">
        <f>EFEITO!$N$1001*EFEITO!$AA$728</f>
        <v>43977.92538059497</v>
      </c>
      <c r="M1001" s="46">
        <f>$J$1001-EFEITO!$K$1001*EFEITO!$Y$1001</f>
        <v>0</v>
      </c>
      <c r="N1001" s="46">
        <f ca="1">$K$1001-EFEITO!$M$1001*EFEITO!$Z$1001</f>
        <v>37376.624745499183</v>
      </c>
      <c r="O1001" s="46">
        <f>$L$1001-EFEITO!$O$1001*EFEITO!$AA$1001</f>
        <v>32816.327918999967</v>
      </c>
      <c r="P1001" s="38"/>
      <c r="Q1001" s="38"/>
      <c r="R1001" s="38"/>
      <c r="S1001" s="38"/>
      <c r="T1001" s="38"/>
      <c r="U1001" s="38"/>
      <c r="V1001" s="38"/>
      <c r="W1001" s="38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35" t="s">
        <v>55</v>
      </c>
      <c r="B1002" s="35" t="s">
        <v>43</v>
      </c>
      <c r="C1002" s="35" t="s">
        <v>23</v>
      </c>
      <c r="D1002" s="35" t="s">
        <v>44</v>
      </c>
      <c r="E1002" s="35" t="s">
        <v>52</v>
      </c>
      <c r="F1002" s="35" t="s">
        <v>54</v>
      </c>
      <c r="G1002" s="35" t="s">
        <v>25</v>
      </c>
      <c r="H1002" s="35" t="s">
        <v>25</v>
      </c>
      <c r="I1002" s="45">
        <v>44562</v>
      </c>
      <c r="J1002" s="46">
        <f>EFEITO!$J$1002*EFEITO!$Y$728</f>
        <v>0</v>
      </c>
      <c r="K1002" s="46">
        <f ca="1">EFEITO!$L$1002*EFEITO!$Z$728</f>
        <v>507.30558480137148</v>
      </c>
      <c r="L1002" s="46">
        <f>EFEITO!$N$1002*EFEITO!$AA$728</f>
        <v>445.40957187383691</v>
      </c>
      <c r="M1002" s="46">
        <f>$J$1002-EFEITO!$K$1002*EFEITO!$Y$1002</f>
        <v>0</v>
      </c>
      <c r="N1002" s="46">
        <f ca="1">$K$1002-EFEITO!$M$1002*EFEITO!$Z$1002</f>
        <v>378.55142737878339</v>
      </c>
      <c r="O1002" s="46">
        <f>$L$1002-EFEITO!$O$1002*EFEITO!$AA$1002</f>
        <v>332.3646225322571</v>
      </c>
      <c r="P1002" s="38"/>
      <c r="Q1002" s="38"/>
      <c r="R1002" s="38"/>
      <c r="S1002" s="38"/>
      <c r="T1002" s="38"/>
      <c r="U1002" s="38"/>
      <c r="V1002" s="38"/>
      <c r="W1002" s="38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35" t="s">
        <v>21</v>
      </c>
      <c r="B1003" s="35" t="s">
        <v>43</v>
      </c>
      <c r="C1003" s="35" t="s">
        <v>23</v>
      </c>
      <c r="D1003" s="35" t="s">
        <v>44</v>
      </c>
      <c r="E1003" s="35" t="s">
        <v>25</v>
      </c>
      <c r="F1003" s="35" t="s">
        <v>25</v>
      </c>
      <c r="G1003" s="35" t="s">
        <v>25</v>
      </c>
      <c r="H1003" s="35" t="s">
        <v>25</v>
      </c>
      <c r="I1003" s="45">
        <v>44228</v>
      </c>
      <c r="J1003" s="46">
        <f>EFEITO!$J$1003*EFEITO!$Y$728</f>
        <v>0</v>
      </c>
      <c r="K1003" s="46">
        <f ca="1">EFEITO!$L$1003*EFEITO!$Z$728</f>
        <v>491325.17323509185</v>
      </c>
      <c r="L1003" s="46">
        <f>EFEITO!$N$1003*EFEITO!$AA$728</f>
        <v>431378.91956613323</v>
      </c>
      <c r="M1003" s="46">
        <f>$J$1003-EFEITO!$K$1003*EFEITO!$Y$1003</f>
        <v>0</v>
      </c>
      <c r="N1003" s="46">
        <f ca="1">$K$1003-EFEITO!$M$1003*EFEITO!$Z$1003</f>
        <v>29479.510394105513</v>
      </c>
      <c r="O1003" s="46">
        <f>$L$1003-EFEITO!$O$1003*EFEITO!$AA$1003</f>
        <v>25882.735173968016</v>
      </c>
      <c r="P1003" s="38"/>
      <c r="Q1003" s="38"/>
      <c r="R1003" s="38"/>
      <c r="S1003" s="38"/>
      <c r="T1003" s="38"/>
      <c r="U1003" s="38"/>
      <c r="V1003" s="38"/>
      <c r="W1003" s="38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35" t="s">
        <v>28</v>
      </c>
      <c r="B1004" s="35" t="s">
        <v>43</v>
      </c>
      <c r="C1004" s="35" t="s">
        <v>23</v>
      </c>
      <c r="D1004" s="35" t="s">
        <v>44</v>
      </c>
      <c r="E1004" s="35" t="s">
        <v>25</v>
      </c>
      <c r="F1004" s="35" t="s">
        <v>25</v>
      </c>
      <c r="G1004" s="35" t="s">
        <v>25</v>
      </c>
      <c r="H1004" s="35" t="s">
        <v>25</v>
      </c>
      <c r="I1004" s="45">
        <v>44228</v>
      </c>
      <c r="J1004" s="46">
        <f>EFEITO!$J$1004*EFEITO!$Y$728</f>
        <v>0</v>
      </c>
      <c r="K1004" s="46">
        <f ca="1">EFEITO!$L$1004*EFEITO!$Z$728</f>
        <v>1313.1102327319284</v>
      </c>
      <c r="L1004" s="46">
        <f>EFEITO!$N$1004*EFEITO!$AA$728</f>
        <v>1152.8985371081242</v>
      </c>
      <c r="M1004" s="46">
        <f>$J$1004-EFEITO!$K$1004*EFEITO!$Y$1004</f>
        <v>0</v>
      </c>
      <c r="N1004" s="46">
        <f ca="1">$K$1004-EFEITO!$M$1004*EFEITO!$Z$1004</f>
        <v>78.78661396391567</v>
      </c>
      <c r="O1004" s="46">
        <f>$L$1004-EFEITO!$O$1004*EFEITO!$AA$1004</f>
        <v>69.173912226487573</v>
      </c>
      <c r="P1004" s="38"/>
      <c r="Q1004" s="38"/>
      <c r="R1004" s="38"/>
      <c r="S1004" s="38"/>
      <c r="T1004" s="38"/>
      <c r="U1004" s="38"/>
      <c r="V1004" s="38"/>
      <c r="W1004" s="38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35" t="s">
        <v>21</v>
      </c>
      <c r="B1005" s="35" t="s">
        <v>43</v>
      </c>
      <c r="C1005" s="35" t="s">
        <v>23</v>
      </c>
      <c r="D1005" s="35" t="s">
        <v>44</v>
      </c>
      <c r="E1005" s="35" t="s">
        <v>25</v>
      </c>
      <c r="F1005" s="35" t="s">
        <v>25</v>
      </c>
      <c r="G1005" s="35" t="s">
        <v>25</v>
      </c>
      <c r="H1005" s="35" t="s">
        <v>25</v>
      </c>
      <c r="I1005" s="45">
        <v>44256</v>
      </c>
      <c r="J1005" s="46">
        <f>EFEITO!$J$1005*EFEITO!$Y$728</f>
        <v>0</v>
      </c>
      <c r="K1005" s="46">
        <f ca="1">EFEITO!$L$1005*EFEITO!$Z$728</f>
        <v>528246.22242625244</v>
      </c>
      <c r="L1005" s="46">
        <f>EFEITO!$N$1005*EFEITO!$AA$728</f>
        <v>463795.25639752555</v>
      </c>
      <c r="M1005" s="46">
        <f>$J$1005-EFEITO!$K$1005*EFEITO!$Y$1005</f>
        <v>0</v>
      </c>
      <c r="N1005" s="46">
        <f ca="1">$K$1005-EFEITO!$M$1005*EFEITO!$Z$1005</f>
        <v>31694.773345575144</v>
      </c>
      <c r="O1005" s="46">
        <f>$L$1005-EFEITO!$O$1005*EFEITO!$AA$1005</f>
        <v>27827.71538385161</v>
      </c>
      <c r="P1005" s="38"/>
      <c r="Q1005" s="38"/>
      <c r="R1005" s="38"/>
      <c r="S1005" s="38"/>
      <c r="T1005" s="38"/>
      <c r="U1005" s="38"/>
      <c r="V1005" s="38"/>
      <c r="W1005" s="38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35" t="s">
        <v>28</v>
      </c>
      <c r="B1006" s="35" t="s">
        <v>43</v>
      </c>
      <c r="C1006" s="35" t="s">
        <v>23</v>
      </c>
      <c r="D1006" s="35" t="s">
        <v>44</v>
      </c>
      <c r="E1006" s="35" t="s">
        <v>25</v>
      </c>
      <c r="F1006" s="35" t="s">
        <v>25</v>
      </c>
      <c r="G1006" s="35" t="s">
        <v>25</v>
      </c>
      <c r="H1006" s="35" t="s">
        <v>25</v>
      </c>
      <c r="I1006" s="45">
        <v>44256</v>
      </c>
      <c r="J1006" s="46">
        <f>EFEITO!$J$1006*EFEITO!$Y$728</f>
        <v>0</v>
      </c>
      <c r="K1006" s="46">
        <f ca="1">EFEITO!$L$1006*EFEITO!$Z$728</f>
        <v>843.22414771038768</v>
      </c>
      <c r="L1006" s="46">
        <f>EFEITO!$N$1006*EFEITO!$AA$728</f>
        <v>740.34293703353978</v>
      </c>
      <c r="M1006" s="46">
        <f>$J$1006-EFEITO!$K$1006*EFEITO!$Y$1006</f>
        <v>0</v>
      </c>
      <c r="N1006" s="46">
        <f ca="1">$K$1006-EFEITO!$M$1006*EFEITO!$Z$1006</f>
        <v>50.593448862623177</v>
      </c>
      <c r="O1006" s="46">
        <f>$L$1006-EFEITO!$O$1006*EFEITO!$AA$1006</f>
        <v>44.420576222012528</v>
      </c>
      <c r="P1006" s="38"/>
      <c r="Q1006" s="38"/>
      <c r="R1006" s="38"/>
      <c r="S1006" s="38"/>
      <c r="T1006" s="38"/>
      <c r="U1006" s="38"/>
      <c r="V1006" s="38"/>
      <c r="W1006" s="38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35" t="s">
        <v>28</v>
      </c>
      <c r="B1007" s="35" t="s">
        <v>43</v>
      </c>
      <c r="C1007" s="35" t="s">
        <v>23</v>
      </c>
      <c r="D1007" s="35" t="s">
        <v>44</v>
      </c>
      <c r="E1007" s="35" t="s">
        <v>25</v>
      </c>
      <c r="F1007" s="35" t="s">
        <v>25</v>
      </c>
      <c r="G1007" s="35" t="s">
        <v>25</v>
      </c>
      <c r="H1007" s="35" t="s">
        <v>25</v>
      </c>
      <c r="I1007" s="45">
        <v>44256</v>
      </c>
      <c r="J1007" s="46">
        <f>EFEITO!$J$1007*EFEITO!$Y$728</f>
        <v>0</v>
      </c>
      <c r="K1007" s="46">
        <f ca="1">EFEITO!$L$1007*EFEITO!$Z$728</f>
        <v>-189.95394926402707</v>
      </c>
      <c r="L1007" s="46">
        <f>EFEITO!$N$1007*EFEITO!$AA$728</f>
        <v>-166.77779577483196</v>
      </c>
      <c r="M1007" s="46">
        <f>$J$1007-EFEITO!$K$1007*EFEITO!$Y$1007</f>
        <v>0</v>
      </c>
      <c r="N1007" s="46">
        <f ca="1">$K$1007-EFEITO!$M$1007*EFEITO!$Z$1007</f>
        <v>-11.397236955841635</v>
      </c>
      <c r="O1007" s="46">
        <f>$L$1007-EFEITO!$O$1007*EFEITO!$AA$1007</f>
        <v>-10.006667746489939</v>
      </c>
      <c r="P1007" s="38"/>
      <c r="Q1007" s="38"/>
      <c r="R1007" s="38"/>
      <c r="S1007" s="38"/>
      <c r="T1007" s="38"/>
      <c r="U1007" s="38"/>
      <c r="V1007" s="38"/>
      <c r="W1007" s="38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35" t="s">
        <v>21</v>
      </c>
      <c r="B1008" s="35" t="s">
        <v>43</v>
      </c>
      <c r="C1008" s="35" t="s">
        <v>23</v>
      </c>
      <c r="D1008" s="35" t="s">
        <v>44</v>
      </c>
      <c r="E1008" s="35" t="s">
        <v>25</v>
      </c>
      <c r="F1008" s="35" t="s">
        <v>25</v>
      </c>
      <c r="G1008" s="35" t="s">
        <v>25</v>
      </c>
      <c r="H1008" s="35" t="s">
        <v>25</v>
      </c>
      <c r="I1008" s="45">
        <v>44287</v>
      </c>
      <c r="J1008" s="46">
        <f>EFEITO!$J$1008*EFEITO!$Y$728</f>
        <v>0</v>
      </c>
      <c r="K1008" s="46">
        <f ca="1">EFEITO!$L$1008*EFEITO!$Z$728</f>
        <v>516757.86470377131</v>
      </c>
      <c r="L1008" s="46">
        <f>EFEITO!$N$1008*EFEITO!$AA$728</f>
        <v>453708.58546779922</v>
      </c>
      <c r="M1008" s="46">
        <f>$J$1008-EFEITO!$K$1008*EFEITO!$Y$1008</f>
        <v>0</v>
      </c>
      <c r="N1008" s="46">
        <f ca="1">$K$1008-EFEITO!$M$1008*EFEITO!$Z$1008</f>
        <v>31005.471882226237</v>
      </c>
      <c r="O1008" s="46">
        <f>$L$1008-EFEITO!$O$1008*EFEITO!$AA$1008</f>
        <v>27222.515128067986</v>
      </c>
      <c r="P1008" s="38"/>
      <c r="Q1008" s="38"/>
      <c r="R1008" s="38"/>
      <c r="S1008" s="38"/>
      <c r="T1008" s="38"/>
      <c r="U1008" s="38"/>
      <c r="V1008" s="38"/>
      <c r="W1008" s="38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35" t="s">
        <v>27</v>
      </c>
      <c r="B1009" s="35" t="s">
        <v>43</v>
      </c>
      <c r="C1009" s="35" t="s">
        <v>23</v>
      </c>
      <c r="D1009" s="35" t="s">
        <v>44</v>
      </c>
      <c r="E1009" s="35" t="s">
        <v>25</v>
      </c>
      <c r="F1009" s="35" t="s">
        <v>25</v>
      </c>
      <c r="G1009" s="35" t="s">
        <v>25</v>
      </c>
      <c r="H1009" s="35" t="s">
        <v>25</v>
      </c>
      <c r="I1009" s="45">
        <v>44287</v>
      </c>
      <c r="J1009" s="46">
        <f>EFEITO!$J$1009*EFEITO!$Y$728</f>
        <v>0</v>
      </c>
      <c r="K1009" s="46">
        <f ca="1">EFEITO!$L$1009*EFEITO!$Z$728</f>
        <v>-1233.9865576249579</v>
      </c>
      <c r="L1009" s="46">
        <f>EFEITO!$N$1009*EFEITO!$AA$728</f>
        <v>-1083.4286883417656</v>
      </c>
      <c r="M1009" s="46">
        <f>$J$1009-EFEITO!$K$1009*EFEITO!$Y$1009</f>
        <v>0</v>
      </c>
      <c r="N1009" s="46">
        <f ca="1">$K$1009-EFEITO!$M$1009*EFEITO!$Z$1009</f>
        <v>-74.039193457497504</v>
      </c>
      <c r="O1009" s="46">
        <f>$L$1009-EFEITO!$O$1009*EFEITO!$AA$1009</f>
        <v>-65.005721300506025</v>
      </c>
      <c r="P1009" s="38"/>
      <c r="Q1009" s="38"/>
      <c r="R1009" s="38"/>
      <c r="S1009" s="38"/>
      <c r="T1009" s="38"/>
      <c r="U1009" s="38"/>
      <c r="V1009" s="38"/>
      <c r="W1009" s="38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35" t="s">
        <v>28</v>
      </c>
      <c r="B1010" s="35" t="s">
        <v>43</v>
      </c>
      <c r="C1010" s="35" t="s">
        <v>23</v>
      </c>
      <c r="D1010" s="35" t="s">
        <v>44</v>
      </c>
      <c r="E1010" s="35" t="s">
        <v>25</v>
      </c>
      <c r="F1010" s="35" t="s">
        <v>25</v>
      </c>
      <c r="G1010" s="35" t="s">
        <v>25</v>
      </c>
      <c r="H1010" s="35" t="s">
        <v>25</v>
      </c>
      <c r="I1010" s="45">
        <v>44287</v>
      </c>
      <c r="J1010" s="46">
        <f>EFEITO!$J$1010*EFEITO!$Y$728</f>
        <v>0</v>
      </c>
      <c r="K1010" s="46">
        <f ca="1">EFEITO!$L$1010*EFEITO!$Z$728</f>
        <v>1439.0796938228095</v>
      </c>
      <c r="L1010" s="46">
        <f>EFEITO!$N$1010*EFEITO!$AA$728</f>
        <v>1263.4985490430126</v>
      </c>
      <c r="M1010" s="46">
        <f>$J$1010-EFEITO!$K$1010*EFEITO!$Y$1010</f>
        <v>0</v>
      </c>
      <c r="N1010" s="46">
        <f ca="1">$K$1010-EFEITO!$M$1010*EFEITO!$Z$1010</f>
        <v>86.344781629368526</v>
      </c>
      <c r="O1010" s="46">
        <f>$L$1010-EFEITO!$O$1010*EFEITO!$AA$1010</f>
        <v>75.809912942580922</v>
      </c>
      <c r="P1010" s="38"/>
      <c r="Q1010" s="38"/>
      <c r="R1010" s="38"/>
      <c r="S1010" s="38"/>
      <c r="T1010" s="38"/>
      <c r="U1010" s="38"/>
      <c r="V1010" s="38"/>
      <c r="W1010" s="38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35" t="s">
        <v>28</v>
      </c>
      <c r="B1011" s="35" t="s">
        <v>43</v>
      </c>
      <c r="C1011" s="35" t="s">
        <v>23</v>
      </c>
      <c r="D1011" s="35" t="s">
        <v>44</v>
      </c>
      <c r="E1011" s="35" t="s">
        <v>25</v>
      </c>
      <c r="F1011" s="35" t="s">
        <v>25</v>
      </c>
      <c r="G1011" s="35" t="s">
        <v>25</v>
      </c>
      <c r="H1011" s="35" t="s">
        <v>25</v>
      </c>
      <c r="I1011" s="45">
        <v>44287</v>
      </c>
      <c r="J1011" s="46">
        <f>EFEITO!$J$1011*EFEITO!$Y$728</f>
        <v>0</v>
      </c>
      <c r="K1011" s="46">
        <f ca="1">EFEITO!$L$1011*EFEITO!$Z$728</f>
        <v>-1007.4700436905615</v>
      </c>
      <c r="L1011" s="46">
        <f>EFEITO!$N$1011*EFEITO!$AA$728</f>
        <v>-884.54930180125166</v>
      </c>
      <c r="M1011" s="46">
        <f>$J$1011-EFEITO!$K$1011*EFEITO!$Y$1011</f>
        <v>0</v>
      </c>
      <c r="N1011" s="46">
        <f ca="1">$K$1011-EFEITO!$M$1011*EFEITO!$Z$1011</f>
        <v>-60.448202621433666</v>
      </c>
      <c r="O1011" s="46">
        <f>$L$1011-EFEITO!$O$1011*EFEITO!$AA$1011</f>
        <v>-53.072958108075227</v>
      </c>
      <c r="P1011" s="38"/>
      <c r="Q1011" s="38"/>
      <c r="R1011" s="38"/>
      <c r="S1011" s="38"/>
      <c r="T1011" s="38"/>
      <c r="U1011" s="38"/>
      <c r="V1011" s="38"/>
      <c r="W1011" s="38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35" t="s">
        <v>21</v>
      </c>
      <c r="B1012" s="35" t="s">
        <v>43</v>
      </c>
      <c r="C1012" s="35" t="s">
        <v>23</v>
      </c>
      <c r="D1012" s="35" t="s">
        <v>44</v>
      </c>
      <c r="E1012" s="35" t="s">
        <v>25</v>
      </c>
      <c r="F1012" s="35" t="s">
        <v>25</v>
      </c>
      <c r="G1012" s="35" t="s">
        <v>25</v>
      </c>
      <c r="H1012" s="35" t="s">
        <v>25</v>
      </c>
      <c r="I1012" s="45">
        <v>44317</v>
      </c>
      <c r="J1012" s="46">
        <f>EFEITO!$J$1012*EFEITO!$Y$728</f>
        <v>0</v>
      </c>
      <c r="K1012" s="46">
        <f ca="1">EFEITO!$L$1012*EFEITO!$Z$728</f>
        <v>472189.24095073738</v>
      </c>
      <c r="L1012" s="46">
        <f>EFEITO!$N$1012*EFEITO!$AA$728</f>
        <v>414577.74949914444</v>
      </c>
      <c r="M1012" s="46">
        <f>$J$1012-EFEITO!$K$1012*EFEITO!$Y$1012</f>
        <v>0</v>
      </c>
      <c r="N1012" s="46">
        <f ca="1">$K$1012-EFEITO!$M$1012*EFEITO!$Z$1012</f>
        <v>28331.354457044217</v>
      </c>
      <c r="O1012" s="46">
        <f>$L$1012-EFEITO!$O$1012*EFEITO!$AA$1012</f>
        <v>24874.664969948702</v>
      </c>
      <c r="P1012" s="38"/>
      <c r="Q1012" s="38"/>
      <c r="R1012" s="38"/>
      <c r="S1012" s="38"/>
      <c r="T1012" s="38"/>
      <c r="U1012" s="38"/>
      <c r="V1012" s="38"/>
      <c r="W1012" s="38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35" t="s">
        <v>28</v>
      </c>
      <c r="B1013" s="35" t="s">
        <v>43</v>
      </c>
      <c r="C1013" s="35" t="s">
        <v>23</v>
      </c>
      <c r="D1013" s="35" t="s">
        <v>44</v>
      </c>
      <c r="E1013" s="35" t="s">
        <v>25</v>
      </c>
      <c r="F1013" s="35" t="s">
        <v>25</v>
      </c>
      <c r="G1013" s="35" t="s">
        <v>25</v>
      </c>
      <c r="H1013" s="35" t="s">
        <v>25</v>
      </c>
      <c r="I1013" s="45">
        <v>44317</v>
      </c>
      <c r="J1013" s="46">
        <f>EFEITO!$J$1013*EFEITO!$Y$728</f>
        <v>0</v>
      </c>
      <c r="K1013" s="46">
        <f ca="1">EFEITO!$L$1013*EFEITO!$Z$728</f>
        <v>3968.4664919174857</v>
      </c>
      <c r="L1013" s="46">
        <f>EFEITO!$N$1013*EFEITO!$AA$728</f>
        <v>3484.276566465775</v>
      </c>
      <c r="M1013" s="46">
        <f>$J$1013-EFEITO!$K$1013*EFEITO!$Y$1013</f>
        <v>0</v>
      </c>
      <c r="N1013" s="46">
        <f ca="1">$K$1013-EFEITO!$M$1013*EFEITO!$Z$1013</f>
        <v>238.10798951504921</v>
      </c>
      <c r="O1013" s="46">
        <f>$L$1013-EFEITO!$O$1013*EFEITO!$AA$1013</f>
        <v>209.0565939879466</v>
      </c>
      <c r="P1013" s="38"/>
      <c r="Q1013" s="38"/>
      <c r="R1013" s="38"/>
      <c r="S1013" s="38"/>
      <c r="T1013" s="38"/>
      <c r="U1013" s="38"/>
      <c r="V1013" s="38"/>
      <c r="W1013" s="38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35" t="s">
        <v>21</v>
      </c>
      <c r="B1014" s="35" t="s">
        <v>43</v>
      </c>
      <c r="C1014" s="35" t="s">
        <v>23</v>
      </c>
      <c r="D1014" s="35" t="s">
        <v>44</v>
      </c>
      <c r="E1014" s="35" t="s">
        <v>25</v>
      </c>
      <c r="F1014" s="35" t="s">
        <v>25</v>
      </c>
      <c r="G1014" s="35" t="s">
        <v>25</v>
      </c>
      <c r="H1014" s="35" t="s">
        <v>25</v>
      </c>
      <c r="I1014" s="45">
        <v>44348</v>
      </c>
      <c r="J1014" s="46">
        <f>EFEITO!$J$1014*EFEITO!$Y$728</f>
        <v>0</v>
      </c>
      <c r="K1014" s="46">
        <f ca="1">EFEITO!$L$1014*EFEITO!$Z$728</f>
        <v>450865.55333192705</v>
      </c>
      <c r="L1014" s="46">
        <f>EFEITO!$N$1014*EFEITO!$AA$728</f>
        <v>395855.75065344974</v>
      </c>
      <c r="M1014" s="46">
        <f>$J$1014-EFEITO!$K$1014*EFEITO!$Y$1014</f>
        <v>0</v>
      </c>
      <c r="N1014" s="46">
        <f ca="1">$K$1014-EFEITO!$M$1014*EFEITO!$Z$1014</f>
        <v>27051.933199915627</v>
      </c>
      <c r="O1014" s="46">
        <f>$L$1014-EFEITO!$O$1014*EFEITO!$AA$1014</f>
        <v>23751.345039207023</v>
      </c>
      <c r="P1014" s="38"/>
      <c r="Q1014" s="38"/>
      <c r="R1014" s="38"/>
      <c r="S1014" s="38"/>
      <c r="T1014" s="38"/>
      <c r="U1014" s="38"/>
      <c r="V1014" s="38"/>
      <c r="W1014" s="38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35" t="s">
        <v>27</v>
      </c>
      <c r="B1015" s="35" t="s">
        <v>43</v>
      </c>
      <c r="C1015" s="35" t="s">
        <v>23</v>
      </c>
      <c r="D1015" s="35" t="s">
        <v>44</v>
      </c>
      <c r="E1015" s="35" t="s">
        <v>25</v>
      </c>
      <c r="F1015" s="35" t="s">
        <v>25</v>
      </c>
      <c r="G1015" s="35" t="s">
        <v>25</v>
      </c>
      <c r="H1015" s="35" t="s">
        <v>25</v>
      </c>
      <c r="I1015" s="45">
        <v>44348</v>
      </c>
      <c r="J1015" s="46">
        <f>EFEITO!$J$1015*EFEITO!$Y$728</f>
        <v>0</v>
      </c>
      <c r="K1015" s="46">
        <f ca="1">EFEITO!$L$1015*EFEITO!$Z$728</f>
        <v>-8.5693510946177618</v>
      </c>
      <c r="L1015" s="46">
        <f>EFEITO!$N$1015*EFEITO!$AA$728</f>
        <v>-7.5238103357067043</v>
      </c>
      <c r="M1015" s="46">
        <f>$J$1015-EFEITO!$K$1015*EFEITO!$Y$1015</f>
        <v>0</v>
      </c>
      <c r="N1015" s="46">
        <f ca="1">$K$1015-EFEITO!$M$1015*EFEITO!$Z$1015</f>
        <v>-0.51416106567706521</v>
      </c>
      <c r="O1015" s="46">
        <f>$L$1015-EFEITO!$O$1015*EFEITO!$AA$1015</f>
        <v>-0.45142862014240226</v>
      </c>
      <c r="P1015" s="38"/>
      <c r="Q1015" s="38"/>
      <c r="R1015" s="38"/>
      <c r="S1015" s="38"/>
      <c r="T1015" s="38"/>
      <c r="U1015" s="38"/>
      <c r="V1015" s="38"/>
      <c r="W1015" s="38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35" t="s">
        <v>28</v>
      </c>
      <c r="B1016" s="35" t="s">
        <v>43</v>
      </c>
      <c r="C1016" s="35" t="s">
        <v>23</v>
      </c>
      <c r="D1016" s="35" t="s">
        <v>44</v>
      </c>
      <c r="E1016" s="35" t="s">
        <v>25</v>
      </c>
      <c r="F1016" s="35" t="s">
        <v>25</v>
      </c>
      <c r="G1016" s="35" t="s">
        <v>25</v>
      </c>
      <c r="H1016" s="35" t="s">
        <v>25</v>
      </c>
      <c r="I1016" s="45">
        <v>44348</v>
      </c>
      <c r="J1016" s="46">
        <f>EFEITO!$J$1016*EFEITO!$Y$728</f>
        <v>0</v>
      </c>
      <c r="K1016" s="46">
        <f ca="1">EFEITO!$L$1016*EFEITO!$Z$728</f>
        <v>1022.6092306243862</v>
      </c>
      <c r="L1016" s="46">
        <f>EFEITO!$N$1016*EFEITO!$AA$728</f>
        <v>897.84136672766681</v>
      </c>
      <c r="M1016" s="46">
        <f>$J$1016-EFEITO!$K$1016*EFEITO!$Y$1016</f>
        <v>0</v>
      </c>
      <c r="N1016" s="46">
        <f ca="1">$K$1016-EFEITO!$M$1016*EFEITO!$Z$1016</f>
        <v>61.356553837463139</v>
      </c>
      <c r="O1016" s="46">
        <f>$L$1016-EFEITO!$O$1016*EFEITO!$AA$1016</f>
        <v>53.870482003660072</v>
      </c>
      <c r="P1016" s="38"/>
      <c r="Q1016" s="38"/>
      <c r="R1016" s="38"/>
      <c r="S1016" s="38"/>
      <c r="T1016" s="38"/>
      <c r="U1016" s="38"/>
      <c r="V1016" s="38"/>
      <c r="W1016" s="38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35" t="s">
        <v>21</v>
      </c>
      <c r="B1017" s="35" t="s">
        <v>43</v>
      </c>
      <c r="C1017" s="35" t="s">
        <v>23</v>
      </c>
      <c r="D1017" s="35" t="s">
        <v>44</v>
      </c>
      <c r="E1017" s="35" t="s">
        <v>25</v>
      </c>
      <c r="F1017" s="35" t="s">
        <v>25</v>
      </c>
      <c r="G1017" s="35" t="s">
        <v>25</v>
      </c>
      <c r="H1017" s="35" t="s">
        <v>25</v>
      </c>
      <c r="I1017" s="45">
        <v>44378</v>
      </c>
      <c r="J1017" s="46">
        <f>EFEITO!$J$1017*EFEITO!$Y$728</f>
        <v>0</v>
      </c>
      <c r="K1017" s="46">
        <f ca="1">EFEITO!$L$1017*EFEITO!$Z$728</f>
        <v>480528.64779098291</v>
      </c>
      <c r="L1017" s="46">
        <f>EFEITO!$N$1017*EFEITO!$AA$728</f>
        <v>421899.67092417635</v>
      </c>
      <c r="M1017" s="46">
        <f>$J$1017-EFEITO!$K$1017*EFEITO!$Y$1017</f>
        <v>0</v>
      </c>
      <c r="N1017" s="46">
        <f ca="1">$K$1017-EFEITO!$M$1017*EFEITO!$Z$1017</f>
        <v>28831.718867458985</v>
      </c>
      <c r="O1017" s="46">
        <f>$L$1017-EFEITO!$O$1017*EFEITO!$AA$1017</f>
        <v>25313.980255450646</v>
      </c>
      <c r="P1017" s="38"/>
      <c r="Q1017" s="38"/>
      <c r="R1017" s="38"/>
      <c r="S1017" s="38"/>
      <c r="T1017" s="38"/>
      <c r="U1017" s="38"/>
      <c r="V1017" s="38"/>
      <c r="W1017" s="38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35" t="s">
        <v>28</v>
      </c>
      <c r="B1018" s="35" t="s">
        <v>43</v>
      </c>
      <c r="C1018" s="35" t="s">
        <v>23</v>
      </c>
      <c r="D1018" s="35" t="s">
        <v>44</v>
      </c>
      <c r="E1018" s="35" t="s">
        <v>25</v>
      </c>
      <c r="F1018" s="35" t="s">
        <v>25</v>
      </c>
      <c r="G1018" s="35" t="s">
        <v>25</v>
      </c>
      <c r="H1018" s="35" t="s">
        <v>25</v>
      </c>
      <c r="I1018" s="45">
        <v>44378</v>
      </c>
      <c r="J1018" s="46">
        <f>EFEITO!$J$1018*EFEITO!$Y$728</f>
        <v>0</v>
      </c>
      <c r="K1018" s="46">
        <f ca="1">EFEITO!$L$1018*EFEITO!$Z$728</f>
        <v>1084.5942035421215</v>
      </c>
      <c r="L1018" s="46">
        <f>EFEITO!$N$1018*EFEITO!$AA$728</f>
        <v>952.26359482261194</v>
      </c>
      <c r="M1018" s="46">
        <f>$J$1018-EFEITO!$K$1018*EFEITO!$Y$1018</f>
        <v>0</v>
      </c>
      <c r="N1018" s="46">
        <f ca="1">$K$1018-EFEITO!$M$1018*EFEITO!$Z$1018</f>
        <v>65.075652212527302</v>
      </c>
      <c r="O1018" s="46">
        <f>$L$1018-EFEITO!$O$1018*EFEITO!$AA$1018</f>
        <v>57.135815689356718</v>
      </c>
      <c r="P1018" s="38"/>
      <c r="Q1018" s="38"/>
      <c r="R1018" s="38"/>
      <c r="S1018" s="38"/>
      <c r="T1018" s="38"/>
      <c r="U1018" s="38"/>
      <c r="V1018" s="38"/>
      <c r="W1018" s="38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35" t="s">
        <v>21</v>
      </c>
      <c r="B1019" s="35" t="s">
        <v>43</v>
      </c>
      <c r="C1019" s="35" t="s">
        <v>23</v>
      </c>
      <c r="D1019" s="35" t="s">
        <v>44</v>
      </c>
      <c r="E1019" s="35" t="s">
        <v>25</v>
      </c>
      <c r="F1019" s="35" t="s">
        <v>25</v>
      </c>
      <c r="G1019" s="35" t="s">
        <v>25</v>
      </c>
      <c r="H1019" s="35" t="s">
        <v>25</v>
      </c>
      <c r="I1019" s="45">
        <v>44409</v>
      </c>
      <c r="J1019" s="46">
        <f>EFEITO!$J$1019*EFEITO!$Y$728</f>
        <v>0</v>
      </c>
      <c r="K1019" s="46">
        <f ca="1">EFEITO!$L$1019*EFEITO!$Z$728</f>
        <v>449113.97796818713</v>
      </c>
      <c r="L1019" s="46">
        <f>EFEITO!$N$1019*EFEITO!$AA$728</f>
        <v>394317.88382083125</v>
      </c>
      <c r="M1019" s="46">
        <f>$J$1019-EFEITO!$K$1019*EFEITO!$Y$1019</f>
        <v>0</v>
      </c>
      <c r="N1019" s="46">
        <f ca="1">$K$1019-EFEITO!$M$1019*EFEITO!$Z$1019</f>
        <v>26946.838678091241</v>
      </c>
      <c r="O1019" s="46">
        <f>$L$1019-EFEITO!$O$1019*EFEITO!$AA$1019</f>
        <v>23659.073029249907</v>
      </c>
      <c r="P1019" s="38"/>
      <c r="Q1019" s="38"/>
      <c r="R1019" s="38"/>
      <c r="S1019" s="38"/>
      <c r="T1019" s="38"/>
      <c r="U1019" s="38"/>
      <c r="V1019" s="38"/>
      <c r="W1019" s="38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35" t="s">
        <v>27</v>
      </c>
      <c r="B1020" s="35" t="s">
        <v>43</v>
      </c>
      <c r="C1020" s="35" t="s">
        <v>23</v>
      </c>
      <c r="D1020" s="35" t="s">
        <v>44</v>
      </c>
      <c r="E1020" s="35" t="s">
        <v>25</v>
      </c>
      <c r="F1020" s="35" t="s">
        <v>25</v>
      </c>
      <c r="G1020" s="35" t="s">
        <v>25</v>
      </c>
      <c r="H1020" s="35" t="s">
        <v>25</v>
      </c>
      <c r="I1020" s="45">
        <v>44409</v>
      </c>
      <c r="J1020" s="46">
        <f>EFEITO!$J$1020*EFEITO!$Y$728</f>
        <v>0</v>
      </c>
      <c r="K1020" s="46">
        <f ca="1">EFEITO!$L$1020*EFEITO!$Z$728</f>
        <v>-639.27359165848497</v>
      </c>
      <c r="L1020" s="46">
        <f>EFEITO!$N$1020*EFEITO!$AA$728</f>
        <v>-561.27625104372021</v>
      </c>
      <c r="M1020" s="46">
        <f>$J$1020-EFEITO!$K$1020*EFEITO!$Y$1020</f>
        <v>0</v>
      </c>
      <c r="N1020" s="46">
        <f ca="1">$K$1020-EFEITO!$M$1020*EFEITO!$Z$1020</f>
        <v>-38.356415499509012</v>
      </c>
      <c r="O1020" s="46">
        <f>$L$1020-EFEITO!$O$1020*EFEITO!$AA$1020</f>
        <v>-33.676575062623328</v>
      </c>
      <c r="P1020" s="38"/>
      <c r="Q1020" s="38"/>
      <c r="R1020" s="38"/>
      <c r="S1020" s="38"/>
      <c r="T1020" s="38"/>
      <c r="U1020" s="38"/>
      <c r="V1020" s="38"/>
      <c r="W1020" s="38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35" t="s">
        <v>28</v>
      </c>
      <c r="B1021" s="35" t="s">
        <v>43</v>
      </c>
      <c r="C1021" s="35" t="s">
        <v>23</v>
      </c>
      <c r="D1021" s="35" t="s">
        <v>44</v>
      </c>
      <c r="E1021" s="35" t="s">
        <v>25</v>
      </c>
      <c r="F1021" s="35" t="s">
        <v>25</v>
      </c>
      <c r="G1021" s="35" t="s">
        <v>25</v>
      </c>
      <c r="H1021" s="35" t="s">
        <v>25</v>
      </c>
      <c r="I1021" s="45">
        <v>44409</v>
      </c>
      <c r="J1021" s="46">
        <f>EFEITO!$J$1021*EFEITO!$Y$728</f>
        <v>0</v>
      </c>
      <c r="K1021" s="46">
        <f ca="1">EFEITO!$L$1021*EFEITO!$Z$728</f>
        <v>1110.8735468989491</v>
      </c>
      <c r="L1021" s="46">
        <f>EFEITO!$N$1021*EFEITO!$AA$728</f>
        <v>975.3366131854458</v>
      </c>
      <c r="M1021" s="46">
        <f>$J$1021-EFEITO!$K$1021*EFEITO!$Y$1021</f>
        <v>0</v>
      </c>
      <c r="N1021" s="46">
        <f ca="1">$K$1021-EFEITO!$M$1021*EFEITO!$Z$1021</f>
        <v>66.652412813936962</v>
      </c>
      <c r="O1021" s="46">
        <f>$L$1021-EFEITO!$O$1021*EFEITO!$AA$1021</f>
        <v>58.520196791126864</v>
      </c>
      <c r="P1021" s="38"/>
      <c r="Q1021" s="38"/>
      <c r="R1021" s="38"/>
      <c r="S1021" s="38"/>
      <c r="T1021" s="38"/>
      <c r="U1021" s="38"/>
      <c r="V1021" s="38"/>
      <c r="W1021" s="38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35" t="s">
        <v>21</v>
      </c>
      <c r="B1022" s="35" t="s">
        <v>43</v>
      </c>
      <c r="C1022" s="35" t="s">
        <v>23</v>
      </c>
      <c r="D1022" s="35" t="s">
        <v>44</v>
      </c>
      <c r="E1022" s="35" t="s">
        <v>25</v>
      </c>
      <c r="F1022" s="35" t="s">
        <v>25</v>
      </c>
      <c r="G1022" s="35" t="s">
        <v>25</v>
      </c>
      <c r="H1022" s="35" t="s">
        <v>25</v>
      </c>
      <c r="I1022" s="45">
        <v>44440</v>
      </c>
      <c r="J1022" s="46">
        <f>EFEITO!$J$1022*EFEITO!$Y$728</f>
        <v>0</v>
      </c>
      <c r="K1022" s="46">
        <f ca="1">EFEITO!$L$1022*EFEITO!$Z$728</f>
        <v>460818.85462832556</v>
      </c>
      <c r="L1022" s="46">
        <f>EFEITO!$N$1022*EFEITO!$AA$728</f>
        <v>404594.65635837306</v>
      </c>
      <c r="M1022" s="46">
        <f>$J$1022-EFEITO!$K$1022*EFEITO!$Y$1022</f>
        <v>0</v>
      </c>
      <c r="N1022" s="46">
        <f ca="1">$K$1022-EFEITO!$M$1022*EFEITO!$Z$1022</f>
        <v>27649.131277699489</v>
      </c>
      <c r="O1022" s="46">
        <f>$L$1022-EFEITO!$O$1022*EFEITO!$AA$1022</f>
        <v>24275.679381502385</v>
      </c>
      <c r="P1022" s="38"/>
      <c r="Q1022" s="38"/>
      <c r="R1022" s="38"/>
      <c r="S1022" s="38"/>
      <c r="T1022" s="38"/>
      <c r="U1022" s="38"/>
      <c r="V1022" s="38"/>
      <c r="W1022" s="38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35" t="s">
        <v>27</v>
      </c>
      <c r="B1023" s="35" t="s">
        <v>43</v>
      </c>
      <c r="C1023" s="35" t="s">
        <v>23</v>
      </c>
      <c r="D1023" s="35" t="s">
        <v>44</v>
      </c>
      <c r="E1023" s="35" t="s">
        <v>25</v>
      </c>
      <c r="F1023" s="35" t="s">
        <v>25</v>
      </c>
      <c r="G1023" s="35" t="s">
        <v>25</v>
      </c>
      <c r="H1023" s="35" t="s">
        <v>25</v>
      </c>
      <c r="I1023" s="45">
        <v>44440</v>
      </c>
      <c r="J1023" s="46">
        <f>EFEITO!$J$1023*EFEITO!$Y$728</f>
        <v>0</v>
      </c>
      <c r="K1023" s="46">
        <f ca="1">EFEITO!$L$1023*EFEITO!$Z$728</f>
        <v>-1698.4453869532404</v>
      </c>
      <c r="L1023" s="46">
        <f>EFEITO!$N$1023*EFEITO!$AA$728</f>
        <v>-1491.2192085370689</v>
      </c>
      <c r="M1023" s="46">
        <f>$J$1023-EFEITO!$K$1023*EFEITO!$Y$1023</f>
        <v>0</v>
      </c>
      <c r="N1023" s="46">
        <f ca="1">$K$1023-EFEITO!$M$1023*EFEITO!$Z$1023</f>
        <v>-101.90672321719444</v>
      </c>
      <c r="O1023" s="46">
        <f>$L$1023-EFEITO!$O$1023*EFEITO!$AA$1023</f>
        <v>-89.47315251222426</v>
      </c>
      <c r="P1023" s="38"/>
      <c r="Q1023" s="38"/>
      <c r="R1023" s="38"/>
      <c r="S1023" s="38"/>
      <c r="T1023" s="38"/>
      <c r="U1023" s="38"/>
      <c r="V1023" s="38"/>
      <c r="W1023" s="38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35" t="s">
        <v>28</v>
      </c>
      <c r="B1024" s="35" t="s">
        <v>43</v>
      </c>
      <c r="C1024" s="35" t="s">
        <v>23</v>
      </c>
      <c r="D1024" s="35" t="s">
        <v>44</v>
      </c>
      <c r="E1024" s="35" t="s">
        <v>25</v>
      </c>
      <c r="F1024" s="35" t="s">
        <v>25</v>
      </c>
      <c r="G1024" s="35" t="s">
        <v>25</v>
      </c>
      <c r="H1024" s="35" t="s">
        <v>25</v>
      </c>
      <c r="I1024" s="45">
        <v>44440</v>
      </c>
      <c r="J1024" s="46">
        <f>EFEITO!$J$1024*EFEITO!$Y$728</f>
        <v>0</v>
      </c>
      <c r="K1024" s="46">
        <f ca="1">EFEITO!$L$1024*EFEITO!$Z$728</f>
        <v>1415.371155794367</v>
      </c>
      <c r="L1024" s="46">
        <f>EFEITO!$N$1024*EFEITO!$AA$728</f>
        <v>1242.6826737808908</v>
      </c>
      <c r="M1024" s="46">
        <f>$J$1024-EFEITO!$K$1024*EFEITO!$Y$1024</f>
        <v>0</v>
      </c>
      <c r="N1024" s="46">
        <f ca="1">$K$1024-EFEITO!$M$1024*EFEITO!$Z$1024</f>
        <v>84.922269347661995</v>
      </c>
      <c r="O1024" s="46">
        <f>$L$1024-EFEITO!$O$1024*EFEITO!$AA$1024</f>
        <v>74.560960426853626</v>
      </c>
      <c r="P1024" s="38"/>
      <c r="Q1024" s="38"/>
      <c r="R1024" s="38"/>
      <c r="S1024" s="38"/>
      <c r="T1024" s="38"/>
      <c r="U1024" s="38"/>
      <c r="V1024" s="38"/>
      <c r="W1024" s="38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35" t="s">
        <v>21</v>
      </c>
      <c r="B1025" s="35" t="s">
        <v>43</v>
      </c>
      <c r="C1025" s="35" t="s">
        <v>23</v>
      </c>
      <c r="D1025" s="35" t="s">
        <v>44</v>
      </c>
      <c r="E1025" s="35" t="s">
        <v>25</v>
      </c>
      <c r="F1025" s="35" t="s">
        <v>25</v>
      </c>
      <c r="G1025" s="35" t="s">
        <v>25</v>
      </c>
      <c r="H1025" s="35" t="s">
        <v>25</v>
      </c>
      <c r="I1025" s="45">
        <v>44470</v>
      </c>
      <c r="J1025" s="46">
        <f>EFEITO!$J$1025*EFEITO!$Y$728</f>
        <v>0</v>
      </c>
      <c r="K1025" s="46">
        <f ca="1">EFEITO!$L$1025*EFEITO!$Z$728</f>
        <v>479426.05795014201</v>
      </c>
      <c r="L1025" s="46">
        <f>EFEITO!$N$1025*EFEITO!$AA$728</f>
        <v>420931.60732764873</v>
      </c>
      <c r="M1025" s="46">
        <f>$J$1025-EFEITO!$K$1025*EFEITO!$Y$1025</f>
        <v>0</v>
      </c>
      <c r="N1025" s="46">
        <f ca="1">$K$1025-EFEITO!$M$1025*EFEITO!$Z$1025</f>
        <v>28765.563477008487</v>
      </c>
      <c r="O1025" s="46">
        <f>$L$1025-EFEITO!$O$1025*EFEITO!$AA$1025</f>
        <v>25255.896439659002</v>
      </c>
      <c r="P1025" s="38"/>
      <c r="Q1025" s="38"/>
      <c r="R1025" s="38"/>
      <c r="S1025" s="38"/>
      <c r="T1025" s="38"/>
      <c r="U1025" s="38"/>
      <c r="V1025" s="38"/>
      <c r="W1025" s="38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35" t="s">
        <v>27</v>
      </c>
      <c r="B1026" s="35" t="s">
        <v>43</v>
      </c>
      <c r="C1026" s="35" t="s">
        <v>23</v>
      </c>
      <c r="D1026" s="35" t="s">
        <v>44</v>
      </c>
      <c r="E1026" s="35" t="s">
        <v>25</v>
      </c>
      <c r="F1026" s="35" t="s">
        <v>25</v>
      </c>
      <c r="G1026" s="35" t="s">
        <v>25</v>
      </c>
      <c r="H1026" s="35" t="s">
        <v>25</v>
      </c>
      <c r="I1026" s="45">
        <v>44470</v>
      </c>
      <c r="J1026" s="46">
        <f>EFEITO!$J$1026*EFEITO!$Y$728</f>
        <v>0</v>
      </c>
      <c r="K1026" s="46">
        <f ca="1">EFEITO!$L$1026*EFEITO!$Z$728</f>
        <v>-17.42434722572278</v>
      </c>
      <c r="L1026" s="46">
        <f>EFEITO!$N$1026*EFEITO!$AA$728</f>
        <v>-15.298414349270299</v>
      </c>
      <c r="M1026" s="46">
        <f>$J$1026-EFEITO!$K$1026*EFEITO!$Y$1026</f>
        <v>0</v>
      </c>
      <c r="N1026" s="46">
        <f ca="1">$K$1026-EFEITO!$M$1026*EFEITO!$Z$1026</f>
        <v>-1.0454608335433662</v>
      </c>
      <c r="O1026" s="46">
        <f>$L$1026-EFEITO!$O$1026*EFEITO!$AA$1026</f>
        <v>-0.91790486095621837</v>
      </c>
      <c r="P1026" s="38"/>
      <c r="Q1026" s="38"/>
      <c r="R1026" s="38"/>
      <c r="S1026" s="38"/>
      <c r="T1026" s="38"/>
      <c r="U1026" s="38"/>
      <c r="V1026" s="38"/>
      <c r="W1026" s="38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35" t="s">
        <v>28</v>
      </c>
      <c r="B1027" s="35" t="s">
        <v>43</v>
      </c>
      <c r="C1027" s="35" t="s">
        <v>23</v>
      </c>
      <c r="D1027" s="35" t="s">
        <v>44</v>
      </c>
      <c r="E1027" s="35" t="s">
        <v>25</v>
      </c>
      <c r="F1027" s="35" t="s">
        <v>25</v>
      </c>
      <c r="G1027" s="35" t="s">
        <v>25</v>
      </c>
      <c r="H1027" s="35" t="s">
        <v>25</v>
      </c>
      <c r="I1027" s="45">
        <v>44470</v>
      </c>
      <c r="J1027" s="46">
        <f>EFEITO!$J$1027*EFEITO!$Y$728</f>
        <v>0</v>
      </c>
      <c r="K1027" s="46">
        <f ca="1">EFEITO!$L$1027*EFEITO!$Z$728</f>
        <v>1356.2426332415046</v>
      </c>
      <c r="L1027" s="46">
        <f>EFEITO!$N$1027*EFEITO!$AA$728</f>
        <v>1190.7683824645146</v>
      </c>
      <c r="M1027" s="46">
        <f>$J$1027-EFEITO!$K$1027*EFEITO!$Y$1027</f>
        <v>0</v>
      </c>
      <c r="N1027" s="46">
        <f ca="1">$K$1027-EFEITO!$M$1027*EFEITO!$Z$1027</f>
        <v>81.37455799449026</v>
      </c>
      <c r="O1027" s="46">
        <f>$L$1027-EFEITO!$O$1027*EFEITO!$AA$1027</f>
        <v>71.446102947870941</v>
      </c>
      <c r="P1027" s="38"/>
      <c r="Q1027" s="38"/>
      <c r="R1027" s="38"/>
      <c r="S1027" s="38"/>
      <c r="T1027" s="38"/>
      <c r="U1027" s="38"/>
      <c r="V1027" s="38"/>
      <c r="W1027" s="38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35" t="s">
        <v>21</v>
      </c>
      <c r="B1028" s="35" t="s">
        <v>43</v>
      </c>
      <c r="C1028" s="35" t="s">
        <v>23</v>
      </c>
      <c r="D1028" s="35" t="s">
        <v>44</v>
      </c>
      <c r="E1028" s="35" t="s">
        <v>25</v>
      </c>
      <c r="F1028" s="35" t="s">
        <v>25</v>
      </c>
      <c r="G1028" s="35" t="s">
        <v>25</v>
      </c>
      <c r="H1028" s="35" t="s">
        <v>25</v>
      </c>
      <c r="I1028" s="45">
        <v>44501</v>
      </c>
      <c r="J1028" s="46">
        <f>EFEITO!$J$1028*EFEITO!$Y$728</f>
        <v>0</v>
      </c>
      <c r="K1028" s="46">
        <f ca="1">EFEITO!$L$1028*EFEITO!$Z$728</f>
        <v>479986.20786669356</v>
      </c>
      <c r="L1028" s="46">
        <f>EFEITO!$N$1028*EFEITO!$AA$728</f>
        <v>421423.41372992605</v>
      </c>
      <c r="M1028" s="46">
        <f>$J$1028-EFEITO!$K$1028*EFEITO!$Y$1028</f>
        <v>0</v>
      </c>
      <c r="N1028" s="46">
        <f ca="1">$K$1028-EFEITO!$M$1028*EFEITO!$Z$1028</f>
        <v>28799.172472001577</v>
      </c>
      <c r="O1028" s="46">
        <f>$L$1028-EFEITO!$O$1028*EFEITO!$AA$1028</f>
        <v>25285.404823795601</v>
      </c>
      <c r="P1028" s="38"/>
      <c r="Q1028" s="38"/>
      <c r="R1028" s="38"/>
      <c r="S1028" s="38"/>
      <c r="T1028" s="38"/>
      <c r="U1028" s="38"/>
      <c r="V1028" s="38"/>
      <c r="W1028" s="38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35" t="s">
        <v>28</v>
      </c>
      <c r="B1029" s="35" t="s">
        <v>43</v>
      </c>
      <c r="C1029" s="35" t="s">
        <v>23</v>
      </c>
      <c r="D1029" s="35" t="s">
        <v>44</v>
      </c>
      <c r="E1029" s="35" t="s">
        <v>25</v>
      </c>
      <c r="F1029" s="35" t="s">
        <v>25</v>
      </c>
      <c r="G1029" s="35" t="s">
        <v>25</v>
      </c>
      <c r="H1029" s="35" t="s">
        <v>25</v>
      </c>
      <c r="I1029" s="45">
        <v>44501</v>
      </c>
      <c r="J1029" s="46">
        <f>EFEITO!$J$1029*EFEITO!$Y$728</f>
        <v>0</v>
      </c>
      <c r="K1029" s="46">
        <f ca="1">EFEITO!$L$1029*EFEITO!$Z$728</f>
        <v>1387.9492322915901</v>
      </c>
      <c r="L1029" s="46">
        <f>EFEITO!$N$1029*EFEITO!$AA$728</f>
        <v>1218.6064807066293</v>
      </c>
      <c r="M1029" s="46">
        <f>$J$1029-EFEITO!$K$1029*EFEITO!$Y$1029</f>
        <v>0</v>
      </c>
      <c r="N1029" s="46">
        <f ca="1">$K$1029-EFEITO!$M$1029*EFEITO!$Z$1029</f>
        <v>83.276953937495364</v>
      </c>
      <c r="O1029" s="46">
        <f>$L$1029-EFEITO!$O$1029*EFEITO!$AA$1029</f>
        <v>73.11638884239801</v>
      </c>
      <c r="P1029" s="38"/>
      <c r="Q1029" s="38"/>
      <c r="R1029" s="38"/>
      <c r="S1029" s="38"/>
      <c r="T1029" s="38"/>
      <c r="U1029" s="38"/>
      <c r="V1029" s="38"/>
      <c r="W1029" s="38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35" t="s">
        <v>21</v>
      </c>
      <c r="B1030" s="35" t="s">
        <v>43</v>
      </c>
      <c r="C1030" s="35" t="s">
        <v>23</v>
      </c>
      <c r="D1030" s="35" t="s">
        <v>44</v>
      </c>
      <c r="E1030" s="35" t="s">
        <v>25</v>
      </c>
      <c r="F1030" s="35" t="s">
        <v>25</v>
      </c>
      <c r="G1030" s="35" t="s">
        <v>25</v>
      </c>
      <c r="H1030" s="35" t="s">
        <v>25</v>
      </c>
      <c r="I1030" s="45">
        <v>44531</v>
      </c>
      <c r="J1030" s="46">
        <f>EFEITO!$J$1030*EFEITO!$Y$728</f>
        <v>0</v>
      </c>
      <c r="K1030" s="46">
        <f ca="1">EFEITO!$L$1030*EFEITO!$Z$728</f>
        <v>495187.37977343606</v>
      </c>
      <c r="L1030" s="46">
        <f>EFEITO!$N$1030*EFEITO!$AA$728</f>
        <v>434769.90088443621</v>
      </c>
      <c r="M1030" s="46">
        <f>$J$1030-EFEITO!$K$1030*EFEITO!$Y$1030</f>
        <v>0</v>
      </c>
      <c r="N1030" s="46">
        <f ca="1">$K$1030-EFEITO!$M$1030*EFEITO!$Z$1030</f>
        <v>29711.24278640619</v>
      </c>
      <c r="O1030" s="46">
        <f>$L$1030-EFEITO!$O$1030*EFEITO!$AA$1030</f>
        <v>26086.194053066196</v>
      </c>
      <c r="P1030" s="38"/>
      <c r="Q1030" s="38"/>
      <c r="R1030" s="38"/>
      <c r="S1030" s="38"/>
      <c r="T1030" s="38"/>
      <c r="U1030" s="38"/>
      <c r="V1030" s="38"/>
      <c r="W1030" s="38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35" t="s">
        <v>27</v>
      </c>
      <c r="B1031" s="35" t="s">
        <v>43</v>
      </c>
      <c r="C1031" s="35" t="s">
        <v>23</v>
      </c>
      <c r="D1031" s="35" t="s">
        <v>44</v>
      </c>
      <c r="E1031" s="35" t="s">
        <v>25</v>
      </c>
      <c r="F1031" s="35" t="s">
        <v>25</v>
      </c>
      <c r="G1031" s="35" t="s">
        <v>25</v>
      </c>
      <c r="H1031" s="35" t="s">
        <v>25</v>
      </c>
      <c r="I1031" s="45">
        <v>44531</v>
      </c>
      <c r="J1031" s="46">
        <f>EFEITO!$J$1031*EFEITO!$Y$728</f>
        <v>0</v>
      </c>
      <c r="K1031" s="46">
        <f ca="1">EFEITO!$L$1031*EFEITO!$Z$728</f>
        <v>-277.3613304291282</v>
      </c>
      <c r="L1031" s="46">
        <f>EFEITO!$N$1031*EFEITO!$AA$728</f>
        <v>-243.52066119904035</v>
      </c>
      <c r="M1031" s="46">
        <f>$J$1031-EFEITO!$K$1031*EFEITO!$Y$1031</f>
        <v>0</v>
      </c>
      <c r="N1031" s="46">
        <f ca="1">$K$1031-EFEITO!$M$1031*EFEITO!$Z$1031</f>
        <v>-16.641679825747701</v>
      </c>
      <c r="O1031" s="46">
        <f>$L$1031-EFEITO!$O$1031*EFEITO!$AA$1031</f>
        <v>-14.611239671942457</v>
      </c>
      <c r="P1031" s="38"/>
      <c r="Q1031" s="38"/>
      <c r="R1031" s="38"/>
      <c r="S1031" s="38"/>
      <c r="T1031" s="38"/>
      <c r="U1031" s="38"/>
      <c r="V1031" s="38"/>
      <c r="W1031" s="38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35" t="s">
        <v>28</v>
      </c>
      <c r="B1032" s="35" t="s">
        <v>43</v>
      </c>
      <c r="C1032" s="35" t="s">
        <v>23</v>
      </c>
      <c r="D1032" s="35" t="s">
        <v>44</v>
      </c>
      <c r="E1032" s="35" t="s">
        <v>25</v>
      </c>
      <c r="F1032" s="35" t="s">
        <v>25</v>
      </c>
      <c r="G1032" s="35" t="s">
        <v>25</v>
      </c>
      <c r="H1032" s="35" t="s">
        <v>25</v>
      </c>
      <c r="I1032" s="45">
        <v>44531</v>
      </c>
      <c r="J1032" s="46">
        <f>EFEITO!$J$1032*EFEITO!$Y$728</f>
        <v>0</v>
      </c>
      <c r="K1032" s="46">
        <f ca="1">EFEITO!$L$1032*EFEITO!$Z$728</f>
        <v>1833.2698441752266</v>
      </c>
      <c r="L1032" s="46">
        <f>EFEITO!$N$1032*EFEITO!$AA$728</f>
        <v>1609.5938244855211</v>
      </c>
      <c r="M1032" s="46">
        <f>$J$1032-EFEITO!$K$1032*EFEITO!$Y$1032</f>
        <v>0</v>
      </c>
      <c r="N1032" s="46">
        <f ca="1">$K$1032-EFEITO!$M$1032*EFEITO!$Z$1032</f>
        <v>109.99619065051365</v>
      </c>
      <c r="O1032" s="46">
        <f>$L$1032-EFEITO!$O$1032*EFEITO!$AA$1032</f>
        <v>96.5756294691314</v>
      </c>
      <c r="P1032" s="38"/>
      <c r="Q1032" s="38"/>
      <c r="R1032" s="38"/>
      <c r="S1032" s="38"/>
      <c r="T1032" s="38"/>
      <c r="U1032" s="38"/>
      <c r="V1032" s="38"/>
      <c r="W1032" s="38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35" t="s">
        <v>55</v>
      </c>
      <c r="B1033" s="35" t="s">
        <v>43</v>
      </c>
      <c r="C1033" s="35" t="s">
        <v>23</v>
      </c>
      <c r="D1033" s="35" t="s">
        <v>44</v>
      </c>
      <c r="E1033" s="35" t="s">
        <v>25</v>
      </c>
      <c r="F1033" s="35" t="s">
        <v>25</v>
      </c>
      <c r="G1033" s="35" t="s">
        <v>25</v>
      </c>
      <c r="H1033" s="35" t="s">
        <v>25</v>
      </c>
      <c r="I1033" s="45">
        <v>44562</v>
      </c>
      <c r="J1033" s="46">
        <f>EFEITO!$J$1033*EFEITO!$Y$728</f>
        <v>0</v>
      </c>
      <c r="K1033" s="46">
        <f ca="1">EFEITO!$L$1033*EFEITO!$Z$728</f>
        <v>495187.37977343606</v>
      </c>
      <c r="L1033" s="46">
        <f>EFEITO!$N$1033*EFEITO!$AA$728</f>
        <v>434769.90088443621</v>
      </c>
      <c r="M1033" s="46">
        <f>$J$1033-EFEITO!$K$1033*EFEITO!$Y$1033</f>
        <v>0</v>
      </c>
      <c r="N1033" s="46">
        <f ca="1">$K$1033-EFEITO!$M$1033*EFEITO!$Z$1033</f>
        <v>29711.24278640619</v>
      </c>
      <c r="O1033" s="46">
        <f>$L$1033-EFEITO!$O$1033*EFEITO!$AA$1033</f>
        <v>26086.194053066196</v>
      </c>
      <c r="P1033" s="38"/>
      <c r="Q1033" s="38"/>
      <c r="R1033" s="38"/>
      <c r="S1033" s="38"/>
      <c r="T1033" s="38"/>
      <c r="U1033" s="38"/>
      <c r="V1033" s="38"/>
      <c r="W1033" s="38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35" t="s">
        <v>55</v>
      </c>
      <c r="B1034" s="35" t="s">
        <v>43</v>
      </c>
      <c r="C1034" s="35" t="s">
        <v>23</v>
      </c>
      <c r="D1034" s="35" t="s">
        <v>44</v>
      </c>
      <c r="E1034" s="35" t="s">
        <v>25</v>
      </c>
      <c r="F1034" s="35" t="s">
        <v>25</v>
      </c>
      <c r="G1034" s="35" t="s">
        <v>25</v>
      </c>
      <c r="H1034" s="35" t="s">
        <v>25</v>
      </c>
      <c r="I1034" s="45">
        <v>44562</v>
      </c>
      <c r="J1034" s="46">
        <f>EFEITO!$J$1034*EFEITO!$Y$728</f>
        <v>0</v>
      </c>
      <c r="K1034" s="46">
        <f ca="1">EFEITO!$L$1034*EFEITO!$Z$728</f>
        <v>-277.3613304291282</v>
      </c>
      <c r="L1034" s="46">
        <f>EFEITO!$N$1034*EFEITO!$AA$728</f>
        <v>-243.52066119904035</v>
      </c>
      <c r="M1034" s="46">
        <f>$J$1034-EFEITO!$K$1034*EFEITO!$Y$1034</f>
        <v>0</v>
      </c>
      <c r="N1034" s="46">
        <f ca="1">$K$1034-EFEITO!$M$1034*EFEITO!$Z$1034</f>
        <v>-16.641679825747701</v>
      </c>
      <c r="O1034" s="46">
        <f>$L$1034-EFEITO!$O$1034*EFEITO!$AA$1034</f>
        <v>-14.611239671942457</v>
      </c>
      <c r="P1034" s="38"/>
      <c r="Q1034" s="38"/>
      <c r="R1034" s="38"/>
      <c r="S1034" s="38"/>
      <c r="T1034" s="38"/>
      <c r="U1034" s="38"/>
      <c r="V1034" s="38"/>
      <c r="W1034" s="38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35" t="s">
        <v>55</v>
      </c>
      <c r="B1035" s="35" t="s">
        <v>43</v>
      </c>
      <c r="C1035" s="35" t="s">
        <v>23</v>
      </c>
      <c r="D1035" s="35" t="s">
        <v>44</v>
      </c>
      <c r="E1035" s="35" t="s">
        <v>25</v>
      </c>
      <c r="F1035" s="35" t="s">
        <v>25</v>
      </c>
      <c r="G1035" s="35" t="s">
        <v>25</v>
      </c>
      <c r="H1035" s="35" t="s">
        <v>25</v>
      </c>
      <c r="I1035" s="45">
        <v>44562</v>
      </c>
      <c r="J1035" s="46">
        <f>EFEITO!$J$1035*EFEITO!$Y$728</f>
        <v>0</v>
      </c>
      <c r="K1035" s="46">
        <f ca="1">EFEITO!$L$1035*EFEITO!$Z$728</f>
        <v>1833.2698441752266</v>
      </c>
      <c r="L1035" s="46">
        <f>EFEITO!$N$1035*EFEITO!$AA$728</f>
        <v>1609.5938244855211</v>
      </c>
      <c r="M1035" s="46">
        <f>$J$1035-EFEITO!$K$1035*EFEITO!$Y$1035</f>
        <v>0</v>
      </c>
      <c r="N1035" s="46">
        <f ca="1">$K$1035-EFEITO!$M$1035*EFEITO!$Z$1035</f>
        <v>109.99619065051365</v>
      </c>
      <c r="O1035" s="46">
        <f>$L$1035-EFEITO!$O$1035*EFEITO!$AA$1035</f>
        <v>96.5756294691314</v>
      </c>
      <c r="P1035" s="38"/>
      <c r="Q1035" s="38"/>
      <c r="R1035" s="38"/>
      <c r="S1035" s="38"/>
      <c r="T1035" s="38"/>
      <c r="U1035" s="38"/>
      <c r="V1035" s="38"/>
      <c r="W1035" s="38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35" t="s">
        <v>21</v>
      </c>
      <c r="B1036" s="35" t="s">
        <v>37</v>
      </c>
      <c r="C1036" s="35" t="s">
        <v>33</v>
      </c>
      <c r="D1036" s="35" t="s">
        <v>42</v>
      </c>
      <c r="E1036" s="35" t="s">
        <v>25</v>
      </c>
      <c r="F1036" s="35" t="s">
        <v>25</v>
      </c>
      <c r="G1036" s="35" t="s">
        <v>25</v>
      </c>
      <c r="H1036" s="35" t="s">
        <v>35</v>
      </c>
      <c r="I1036" s="45">
        <v>44228</v>
      </c>
      <c r="J1036" s="46">
        <f>EFEITO!$J$1036*EFEITO!$Y$1036</f>
        <v>0</v>
      </c>
      <c r="K1036" s="46">
        <f ca="1">EFEITO!$L$1036*EFEITO!$Z$1036</f>
        <v>1929.3647236129573</v>
      </c>
      <c r="L1036" s="46">
        <f>EFEITO!$N$1036*EFEITO!$AA$1036</f>
        <v>2196.3370213656685</v>
      </c>
      <c r="M1036" s="46">
        <f>$J$1036-EFEITO!$K$1036*EFEITO!$Y$1036</f>
        <v>0</v>
      </c>
      <c r="N1036" s="46">
        <f ca="1">$K$1036-EFEITO!$M$1036*EFEITO!$Z$1036</f>
        <v>0</v>
      </c>
      <c r="O1036" s="46">
        <f>$L$1036-EFEITO!$O$1036*EFEITO!$AA$1036</f>
        <v>0</v>
      </c>
      <c r="P1036" s="38"/>
      <c r="Q1036" s="38"/>
      <c r="R1036" s="38"/>
      <c r="S1036" s="38"/>
      <c r="T1036" s="38"/>
      <c r="U1036" s="38"/>
      <c r="V1036" s="38"/>
      <c r="W1036" s="38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35" t="s">
        <v>21</v>
      </c>
      <c r="B1037" s="35" t="s">
        <v>37</v>
      </c>
      <c r="C1037" s="35" t="s">
        <v>33</v>
      </c>
      <c r="D1037" s="35" t="s">
        <v>42</v>
      </c>
      <c r="E1037" s="35" t="s">
        <v>25</v>
      </c>
      <c r="F1037" s="35" t="s">
        <v>25</v>
      </c>
      <c r="G1037" s="35" t="s">
        <v>25</v>
      </c>
      <c r="H1037" s="35" t="s">
        <v>35</v>
      </c>
      <c r="I1037" s="45">
        <v>44256</v>
      </c>
      <c r="J1037" s="46">
        <f>EFEITO!$J$1037*EFEITO!$Y$1037</f>
        <v>0</v>
      </c>
      <c r="K1037" s="46">
        <f ca="1">EFEITO!$L$1037*EFEITO!$Z$1037</f>
        <v>2200.318192455311</v>
      </c>
      <c r="L1037" s="46">
        <f>EFEITO!$N$1037*EFEITO!$AA$1037</f>
        <v>2504.7831784880545</v>
      </c>
      <c r="M1037" s="46">
        <f>$J$1037-EFEITO!$K$1037*EFEITO!$Y$1037</f>
        <v>0</v>
      </c>
      <c r="N1037" s="46">
        <f ca="1">$K$1037-EFEITO!$M$1037*EFEITO!$Z$1037</f>
        <v>0</v>
      </c>
      <c r="O1037" s="46">
        <f>$L$1037-EFEITO!$O$1037*EFEITO!$AA$1037</f>
        <v>0</v>
      </c>
      <c r="P1037" s="38"/>
      <c r="Q1037" s="38"/>
      <c r="R1037" s="38"/>
      <c r="S1037" s="38"/>
      <c r="T1037" s="38"/>
      <c r="U1037" s="38"/>
      <c r="V1037" s="38"/>
      <c r="W1037" s="38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35" t="s">
        <v>21</v>
      </c>
      <c r="B1038" s="35" t="s">
        <v>37</v>
      </c>
      <c r="C1038" s="35" t="s">
        <v>33</v>
      </c>
      <c r="D1038" s="35" t="s">
        <v>42</v>
      </c>
      <c r="E1038" s="35" t="s">
        <v>25</v>
      </c>
      <c r="F1038" s="35" t="s">
        <v>25</v>
      </c>
      <c r="G1038" s="35" t="s">
        <v>25</v>
      </c>
      <c r="H1038" s="35" t="s">
        <v>35</v>
      </c>
      <c r="I1038" s="45">
        <v>44287</v>
      </c>
      <c r="J1038" s="46">
        <f>EFEITO!$J$1038*EFEITO!$Y$1038</f>
        <v>0</v>
      </c>
      <c r="K1038" s="46">
        <f ca="1">EFEITO!$L$1038*EFEITO!$Z$1038</f>
        <v>1992.6500659102433</v>
      </c>
      <c r="L1038" s="46">
        <f>EFEITO!$N$1038*EFEITO!$AA$1038</f>
        <v>2268.379356594563</v>
      </c>
      <c r="M1038" s="46">
        <f>$J$1038-EFEITO!$K$1038*EFEITO!$Y$1038</f>
        <v>0</v>
      </c>
      <c r="N1038" s="46">
        <f ca="1">$K$1038-EFEITO!$M$1038*EFEITO!$Z$1038</f>
        <v>0</v>
      </c>
      <c r="O1038" s="46">
        <f>$L$1038-EFEITO!$O$1038*EFEITO!$AA$1038</f>
        <v>0</v>
      </c>
      <c r="P1038" s="38"/>
      <c r="Q1038" s="38"/>
      <c r="R1038" s="38"/>
      <c r="S1038" s="38"/>
      <c r="T1038" s="38"/>
      <c r="U1038" s="38"/>
      <c r="V1038" s="38"/>
      <c r="W1038" s="38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35" t="s">
        <v>21</v>
      </c>
      <c r="B1039" s="35" t="s">
        <v>37</v>
      </c>
      <c r="C1039" s="35" t="s">
        <v>33</v>
      </c>
      <c r="D1039" s="35" t="s">
        <v>42</v>
      </c>
      <c r="E1039" s="35" t="s">
        <v>25</v>
      </c>
      <c r="F1039" s="35" t="s">
        <v>25</v>
      </c>
      <c r="G1039" s="35" t="s">
        <v>25</v>
      </c>
      <c r="H1039" s="35" t="s">
        <v>35</v>
      </c>
      <c r="I1039" s="45">
        <v>44317</v>
      </c>
      <c r="J1039" s="46">
        <f>EFEITO!$J$1039*EFEITO!$Y$1039</f>
        <v>0</v>
      </c>
      <c r="K1039" s="46">
        <f ca="1">EFEITO!$L$1039*EFEITO!$Z$1039</f>
        <v>1947.3863773797339</v>
      </c>
      <c r="L1039" s="46">
        <f>EFEITO!$N$1039*EFEITO!$AA$1039</f>
        <v>2216.8523883513799</v>
      </c>
      <c r="M1039" s="46">
        <f>$J$1039-EFEITO!$K$1039*EFEITO!$Y$1039</f>
        <v>0</v>
      </c>
      <c r="N1039" s="46">
        <f ca="1">$K$1039-EFEITO!$M$1039*EFEITO!$Z$1039</f>
        <v>0</v>
      </c>
      <c r="O1039" s="46">
        <f>$L$1039-EFEITO!$O$1039*EFEITO!$AA$1039</f>
        <v>0</v>
      </c>
      <c r="P1039" s="38"/>
      <c r="Q1039" s="38"/>
      <c r="R1039" s="38"/>
      <c r="S1039" s="38"/>
      <c r="T1039" s="38"/>
      <c r="U1039" s="38"/>
      <c r="V1039" s="38"/>
      <c r="W1039" s="38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35" t="s">
        <v>21</v>
      </c>
      <c r="B1040" s="35" t="s">
        <v>37</v>
      </c>
      <c r="C1040" s="35" t="s">
        <v>33</v>
      </c>
      <c r="D1040" s="35" t="s">
        <v>42</v>
      </c>
      <c r="E1040" s="35" t="s">
        <v>25</v>
      </c>
      <c r="F1040" s="35" t="s">
        <v>25</v>
      </c>
      <c r="G1040" s="35" t="s">
        <v>25</v>
      </c>
      <c r="H1040" s="35" t="s">
        <v>35</v>
      </c>
      <c r="I1040" s="45">
        <v>44348</v>
      </c>
      <c r="J1040" s="46">
        <f>EFEITO!$J$1040*EFEITO!$Y$1040</f>
        <v>0</v>
      </c>
      <c r="K1040" s="46">
        <f ca="1">EFEITO!$L$1040*EFEITO!$Z$1040</f>
        <v>1825.0067750565051</v>
      </c>
      <c r="L1040" s="46">
        <f>EFEITO!$N$1040*EFEITO!$AA$1040</f>
        <v>2077.5387334716634</v>
      </c>
      <c r="M1040" s="46">
        <f>$J$1040-EFEITO!$K$1040*EFEITO!$Y$1040</f>
        <v>0</v>
      </c>
      <c r="N1040" s="46">
        <f ca="1">$K$1040-EFEITO!$M$1040*EFEITO!$Z$1040</f>
        <v>0</v>
      </c>
      <c r="O1040" s="46">
        <f>$L$1040-EFEITO!$O$1040*EFEITO!$AA$1040</f>
        <v>0</v>
      </c>
      <c r="P1040" s="38"/>
      <c r="Q1040" s="38"/>
      <c r="R1040" s="38"/>
      <c r="S1040" s="38"/>
      <c r="T1040" s="38"/>
      <c r="U1040" s="38"/>
      <c r="V1040" s="38"/>
      <c r="W1040" s="38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35" t="s">
        <v>21</v>
      </c>
      <c r="B1041" s="35" t="s">
        <v>37</v>
      </c>
      <c r="C1041" s="35" t="s">
        <v>33</v>
      </c>
      <c r="D1041" s="35" t="s">
        <v>42</v>
      </c>
      <c r="E1041" s="35" t="s">
        <v>25</v>
      </c>
      <c r="F1041" s="35" t="s">
        <v>25</v>
      </c>
      <c r="G1041" s="35" t="s">
        <v>25</v>
      </c>
      <c r="H1041" s="35" t="s">
        <v>35</v>
      </c>
      <c r="I1041" s="45">
        <v>44378</v>
      </c>
      <c r="J1041" s="46">
        <f>EFEITO!$J$1041*EFEITO!$Y$1041</f>
        <v>0</v>
      </c>
      <c r="K1041" s="46">
        <f ca="1">EFEITO!$L$1041*EFEITO!$Z$1041</f>
        <v>1981.1245896640489</v>
      </c>
      <c r="L1041" s="46">
        <f>EFEITO!$N$1041*EFEITO!$AA$1041</f>
        <v>2255.2590637548637</v>
      </c>
      <c r="M1041" s="46">
        <f>$J$1041-EFEITO!$K$1041*EFEITO!$Y$1041</f>
        <v>0</v>
      </c>
      <c r="N1041" s="46">
        <f ca="1">$K$1041-EFEITO!$M$1041*EFEITO!$Z$1041</f>
        <v>0</v>
      </c>
      <c r="O1041" s="46">
        <f>$L$1041-EFEITO!$O$1041*EFEITO!$AA$1041</f>
        <v>0</v>
      </c>
      <c r="P1041" s="38"/>
      <c r="Q1041" s="38"/>
      <c r="R1041" s="38"/>
      <c r="S1041" s="38"/>
      <c r="T1041" s="38"/>
      <c r="U1041" s="38"/>
      <c r="V1041" s="38"/>
      <c r="W1041" s="38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35" t="s">
        <v>21</v>
      </c>
      <c r="B1042" s="35" t="s">
        <v>37</v>
      </c>
      <c r="C1042" s="35" t="s">
        <v>33</v>
      </c>
      <c r="D1042" s="35" t="s">
        <v>42</v>
      </c>
      <c r="E1042" s="35" t="s">
        <v>25</v>
      </c>
      <c r="F1042" s="35" t="s">
        <v>25</v>
      </c>
      <c r="G1042" s="35" t="s">
        <v>25</v>
      </c>
      <c r="H1042" s="35" t="s">
        <v>35</v>
      </c>
      <c r="I1042" s="45">
        <v>44409</v>
      </c>
      <c r="J1042" s="46">
        <f>EFEITO!$J$1042*EFEITO!$Y$1042</f>
        <v>0</v>
      </c>
      <c r="K1042" s="46">
        <f ca="1">EFEITO!$L$1042*EFEITO!$Z$1042</f>
        <v>1945.2908362440621</v>
      </c>
      <c r="L1042" s="46">
        <f>EFEITO!$N$1042*EFEITO!$AA$1042</f>
        <v>2214.4668805623437</v>
      </c>
      <c r="M1042" s="46">
        <f>$J$1042-EFEITO!$K$1042*EFEITO!$Y$1042</f>
        <v>0</v>
      </c>
      <c r="N1042" s="46">
        <f ca="1">$K$1042-EFEITO!$M$1042*EFEITO!$Z$1042</f>
        <v>0</v>
      </c>
      <c r="O1042" s="46">
        <f>$L$1042-EFEITO!$O$1042*EFEITO!$AA$1042</f>
        <v>0</v>
      </c>
      <c r="P1042" s="38"/>
      <c r="Q1042" s="38"/>
      <c r="R1042" s="38"/>
      <c r="S1042" s="38"/>
      <c r="T1042" s="38"/>
      <c r="U1042" s="38"/>
      <c r="V1042" s="38"/>
      <c r="W1042" s="38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35" t="s">
        <v>21</v>
      </c>
      <c r="B1043" s="35" t="s">
        <v>37</v>
      </c>
      <c r="C1043" s="35" t="s">
        <v>33</v>
      </c>
      <c r="D1043" s="35" t="s">
        <v>42</v>
      </c>
      <c r="E1043" s="35" t="s">
        <v>25</v>
      </c>
      <c r="F1043" s="35" t="s">
        <v>25</v>
      </c>
      <c r="G1043" s="35" t="s">
        <v>25</v>
      </c>
      <c r="H1043" s="35" t="s">
        <v>35</v>
      </c>
      <c r="I1043" s="45">
        <v>44440</v>
      </c>
      <c r="J1043" s="46">
        <f>EFEITO!$J$1043*EFEITO!$Y$1043</f>
        <v>0</v>
      </c>
      <c r="K1043" s="46">
        <f ca="1">EFEITO!$L$1043*EFEITO!$Z$1043</f>
        <v>2206.3952617487594</v>
      </c>
      <c r="L1043" s="46">
        <f>EFEITO!$N$1043*EFEITO!$AA$1043</f>
        <v>2511.7011510762595</v>
      </c>
      <c r="M1043" s="46">
        <f>$J$1043-EFEITO!$K$1043*EFEITO!$Y$1043</f>
        <v>0</v>
      </c>
      <c r="N1043" s="46">
        <f ca="1">$K$1043-EFEITO!$M$1043*EFEITO!$Z$1043</f>
        <v>0</v>
      </c>
      <c r="O1043" s="46">
        <f>$L$1043-EFEITO!$O$1043*EFEITO!$AA$1043</f>
        <v>0</v>
      </c>
      <c r="P1043" s="38"/>
      <c r="Q1043" s="38"/>
      <c r="R1043" s="38"/>
      <c r="S1043" s="38"/>
      <c r="T1043" s="38"/>
      <c r="U1043" s="38"/>
      <c r="V1043" s="38"/>
      <c r="W1043" s="38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35" t="s">
        <v>21</v>
      </c>
      <c r="B1044" s="35" t="s">
        <v>37</v>
      </c>
      <c r="C1044" s="35" t="s">
        <v>33</v>
      </c>
      <c r="D1044" s="35" t="s">
        <v>42</v>
      </c>
      <c r="E1044" s="35" t="s">
        <v>25</v>
      </c>
      <c r="F1044" s="35" t="s">
        <v>25</v>
      </c>
      <c r="G1044" s="35" t="s">
        <v>25</v>
      </c>
      <c r="H1044" s="35" t="s">
        <v>35</v>
      </c>
      <c r="I1044" s="45">
        <v>44470</v>
      </c>
      <c r="J1044" s="46">
        <f>EFEITO!$J$1044*EFEITO!$Y$1044</f>
        <v>0</v>
      </c>
      <c r="K1044" s="46">
        <f ca="1">EFEITO!$L$1044*EFEITO!$Z$1044</f>
        <v>2684.3881947954796</v>
      </c>
      <c r="L1044" s="46">
        <f>EFEITO!$N$1044*EFEITO!$AA$1044</f>
        <v>3055.8354777554264</v>
      </c>
      <c r="M1044" s="46">
        <f>$J$1044-EFEITO!$K$1044*EFEITO!$Y$1044</f>
        <v>0</v>
      </c>
      <c r="N1044" s="46">
        <f ca="1">$K$1044-EFEITO!$M$1044*EFEITO!$Z$1044</f>
        <v>0</v>
      </c>
      <c r="O1044" s="46">
        <f>$L$1044-EFEITO!$O$1044*EFEITO!$AA$1044</f>
        <v>0</v>
      </c>
      <c r="P1044" s="38"/>
      <c r="Q1044" s="38"/>
      <c r="R1044" s="38"/>
      <c r="S1044" s="38"/>
      <c r="T1044" s="38"/>
      <c r="U1044" s="38"/>
      <c r="V1044" s="38"/>
      <c r="W1044" s="38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35" t="s">
        <v>27</v>
      </c>
      <c r="B1045" s="35" t="s">
        <v>37</v>
      </c>
      <c r="C1045" s="35" t="s">
        <v>33</v>
      </c>
      <c r="D1045" s="35" t="s">
        <v>42</v>
      </c>
      <c r="E1045" s="35" t="s">
        <v>25</v>
      </c>
      <c r="F1045" s="35" t="s">
        <v>25</v>
      </c>
      <c r="G1045" s="35" t="s">
        <v>25</v>
      </c>
      <c r="H1045" s="35" t="s">
        <v>35</v>
      </c>
      <c r="I1045" s="45">
        <v>44470</v>
      </c>
      <c r="J1045" s="46">
        <f>EFEITO!$J$1045*EFEITO!$Y$1045</f>
        <v>0</v>
      </c>
      <c r="K1045" s="46">
        <f ca="1">EFEITO!$L$1045*EFEITO!$Z$1045</f>
        <v>38.138848669225389</v>
      </c>
      <c r="L1045" s="46">
        <f>EFEITO!$N$1045*EFEITO!$AA$1045</f>
        <v>43.416241760459613</v>
      </c>
      <c r="M1045" s="46">
        <f>$J$1045-EFEITO!$K$1045*EFEITO!$Y$1045</f>
        <v>0</v>
      </c>
      <c r="N1045" s="46">
        <f ca="1">$K$1045-EFEITO!$M$1045*EFEITO!$Z$1045</f>
        <v>0</v>
      </c>
      <c r="O1045" s="46">
        <f>$L$1045-EFEITO!$O$1045*EFEITO!$AA$1045</f>
        <v>0</v>
      </c>
      <c r="P1045" s="38"/>
      <c r="Q1045" s="38"/>
      <c r="R1045" s="38"/>
      <c r="S1045" s="38"/>
      <c r="T1045" s="38"/>
      <c r="U1045" s="38"/>
      <c r="V1045" s="38"/>
      <c r="W1045" s="38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35" t="s">
        <v>21</v>
      </c>
      <c r="B1046" s="35" t="s">
        <v>37</v>
      </c>
      <c r="C1046" s="35" t="s">
        <v>33</v>
      </c>
      <c r="D1046" s="35" t="s">
        <v>42</v>
      </c>
      <c r="E1046" s="35" t="s">
        <v>25</v>
      </c>
      <c r="F1046" s="35" t="s">
        <v>25</v>
      </c>
      <c r="G1046" s="35" t="s">
        <v>25</v>
      </c>
      <c r="H1046" s="35" t="s">
        <v>35</v>
      </c>
      <c r="I1046" s="45">
        <v>44501</v>
      </c>
      <c r="J1046" s="46">
        <f>EFEITO!$J$1046*EFEITO!$Y$1046</f>
        <v>0</v>
      </c>
      <c r="K1046" s="46">
        <f ca="1">EFEITO!$L$1046*EFEITO!$Z$1046</f>
        <v>2977.344845562387</v>
      </c>
      <c r="L1046" s="46">
        <f>EFEITO!$N$1046*EFEITO!$AA$1046</f>
        <v>3389.329466662693</v>
      </c>
      <c r="M1046" s="46">
        <f>$J$1046-EFEITO!$K$1046*EFEITO!$Y$1046</f>
        <v>0</v>
      </c>
      <c r="N1046" s="46">
        <f ca="1">$K$1046-EFEITO!$M$1046*EFEITO!$Z$1046</f>
        <v>0</v>
      </c>
      <c r="O1046" s="46">
        <f>$L$1046-EFEITO!$O$1046*EFEITO!$AA$1046</f>
        <v>0</v>
      </c>
      <c r="P1046" s="38"/>
      <c r="Q1046" s="38"/>
      <c r="R1046" s="38"/>
      <c r="S1046" s="38"/>
      <c r="T1046" s="38"/>
      <c r="U1046" s="38"/>
      <c r="V1046" s="38"/>
      <c r="W1046" s="38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35" t="s">
        <v>21</v>
      </c>
      <c r="B1047" s="35" t="s">
        <v>37</v>
      </c>
      <c r="C1047" s="35" t="s">
        <v>33</v>
      </c>
      <c r="D1047" s="35" t="s">
        <v>42</v>
      </c>
      <c r="E1047" s="35" t="s">
        <v>25</v>
      </c>
      <c r="F1047" s="35" t="s">
        <v>25</v>
      </c>
      <c r="G1047" s="35" t="s">
        <v>25</v>
      </c>
      <c r="H1047" s="35" t="s">
        <v>35</v>
      </c>
      <c r="I1047" s="45">
        <v>44531</v>
      </c>
      <c r="J1047" s="46">
        <f>EFEITO!$J$1047*EFEITO!$Y$1047</f>
        <v>0</v>
      </c>
      <c r="K1047" s="46">
        <f ca="1">EFEITO!$L$1047*EFEITO!$Z$1047</f>
        <v>2999.7671357140744</v>
      </c>
      <c r="L1047" s="46">
        <f>EFEITO!$N$1047*EFEITO!$AA$1047</f>
        <v>3414.8544000053807</v>
      </c>
      <c r="M1047" s="46">
        <f>$J$1047-EFEITO!$K$1047*EFEITO!$Y$1047</f>
        <v>0</v>
      </c>
      <c r="N1047" s="46">
        <f ca="1">$K$1047-EFEITO!$M$1047*EFEITO!$Z$1047</f>
        <v>0</v>
      </c>
      <c r="O1047" s="46">
        <f>$L$1047-EFEITO!$O$1047*EFEITO!$AA$1047</f>
        <v>0</v>
      </c>
      <c r="P1047" s="38"/>
      <c r="Q1047" s="38"/>
      <c r="R1047" s="38"/>
      <c r="S1047" s="38"/>
      <c r="T1047" s="38"/>
      <c r="U1047" s="38"/>
      <c r="V1047" s="38"/>
      <c r="W1047" s="38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35" t="s">
        <v>28</v>
      </c>
      <c r="B1048" s="35" t="s">
        <v>37</v>
      </c>
      <c r="C1048" s="35" t="s">
        <v>33</v>
      </c>
      <c r="D1048" s="35" t="s">
        <v>42</v>
      </c>
      <c r="E1048" s="35" t="s">
        <v>25</v>
      </c>
      <c r="F1048" s="35" t="s">
        <v>25</v>
      </c>
      <c r="G1048" s="35" t="s">
        <v>25</v>
      </c>
      <c r="H1048" s="35" t="s">
        <v>35</v>
      </c>
      <c r="I1048" s="45">
        <v>44531</v>
      </c>
      <c r="J1048" s="46">
        <f>EFEITO!$J$1048*EFEITO!$Y$1048</f>
        <v>0</v>
      </c>
      <c r="K1048" s="46">
        <f ca="1">EFEITO!$L$1048*EFEITO!$Z$1048</f>
        <v>148.99297474625965</v>
      </c>
      <c r="L1048" s="46">
        <f>EFEITO!$N$1048*EFEITO!$AA$1048</f>
        <v>169.60960380047683</v>
      </c>
      <c r="M1048" s="46">
        <f>$J$1048-EFEITO!$K$1048*EFEITO!$Y$1048</f>
        <v>0</v>
      </c>
      <c r="N1048" s="46">
        <f ca="1">$K$1048-EFEITO!$M$1048*EFEITO!$Z$1048</f>
        <v>0</v>
      </c>
      <c r="O1048" s="46">
        <f>$L$1048-EFEITO!$O$1048*EFEITO!$AA$1048</f>
        <v>0</v>
      </c>
      <c r="P1048" s="38"/>
      <c r="Q1048" s="38"/>
      <c r="R1048" s="38"/>
      <c r="S1048" s="38"/>
      <c r="T1048" s="38"/>
      <c r="U1048" s="38"/>
      <c r="V1048" s="38"/>
      <c r="W1048" s="38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35" t="s">
        <v>55</v>
      </c>
      <c r="B1049" s="35" t="s">
        <v>37</v>
      </c>
      <c r="C1049" s="35" t="s">
        <v>33</v>
      </c>
      <c r="D1049" s="35" t="s">
        <v>42</v>
      </c>
      <c r="E1049" s="35" t="s">
        <v>25</v>
      </c>
      <c r="F1049" s="35" t="s">
        <v>25</v>
      </c>
      <c r="G1049" s="35" t="s">
        <v>25</v>
      </c>
      <c r="H1049" s="35" t="s">
        <v>35</v>
      </c>
      <c r="I1049" s="45">
        <v>44562</v>
      </c>
      <c r="J1049" s="46">
        <f>EFEITO!$J$1049*EFEITO!$Y$1049</f>
        <v>0</v>
      </c>
      <c r="K1049" s="46">
        <f ca="1">EFEITO!$L$1049*EFEITO!$Z$1049</f>
        <v>2999.7671357140744</v>
      </c>
      <c r="L1049" s="46">
        <f>EFEITO!$N$1049*EFEITO!$AA$1049</f>
        <v>3414.8544000053807</v>
      </c>
      <c r="M1049" s="46">
        <f>$J$1049-EFEITO!$K$1049*EFEITO!$Y$1049</f>
        <v>0</v>
      </c>
      <c r="N1049" s="46">
        <f ca="1">$K$1049-EFEITO!$M$1049*EFEITO!$Z$1049</f>
        <v>0</v>
      </c>
      <c r="O1049" s="46">
        <f>$L$1049-EFEITO!$O$1049*EFEITO!$AA$1049</f>
        <v>0</v>
      </c>
      <c r="P1049" s="38"/>
      <c r="Q1049" s="38"/>
      <c r="R1049" s="38"/>
      <c r="S1049" s="38"/>
      <c r="T1049" s="38"/>
      <c r="U1049" s="38"/>
      <c r="V1049" s="38"/>
      <c r="W1049" s="38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35" t="s">
        <v>55</v>
      </c>
      <c r="B1050" s="35" t="s">
        <v>37</v>
      </c>
      <c r="C1050" s="35" t="s">
        <v>33</v>
      </c>
      <c r="D1050" s="35" t="s">
        <v>42</v>
      </c>
      <c r="E1050" s="35" t="s">
        <v>25</v>
      </c>
      <c r="F1050" s="35" t="s">
        <v>25</v>
      </c>
      <c r="G1050" s="35" t="s">
        <v>25</v>
      </c>
      <c r="H1050" s="35" t="s">
        <v>35</v>
      </c>
      <c r="I1050" s="45">
        <v>44562</v>
      </c>
      <c r="J1050" s="46">
        <f>EFEITO!$J$1050*EFEITO!$Y$1050</f>
        <v>0</v>
      </c>
      <c r="K1050" s="46">
        <f ca="1">EFEITO!$L$1050*EFEITO!$Z$1050</f>
        <v>148.99297474625965</v>
      </c>
      <c r="L1050" s="46">
        <f>EFEITO!$N$1050*EFEITO!$AA$1050</f>
        <v>169.60960380047683</v>
      </c>
      <c r="M1050" s="46">
        <f>$J$1050-EFEITO!$K$1050*EFEITO!$Y$1050</f>
        <v>0</v>
      </c>
      <c r="N1050" s="46">
        <f ca="1">$K$1050-EFEITO!$M$1050*EFEITO!$Z$1050</f>
        <v>0</v>
      </c>
      <c r="O1050" s="46">
        <f>$L$1050-EFEITO!$O$1050*EFEITO!$AA$1050</f>
        <v>0</v>
      </c>
      <c r="P1050" s="38"/>
      <c r="Q1050" s="38"/>
      <c r="R1050" s="38"/>
      <c r="S1050" s="38"/>
      <c r="T1050" s="38"/>
      <c r="U1050" s="38"/>
      <c r="V1050" s="38"/>
      <c r="W1050" s="38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35" t="s">
        <v>21</v>
      </c>
      <c r="B1051" s="35" t="s">
        <v>37</v>
      </c>
      <c r="C1051" s="35" t="s">
        <v>33</v>
      </c>
      <c r="D1051" s="35" t="s">
        <v>42</v>
      </c>
      <c r="E1051" s="35" t="s">
        <v>25</v>
      </c>
      <c r="F1051" s="35" t="s">
        <v>25</v>
      </c>
      <c r="G1051" s="35" t="s">
        <v>25</v>
      </c>
      <c r="H1051" s="35" t="s">
        <v>36</v>
      </c>
      <c r="I1051" s="45">
        <v>44228</v>
      </c>
      <c r="J1051" s="46">
        <f>EFEITO!$J$1051*EFEITO!$Y$1051</f>
        <v>0</v>
      </c>
      <c r="K1051" s="46">
        <f ca="1">EFEITO!$L$1051*EFEITO!$Z$1051</f>
        <v>297.76764744138404</v>
      </c>
      <c r="L1051" s="46">
        <f>EFEITO!$N$1051*EFEITO!$AA$1051</f>
        <v>144.32322123669266</v>
      </c>
      <c r="M1051" s="46">
        <f>$J$1051-EFEITO!$K$1051*EFEITO!$Y$1051</f>
        <v>0</v>
      </c>
      <c r="N1051" s="46">
        <f ca="1">$K$1051-EFEITO!$M$1051*EFEITO!$Z$1051</f>
        <v>0</v>
      </c>
      <c r="O1051" s="46">
        <f>$L$1051-EFEITO!$O$1051*EFEITO!$AA$1051</f>
        <v>0</v>
      </c>
      <c r="P1051" s="38"/>
      <c r="Q1051" s="38"/>
      <c r="R1051" s="38"/>
      <c r="S1051" s="38"/>
      <c r="T1051" s="38"/>
      <c r="U1051" s="38"/>
      <c r="V1051" s="38"/>
      <c r="W1051" s="38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35" t="s">
        <v>21</v>
      </c>
      <c r="B1052" s="35" t="s">
        <v>37</v>
      </c>
      <c r="C1052" s="35" t="s">
        <v>33</v>
      </c>
      <c r="D1052" s="35" t="s">
        <v>42</v>
      </c>
      <c r="E1052" s="35" t="s">
        <v>25</v>
      </c>
      <c r="F1052" s="35" t="s">
        <v>25</v>
      </c>
      <c r="G1052" s="35" t="s">
        <v>25</v>
      </c>
      <c r="H1052" s="35" t="s">
        <v>36</v>
      </c>
      <c r="I1052" s="45">
        <v>44256</v>
      </c>
      <c r="J1052" s="46">
        <f>EFEITO!$J$1052*EFEITO!$Y$1052</f>
        <v>0</v>
      </c>
      <c r="K1052" s="46">
        <f ca="1">EFEITO!$L$1052*EFEITO!$Z$1052</f>
        <v>339.60277146207432</v>
      </c>
      <c r="L1052" s="46">
        <f>EFEITO!$N$1052*EFEITO!$AA$1052</f>
        <v>164.6000374435007</v>
      </c>
      <c r="M1052" s="46">
        <f>$J$1052-EFEITO!$K$1052*EFEITO!$Y$1052</f>
        <v>0</v>
      </c>
      <c r="N1052" s="46">
        <f ca="1">$K$1052-EFEITO!$M$1052*EFEITO!$Z$1052</f>
        <v>0</v>
      </c>
      <c r="O1052" s="46">
        <f>$L$1052-EFEITO!$O$1052*EFEITO!$AA$1052</f>
        <v>0</v>
      </c>
      <c r="P1052" s="38"/>
      <c r="Q1052" s="38"/>
      <c r="R1052" s="38"/>
      <c r="S1052" s="38"/>
      <c r="T1052" s="38"/>
      <c r="U1052" s="38"/>
      <c r="V1052" s="38"/>
      <c r="W1052" s="38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35" t="s">
        <v>21</v>
      </c>
      <c r="B1053" s="35" t="s">
        <v>37</v>
      </c>
      <c r="C1053" s="35" t="s">
        <v>33</v>
      </c>
      <c r="D1053" s="35" t="s">
        <v>42</v>
      </c>
      <c r="E1053" s="35" t="s">
        <v>25</v>
      </c>
      <c r="F1053" s="35" t="s">
        <v>25</v>
      </c>
      <c r="G1053" s="35" t="s">
        <v>25</v>
      </c>
      <c r="H1053" s="35" t="s">
        <v>36</v>
      </c>
      <c r="I1053" s="45">
        <v>44287</v>
      </c>
      <c r="J1053" s="46">
        <f>EFEITO!$J$1053*EFEITO!$Y$1053</f>
        <v>0</v>
      </c>
      <c r="K1053" s="46">
        <f ca="1">EFEITO!$L$1053*EFEITO!$Z$1053</f>
        <v>261.34648064690072</v>
      </c>
      <c r="L1053" s="46">
        <f>EFEITO!$N$1053*EFEITO!$AA$1053</f>
        <v>126.67046359782448</v>
      </c>
      <c r="M1053" s="46">
        <f>$J$1053-EFEITO!$K$1053*EFEITO!$Y$1053</f>
        <v>0</v>
      </c>
      <c r="N1053" s="46">
        <f ca="1">$K$1053-EFEITO!$M$1053*EFEITO!$Z$1053</f>
        <v>0</v>
      </c>
      <c r="O1053" s="46">
        <f>$L$1053-EFEITO!$O$1053*EFEITO!$AA$1053</f>
        <v>0</v>
      </c>
      <c r="P1053" s="38"/>
      <c r="Q1053" s="38"/>
      <c r="R1053" s="38"/>
      <c r="S1053" s="38"/>
      <c r="T1053" s="38"/>
      <c r="U1053" s="38"/>
      <c r="V1053" s="38"/>
      <c r="W1053" s="38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35" t="s">
        <v>21</v>
      </c>
      <c r="B1054" s="35" t="s">
        <v>37</v>
      </c>
      <c r="C1054" s="35" t="s">
        <v>33</v>
      </c>
      <c r="D1054" s="35" t="s">
        <v>42</v>
      </c>
      <c r="E1054" s="35" t="s">
        <v>25</v>
      </c>
      <c r="F1054" s="35" t="s">
        <v>25</v>
      </c>
      <c r="G1054" s="35" t="s">
        <v>25</v>
      </c>
      <c r="H1054" s="35" t="s">
        <v>36</v>
      </c>
      <c r="I1054" s="45">
        <v>44317</v>
      </c>
      <c r="J1054" s="46">
        <f>EFEITO!$J$1054*EFEITO!$Y$1054</f>
        <v>0</v>
      </c>
      <c r="K1054" s="46">
        <f ca="1">EFEITO!$L$1054*EFEITO!$Z$1054</f>
        <v>280.54141990345272</v>
      </c>
      <c r="L1054" s="46">
        <f>EFEITO!$N$1054*EFEITO!$AA$1054</f>
        <v>135.97394397506579</v>
      </c>
      <c r="M1054" s="46">
        <f>$J$1054-EFEITO!$K$1054*EFEITO!$Y$1054</f>
        <v>0</v>
      </c>
      <c r="N1054" s="46">
        <f ca="1">$K$1054-EFEITO!$M$1054*EFEITO!$Z$1054</f>
        <v>0</v>
      </c>
      <c r="O1054" s="46">
        <f>$L$1054-EFEITO!$O$1054*EFEITO!$AA$1054</f>
        <v>0</v>
      </c>
      <c r="P1054" s="38"/>
      <c r="Q1054" s="38"/>
      <c r="R1054" s="38"/>
      <c r="S1054" s="38"/>
      <c r="T1054" s="38"/>
      <c r="U1054" s="38"/>
      <c r="V1054" s="38"/>
      <c r="W1054" s="38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35" t="s">
        <v>21</v>
      </c>
      <c r="B1055" s="35" t="s">
        <v>37</v>
      </c>
      <c r="C1055" s="35" t="s">
        <v>33</v>
      </c>
      <c r="D1055" s="35" t="s">
        <v>42</v>
      </c>
      <c r="E1055" s="35" t="s">
        <v>25</v>
      </c>
      <c r="F1055" s="35" t="s">
        <v>25</v>
      </c>
      <c r="G1055" s="35" t="s">
        <v>25</v>
      </c>
      <c r="H1055" s="35" t="s">
        <v>36</v>
      </c>
      <c r="I1055" s="45">
        <v>44348</v>
      </c>
      <c r="J1055" s="46">
        <f>EFEITO!$J$1055*EFEITO!$Y$1055</f>
        <v>0</v>
      </c>
      <c r="K1055" s="46">
        <f ca="1">EFEITO!$L$1055*EFEITO!$Z$1055</f>
        <v>258.88559099862482</v>
      </c>
      <c r="L1055" s="46">
        <f>EFEITO!$N$1055*EFEITO!$AA$1055</f>
        <v>125.47770970330636</v>
      </c>
      <c r="M1055" s="46">
        <f>$J$1055-EFEITO!$K$1055*EFEITO!$Y$1055</f>
        <v>0</v>
      </c>
      <c r="N1055" s="46">
        <f ca="1">$K$1055-EFEITO!$M$1055*EFEITO!$Z$1055</f>
        <v>0</v>
      </c>
      <c r="O1055" s="46">
        <f>$L$1055-EFEITO!$O$1055*EFEITO!$AA$1055</f>
        <v>0</v>
      </c>
      <c r="P1055" s="38"/>
      <c r="Q1055" s="38"/>
      <c r="R1055" s="38"/>
      <c r="S1055" s="38"/>
      <c r="T1055" s="38"/>
      <c r="U1055" s="38"/>
      <c r="V1055" s="38"/>
      <c r="W1055" s="38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35" t="s">
        <v>21</v>
      </c>
      <c r="B1056" s="35" t="s">
        <v>37</v>
      </c>
      <c r="C1056" s="35" t="s">
        <v>33</v>
      </c>
      <c r="D1056" s="35" t="s">
        <v>42</v>
      </c>
      <c r="E1056" s="35" t="s">
        <v>25</v>
      </c>
      <c r="F1056" s="35" t="s">
        <v>25</v>
      </c>
      <c r="G1056" s="35" t="s">
        <v>25</v>
      </c>
      <c r="H1056" s="35" t="s">
        <v>36</v>
      </c>
      <c r="I1056" s="45">
        <v>44378</v>
      </c>
      <c r="J1056" s="46">
        <f>EFEITO!$J$1056*EFEITO!$Y$1056</f>
        <v>0</v>
      </c>
      <c r="K1056" s="46">
        <f ca="1">EFEITO!$L$1056*EFEITO!$Z$1056</f>
        <v>298.2598253710392</v>
      </c>
      <c r="L1056" s="46">
        <f>EFEITO!$N$1056*EFEITO!$AA$1056</f>
        <v>144.56177201559629</v>
      </c>
      <c r="M1056" s="46">
        <f>$J$1056-EFEITO!$K$1056*EFEITO!$Y$1056</f>
        <v>0</v>
      </c>
      <c r="N1056" s="46">
        <f ca="1">$K$1056-EFEITO!$M$1056*EFEITO!$Z$1056</f>
        <v>0</v>
      </c>
      <c r="O1056" s="46">
        <f>$L$1056-EFEITO!$O$1056*EFEITO!$AA$1056</f>
        <v>0</v>
      </c>
      <c r="P1056" s="38"/>
      <c r="Q1056" s="38"/>
      <c r="R1056" s="38"/>
      <c r="S1056" s="38"/>
      <c r="T1056" s="38"/>
      <c r="U1056" s="38"/>
      <c r="V1056" s="38"/>
      <c r="W1056" s="38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35" t="s">
        <v>21</v>
      </c>
      <c r="B1057" s="35" t="s">
        <v>37</v>
      </c>
      <c r="C1057" s="35" t="s">
        <v>33</v>
      </c>
      <c r="D1057" s="35" t="s">
        <v>42</v>
      </c>
      <c r="E1057" s="35" t="s">
        <v>25</v>
      </c>
      <c r="F1057" s="35" t="s">
        <v>25</v>
      </c>
      <c r="G1057" s="35" t="s">
        <v>25</v>
      </c>
      <c r="H1057" s="35" t="s">
        <v>36</v>
      </c>
      <c r="I1057" s="45">
        <v>44409</v>
      </c>
      <c r="J1057" s="46">
        <f>EFEITO!$J$1057*EFEITO!$Y$1057</f>
        <v>0</v>
      </c>
      <c r="K1057" s="46">
        <f ca="1">EFEITO!$L$1057*EFEITO!$Z$1057</f>
        <v>293.33804607448741</v>
      </c>
      <c r="L1057" s="46">
        <f>EFEITO!$N$1057*EFEITO!$AA$1057</f>
        <v>142.17626422656005</v>
      </c>
      <c r="M1057" s="46">
        <f>$J$1057-EFEITO!$K$1057*EFEITO!$Y$1057</f>
        <v>0</v>
      </c>
      <c r="N1057" s="46">
        <f ca="1">$K$1057-EFEITO!$M$1057*EFEITO!$Z$1057</f>
        <v>0</v>
      </c>
      <c r="O1057" s="46">
        <f>$L$1057-EFEITO!$O$1057*EFEITO!$AA$1057</f>
        <v>0</v>
      </c>
      <c r="P1057" s="38"/>
      <c r="Q1057" s="38"/>
      <c r="R1057" s="38"/>
      <c r="S1057" s="38"/>
      <c r="T1057" s="38"/>
      <c r="U1057" s="38"/>
      <c r="V1057" s="38"/>
      <c r="W1057" s="38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35" t="s">
        <v>21</v>
      </c>
      <c r="B1058" s="35" t="s">
        <v>37</v>
      </c>
      <c r="C1058" s="35" t="s">
        <v>33</v>
      </c>
      <c r="D1058" s="35" t="s">
        <v>42</v>
      </c>
      <c r="E1058" s="35" t="s">
        <v>25</v>
      </c>
      <c r="F1058" s="35" t="s">
        <v>25</v>
      </c>
      <c r="G1058" s="35" t="s">
        <v>25</v>
      </c>
      <c r="H1058" s="35" t="s">
        <v>36</v>
      </c>
      <c r="I1058" s="45">
        <v>44440</v>
      </c>
      <c r="J1058" s="46">
        <f>EFEITO!$J$1058*EFEITO!$Y$1058</f>
        <v>0</v>
      </c>
      <c r="K1058" s="46">
        <f ca="1">EFEITO!$L$1058*EFEITO!$Z$1058</f>
        <v>296.78329158207367</v>
      </c>
      <c r="L1058" s="46">
        <f>EFEITO!$N$1058*EFEITO!$AA$1058</f>
        <v>143.8461196788854</v>
      </c>
      <c r="M1058" s="46">
        <f>$J$1058-EFEITO!$K$1058*EFEITO!$Y$1058</f>
        <v>0</v>
      </c>
      <c r="N1058" s="46">
        <f ca="1">$K$1058-EFEITO!$M$1058*EFEITO!$Z$1058</f>
        <v>0</v>
      </c>
      <c r="O1058" s="46">
        <f>$L$1058-EFEITO!$O$1058*EFEITO!$AA$1058</f>
        <v>0</v>
      </c>
      <c r="P1058" s="38"/>
      <c r="Q1058" s="38"/>
      <c r="R1058" s="38"/>
      <c r="S1058" s="38"/>
      <c r="T1058" s="38"/>
      <c r="U1058" s="38"/>
      <c r="V1058" s="38"/>
      <c r="W1058" s="38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35" t="s">
        <v>21</v>
      </c>
      <c r="B1059" s="35" t="s">
        <v>37</v>
      </c>
      <c r="C1059" s="35" t="s">
        <v>33</v>
      </c>
      <c r="D1059" s="35" t="s">
        <v>42</v>
      </c>
      <c r="E1059" s="35" t="s">
        <v>25</v>
      </c>
      <c r="F1059" s="35" t="s">
        <v>25</v>
      </c>
      <c r="G1059" s="35" t="s">
        <v>25</v>
      </c>
      <c r="H1059" s="35" t="s">
        <v>36</v>
      </c>
      <c r="I1059" s="45">
        <v>44470</v>
      </c>
      <c r="J1059" s="46">
        <f>EFEITO!$J$1059*EFEITO!$Y$1059</f>
        <v>0</v>
      </c>
      <c r="K1059" s="46">
        <f ca="1">EFEITO!$L$1059*EFEITO!$Z$1059</f>
        <v>362.24295622621264</v>
      </c>
      <c r="L1059" s="46">
        <f>EFEITO!$N$1059*EFEITO!$AA$1059</f>
        <v>175.57337327306743</v>
      </c>
      <c r="M1059" s="46">
        <f>$J$1059-EFEITO!$K$1059*EFEITO!$Y$1059</f>
        <v>0</v>
      </c>
      <c r="N1059" s="46">
        <f ca="1">$K$1059-EFEITO!$M$1059*EFEITO!$Z$1059</f>
        <v>0</v>
      </c>
      <c r="O1059" s="46">
        <f>$L$1059-EFEITO!$O$1059*EFEITO!$AA$1059</f>
        <v>0</v>
      </c>
      <c r="P1059" s="38"/>
      <c r="Q1059" s="38"/>
      <c r="R1059" s="38"/>
      <c r="S1059" s="38"/>
      <c r="T1059" s="38"/>
      <c r="U1059" s="38"/>
      <c r="V1059" s="38"/>
      <c r="W1059" s="38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35" t="s">
        <v>27</v>
      </c>
      <c r="B1060" s="35" t="s">
        <v>37</v>
      </c>
      <c r="C1060" s="35" t="s">
        <v>33</v>
      </c>
      <c r="D1060" s="35" t="s">
        <v>42</v>
      </c>
      <c r="E1060" s="35" t="s">
        <v>25</v>
      </c>
      <c r="F1060" s="35" t="s">
        <v>25</v>
      </c>
      <c r="G1060" s="35" t="s">
        <v>25</v>
      </c>
      <c r="H1060" s="35" t="s">
        <v>36</v>
      </c>
      <c r="I1060" s="45">
        <v>44470</v>
      </c>
      <c r="J1060" s="46">
        <f>EFEITO!$J$1060*EFEITO!$Y$1060</f>
        <v>0</v>
      </c>
      <c r="K1060" s="46">
        <f ca="1">EFEITO!$L$1060*EFEITO!$Z$1060</f>
        <v>3.4452455075862614</v>
      </c>
      <c r="L1060" s="46">
        <f>EFEITO!$N$1060*EFEITO!$AA$1060</f>
        <v>1.6698554523253697</v>
      </c>
      <c r="M1060" s="46">
        <f>$J$1060-EFEITO!$K$1060*EFEITO!$Y$1060</f>
        <v>0</v>
      </c>
      <c r="N1060" s="46">
        <f ca="1">$K$1060-EFEITO!$M$1060*EFEITO!$Z$1060</f>
        <v>0</v>
      </c>
      <c r="O1060" s="46">
        <f>$L$1060-EFEITO!$O$1060*EFEITO!$AA$1060</f>
        <v>0</v>
      </c>
      <c r="P1060" s="38"/>
      <c r="Q1060" s="38"/>
      <c r="R1060" s="38"/>
      <c r="S1060" s="38"/>
      <c r="T1060" s="38"/>
      <c r="U1060" s="38"/>
      <c r="V1060" s="38"/>
      <c r="W1060" s="38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35" t="s">
        <v>21</v>
      </c>
      <c r="B1061" s="35" t="s">
        <v>37</v>
      </c>
      <c r="C1061" s="35" t="s">
        <v>33</v>
      </c>
      <c r="D1061" s="35" t="s">
        <v>42</v>
      </c>
      <c r="E1061" s="35" t="s">
        <v>25</v>
      </c>
      <c r="F1061" s="35" t="s">
        <v>25</v>
      </c>
      <c r="G1061" s="35" t="s">
        <v>25</v>
      </c>
      <c r="H1061" s="35" t="s">
        <v>36</v>
      </c>
      <c r="I1061" s="45">
        <v>44501</v>
      </c>
      <c r="J1061" s="46">
        <f>EFEITO!$J$1061*EFEITO!$Y$1061</f>
        <v>0</v>
      </c>
      <c r="K1061" s="46">
        <f ca="1">EFEITO!$L$1061*EFEITO!$Z$1061</f>
        <v>391.28145407586828</v>
      </c>
      <c r="L1061" s="46">
        <f>EFEITO!$N$1061*EFEITO!$AA$1061</f>
        <v>189.64786922838127</v>
      </c>
      <c r="M1061" s="46">
        <f>$J$1061-EFEITO!$K$1061*EFEITO!$Y$1061</f>
        <v>0</v>
      </c>
      <c r="N1061" s="46">
        <f ca="1">$K$1061-EFEITO!$M$1061*EFEITO!$Z$1061</f>
        <v>0</v>
      </c>
      <c r="O1061" s="46">
        <f>$L$1061-EFEITO!$O$1061*EFEITO!$AA$1061</f>
        <v>0</v>
      </c>
      <c r="P1061" s="38"/>
      <c r="Q1061" s="38"/>
      <c r="R1061" s="38"/>
      <c r="S1061" s="38"/>
      <c r="T1061" s="38"/>
      <c r="U1061" s="38"/>
      <c r="V1061" s="38"/>
      <c r="W1061" s="38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35" t="s">
        <v>21</v>
      </c>
      <c r="B1062" s="35" t="s">
        <v>37</v>
      </c>
      <c r="C1062" s="35" t="s">
        <v>33</v>
      </c>
      <c r="D1062" s="35" t="s">
        <v>42</v>
      </c>
      <c r="E1062" s="35" t="s">
        <v>25</v>
      </c>
      <c r="F1062" s="35" t="s">
        <v>25</v>
      </c>
      <c r="G1062" s="35" t="s">
        <v>25</v>
      </c>
      <c r="H1062" s="35" t="s">
        <v>36</v>
      </c>
      <c r="I1062" s="45">
        <v>44531</v>
      </c>
      <c r="J1062" s="46">
        <f>EFEITO!$J$1062*EFEITO!$Y$1062</f>
        <v>0</v>
      </c>
      <c r="K1062" s="46">
        <f ca="1">EFEITO!$L$1062*EFEITO!$Z$1062</f>
        <v>421.30430778483424</v>
      </c>
      <c r="L1062" s="46">
        <f>EFEITO!$N$1062*EFEITO!$AA$1062</f>
        <v>204.19946674150233</v>
      </c>
      <c r="M1062" s="46">
        <f>$J$1062-EFEITO!$K$1062*EFEITO!$Y$1062</f>
        <v>0</v>
      </c>
      <c r="N1062" s="46">
        <f ca="1">$K$1062-EFEITO!$M$1062*EFEITO!$Z$1062</f>
        <v>0</v>
      </c>
      <c r="O1062" s="46">
        <f>$L$1062-EFEITO!$O$1062*EFEITO!$AA$1062</f>
        <v>0</v>
      </c>
      <c r="P1062" s="38"/>
      <c r="Q1062" s="38"/>
      <c r="R1062" s="38"/>
      <c r="S1062" s="38"/>
      <c r="T1062" s="38"/>
      <c r="U1062" s="38"/>
      <c r="V1062" s="38"/>
      <c r="W1062" s="38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35" t="s">
        <v>28</v>
      </c>
      <c r="B1063" s="35" t="s">
        <v>37</v>
      </c>
      <c r="C1063" s="35" t="s">
        <v>33</v>
      </c>
      <c r="D1063" s="35" t="s">
        <v>42</v>
      </c>
      <c r="E1063" s="35" t="s">
        <v>25</v>
      </c>
      <c r="F1063" s="35" t="s">
        <v>25</v>
      </c>
      <c r="G1063" s="35" t="s">
        <v>25</v>
      </c>
      <c r="H1063" s="35" t="s">
        <v>36</v>
      </c>
      <c r="I1063" s="45">
        <v>44531</v>
      </c>
      <c r="J1063" s="46">
        <f>EFEITO!$J$1063*EFEITO!$Y$1063</f>
        <v>0</v>
      </c>
      <c r="K1063" s="46">
        <f ca="1">EFEITO!$L$1063*EFEITO!$Z$1063</f>
        <v>14.273159960000227</v>
      </c>
      <c r="L1063" s="46">
        <f>EFEITO!$N$1063*EFEITO!$AA$1063</f>
        <v>6.9179725882051031</v>
      </c>
      <c r="M1063" s="46">
        <f>$J$1063-EFEITO!$K$1063*EFEITO!$Y$1063</f>
        <v>0</v>
      </c>
      <c r="N1063" s="46">
        <f ca="1">$K$1063-EFEITO!$M$1063*EFEITO!$Z$1063</f>
        <v>0</v>
      </c>
      <c r="O1063" s="46">
        <f>$L$1063-EFEITO!$O$1063*EFEITO!$AA$1063</f>
        <v>0</v>
      </c>
      <c r="P1063" s="38"/>
      <c r="Q1063" s="38"/>
      <c r="R1063" s="38"/>
      <c r="S1063" s="38"/>
      <c r="T1063" s="38"/>
      <c r="U1063" s="38"/>
      <c r="V1063" s="38"/>
      <c r="W1063" s="38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35" t="s">
        <v>55</v>
      </c>
      <c r="B1064" s="35" t="s">
        <v>37</v>
      </c>
      <c r="C1064" s="35" t="s">
        <v>33</v>
      </c>
      <c r="D1064" s="35" t="s">
        <v>42</v>
      </c>
      <c r="E1064" s="35" t="s">
        <v>25</v>
      </c>
      <c r="F1064" s="35" t="s">
        <v>25</v>
      </c>
      <c r="G1064" s="35" t="s">
        <v>25</v>
      </c>
      <c r="H1064" s="35" t="s">
        <v>36</v>
      </c>
      <c r="I1064" s="45">
        <v>44562</v>
      </c>
      <c r="J1064" s="46">
        <f>EFEITO!$J$1064*EFEITO!$Y$1064</f>
        <v>0</v>
      </c>
      <c r="K1064" s="46">
        <f ca="1">EFEITO!$L$1064*EFEITO!$Z$1064</f>
        <v>421.30430778483424</v>
      </c>
      <c r="L1064" s="46">
        <f>EFEITO!$N$1064*EFEITO!$AA$1064</f>
        <v>204.19946674150233</v>
      </c>
      <c r="M1064" s="46">
        <f>$J$1064-EFEITO!$K$1064*EFEITO!$Y$1064</f>
        <v>0</v>
      </c>
      <c r="N1064" s="46">
        <f ca="1">$K$1064-EFEITO!$M$1064*EFEITO!$Z$1064</f>
        <v>0</v>
      </c>
      <c r="O1064" s="46">
        <f>$L$1064-EFEITO!$O$1064*EFEITO!$AA$1064</f>
        <v>0</v>
      </c>
      <c r="P1064" s="38"/>
      <c r="Q1064" s="38"/>
      <c r="R1064" s="38"/>
      <c r="S1064" s="38"/>
      <c r="T1064" s="38"/>
      <c r="U1064" s="38"/>
      <c r="V1064" s="38"/>
      <c r="W1064" s="38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35" t="s">
        <v>55</v>
      </c>
      <c r="B1065" s="35" t="s">
        <v>37</v>
      </c>
      <c r="C1065" s="35" t="s">
        <v>33</v>
      </c>
      <c r="D1065" s="35" t="s">
        <v>42</v>
      </c>
      <c r="E1065" s="35" t="s">
        <v>25</v>
      </c>
      <c r="F1065" s="35" t="s">
        <v>25</v>
      </c>
      <c r="G1065" s="35" t="s">
        <v>25</v>
      </c>
      <c r="H1065" s="35" t="s">
        <v>36</v>
      </c>
      <c r="I1065" s="45">
        <v>44562</v>
      </c>
      <c r="J1065" s="46">
        <f>EFEITO!$J$1065*EFEITO!$Y$1065</f>
        <v>0</v>
      </c>
      <c r="K1065" s="46">
        <f ca="1">EFEITO!$L$1065*EFEITO!$Z$1065</f>
        <v>14.273159960000227</v>
      </c>
      <c r="L1065" s="46">
        <f>EFEITO!$N$1065*EFEITO!$AA$1065</f>
        <v>6.9179725882051031</v>
      </c>
      <c r="M1065" s="46">
        <f>$J$1065-EFEITO!$K$1065*EFEITO!$Y$1065</f>
        <v>0</v>
      </c>
      <c r="N1065" s="46">
        <f ca="1">$K$1065-EFEITO!$M$1065*EFEITO!$Z$1065</f>
        <v>0</v>
      </c>
      <c r="O1065" s="46">
        <f>$L$1065-EFEITO!$O$1065*EFEITO!$AA$1065</f>
        <v>0</v>
      </c>
      <c r="P1065" s="38"/>
      <c r="Q1065" s="38"/>
      <c r="R1065" s="38"/>
      <c r="S1065" s="38"/>
      <c r="T1065" s="38"/>
      <c r="U1065" s="38"/>
      <c r="V1065" s="38"/>
      <c r="W1065" s="38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35" t="s">
        <v>21</v>
      </c>
      <c r="B1066" s="35" t="s">
        <v>37</v>
      </c>
      <c r="C1066" s="35" t="s">
        <v>33</v>
      </c>
      <c r="D1066" s="35" t="s">
        <v>42</v>
      </c>
      <c r="E1066" s="35" t="s">
        <v>25</v>
      </c>
      <c r="F1066" s="35" t="s">
        <v>25</v>
      </c>
      <c r="G1066" s="35" t="s">
        <v>25</v>
      </c>
      <c r="H1066" s="35" t="s">
        <v>34</v>
      </c>
      <c r="I1066" s="45">
        <v>44228</v>
      </c>
      <c r="J1066" s="46">
        <f>EFEITO!$J$1066*EFEITO!$Y$1066</f>
        <v>0</v>
      </c>
      <c r="K1066" s="46">
        <f ca="1">EFEITO!$L$1066*EFEITO!$Z$1066</f>
        <v>430.78971490079209</v>
      </c>
      <c r="L1066" s="46">
        <f>EFEITO!$N$1066*EFEITO!$AA$1066</f>
        <v>214.31885488660515</v>
      </c>
      <c r="M1066" s="46">
        <f>$J$1066-EFEITO!$K$1066*EFEITO!$Y$1066</f>
        <v>0</v>
      </c>
      <c r="N1066" s="46">
        <f ca="1">$K$1066-EFEITO!$M$1066*EFEITO!$Z$1066</f>
        <v>0</v>
      </c>
      <c r="O1066" s="46">
        <f>$L$1066-EFEITO!$O$1066*EFEITO!$AA$1066</f>
        <v>0</v>
      </c>
      <c r="P1066" s="38"/>
      <c r="Q1066" s="38"/>
      <c r="R1066" s="38"/>
      <c r="S1066" s="38"/>
      <c r="T1066" s="38"/>
      <c r="U1066" s="38"/>
      <c r="V1066" s="38"/>
      <c r="W1066" s="38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35" t="s">
        <v>21</v>
      </c>
      <c r="B1067" s="35" t="s">
        <v>37</v>
      </c>
      <c r="C1067" s="35" t="s">
        <v>33</v>
      </c>
      <c r="D1067" s="35" t="s">
        <v>42</v>
      </c>
      <c r="E1067" s="35" t="s">
        <v>25</v>
      </c>
      <c r="F1067" s="35" t="s">
        <v>25</v>
      </c>
      <c r="G1067" s="35" t="s">
        <v>25</v>
      </c>
      <c r="H1067" s="35" t="s">
        <v>34</v>
      </c>
      <c r="I1067" s="45">
        <v>44256</v>
      </c>
      <c r="J1067" s="46">
        <f>EFEITO!$J$1067*EFEITO!$Y$1067</f>
        <v>0</v>
      </c>
      <c r="K1067" s="46">
        <f ca="1">EFEITO!$L$1067*EFEITO!$Z$1067</f>
        <v>511.36908603331437</v>
      </c>
      <c r="L1067" s="46">
        <f>EFEITO!$N$1067*EFEITO!$AA$1067</f>
        <v>254.40727378625792</v>
      </c>
      <c r="M1067" s="46">
        <f>$J$1067-EFEITO!$K$1067*EFEITO!$Y$1067</f>
        <v>0</v>
      </c>
      <c r="N1067" s="46">
        <f ca="1">$K$1067-EFEITO!$M$1067*EFEITO!$Z$1067</f>
        <v>0</v>
      </c>
      <c r="O1067" s="46">
        <f>$L$1067-EFEITO!$O$1067*EFEITO!$AA$1067</f>
        <v>0</v>
      </c>
      <c r="P1067" s="38"/>
      <c r="Q1067" s="38"/>
      <c r="R1067" s="38"/>
      <c r="S1067" s="38"/>
      <c r="T1067" s="38"/>
      <c r="U1067" s="38"/>
      <c r="V1067" s="38"/>
      <c r="W1067" s="38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35" t="s">
        <v>21</v>
      </c>
      <c r="B1068" s="35" t="s">
        <v>37</v>
      </c>
      <c r="C1068" s="35" t="s">
        <v>33</v>
      </c>
      <c r="D1068" s="35" t="s">
        <v>42</v>
      </c>
      <c r="E1068" s="35" t="s">
        <v>25</v>
      </c>
      <c r="F1068" s="35" t="s">
        <v>25</v>
      </c>
      <c r="G1068" s="35" t="s">
        <v>25</v>
      </c>
      <c r="H1068" s="35" t="s">
        <v>34</v>
      </c>
      <c r="I1068" s="45">
        <v>44287</v>
      </c>
      <c r="J1068" s="46">
        <f>EFEITO!$J$1068*EFEITO!$Y$1068</f>
        <v>0</v>
      </c>
      <c r="K1068" s="46">
        <f ca="1">EFEITO!$L$1068*EFEITO!$Z$1068</f>
        <v>436.98812806483221</v>
      </c>
      <c r="L1068" s="46">
        <f>EFEITO!$N$1068*EFEITO!$AA$1068</f>
        <v>217.40257941734765</v>
      </c>
      <c r="M1068" s="46">
        <f>$J$1068-EFEITO!$K$1068*EFEITO!$Y$1068</f>
        <v>0</v>
      </c>
      <c r="N1068" s="46">
        <f ca="1">$K$1068-EFEITO!$M$1068*EFEITO!$Z$1068</f>
        <v>0</v>
      </c>
      <c r="O1068" s="46">
        <f>$L$1068-EFEITO!$O$1068*EFEITO!$AA$1068</f>
        <v>0</v>
      </c>
      <c r="P1068" s="38"/>
      <c r="Q1068" s="38"/>
      <c r="R1068" s="38"/>
      <c r="S1068" s="38"/>
      <c r="T1068" s="38"/>
      <c r="U1068" s="38"/>
      <c r="V1068" s="38"/>
      <c r="W1068" s="38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35" t="s">
        <v>21</v>
      </c>
      <c r="B1069" s="35" t="s">
        <v>37</v>
      </c>
      <c r="C1069" s="35" t="s">
        <v>33</v>
      </c>
      <c r="D1069" s="35" t="s">
        <v>42</v>
      </c>
      <c r="E1069" s="35" t="s">
        <v>25</v>
      </c>
      <c r="F1069" s="35" t="s">
        <v>25</v>
      </c>
      <c r="G1069" s="35" t="s">
        <v>25</v>
      </c>
      <c r="H1069" s="35" t="s">
        <v>34</v>
      </c>
      <c r="I1069" s="45">
        <v>44317</v>
      </c>
      <c r="J1069" s="46">
        <f>EFEITO!$J$1069*EFEITO!$Y$1069</f>
        <v>0</v>
      </c>
      <c r="K1069" s="46">
        <f ca="1">EFEITO!$L$1069*EFEITO!$Z$1069</f>
        <v>399.79764908059121</v>
      </c>
      <c r="L1069" s="46">
        <f>EFEITO!$N$1069*EFEITO!$AA$1069</f>
        <v>198.90023223289256</v>
      </c>
      <c r="M1069" s="46">
        <f>$J$1069-EFEITO!$K$1069*EFEITO!$Y$1069</f>
        <v>0</v>
      </c>
      <c r="N1069" s="46">
        <f ca="1">$K$1069-EFEITO!$M$1069*EFEITO!$Z$1069</f>
        <v>0</v>
      </c>
      <c r="O1069" s="46">
        <f>$L$1069-EFEITO!$O$1069*EFEITO!$AA$1069</f>
        <v>0</v>
      </c>
      <c r="P1069" s="38"/>
      <c r="Q1069" s="38"/>
      <c r="R1069" s="38"/>
      <c r="S1069" s="38"/>
      <c r="T1069" s="38"/>
      <c r="U1069" s="38"/>
      <c r="V1069" s="38"/>
      <c r="W1069" s="38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35" t="s">
        <v>21</v>
      </c>
      <c r="B1070" s="35" t="s">
        <v>37</v>
      </c>
      <c r="C1070" s="35" t="s">
        <v>33</v>
      </c>
      <c r="D1070" s="35" t="s">
        <v>42</v>
      </c>
      <c r="E1070" s="35" t="s">
        <v>25</v>
      </c>
      <c r="F1070" s="35" t="s">
        <v>25</v>
      </c>
      <c r="G1070" s="35" t="s">
        <v>25</v>
      </c>
      <c r="H1070" s="35" t="s">
        <v>34</v>
      </c>
      <c r="I1070" s="45">
        <v>44348</v>
      </c>
      <c r="J1070" s="46">
        <f>EFEITO!$J$1070*EFEITO!$Y$1070</f>
        <v>0</v>
      </c>
      <c r="K1070" s="46">
        <f ca="1">EFEITO!$L$1070*EFEITO!$Z$1070</f>
        <v>392.82443427104602</v>
      </c>
      <c r="L1070" s="46">
        <f>EFEITO!$N$1070*EFEITO!$AA$1070</f>
        <v>195.43104213580722</v>
      </c>
      <c r="M1070" s="46">
        <f>$J$1070-EFEITO!$K$1070*EFEITO!$Y$1070</f>
        <v>0</v>
      </c>
      <c r="N1070" s="46">
        <f ca="1">$K$1070-EFEITO!$M$1070*EFEITO!$Z$1070</f>
        <v>0</v>
      </c>
      <c r="O1070" s="46">
        <f>$L$1070-EFEITO!$O$1070*EFEITO!$AA$1070</f>
        <v>0</v>
      </c>
      <c r="P1070" s="38"/>
      <c r="Q1070" s="38"/>
      <c r="R1070" s="38"/>
      <c r="S1070" s="38"/>
      <c r="T1070" s="38"/>
      <c r="U1070" s="38"/>
      <c r="V1070" s="38"/>
      <c r="W1070" s="38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35" t="s">
        <v>21</v>
      </c>
      <c r="B1071" s="35" t="s">
        <v>37</v>
      </c>
      <c r="C1071" s="35" t="s">
        <v>33</v>
      </c>
      <c r="D1071" s="35" t="s">
        <v>42</v>
      </c>
      <c r="E1071" s="35" t="s">
        <v>25</v>
      </c>
      <c r="F1071" s="35" t="s">
        <v>25</v>
      </c>
      <c r="G1071" s="35" t="s">
        <v>25</v>
      </c>
      <c r="H1071" s="35" t="s">
        <v>34</v>
      </c>
      <c r="I1071" s="45">
        <v>44378</v>
      </c>
      <c r="J1071" s="46">
        <f>EFEITO!$J$1071*EFEITO!$Y$1071</f>
        <v>0</v>
      </c>
      <c r="K1071" s="46">
        <f ca="1">EFEITO!$L$1071*EFEITO!$Z$1071</f>
        <v>471.07940046705318</v>
      </c>
      <c r="L1071" s="46">
        <f>EFEITO!$N$1071*EFEITO!$AA$1071</f>
        <v>234.36306433643151</v>
      </c>
      <c r="M1071" s="46">
        <f>$J$1071-EFEITO!$K$1071*EFEITO!$Y$1071</f>
        <v>0</v>
      </c>
      <c r="N1071" s="46">
        <f ca="1">$K$1071-EFEITO!$M$1071*EFEITO!$Z$1071</f>
        <v>0</v>
      </c>
      <c r="O1071" s="46">
        <f>$L$1071-EFEITO!$O$1071*EFEITO!$AA$1071</f>
        <v>0</v>
      </c>
      <c r="P1071" s="38"/>
      <c r="Q1071" s="38"/>
      <c r="R1071" s="38"/>
      <c r="S1071" s="38"/>
      <c r="T1071" s="38"/>
      <c r="U1071" s="38"/>
      <c r="V1071" s="38"/>
      <c r="W1071" s="38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35" t="s">
        <v>21</v>
      </c>
      <c r="B1072" s="35" t="s">
        <v>37</v>
      </c>
      <c r="C1072" s="35" t="s">
        <v>33</v>
      </c>
      <c r="D1072" s="35" t="s">
        <v>42</v>
      </c>
      <c r="E1072" s="35" t="s">
        <v>25</v>
      </c>
      <c r="F1072" s="35" t="s">
        <v>25</v>
      </c>
      <c r="G1072" s="35" t="s">
        <v>25</v>
      </c>
      <c r="H1072" s="35" t="s">
        <v>34</v>
      </c>
      <c r="I1072" s="45">
        <v>44409</v>
      </c>
      <c r="J1072" s="46">
        <f>EFEITO!$J$1072*EFEITO!$Y$1072</f>
        <v>0</v>
      </c>
      <c r="K1072" s="46">
        <f ca="1">EFEITO!$L$1072*EFEITO!$Z$1072</f>
        <v>471.8542021125582</v>
      </c>
      <c r="L1072" s="46">
        <f>EFEITO!$N$1072*EFEITO!$AA$1072</f>
        <v>234.74852990277432</v>
      </c>
      <c r="M1072" s="46">
        <f>$J$1072-EFEITO!$K$1072*EFEITO!$Y$1072</f>
        <v>0</v>
      </c>
      <c r="N1072" s="46">
        <f ca="1">$K$1072-EFEITO!$M$1072*EFEITO!$Z$1072</f>
        <v>0</v>
      </c>
      <c r="O1072" s="46">
        <f>$L$1072-EFEITO!$O$1072*EFEITO!$AA$1072</f>
        <v>0</v>
      </c>
      <c r="P1072" s="38"/>
      <c r="Q1072" s="38"/>
      <c r="R1072" s="38"/>
      <c r="S1072" s="38"/>
      <c r="T1072" s="38"/>
      <c r="U1072" s="38"/>
      <c r="V1072" s="38"/>
      <c r="W1072" s="38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35" t="s">
        <v>21</v>
      </c>
      <c r="B1073" s="35" t="s">
        <v>37</v>
      </c>
      <c r="C1073" s="35" t="s">
        <v>33</v>
      </c>
      <c r="D1073" s="35" t="s">
        <v>42</v>
      </c>
      <c r="E1073" s="35" t="s">
        <v>25</v>
      </c>
      <c r="F1073" s="35" t="s">
        <v>25</v>
      </c>
      <c r="G1073" s="35" t="s">
        <v>25</v>
      </c>
      <c r="H1073" s="35" t="s">
        <v>34</v>
      </c>
      <c r="I1073" s="45">
        <v>44440</v>
      </c>
      <c r="J1073" s="46">
        <f>EFEITO!$J$1073*EFEITO!$Y$1073</f>
        <v>0</v>
      </c>
      <c r="K1073" s="46">
        <f ca="1">EFEITO!$L$1073*EFEITO!$Z$1073</f>
        <v>482.70142514962851</v>
      </c>
      <c r="L1073" s="46">
        <f>EFEITO!$N$1073*EFEITO!$AA$1073</f>
        <v>240.14504783157375</v>
      </c>
      <c r="M1073" s="46">
        <f>$J$1073-EFEITO!$K$1073*EFEITO!$Y$1073</f>
        <v>0</v>
      </c>
      <c r="N1073" s="46">
        <f ca="1">$K$1073-EFEITO!$M$1073*EFEITO!$Z$1073</f>
        <v>0</v>
      </c>
      <c r="O1073" s="46">
        <f>$L$1073-EFEITO!$O$1073*EFEITO!$AA$1073</f>
        <v>0</v>
      </c>
      <c r="P1073" s="38"/>
      <c r="Q1073" s="38"/>
      <c r="R1073" s="38"/>
      <c r="S1073" s="38"/>
      <c r="T1073" s="38"/>
      <c r="U1073" s="38"/>
      <c r="V1073" s="38"/>
      <c r="W1073" s="38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35" t="s">
        <v>21</v>
      </c>
      <c r="B1074" s="35" t="s">
        <v>37</v>
      </c>
      <c r="C1074" s="35" t="s">
        <v>33</v>
      </c>
      <c r="D1074" s="35" t="s">
        <v>42</v>
      </c>
      <c r="E1074" s="35" t="s">
        <v>25</v>
      </c>
      <c r="F1074" s="35" t="s">
        <v>25</v>
      </c>
      <c r="G1074" s="35" t="s">
        <v>25</v>
      </c>
      <c r="H1074" s="35" t="s">
        <v>34</v>
      </c>
      <c r="I1074" s="45">
        <v>44470</v>
      </c>
      <c r="J1074" s="46">
        <f>EFEITO!$J$1074*EFEITO!$Y$1074</f>
        <v>0</v>
      </c>
      <c r="K1074" s="46">
        <f ca="1">EFEITO!$L$1074*EFEITO!$Z$1074</f>
        <v>616.74210982199736</v>
      </c>
      <c r="L1074" s="46">
        <f>EFEITO!$N$1074*EFEITO!$AA$1074</f>
        <v>306.83059080888074</v>
      </c>
      <c r="M1074" s="46">
        <f>$J$1074-EFEITO!$K$1074*EFEITO!$Y$1074</f>
        <v>0</v>
      </c>
      <c r="N1074" s="46">
        <f ca="1">$K$1074-EFEITO!$M$1074*EFEITO!$Z$1074</f>
        <v>0</v>
      </c>
      <c r="O1074" s="46">
        <f>$L$1074-EFEITO!$O$1074*EFEITO!$AA$1074</f>
        <v>0</v>
      </c>
      <c r="P1074" s="38"/>
      <c r="Q1074" s="38"/>
      <c r="R1074" s="38"/>
      <c r="S1074" s="38"/>
      <c r="T1074" s="38"/>
      <c r="U1074" s="38"/>
      <c r="V1074" s="38"/>
      <c r="W1074" s="38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35" t="s">
        <v>27</v>
      </c>
      <c r="B1075" s="35" t="s">
        <v>37</v>
      </c>
      <c r="C1075" s="35" t="s">
        <v>33</v>
      </c>
      <c r="D1075" s="35" t="s">
        <v>42</v>
      </c>
      <c r="E1075" s="35" t="s">
        <v>25</v>
      </c>
      <c r="F1075" s="35" t="s">
        <v>25</v>
      </c>
      <c r="G1075" s="35" t="s">
        <v>25</v>
      </c>
      <c r="H1075" s="35" t="s">
        <v>34</v>
      </c>
      <c r="I1075" s="45">
        <v>44470</v>
      </c>
      <c r="J1075" s="46">
        <f>EFEITO!$J$1075*EFEITO!$Y$1075</f>
        <v>0</v>
      </c>
      <c r="K1075" s="46">
        <f ca="1">EFEITO!$L$1075*EFEITO!$Z$1075</f>
        <v>7.7480164550502177</v>
      </c>
      <c r="L1075" s="46">
        <f>EFEITO!$N$1075*EFEITO!$AA$1075</f>
        <v>3.8546556634281504</v>
      </c>
      <c r="M1075" s="46">
        <f>$J$1075-EFEITO!$K$1075*EFEITO!$Y$1075</f>
        <v>0</v>
      </c>
      <c r="N1075" s="46">
        <f ca="1">$K$1075-EFEITO!$M$1075*EFEITO!$Z$1075</f>
        <v>0</v>
      </c>
      <c r="O1075" s="46">
        <f>$L$1075-EFEITO!$O$1075*EFEITO!$AA$1075</f>
        <v>0</v>
      </c>
      <c r="P1075" s="38"/>
      <c r="Q1075" s="38"/>
      <c r="R1075" s="38"/>
      <c r="S1075" s="38"/>
      <c r="T1075" s="38"/>
      <c r="U1075" s="38"/>
      <c r="V1075" s="38"/>
      <c r="W1075" s="38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35" t="s">
        <v>21</v>
      </c>
      <c r="B1076" s="35" t="s">
        <v>37</v>
      </c>
      <c r="C1076" s="35" t="s">
        <v>33</v>
      </c>
      <c r="D1076" s="35" t="s">
        <v>42</v>
      </c>
      <c r="E1076" s="35" t="s">
        <v>25</v>
      </c>
      <c r="F1076" s="35" t="s">
        <v>25</v>
      </c>
      <c r="G1076" s="35" t="s">
        <v>25</v>
      </c>
      <c r="H1076" s="35" t="s">
        <v>34</v>
      </c>
      <c r="I1076" s="45">
        <v>44501</v>
      </c>
      <c r="J1076" s="46">
        <f>EFEITO!$J$1076*EFEITO!$Y$1076</f>
        <v>0</v>
      </c>
      <c r="K1076" s="46">
        <f ca="1">EFEITO!$L$1076*EFEITO!$Z$1076</f>
        <v>629.91373779558262</v>
      </c>
      <c r="L1076" s="46">
        <f>EFEITO!$N$1076*EFEITO!$AA$1076</f>
        <v>313.38350543670856</v>
      </c>
      <c r="M1076" s="46">
        <f>$J$1076-EFEITO!$K$1076*EFEITO!$Y$1076</f>
        <v>0</v>
      </c>
      <c r="N1076" s="46">
        <f ca="1">$K$1076-EFEITO!$M$1076*EFEITO!$Z$1076</f>
        <v>0</v>
      </c>
      <c r="O1076" s="46">
        <f>$L$1076-EFEITO!$O$1076*EFEITO!$AA$1076</f>
        <v>0</v>
      </c>
      <c r="P1076" s="38"/>
      <c r="Q1076" s="38"/>
      <c r="R1076" s="38"/>
      <c r="S1076" s="38"/>
      <c r="T1076" s="38"/>
      <c r="U1076" s="38"/>
      <c r="V1076" s="38"/>
      <c r="W1076" s="38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35" t="s">
        <v>21</v>
      </c>
      <c r="B1077" s="35" t="s">
        <v>37</v>
      </c>
      <c r="C1077" s="35" t="s">
        <v>33</v>
      </c>
      <c r="D1077" s="35" t="s">
        <v>42</v>
      </c>
      <c r="E1077" s="35" t="s">
        <v>25</v>
      </c>
      <c r="F1077" s="35" t="s">
        <v>25</v>
      </c>
      <c r="G1077" s="35" t="s">
        <v>25</v>
      </c>
      <c r="H1077" s="35" t="s">
        <v>34</v>
      </c>
      <c r="I1077" s="45">
        <v>44531</v>
      </c>
      <c r="J1077" s="46">
        <f>EFEITO!$J$1077*EFEITO!$Y$1077</f>
        <v>0</v>
      </c>
      <c r="K1077" s="46">
        <f ca="1">EFEITO!$L$1077*EFEITO!$Z$1077</f>
        <v>671.7530266528538</v>
      </c>
      <c r="L1077" s="46">
        <f>EFEITO!$N$1077*EFEITO!$AA$1077</f>
        <v>334.19864601922063</v>
      </c>
      <c r="M1077" s="46">
        <f>$J$1077-EFEITO!$K$1077*EFEITO!$Y$1077</f>
        <v>0</v>
      </c>
      <c r="N1077" s="46">
        <f ca="1">$K$1077-EFEITO!$M$1077*EFEITO!$Z$1077</f>
        <v>0</v>
      </c>
      <c r="O1077" s="46">
        <f>$L$1077-EFEITO!$O$1077*EFEITO!$AA$1077</f>
        <v>0</v>
      </c>
      <c r="P1077" s="38"/>
      <c r="Q1077" s="38"/>
      <c r="R1077" s="38"/>
      <c r="S1077" s="38"/>
      <c r="T1077" s="38"/>
      <c r="U1077" s="38"/>
      <c r="V1077" s="38"/>
      <c r="W1077" s="38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35" t="s">
        <v>28</v>
      </c>
      <c r="B1078" s="35" t="s">
        <v>37</v>
      </c>
      <c r="C1078" s="35" t="s">
        <v>33</v>
      </c>
      <c r="D1078" s="35" t="s">
        <v>42</v>
      </c>
      <c r="E1078" s="35" t="s">
        <v>25</v>
      </c>
      <c r="F1078" s="35" t="s">
        <v>25</v>
      </c>
      <c r="G1078" s="35" t="s">
        <v>25</v>
      </c>
      <c r="H1078" s="35" t="s">
        <v>34</v>
      </c>
      <c r="I1078" s="45">
        <v>44531</v>
      </c>
      <c r="J1078" s="46">
        <f>EFEITO!$J$1078*EFEITO!$Y$1078</f>
        <v>0</v>
      </c>
      <c r="K1078" s="46">
        <f ca="1">EFEITO!$L$1078*EFEITO!$Z$1078</f>
        <v>34.866074047725974</v>
      </c>
      <c r="L1078" s="46">
        <f>EFEITO!$N$1078*EFEITO!$AA$1078</f>
        <v>17.345950485426673</v>
      </c>
      <c r="M1078" s="46">
        <f>$J$1078-EFEITO!$K$1078*EFEITO!$Y$1078</f>
        <v>0</v>
      </c>
      <c r="N1078" s="46">
        <f ca="1">$K$1078-EFEITO!$M$1078*EFEITO!$Z$1078</f>
        <v>0</v>
      </c>
      <c r="O1078" s="46">
        <f>$L$1078-EFEITO!$O$1078*EFEITO!$AA$1078</f>
        <v>0</v>
      </c>
      <c r="P1078" s="38"/>
      <c r="Q1078" s="38"/>
      <c r="R1078" s="38"/>
      <c r="S1078" s="38"/>
      <c r="T1078" s="38"/>
      <c r="U1078" s="38"/>
      <c r="V1078" s="38"/>
      <c r="W1078" s="38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35" t="s">
        <v>55</v>
      </c>
      <c r="B1079" s="35" t="s">
        <v>37</v>
      </c>
      <c r="C1079" s="35" t="s">
        <v>33</v>
      </c>
      <c r="D1079" s="35" t="s">
        <v>42</v>
      </c>
      <c r="E1079" s="35" t="s">
        <v>25</v>
      </c>
      <c r="F1079" s="35" t="s">
        <v>25</v>
      </c>
      <c r="G1079" s="35" t="s">
        <v>25</v>
      </c>
      <c r="H1079" s="35" t="s">
        <v>34</v>
      </c>
      <c r="I1079" s="45">
        <v>44562</v>
      </c>
      <c r="J1079" s="46">
        <f>EFEITO!$J$1079*EFEITO!$Y$1079</f>
        <v>0</v>
      </c>
      <c r="K1079" s="46">
        <f ca="1">EFEITO!$L$1079*EFEITO!$Z$1079</f>
        <v>671.7530266528538</v>
      </c>
      <c r="L1079" s="46">
        <f>EFEITO!$N$1079*EFEITO!$AA$1079</f>
        <v>334.19864601922063</v>
      </c>
      <c r="M1079" s="46">
        <f>$J$1079-EFEITO!$K$1079*EFEITO!$Y$1079</f>
        <v>0</v>
      </c>
      <c r="N1079" s="46">
        <f ca="1">$K$1079-EFEITO!$M$1079*EFEITO!$Z$1079</f>
        <v>0</v>
      </c>
      <c r="O1079" s="46">
        <f>$L$1079-EFEITO!$O$1079*EFEITO!$AA$1079</f>
        <v>0</v>
      </c>
      <c r="P1079" s="38"/>
      <c r="Q1079" s="38"/>
      <c r="R1079" s="38"/>
      <c r="S1079" s="38"/>
      <c r="T1079" s="38"/>
      <c r="U1079" s="38"/>
      <c r="V1079" s="38"/>
      <c r="W1079" s="38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35" t="s">
        <v>55</v>
      </c>
      <c r="B1080" s="35" t="s">
        <v>37</v>
      </c>
      <c r="C1080" s="35" t="s">
        <v>33</v>
      </c>
      <c r="D1080" s="35" t="s">
        <v>42</v>
      </c>
      <c r="E1080" s="35" t="s">
        <v>25</v>
      </c>
      <c r="F1080" s="35" t="s">
        <v>25</v>
      </c>
      <c r="G1080" s="35" t="s">
        <v>25</v>
      </c>
      <c r="H1080" s="35" t="s">
        <v>34</v>
      </c>
      <c r="I1080" s="45">
        <v>44562</v>
      </c>
      <c r="J1080" s="46">
        <f>EFEITO!$J$1080*EFEITO!$Y$1080</f>
        <v>0</v>
      </c>
      <c r="K1080" s="46">
        <f ca="1">EFEITO!$L$1080*EFEITO!$Z$1080</f>
        <v>34.866074047725974</v>
      </c>
      <c r="L1080" s="46">
        <f>EFEITO!$N$1080*EFEITO!$AA$1080</f>
        <v>17.345950485426673</v>
      </c>
      <c r="M1080" s="46">
        <f>$J$1080-EFEITO!$K$1080*EFEITO!$Y$1080</f>
        <v>0</v>
      </c>
      <c r="N1080" s="46">
        <f ca="1">$K$1080-EFEITO!$M$1080*EFEITO!$Z$1080</f>
        <v>0</v>
      </c>
      <c r="O1080" s="46">
        <f>$L$1080-EFEITO!$O$1080*EFEITO!$AA$1080</f>
        <v>0</v>
      </c>
      <c r="P1080" s="38"/>
      <c r="Q1080" s="38"/>
      <c r="R1080" s="38"/>
      <c r="S1080" s="38"/>
      <c r="T1080" s="38"/>
      <c r="U1080" s="38"/>
      <c r="V1080" s="38"/>
      <c r="W1080" s="38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35" t="s">
        <v>21</v>
      </c>
      <c r="B1081" s="35" t="s">
        <v>37</v>
      </c>
      <c r="C1081" s="35" t="s">
        <v>23</v>
      </c>
      <c r="D1081" s="35" t="s">
        <v>42</v>
      </c>
      <c r="E1081" s="35" t="s">
        <v>25</v>
      </c>
      <c r="F1081" s="35" t="s">
        <v>25</v>
      </c>
      <c r="G1081" s="35" t="s">
        <v>25</v>
      </c>
      <c r="H1081" s="35" t="s">
        <v>25</v>
      </c>
      <c r="I1081" s="45">
        <v>44228</v>
      </c>
      <c r="J1081" s="46">
        <f>EFEITO!$J$1081*EFEITO!$Y$1081</f>
        <v>0</v>
      </c>
      <c r="K1081" s="46">
        <f ca="1">EFEITO!$L$1081*EFEITO!$Z$1081</f>
        <v>1785157.5080995315</v>
      </c>
      <c r="L1081" s="46">
        <f>EFEITO!$N$1081*EFEITO!$AA$1081</f>
        <v>1567351.6421493734</v>
      </c>
      <c r="M1081" s="46">
        <f>$J$1081-EFEITO!$K$1081*EFEITO!$Y$1081</f>
        <v>0</v>
      </c>
      <c r="N1081" s="46">
        <f ca="1">$K$1081-EFEITO!$M$1081*EFEITO!$Z$1081</f>
        <v>0</v>
      </c>
      <c r="O1081" s="46">
        <f>$L$1081-EFEITO!$O$1081*EFEITO!$AA$1081</f>
        <v>0</v>
      </c>
      <c r="P1081" s="38"/>
      <c r="Q1081" s="38"/>
      <c r="R1081" s="38"/>
      <c r="S1081" s="38"/>
      <c r="T1081" s="38"/>
      <c r="U1081" s="38"/>
      <c r="V1081" s="38"/>
      <c r="W1081" s="38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35" t="s">
        <v>27</v>
      </c>
      <c r="B1082" s="35" t="s">
        <v>37</v>
      </c>
      <c r="C1082" s="35" t="s">
        <v>23</v>
      </c>
      <c r="D1082" s="35" t="s">
        <v>42</v>
      </c>
      <c r="E1082" s="35" t="s">
        <v>25</v>
      </c>
      <c r="F1082" s="35" t="s">
        <v>25</v>
      </c>
      <c r="G1082" s="35" t="s">
        <v>25</v>
      </c>
      <c r="H1082" s="35" t="s">
        <v>25</v>
      </c>
      <c r="I1082" s="45">
        <v>44228</v>
      </c>
      <c r="J1082" s="46">
        <f>EFEITO!$J$1082*EFEITO!$Y$1082</f>
        <v>0</v>
      </c>
      <c r="K1082" s="46">
        <f ca="1">EFEITO!$L$1082*EFEITO!$Z$1082</f>
        <v>-1061.4569555866535</v>
      </c>
      <c r="L1082" s="46">
        <f>EFEITO!$N$1082*EFEITO!$AA$1082</f>
        <v>-931.94930691620391</v>
      </c>
      <c r="M1082" s="46">
        <f>$J$1082-EFEITO!$K$1082*EFEITO!$Y$1082</f>
        <v>0</v>
      </c>
      <c r="N1082" s="46">
        <f ca="1">$K$1082-EFEITO!$M$1082*EFEITO!$Z$1082</f>
        <v>0</v>
      </c>
      <c r="O1082" s="46">
        <f>$L$1082-EFEITO!$O$1082*EFEITO!$AA$1082</f>
        <v>0</v>
      </c>
      <c r="P1082" s="38"/>
      <c r="Q1082" s="38"/>
      <c r="R1082" s="38"/>
      <c r="S1082" s="38"/>
      <c r="T1082" s="38"/>
      <c r="U1082" s="38"/>
      <c r="V1082" s="38"/>
      <c r="W1082" s="38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35" t="s">
        <v>28</v>
      </c>
      <c r="B1083" s="35" t="s">
        <v>37</v>
      </c>
      <c r="C1083" s="35" t="s">
        <v>23</v>
      </c>
      <c r="D1083" s="35" t="s">
        <v>42</v>
      </c>
      <c r="E1083" s="35" t="s">
        <v>25</v>
      </c>
      <c r="F1083" s="35" t="s">
        <v>25</v>
      </c>
      <c r="G1083" s="35" t="s">
        <v>25</v>
      </c>
      <c r="H1083" s="35" t="s">
        <v>25</v>
      </c>
      <c r="I1083" s="45">
        <v>44228</v>
      </c>
      <c r="J1083" s="46">
        <f>EFEITO!$J$1083*EFEITO!$Y$1083</f>
        <v>0</v>
      </c>
      <c r="K1083" s="46">
        <f ca="1">EFEITO!$L$1083*EFEITO!$Z$1083</f>
        <v>71352.416244298307</v>
      </c>
      <c r="L1083" s="46">
        <f>EFEITO!$N$1083*EFEITO!$AA$1083</f>
        <v>62646.755966584024</v>
      </c>
      <c r="M1083" s="46">
        <f>$J$1083-EFEITO!$K$1083*EFEITO!$Y$1083</f>
        <v>0</v>
      </c>
      <c r="N1083" s="46">
        <f ca="1">$K$1083-EFEITO!$M$1083*EFEITO!$Z$1083</f>
        <v>0</v>
      </c>
      <c r="O1083" s="46">
        <f>$L$1083-EFEITO!$O$1083*EFEITO!$AA$1083</f>
        <v>0</v>
      </c>
      <c r="P1083" s="38"/>
      <c r="Q1083" s="38"/>
      <c r="R1083" s="38"/>
      <c r="S1083" s="38"/>
      <c r="T1083" s="38"/>
      <c r="U1083" s="38"/>
      <c r="V1083" s="38"/>
      <c r="W1083" s="38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35" t="s">
        <v>21</v>
      </c>
      <c r="B1084" s="35" t="s">
        <v>37</v>
      </c>
      <c r="C1084" s="35" t="s">
        <v>23</v>
      </c>
      <c r="D1084" s="35" t="s">
        <v>42</v>
      </c>
      <c r="E1084" s="35" t="s">
        <v>25</v>
      </c>
      <c r="F1084" s="35" t="s">
        <v>25</v>
      </c>
      <c r="G1084" s="35" t="s">
        <v>25</v>
      </c>
      <c r="H1084" s="35" t="s">
        <v>25</v>
      </c>
      <c r="I1084" s="45">
        <v>44256</v>
      </c>
      <c r="J1084" s="46">
        <f>EFEITO!$J$1084*EFEITO!$Y$1084</f>
        <v>0</v>
      </c>
      <c r="K1084" s="46">
        <f ca="1">EFEITO!$L$1084*EFEITO!$Z$1084</f>
        <v>1916809.5915462901</v>
      </c>
      <c r="L1084" s="46">
        <f>EFEITO!$N$1084*EFEITO!$AA$1084</f>
        <v>1682940.9435115471</v>
      </c>
      <c r="M1084" s="46">
        <f>$J$1084-EFEITO!$K$1084*EFEITO!$Y$1084</f>
        <v>0</v>
      </c>
      <c r="N1084" s="46">
        <f ca="1">$K$1084-EFEITO!$M$1084*EFEITO!$Z$1084</f>
        <v>0</v>
      </c>
      <c r="O1084" s="46">
        <f>$L$1084-EFEITO!$O$1084*EFEITO!$AA$1084</f>
        <v>0</v>
      </c>
      <c r="P1084" s="38"/>
      <c r="Q1084" s="38"/>
      <c r="R1084" s="38"/>
      <c r="S1084" s="38"/>
      <c r="T1084" s="38"/>
      <c r="U1084" s="38"/>
      <c r="V1084" s="38"/>
      <c r="W1084" s="38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35" t="s">
        <v>27</v>
      </c>
      <c r="B1085" s="35" t="s">
        <v>37</v>
      </c>
      <c r="C1085" s="35" t="s">
        <v>23</v>
      </c>
      <c r="D1085" s="35" t="s">
        <v>42</v>
      </c>
      <c r="E1085" s="35" t="s">
        <v>25</v>
      </c>
      <c r="F1085" s="35" t="s">
        <v>25</v>
      </c>
      <c r="G1085" s="35" t="s">
        <v>25</v>
      </c>
      <c r="H1085" s="35" t="s">
        <v>25</v>
      </c>
      <c r="I1085" s="45">
        <v>44256</v>
      </c>
      <c r="J1085" s="46">
        <f>EFEITO!$J$1085*EFEITO!$Y$1085</f>
        <v>0</v>
      </c>
      <c r="K1085" s="46">
        <f ca="1">EFEITO!$L$1085*EFEITO!$Z$1085</f>
        <v>-2020.3673430743811</v>
      </c>
      <c r="L1085" s="46">
        <f>EFEITO!$N$1085*EFEITO!$AA$1085</f>
        <v>-1773.8636834817842</v>
      </c>
      <c r="M1085" s="46">
        <f>$J$1085-EFEITO!$K$1085*EFEITO!$Y$1085</f>
        <v>0</v>
      </c>
      <c r="N1085" s="46">
        <f ca="1">$K$1085-EFEITO!$M$1085*EFEITO!$Z$1085</f>
        <v>0</v>
      </c>
      <c r="O1085" s="46">
        <f>$L$1085-EFEITO!$O$1085*EFEITO!$AA$1085</f>
        <v>0</v>
      </c>
      <c r="P1085" s="38"/>
      <c r="Q1085" s="38"/>
      <c r="R1085" s="38"/>
      <c r="S1085" s="38"/>
      <c r="T1085" s="38"/>
      <c r="U1085" s="38"/>
      <c r="V1085" s="38"/>
      <c r="W1085" s="38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35" t="s">
        <v>28</v>
      </c>
      <c r="B1086" s="35" t="s">
        <v>37</v>
      </c>
      <c r="C1086" s="35" t="s">
        <v>23</v>
      </c>
      <c r="D1086" s="35" t="s">
        <v>42</v>
      </c>
      <c r="E1086" s="35" t="s">
        <v>25</v>
      </c>
      <c r="F1086" s="35" t="s">
        <v>25</v>
      </c>
      <c r="G1086" s="35" t="s">
        <v>25</v>
      </c>
      <c r="H1086" s="35" t="s">
        <v>25</v>
      </c>
      <c r="I1086" s="45">
        <v>44256</v>
      </c>
      <c r="J1086" s="46">
        <f>EFEITO!$J$1086*EFEITO!$Y$1086</f>
        <v>0</v>
      </c>
      <c r="K1086" s="46">
        <f ca="1">EFEITO!$L$1086*EFEITO!$Z$1086</f>
        <v>77322.397506882015</v>
      </c>
      <c r="L1086" s="46">
        <f>EFEITO!$N$1086*EFEITO!$AA$1086</f>
        <v>67888.343833793027</v>
      </c>
      <c r="M1086" s="46">
        <f>$J$1086-EFEITO!$K$1086*EFEITO!$Y$1086</f>
        <v>0</v>
      </c>
      <c r="N1086" s="46">
        <f ca="1">$K$1086-EFEITO!$M$1086*EFEITO!$Z$1086</f>
        <v>0</v>
      </c>
      <c r="O1086" s="46">
        <f>$L$1086-EFEITO!$O$1086*EFEITO!$AA$1086</f>
        <v>0</v>
      </c>
      <c r="P1086" s="38"/>
      <c r="Q1086" s="38"/>
      <c r="R1086" s="38"/>
      <c r="S1086" s="38"/>
      <c r="T1086" s="38"/>
      <c r="U1086" s="38"/>
      <c r="V1086" s="38"/>
      <c r="W1086" s="38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35" t="s">
        <v>21</v>
      </c>
      <c r="B1087" s="35" t="s">
        <v>37</v>
      </c>
      <c r="C1087" s="35" t="s">
        <v>23</v>
      </c>
      <c r="D1087" s="35" t="s">
        <v>42</v>
      </c>
      <c r="E1087" s="35" t="s">
        <v>25</v>
      </c>
      <c r="F1087" s="35" t="s">
        <v>25</v>
      </c>
      <c r="G1087" s="35" t="s">
        <v>25</v>
      </c>
      <c r="H1087" s="35" t="s">
        <v>25</v>
      </c>
      <c r="I1087" s="45">
        <v>44287</v>
      </c>
      <c r="J1087" s="46">
        <f>EFEITO!$J$1087*EFEITO!$Y$1087</f>
        <v>0</v>
      </c>
      <c r="K1087" s="46">
        <f ca="1">EFEITO!$L$1087*EFEITO!$Z$1087</f>
        <v>1753710.5603876128</v>
      </c>
      <c r="L1087" s="46">
        <f>EFEITO!$N$1087*EFEITO!$AA$1087</f>
        <v>1539741.5153604308</v>
      </c>
      <c r="M1087" s="46">
        <f>$J$1087-EFEITO!$K$1087*EFEITO!$Y$1087</f>
        <v>0</v>
      </c>
      <c r="N1087" s="46">
        <f ca="1">$K$1087-EFEITO!$M$1087*EFEITO!$Z$1087</f>
        <v>0</v>
      </c>
      <c r="O1087" s="46">
        <f>$L$1087-EFEITO!$O$1087*EFEITO!$AA$1087</f>
        <v>0</v>
      </c>
      <c r="P1087" s="38"/>
      <c r="Q1087" s="38"/>
      <c r="R1087" s="38"/>
      <c r="S1087" s="38"/>
      <c r="T1087" s="38"/>
      <c r="U1087" s="38"/>
      <c r="V1087" s="38"/>
      <c r="W1087" s="38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35" t="s">
        <v>27</v>
      </c>
      <c r="B1088" s="35" t="s">
        <v>37</v>
      </c>
      <c r="C1088" s="35" t="s">
        <v>23</v>
      </c>
      <c r="D1088" s="35" t="s">
        <v>42</v>
      </c>
      <c r="E1088" s="35" t="s">
        <v>25</v>
      </c>
      <c r="F1088" s="35" t="s">
        <v>25</v>
      </c>
      <c r="G1088" s="35" t="s">
        <v>25</v>
      </c>
      <c r="H1088" s="35" t="s">
        <v>25</v>
      </c>
      <c r="I1088" s="45">
        <v>44287</v>
      </c>
      <c r="J1088" s="46">
        <f>EFEITO!$J$1088*EFEITO!$Y$1088</f>
        <v>0</v>
      </c>
      <c r="K1088" s="46">
        <f ca="1">EFEITO!$L$1088*EFEITO!$Z$1088</f>
        <v>-28.564503648725875</v>
      </c>
      <c r="L1088" s="46">
        <f>EFEITO!$N$1088*EFEITO!$AA$1088</f>
        <v>-25.079367785689016</v>
      </c>
      <c r="M1088" s="46">
        <f>$J$1088-EFEITO!$K$1088*EFEITO!$Y$1088</f>
        <v>0</v>
      </c>
      <c r="N1088" s="46">
        <f ca="1">$K$1088-EFEITO!$M$1088*EFEITO!$Z$1088</f>
        <v>0</v>
      </c>
      <c r="O1088" s="46">
        <f>$L$1088-EFEITO!$O$1088*EFEITO!$AA$1088</f>
        <v>0</v>
      </c>
      <c r="P1088" s="38"/>
      <c r="Q1088" s="38"/>
      <c r="R1088" s="38"/>
      <c r="S1088" s="38"/>
      <c r="T1088" s="38"/>
      <c r="U1088" s="38"/>
      <c r="V1088" s="38"/>
      <c r="W1088" s="38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35" t="s">
        <v>28</v>
      </c>
      <c r="B1089" s="35" t="s">
        <v>37</v>
      </c>
      <c r="C1089" s="35" t="s">
        <v>23</v>
      </c>
      <c r="D1089" s="35" t="s">
        <v>42</v>
      </c>
      <c r="E1089" s="35" t="s">
        <v>25</v>
      </c>
      <c r="F1089" s="35" t="s">
        <v>25</v>
      </c>
      <c r="G1089" s="35" t="s">
        <v>25</v>
      </c>
      <c r="H1089" s="35" t="s">
        <v>25</v>
      </c>
      <c r="I1089" s="45">
        <v>44287</v>
      </c>
      <c r="J1089" s="46">
        <f>EFEITO!$J$1089*EFEITO!$Y$1089</f>
        <v>0</v>
      </c>
      <c r="K1089" s="46">
        <f ca="1">EFEITO!$L$1089*EFEITO!$Z$1089</f>
        <v>84068.476333601589</v>
      </c>
      <c r="L1089" s="46">
        <f>EFEITO!$N$1089*EFEITO!$AA$1089</f>
        <v>73811.338123739188</v>
      </c>
      <c r="M1089" s="46">
        <f>$J$1089-EFEITO!$K$1089*EFEITO!$Y$1089</f>
        <v>0</v>
      </c>
      <c r="N1089" s="46">
        <f ca="1">$K$1089-EFEITO!$M$1089*EFEITO!$Z$1089</f>
        <v>0</v>
      </c>
      <c r="O1089" s="46">
        <f>$L$1089-EFEITO!$O$1089*EFEITO!$AA$1089</f>
        <v>0</v>
      </c>
      <c r="P1089" s="38"/>
      <c r="Q1089" s="38"/>
      <c r="R1089" s="38"/>
      <c r="S1089" s="38"/>
      <c r="T1089" s="38"/>
      <c r="U1089" s="38"/>
      <c r="V1089" s="38"/>
      <c r="W1089" s="38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35" t="s">
        <v>21</v>
      </c>
      <c r="B1090" s="35" t="s">
        <v>37</v>
      </c>
      <c r="C1090" s="35" t="s">
        <v>23</v>
      </c>
      <c r="D1090" s="35" t="s">
        <v>42</v>
      </c>
      <c r="E1090" s="35" t="s">
        <v>25</v>
      </c>
      <c r="F1090" s="35" t="s">
        <v>25</v>
      </c>
      <c r="G1090" s="35" t="s">
        <v>25</v>
      </c>
      <c r="H1090" s="35" t="s">
        <v>25</v>
      </c>
      <c r="I1090" s="45">
        <v>44317</v>
      </c>
      <c r="J1090" s="46">
        <f>EFEITO!$J$1090*EFEITO!$Y$1090</f>
        <v>0</v>
      </c>
      <c r="K1090" s="46">
        <f ca="1">EFEITO!$L$1090*EFEITO!$Z$1090</f>
        <v>1774551.5078947595</v>
      </c>
      <c r="L1090" s="46">
        <f>EFEITO!$N$1090*EFEITO!$AA$1090</f>
        <v>1558039.6728905472</v>
      </c>
      <c r="M1090" s="46">
        <f>$J$1090-EFEITO!$K$1090*EFEITO!$Y$1090</f>
        <v>0</v>
      </c>
      <c r="N1090" s="46">
        <f ca="1">$K$1090-EFEITO!$M$1090*EFEITO!$Z$1090</f>
        <v>0</v>
      </c>
      <c r="O1090" s="46">
        <f>$L$1090-EFEITO!$O$1090*EFEITO!$AA$1090</f>
        <v>0</v>
      </c>
      <c r="P1090" s="38"/>
      <c r="Q1090" s="38"/>
      <c r="R1090" s="38"/>
      <c r="S1090" s="38"/>
      <c r="T1090" s="38"/>
      <c r="U1090" s="38"/>
      <c r="V1090" s="38"/>
      <c r="W1090" s="38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35" t="s">
        <v>27</v>
      </c>
      <c r="B1091" s="35" t="s">
        <v>37</v>
      </c>
      <c r="C1091" s="35" t="s">
        <v>23</v>
      </c>
      <c r="D1091" s="35" t="s">
        <v>42</v>
      </c>
      <c r="E1091" s="35" t="s">
        <v>25</v>
      </c>
      <c r="F1091" s="35" t="s">
        <v>25</v>
      </c>
      <c r="G1091" s="35" t="s">
        <v>25</v>
      </c>
      <c r="H1091" s="35" t="s">
        <v>25</v>
      </c>
      <c r="I1091" s="45">
        <v>44317</v>
      </c>
      <c r="J1091" s="46">
        <f>EFEITO!$J$1091*EFEITO!$Y$1091</f>
        <v>0</v>
      </c>
      <c r="K1091" s="46">
        <f ca="1">EFEITO!$L$1091*EFEITO!$Z$1091</f>
        <v>-135.96703736793515</v>
      </c>
      <c r="L1091" s="46">
        <f>EFEITO!$N$1091*EFEITO!$AA$1091</f>
        <v>-119.37779065987971</v>
      </c>
      <c r="M1091" s="46">
        <f>$J$1091-EFEITO!$K$1091*EFEITO!$Y$1091</f>
        <v>0</v>
      </c>
      <c r="N1091" s="46">
        <f ca="1">$K$1091-EFEITO!$M$1091*EFEITO!$Z$1091</f>
        <v>0</v>
      </c>
      <c r="O1091" s="46">
        <f>$L$1091-EFEITO!$O$1091*EFEITO!$AA$1091</f>
        <v>0</v>
      </c>
      <c r="P1091" s="38"/>
      <c r="Q1091" s="38"/>
      <c r="R1091" s="38"/>
      <c r="S1091" s="38"/>
      <c r="T1091" s="38"/>
      <c r="U1091" s="38"/>
      <c r="V1091" s="38"/>
      <c r="W1091" s="38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35" t="s">
        <v>28</v>
      </c>
      <c r="B1092" s="35" t="s">
        <v>37</v>
      </c>
      <c r="C1092" s="35" t="s">
        <v>23</v>
      </c>
      <c r="D1092" s="35" t="s">
        <v>42</v>
      </c>
      <c r="E1092" s="35" t="s">
        <v>25</v>
      </c>
      <c r="F1092" s="35" t="s">
        <v>25</v>
      </c>
      <c r="G1092" s="35" t="s">
        <v>25</v>
      </c>
      <c r="H1092" s="35" t="s">
        <v>25</v>
      </c>
      <c r="I1092" s="45">
        <v>44317</v>
      </c>
      <c r="J1092" s="46">
        <f>EFEITO!$J$1092*EFEITO!$Y$1092</f>
        <v>0</v>
      </c>
      <c r="K1092" s="46">
        <f ca="1">EFEITO!$L$1092*EFEITO!$Z$1092</f>
        <v>100465.92965315269</v>
      </c>
      <c r="L1092" s="46">
        <f>EFEITO!$N$1092*EFEITO!$AA$1092</f>
        <v>88208.149201113978</v>
      </c>
      <c r="M1092" s="46">
        <f>$J$1092-EFEITO!$K$1092*EFEITO!$Y$1092</f>
        <v>0</v>
      </c>
      <c r="N1092" s="46">
        <f ca="1">$K$1092-EFEITO!$M$1092*EFEITO!$Z$1092</f>
        <v>0</v>
      </c>
      <c r="O1092" s="46">
        <f>$L$1092-EFEITO!$O$1092*EFEITO!$AA$1092</f>
        <v>0</v>
      </c>
      <c r="P1092" s="38"/>
      <c r="Q1092" s="38"/>
      <c r="R1092" s="38"/>
      <c r="S1092" s="38"/>
      <c r="T1092" s="38"/>
      <c r="U1092" s="38"/>
      <c r="V1092" s="38"/>
      <c r="W1092" s="38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35" t="s">
        <v>21</v>
      </c>
      <c r="B1093" s="35" t="s">
        <v>37</v>
      </c>
      <c r="C1093" s="35" t="s">
        <v>23</v>
      </c>
      <c r="D1093" s="35" t="s">
        <v>42</v>
      </c>
      <c r="E1093" s="35" t="s">
        <v>25</v>
      </c>
      <c r="F1093" s="35" t="s">
        <v>25</v>
      </c>
      <c r="G1093" s="35" t="s">
        <v>25</v>
      </c>
      <c r="H1093" s="35" t="s">
        <v>25</v>
      </c>
      <c r="I1093" s="45">
        <v>44348</v>
      </c>
      <c r="J1093" s="46">
        <f>EFEITO!$J$1093*EFEITO!$Y$1093</f>
        <v>0</v>
      </c>
      <c r="K1093" s="46">
        <f ca="1">EFEITO!$L$1093*EFEITO!$Z$1093</f>
        <v>1616263.0247955641</v>
      </c>
      <c r="L1093" s="46">
        <f>EFEITO!$N$1093*EFEITO!$AA$1093</f>
        <v>1419063.8610682187</v>
      </c>
      <c r="M1093" s="46">
        <f>$J$1093-EFEITO!$K$1093*EFEITO!$Y$1093</f>
        <v>0</v>
      </c>
      <c r="N1093" s="46">
        <f ca="1">$K$1093-EFEITO!$M$1093*EFEITO!$Z$1093</f>
        <v>0</v>
      </c>
      <c r="O1093" s="46">
        <f>$L$1093-EFEITO!$O$1093*EFEITO!$AA$1093</f>
        <v>0</v>
      </c>
      <c r="P1093" s="38"/>
      <c r="Q1093" s="38"/>
      <c r="R1093" s="38"/>
      <c r="S1093" s="38"/>
      <c r="T1093" s="38"/>
      <c r="U1093" s="38"/>
      <c r="V1093" s="38"/>
      <c r="W1093" s="38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35" t="s">
        <v>27</v>
      </c>
      <c r="B1094" s="35" t="s">
        <v>37</v>
      </c>
      <c r="C1094" s="35" t="s">
        <v>23</v>
      </c>
      <c r="D1094" s="35" t="s">
        <v>42</v>
      </c>
      <c r="E1094" s="35" t="s">
        <v>25</v>
      </c>
      <c r="F1094" s="35" t="s">
        <v>25</v>
      </c>
      <c r="G1094" s="35" t="s">
        <v>25</v>
      </c>
      <c r="H1094" s="35" t="s">
        <v>25</v>
      </c>
      <c r="I1094" s="45">
        <v>44348</v>
      </c>
      <c r="J1094" s="46">
        <f>EFEITO!$J$1094*EFEITO!$Y$1094</f>
        <v>0</v>
      </c>
      <c r="K1094" s="46">
        <f ca="1">EFEITO!$L$1094*EFEITO!$Z$1094</f>
        <v>-4132.712387897659</v>
      </c>
      <c r="L1094" s="46">
        <f>EFEITO!$N$1094*EFEITO!$AA$1094</f>
        <v>-3628.4829312334869</v>
      </c>
      <c r="M1094" s="46">
        <f>$J$1094-EFEITO!$K$1094*EFEITO!$Y$1094</f>
        <v>0</v>
      </c>
      <c r="N1094" s="46">
        <f ca="1">$K$1094-EFEITO!$M$1094*EFEITO!$Z$1094</f>
        <v>0</v>
      </c>
      <c r="O1094" s="46">
        <f>$L$1094-EFEITO!$O$1094*EFEITO!$AA$1094</f>
        <v>0</v>
      </c>
      <c r="P1094" s="38"/>
      <c r="Q1094" s="38"/>
      <c r="R1094" s="38"/>
      <c r="S1094" s="38"/>
      <c r="T1094" s="38"/>
      <c r="U1094" s="38"/>
      <c r="V1094" s="38"/>
      <c r="W1094" s="38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35" t="s">
        <v>28</v>
      </c>
      <c r="B1095" s="35" t="s">
        <v>37</v>
      </c>
      <c r="C1095" s="35" t="s">
        <v>23</v>
      </c>
      <c r="D1095" s="35" t="s">
        <v>42</v>
      </c>
      <c r="E1095" s="35" t="s">
        <v>25</v>
      </c>
      <c r="F1095" s="35" t="s">
        <v>25</v>
      </c>
      <c r="G1095" s="35" t="s">
        <v>25</v>
      </c>
      <c r="H1095" s="35" t="s">
        <v>25</v>
      </c>
      <c r="I1095" s="45">
        <v>44348</v>
      </c>
      <c r="J1095" s="46">
        <f>EFEITO!$J$1095*EFEITO!$Y$1095</f>
        <v>0</v>
      </c>
      <c r="K1095" s="46">
        <f ca="1">EFEITO!$L$1095*EFEITO!$Z$1095</f>
        <v>97077.036940267848</v>
      </c>
      <c r="L1095" s="46">
        <f>EFEITO!$N$1095*EFEITO!$AA$1095</f>
        <v>85232.733007019822</v>
      </c>
      <c r="M1095" s="46">
        <f>$J$1095-EFEITO!$K$1095*EFEITO!$Y$1095</f>
        <v>0</v>
      </c>
      <c r="N1095" s="46">
        <f ca="1">$K$1095-EFEITO!$M$1095*EFEITO!$Z$1095</f>
        <v>0</v>
      </c>
      <c r="O1095" s="46">
        <f>$L$1095-EFEITO!$O$1095*EFEITO!$AA$1095</f>
        <v>0</v>
      </c>
      <c r="P1095" s="38"/>
      <c r="Q1095" s="38"/>
      <c r="R1095" s="38"/>
      <c r="S1095" s="38"/>
      <c r="T1095" s="38"/>
      <c r="U1095" s="38"/>
      <c r="V1095" s="38"/>
      <c r="W1095" s="38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35" t="s">
        <v>28</v>
      </c>
      <c r="B1096" s="35" t="s">
        <v>37</v>
      </c>
      <c r="C1096" s="35" t="s">
        <v>23</v>
      </c>
      <c r="D1096" s="35" t="s">
        <v>42</v>
      </c>
      <c r="E1096" s="35" t="s">
        <v>25</v>
      </c>
      <c r="F1096" s="35" t="s">
        <v>25</v>
      </c>
      <c r="G1096" s="35" t="s">
        <v>25</v>
      </c>
      <c r="H1096" s="35" t="s">
        <v>25</v>
      </c>
      <c r="I1096" s="45">
        <v>44348</v>
      </c>
      <c r="J1096" s="46">
        <f>EFEITO!$J$1096*EFEITO!$Y$1096</f>
        <v>0</v>
      </c>
      <c r="K1096" s="46">
        <f ca="1">EFEITO!$L$1096*EFEITO!$Z$1096</f>
        <v>-20.280797590595366</v>
      </c>
      <c r="L1096" s="46">
        <f>EFEITO!$N$1096*EFEITO!$AA$1096</f>
        <v>-17.8063511278392</v>
      </c>
      <c r="M1096" s="46">
        <f>$J$1096-EFEITO!$K$1096*EFEITO!$Y$1096</f>
        <v>0</v>
      </c>
      <c r="N1096" s="46">
        <f ca="1">$K$1096-EFEITO!$M$1096*EFEITO!$Z$1096</f>
        <v>0</v>
      </c>
      <c r="O1096" s="46">
        <f>$L$1096-EFEITO!$O$1096*EFEITO!$AA$1096</f>
        <v>0</v>
      </c>
      <c r="P1096" s="38"/>
      <c r="Q1096" s="38"/>
      <c r="R1096" s="38"/>
      <c r="S1096" s="38"/>
      <c r="T1096" s="38"/>
      <c r="U1096" s="38"/>
      <c r="V1096" s="38"/>
      <c r="W1096" s="38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35" t="s">
        <v>21</v>
      </c>
      <c r="B1097" s="35" t="s">
        <v>37</v>
      </c>
      <c r="C1097" s="35" t="s">
        <v>23</v>
      </c>
      <c r="D1097" s="35" t="s">
        <v>42</v>
      </c>
      <c r="E1097" s="35" t="s">
        <v>25</v>
      </c>
      <c r="F1097" s="35" t="s">
        <v>25</v>
      </c>
      <c r="G1097" s="35" t="s">
        <v>25</v>
      </c>
      <c r="H1097" s="35" t="s">
        <v>25</v>
      </c>
      <c r="I1097" s="45">
        <v>44378</v>
      </c>
      <c r="J1097" s="46">
        <f>EFEITO!$J$1097*EFEITO!$Y$1097</f>
        <v>0</v>
      </c>
      <c r="K1097" s="46">
        <f ca="1">EFEITO!$L$1097*EFEITO!$Z$1097</f>
        <v>1723089.1268311422</v>
      </c>
      <c r="L1097" s="46">
        <f>EFEITO!$N$1097*EFEITO!$AA$1097</f>
        <v>1512856.1823004943</v>
      </c>
      <c r="M1097" s="46">
        <f>$J$1097-EFEITO!$K$1097*EFEITO!$Y$1097</f>
        <v>0</v>
      </c>
      <c r="N1097" s="46">
        <f ca="1">$K$1097-EFEITO!$M$1097*EFEITO!$Z$1097</f>
        <v>0</v>
      </c>
      <c r="O1097" s="46">
        <f>$L$1097-EFEITO!$O$1097*EFEITO!$AA$1097</f>
        <v>0</v>
      </c>
      <c r="P1097" s="38"/>
      <c r="Q1097" s="38"/>
      <c r="R1097" s="38"/>
      <c r="S1097" s="38"/>
      <c r="T1097" s="38"/>
      <c r="U1097" s="38"/>
      <c r="V1097" s="38"/>
      <c r="W1097" s="38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35" t="s">
        <v>27</v>
      </c>
      <c r="B1098" s="35" t="s">
        <v>37</v>
      </c>
      <c r="C1098" s="35" t="s">
        <v>23</v>
      </c>
      <c r="D1098" s="35" t="s">
        <v>42</v>
      </c>
      <c r="E1098" s="35" t="s">
        <v>25</v>
      </c>
      <c r="F1098" s="35" t="s">
        <v>25</v>
      </c>
      <c r="G1098" s="35" t="s">
        <v>25</v>
      </c>
      <c r="H1098" s="35" t="s">
        <v>25</v>
      </c>
      <c r="I1098" s="45">
        <v>44378</v>
      </c>
      <c r="J1098" s="46">
        <f>EFEITO!$J$1098*EFEITO!$Y$1098</f>
        <v>0</v>
      </c>
      <c r="K1098" s="46">
        <f ca="1">EFEITO!$L$1098*EFEITO!$Z$1098</f>
        <v>-559.29298144205256</v>
      </c>
      <c r="L1098" s="46">
        <f>EFEITO!$N$1098*EFEITO!$AA$1098</f>
        <v>-491.05402124379094</v>
      </c>
      <c r="M1098" s="46">
        <f>$J$1098-EFEITO!$K$1098*EFEITO!$Y$1098</f>
        <v>0</v>
      </c>
      <c r="N1098" s="46">
        <f ca="1">$K$1098-EFEITO!$M$1098*EFEITO!$Z$1098</f>
        <v>0</v>
      </c>
      <c r="O1098" s="46">
        <f>$L$1098-EFEITO!$O$1098*EFEITO!$AA$1098</f>
        <v>0</v>
      </c>
      <c r="P1098" s="38"/>
      <c r="Q1098" s="38"/>
      <c r="R1098" s="38"/>
      <c r="S1098" s="38"/>
      <c r="T1098" s="38"/>
      <c r="U1098" s="38"/>
      <c r="V1098" s="38"/>
      <c r="W1098" s="38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35" t="s">
        <v>28</v>
      </c>
      <c r="B1099" s="35" t="s">
        <v>37</v>
      </c>
      <c r="C1099" s="35" t="s">
        <v>23</v>
      </c>
      <c r="D1099" s="35" t="s">
        <v>42</v>
      </c>
      <c r="E1099" s="35" t="s">
        <v>25</v>
      </c>
      <c r="F1099" s="35" t="s">
        <v>25</v>
      </c>
      <c r="G1099" s="35" t="s">
        <v>25</v>
      </c>
      <c r="H1099" s="35" t="s">
        <v>25</v>
      </c>
      <c r="I1099" s="45">
        <v>44378</v>
      </c>
      <c r="J1099" s="46">
        <f>EFEITO!$J$1099*EFEITO!$Y$1099</f>
        <v>0</v>
      </c>
      <c r="K1099" s="46">
        <f ca="1">EFEITO!$L$1099*EFEITO!$Z$1099</f>
        <v>106730.69659339126</v>
      </c>
      <c r="L1099" s="46">
        <f>EFEITO!$N$1099*EFEITO!$AA$1099</f>
        <v>93708.556143871305</v>
      </c>
      <c r="M1099" s="46">
        <f>$J$1099-EFEITO!$K$1099*EFEITO!$Y$1099</f>
        <v>0</v>
      </c>
      <c r="N1099" s="46">
        <f ca="1">$K$1099-EFEITO!$M$1099*EFEITO!$Z$1099</f>
        <v>0</v>
      </c>
      <c r="O1099" s="46">
        <f>$L$1099-EFEITO!$O$1099*EFEITO!$AA$1099</f>
        <v>0</v>
      </c>
      <c r="P1099" s="38"/>
      <c r="Q1099" s="38"/>
      <c r="R1099" s="38"/>
      <c r="S1099" s="38"/>
      <c r="T1099" s="38"/>
      <c r="U1099" s="38"/>
      <c r="V1099" s="38"/>
      <c r="W1099" s="38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35" t="s">
        <v>21</v>
      </c>
      <c r="B1100" s="35" t="s">
        <v>37</v>
      </c>
      <c r="C1100" s="35" t="s">
        <v>23</v>
      </c>
      <c r="D1100" s="35" t="s">
        <v>42</v>
      </c>
      <c r="E1100" s="35" t="s">
        <v>25</v>
      </c>
      <c r="F1100" s="35" t="s">
        <v>25</v>
      </c>
      <c r="G1100" s="35" t="s">
        <v>25</v>
      </c>
      <c r="H1100" s="35" t="s">
        <v>25</v>
      </c>
      <c r="I1100" s="45">
        <v>44409</v>
      </c>
      <c r="J1100" s="46">
        <f>EFEITO!$J$1100*EFEITO!$Y$1100</f>
        <v>0</v>
      </c>
      <c r="K1100" s="46">
        <f ca="1">EFEITO!$L$1100*EFEITO!$Z$1100</f>
        <v>1613958.7262862215</v>
      </c>
      <c r="L1100" s="46">
        <f>EFEITO!$N$1100*EFEITO!$AA$1100</f>
        <v>1417040.7084689473</v>
      </c>
      <c r="M1100" s="46">
        <f>$J$1100-EFEITO!$K$1100*EFEITO!$Y$1100</f>
        <v>0</v>
      </c>
      <c r="N1100" s="46">
        <f ca="1">$K$1100-EFEITO!$M$1100*EFEITO!$Z$1100</f>
        <v>0</v>
      </c>
      <c r="O1100" s="46">
        <f>$L$1100-EFEITO!$O$1100*EFEITO!$AA$1100</f>
        <v>0</v>
      </c>
      <c r="P1100" s="38"/>
      <c r="Q1100" s="38"/>
      <c r="R1100" s="38"/>
      <c r="S1100" s="38"/>
      <c r="T1100" s="38"/>
      <c r="U1100" s="38"/>
      <c r="V1100" s="38"/>
      <c r="W1100" s="38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35" t="s">
        <v>27</v>
      </c>
      <c r="B1101" s="35" t="s">
        <v>37</v>
      </c>
      <c r="C1101" s="35" t="s">
        <v>23</v>
      </c>
      <c r="D1101" s="35" t="s">
        <v>42</v>
      </c>
      <c r="E1101" s="35" t="s">
        <v>25</v>
      </c>
      <c r="F1101" s="35" t="s">
        <v>25</v>
      </c>
      <c r="G1101" s="35" t="s">
        <v>25</v>
      </c>
      <c r="H1101" s="35" t="s">
        <v>25</v>
      </c>
      <c r="I1101" s="45">
        <v>44409</v>
      </c>
      <c r="J1101" s="46">
        <f>EFEITO!$J$1101*EFEITO!$Y$1101</f>
        <v>0</v>
      </c>
      <c r="K1101" s="46">
        <f ca="1">EFEITO!$L$1101*EFEITO!$Z$1101</f>
        <v>-5129.8992102746797</v>
      </c>
      <c r="L1101" s="46">
        <f>EFEITO!$N$1101*EFEITO!$AA$1101</f>
        <v>-4504.0036606318899</v>
      </c>
      <c r="M1101" s="46">
        <f>$J$1101-EFEITO!$K$1101*EFEITO!$Y$1101</f>
        <v>0</v>
      </c>
      <c r="N1101" s="46">
        <f ca="1">$K$1101-EFEITO!$M$1101*EFEITO!$Z$1101</f>
        <v>0</v>
      </c>
      <c r="O1101" s="46">
        <f>$L$1101-EFEITO!$O$1101*EFEITO!$AA$1101</f>
        <v>0</v>
      </c>
      <c r="P1101" s="38"/>
      <c r="Q1101" s="38"/>
      <c r="R1101" s="38"/>
      <c r="S1101" s="38"/>
      <c r="T1101" s="38"/>
      <c r="U1101" s="38"/>
      <c r="V1101" s="38"/>
      <c r="W1101" s="38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35" t="s">
        <v>28</v>
      </c>
      <c r="B1102" s="35" t="s">
        <v>37</v>
      </c>
      <c r="C1102" s="35" t="s">
        <v>23</v>
      </c>
      <c r="D1102" s="35" t="s">
        <v>42</v>
      </c>
      <c r="E1102" s="35" t="s">
        <v>25</v>
      </c>
      <c r="F1102" s="35" t="s">
        <v>25</v>
      </c>
      <c r="G1102" s="35" t="s">
        <v>25</v>
      </c>
      <c r="H1102" s="35" t="s">
        <v>25</v>
      </c>
      <c r="I1102" s="45">
        <v>44409</v>
      </c>
      <c r="J1102" s="46">
        <f>EFEITO!$J$1102*EFEITO!$Y$1102</f>
        <v>0</v>
      </c>
      <c r="K1102" s="46">
        <f ca="1">EFEITO!$L$1102*EFEITO!$Z$1102</f>
        <v>106069.71397895973</v>
      </c>
      <c r="L1102" s="46">
        <f>EFEITO!$N$1102*EFEITO!$AA$1102</f>
        <v>93128.219573310445</v>
      </c>
      <c r="M1102" s="46">
        <f>$J$1102-EFEITO!$K$1102*EFEITO!$Y$1102</f>
        <v>0</v>
      </c>
      <c r="N1102" s="46">
        <f ca="1">$K$1102-EFEITO!$M$1102*EFEITO!$Z$1102</f>
        <v>0</v>
      </c>
      <c r="O1102" s="46">
        <f>$L$1102-EFEITO!$O$1102*EFEITO!$AA$1102</f>
        <v>0</v>
      </c>
      <c r="P1102" s="38"/>
      <c r="Q1102" s="38"/>
      <c r="R1102" s="38"/>
      <c r="S1102" s="38"/>
      <c r="T1102" s="38"/>
      <c r="U1102" s="38"/>
      <c r="V1102" s="38"/>
      <c r="W1102" s="38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35" t="s">
        <v>21</v>
      </c>
      <c r="B1103" s="35" t="s">
        <v>37</v>
      </c>
      <c r="C1103" s="35" t="s">
        <v>23</v>
      </c>
      <c r="D1103" s="35" t="s">
        <v>42</v>
      </c>
      <c r="E1103" s="35" t="s">
        <v>25</v>
      </c>
      <c r="F1103" s="35" t="s">
        <v>25</v>
      </c>
      <c r="G1103" s="35" t="s">
        <v>25</v>
      </c>
      <c r="H1103" s="35" t="s">
        <v>25</v>
      </c>
      <c r="I1103" s="45">
        <v>44440</v>
      </c>
      <c r="J1103" s="46">
        <f>EFEITO!$J$1103*EFEITO!$Y$1103</f>
        <v>0</v>
      </c>
      <c r="K1103" s="46">
        <f ca="1">EFEITO!$L$1103*EFEITO!$Z$1103</f>
        <v>1626137.4880618921</v>
      </c>
      <c r="L1103" s="46">
        <f>EFEITO!$N$1103*EFEITO!$AA$1103</f>
        <v>1427733.5477180535</v>
      </c>
      <c r="M1103" s="46">
        <f>$J$1103-EFEITO!$K$1103*EFEITO!$Y$1103</f>
        <v>0</v>
      </c>
      <c r="N1103" s="46">
        <f ca="1">$K$1103-EFEITO!$M$1103*EFEITO!$Z$1103</f>
        <v>0</v>
      </c>
      <c r="O1103" s="46">
        <f>$L$1103-EFEITO!$O$1103*EFEITO!$AA$1103</f>
        <v>0</v>
      </c>
      <c r="P1103" s="38"/>
      <c r="Q1103" s="38"/>
      <c r="R1103" s="38"/>
      <c r="S1103" s="38"/>
      <c r="T1103" s="38"/>
      <c r="U1103" s="38"/>
      <c r="V1103" s="38"/>
      <c r="W1103" s="38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35" t="s">
        <v>27</v>
      </c>
      <c r="B1104" s="35" t="s">
        <v>37</v>
      </c>
      <c r="C1104" s="35" t="s">
        <v>23</v>
      </c>
      <c r="D1104" s="35" t="s">
        <v>42</v>
      </c>
      <c r="E1104" s="35" t="s">
        <v>25</v>
      </c>
      <c r="F1104" s="35" t="s">
        <v>25</v>
      </c>
      <c r="G1104" s="35" t="s">
        <v>25</v>
      </c>
      <c r="H1104" s="35" t="s">
        <v>25</v>
      </c>
      <c r="I1104" s="45">
        <v>44440</v>
      </c>
      <c r="J1104" s="46">
        <f>EFEITO!$J$1104*EFEITO!$Y$1104</f>
        <v>0</v>
      </c>
      <c r="K1104" s="46">
        <f ca="1">EFEITO!$L$1104*EFEITO!$Z$1104</f>
        <v>-5955.1277206863697</v>
      </c>
      <c r="L1104" s="46">
        <f>EFEITO!$N$1104*EFEITO!$AA$1104</f>
        <v>-5228.5465959604453</v>
      </c>
      <c r="M1104" s="46">
        <f>$J$1104-EFEITO!$K$1104*EFEITO!$Y$1104</f>
        <v>0</v>
      </c>
      <c r="N1104" s="46">
        <f ca="1">$K$1104-EFEITO!$M$1104*EFEITO!$Z$1104</f>
        <v>0</v>
      </c>
      <c r="O1104" s="46">
        <f>$L$1104-EFEITO!$O$1104*EFEITO!$AA$1104</f>
        <v>0</v>
      </c>
      <c r="P1104" s="38"/>
      <c r="Q1104" s="38"/>
      <c r="R1104" s="38"/>
      <c r="S1104" s="38"/>
      <c r="T1104" s="38"/>
      <c r="U1104" s="38"/>
      <c r="V1104" s="38"/>
      <c r="W1104" s="38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35" t="s">
        <v>28</v>
      </c>
      <c r="B1105" s="35" t="s">
        <v>37</v>
      </c>
      <c r="C1105" s="35" t="s">
        <v>23</v>
      </c>
      <c r="D1105" s="35" t="s">
        <v>42</v>
      </c>
      <c r="E1105" s="35" t="s">
        <v>25</v>
      </c>
      <c r="F1105" s="35" t="s">
        <v>25</v>
      </c>
      <c r="G1105" s="35" t="s">
        <v>25</v>
      </c>
      <c r="H1105" s="35" t="s">
        <v>25</v>
      </c>
      <c r="I1105" s="45">
        <v>44440</v>
      </c>
      <c r="J1105" s="46">
        <f>EFEITO!$J$1105*EFEITO!$Y$1105</f>
        <v>0</v>
      </c>
      <c r="K1105" s="46">
        <f ca="1">EFEITO!$L$1105*EFEITO!$Z$1105</f>
        <v>89215.228601029026</v>
      </c>
      <c r="L1105" s="46">
        <f>EFEITO!$N$1105*EFEITO!$AA$1105</f>
        <v>78330.138611364644</v>
      </c>
      <c r="M1105" s="46">
        <f>$J$1105-EFEITO!$K$1105*EFEITO!$Y$1105</f>
        <v>0</v>
      </c>
      <c r="N1105" s="46">
        <f ca="1">$K$1105-EFEITO!$M$1105*EFEITO!$Z$1105</f>
        <v>0</v>
      </c>
      <c r="O1105" s="46">
        <f>$L$1105-EFEITO!$O$1105*EFEITO!$AA$1105</f>
        <v>0</v>
      </c>
      <c r="P1105" s="38"/>
      <c r="Q1105" s="38"/>
      <c r="R1105" s="38"/>
      <c r="S1105" s="38"/>
      <c r="T1105" s="38"/>
      <c r="U1105" s="38"/>
      <c r="V1105" s="38"/>
      <c r="W1105" s="38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35" t="s">
        <v>21</v>
      </c>
      <c r="B1106" s="35" t="s">
        <v>37</v>
      </c>
      <c r="C1106" s="35" t="s">
        <v>23</v>
      </c>
      <c r="D1106" s="35" t="s">
        <v>42</v>
      </c>
      <c r="E1106" s="35" t="s">
        <v>25</v>
      </c>
      <c r="F1106" s="35" t="s">
        <v>25</v>
      </c>
      <c r="G1106" s="35" t="s">
        <v>25</v>
      </c>
      <c r="H1106" s="35" t="s">
        <v>25</v>
      </c>
      <c r="I1106" s="45">
        <v>44470</v>
      </c>
      <c r="J1106" s="46">
        <f>EFEITO!$J$1106*EFEITO!$Y$1106</f>
        <v>0</v>
      </c>
      <c r="K1106" s="46">
        <f ca="1">EFEITO!$L$1106*EFEITO!$Z$1106</f>
        <v>1760979.3696311039</v>
      </c>
      <c r="L1106" s="46">
        <f>EFEITO!$N$1106*EFEITO!$AA$1106</f>
        <v>1546123.4620808549</v>
      </c>
      <c r="M1106" s="46">
        <f>$J$1106-EFEITO!$K$1106*EFEITO!$Y$1106</f>
        <v>0</v>
      </c>
      <c r="N1106" s="46">
        <f ca="1">$K$1106-EFEITO!$M$1106*EFEITO!$Z$1106</f>
        <v>0</v>
      </c>
      <c r="O1106" s="46">
        <f>$L$1106-EFEITO!$O$1106*EFEITO!$AA$1106</f>
        <v>0</v>
      </c>
      <c r="P1106" s="38"/>
      <c r="Q1106" s="38"/>
      <c r="R1106" s="38"/>
      <c r="S1106" s="38"/>
      <c r="T1106" s="38"/>
      <c r="U1106" s="38"/>
      <c r="V1106" s="38"/>
      <c r="W1106" s="38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35" t="s">
        <v>27</v>
      </c>
      <c r="B1107" s="35" t="s">
        <v>37</v>
      </c>
      <c r="C1107" s="35" t="s">
        <v>23</v>
      </c>
      <c r="D1107" s="35" t="s">
        <v>42</v>
      </c>
      <c r="E1107" s="35" t="s">
        <v>25</v>
      </c>
      <c r="F1107" s="35" t="s">
        <v>25</v>
      </c>
      <c r="G1107" s="35" t="s">
        <v>25</v>
      </c>
      <c r="H1107" s="35" t="s">
        <v>25</v>
      </c>
      <c r="I1107" s="45">
        <v>44470</v>
      </c>
      <c r="J1107" s="46">
        <f>EFEITO!$J$1107*EFEITO!$Y$1107</f>
        <v>0</v>
      </c>
      <c r="K1107" s="46">
        <f ca="1">EFEITO!$L$1107*EFEITO!$Z$1107</f>
        <v>-1406.516159663262</v>
      </c>
      <c r="L1107" s="46">
        <f>EFEITO!$N$1107*EFEITO!$AA$1107</f>
        <v>-1234.9080697673273</v>
      </c>
      <c r="M1107" s="46">
        <f>$J$1107-EFEITO!$K$1107*EFEITO!$Y$1107</f>
        <v>0</v>
      </c>
      <c r="N1107" s="46">
        <f ca="1">$K$1107-EFEITO!$M$1107*EFEITO!$Z$1107</f>
        <v>0</v>
      </c>
      <c r="O1107" s="46">
        <f>$L$1107-EFEITO!$O$1107*EFEITO!$AA$1107</f>
        <v>0</v>
      </c>
      <c r="P1107" s="38"/>
      <c r="Q1107" s="38"/>
      <c r="R1107" s="38"/>
      <c r="S1107" s="38"/>
      <c r="T1107" s="38"/>
      <c r="U1107" s="38"/>
      <c r="V1107" s="38"/>
      <c r="W1107" s="38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35" t="s">
        <v>28</v>
      </c>
      <c r="B1108" s="35" t="s">
        <v>37</v>
      </c>
      <c r="C1108" s="35" t="s">
        <v>23</v>
      </c>
      <c r="D1108" s="35" t="s">
        <v>42</v>
      </c>
      <c r="E1108" s="35" t="s">
        <v>25</v>
      </c>
      <c r="F1108" s="35" t="s">
        <v>25</v>
      </c>
      <c r="G1108" s="35" t="s">
        <v>25</v>
      </c>
      <c r="H1108" s="35" t="s">
        <v>25</v>
      </c>
      <c r="I1108" s="45">
        <v>44470</v>
      </c>
      <c r="J1108" s="46">
        <f>EFEITO!$J$1108*EFEITO!$Y$1108</f>
        <v>0</v>
      </c>
      <c r="K1108" s="46">
        <f ca="1">EFEITO!$L$1108*EFEITO!$Z$1108</f>
        <v>108816.19100478472</v>
      </c>
      <c r="L1108" s="46">
        <f>EFEITO!$N$1108*EFEITO!$AA$1108</f>
        <v>95539.600785904448</v>
      </c>
      <c r="M1108" s="46">
        <f>$J$1108-EFEITO!$K$1108*EFEITO!$Y$1108</f>
        <v>0</v>
      </c>
      <c r="N1108" s="46">
        <f ca="1">$K$1108-EFEITO!$M$1108*EFEITO!$Z$1108</f>
        <v>0</v>
      </c>
      <c r="O1108" s="46">
        <f>$L$1108-EFEITO!$O$1108*EFEITO!$AA$1108</f>
        <v>0</v>
      </c>
      <c r="P1108" s="38"/>
      <c r="Q1108" s="38"/>
      <c r="R1108" s="38"/>
      <c r="S1108" s="38"/>
      <c r="T1108" s="38"/>
      <c r="U1108" s="38"/>
      <c r="V1108" s="38"/>
      <c r="W1108" s="38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35" t="s">
        <v>21</v>
      </c>
      <c r="B1109" s="35" t="s">
        <v>37</v>
      </c>
      <c r="C1109" s="35" t="s">
        <v>23</v>
      </c>
      <c r="D1109" s="35" t="s">
        <v>42</v>
      </c>
      <c r="E1109" s="35" t="s">
        <v>25</v>
      </c>
      <c r="F1109" s="35" t="s">
        <v>25</v>
      </c>
      <c r="G1109" s="35" t="s">
        <v>25</v>
      </c>
      <c r="H1109" s="35" t="s">
        <v>25</v>
      </c>
      <c r="I1109" s="45">
        <v>44501</v>
      </c>
      <c r="J1109" s="46">
        <f>EFEITO!$J$1109*EFEITO!$Y$1109</f>
        <v>0</v>
      </c>
      <c r="K1109" s="46">
        <f ca="1">EFEITO!$L$1109*EFEITO!$Z$1109</f>
        <v>1804410.5548488458</v>
      </c>
      <c r="L1109" s="46">
        <f>EFEITO!$N$1109*EFEITO!$AA$1109</f>
        <v>1584255.6376242836</v>
      </c>
      <c r="M1109" s="46">
        <f>$J$1109-EFEITO!$K$1109*EFEITO!$Y$1109</f>
        <v>0</v>
      </c>
      <c r="N1109" s="46">
        <f ca="1">$K$1109-EFEITO!$M$1109*EFEITO!$Z$1109</f>
        <v>0</v>
      </c>
      <c r="O1109" s="46">
        <f>$L$1109-EFEITO!$O$1109*EFEITO!$AA$1109</f>
        <v>0</v>
      </c>
      <c r="P1109" s="38"/>
      <c r="Q1109" s="38"/>
      <c r="R1109" s="38"/>
      <c r="S1109" s="38"/>
      <c r="T1109" s="38"/>
      <c r="U1109" s="38"/>
      <c r="V1109" s="38"/>
      <c r="W1109" s="38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35" t="s">
        <v>27</v>
      </c>
      <c r="B1110" s="35" t="s">
        <v>37</v>
      </c>
      <c r="C1110" s="35" t="s">
        <v>23</v>
      </c>
      <c r="D1110" s="35" t="s">
        <v>42</v>
      </c>
      <c r="E1110" s="35" t="s">
        <v>25</v>
      </c>
      <c r="F1110" s="35" t="s">
        <v>25</v>
      </c>
      <c r="G1110" s="35" t="s">
        <v>25</v>
      </c>
      <c r="H1110" s="35" t="s">
        <v>25</v>
      </c>
      <c r="I1110" s="45">
        <v>44501</v>
      </c>
      <c r="J1110" s="46">
        <f>EFEITO!$J$1110*EFEITO!$Y$1110</f>
        <v>0</v>
      </c>
      <c r="K1110" s="46">
        <f ca="1">EFEITO!$L$1110*EFEITO!$Z$1110</f>
        <v>-261.65085342232902</v>
      </c>
      <c r="L1110" s="46">
        <f>EFEITO!$N$1110*EFEITO!$AA$1110</f>
        <v>-229.72700891691139</v>
      </c>
      <c r="M1110" s="46">
        <f>$J$1110-EFEITO!$K$1110*EFEITO!$Y$1110</f>
        <v>0</v>
      </c>
      <c r="N1110" s="46">
        <f ca="1">$K$1110-EFEITO!$M$1110*EFEITO!$Z$1110</f>
        <v>0</v>
      </c>
      <c r="O1110" s="46">
        <f>$L$1110-EFEITO!$O$1110*EFEITO!$AA$1110</f>
        <v>0</v>
      </c>
      <c r="P1110" s="38"/>
      <c r="Q1110" s="38"/>
      <c r="R1110" s="38"/>
      <c r="S1110" s="38"/>
      <c r="T1110" s="38"/>
      <c r="U1110" s="38"/>
      <c r="V1110" s="38"/>
      <c r="W1110" s="38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35" t="s">
        <v>28</v>
      </c>
      <c r="B1111" s="35" t="s">
        <v>37</v>
      </c>
      <c r="C1111" s="35" t="s">
        <v>23</v>
      </c>
      <c r="D1111" s="35" t="s">
        <v>42</v>
      </c>
      <c r="E1111" s="35" t="s">
        <v>25</v>
      </c>
      <c r="F1111" s="35" t="s">
        <v>25</v>
      </c>
      <c r="G1111" s="35" t="s">
        <v>25</v>
      </c>
      <c r="H1111" s="35" t="s">
        <v>25</v>
      </c>
      <c r="I1111" s="45">
        <v>44501</v>
      </c>
      <c r="J1111" s="46">
        <f>EFEITO!$J$1111*EFEITO!$Y$1111</f>
        <v>0</v>
      </c>
      <c r="K1111" s="46">
        <f ca="1">EFEITO!$L$1111*EFEITO!$Z$1111</f>
        <v>104188.17012361815</v>
      </c>
      <c r="L1111" s="46">
        <f>EFEITO!$N$1111*EFEITO!$AA$1111</f>
        <v>91476.241617267122</v>
      </c>
      <c r="M1111" s="46">
        <f>$J$1111-EFEITO!$K$1111*EFEITO!$Y$1111</f>
        <v>0</v>
      </c>
      <c r="N1111" s="46">
        <f ca="1">$K$1111-EFEITO!$M$1111*EFEITO!$Z$1111</f>
        <v>0</v>
      </c>
      <c r="O1111" s="46">
        <f>$L$1111-EFEITO!$O$1111*EFEITO!$AA$1111</f>
        <v>0</v>
      </c>
      <c r="P1111" s="38"/>
      <c r="Q1111" s="38"/>
      <c r="R1111" s="38"/>
      <c r="S1111" s="38"/>
      <c r="T1111" s="38"/>
      <c r="U1111" s="38"/>
      <c r="V1111" s="38"/>
      <c r="W1111" s="38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35" t="s">
        <v>28</v>
      </c>
      <c r="B1112" s="35" t="s">
        <v>37</v>
      </c>
      <c r="C1112" s="35" t="s">
        <v>23</v>
      </c>
      <c r="D1112" s="35" t="s">
        <v>42</v>
      </c>
      <c r="E1112" s="35" t="s">
        <v>25</v>
      </c>
      <c r="F1112" s="35" t="s">
        <v>25</v>
      </c>
      <c r="G1112" s="35" t="s">
        <v>25</v>
      </c>
      <c r="H1112" s="35" t="s">
        <v>25</v>
      </c>
      <c r="I1112" s="45">
        <v>44501</v>
      </c>
      <c r="J1112" s="46">
        <f>EFEITO!$J$1112*EFEITO!$Y$1112</f>
        <v>0</v>
      </c>
      <c r="K1112" s="46">
        <f ca="1">EFEITO!$L$1112*EFEITO!$Z$1112</f>
        <v>-278.78955561156448</v>
      </c>
      <c r="L1112" s="46">
        <f>EFEITO!$N$1112*EFEITO!$AA$1112</f>
        <v>-244.77462958832479</v>
      </c>
      <c r="M1112" s="46">
        <f>$J$1112-EFEITO!$K$1112*EFEITO!$Y$1112</f>
        <v>0</v>
      </c>
      <c r="N1112" s="46">
        <f ca="1">$K$1112-EFEITO!$M$1112*EFEITO!$Z$1112</f>
        <v>0</v>
      </c>
      <c r="O1112" s="46">
        <f>$L$1112-EFEITO!$O$1112*EFEITO!$AA$1112</f>
        <v>0</v>
      </c>
      <c r="P1112" s="38"/>
      <c r="Q1112" s="38"/>
      <c r="R1112" s="38"/>
      <c r="S1112" s="38"/>
      <c r="T1112" s="38"/>
      <c r="U1112" s="38"/>
      <c r="V1112" s="38"/>
      <c r="W1112" s="38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35" t="s">
        <v>21</v>
      </c>
      <c r="B1113" s="35" t="s">
        <v>37</v>
      </c>
      <c r="C1113" s="35" t="s">
        <v>23</v>
      </c>
      <c r="D1113" s="35" t="s">
        <v>42</v>
      </c>
      <c r="E1113" s="35" t="s">
        <v>25</v>
      </c>
      <c r="F1113" s="35" t="s">
        <v>25</v>
      </c>
      <c r="G1113" s="35" t="s">
        <v>25</v>
      </c>
      <c r="H1113" s="35" t="s">
        <v>25</v>
      </c>
      <c r="I1113" s="45">
        <v>44531</v>
      </c>
      <c r="J1113" s="46">
        <f>EFEITO!$J$1113*EFEITO!$Y$1113</f>
        <v>0</v>
      </c>
      <c r="K1113" s="46">
        <f ca="1">EFEITO!$L$1113*EFEITO!$Z$1113</f>
        <v>1886469.5183507593</v>
      </c>
      <c r="L1113" s="46">
        <f>EFEITO!$N$1113*EFEITO!$AA$1113</f>
        <v>1656302.6422242995</v>
      </c>
      <c r="M1113" s="46">
        <f>$J$1113-EFEITO!$K$1113*EFEITO!$Y$1113</f>
        <v>0</v>
      </c>
      <c r="N1113" s="46">
        <f ca="1">$K$1113-EFEITO!$M$1113*EFEITO!$Z$1113</f>
        <v>0</v>
      </c>
      <c r="O1113" s="46">
        <f>$L$1113-EFEITO!$O$1113*EFEITO!$AA$1113</f>
        <v>0</v>
      </c>
      <c r="P1113" s="38"/>
      <c r="Q1113" s="38"/>
      <c r="R1113" s="38"/>
      <c r="S1113" s="38"/>
      <c r="T1113" s="38"/>
      <c r="U1113" s="38"/>
      <c r="V1113" s="38"/>
      <c r="W1113" s="38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35" t="s">
        <v>28</v>
      </c>
      <c r="B1114" s="35" t="s">
        <v>37</v>
      </c>
      <c r="C1114" s="35" t="s">
        <v>23</v>
      </c>
      <c r="D1114" s="35" t="s">
        <v>42</v>
      </c>
      <c r="E1114" s="35" t="s">
        <v>25</v>
      </c>
      <c r="F1114" s="35" t="s">
        <v>25</v>
      </c>
      <c r="G1114" s="35" t="s">
        <v>25</v>
      </c>
      <c r="H1114" s="35" t="s">
        <v>25</v>
      </c>
      <c r="I1114" s="45">
        <v>44531</v>
      </c>
      <c r="J1114" s="46">
        <f>EFEITO!$J$1114*EFEITO!$Y$1114</f>
        <v>0</v>
      </c>
      <c r="K1114" s="46">
        <f ca="1">EFEITO!$L$1114*EFEITO!$Z$1114</f>
        <v>127167.17072887217</v>
      </c>
      <c r="L1114" s="46">
        <f>EFEITO!$N$1114*EFEITO!$AA$1114</f>
        <v>111651.58982614249</v>
      </c>
      <c r="M1114" s="46">
        <f>$J$1114-EFEITO!$K$1114*EFEITO!$Y$1114</f>
        <v>0</v>
      </c>
      <c r="N1114" s="46">
        <f ca="1">$K$1114-EFEITO!$M$1114*EFEITO!$Z$1114</f>
        <v>0</v>
      </c>
      <c r="O1114" s="46">
        <f>$L$1114-EFEITO!$O$1114*EFEITO!$AA$1114</f>
        <v>0</v>
      </c>
      <c r="P1114" s="38"/>
      <c r="Q1114" s="38"/>
      <c r="R1114" s="38"/>
      <c r="S1114" s="38"/>
      <c r="T1114" s="38"/>
      <c r="U1114" s="38"/>
      <c r="V1114" s="38"/>
      <c r="W1114" s="38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35" t="s">
        <v>28</v>
      </c>
      <c r="B1115" s="35" t="s">
        <v>37</v>
      </c>
      <c r="C1115" s="35" t="s">
        <v>23</v>
      </c>
      <c r="D1115" s="35" t="s">
        <v>42</v>
      </c>
      <c r="E1115" s="35" t="s">
        <v>25</v>
      </c>
      <c r="F1115" s="35" t="s">
        <v>25</v>
      </c>
      <c r="G1115" s="35" t="s">
        <v>25</v>
      </c>
      <c r="H1115" s="35" t="s">
        <v>25</v>
      </c>
      <c r="I1115" s="45">
        <v>44531</v>
      </c>
      <c r="J1115" s="46">
        <f>EFEITO!$J$1115*EFEITO!$Y$1115</f>
        <v>0</v>
      </c>
      <c r="K1115" s="46">
        <f ca="1">EFEITO!$L$1115*EFEITO!$Z$1115</f>
        <v>-77.40980488804712</v>
      </c>
      <c r="L1115" s="46">
        <f>EFEITO!$N$1115*EFEITO!$AA$1115</f>
        <v>-67.965086699217238</v>
      </c>
      <c r="M1115" s="46">
        <f>$J$1115-EFEITO!$K$1115*EFEITO!$Y$1115</f>
        <v>0</v>
      </c>
      <c r="N1115" s="46">
        <f ca="1">$K$1115-EFEITO!$M$1115*EFEITO!$Z$1115</f>
        <v>0</v>
      </c>
      <c r="O1115" s="46">
        <f>$L$1115-EFEITO!$O$1115*EFEITO!$AA$1115</f>
        <v>0</v>
      </c>
      <c r="P1115" s="38"/>
      <c r="Q1115" s="38"/>
      <c r="R1115" s="38"/>
      <c r="S1115" s="38"/>
      <c r="T1115" s="38"/>
      <c r="U1115" s="38"/>
      <c r="V1115" s="38"/>
      <c r="W1115" s="38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35" t="s">
        <v>55</v>
      </c>
      <c r="B1116" s="35" t="s">
        <v>37</v>
      </c>
      <c r="C1116" s="35" t="s">
        <v>23</v>
      </c>
      <c r="D1116" s="35" t="s">
        <v>42</v>
      </c>
      <c r="E1116" s="35" t="s">
        <v>25</v>
      </c>
      <c r="F1116" s="35" t="s">
        <v>25</v>
      </c>
      <c r="G1116" s="35" t="s">
        <v>25</v>
      </c>
      <c r="H1116" s="35" t="s">
        <v>25</v>
      </c>
      <c r="I1116" s="45">
        <v>44562</v>
      </c>
      <c r="J1116" s="46">
        <f>EFEITO!$J$1116*EFEITO!$Y$1116</f>
        <v>0</v>
      </c>
      <c r="K1116" s="46">
        <f ca="1">EFEITO!$L$1116*EFEITO!$Z$1116</f>
        <v>1886469.5183507593</v>
      </c>
      <c r="L1116" s="46">
        <f>EFEITO!$N$1116*EFEITO!$AA$1116</f>
        <v>1656302.6422242995</v>
      </c>
      <c r="M1116" s="46">
        <f>$J$1116-EFEITO!$K$1116*EFEITO!$Y$1116</f>
        <v>0</v>
      </c>
      <c r="N1116" s="46">
        <f ca="1">$K$1116-EFEITO!$M$1116*EFEITO!$Z$1116</f>
        <v>0</v>
      </c>
      <c r="O1116" s="46">
        <f>$L$1116-EFEITO!$O$1116*EFEITO!$AA$1116</f>
        <v>0</v>
      </c>
      <c r="P1116" s="38"/>
      <c r="Q1116" s="38"/>
      <c r="R1116" s="38"/>
      <c r="S1116" s="38"/>
      <c r="T1116" s="38"/>
      <c r="U1116" s="38"/>
      <c r="V1116" s="38"/>
      <c r="W1116" s="38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35" t="s">
        <v>55</v>
      </c>
      <c r="B1117" s="35" t="s">
        <v>37</v>
      </c>
      <c r="C1117" s="35" t="s">
        <v>23</v>
      </c>
      <c r="D1117" s="35" t="s">
        <v>42</v>
      </c>
      <c r="E1117" s="35" t="s">
        <v>25</v>
      </c>
      <c r="F1117" s="35" t="s">
        <v>25</v>
      </c>
      <c r="G1117" s="35" t="s">
        <v>25</v>
      </c>
      <c r="H1117" s="35" t="s">
        <v>25</v>
      </c>
      <c r="I1117" s="45">
        <v>44562</v>
      </c>
      <c r="J1117" s="46">
        <f>EFEITO!$J$1117*EFEITO!$Y$1117</f>
        <v>0</v>
      </c>
      <c r="K1117" s="46">
        <f ca="1">EFEITO!$L$1117*EFEITO!$Z$1117</f>
        <v>127167.17072887217</v>
      </c>
      <c r="L1117" s="46">
        <f>EFEITO!$N$1117*EFEITO!$AA$1117</f>
        <v>111651.58982614249</v>
      </c>
      <c r="M1117" s="46">
        <f>$J$1117-EFEITO!$K$1117*EFEITO!$Y$1117</f>
        <v>0</v>
      </c>
      <c r="N1117" s="46">
        <f ca="1">$K$1117-EFEITO!$M$1117*EFEITO!$Z$1117</f>
        <v>0</v>
      </c>
      <c r="O1117" s="46">
        <f>$L$1117-EFEITO!$O$1117*EFEITO!$AA$1117</f>
        <v>0</v>
      </c>
      <c r="P1117" s="38"/>
      <c r="Q1117" s="38"/>
      <c r="R1117" s="38"/>
      <c r="S1117" s="38"/>
      <c r="T1117" s="38"/>
      <c r="U1117" s="38"/>
      <c r="V1117" s="38"/>
      <c r="W1117" s="38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35" t="s">
        <v>55</v>
      </c>
      <c r="B1118" s="35" t="s">
        <v>37</v>
      </c>
      <c r="C1118" s="35" t="s">
        <v>23</v>
      </c>
      <c r="D1118" s="35" t="s">
        <v>42</v>
      </c>
      <c r="E1118" s="35" t="s">
        <v>25</v>
      </c>
      <c r="F1118" s="35" t="s">
        <v>25</v>
      </c>
      <c r="G1118" s="35" t="s">
        <v>25</v>
      </c>
      <c r="H1118" s="35" t="s">
        <v>25</v>
      </c>
      <c r="I1118" s="45">
        <v>44562</v>
      </c>
      <c r="J1118" s="46">
        <f>EFEITO!$J$1118*EFEITO!$Y$1118</f>
        <v>0</v>
      </c>
      <c r="K1118" s="46">
        <f ca="1">EFEITO!$L$1118*EFEITO!$Z$1118</f>
        <v>-77.40980488804712</v>
      </c>
      <c r="L1118" s="46">
        <f>EFEITO!$N$1118*EFEITO!$AA$1118</f>
        <v>-67.965086699217238</v>
      </c>
      <c r="M1118" s="46">
        <f>$J$1118-EFEITO!$K$1118*EFEITO!$Y$1118</f>
        <v>0</v>
      </c>
      <c r="N1118" s="46">
        <f ca="1">$K$1118-EFEITO!$M$1118*EFEITO!$Z$1118</f>
        <v>0</v>
      </c>
      <c r="O1118" s="46">
        <f>$L$1118-EFEITO!$O$1118*EFEITO!$AA$1118</f>
        <v>0</v>
      </c>
      <c r="P1118" s="38"/>
      <c r="Q1118" s="38"/>
      <c r="R1118" s="38"/>
      <c r="S1118" s="38"/>
      <c r="T1118" s="38"/>
      <c r="U1118" s="38"/>
      <c r="V1118" s="38"/>
      <c r="W1118" s="38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35" t="s">
        <v>21</v>
      </c>
      <c r="B1119" s="35" t="s">
        <v>37</v>
      </c>
      <c r="C1119" s="35" t="s">
        <v>23</v>
      </c>
      <c r="D1119" s="35" t="s">
        <v>51</v>
      </c>
      <c r="E1119" s="35" t="s">
        <v>25</v>
      </c>
      <c r="F1119" s="35" t="s">
        <v>25</v>
      </c>
      <c r="G1119" s="35" t="s">
        <v>25</v>
      </c>
      <c r="H1119" s="35" t="s">
        <v>25</v>
      </c>
      <c r="I1119" s="45">
        <v>44228</v>
      </c>
      <c r="J1119" s="46">
        <f>EFEITO!$J$1119*EFEITO!$Y$1119</f>
        <v>0</v>
      </c>
      <c r="K1119" s="46">
        <f ca="1">EFEITO!$L$1119*EFEITO!$Z$1119</f>
        <v>1619.0360668097824</v>
      </c>
      <c r="L1119" s="46">
        <f>EFEITO!$N$1119*EFEITO!$AA$1119</f>
        <v>1421.4985660928535</v>
      </c>
      <c r="M1119" s="46">
        <f>$J$1119-EFEITO!$K$1119*EFEITO!$Y$1119</f>
        <v>0</v>
      </c>
      <c r="N1119" s="46">
        <f ca="1">$K$1119-EFEITO!$M$1119*EFEITO!$Z$1119</f>
        <v>0</v>
      </c>
      <c r="O1119" s="46">
        <f>$L$1119-EFEITO!$O$1119*EFEITO!$AA$1119</f>
        <v>0</v>
      </c>
      <c r="P1119" s="38"/>
      <c r="Q1119" s="38"/>
      <c r="R1119" s="38"/>
      <c r="S1119" s="38"/>
      <c r="T1119" s="38"/>
      <c r="U1119" s="38"/>
      <c r="V1119" s="38"/>
      <c r="W1119" s="38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35" t="s">
        <v>21</v>
      </c>
      <c r="B1120" s="35" t="s">
        <v>37</v>
      </c>
      <c r="C1120" s="35" t="s">
        <v>23</v>
      </c>
      <c r="D1120" s="35" t="s">
        <v>51</v>
      </c>
      <c r="E1120" s="35" t="s">
        <v>25</v>
      </c>
      <c r="F1120" s="35" t="s">
        <v>25</v>
      </c>
      <c r="G1120" s="35" t="s">
        <v>25</v>
      </c>
      <c r="H1120" s="35" t="s">
        <v>25</v>
      </c>
      <c r="I1120" s="45">
        <v>44256</v>
      </c>
      <c r="J1120" s="46">
        <f>EFEITO!$J$1120*EFEITO!$Y$1120</f>
        <v>0</v>
      </c>
      <c r="K1120" s="46">
        <f ca="1">EFEITO!$L$1120*EFEITO!$Z$1120</f>
        <v>1819.558882423838</v>
      </c>
      <c r="L1120" s="46">
        <f>EFEITO!$N$1120*EFEITO!$AA$1120</f>
        <v>1597.5557279483903</v>
      </c>
      <c r="M1120" s="46">
        <f>$J$1120-EFEITO!$K$1120*EFEITO!$Y$1120</f>
        <v>0</v>
      </c>
      <c r="N1120" s="46">
        <f ca="1">$K$1120-EFEITO!$M$1120*EFEITO!$Z$1120</f>
        <v>0</v>
      </c>
      <c r="O1120" s="46">
        <f>$L$1120-EFEITO!$O$1120*EFEITO!$AA$1120</f>
        <v>0</v>
      </c>
      <c r="P1120" s="38"/>
      <c r="Q1120" s="38"/>
      <c r="R1120" s="38"/>
      <c r="S1120" s="38"/>
      <c r="T1120" s="38"/>
      <c r="U1120" s="38"/>
      <c r="V1120" s="38"/>
      <c r="W1120" s="38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35" t="s">
        <v>21</v>
      </c>
      <c r="B1121" s="35" t="s">
        <v>37</v>
      </c>
      <c r="C1121" s="35" t="s">
        <v>23</v>
      </c>
      <c r="D1121" s="35" t="s">
        <v>51</v>
      </c>
      <c r="E1121" s="35" t="s">
        <v>25</v>
      </c>
      <c r="F1121" s="35" t="s">
        <v>25</v>
      </c>
      <c r="G1121" s="35" t="s">
        <v>25</v>
      </c>
      <c r="H1121" s="35" t="s">
        <v>25</v>
      </c>
      <c r="I1121" s="45">
        <v>44287</v>
      </c>
      <c r="J1121" s="46">
        <f>EFEITO!$J$1121*EFEITO!$Y$1121</f>
        <v>0</v>
      </c>
      <c r="K1121" s="46">
        <f ca="1">EFEITO!$L$1121*EFEITO!$Z$1121</f>
        <v>1846.9808059266149</v>
      </c>
      <c r="L1121" s="46">
        <f>EFEITO!$N$1121*EFEITO!$AA$1121</f>
        <v>1621.6319210226518</v>
      </c>
      <c r="M1121" s="46">
        <f>$J$1121-EFEITO!$K$1121*EFEITO!$Y$1121</f>
        <v>0</v>
      </c>
      <c r="N1121" s="46">
        <f ca="1">$K$1121-EFEITO!$M$1121*EFEITO!$Z$1121</f>
        <v>0</v>
      </c>
      <c r="O1121" s="46">
        <f>$L$1121-EFEITO!$O$1121*EFEITO!$AA$1121</f>
        <v>0</v>
      </c>
      <c r="P1121" s="38"/>
      <c r="Q1121" s="38"/>
      <c r="R1121" s="38"/>
      <c r="S1121" s="38"/>
      <c r="T1121" s="38"/>
      <c r="U1121" s="38"/>
      <c r="V1121" s="38"/>
      <c r="W1121" s="38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35" t="s">
        <v>21</v>
      </c>
      <c r="B1122" s="35" t="s">
        <v>37</v>
      </c>
      <c r="C1122" s="35" t="s">
        <v>23</v>
      </c>
      <c r="D1122" s="35" t="s">
        <v>51</v>
      </c>
      <c r="E1122" s="35" t="s">
        <v>25</v>
      </c>
      <c r="F1122" s="35" t="s">
        <v>25</v>
      </c>
      <c r="G1122" s="35" t="s">
        <v>25</v>
      </c>
      <c r="H1122" s="35" t="s">
        <v>25</v>
      </c>
      <c r="I1122" s="45">
        <v>44317</v>
      </c>
      <c r="J1122" s="46">
        <f>EFEITO!$J$1122*EFEITO!$Y$1122</f>
        <v>0</v>
      </c>
      <c r="K1122" s="46">
        <f ca="1">EFEITO!$L$1122*EFEITO!$Z$1122</f>
        <v>1876.6878897212898</v>
      </c>
      <c r="L1122" s="46">
        <f>EFEITO!$N$1122*EFEITO!$AA$1122</f>
        <v>1647.7144635197683</v>
      </c>
      <c r="M1122" s="46">
        <f>$J$1122-EFEITO!$K$1122*EFEITO!$Y$1122</f>
        <v>0</v>
      </c>
      <c r="N1122" s="46">
        <f ca="1">$K$1122-EFEITO!$M$1122*EFEITO!$Z$1122</f>
        <v>0</v>
      </c>
      <c r="O1122" s="46">
        <f>$L$1122-EFEITO!$O$1122*EFEITO!$AA$1122</f>
        <v>0</v>
      </c>
      <c r="P1122" s="38"/>
      <c r="Q1122" s="38"/>
      <c r="R1122" s="38"/>
      <c r="S1122" s="38"/>
      <c r="T1122" s="38"/>
      <c r="U1122" s="38"/>
      <c r="V1122" s="38"/>
      <c r="W1122" s="38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35" t="s">
        <v>21</v>
      </c>
      <c r="B1123" s="35" t="s">
        <v>37</v>
      </c>
      <c r="C1123" s="35" t="s">
        <v>23</v>
      </c>
      <c r="D1123" s="35" t="s">
        <v>51</v>
      </c>
      <c r="E1123" s="35" t="s">
        <v>25</v>
      </c>
      <c r="F1123" s="35" t="s">
        <v>25</v>
      </c>
      <c r="G1123" s="35" t="s">
        <v>25</v>
      </c>
      <c r="H1123" s="35" t="s">
        <v>25</v>
      </c>
      <c r="I1123" s="45">
        <v>44348</v>
      </c>
      <c r="J1123" s="46">
        <f>EFEITO!$J$1123*EFEITO!$Y$1123</f>
        <v>0</v>
      </c>
      <c r="K1123" s="46">
        <f ca="1">EFEITO!$L$1123*EFEITO!$Z$1123</f>
        <v>1696.1602266613422</v>
      </c>
      <c r="L1123" s="46">
        <f>EFEITO!$N$1123*EFEITO!$AA$1123</f>
        <v>1489.2128591142136</v>
      </c>
      <c r="M1123" s="46">
        <f>$J$1123-EFEITO!$K$1123*EFEITO!$Y$1123</f>
        <v>0</v>
      </c>
      <c r="N1123" s="46">
        <f ca="1">$K$1123-EFEITO!$M$1123*EFEITO!$Z$1123</f>
        <v>0</v>
      </c>
      <c r="O1123" s="46">
        <f>$L$1123-EFEITO!$O$1123*EFEITO!$AA$1123</f>
        <v>0</v>
      </c>
      <c r="P1123" s="38"/>
      <c r="Q1123" s="38"/>
      <c r="R1123" s="38"/>
      <c r="S1123" s="38"/>
      <c r="T1123" s="38"/>
      <c r="U1123" s="38"/>
      <c r="V1123" s="38"/>
      <c r="W1123" s="38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35" t="s">
        <v>21</v>
      </c>
      <c r="B1124" s="35" t="s">
        <v>37</v>
      </c>
      <c r="C1124" s="35" t="s">
        <v>23</v>
      </c>
      <c r="D1124" s="35" t="s">
        <v>51</v>
      </c>
      <c r="E1124" s="35" t="s">
        <v>25</v>
      </c>
      <c r="F1124" s="35" t="s">
        <v>25</v>
      </c>
      <c r="G1124" s="35" t="s">
        <v>25</v>
      </c>
      <c r="H1124" s="35" t="s">
        <v>25</v>
      </c>
      <c r="I1124" s="45">
        <v>44378</v>
      </c>
      <c r="J1124" s="46">
        <f>EFEITO!$J$1124*EFEITO!$Y$1124</f>
        <v>0</v>
      </c>
      <c r="K1124" s="46">
        <f ca="1">EFEITO!$L$1124*EFEITO!$Z$1124</f>
        <v>1911.8222292092225</v>
      </c>
      <c r="L1124" s="46">
        <f>EFEITO!$N$1124*EFEITO!$AA$1124</f>
        <v>1678.5620858961656</v>
      </c>
      <c r="M1124" s="46">
        <f>$J$1124-EFEITO!$K$1124*EFEITO!$Y$1124</f>
        <v>0</v>
      </c>
      <c r="N1124" s="46">
        <f ca="1">$K$1124-EFEITO!$M$1124*EFEITO!$Z$1124</f>
        <v>0</v>
      </c>
      <c r="O1124" s="46">
        <f>$L$1124-EFEITO!$O$1124*EFEITO!$AA$1124</f>
        <v>0</v>
      </c>
      <c r="P1124" s="38"/>
      <c r="Q1124" s="38"/>
      <c r="R1124" s="38"/>
      <c r="S1124" s="38"/>
      <c r="T1124" s="38"/>
      <c r="U1124" s="38"/>
      <c r="V1124" s="38"/>
      <c r="W1124" s="38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35" t="s">
        <v>21</v>
      </c>
      <c r="B1125" s="35" t="s">
        <v>37</v>
      </c>
      <c r="C1125" s="35" t="s">
        <v>23</v>
      </c>
      <c r="D1125" s="35" t="s">
        <v>51</v>
      </c>
      <c r="E1125" s="35" t="s">
        <v>25</v>
      </c>
      <c r="F1125" s="35" t="s">
        <v>25</v>
      </c>
      <c r="G1125" s="35" t="s">
        <v>25</v>
      </c>
      <c r="H1125" s="35" t="s">
        <v>25</v>
      </c>
      <c r="I1125" s="45">
        <v>44409</v>
      </c>
      <c r="J1125" s="46">
        <f>EFEITO!$J$1125*EFEITO!$Y$1125</f>
        <v>0</v>
      </c>
      <c r="K1125" s="46">
        <f ca="1">EFEITO!$L$1125*EFEITO!$Z$1125</f>
        <v>1672.1660435964127</v>
      </c>
      <c r="L1125" s="46">
        <f>EFEITO!$N$1125*EFEITO!$AA$1125</f>
        <v>1468.146190174235</v>
      </c>
      <c r="M1125" s="46">
        <f>$J$1125-EFEITO!$K$1125*EFEITO!$Y$1125</f>
        <v>0</v>
      </c>
      <c r="N1125" s="46">
        <f ca="1">$K$1125-EFEITO!$M$1125*EFEITO!$Z$1125</f>
        <v>0</v>
      </c>
      <c r="O1125" s="46">
        <f>$L$1125-EFEITO!$O$1125*EFEITO!$AA$1125</f>
        <v>0</v>
      </c>
      <c r="P1125" s="38"/>
      <c r="Q1125" s="38"/>
      <c r="R1125" s="38"/>
      <c r="S1125" s="38"/>
      <c r="T1125" s="38"/>
      <c r="U1125" s="38"/>
      <c r="V1125" s="38"/>
      <c r="W1125" s="38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35" t="s">
        <v>27</v>
      </c>
      <c r="B1126" s="35" t="s">
        <v>37</v>
      </c>
      <c r="C1126" s="35" t="s">
        <v>23</v>
      </c>
      <c r="D1126" s="35" t="s">
        <v>51</v>
      </c>
      <c r="E1126" s="35" t="s">
        <v>25</v>
      </c>
      <c r="F1126" s="35" t="s">
        <v>25</v>
      </c>
      <c r="G1126" s="35" t="s">
        <v>25</v>
      </c>
      <c r="H1126" s="35" t="s">
        <v>25</v>
      </c>
      <c r="I1126" s="45">
        <v>44409</v>
      </c>
      <c r="J1126" s="46">
        <f>EFEITO!$J$1126*EFEITO!$Y$1126</f>
        <v>0</v>
      </c>
      <c r="K1126" s="46">
        <f ca="1">EFEITO!$L$1126*EFEITO!$Z$1126</f>
        <v>35.13433948793282</v>
      </c>
      <c r="L1126" s="46">
        <f>EFEITO!$N$1126*EFEITO!$AA$1126</f>
        <v>30.847622376397489</v>
      </c>
      <c r="M1126" s="46">
        <f>$J$1126-EFEITO!$K$1126*EFEITO!$Y$1126</f>
        <v>0</v>
      </c>
      <c r="N1126" s="46">
        <f ca="1">$K$1126-EFEITO!$M$1126*EFEITO!$Z$1126</f>
        <v>0</v>
      </c>
      <c r="O1126" s="46">
        <f>$L$1126-EFEITO!$O$1126*EFEITO!$AA$1126</f>
        <v>0</v>
      </c>
      <c r="P1126" s="38"/>
      <c r="Q1126" s="38"/>
      <c r="R1126" s="38"/>
      <c r="S1126" s="38"/>
      <c r="T1126" s="38"/>
      <c r="U1126" s="38"/>
      <c r="V1126" s="38"/>
      <c r="W1126" s="38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35" t="s">
        <v>21</v>
      </c>
      <c r="B1127" s="35" t="s">
        <v>37</v>
      </c>
      <c r="C1127" s="35" t="s">
        <v>23</v>
      </c>
      <c r="D1127" s="35" t="s">
        <v>51</v>
      </c>
      <c r="E1127" s="35" t="s">
        <v>25</v>
      </c>
      <c r="F1127" s="35" t="s">
        <v>25</v>
      </c>
      <c r="G1127" s="35" t="s">
        <v>25</v>
      </c>
      <c r="H1127" s="35" t="s">
        <v>25</v>
      </c>
      <c r="I1127" s="45">
        <v>44440</v>
      </c>
      <c r="J1127" s="46">
        <f>EFEITO!$J$1127*EFEITO!$Y$1127</f>
        <v>0</v>
      </c>
      <c r="K1127" s="46">
        <f ca="1">EFEITO!$L$1127*EFEITO!$Z$1127</f>
        <v>1697.3028068072913</v>
      </c>
      <c r="L1127" s="46">
        <f>EFEITO!$N$1127*EFEITO!$AA$1127</f>
        <v>1490.2160338256413</v>
      </c>
      <c r="M1127" s="46">
        <f>$J$1127-EFEITO!$K$1127*EFEITO!$Y$1127</f>
        <v>0</v>
      </c>
      <c r="N1127" s="46">
        <f ca="1">$K$1127-EFEITO!$M$1127*EFEITO!$Z$1127</f>
        <v>0</v>
      </c>
      <c r="O1127" s="46">
        <f>$L$1127-EFEITO!$O$1127*EFEITO!$AA$1127</f>
        <v>0</v>
      </c>
      <c r="P1127" s="38"/>
      <c r="Q1127" s="38"/>
      <c r="R1127" s="38"/>
      <c r="S1127" s="38"/>
      <c r="T1127" s="38"/>
      <c r="U1127" s="38"/>
      <c r="V1127" s="38"/>
      <c r="W1127" s="38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35" t="s">
        <v>21</v>
      </c>
      <c r="B1128" s="35" t="s">
        <v>37</v>
      </c>
      <c r="C1128" s="35" t="s">
        <v>23</v>
      </c>
      <c r="D1128" s="35" t="s">
        <v>51</v>
      </c>
      <c r="E1128" s="35" t="s">
        <v>25</v>
      </c>
      <c r="F1128" s="35" t="s">
        <v>25</v>
      </c>
      <c r="G1128" s="35" t="s">
        <v>25</v>
      </c>
      <c r="H1128" s="35" t="s">
        <v>25</v>
      </c>
      <c r="I1128" s="45">
        <v>44470</v>
      </c>
      <c r="J1128" s="46">
        <f>EFEITO!$J$1128*EFEITO!$Y$1128</f>
        <v>0</v>
      </c>
      <c r="K1128" s="46">
        <f ca="1">EFEITO!$L$1128*EFEITO!$Z$1128</f>
        <v>1864.9764432253121</v>
      </c>
      <c r="L1128" s="46">
        <f>EFEITO!$N$1128*EFEITO!$AA$1128</f>
        <v>1637.4319227276358</v>
      </c>
      <c r="M1128" s="46">
        <f>$J$1128-EFEITO!$K$1128*EFEITO!$Y$1128</f>
        <v>0</v>
      </c>
      <c r="N1128" s="46">
        <f ca="1">$K$1128-EFEITO!$M$1128*EFEITO!$Z$1128</f>
        <v>0</v>
      </c>
      <c r="O1128" s="46">
        <f>$L$1128-EFEITO!$O$1128*EFEITO!$AA$1128</f>
        <v>0</v>
      </c>
      <c r="P1128" s="38"/>
      <c r="Q1128" s="38"/>
      <c r="R1128" s="38"/>
      <c r="S1128" s="38"/>
      <c r="T1128" s="38"/>
      <c r="U1128" s="38"/>
      <c r="V1128" s="38"/>
      <c r="W1128" s="38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35" t="s">
        <v>21</v>
      </c>
      <c r="B1129" s="35" t="s">
        <v>37</v>
      </c>
      <c r="C1129" s="35" t="s">
        <v>23</v>
      </c>
      <c r="D1129" s="35" t="s">
        <v>51</v>
      </c>
      <c r="E1129" s="35" t="s">
        <v>25</v>
      </c>
      <c r="F1129" s="35" t="s">
        <v>25</v>
      </c>
      <c r="G1129" s="35" t="s">
        <v>25</v>
      </c>
      <c r="H1129" s="35" t="s">
        <v>25</v>
      </c>
      <c r="I1129" s="45">
        <v>44501</v>
      </c>
      <c r="J1129" s="46">
        <f>EFEITO!$J$1129*EFEITO!$Y$1129</f>
        <v>0</v>
      </c>
      <c r="K1129" s="46">
        <f ca="1">EFEITO!$L$1129*EFEITO!$Z$1129</f>
        <v>1749.0045584114853</v>
      </c>
      <c r="L1129" s="46">
        <f>EFEITO!$N$1129*EFEITO!$AA$1129</f>
        <v>1535.6096895177384</v>
      </c>
      <c r="M1129" s="46">
        <f>$J$1129-EFEITO!$K$1129*EFEITO!$Y$1129</f>
        <v>0</v>
      </c>
      <c r="N1129" s="46">
        <f ca="1">$K$1129-EFEITO!$M$1129*EFEITO!$Z$1129</f>
        <v>0</v>
      </c>
      <c r="O1129" s="46">
        <f>$L$1129-EFEITO!$O$1129*EFEITO!$AA$1129</f>
        <v>0</v>
      </c>
      <c r="P1129" s="38"/>
      <c r="Q1129" s="38"/>
      <c r="R1129" s="38"/>
      <c r="S1129" s="38"/>
      <c r="T1129" s="38"/>
      <c r="U1129" s="38"/>
      <c r="V1129" s="38"/>
      <c r="W1129" s="38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35" t="s">
        <v>21</v>
      </c>
      <c r="B1130" s="35" t="s">
        <v>37</v>
      </c>
      <c r="C1130" s="35" t="s">
        <v>23</v>
      </c>
      <c r="D1130" s="35" t="s">
        <v>51</v>
      </c>
      <c r="E1130" s="35" t="s">
        <v>25</v>
      </c>
      <c r="F1130" s="35" t="s">
        <v>25</v>
      </c>
      <c r="G1130" s="35" t="s">
        <v>25</v>
      </c>
      <c r="H1130" s="35" t="s">
        <v>25</v>
      </c>
      <c r="I1130" s="45">
        <v>44531</v>
      </c>
      <c r="J1130" s="46">
        <f>EFEITO!$J$1130*EFEITO!$Y$1130</f>
        <v>0</v>
      </c>
      <c r="K1130" s="46">
        <f ca="1">EFEITO!$L$1130*EFEITO!$Z$1130</f>
        <v>1941.8149580403849</v>
      </c>
      <c r="L1130" s="46">
        <f>EFEITO!$N$1130*EFEITO!$AA$1130</f>
        <v>1704.8954220711394</v>
      </c>
      <c r="M1130" s="46">
        <f>$J$1130-EFEITO!$K$1130*EFEITO!$Y$1130</f>
        <v>0</v>
      </c>
      <c r="N1130" s="46">
        <f ca="1">$K$1130-EFEITO!$M$1130*EFEITO!$Z$1130</f>
        <v>0</v>
      </c>
      <c r="O1130" s="46">
        <f>$L$1130-EFEITO!$O$1130*EFEITO!$AA$1130</f>
        <v>0</v>
      </c>
      <c r="P1130" s="38"/>
      <c r="Q1130" s="38"/>
      <c r="R1130" s="38"/>
      <c r="S1130" s="38"/>
      <c r="T1130" s="38"/>
      <c r="U1130" s="38"/>
      <c r="V1130" s="38"/>
      <c r="W1130" s="38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35" t="s">
        <v>55</v>
      </c>
      <c r="B1131" s="35" t="s">
        <v>37</v>
      </c>
      <c r="C1131" s="35" t="s">
        <v>23</v>
      </c>
      <c r="D1131" s="35" t="s">
        <v>51</v>
      </c>
      <c r="E1131" s="35" t="s">
        <v>25</v>
      </c>
      <c r="F1131" s="35" t="s">
        <v>25</v>
      </c>
      <c r="G1131" s="35" t="s">
        <v>25</v>
      </c>
      <c r="H1131" s="35" t="s">
        <v>25</v>
      </c>
      <c r="I1131" s="45">
        <v>44562</v>
      </c>
      <c r="J1131" s="46">
        <f>EFEITO!$J$1131*EFEITO!$Y$1131</f>
        <v>0</v>
      </c>
      <c r="K1131" s="46">
        <f ca="1">EFEITO!$L$1131*EFEITO!$Z$1131</f>
        <v>1941.8149580403849</v>
      </c>
      <c r="L1131" s="46">
        <f>EFEITO!$N$1131*EFEITO!$AA$1131</f>
        <v>1704.8954220711394</v>
      </c>
      <c r="M1131" s="46">
        <f>$J$1131-EFEITO!$K$1131*EFEITO!$Y$1131</f>
        <v>0</v>
      </c>
      <c r="N1131" s="46">
        <f ca="1">$K$1131-EFEITO!$M$1131*EFEITO!$Z$1131</f>
        <v>0</v>
      </c>
      <c r="O1131" s="46">
        <f>$L$1131-EFEITO!$O$1131*EFEITO!$AA$1131</f>
        <v>0</v>
      </c>
      <c r="P1131" s="38"/>
      <c r="Q1131" s="38"/>
      <c r="R1131" s="38"/>
      <c r="S1131" s="38"/>
      <c r="T1131" s="38"/>
      <c r="U1131" s="38"/>
      <c r="V1131" s="38"/>
      <c r="W1131" s="38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35" t="s">
        <v>21</v>
      </c>
      <c r="B1132" s="35" t="s">
        <v>37</v>
      </c>
      <c r="C1132" s="35" t="s">
        <v>23</v>
      </c>
      <c r="D1132" s="35" t="s">
        <v>38</v>
      </c>
      <c r="E1132" s="35" t="s">
        <v>25</v>
      </c>
      <c r="F1132" s="35" t="s">
        <v>25</v>
      </c>
      <c r="G1132" s="35" t="s">
        <v>25</v>
      </c>
      <c r="H1132" s="35" t="s">
        <v>25</v>
      </c>
      <c r="I1132" s="45">
        <v>44228</v>
      </c>
      <c r="J1132" s="46">
        <f>EFEITO!$J$1132*EFEITO!$Y$1132</f>
        <v>0</v>
      </c>
      <c r="K1132" s="46">
        <f ca="1">EFEITO!$L$1132*EFEITO!$Z$1132</f>
        <v>112892.6313204944</v>
      </c>
      <c r="L1132" s="46">
        <f>EFEITO!$N$1132*EFEITO!$AA$1132</f>
        <v>99118.677362600138</v>
      </c>
      <c r="M1132" s="46">
        <f>$J$1132-EFEITO!$K$1132*EFEITO!$Y$1132</f>
        <v>0</v>
      </c>
      <c r="N1132" s="46">
        <f ca="1">$K$1132-EFEITO!$M$1132*EFEITO!$Z$1132</f>
        <v>0</v>
      </c>
      <c r="O1132" s="46">
        <f>$L$1132-EFEITO!$O$1132*EFEITO!$AA$1132</f>
        <v>0</v>
      </c>
      <c r="P1132" s="38"/>
      <c r="Q1132" s="38"/>
      <c r="R1132" s="38"/>
      <c r="S1132" s="38"/>
      <c r="T1132" s="38"/>
      <c r="U1132" s="38"/>
      <c r="V1132" s="38"/>
      <c r="W1132" s="38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35" t="s">
        <v>28</v>
      </c>
      <c r="B1133" s="35" t="s">
        <v>37</v>
      </c>
      <c r="C1133" s="35" t="s">
        <v>23</v>
      </c>
      <c r="D1133" s="35" t="s">
        <v>38</v>
      </c>
      <c r="E1133" s="35" t="s">
        <v>25</v>
      </c>
      <c r="F1133" s="35" t="s">
        <v>25</v>
      </c>
      <c r="G1133" s="35" t="s">
        <v>25</v>
      </c>
      <c r="H1133" s="35" t="s">
        <v>25</v>
      </c>
      <c r="I1133" s="45">
        <v>44228</v>
      </c>
      <c r="J1133" s="46">
        <f>EFEITO!$J$1133*EFEITO!$Y$1133</f>
        <v>0</v>
      </c>
      <c r="K1133" s="46">
        <f ca="1">EFEITO!$L$1133*EFEITO!$Z$1133</f>
        <v>9713.645110785721</v>
      </c>
      <c r="L1133" s="46">
        <f>EFEITO!$N$1133*EFEITO!$AA$1133</f>
        <v>8528.4898092014064</v>
      </c>
      <c r="M1133" s="46">
        <f>$J$1133-EFEITO!$K$1133*EFEITO!$Y$1133</f>
        <v>0</v>
      </c>
      <c r="N1133" s="46">
        <f ca="1">$K$1133-EFEITO!$M$1133*EFEITO!$Z$1133</f>
        <v>0</v>
      </c>
      <c r="O1133" s="46">
        <f>$L$1133-EFEITO!$O$1133*EFEITO!$AA$1133</f>
        <v>0</v>
      </c>
      <c r="P1133" s="38"/>
      <c r="Q1133" s="38"/>
      <c r="R1133" s="38"/>
      <c r="S1133" s="38"/>
      <c r="T1133" s="38"/>
      <c r="U1133" s="38"/>
      <c r="V1133" s="38"/>
      <c r="W1133" s="38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35" t="s">
        <v>21</v>
      </c>
      <c r="B1134" s="35" t="s">
        <v>37</v>
      </c>
      <c r="C1134" s="35" t="s">
        <v>23</v>
      </c>
      <c r="D1134" s="35" t="s">
        <v>38</v>
      </c>
      <c r="E1134" s="35" t="s">
        <v>25</v>
      </c>
      <c r="F1134" s="35" t="s">
        <v>25</v>
      </c>
      <c r="G1134" s="35" t="s">
        <v>25</v>
      </c>
      <c r="H1134" s="35" t="s">
        <v>25</v>
      </c>
      <c r="I1134" s="45">
        <v>44256</v>
      </c>
      <c r="J1134" s="46">
        <f>EFEITO!$J$1134*EFEITO!$Y$1134</f>
        <v>0</v>
      </c>
      <c r="K1134" s="46">
        <f ca="1">EFEITO!$L$1134*EFEITO!$Z$1134</f>
        <v>117806.86852822118</v>
      </c>
      <c r="L1134" s="46">
        <f>EFEITO!$N$1134*EFEITO!$AA$1134</f>
        <v>103433.33179645006</v>
      </c>
      <c r="M1134" s="46">
        <f>$J$1134-EFEITO!$K$1134*EFEITO!$Y$1134</f>
        <v>0</v>
      </c>
      <c r="N1134" s="46">
        <f ca="1">$K$1134-EFEITO!$M$1134*EFEITO!$Z$1134</f>
        <v>0</v>
      </c>
      <c r="O1134" s="46">
        <f>$L$1134-EFEITO!$O$1134*EFEITO!$AA$1134</f>
        <v>0</v>
      </c>
      <c r="P1134" s="38"/>
      <c r="Q1134" s="38"/>
      <c r="R1134" s="38"/>
      <c r="S1134" s="38"/>
      <c r="T1134" s="38"/>
      <c r="U1134" s="38"/>
      <c r="V1134" s="38"/>
      <c r="W1134" s="38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35" t="s">
        <v>28</v>
      </c>
      <c r="B1135" s="35" t="s">
        <v>37</v>
      </c>
      <c r="C1135" s="35" t="s">
        <v>23</v>
      </c>
      <c r="D1135" s="35" t="s">
        <v>38</v>
      </c>
      <c r="E1135" s="35" t="s">
        <v>25</v>
      </c>
      <c r="F1135" s="35" t="s">
        <v>25</v>
      </c>
      <c r="G1135" s="35" t="s">
        <v>25</v>
      </c>
      <c r="H1135" s="35" t="s">
        <v>25</v>
      </c>
      <c r="I1135" s="45">
        <v>44256</v>
      </c>
      <c r="J1135" s="46">
        <f>EFEITO!$J$1135*EFEITO!$Y$1135</f>
        <v>0</v>
      </c>
      <c r="K1135" s="46">
        <f ca="1">EFEITO!$L$1135*EFEITO!$Z$1135</f>
        <v>8121.45967740574</v>
      </c>
      <c r="L1135" s="46">
        <f>EFEITO!$N$1135*EFEITO!$AA$1135</f>
        <v>7130.5658488271001</v>
      </c>
      <c r="M1135" s="46">
        <f>$J$1135-EFEITO!$K$1135*EFEITO!$Y$1135</f>
        <v>0</v>
      </c>
      <c r="N1135" s="46">
        <f ca="1">$K$1135-EFEITO!$M$1135*EFEITO!$Z$1135</f>
        <v>0</v>
      </c>
      <c r="O1135" s="46">
        <f>$L$1135-EFEITO!$O$1135*EFEITO!$AA$1135</f>
        <v>0</v>
      </c>
      <c r="P1135" s="38"/>
      <c r="Q1135" s="38"/>
      <c r="R1135" s="38"/>
      <c r="S1135" s="38"/>
      <c r="T1135" s="38"/>
      <c r="U1135" s="38"/>
      <c r="V1135" s="38"/>
      <c r="W1135" s="38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35" t="s">
        <v>21</v>
      </c>
      <c r="B1136" s="35" t="s">
        <v>37</v>
      </c>
      <c r="C1136" s="35" t="s">
        <v>23</v>
      </c>
      <c r="D1136" s="35" t="s">
        <v>38</v>
      </c>
      <c r="E1136" s="35" t="s">
        <v>25</v>
      </c>
      <c r="F1136" s="35" t="s">
        <v>25</v>
      </c>
      <c r="G1136" s="35" t="s">
        <v>25</v>
      </c>
      <c r="H1136" s="35" t="s">
        <v>25</v>
      </c>
      <c r="I1136" s="45">
        <v>44287</v>
      </c>
      <c r="J1136" s="46">
        <f>EFEITO!$J$1136*EFEITO!$Y$1136</f>
        <v>0</v>
      </c>
      <c r="K1136" s="46">
        <f ca="1">EFEITO!$L$1136*EFEITO!$Z$1136</f>
        <v>132852.93518015105</v>
      </c>
      <c r="L1136" s="46">
        <f>EFEITO!$N$1136*EFEITO!$AA$1136</f>
        <v>116643.63798388391</v>
      </c>
      <c r="M1136" s="46">
        <f>$J$1136-EFEITO!$K$1136*EFEITO!$Y$1136</f>
        <v>0</v>
      </c>
      <c r="N1136" s="46">
        <f ca="1">$K$1136-EFEITO!$M$1136*EFEITO!$Z$1136</f>
        <v>0</v>
      </c>
      <c r="O1136" s="46">
        <f>$L$1136-EFEITO!$O$1136*EFEITO!$AA$1136</f>
        <v>0</v>
      </c>
      <c r="P1136" s="38"/>
      <c r="Q1136" s="38"/>
      <c r="R1136" s="38"/>
      <c r="S1136" s="38"/>
      <c r="T1136" s="38"/>
      <c r="U1136" s="38"/>
      <c r="V1136" s="38"/>
      <c r="W1136" s="38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35" t="s">
        <v>27</v>
      </c>
      <c r="B1137" s="35" t="s">
        <v>37</v>
      </c>
      <c r="C1137" s="35" t="s">
        <v>23</v>
      </c>
      <c r="D1137" s="35" t="s">
        <v>38</v>
      </c>
      <c r="E1137" s="35" t="s">
        <v>25</v>
      </c>
      <c r="F1137" s="35" t="s">
        <v>25</v>
      </c>
      <c r="G1137" s="35" t="s">
        <v>25</v>
      </c>
      <c r="H1137" s="35" t="s">
        <v>25</v>
      </c>
      <c r="I1137" s="45">
        <v>44287</v>
      </c>
      <c r="J1137" s="46">
        <f>EFEITO!$J$1137*EFEITO!$Y$1137</f>
        <v>0</v>
      </c>
      <c r="K1137" s="46">
        <f ca="1">EFEITO!$L$1137*EFEITO!$Z$1137</f>
        <v>-611.28037808273371</v>
      </c>
      <c r="L1137" s="46">
        <f>EFEITO!$N$1137*EFEITO!$AA$1137</f>
        <v>-536.69847061374492</v>
      </c>
      <c r="M1137" s="46">
        <f>$J$1137-EFEITO!$K$1137*EFEITO!$Y$1137</f>
        <v>0</v>
      </c>
      <c r="N1137" s="46">
        <f ca="1">$K$1137-EFEITO!$M$1137*EFEITO!$Z$1137</f>
        <v>0</v>
      </c>
      <c r="O1137" s="46">
        <f>$L$1137-EFEITO!$O$1137*EFEITO!$AA$1137</f>
        <v>0</v>
      </c>
      <c r="P1137" s="38"/>
      <c r="Q1137" s="38"/>
      <c r="R1137" s="38"/>
      <c r="S1137" s="38"/>
      <c r="T1137" s="38"/>
      <c r="U1137" s="38"/>
      <c r="V1137" s="38"/>
      <c r="W1137" s="38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35" t="s">
        <v>28</v>
      </c>
      <c r="B1138" s="35" t="s">
        <v>37</v>
      </c>
      <c r="C1138" s="35" t="s">
        <v>23</v>
      </c>
      <c r="D1138" s="35" t="s">
        <v>38</v>
      </c>
      <c r="E1138" s="35" t="s">
        <v>25</v>
      </c>
      <c r="F1138" s="35" t="s">
        <v>25</v>
      </c>
      <c r="G1138" s="35" t="s">
        <v>25</v>
      </c>
      <c r="H1138" s="35" t="s">
        <v>25</v>
      </c>
      <c r="I1138" s="45">
        <v>44287</v>
      </c>
      <c r="J1138" s="46">
        <f>EFEITO!$J$1138*EFEITO!$Y$1138</f>
        <v>0</v>
      </c>
      <c r="K1138" s="46">
        <f ca="1">EFEITO!$L$1138*EFEITO!$Z$1138</f>
        <v>9590.2464550232235</v>
      </c>
      <c r="L1138" s="46">
        <f>EFEITO!$N$1138*EFEITO!$AA$1138</f>
        <v>8420.146940367229</v>
      </c>
      <c r="M1138" s="46">
        <f>$J$1138-EFEITO!$K$1138*EFEITO!$Y$1138</f>
        <v>0</v>
      </c>
      <c r="N1138" s="46">
        <f ca="1">$K$1138-EFEITO!$M$1138*EFEITO!$Z$1138</f>
        <v>0</v>
      </c>
      <c r="O1138" s="46">
        <f>$L$1138-EFEITO!$O$1138*EFEITO!$AA$1138</f>
        <v>0</v>
      </c>
      <c r="P1138" s="38"/>
      <c r="Q1138" s="38"/>
      <c r="R1138" s="38"/>
      <c r="S1138" s="38"/>
      <c r="T1138" s="38"/>
      <c r="U1138" s="38"/>
      <c r="V1138" s="38"/>
      <c r="W1138" s="38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35" t="s">
        <v>21</v>
      </c>
      <c r="B1139" s="35" t="s">
        <v>37</v>
      </c>
      <c r="C1139" s="35" t="s">
        <v>23</v>
      </c>
      <c r="D1139" s="35" t="s">
        <v>38</v>
      </c>
      <c r="E1139" s="35" t="s">
        <v>25</v>
      </c>
      <c r="F1139" s="35" t="s">
        <v>25</v>
      </c>
      <c r="G1139" s="35" t="s">
        <v>25</v>
      </c>
      <c r="H1139" s="35" t="s">
        <v>25</v>
      </c>
      <c r="I1139" s="45">
        <v>44317</v>
      </c>
      <c r="J1139" s="46">
        <f>EFEITO!$J$1139*EFEITO!$Y$1139</f>
        <v>0</v>
      </c>
      <c r="K1139" s="46">
        <f ca="1">EFEITO!$L$1139*EFEITO!$Z$1139</f>
        <v>117538.36219392317</v>
      </c>
      <c r="L1139" s="46">
        <f>EFEITO!$N$1139*EFEITO!$AA$1139</f>
        <v>103197.58573926458</v>
      </c>
      <c r="M1139" s="46">
        <f>$J$1139-EFEITO!$K$1139*EFEITO!$Y$1139</f>
        <v>0</v>
      </c>
      <c r="N1139" s="46">
        <f ca="1">$K$1139-EFEITO!$M$1139*EFEITO!$Z$1139</f>
        <v>0</v>
      </c>
      <c r="O1139" s="46">
        <f>$L$1139-EFEITO!$O$1139*EFEITO!$AA$1139</f>
        <v>0</v>
      </c>
      <c r="P1139" s="38"/>
      <c r="Q1139" s="38"/>
      <c r="R1139" s="38"/>
      <c r="S1139" s="38"/>
      <c r="T1139" s="38"/>
      <c r="U1139" s="38"/>
      <c r="V1139" s="38"/>
      <c r="W1139" s="38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35" t="s">
        <v>27</v>
      </c>
      <c r="B1140" s="35" t="s">
        <v>37</v>
      </c>
      <c r="C1140" s="35" t="s">
        <v>23</v>
      </c>
      <c r="D1140" s="35" t="s">
        <v>38</v>
      </c>
      <c r="E1140" s="35" t="s">
        <v>25</v>
      </c>
      <c r="F1140" s="35" t="s">
        <v>25</v>
      </c>
      <c r="G1140" s="35" t="s">
        <v>25</v>
      </c>
      <c r="H1140" s="35" t="s">
        <v>25</v>
      </c>
      <c r="I1140" s="45">
        <v>44317</v>
      </c>
      <c r="J1140" s="46">
        <f>EFEITO!$J$1140*EFEITO!$Y$1140</f>
        <v>0</v>
      </c>
      <c r="K1140" s="46">
        <f ca="1">EFEITO!$L$1140*EFEITO!$Z$1140</f>
        <v>-281.6460059764371</v>
      </c>
      <c r="L1140" s="46">
        <f>EFEITO!$N$1140*EFEITO!$AA$1140</f>
        <v>-247.28256636689369</v>
      </c>
      <c r="M1140" s="46">
        <f>$J$1140-EFEITO!$K$1140*EFEITO!$Y$1140</f>
        <v>0</v>
      </c>
      <c r="N1140" s="46">
        <f ca="1">$K$1140-EFEITO!$M$1140*EFEITO!$Z$1140</f>
        <v>0</v>
      </c>
      <c r="O1140" s="46">
        <f>$L$1140-EFEITO!$O$1140*EFEITO!$AA$1140</f>
        <v>0</v>
      </c>
      <c r="P1140" s="38"/>
      <c r="Q1140" s="38"/>
      <c r="R1140" s="38"/>
      <c r="S1140" s="38"/>
      <c r="T1140" s="38"/>
      <c r="U1140" s="38"/>
      <c r="V1140" s="38"/>
      <c r="W1140" s="38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35" t="s">
        <v>28</v>
      </c>
      <c r="B1141" s="35" t="s">
        <v>37</v>
      </c>
      <c r="C1141" s="35" t="s">
        <v>23</v>
      </c>
      <c r="D1141" s="35" t="s">
        <v>38</v>
      </c>
      <c r="E1141" s="35" t="s">
        <v>25</v>
      </c>
      <c r="F1141" s="35" t="s">
        <v>25</v>
      </c>
      <c r="G1141" s="35" t="s">
        <v>25</v>
      </c>
      <c r="H1141" s="35" t="s">
        <v>25</v>
      </c>
      <c r="I1141" s="45">
        <v>44317</v>
      </c>
      <c r="J1141" s="46">
        <f>EFEITO!$J$1141*EFEITO!$Y$1141</f>
        <v>0</v>
      </c>
      <c r="K1141" s="46">
        <f ca="1">EFEITO!$L$1141*EFEITO!$Z$1141</f>
        <v>10278.079702884543</v>
      </c>
      <c r="L1141" s="46">
        <f>EFEITO!$N$1141*EFEITO!$AA$1141</f>
        <v>9024.0581166466218</v>
      </c>
      <c r="M1141" s="46">
        <f>$J$1141-EFEITO!$K$1141*EFEITO!$Y$1141</f>
        <v>0</v>
      </c>
      <c r="N1141" s="46">
        <f ca="1">$K$1141-EFEITO!$M$1141*EFEITO!$Z$1141</f>
        <v>0</v>
      </c>
      <c r="O1141" s="46">
        <f>$L$1141-EFEITO!$O$1141*EFEITO!$AA$1141</f>
        <v>0</v>
      </c>
      <c r="P1141" s="38"/>
      <c r="Q1141" s="38"/>
      <c r="R1141" s="38"/>
      <c r="S1141" s="38"/>
      <c r="T1141" s="38"/>
      <c r="U1141" s="38"/>
      <c r="V1141" s="38"/>
      <c r="W1141" s="38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35" t="s">
        <v>21</v>
      </c>
      <c r="B1142" s="35" t="s">
        <v>37</v>
      </c>
      <c r="C1142" s="35" t="s">
        <v>23</v>
      </c>
      <c r="D1142" s="35" t="s">
        <v>38</v>
      </c>
      <c r="E1142" s="35" t="s">
        <v>25</v>
      </c>
      <c r="F1142" s="35" t="s">
        <v>25</v>
      </c>
      <c r="G1142" s="35" t="s">
        <v>25</v>
      </c>
      <c r="H1142" s="35" t="s">
        <v>25</v>
      </c>
      <c r="I1142" s="45">
        <v>44348</v>
      </c>
      <c r="J1142" s="46">
        <f>EFEITO!$J$1142*EFEITO!$Y$1142</f>
        <v>0</v>
      </c>
      <c r="K1142" s="46">
        <f ca="1">EFEITO!$L$1142*EFEITO!$Z$1142</f>
        <v>106349.93175975373</v>
      </c>
      <c r="L1142" s="46">
        <f>EFEITO!$N$1142*EFEITO!$AA$1142</f>
        <v>93374.248171288054</v>
      </c>
      <c r="M1142" s="46">
        <f>$J$1142-EFEITO!$K$1142*EFEITO!$Y$1142</f>
        <v>0</v>
      </c>
      <c r="N1142" s="46">
        <f ca="1">$K$1142-EFEITO!$M$1142*EFEITO!$Z$1142</f>
        <v>0</v>
      </c>
      <c r="O1142" s="46">
        <f>$L$1142-EFEITO!$O$1142*EFEITO!$AA$1142</f>
        <v>0</v>
      </c>
      <c r="P1142" s="38"/>
      <c r="Q1142" s="38"/>
      <c r="R1142" s="38"/>
      <c r="S1142" s="38"/>
      <c r="T1142" s="38"/>
      <c r="U1142" s="38"/>
      <c r="V1142" s="38"/>
      <c r="W1142" s="38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35" t="s">
        <v>28</v>
      </c>
      <c r="B1143" s="35" t="s">
        <v>37</v>
      </c>
      <c r="C1143" s="35" t="s">
        <v>23</v>
      </c>
      <c r="D1143" s="35" t="s">
        <v>38</v>
      </c>
      <c r="E1143" s="35" t="s">
        <v>25</v>
      </c>
      <c r="F1143" s="35" t="s">
        <v>25</v>
      </c>
      <c r="G1143" s="35" t="s">
        <v>25</v>
      </c>
      <c r="H1143" s="35" t="s">
        <v>25</v>
      </c>
      <c r="I1143" s="45">
        <v>44348</v>
      </c>
      <c r="J1143" s="46">
        <f>EFEITO!$J$1143*EFEITO!$Y$1143</f>
        <v>0</v>
      </c>
      <c r="K1143" s="46">
        <f ca="1">EFEITO!$L$1143*EFEITO!$Z$1143</f>
        <v>14415.648056402486</v>
      </c>
      <c r="L1143" s="46">
        <f>EFEITO!$N$1143*EFEITO!$AA$1143</f>
        <v>12656.804540403675</v>
      </c>
      <c r="M1143" s="46">
        <f>$J$1143-EFEITO!$K$1143*EFEITO!$Y$1143</f>
        <v>0</v>
      </c>
      <c r="N1143" s="46">
        <f ca="1">$K$1143-EFEITO!$M$1143*EFEITO!$Z$1143</f>
        <v>0</v>
      </c>
      <c r="O1143" s="46">
        <f>$L$1143-EFEITO!$O$1143*EFEITO!$AA$1143</f>
        <v>0</v>
      </c>
      <c r="P1143" s="38"/>
      <c r="Q1143" s="38"/>
      <c r="R1143" s="38"/>
      <c r="S1143" s="38"/>
      <c r="T1143" s="38"/>
      <c r="U1143" s="38"/>
      <c r="V1143" s="38"/>
      <c r="W1143" s="38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35" t="s">
        <v>21</v>
      </c>
      <c r="B1144" s="35" t="s">
        <v>37</v>
      </c>
      <c r="C1144" s="35" t="s">
        <v>23</v>
      </c>
      <c r="D1144" s="35" t="s">
        <v>38</v>
      </c>
      <c r="E1144" s="35" t="s">
        <v>25</v>
      </c>
      <c r="F1144" s="35" t="s">
        <v>25</v>
      </c>
      <c r="G1144" s="35" t="s">
        <v>25</v>
      </c>
      <c r="H1144" s="35" t="s">
        <v>25</v>
      </c>
      <c r="I1144" s="45">
        <v>44378</v>
      </c>
      <c r="J1144" s="46">
        <f>EFEITO!$J$1144*EFEITO!$Y$1144</f>
        <v>0</v>
      </c>
      <c r="K1144" s="46">
        <f ca="1">EFEITO!$L$1144*EFEITO!$Z$1144</f>
        <v>119712.12092159121</v>
      </c>
      <c r="L1144" s="46">
        <f>EFEITO!$N$1144*EFEITO!$AA$1144</f>
        <v>105106.12562775552</v>
      </c>
      <c r="M1144" s="46">
        <f>$J$1144-EFEITO!$K$1144*EFEITO!$Y$1144</f>
        <v>0</v>
      </c>
      <c r="N1144" s="46">
        <f ca="1">$K$1144-EFEITO!$M$1144*EFEITO!$Z$1144</f>
        <v>0</v>
      </c>
      <c r="O1144" s="46">
        <f>$L$1144-EFEITO!$O$1144*EFEITO!$AA$1144</f>
        <v>0</v>
      </c>
      <c r="P1144" s="38"/>
      <c r="Q1144" s="38"/>
      <c r="R1144" s="38"/>
      <c r="S1144" s="38"/>
      <c r="T1144" s="38"/>
      <c r="U1144" s="38"/>
      <c r="V1144" s="38"/>
      <c r="W1144" s="38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35" t="s">
        <v>28</v>
      </c>
      <c r="B1145" s="35" t="s">
        <v>37</v>
      </c>
      <c r="C1145" s="35" t="s">
        <v>23</v>
      </c>
      <c r="D1145" s="35" t="s">
        <v>38</v>
      </c>
      <c r="E1145" s="35" t="s">
        <v>25</v>
      </c>
      <c r="F1145" s="35" t="s">
        <v>25</v>
      </c>
      <c r="G1145" s="35" t="s">
        <v>25</v>
      </c>
      <c r="H1145" s="35" t="s">
        <v>25</v>
      </c>
      <c r="I1145" s="45">
        <v>44378</v>
      </c>
      <c r="J1145" s="46">
        <f>EFEITO!$J$1145*EFEITO!$Y$1145</f>
        <v>0</v>
      </c>
      <c r="K1145" s="46">
        <f ca="1">EFEITO!$L$1145*EFEITO!$Z$1145</f>
        <v>17339.796294922555</v>
      </c>
      <c r="L1145" s="46">
        <f>EFEITO!$N$1145*EFEITO!$AA$1145</f>
        <v>15224.17942062466</v>
      </c>
      <c r="M1145" s="46">
        <f>$J$1145-EFEITO!$K$1145*EFEITO!$Y$1145</f>
        <v>0</v>
      </c>
      <c r="N1145" s="46">
        <f ca="1">$K$1145-EFEITO!$M$1145*EFEITO!$Z$1145</f>
        <v>0</v>
      </c>
      <c r="O1145" s="46">
        <f>$L$1145-EFEITO!$O$1145*EFEITO!$AA$1145</f>
        <v>0</v>
      </c>
      <c r="P1145" s="38"/>
      <c r="Q1145" s="38"/>
      <c r="R1145" s="38"/>
      <c r="S1145" s="38"/>
      <c r="T1145" s="38"/>
      <c r="U1145" s="38"/>
      <c r="V1145" s="38"/>
      <c r="W1145" s="38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35" t="s">
        <v>21</v>
      </c>
      <c r="B1146" s="35" t="s">
        <v>37</v>
      </c>
      <c r="C1146" s="35" t="s">
        <v>23</v>
      </c>
      <c r="D1146" s="35" t="s">
        <v>38</v>
      </c>
      <c r="E1146" s="35" t="s">
        <v>25</v>
      </c>
      <c r="F1146" s="35" t="s">
        <v>25</v>
      </c>
      <c r="G1146" s="35" t="s">
        <v>25</v>
      </c>
      <c r="H1146" s="35" t="s">
        <v>25</v>
      </c>
      <c r="I1146" s="45">
        <v>44409</v>
      </c>
      <c r="J1146" s="46">
        <f>EFEITO!$J$1146*EFEITO!$Y$1146</f>
        <v>0</v>
      </c>
      <c r="K1146" s="46">
        <f ca="1">EFEITO!$L$1146*EFEITO!$Z$1146</f>
        <v>114137.18674446938</v>
      </c>
      <c r="L1146" s="46">
        <f>EFEITO!$N$1146*EFEITO!$AA$1146</f>
        <v>100211.3854170226</v>
      </c>
      <c r="M1146" s="46">
        <f>$J$1146-EFEITO!$K$1146*EFEITO!$Y$1146</f>
        <v>0</v>
      </c>
      <c r="N1146" s="46">
        <f ca="1">$K$1146-EFEITO!$M$1146*EFEITO!$Z$1146</f>
        <v>0</v>
      </c>
      <c r="O1146" s="46">
        <f>$L$1146-EFEITO!$O$1146*EFEITO!$AA$1146</f>
        <v>0</v>
      </c>
      <c r="P1146" s="38"/>
      <c r="Q1146" s="38"/>
      <c r="R1146" s="38"/>
      <c r="S1146" s="38"/>
      <c r="T1146" s="38"/>
      <c r="U1146" s="38"/>
      <c r="V1146" s="38"/>
      <c r="W1146" s="38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35" t="s">
        <v>27</v>
      </c>
      <c r="B1147" s="35" t="s">
        <v>37</v>
      </c>
      <c r="C1147" s="35" t="s">
        <v>23</v>
      </c>
      <c r="D1147" s="35" t="s">
        <v>38</v>
      </c>
      <c r="E1147" s="35" t="s">
        <v>25</v>
      </c>
      <c r="F1147" s="35" t="s">
        <v>25</v>
      </c>
      <c r="G1147" s="35" t="s">
        <v>25</v>
      </c>
      <c r="H1147" s="35" t="s">
        <v>25</v>
      </c>
      <c r="I1147" s="45">
        <v>44409</v>
      </c>
      <c r="J1147" s="46">
        <f>EFEITO!$J$1147*EFEITO!$Y$1147</f>
        <v>0</v>
      </c>
      <c r="K1147" s="46">
        <f ca="1">EFEITO!$L$1147*EFEITO!$Z$1147</f>
        <v>-230.22989940873055</v>
      </c>
      <c r="L1147" s="46">
        <f>EFEITO!$N$1147*EFEITO!$AA$1147</f>
        <v>-202.13970435265347</v>
      </c>
      <c r="M1147" s="46">
        <f>$J$1147-EFEITO!$K$1147*EFEITO!$Y$1147</f>
        <v>0</v>
      </c>
      <c r="N1147" s="46">
        <f ca="1">$K$1147-EFEITO!$M$1147*EFEITO!$Z$1147</f>
        <v>0</v>
      </c>
      <c r="O1147" s="46">
        <f>$L$1147-EFEITO!$O$1147*EFEITO!$AA$1147</f>
        <v>0</v>
      </c>
      <c r="P1147" s="38"/>
      <c r="Q1147" s="38"/>
      <c r="R1147" s="38"/>
      <c r="S1147" s="38"/>
      <c r="T1147" s="38"/>
      <c r="U1147" s="38"/>
      <c r="V1147" s="38"/>
      <c r="W1147" s="38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35" t="s">
        <v>28</v>
      </c>
      <c r="B1148" s="35" t="s">
        <v>37</v>
      </c>
      <c r="C1148" s="35" t="s">
        <v>23</v>
      </c>
      <c r="D1148" s="35" t="s">
        <v>38</v>
      </c>
      <c r="E1148" s="35" t="s">
        <v>25</v>
      </c>
      <c r="F1148" s="35" t="s">
        <v>25</v>
      </c>
      <c r="G1148" s="35" t="s">
        <v>25</v>
      </c>
      <c r="H1148" s="35" t="s">
        <v>25</v>
      </c>
      <c r="I1148" s="45">
        <v>44409</v>
      </c>
      <c r="J1148" s="46">
        <f>EFEITO!$J$1148*EFEITO!$Y$1148</f>
        <v>0</v>
      </c>
      <c r="K1148" s="46">
        <f ca="1">EFEITO!$L$1148*EFEITO!$Z$1148</f>
        <v>15881.864028691585</v>
      </c>
      <c r="L1148" s="46">
        <f>EFEITO!$N$1148*EFEITO!$AA$1148</f>
        <v>13944.128488843093</v>
      </c>
      <c r="M1148" s="46">
        <f>$J$1148-EFEITO!$K$1148*EFEITO!$Y$1148</f>
        <v>0</v>
      </c>
      <c r="N1148" s="46">
        <f ca="1">$K$1148-EFEITO!$M$1148*EFEITO!$Z$1148</f>
        <v>0</v>
      </c>
      <c r="O1148" s="46">
        <f>$L$1148-EFEITO!$O$1148*EFEITO!$AA$1148</f>
        <v>0</v>
      </c>
      <c r="P1148" s="38"/>
      <c r="Q1148" s="38"/>
      <c r="R1148" s="38"/>
      <c r="S1148" s="38"/>
      <c r="T1148" s="38"/>
      <c r="U1148" s="38"/>
      <c r="V1148" s="38"/>
      <c r="W1148" s="38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35" t="s">
        <v>21</v>
      </c>
      <c r="B1149" s="35" t="s">
        <v>37</v>
      </c>
      <c r="C1149" s="35" t="s">
        <v>23</v>
      </c>
      <c r="D1149" s="35" t="s">
        <v>38</v>
      </c>
      <c r="E1149" s="35" t="s">
        <v>25</v>
      </c>
      <c r="F1149" s="35" t="s">
        <v>25</v>
      </c>
      <c r="G1149" s="35" t="s">
        <v>25</v>
      </c>
      <c r="H1149" s="35" t="s">
        <v>25</v>
      </c>
      <c r="I1149" s="45">
        <v>44440</v>
      </c>
      <c r="J1149" s="46">
        <f>EFEITO!$J$1149*EFEITO!$Y$1149</f>
        <v>0</v>
      </c>
      <c r="K1149" s="46">
        <f ca="1">EFEITO!$L$1149*EFEITO!$Z$1149</f>
        <v>114875.29351875246</v>
      </c>
      <c r="L1149" s="46">
        <f>EFEITO!$N$1149*EFEITO!$AA$1149</f>
        <v>100859.4362806048</v>
      </c>
      <c r="M1149" s="46">
        <f>$J$1149-EFEITO!$K$1149*EFEITO!$Y$1149</f>
        <v>0</v>
      </c>
      <c r="N1149" s="46">
        <f ca="1">$K$1149-EFEITO!$M$1149*EFEITO!$Z$1149</f>
        <v>0</v>
      </c>
      <c r="O1149" s="46">
        <f>$L$1149-EFEITO!$O$1149*EFEITO!$AA$1149</f>
        <v>0</v>
      </c>
      <c r="P1149" s="38"/>
      <c r="Q1149" s="38"/>
      <c r="R1149" s="38"/>
      <c r="S1149" s="38"/>
      <c r="T1149" s="38"/>
      <c r="U1149" s="38"/>
      <c r="V1149" s="38"/>
      <c r="W1149" s="38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35" t="s">
        <v>28</v>
      </c>
      <c r="B1150" s="35" t="s">
        <v>37</v>
      </c>
      <c r="C1150" s="35" t="s">
        <v>23</v>
      </c>
      <c r="D1150" s="35" t="s">
        <v>38</v>
      </c>
      <c r="E1150" s="35" t="s">
        <v>25</v>
      </c>
      <c r="F1150" s="35" t="s">
        <v>25</v>
      </c>
      <c r="G1150" s="35" t="s">
        <v>25</v>
      </c>
      <c r="H1150" s="35" t="s">
        <v>25</v>
      </c>
      <c r="I1150" s="45">
        <v>44440</v>
      </c>
      <c r="J1150" s="46">
        <f>EFEITO!$J$1150*EFEITO!$Y$1150</f>
        <v>0</v>
      </c>
      <c r="K1150" s="46">
        <f ca="1">EFEITO!$L$1150*EFEITO!$Z$1150</f>
        <v>14987.509419449978</v>
      </c>
      <c r="L1150" s="46">
        <f>EFEITO!$N$1150*EFEITO!$AA$1150</f>
        <v>13158.89348347317</v>
      </c>
      <c r="M1150" s="46">
        <f>$J$1150-EFEITO!$K$1150*EFEITO!$Y$1150</f>
        <v>0</v>
      </c>
      <c r="N1150" s="46">
        <f ca="1">$K$1150-EFEITO!$M$1150*EFEITO!$Z$1150</f>
        <v>0</v>
      </c>
      <c r="O1150" s="46">
        <f>$L$1150-EFEITO!$O$1150*EFEITO!$AA$1150</f>
        <v>0</v>
      </c>
      <c r="P1150" s="38"/>
      <c r="Q1150" s="38"/>
      <c r="R1150" s="38"/>
      <c r="S1150" s="38"/>
      <c r="T1150" s="38"/>
      <c r="U1150" s="38"/>
      <c r="V1150" s="38"/>
      <c r="W1150" s="38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35" t="s">
        <v>21</v>
      </c>
      <c r="B1151" s="35" t="s">
        <v>37</v>
      </c>
      <c r="C1151" s="35" t="s">
        <v>23</v>
      </c>
      <c r="D1151" s="35" t="s">
        <v>38</v>
      </c>
      <c r="E1151" s="35" t="s">
        <v>25</v>
      </c>
      <c r="F1151" s="35" t="s">
        <v>25</v>
      </c>
      <c r="G1151" s="35" t="s">
        <v>25</v>
      </c>
      <c r="H1151" s="35" t="s">
        <v>25</v>
      </c>
      <c r="I1151" s="45">
        <v>44470</v>
      </c>
      <c r="J1151" s="46">
        <f>EFEITO!$J$1151*EFEITO!$Y$1151</f>
        <v>0</v>
      </c>
      <c r="K1151" s="46">
        <f ca="1">EFEITO!$L$1151*EFEITO!$Z$1151</f>
        <v>113153.71088384376</v>
      </c>
      <c r="L1151" s="46">
        <f>EFEITO!$N$1151*EFEITO!$AA$1151</f>
        <v>99347.902784161328</v>
      </c>
      <c r="M1151" s="46">
        <f>$J$1151-EFEITO!$K$1151*EFEITO!$Y$1151</f>
        <v>0</v>
      </c>
      <c r="N1151" s="46">
        <f ca="1">$K$1151-EFEITO!$M$1151*EFEITO!$Z$1151</f>
        <v>0</v>
      </c>
      <c r="O1151" s="46">
        <f>$L$1151-EFEITO!$O$1151*EFEITO!$AA$1151</f>
        <v>0</v>
      </c>
      <c r="P1151" s="38"/>
      <c r="Q1151" s="38"/>
      <c r="R1151" s="38"/>
      <c r="S1151" s="38"/>
      <c r="T1151" s="38"/>
      <c r="U1151" s="38"/>
      <c r="V1151" s="38"/>
      <c r="W1151" s="38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35" t="s">
        <v>28</v>
      </c>
      <c r="B1152" s="35" t="s">
        <v>37</v>
      </c>
      <c r="C1152" s="35" t="s">
        <v>23</v>
      </c>
      <c r="D1152" s="35" t="s">
        <v>38</v>
      </c>
      <c r="E1152" s="35" t="s">
        <v>25</v>
      </c>
      <c r="F1152" s="35" t="s">
        <v>25</v>
      </c>
      <c r="G1152" s="35" t="s">
        <v>25</v>
      </c>
      <c r="H1152" s="35" t="s">
        <v>25</v>
      </c>
      <c r="I1152" s="45">
        <v>44470</v>
      </c>
      <c r="J1152" s="46">
        <f>EFEITO!$J$1152*EFEITO!$Y$1152</f>
        <v>0</v>
      </c>
      <c r="K1152" s="46">
        <f ca="1">EFEITO!$L$1152*EFEITO!$Z$1152</f>
        <v>15745.325701250675</v>
      </c>
      <c r="L1152" s="46">
        <f>EFEITO!$N$1152*EFEITO!$AA$1152</f>
        <v>13824.249110827499</v>
      </c>
      <c r="M1152" s="46">
        <f>$J$1152-EFEITO!$K$1152*EFEITO!$Y$1152</f>
        <v>0</v>
      </c>
      <c r="N1152" s="46">
        <f ca="1">$K$1152-EFEITO!$M$1152*EFEITO!$Z$1152</f>
        <v>0</v>
      </c>
      <c r="O1152" s="46">
        <f>$L$1152-EFEITO!$O$1152*EFEITO!$AA$1152</f>
        <v>0</v>
      </c>
      <c r="P1152" s="38"/>
      <c r="Q1152" s="38"/>
      <c r="R1152" s="38"/>
      <c r="S1152" s="38"/>
      <c r="T1152" s="38"/>
      <c r="U1152" s="38"/>
      <c r="V1152" s="38"/>
      <c r="W1152" s="38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35" t="s">
        <v>21</v>
      </c>
      <c r="B1153" s="35" t="s">
        <v>37</v>
      </c>
      <c r="C1153" s="35" t="s">
        <v>23</v>
      </c>
      <c r="D1153" s="35" t="s">
        <v>38</v>
      </c>
      <c r="E1153" s="35" t="s">
        <v>25</v>
      </c>
      <c r="F1153" s="35" t="s">
        <v>25</v>
      </c>
      <c r="G1153" s="35" t="s">
        <v>25</v>
      </c>
      <c r="H1153" s="35" t="s">
        <v>25</v>
      </c>
      <c r="I1153" s="45">
        <v>44501</v>
      </c>
      <c r="J1153" s="46">
        <f>EFEITO!$J$1153*EFEITO!$Y$1153</f>
        <v>0</v>
      </c>
      <c r="K1153" s="46">
        <f ca="1">EFEITO!$L$1153*EFEITO!$Z$1153</f>
        <v>102442.02201557155</v>
      </c>
      <c r="L1153" s="46">
        <f>EFEITO!$N$1153*EFEITO!$AA$1153</f>
        <v>89943.139864527955</v>
      </c>
      <c r="M1153" s="46">
        <f>$J$1153-EFEITO!$K$1153*EFEITO!$Y$1153</f>
        <v>0</v>
      </c>
      <c r="N1153" s="46">
        <f ca="1">$K$1153-EFEITO!$M$1153*EFEITO!$Z$1153</f>
        <v>0</v>
      </c>
      <c r="O1153" s="46">
        <f>$L$1153-EFEITO!$O$1153*EFEITO!$AA$1153</f>
        <v>0</v>
      </c>
      <c r="P1153" s="38"/>
      <c r="Q1153" s="38"/>
      <c r="R1153" s="38"/>
      <c r="S1153" s="38"/>
      <c r="T1153" s="38"/>
      <c r="U1153" s="38"/>
      <c r="V1153" s="38"/>
      <c r="W1153" s="38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35" t="s">
        <v>27</v>
      </c>
      <c r="B1154" s="35" t="s">
        <v>37</v>
      </c>
      <c r="C1154" s="35" t="s">
        <v>23</v>
      </c>
      <c r="D1154" s="35" t="s">
        <v>38</v>
      </c>
      <c r="E1154" s="35" t="s">
        <v>25</v>
      </c>
      <c r="F1154" s="35" t="s">
        <v>25</v>
      </c>
      <c r="G1154" s="35" t="s">
        <v>25</v>
      </c>
      <c r="H1154" s="35" t="s">
        <v>25</v>
      </c>
      <c r="I1154" s="45">
        <v>44501</v>
      </c>
      <c r="J1154" s="46">
        <f>EFEITO!$J$1154*EFEITO!$Y$1154</f>
        <v>0</v>
      </c>
      <c r="K1154" s="46">
        <f ca="1">EFEITO!$L$1154*EFEITO!$Z$1154</f>
        <v>-73.410774377225493</v>
      </c>
      <c r="L1154" s="46">
        <f>EFEITO!$N$1154*EFEITO!$AA$1154</f>
        <v>-64.453975209220772</v>
      </c>
      <c r="M1154" s="46">
        <f>$J$1154-EFEITO!$K$1154*EFEITO!$Y$1154</f>
        <v>0</v>
      </c>
      <c r="N1154" s="46">
        <f ca="1">$K$1154-EFEITO!$M$1154*EFEITO!$Z$1154</f>
        <v>0</v>
      </c>
      <c r="O1154" s="46">
        <f>$L$1154-EFEITO!$O$1154*EFEITO!$AA$1154</f>
        <v>0</v>
      </c>
      <c r="P1154" s="38"/>
      <c r="Q1154" s="38"/>
      <c r="R1154" s="38"/>
      <c r="S1154" s="38"/>
      <c r="T1154" s="38"/>
      <c r="U1154" s="38"/>
      <c r="V1154" s="38"/>
      <c r="W1154" s="38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35" t="s">
        <v>28</v>
      </c>
      <c r="B1155" s="35" t="s">
        <v>37</v>
      </c>
      <c r="C1155" s="35" t="s">
        <v>23</v>
      </c>
      <c r="D1155" s="35" t="s">
        <v>38</v>
      </c>
      <c r="E1155" s="35" t="s">
        <v>25</v>
      </c>
      <c r="F1155" s="35" t="s">
        <v>25</v>
      </c>
      <c r="G1155" s="35" t="s">
        <v>25</v>
      </c>
      <c r="H1155" s="35" t="s">
        <v>25</v>
      </c>
      <c r="I1155" s="45">
        <v>44501</v>
      </c>
      <c r="J1155" s="46">
        <f>EFEITO!$J$1155*EFEITO!$Y$1155</f>
        <v>0</v>
      </c>
      <c r="K1155" s="46">
        <f ca="1">EFEITO!$L$1155*EFEITO!$Z$1155</f>
        <v>14620.741192600339</v>
      </c>
      <c r="L1155" s="46">
        <f>EFEITO!$N$1155*EFEITO!$AA$1155</f>
        <v>12836.874401104924</v>
      </c>
      <c r="M1155" s="46">
        <f>$J$1155-EFEITO!$K$1155*EFEITO!$Y$1155</f>
        <v>0</v>
      </c>
      <c r="N1155" s="46">
        <f ca="1">$K$1155-EFEITO!$M$1155*EFEITO!$Z$1155</f>
        <v>0</v>
      </c>
      <c r="O1155" s="46">
        <f>$L$1155-EFEITO!$O$1155*EFEITO!$AA$1155</f>
        <v>0</v>
      </c>
      <c r="P1155" s="38"/>
      <c r="Q1155" s="38"/>
      <c r="R1155" s="38"/>
      <c r="S1155" s="38"/>
      <c r="T1155" s="38"/>
      <c r="U1155" s="38"/>
      <c r="V1155" s="38"/>
      <c r="W1155" s="38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35" t="s">
        <v>21</v>
      </c>
      <c r="B1156" s="35" t="s">
        <v>37</v>
      </c>
      <c r="C1156" s="35" t="s">
        <v>23</v>
      </c>
      <c r="D1156" s="35" t="s">
        <v>38</v>
      </c>
      <c r="E1156" s="35" t="s">
        <v>25</v>
      </c>
      <c r="F1156" s="35" t="s">
        <v>25</v>
      </c>
      <c r="G1156" s="35" t="s">
        <v>25</v>
      </c>
      <c r="H1156" s="35" t="s">
        <v>25</v>
      </c>
      <c r="I1156" s="45">
        <v>44531</v>
      </c>
      <c r="J1156" s="46">
        <f>EFEITO!$J$1156*EFEITO!$Y$1156</f>
        <v>0</v>
      </c>
      <c r="K1156" s="46">
        <f ca="1">EFEITO!$L$1156*EFEITO!$Z$1156</f>
        <v>107849.85384634831</v>
      </c>
      <c r="L1156" s="46">
        <f>EFEITO!$N$1156*EFEITO!$AA$1156</f>
        <v>94691.165773714587</v>
      </c>
      <c r="M1156" s="46">
        <f>$J$1156-EFEITO!$K$1156*EFEITO!$Y$1156</f>
        <v>0</v>
      </c>
      <c r="N1156" s="46">
        <f ca="1">$K$1156-EFEITO!$M$1156*EFEITO!$Z$1156</f>
        <v>0</v>
      </c>
      <c r="O1156" s="46">
        <f>$L$1156-EFEITO!$O$1156*EFEITO!$AA$1156</f>
        <v>0</v>
      </c>
      <c r="P1156" s="38"/>
      <c r="Q1156" s="38"/>
      <c r="R1156" s="38"/>
      <c r="S1156" s="38"/>
      <c r="T1156" s="38"/>
      <c r="U1156" s="38"/>
      <c r="V1156" s="38"/>
      <c r="W1156" s="38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35" t="s">
        <v>27</v>
      </c>
      <c r="B1157" s="35" t="s">
        <v>37</v>
      </c>
      <c r="C1157" s="35" t="s">
        <v>23</v>
      </c>
      <c r="D1157" s="35" t="s">
        <v>38</v>
      </c>
      <c r="E1157" s="35" t="s">
        <v>25</v>
      </c>
      <c r="F1157" s="35" t="s">
        <v>25</v>
      </c>
      <c r="G1157" s="35" t="s">
        <v>25</v>
      </c>
      <c r="H1157" s="35" t="s">
        <v>25</v>
      </c>
      <c r="I1157" s="45">
        <v>44531</v>
      </c>
      <c r="J1157" s="46">
        <f>EFEITO!$J$1157*EFEITO!$Y$1157</f>
        <v>0</v>
      </c>
      <c r="K1157" s="46">
        <f ca="1">EFEITO!$L$1157*EFEITO!$Z$1157</f>
        <v>-612.13731319219539</v>
      </c>
      <c r="L1157" s="46">
        <f>EFEITO!$N$1157*EFEITO!$AA$1157</f>
        <v>-537.45085164731552</v>
      </c>
      <c r="M1157" s="46">
        <f>$J$1157-EFEITO!$K$1157*EFEITO!$Y$1157</f>
        <v>0</v>
      </c>
      <c r="N1157" s="46">
        <f ca="1">$K$1157-EFEITO!$M$1157*EFEITO!$Z$1157</f>
        <v>0</v>
      </c>
      <c r="O1157" s="46">
        <f>$L$1157-EFEITO!$O$1157*EFEITO!$AA$1157</f>
        <v>0</v>
      </c>
      <c r="P1157" s="38"/>
      <c r="Q1157" s="38"/>
      <c r="R1157" s="38"/>
      <c r="S1157" s="38"/>
      <c r="T1157" s="38"/>
      <c r="U1157" s="38"/>
      <c r="V1157" s="38"/>
      <c r="W1157" s="38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35" t="s">
        <v>28</v>
      </c>
      <c r="B1158" s="35" t="s">
        <v>37</v>
      </c>
      <c r="C1158" s="35" t="s">
        <v>23</v>
      </c>
      <c r="D1158" s="35" t="s">
        <v>38</v>
      </c>
      <c r="E1158" s="35" t="s">
        <v>25</v>
      </c>
      <c r="F1158" s="35" t="s">
        <v>25</v>
      </c>
      <c r="G1158" s="35" t="s">
        <v>25</v>
      </c>
      <c r="H1158" s="35" t="s">
        <v>25</v>
      </c>
      <c r="I1158" s="45">
        <v>44531</v>
      </c>
      <c r="J1158" s="46">
        <f>EFEITO!$J$1158*EFEITO!$Y$1158</f>
        <v>0</v>
      </c>
      <c r="K1158" s="46">
        <f ca="1">EFEITO!$L$1158*EFEITO!$Z$1158</f>
        <v>14629.310543694957</v>
      </c>
      <c r="L1158" s="46">
        <f>EFEITO!$N$1158*EFEITO!$AA$1158</f>
        <v>12844.39821144063</v>
      </c>
      <c r="M1158" s="46">
        <f>$J$1158-EFEITO!$K$1158*EFEITO!$Y$1158</f>
        <v>0</v>
      </c>
      <c r="N1158" s="46">
        <f ca="1">$K$1158-EFEITO!$M$1158*EFEITO!$Z$1158</f>
        <v>0</v>
      </c>
      <c r="O1158" s="46">
        <f>$L$1158-EFEITO!$O$1158*EFEITO!$AA$1158</f>
        <v>0</v>
      </c>
      <c r="P1158" s="38"/>
      <c r="Q1158" s="38"/>
      <c r="R1158" s="38"/>
      <c r="S1158" s="38"/>
      <c r="T1158" s="38"/>
      <c r="U1158" s="38"/>
      <c r="V1158" s="38"/>
      <c r="W1158" s="38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35" t="s">
        <v>55</v>
      </c>
      <c r="B1159" s="35" t="s">
        <v>37</v>
      </c>
      <c r="C1159" s="35" t="s">
        <v>23</v>
      </c>
      <c r="D1159" s="35" t="s">
        <v>38</v>
      </c>
      <c r="E1159" s="35" t="s">
        <v>25</v>
      </c>
      <c r="F1159" s="35" t="s">
        <v>25</v>
      </c>
      <c r="G1159" s="35" t="s">
        <v>25</v>
      </c>
      <c r="H1159" s="35" t="s">
        <v>25</v>
      </c>
      <c r="I1159" s="45">
        <v>44562</v>
      </c>
      <c r="J1159" s="46">
        <f>EFEITO!$J$1159*EFEITO!$Y$1159</f>
        <v>0</v>
      </c>
      <c r="K1159" s="46">
        <f ca="1">EFEITO!$L$1159*EFEITO!$Z$1159</f>
        <v>107849.85384634831</v>
      </c>
      <c r="L1159" s="46">
        <f>EFEITO!$N$1159*EFEITO!$AA$1159</f>
        <v>94691.165773714587</v>
      </c>
      <c r="M1159" s="46">
        <f>$J$1159-EFEITO!$K$1159*EFEITO!$Y$1159</f>
        <v>0</v>
      </c>
      <c r="N1159" s="46">
        <f ca="1">$K$1159-EFEITO!$M$1159*EFEITO!$Z$1159</f>
        <v>0</v>
      </c>
      <c r="O1159" s="46">
        <f>$L$1159-EFEITO!$O$1159*EFEITO!$AA$1159</f>
        <v>0</v>
      </c>
      <c r="P1159" s="38"/>
      <c r="Q1159" s="38"/>
      <c r="R1159" s="38"/>
      <c r="S1159" s="38"/>
      <c r="T1159" s="38"/>
      <c r="U1159" s="38"/>
      <c r="V1159" s="38"/>
      <c r="W1159" s="38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35" t="s">
        <v>55</v>
      </c>
      <c r="B1160" s="35" t="s">
        <v>37</v>
      </c>
      <c r="C1160" s="35" t="s">
        <v>23</v>
      </c>
      <c r="D1160" s="35" t="s">
        <v>38</v>
      </c>
      <c r="E1160" s="35" t="s">
        <v>25</v>
      </c>
      <c r="F1160" s="35" t="s">
        <v>25</v>
      </c>
      <c r="G1160" s="35" t="s">
        <v>25</v>
      </c>
      <c r="H1160" s="35" t="s">
        <v>25</v>
      </c>
      <c r="I1160" s="45">
        <v>44562</v>
      </c>
      <c r="J1160" s="46">
        <f>EFEITO!$J$1160*EFEITO!$Y$1160</f>
        <v>0</v>
      </c>
      <c r="K1160" s="46">
        <f ca="1">EFEITO!$L$1160*EFEITO!$Z$1160</f>
        <v>-612.13731319219539</v>
      </c>
      <c r="L1160" s="46">
        <f>EFEITO!$N$1160*EFEITO!$AA$1160</f>
        <v>-537.45085164731552</v>
      </c>
      <c r="M1160" s="46">
        <f>$J$1160-EFEITO!$K$1160*EFEITO!$Y$1160</f>
        <v>0</v>
      </c>
      <c r="N1160" s="46">
        <f ca="1">$K$1160-EFEITO!$M$1160*EFEITO!$Z$1160</f>
        <v>0</v>
      </c>
      <c r="O1160" s="46">
        <f>$L$1160-EFEITO!$O$1160*EFEITO!$AA$1160</f>
        <v>0</v>
      </c>
      <c r="P1160" s="38"/>
      <c r="Q1160" s="38"/>
      <c r="R1160" s="38"/>
      <c r="S1160" s="38"/>
      <c r="T1160" s="38"/>
      <c r="U1160" s="38"/>
      <c r="V1160" s="38"/>
      <c r="W1160" s="38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35" t="s">
        <v>55</v>
      </c>
      <c r="B1161" s="35" t="s">
        <v>37</v>
      </c>
      <c r="C1161" s="35" t="s">
        <v>23</v>
      </c>
      <c r="D1161" s="35" t="s">
        <v>38</v>
      </c>
      <c r="E1161" s="35" t="s">
        <v>25</v>
      </c>
      <c r="F1161" s="35" t="s">
        <v>25</v>
      </c>
      <c r="G1161" s="35" t="s">
        <v>25</v>
      </c>
      <c r="H1161" s="35" t="s">
        <v>25</v>
      </c>
      <c r="I1161" s="45">
        <v>44562</v>
      </c>
      <c r="J1161" s="46">
        <f>EFEITO!$J$1161*EFEITO!$Y$1161</f>
        <v>0</v>
      </c>
      <c r="K1161" s="46">
        <f ca="1">EFEITO!$L$1161*EFEITO!$Z$1161</f>
        <v>14629.310543694957</v>
      </c>
      <c r="L1161" s="46">
        <f>EFEITO!$N$1161*EFEITO!$AA$1161</f>
        <v>12844.39821144063</v>
      </c>
      <c r="M1161" s="46">
        <f>$J$1161-EFEITO!$K$1161*EFEITO!$Y$1161</f>
        <v>0</v>
      </c>
      <c r="N1161" s="46">
        <f ca="1">$K$1161-EFEITO!$M$1161*EFEITO!$Z$1161</f>
        <v>0</v>
      </c>
      <c r="O1161" s="46">
        <f>$L$1161-EFEITO!$O$1161*EFEITO!$AA$1161</f>
        <v>0</v>
      </c>
      <c r="P1161" s="38"/>
      <c r="Q1161" s="38"/>
      <c r="R1161" s="38"/>
      <c r="S1161" s="38"/>
      <c r="T1161" s="38"/>
      <c r="U1161" s="38"/>
      <c r="V1161" s="38"/>
      <c r="W1161" s="38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35" t="s">
        <v>21</v>
      </c>
      <c r="B1162" s="35" t="s">
        <v>37</v>
      </c>
      <c r="C1162" s="35" t="s">
        <v>23</v>
      </c>
      <c r="D1162" s="35" t="s">
        <v>45</v>
      </c>
      <c r="E1162" s="35" t="s">
        <v>25</v>
      </c>
      <c r="F1162" s="35" t="s">
        <v>25</v>
      </c>
      <c r="G1162" s="35" t="s">
        <v>25</v>
      </c>
      <c r="H1162" s="35" t="s">
        <v>25</v>
      </c>
      <c r="I1162" s="45">
        <v>44228</v>
      </c>
      <c r="J1162" s="46">
        <f>EFEITO!$J$1162*EFEITO!$Y$1162</f>
        <v>0</v>
      </c>
      <c r="K1162" s="46">
        <f ca="1">EFEITO!$L$1162*EFEITO!$Z$1162</f>
        <v>226182.02359666958</v>
      </c>
      <c r="L1162" s="46">
        <f>EFEITO!$N$1162*EFEITO!$AA$1162</f>
        <v>198585.70714374346</v>
      </c>
      <c r="M1162" s="46">
        <f>$J$1162-EFEITO!$K$1162*EFEITO!$Y$1162</f>
        <v>0</v>
      </c>
      <c r="N1162" s="46">
        <f ca="1">$K$1162-EFEITO!$M$1162*EFEITO!$Z$1162</f>
        <v>0</v>
      </c>
      <c r="O1162" s="46">
        <f>$L$1162-EFEITO!$O$1162*EFEITO!$AA$1162</f>
        <v>0</v>
      </c>
      <c r="P1162" s="38"/>
      <c r="Q1162" s="38"/>
      <c r="R1162" s="38"/>
      <c r="S1162" s="38"/>
      <c r="T1162" s="38"/>
      <c r="U1162" s="38"/>
      <c r="V1162" s="38"/>
      <c r="W1162" s="38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35" t="s">
        <v>28</v>
      </c>
      <c r="B1163" s="35" t="s">
        <v>37</v>
      </c>
      <c r="C1163" s="35" t="s">
        <v>23</v>
      </c>
      <c r="D1163" s="35" t="s">
        <v>45</v>
      </c>
      <c r="E1163" s="35" t="s">
        <v>25</v>
      </c>
      <c r="F1163" s="35" t="s">
        <v>25</v>
      </c>
      <c r="G1163" s="35" t="s">
        <v>25</v>
      </c>
      <c r="H1163" s="35" t="s">
        <v>25</v>
      </c>
      <c r="I1163" s="45">
        <v>44228</v>
      </c>
      <c r="J1163" s="46">
        <f>EFEITO!$J$1163*EFEITO!$Y$1163</f>
        <v>0</v>
      </c>
      <c r="K1163" s="46">
        <f ca="1">EFEITO!$L$1163*EFEITO!$Z$1163</f>
        <v>2600.7980572164906</v>
      </c>
      <c r="L1163" s="46">
        <f>EFEITO!$N$1163*EFEITO!$AA$1163</f>
        <v>2283.4764368869851</v>
      </c>
      <c r="M1163" s="46">
        <f>$J$1163-EFEITO!$K$1163*EFEITO!$Y$1163</f>
        <v>0</v>
      </c>
      <c r="N1163" s="46">
        <f ca="1">$K$1163-EFEITO!$M$1163*EFEITO!$Z$1163</f>
        <v>0</v>
      </c>
      <c r="O1163" s="46">
        <f>$L$1163-EFEITO!$O$1163*EFEITO!$AA$1163</f>
        <v>0</v>
      </c>
      <c r="P1163" s="38"/>
      <c r="Q1163" s="38"/>
      <c r="R1163" s="38"/>
      <c r="S1163" s="38"/>
      <c r="T1163" s="38"/>
      <c r="U1163" s="38"/>
      <c r="V1163" s="38"/>
      <c r="W1163" s="38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35" t="s">
        <v>21</v>
      </c>
      <c r="B1164" s="35" t="s">
        <v>37</v>
      </c>
      <c r="C1164" s="35" t="s">
        <v>23</v>
      </c>
      <c r="D1164" s="35" t="s">
        <v>45</v>
      </c>
      <c r="E1164" s="35" t="s">
        <v>25</v>
      </c>
      <c r="F1164" s="35" t="s">
        <v>25</v>
      </c>
      <c r="G1164" s="35" t="s">
        <v>25</v>
      </c>
      <c r="H1164" s="35" t="s">
        <v>25</v>
      </c>
      <c r="I1164" s="45">
        <v>44256</v>
      </c>
      <c r="J1164" s="46">
        <f>EFEITO!$J$1164*EFEITO!$Y$1164</f>
        <v>0</v>
      </c>
      <c r="K1164" s="46">
        <f ca="1">EFEITO!$L$1164*EFEITO!$Z$1164</f>
        <v>230986.00182031232</v>
      </c>
      <c r="L1164" s="46">
        <f>EFEITO!$N$1164*EFEITO!$AA$1164</f>
        <v>202803.55521794068</v>
      </c>
      <c r="M1164" s="46">
        <f>$J$1164-EFEITO!$K$1164*EFEITO!$Y$1164</f>
        <v>0</v>
      </c>
      <c r="N1164" s="46">
        <f ca="1">$K$1164-EFEITO!$M$1164*EFEITO!$Z$1164</f>
        <v>0</v>
      </c>
      <c r="O1164" s="46">
        <f>$L$1164-EFEITO!$O$1164*EFEITO!$AA$1164</f>
        <v>0</v>
      </c>
      <c r="P1164" s="38"/>
      <c r="Q1164" s="38"/>
      <c r="R1164" s="38"/>
      <c r="S1164" s="38"/>
      <c r="T1164" s="38"/>
      <c r="U1164" s="38"/>
      <c r="V1164" s="38"/>
      <c r="W1164" s="38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35" t="s">
        <v>28</v>
      </c>
      <c r="B1165" s="35" t="s">
        <v>37</v>
      </c>
      <c r="C1165" s="35" t="s">
        <v>23</v>
      </c>
      <c r="D1165" s="35" t="s">
        <v>45</v>
      </c>
      <c r="E1165" s="35" t="s">
        <v>25</v>
      </c>
      <c r="F1165" s="35" t="s">
        <v>25</v>
      </c>
      <c r="G1165" s="35" t="s">
        <v>25</v>
      </c>
      <c r="H1165" s="35" t="s">
        <v>25</v>
      </c>
      <c r="I1165" s="45">
        <v>44256</v>
      </c>
      <c r="J1165" s="46">
        <f>EFEITO!$J$1165*EFEITO!$Y$1165</f>
        <v>0</v>
      </c>
      <c r="K1165" s="46">
        <f ca="1">EFEITO!$L$1165*EFEITO!$Z$1165</f>
        <v>2810.1758689616508</v>
      </c>
      <c r="L1165" s="46">
        <f>EFEITO!$N$1165*EFEITO!$AA$1165</f>
        <v>2467.3082027560849</v>
      </c>
      <c r="M1165" s="46">
        <f>$J$1165-EFEITO!$K$1165*EFEITO!$Y$1165</f>
        <v>0</v>
      </c>
      <c r="N1165" s="46">
        <f ca="1">$K$1165-EFEITO!$M$1165*EFEITO!$Z$1165</f>
        <v>0</v>
      </c>
      <c r="O1165" s="46">
        <f>$L$1165-EFEITO!$O$1165*EFEITO!$AA$1165</f>
        <v>0</v>
      </c>
      <c r="P1165" s="38"/>
      <c r="Q1165" s="38"/>
      <c r="R1165" s="38"/>
      <c r="S1165" s="38"/>
      <c r="T1165" s="38"/>
      <c r="U1165" s="38"/>
      <c r="V1165" s="38"/>
      <c r="W1165" s="38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35" t="s">
        <v>21</v>
      </c>
      <c r="B1166" s="35" t="s">
        <v>37</v>
      </c>
      <c r="C1166" s="35" t="s">
        <v>23</v>
      </c>
      <c r="D1166" s="35" t="s">
        <v>45</v>
      </c>
      <c r="E1166" s="35" t="s">
        <v>25</v>
      </c>
      <c r="F1166" s="35" t="s">
        <v>25</v>
      </c>
      <c r="G1166" s="35" t="s">
        <v>25</v>
      </c>
      <c r="H1166" s="35" t="s">
        <v>25</v>
      </c>
      <c r="I1166" s="45">
        <v>44287</v>
      </c>
      <c r="J1166" s="46">
        <f>EFEITO!$J$1166*EFEITO!$Y$1166</f>
        <v>0</v>
      </c>
      <c r="K1166" s="46">
        <f ca="1">EFEITO!$L$1166*EFEITO!$Z$1166</f>
        <v>223942.85215564596</v>
      </c>
      <c r="L1166" s="46">
        <f>EFEITO!$N$1166*EFEITO!$AA$1166</f>
        <v>196619.73550302332</v>
      </c>
      <c r="M1166" s="46">
        <f>$J$1166-EFEITO!$K$1166*EFEITO!$Y$1166</f>
        <v>0</v>
      </c>
      <c r="N1166" s="46">
        <f ca="1">$K$1166-EFEITO!$M$1166*EFEITO!$Z$1166</f>
        <v>0</v>
      </c>
      <c r="O1166" s="46">
        <f>$L$1166-EFEITO!$O$1166*EFEITO!$AA$1166</f>
        <v>0</v>
      </c>
      <c r="P1166" s="38"/>
      <c r="Q1166" s="38"/>
      <c r="R1166" s="38"/>
      <c r="S1166" s="38"/>
      <c r="T1166" s="38"/>
      <c r="U1166" s="38"/>
      <c r="V1166" s="38"/>
      <c r="W1166" s="38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35" t="s">
        <v>27</v>
      </c>
      <c r="B1167" s="35" t="s">
        <v>37</v>
      </c>
      <c r="C1167" s="35" t="s">
        <v>23</v>
      </c>
      <c r="D1167" s="35" t="s">
        <v>45</v>
      </c>
      <c r="E1167" s="35" t="s">
        <v>25</v>
      </c>
      <c r="F1167" s="35" t="s">
        <v>25</v>
      </c>
      <c r="G1167" s="35" t="s">
        <v>25</v>
      </c>
      <c r="H1167" s="35" t="s">
        <v>25</v>
      </c>
      <c r="I1167" s="45">
        <v>44287</v>
      </c>
      <c r="J1167" s="46">
        <f>EFEITO!$J$1167*EFEITO!$Y$1167</f>
        <v>0</v>
      </c>
      <c r="K1167" s="46">
        <f ca="1">EFEITO!$L$1167*EFEITO!$Z$1167</f>
        <v>8.5693510946177618</v>
      </c>
      <c r="L1167" s="46">
        <f>EFEITO!$N$1167*EFEITO!$AA$1167</f>
        <v>7.5238103357067043</v>
      </c>
      <c r="M1167" s="46">
        <f>$J$1167-EFEITO!$K$1167*EFEITO!$Y$1167</f>
        <v>0</v>
      </c>
      <c r="N1167" s="46">
        <f ca="1">$K$1167-EFEITO!$M$1167*EFEITO!$Z$1167</f>
        <v>0</v>
      </c>
      <c r="O1167" s="46">
        <f>$L$1167-EFEITO!$O$1167*EFEITO!$AA$1167</f>
        <v>0</v>
      </c>
      <c r="P1167" s="38"/>
      <c r="Q1167" s="38"/>
      <c r="R1167" s="38"/>
      <c r="S1167" s="38"/>
      <c r="T1167" s="38"/>
      <c r="U1167" s="38"/>
      <c r="V1167" s="38"/>
      <c r="W1167" s="38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35" t="s">
        <v>28</v>
      </c>
      <c r="B1168" s="35" t="s">
        <v>37</v>
      </c>
      <c r="C1168" s="35" t="s">
        <v>23</v>
      </c>
      <c r="D1168" s="35" t="s">
        <v>45</v>
      </c>
      <c r="E1168" s="35" t="s">
        <v>25</v>
      </c>
      <c r="F1168" s="35" t="s">
        <v>25</v>
      </c>
      <c r="G1168" s="35" t="s">
        <v>25</v>
      </c>
      <c r="H1168" s="35" t="s">
        <v>25</v>
      </c>
      <c r="I1168" s="45">
        <v>44287</v>
      </c>
      <c r="J1168" s="46">
        <f>EFEITO!$J$1168*EFEITO!$Y$1168</f>
        <v>0</v>
      </c>
      <c r="K1168" s="46">
        <f ca="1">EFEITO!$L$1168*EFEITO!$Z$1168</f>
        <v>2428.8397452511608</v>
      </c>
      <c r="L1168" s="46">
        <f>EFEITO!$N$1168*EFEITO!$AA$1168</f>
        <v>2132.4986428171369</v>
      </c>
      <c r="M1168" s="46">
        <f>$J$1168-EFEITO!$K$1168*EFEITO!$Y$1168</f>
        <v>0</v>
      </c>
      <c r="N1168" s="46">
        <f ca="1">$K$1168-EFEITO!$M$1168*EFEITO!$Z$1168</f>
        <v>0</v>
      </c>
      <c r="O1168" s="46">
        <f>$L$1168-EFEITO!$O$1168*EFEITO!$AA$1168</f>
        <v>0</v>
      </c>
      <c r="P1168" s="38"/>
      <c r="Q1168" s="38"/>
      <c r="R1168" s="38"/>
      <c r="S1168" s="38"/>
      <c r="T1168" s="38"/>
      <c r="U1168" s="38"/>
      <c r="V1168" s="38"/>
      <c r="W1168" s="38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35" t="s">
        <v>21</v>
      </c>
      <c r="B1169" s="35" t="s">
        <v>37</v>
      </c>
      <c r="C1169" s="35" t="s">
        <v>23</v>
      </c>
      <c r="D1169" s="35" t="s">
        <v>45</v>
      </c>
      <c r="E1169" s="35" t="s">
        <v>25</v>
      </c>
      <c r="F1169" s="35" t="s">
        <v>25</v>
      </c>
      <c r="G1169" s="35" t="s">
        <v>25</v>
      </c>
      <c r="H1169" s="35" t="s">
        <v>25</v>
      </c>
      <c r="I1169" s="45">
        <v>44317</v>
      </c>
      <c r="J1169" s="46">
        <f>EFEITO!$J$1169*EFEITO!$Y$1169</f>
        <v>0</v>
      </c>
      <c r="K1169" s="46">
        <f ca="1">EFEITO!$L$1169*EFEITO!$Z$1169</f>
        <v>218859.51308631871</v>
      </c>
      <c r="L1169" s="46">
        <f>EFEITO!$N$1169*EFEITO!$AA$1169</f>
        <v>192156.61121188209</v>
      </c>
      <c r="M1169" s="46">
        <f>$J$1169-EFEITO!$K$1169*EFEITO!$Y$1169</f>
        <v>0</v>
      </c>
      <c r="N1169" s="46">
        <f ca="1">$K$1169-EFEITO!$M$1169*EFEITO!$Z$1169</f>
        <v>0</v>
      </c>
      <c r="O1169" s="46">
        <f>$L$1169-EFEITO!$O$1169*EFEITO!$AA$1169</f>
        <v>0</v>
      </c>
      <c r="P1169" s="38"/>
      <c r="Q1169" s="38"/>
      <c r="R1169" s="38"/>
      <c r="S1169" s="38"/>
      <c r="T1169" s="38"/>
      <c r="U1169" s="38"/>
      <c r="V1169" s="38"/>
      <c r="W1169" s="38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35" t="s">
        <v>28</v>
      </c>
      <c r="B1170" s="35" t="s">
        <v>37</v>
      </c>
      <c r="C1170" s="35" t="s">
        <v>23</v>
      </c>
      <c r="D1170" s="35" t="s">
        <v>45</v>
      </c>
      <c r="E1170" s="35" t="s">
        <v>25</v>
      </c>
      <c r="F1170" s="35" t="s">
        <v>25</v>
      </c>
      <c r="G1170" s="35" t="s">
        <v>25</v>
      </c>
      <c r="H1170" s="35" t="s">
        <v>25</v>
      </c>
      <c r="I1170" s="45">
        <v>44317</v>
      </c>
      <c r="J1170" s="46">
        <f>EFEITO!$J$1170*EFEITO!$Y$1170</f>
        <v>0</v>
      </c>
      <c r="K1170" s="46">
        <f ca="1">EFEITO!$L$1170*EFEITO!$Z$1170</f>
        <v>2970.7083794674909</v>
      </c>
      <c r="L1170" s="46">
        <f>EFEITO!$N$1170*EFEITO!$AA$1170</f>
        <v>2608.2542497116578</v>
      </c>
      <c r="M1170" s="46">
        <f>$J$1170-EFEITO!$K$1170*EFEITO!$Y$1170</f>
        <v>0</v>
      </c>
      <c r="N1170" s="46">
        <f ca="1">$K$1170-EFEITO!$M$1170*EFEITO!$Z$1170</f>
        <v>0</v>
      </c>
      <c r="O1170" s="46">
        <f>$L$1170-EFEITO!$O$1170*EFEITO!$AA$1170</f>
        <v>0</v>
      </c>
      <c r="P1170" s="38"/>
      <c r="Q1170" s="38"/>
      <c r="R1170" s="38"/>
      <c r="S1170" s="38"/>
      <c r="T1170" s="38"/>
      <c r="U1170" s="38"/>
      <c r="V1170" s="38"/>
      <c r="W1170" s="38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35" t="s">
        <v>21</v>
      </c>
      <c r="B1171" s="35" t="s">
        <v>37</v>
      </c>
      <c r="C1171" s="35" t="s">
        <v>23</v>
      </c>
      <c r="D1171" s="35" t="s">
        <v>45</v>
      </c>
      <c r="E1171" s="35" t="s">
        <v>25</v>
      </c>
      <c r="F1171" s="35" t="s">
        <v>25</v>
      </c>
      <c r="G1171" s="35" t="s">
        <v>25</v>
      </c>
      <c r="H1171" s="35" t="s">
        <v>25</v>
      </c>
      <c r="I1171" s="45">
        <v>44348</v>
      </c>
      <c r="J1171" s="46">
        <f>EFEITO!$J$1171*EFEITO!$Y$1171</f>
        <v>0</v>
      </c>
      <c r="K1171" s="46">
        <f ca="1">EFEITO!$L$1171*EFEITO!$Z$1171</f>
        <v>191242.20837858459</v>
      </c>
      <c r="L1171" s="46">
        <f>EFEITO!$N$1171*EFEITO!$AA$1171</f>
        <v>167908.87526196652</v>
      </c>
      <c r="M1171" s="46">
        <f>$J$1171-EFEITO!$K$1171*EFEITO!$Y$1171</f>
        <v>0</v>
      </c>
      <c r="N1171" s="46">
        <f ca="1">$K$1171-EFEITO!$M$1171*EFEITO!$Z$1171</f>
        <v>0</v>
      </c>
      <c r="O1171" s="46">
        <f>$L$1171-EFEITO!$O$1171*EFEITO!$AA$1171</f>
        <v>0</v>
      </c>
      <c r="P1171" s="38"/>
      <c r="Q1171" s="38"/>
      <c r="R1171" s="38"/>
      <c r="S1171" s="38"/>
      <c r="T1171" s="38"/>
      <c r="U1171" s="38"/>
      <c r="V1171" s="38"/>
      <c r="W1171" s="38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35" t="s">
        <v>27</v>
      </c>
      <c r="B1172" s="35" t="s">
        <v>37</v>
      </c>
      <c r="C1172" s="35" t="s">
        <v>23</v>
      </c>
      <c r="D1172" s="35" t="s">
        <v>45</v>
      </c>
      <c r="E1172" s="35" t="s">
        <v>25</v>
      </c>
      <c r="F1172" s="35" t="s">
        <v>25</v>
      </c>
      <c r="G1172" s="35" t="s">
        <v>25</v>
      </c>
      <c r="H1172" s="35" t="s">
        <v>25</v>
      </c>
      <c r="I1172" s="45">
        <v>44348</v>
      </c>
      <c r="J1172" s="46">
        <f>EFEITO!$J$1172*EFEITO!$Y$1172</f>
        <v>0</v>
      </c>
      <c r="K1172" s="46">
        <f ca="1">EFEITO!$L$1172*EFEITO!$Z$1172</f>
        <v>-37.133854743343633</v>
      </c>
      <c r="L1172" s="46">
        <f>EFEITO!$N$1172*EFEITO!$AA$1172</f>
        <v>-32.603178121395722</v>
      </c>
      <c r="M1172" s="46">
        <f>$J$1172-EFEITO!$K$1172*EFEITO!$Y$1172</f>
        <v>0</v>
      </c>
      <c r="N1172" s="46">
        <f ca="1">$K$1172-EFEITO!$M$1172*EFEITO!$Z$1172</f>
        <v>0</v>
      </c>
      <c r="O1172" s="46">
        <f>$L$1172-EFEITO!$O$1172*EFEITO!$AA$1172</f>
        <v>0</v>
      </c>
      <c r="P1172" s="38"/>
      <c r="Q1172" s="38"/>
      <c r="R1172" s="38"/>
      <c r="S1172" s="38"/>
      <c r="T1172" s="38"/>
      <c r="U1172" s="38"/>
      <c r="V1172" s="38"/>
      <c r="W1172" s="38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35" t="s">
        <v>28</v>
      </c>
      <c r="B1173" s="35" t="s">
        <v>37</v>
      </c>
      <c r="C1173" s="35" t="s">
        <v>23</v>
      </c>
      <c r="D1173" s="35" t="s">
        <v>45</v>
      </c>
      <c r="E1173" s="35" t="s">
        <v>25</v>
      </c>
      <c r="F1173" s="35" t="s">
        <v>25</v>
      </c>
      <c r="G1173" s="35" t="s">
        <v>25</v>
      </c>
      <c r="H1173" s="35" t="s">
        <v>25</v>
      </c>
      <c r="I1173" s="45">
        <v>44348</v>
      </c>
      <c r="J1173" s="46">
        <f>EFEITO!$J$1173*EFEITO!$Y$1173</f>
        <v>0</v>
      </c>
      <c r="K1173" s="46">
        <f ca="1">EFEITO!$L$1173*EFEITO!$Z$1173</f>
        <v>2785.6103958237472</v>
      </c>
      <c r="L1173" s="46">
        <f>EFEITO!$N$1173*EFEITO!$AA$1173</f>
        <v>2445.7399464603932</v>
      </c>
      <c r="M1173" s="46">
        <f>$J$1173-EFEITO!$K$1173*EFEITO!$Y$1173</f>
        <v>0</v>
      </c>
      <c r="N1173" s="46">
        <f ca="1">$K$1173-EFEITO!$M$1173*EFEITO!$Z$1173</f>
        <v>0</v>
      </c>
      <c r="O1173" s="46">
        <f>$L$1173-EFEITO!$O$1173*EFEITO!$AA$1173</f>
        <v>0</v>
      </c>
      <c r="P1173" s="38"/>
      <c r="Q1173" s="38"/>
      <c r="R1173" s="38"/>
      <c r="S1173" s="38"/>
      <c r="T1173" s="38"/>
      <c r="U1173" s="38"/>
      <c r="V1173" s="38"/>
      <c r="W1173" s="38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35" t="s">
        <v>21</v>
      </c>
      <c r="B1174" s="35" t="s">
        <v>37</v>
      </c>
      <c r="C1174" s="35" t="s">
        <v>23</v>
      </c>
      <c r="D1174" s="35" t="s">
        <v>45</v>
      </c>
      <c r="E1174" s="35" t="s">
        <v>25</v>
      </c>
      <c r="F1174" s="35" t="s">
        <v>25</v>
      </c>
      <c r="G1174" s="35" t="s">
        <v>25</v>
      </c>
      <c r="H1174" s="35" t="s">
        <v>25</v>
      </c>
      <c r="I1174" s="45">
        <v>44378</v>
      </c>
      <c r="J1174" s="46">
        <f>EFEITO!$J$1174*EFEITO!$Y$1174</f>
        <v>0</v>
      </c>
      <c r="K1174" s="46">
        <f ca="1">EFEITO!$L$1174*EFEITO!$Z$1174</f>
        <v>203275.86247571983</v>
      </c>
      <c r="L1174" s="46">
        <f>EFEITO!$N$1174*EFEITO!$AA$1174</f>
        <v>178474.31132272159</v>
      </c>
      <c r="M1174" s="46">
        <f>$J$1174-EFEITO!$K$1174*EFEITO!$Y$1174</f>
        <v>0</v>
      </c>
      <c r="N1174" s="46">
        <f ca="1">$K$1174-EFEITO!$M$1174*EFEITO!$Z$1174</f>
        <v>0</v>
      </c>
      <c r="O1174" s="46">
        <f>$L$1174-EFEITO!$O$1174*EFEITO!$AA$1174</f>
        <v>0</v>
      </c>
      <c r="P1174" s="38"/>
      <c r="Q1174" s="38"/>
      <c r="R1174" s="38"/>
      <c r="S1174" s="38"/>
      <c r="T1174" s="38"/>
      <c r="U1174" s="38"/>
      <c r="V1174" s="38"/>
      <c r="W1174" s="38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35" t="s">
        <v>28</v>
      </c>
      <c r="B1175" s="35" t="s">
        <v>37</v>
      </c>
      <c r="C1175" s="35" t="s">
        <v>23</v>
      </c>
      <c r="D1175" s="35" t="s">
        <v>45</v>
      </c>
      <c r="E1175" s="35" t="s">
        <v>25</v>
      </c>
      <c r="F1175" s="35" t="s">
        <v>25</v>
      </c>
      <c r="G1175" s="35" t="s">
        <v>25</v>
      </c>
      <c r="H1175" s="35" t="s">
        <v>25</v>
      </c>
      <c r="I1175" s="45">
        <v>44378</v>
      </c>
      <c r="J1175" s="46">
        <f>EFEITO!$J$1175*EFEITO!$Y$1175</f>
        <v>0</v>
      </c>
      <c r="K1175" s="46">
        <f ca="1">EFEITO!$L$1175*EFEITO!$Z$1175</f>
        <v>2800.1782926845976</v>
      </c>
      <c r="L1175" s="46">
        <f>EFEITO!$N$1175*EFEITO!$AA$1175</f>
        <v>2458.5304240310943</v>
      </c>
      <c r="M1175" s="46">
        <f>$J$1175-EFEITO!$K$1175*EFEITO!$Y$1175</f>
        <v>0</v>
      </c>
      <c r="N1175" s="46">
        <f ca="1">$K$1175-EFEITO!$M$1175*EFEITO!$Z$1175</f>
        <v>0</v>
      </c>
      <c r="O1175" s="46">
        <f>$L$1175-EFEITO!$O$1175*EFEITO!$AA$1175</f>
        <v>0</v>
      </c>
      <c r="P1175" s="38"/>
      <c r="Q1175" s="38"/>
      <c r="R1175" s="38"/>
      <c r="S1175" s="38"/>
      <c r="T1175" s="38"/>
      <c r="U1175" s="38"/>
      <c r="V1175" s="38"/>
      <c r="W1175" s="38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35" t="s">
        <v>21</v>
      </c>
      <c r="B1176" s="35" t="s">
        <v>37</v>
      </c>
      <c r="C1176" s="35" t="s">
        <v>23</v>
      </c>
      <c r="D1176" s="35" t="s">
        <v>45</v>
      </c>
      <c r="E1176" s="35" t="s">
        <v>25</v>
      </c>
      <c r="F1176" s="35" t="s">
        <v>25</v>
      </c>
      <c r="G1176" s="35" t="s">
        <v>25</v>
      </c>
      <c r="H1176" s="35" t="s">
        <v>25</v>
      </c>
      <c r="I1176" s="45">
        <v>44409</v>
      </c>
      <c r="J1176" s="46">
        <f>EFEITO!$J$1176*EFEITO!$Y$1176</f>
        <v>0</v>
      </c>
      <c r="K1176" s="46">
        <f ca="1">EFEITO!$L$1176*EFEITO!$Z$1176</f>
        <v>197164.48692007494</v>
      </c>
      <c r="L1176" s="46">
        <f>EFEITO!$N$1176*EFEITO!$AA$1176</f>
        <v>173108.58058497345</v>
      </c>
      <c r="M1176" s="46">
        <f>$J$1176-EFEITO!$K$1176*EFEITO!$Y$1176</f>
        <v>0</v>
      </c>
      <c r="N1176" s="46">
        <f ca="1">$K$1176-EFEITO!$M$1176*EFEITO!$Z$1176</f>
        <v>0</v>
      </c>
      <c r="O1176" s="46">
        <f>$L$1176-EFEITO!$O$1176*EFEITO!$AA$1176</f>
        <v>0</v>
      </c>
      <c r="P1176" s="38"/>
      <c r="Q1176" s="38"/>
      <c r="R1176" s="38"/>
      <c r="S1176" s="38"/>
      <c r="T1176" s="38"/>
      <c r="U1176" s="38"/>
      <c r="V1176" s="38"/>
      <c r="W1176" s="38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35" t="s">
        <v>27</v>
      </c>
      <c r="B1177" s="35" t="s">
        <v>37</v>
      </c>
      <c r="C1177" s="35" t="s">
        <v>23</v>
      </c>
      <c r="D1177" s="35" t="s">
        <v>45</v>
      </c>
      <c r="E1177" s="35" t="s">
        <v>25</v>
      </c>
      <c r="F1177" s="35" t="s">
        <v>25</v>
      </c>
      <c r="G1177" s="35" t="s">
        <v>25</v>
      </c>
      <c r="H1177" s="35" t="s">
        <v>25</v>
      </c>
      <c r="I1177" s="45">
        <v>44409</v>
      </c>
      <c r="J1177" s="46">
        <f>EFEITO!$J$1177*EFEITO!$Y$1177</f>
        <v>0</v>
      </c>
      <c r="K1177" s="46">
        <f ca="1">EFEITO!$L$1177*EFEITO!$Z$1177</f>
        <v>-3189.7981224532182</v>
      </c>
      <c r="L1177" s="46">
        <f>EFEITO!$N$1177*EFEITO!$AA$1177</f>
        <v>-2800.6130006278922</v>
      </c>
      <c r="M1177" s="46">
        <f>$J$1177-EFEITO!$K$1177*EFEITO!$Y$1177</f>
        <v>0</v>
      </c>
      <c r="N1177" s="46">
        <f ca="1">$K$1177-EFEITO!$M$1177*EFEITO!$Z$1177</f>
        <v>0</v>
      </c>
      <c r="O1177" s="46">
        <f>$L$1177-EFEITO!$O$1177*EFEITO!$AA$1177</f>
        <v>0</v>
      </c>
      <c r="P1177" s="38"/>
      <c r="Q1177" s="38"/>
      <c r="R1177" s="38"/>
      <c r="S1177" s="38"/>
      <c r="T1177" s="38"/>
      <c r="U1177" s="38"/>
      <c r="V1177" s="38"/>
      <c r="W1177" s="38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35" t="s">
        <v>28</v>
      </c>
      <c r="B1178" s="35" t="s">
        <v>37</v>
      </c>
      <c r="C1178" s="35" t="s">
        <v>23</v>
      </c>
      <c r="D1178" s="35" t="s">
        <v>45</v>
      </c>
      <c r="E1178" s="35" t="s">
        <v>25</v>
      </c>
      <c r="F1178" s="35" t="s">
        <v>25</v>
      </c>
      <c r="G1178" s="35" t="s">
        <v>25</v>
      </c>
      <c r="H1178" s="35" t="s">
        <v>25</v>
      </c>
      <c r="I1178" s="45">
        <v>44409</v>
      </c>
      <c r="J1178" s="46">
        <f>EFEITO!$J$1178*EFEITO!$Y$1178</f>
        <v>0</v>
      </c>
      <c r="K1178" s="46">
        <f ca="1">EFEITO!$L$1178*EFEITO!$Z$1178</f>
        <v>2104.0613387651479</v>
      </c>
      <c r="L1178" s="46">
        <f>EFEITO!$N$1178*EFEITO!$AA$1178</f>
        <v>1847.3462310938528</v>
      </c>
      <c r="M1178" s="46">
        <f>$J$1178-EFEITO!$K$1178*EFEITO!$Y$1178</f>
        <v>0</v>
      </c>
      <c r="N1178" s="46">
        <f ca="1">$K$1178-EFEITO!$M$1178*EFEITO!$Z$1178</f>
        <v>0</v>
      </c>
      <c r="O1178" s="46">
        <f>$L$1178-EFEITO!$O$1178*EFEITO!$AA$1178</f>
        <v>0</v>
      </c>
      <c r="P1178" s="38"/>
      <c r="Q1178" s="38"/>
      <c r="R1178" s="38"/>
      <c r="S1178" s="38"/>
      <c r="T1178" s="38"/>
      <c r="U1178" s="38"/>
      <c r="V1178" s="38"/>
      <c r="W1178" s="38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35" t="s">
        <v>21</v>
      </c>
      <c r="B1179" s="35" t="s">
        <v>37</v>
      </c>
      <c r="C1179" s="35" t="s">
        <v>23</v>
      </c>
      <c r="D1179" s="35" t="s">
        <v>45</v>
      </c>
      <c r="E1179" s="35" t="s">
        <v>25</v>
      </c>
      <c r="F1179" s="35" t="s">
        <v>25</v>
      </c>
      <c r="G1179" s="35" t="s">
        <v>25</v>
      </c>
      <c r="H1179" s="35" t="s">
        <v>25</v>
      </c>
      <c r="I1179" s="45">
        <v>44440</v>
      </c>
      <c r="J1179" s="46">
        <f>EFEITO!$J$1179*EFEITO!$Y$1179</f>
        <v>0</v>
      </c>
      <c r="K1179" s="46">
        <f ca="1">EFEITO!$L$1179*EFEITO!$Z$1179</f>
        <v>194151.21743017083</v>
      </c>
      <c r="L1179" s="46">
        <f>EFEITO!$N$1179*EFEITO!$AA$1179</f>
        <v>170462.95807726108</v>
      </c>
      <c r="M1179" s="46">
        <f>$J$1179-EFEITO!$K$1179*EFEITO!$Y$1179</f>
        <v>0</v>
      </c>
      <c r="N1179" s="46">
        <f ca="1">$K$1179-EFEITO!$M$1179*EFEITO!$Z$1179</f>
        <v>0</v>
      </c>
      <c r="O1179" s="46">
        <f>$L$1179-EFEITO!$O$1179*EFEITO!$AA$1179</f>
        <v>0</v>
      </c>
      <c r="P1179" s="38"/>
      <c r="Q1179" s="38"/>
      <c r="R1179" s="38"/>
      <c r="S1179" s="38"/>
      <c r="T1179" s="38"/>
      <c r="U1179" s="38"/>
      <c r="V1179" s="38"/>
      <c r="W1179" s="38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35" t="s">
        <v>28</v>
      </c>
      <c r="B1180" s="35" t="s">
        <v>37</v>
      </c>
      <c r="C1180" s="35" t="s">
        <v>23</v>
      </c>
      <c r="D1180" s="35" t="s">
        <v>45</v>
      </c>
      <c r="E1180" s="35" t="s">
        <v>25</v>
      </c>
      <c r="F1180" s="35" t="s">
        <v>25</v>
      </c>
      <c r="G1180" s="35" t="s">
        <v>25</v>
      </c>
      <c r="H1180" s="35" t="s">
        <v>25</v>
      </c>
      <c r="I1180" s="45">
        <v>44440</v>
      </c>
      <c r="J1180" s="46">
        <f>EFEITO!$J$1180*EFEITO!$Y$1180</f>
        <v>0</v>
      </c>
      <c r="K1180" s="46">
        <f ca="1">EFEITO!$L$1180*EFEITO!$Z$1180</f>
        <v>2285.4459369345568</v>
      </c>
      <c r="L1180" s="46">
        <f>EFEITO!$N$1180*EFEITO!$AA$1180</f>
        <v>2006.600216532978</v>
      </c>
      <c r="M1180" s="46">
        <f>$J$1180-EFEITO!$K$1180*EFEITO!$Y$1180</f>
        <v>0</v>
      </c>
      <c r="N1180" s="46">
        <f ca="1">$K$1180-EFEITO!$M$1180*EFEITO!$Z$1180</f>
        <v>0</v>
      </c>
      <c r="O1180" s="46">
        <f>$L$1180-EFEITO!$O$1180*EFEITO!$AA$1180</f>
        <v>0</v>
      </c>
      <c r="P1180" s="38"/>
      <c r="Q1180" s="38"/>
      <c r="R1180" s="38"/>
      <c r="S1180" s="38"/>
      <c r="T1180" s="38"/>
      <c r="U1180" s="38"/>
      <c r="V1180" s="38"/>
      <c r="W1180" s="38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35" t="s">
        <v>21</v>
      </c>
      <c r="B1181" s="35" t="s">
        <v>37</v>
      </c>
      <c r="C1181" s="35" t="s">
        <v>23</v>
      </c>
      <c r="D1181" s="35" t="s">
        <v>45</v>
      </c>
      <c r="E1181" s="35" t="s">
        <v>25</v>
      </c>
      <c r="F1181" s="35" t="s">
        <v>25</v>
      </c>
      <c r="G1181" s="35" t="s">
        <v>25</v>
      </c>
      <c r="H1181" s="35" t="s">
        <v>25</v>
      </c>
      <c r="I1181" s="45">
        <v>44470</v>
      </c>
      <c r="J1181" s="46">
        <f>EFEITO!$J$1181*EFEITO!$Y$1181</f>
        <v>0</v>
      </c>
      <c r="K1181" s="46">
        <f ca="1">EFEITO!$L$1181*EFEITO!$Z$1181</f>
        <v>227591.11056166122</v>
      </c>
      <c r="L1181" s="46">
        <f>EFEITO!$N$1181*EFEITO!$AA$1181</f>
        <v>199822.87235661151</v>
      </c>
      <c r="M1181" s="46">
        <f>$J$1181-EFEITO!$K$1181*EFEITO!$Y$1181</f>
        <v>0</v>
      </c>
      <c r="N1181" s="46">
        <f ca="1">$K$1181-EFEITO!$M$1181*EFEITO!$Z$1181</f>
        <v>0</v>
      </c>
      <c r="O1181" s="46">
        <f>$L$1181-EFEITO!$O$1181*EFEITO!$AA$1181</f>
        <v>0</v>
      </c>
      <c r="P1181" s="38"/>
      <c r="Q1181" s="38"/>
      <c r="R1181" s="38"/>
      <c r="S1181" s="38"/>
      <c r="T1181" s="38"/>
      <c r="U1181" s="38"/>
      <c r="V1181" s="38"/>
      <c r="W1181" s="38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35" t="s">
        <v>28</v>
      </c>
      <c r="B1182" s="35" t="s">
        <v>37</v>
      </c>
      <c r="C1182" s="35" t="s">
        <v>23</v>
      </c>
      <c r="D1182" s="35" t="s">
        <v>45</v>
      </c>
      <c r="E1182" s="35" t="s">
        <v>25</v>
      </c>
      <c r="F1182" s="35" t="s">
        <v>25</v>
      </c>
      <c r="G1182" s="35" t="s">
        <v>25</v>
      </c>
      <c r="H1182" s="35" t="s">
        <v>25</v>
      </c>
      <c r="I1182" s="45">
        <v>44470</v>
      </c>
      <c r="J1182" s="46">
        <f>EFEITO!$J$1182*EFEITO!$Y$1182</f>
        <v>0</v>
      </c>
      <c r="K1182" s="46">
        <f ca="1">EFEITO!$L$1182*EFEITO!$Z$1182</f>
        <v>2339.4328488306487</v>
      </c>
      <c r="L1182" s="46">
        <f>EFEITO!$N$1182*EFEITO!$AA$1182</f>
        <v>2054.0002216479302</v>
      </c>
      <c r="M1182" s="46">
        <f>$J$1182-EFEITO!$K$1182*EFEITO!$Y$1182</f>
        <v>0</v>
      </c>
      <c r="N1182" s="46">
        <f ca="1">$K$1182-EFEITO!$M$1182*EFEITO!$Z$1182</f>
        <v>0</v>
      </c>
      <c r="O1182" s="46">
        <f>$L$1182-EFEITO!$O$1182*EFEITO!$AA$1182</f>
        <v>0</v>
      </c>
      <c r="P1182" s="38"/>
      <c r="Q1182" s="38"/>
      <c r="R1182" s="38"/>
      <c r="S1182" s="38"/>
      <c r="T1182" s="38"/>
      <c r="U1182" s="38"/>
      <c r="V1182" s="38"/>
      <c r="W1182" s="38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35" t="s">
        <v>21</v>
      </c>
      <c r="B1183" s="35" t="s">
        <v>37</v>
      </c>
      <c r="C1183" s="35" t="s">
        <v>23</v>
      </c>
      <c r="D1183" s="35" t="s">
        <v>45</v>
      </c>
      <c r="E1183" s="35" t="s">
        <v>25</v>
      </c>
      <c r="F1183" s="35" t="s">
        <v>25</v>
      </c>
      <c r="G1183" s="35" t="s">
        <v>25</v>
      </c>
      <c r="H1183" s="35" t="s">
        <v>25</v>
      </c>
      <c r="I1183" s="45">
        <v>44501</v>
      </c>
      <c r="J1183" s="46">
        <f>EFEITO!$J$1183*EFEITO!$Y$1183</f>
        <v>0</v>
      </c>
      <c r="K1183" s="46">
        <f ca="1">EFEITO!$L$1183*EFEITO!$Z$1183</f>
        <v>238635.86154247759</v>
      </c>
      <c r="L1183" s="46">
        <f>EFEITO!$N$1183*EFEITO!$AA$1183</f>
        <v>209520.06070462603</v>
      </c>
      <c r="M1183" s="46">
        <f>$J$1183-EFEITO!$K$1183*EFEITO!$Y$1183</f>
        <v>0</v>
      </c>
      <c r="N1183" s="46">
        <f ca="1">$K$1183-EFEITO!$M$1183*EFEITO!$Z$1183</f>
        <v>0</v>
      </c>
      <c r="O1183" s="46">
        <f>$L$1183-EFEITO!$O$1183*EFEITO!$AA$1183</f>
        <v>0</v>
      </c>
      <c r="P1183" s="38"/>
      <c r="Q1183" s="38"/>
      <c r="R1183" s="38"/>
      <c r="S1183" s="38"/>
      <c r="T1183" s="38"/>
      <c r="U1183" s="38"/>
      <c r="V1183" s="38"/>
      <c r="W1183" s="38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35" t="s">
        <v>27</v>
      </c>
      <c r="B1184" s="35" t="s">
        <v>37</v>
      </c>
      <c r="C1184" s="35" t="s">
        <v>23</v>
      </c>
      <c r="D1184" s="35" t="s">
        <v>45</v>
      </c>
      <c r="E1184" s="35" t="s">
        <v>25</v>
      </c>
      <c r="F1184" s="35" t="s">
        <v>25</v>
      </c>
      <c r="G1184" s="35" t="s">
        <v>25</v>
      </c>
      <c r="H1184" s="35" t="s">
        <v>25</v>
      </c>
      <c r="I1184" s="45">
        <v>44501</v>
      </c>
      <c r="J1184" s="46">
        <f>EFEITO!$J$1184*EFEITO!$Y$1184</f>
        <v>0</v>
      </c>
      <c r="K1184" s="46">
        <f ca="1">EFEITO!$L$1184*EFEITO!$Z$1184</f>
        <v>-3212.6497253721986</v>
      </c>
      <c r="L1184" s="46">
        <f>EFEITO!$N$1184*EFEITO!$AA$1184</f>
        <v>-2820.6764948564437</v>
      </c>
      <c r="M1184" s="46">
        <f>$J$1184-EFEITO!$K$1184*EFEITO!$Y$1184</f>
        <v>0</v>
      </c>
      <c r="N1184" s="46">
        <f ca="1">$K$1184-EFEITO!$M$1184*EFEITO!$Z$1184</f>
        <v>0</v>
      </c>
      <c r="O1184" s="46">
        <f>$L$1184-EFEITO!$O$1184*EFEITO!$AA$1184</f>
        <v>0</v>
      </c>
      <c r="P1184" s="38"/>
      <c r="Q1184" s="38"/>
      <c r="R1184" s="38"/>
      <c r="S1184" s="38"/>
      <c r="T1184" s="38"/>
      <c r="U1184" s="38"/>
      <c r="V1184" s="38"/>
      <c r="W1184" s="38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35" t="s">
        <v>28</v>
      </c>
      <c r="B1185" s="35" t="s">
        <v>37</v>
      </c>
      <c r="C1185" s="35" t="s">
        <v>23</v>
      </c>
      <c r="D1185" s="35" t="s">
        <v>45</v>
      </c>
      <c r="E1185" s="35" t="s">
        <v>25</v>
      </c>
      <c r="F1185" s="35" t="s">
        <v>25</v>
      </c>
      <c r="G1185" s="35" t="s">
        <v>25</v>
      </c>
      <c r="H1185" s="35" t="s">
        <v>25</v>
      </c>
      <c r="I1185" s="45">
        <v>44501</v>
      </c>
      <c r="J1185" s="46">
        <f>EFEITO!$J$1185*EFEITO!$Y$1185</f>
        <v>0</v>
      </c>
      <c r="K1185" s="46">
        <f ca="1">EFEITO!$L$1185*EFEITO!$Z$1185</f>
        <v>2670.209801082895</v>
      </c>
      <c r="L1185" s="46">
        <f>EFEITO!$N$1185*EFEITO!$AA$1185</f>
        <v>2344.4193006062092</v>
      </c>
      <c r="M1185" s="46">
        <f>$J$1185-EFEITO!$K$1185*EFEITO!$Y$1185</f>
        <v>0</v>
      </c>
      <c r="N1185" s="46">
        <f ca="1">$K$1185-EFEITO!$M$1185*EFEITO!$Z$1185</f>
        <v>0</v>
      </c>
      <c r="O1185" s="46">
        <f>$L$1185-EFEITO!$O$1185*EFEITO!$AA$1185</f>
        <v>0</v>
      </c>
      <c r="P1185" s="38"/>
      <c r="Q1185" s="38"/>
      <c r="R1185" s="38"/>
      <c r="S1185" s="38"/>
      <c r="T1185" s="38"/>
      <c r="U1185" s="38"/>
      <c r="V1185" s="38"/>
      <c r="W1185" s="38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35" t="s">
        <v>21</v>
      </c>
      <c r="B1186" s="35" t="s">
        <v>37</v>
      </c>
      <c r="C1186" s="35" t="s">
        <v>23</v>
      </c>
      <c r="D1186" s="35" t="s">
        <v>45</v>
      </c>
      <c r="E1186" s="35" t="s">
        <v>25</v>
      </c>
      <c r="F1186" s="35" t="s">
        <v>25</v>
      </c>
      <c r="G1186" s="35" t="s">
        <v>25</v>
      </c>
      <c r="H1186" s="35" t="s">
        <v>25</v>
      </c>
      <c r="I1186" s="45">
        <v>44531</v>
      </c>
      <c r="J1186" s="46">
        <f>EFEITO!$J$1186*EFEITO!$Y$1186</f>
        <v>0</v>
      </c>
      <c r="K1186" s="46">
        <f ca="1">EFEITO!$L$1186*EFEITO!$Z$1186</f>
        <v>256779.46297007528</v>
      </c>
      <c r="L1186" s="46">
        <f>EFEITO!$N$1186*EFEITO!$AA$1186</f>
        <v>225449.97353473998</v>
      </c>
      <c r="M1186" s="46">
        <f>$J$1186-EFEITO!$K$1186*EFEITO!$Y$1186</f>
        <v>0</v>
      </c>
      <c r="N1186" s="46">
        <f ca="1">$K$1186-EFEITO!$M$1186*EFEITO!$Z$1186</f>
        <v>0</v>
      </c>
      <c r="O1186" s="46">
        <f>$L$1186-EFEITO!$O$1186*EFEITO!$AA$1186</f>
        <v>0</v>
      </c>
      <c r="P1186" s="38"/>
      <c r="Q1186" s="38"/>
      <c r="R1186" s="38"/>
      <c r="S1186" s="38"/>
      <c r="T1186" s="38"/>
      <c r="U1186" s="38"/>
      <c r="V1186" s="38"/>
      <c r="W1186" s="38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35" t="s">
        <v>28</v>
      </c>
      <c r="B1187" s="35" t="s">
        <v>37</v>
      </c>
      <c r="C1187" s="35" t="s">
        <v>23</v>
      </c>
      <c r="D1187" s="35" t="s">
        <v>45</v>
      </c>
      <c r="E1187" s="35" t="s">
        <v>25</v>
      </c>
      <c r="F1187" s="35" t="s">
        <v>25</v>
      </c>
      <c r="G1187" s="35" t="s">
        <v>25</v>
      </c>
      <c r="H1187" s="35" t="s">
        <v>25</v>
      </c>
      <c r="I1187" s="45">
        <v>44531</v>
      </c>
      <c r="J1187" s="46">
        <f>EFEITO!$J$1187*EFEITO!$Y$1187</f>
        <v>0</v>
      </c>
      <c r="K1187" s="46">
        <f ca="1">EFEITO!$L$1187*EFEITO!$Z$1187</f>
        <v>3150.0934623814892</v>
      </c>
      <c r="L1187" s="46">
        <f>EFEITO!$N$1187*EFEITO!$AA$1187</f>
        <v>2765.7526794057849</v>
      </c>
      <c r="M1187" s="46">
        <f>$J$1187-EFEITO!$K$1187*EFEITO!$Y$1187</f>
        <v>0</v>
      </c>
      <c r="N1187" s="46">
        <f ca="1">$K$1187-EFEITO!$M$1187*EFEITO!$Z$1187</f>
        <v>0</v>
      </c>
      <c r="O1187" s="46">
        <f>$L$1187-EFEITO!$O$1187*EFEITO!$AA$1187</f>
        <v>0</v>
      </c>
      <c r="P1187" s="38"/>
      <c r="Q1187" s="38"/>
      <c r="R1187" s="38"/>
      <c r="S1187" s="38"/>
      <c r="T1187" s="38"/>
      <c r="U1187" s="38"/>
      <c r="V1187" s="38"/>
      <c r="W1187" s="38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35" t="s">
        <v>55</v>
      </c>
      <c r="B1188" s="35" t="s">
        <v>37</v>
      </c>
      <c r="C1188" s="35" t="s">
        <v>23</v>
      </c>
      <c r="D1188" s="35" t="s">
        <v>45</v>
      </c>
      <c r="E1188" s="35" t="s">
        <v>25</v>
      </c>
      <c r="F1188" s="35" t="s">
        <v>25</v>
      </c>
      <c r="G1188" s="35" t="s">
        <v>25</v>
      </c>
      <c r="H1188" s="35" t="s">
        <v>25</v>
      </c>
      <c r="I1188" s="45">
        <v>44562</v>
      </c>
      <c r="J1188" s="46">
        <f>EFEITO!$J$1188*EFEITO!$Y$1188</f>
        <v>0</v>
      </c>
      <c r="K1188" s="46">
        <f ca="1">EFEITO!$L$1188*EFEITO!$Z$1188</f>
        <v>256779.46297007528</v>
      </c>
      <c r="L1188" s="46">
        <f>EFEITO!$N$1188*EFEITO!$AA$1188</f>
        <v>225449.97353473998</v>
      </c>
      <c r="M1188" s="46">
        <f>$J$1188-EFEITO!$K$1188*EFEITO!$Y$1188</f>
        <v>0</v>
      </c>
      <c r="N1188" s="46">
        <f ca="1">$K$1188-EFEITO!$M$1188*EFEITO!$Z$1188</f>
        <v>0</v>
      </c>
      <c r="O1188" s="46">
        <f>$L$1188-EFEITO!$O$1188*EFEITO!$AA$1188</f>
        <v>0</v>
      </c>
      <c r="P1188" s="38"/>
      <c r="Q1188" s="38"/>
      <c r="R1188" s="38"/>
      <c r="S1188" s="38"/>
      <c r="T1188" s="38"/>
      <c r="U1188" s="38"/>
      <c r="V1188" s="38"/>
      <c r="W1188" s="38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35" t="s">
        <v>55</v>
      </c>
      <c r="B1189" s="35" t="s">
        <v>37</v>
      </c>
      <c r="C1189" s="35" t="s">
        <v>23</v>
      </c>
      <c r="D1189" s="35" t="s">
        <v>45</v>
      </c>
      <c r="E1189" s="35" t="s">
        <v>25</v>
      </c>
      <c r="F1189" s="35" t="s">
        <v>25</v>
      </c>
      <c r="G1189" s="35" t="s">
        <v>25</v>
      </c>
      <c r="H1189" s="35" t="s">
        <v>25</v>
      </c>
      <c r="I1189" s="45">
        <v>44562</v>
      </c>
      <c r="J1189" s="46">
        <f>EFEITO!$J$1189*EFEITO!$Y$1189</f>
        <v>0</v>
      </c>
      <c r="K1189" s="46">
        <f ca="1">EFEITO!$L$1189*EFEITO!$Z$1189</f>
        <v>3150.0934623814892</v>
      </c>
      <c r="L1189" s="46">
        <f>EFEITO!$N$1189*EFEITO!$AA$1189</f>
        <v>2765.7526794057849</v>
      </c>
      <c r="M1189" s="46">
        <f>$J$1189-EFEITO!$K$1189*EFEITO!$Y$1189</f>
        <v>0</v>
      </c>
      <c r="N1189" s="46">
        <f ca="1">$K$1189-EFEITO!$M$1189*EFEITO!$Z$1189</f>
        <v>0</v>
      </c>
      <c r="O1189" s="46">
        <f>$L$1189-EFEITO!$O$1189*EFEITO!$AA$1189</f>
        <v>0</v>
      </c>
      <c r="P1189" s="38"/>
      <c r="Q1189" s="38"/>
      <c r="R1189" s="38"/>
      <c r="S1189" s="38"/>
      <c r="T1189" s="38"/>
      <c r="U1189" s="38"/>
      <c r="V1189" s="38"/>
      <c r="W1189" s="38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35" t="s">
        <v>21</v>
      </c>
      <c r="B1190" s="35" t="s">
        <v>37</v>
      </c>
      <c r="C1190" s="35" t="s">
        <v>23</v>
      </c>
      <c r="D1190" s="35" t="s">
        <v>49</v>
      </c>
      <c r="E1190" s="35" t="s">
        <v>50</v>
      </c>
      <c r="F1190" s="35" t="s">
        <v>25</v>
      </c>
      <c r="G1190" s="35" t="s">
        <v>25</v>
      </c>
      <c r="H1190" s="35" t="s">
        <v>25</v>
      </c>
      <c r="I1190" s="45">
        <v>44228</v>
      </c>
      <c r="J1190" s="46">
        <f>EFEITO!$J$1190*EFEITO!$Y$1189</f>
        <v>0</v>
      </c>
      <c r="K1190" s="46">
        <f ca="1">EFEITO!$L$1190*EFEITO!$Z$1189</f>
        <v>22360.293456222615</v>
      </c>
      <c r="L1190" s="46">
        <f>EFEITO!$N$1190*EFEITO!$AA$1189</f>
        <v>19632.129102637362</v>
      </c>
      <c r="M1190" s="46">
        <f>$J$1190-EFEITO!$K$1190*EFEITO!$Y$1190</f>
        <v>0</v>
      </c>
      <c r="N1190" s="46">
        <f ca="1">$K$1190-EFEITO!$M$1190*EFEITO!$Z$1190</f>
        <v>670.80880368668295</v>
      </c>
      <c r="O1190" s="46">
        <f>$L$1190-EFEITO!$O$1190*EFEITO!$AA$1190</f>
        <v>588.963873079123</v>
      </c>
      <c r="P1190" s="38"/>
      <c r="Q1190" s="38"/>
      <c r="R1190" s="38"/>
      <c r="S1190" s="38"/>
      <c r="T1190" s="38"/>
      <c r="U1190" s="38"/>
      <c r="V1190" s="38"/>
      <c r="W1190" s="38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35" t="s">
        <v>21</v>
      </c>
      <c r="B1191" s="35" t="s">
        <v>37</v>
      </c>
      <c r="C1191" s="35" t="s">
        <v>23</v>
      </c>
      <c r="D1191" s="35" t="s">
        <v>49</v>
      </c>
      <c r="E1191" s="35" t="s">
        <v>50</v>
      </c>
      <c r="F1191" s="35" t="s">
        <v>25</v>
      </c>
      <c r="G1191" s="35" t="s">
        <v>25</v>
      </c>
      <c r="H1191" s="35" t="s">
        <v>25</v>
      </c>
      <c r="I1191" s="45">
        <v>44256</v>
      </c>
      <c r="J1191" s="46">
        <f>EFEITO!$J$1191*EFEITO!$Y$1189</f>
        <v>0</v>
      </c>
      <c r="K1191" s="46">
        <f ca="1">EFEITO!$L$1191*EFEITO!$Z$1189</f>
        <v>25403.841319994353</v>
      </c>
      <c r="L1191" s="46">
        <f>EFEITO!$N$1191*EFEITO!$AA$1189</f>
        <v>22304.335740202525</v>
      </c>
      <c r="M1191" s="46">
        <f>$J$1191-EFEITO!$K$1191*EFEITO!$Y$1191</f>
        <v>0</v>
      </c>
      <c r="N1191" s="46">
        <f ca="1">$K$1191-EFEITO!$M$1191*EFEITO!$Z$1191</f>
        <v>762.11523959983242</v>
      </c>
      <c r="O1191" s="46">
        <f>$L$1191-EFEITO!$O$1191*EFEITO!$AA$1191</f>
        <v>669.13007220607324</v>
      </c>
      <c r="P1191" s="38"/>
      <c r="Q1191" s="38"/>
      <c r="R1191" s="38"/>
      <c r="S1191" s="38"/>
      <c r="T1191" s="38"/>
      <c r="U1191" s="38"/>
      <c r="V1191" s="38"/>
      <c r="W1191" s="38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35" t="s">
        <v>21</v>
      </c>
      <c r="B1192" s="35" t="s">
        <v>37</v>
      </c>
      <c r="C1192" s="35" t="s">
        <v>23</v>
      </c>
      <c r="D1192" s="35" t="s">
        <v>49</v>
      </c>
      <c r="E1192" s="35" t="s">
        <v>50</v>
      </c>
      <c r="F1192" s="35" t="s">
        <v>25</v>
      </c>
      <c r="G1192" s="35" t="s">
        <v>25</v>
      </c>
      <c r="H1192" s="35" t="s">
        <v>25</v>
      </c>
      <c r="I1192" s="45">
        <v>44287</v>
      </c>
      <c r="J1192" s="46">
        <f>EFEITO!$J$1192*EFEITO!$Y$1189</f>
        <v>0</v>
      </c>
      <c r="K1192" s="46">
        <f ca="1">EFEITO!$L$1192*EFEITO!$Z$1189</f>
        <v>24511.486226008161</v>
      </c>
      <c r="L1192" s="46">
        <f>EFEITO!$N$1192*EFEITO!$AA$1189</f>
        <v>21520.856290577602</v>
      </c>
      <c r="M1192" s="46">
        <f>$J$1192-EFEITO!$K$1192*EFEITO!$Y$1192</f>
        <v>0</v>
      </c>
      <c r="N1192" s="46">
        <f ca="1">$K$1192-EFEITO!$M$1192*EFEITO!$Z$1192</f>
        <v>735.34458678024748</v>
      </c>
      <c r="O1192" s="46">
        <f>$L$1192-EFEITO!$O$1192*EFEITO!$AA$1192</f>
        <v>645.62568871732583</v>
      </c>
      <c r="P1192" s="38"/>
      <c r="Q1192" s="38"/>
      <c r="R1192" s="38"/>
      <c r="S1192" s="38"/>
      <c r="T1192" s="38"/>
      <c r="U1192" s="38"/>
      <c r="V1192" s="38"/>
      <c r="W1192" s="38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35" t="s">
        <v>21</v>
      </c>
      <c r="B1193" s="35" t="s">
        <v>37</v>
      </c>
      <c r="C1193" s="35" t="s">
        <v>23</v>
      </c>
      <c r="D1193" s="35" t="s">
        <v>49</v>
      </c>
      <c r="E1193" s="35" t="s">
        <v>50</v>
      </c>
      <c r="F1193" s="35" t="s">
        <v>25</v>
      </c>
      <c r="G1193" s="35" t="s">
        <v>25</v>
      </c>
      <c r="H1193" s="35" t="s">
        <v>25</v>
      </c>
      <c r="I1193" s="45">
        <v>44317</v>
      </c>
      <c r="J1193" s="46">
        <f>EFEITO!$J$1193*EFEITO!$Y$1189</f>
        <v>0</v>
      </c>
      <c r="K1193" s="46">
        <f ca="1">EFEITO!$L$1193*EFEITO!$Z$1189</f>
        <v>27718.42305065061</v>
      </c>
      <c r="L1193" s="46">
        <f>EFEITO!$N$1193*EFEITO!$AA$1189</f>
        <v>24336.516911876904</v>
      </c>
      <c r="M1193" s="46">
        <f>$J$1193-EFEITO!$K$1193*EFEITO!$Y$1193</f>
        <v>0</v>
      </c>
      <c r="N1193" s="46">
        <f ca="1">$K$1193-EFEITO!$M$1193*EFEITO!$Z$1193</f>
        <v>831.5526915195187</v>
      </c>
      <c r="O1193" s="46">
        <f>$L$1193-EFEITO!$O$1193*EFEITO!$AA$1193</f>
        <v>730.09550735630546</v>
      </c>
      <c r="P1193" s="38"/>
      <c r="Q1193" s="38"/>
      <c r="R1193" s="38"/>
      <c r="S1193" s="38"/>
      <c r="T1193" s="38"/>
      <c r="U1193" s="38"/>
      <c r="V1193" s="38"/>
      <c r="W1193" s="38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35" t="s">
        <v>21</v>
      </c>
      <c r="B1194" s="35" t="s">
        <v>37</v>
      </c>
      <c r="C1194" s="35" t="s">
        <v>23</v>
      </c>
      <c r="D1194" s="35" t="s">
        <v>49</v>
      </c>
      <c r="E1194" s="35" t="s">
        <v>50</v>
      </c>
      <c r="F1194" s="35" t="s">
        <v>25</v>
      </c>
      <c r="G1194" s="35" t="s">
        <v>25</v>
      </c>
      <c r="H1194" s="35" t="s">
        <v>25</v>
      </c>
      <c r="I1194" s="45">
        <v>44348</v>
      </c>
      <c r="J1194" s="46">
        <f>EFEITO!$J$1194*EFEITO!$Y$1189</f>
        <v>0</v>
      </c>
      <c r="K1194" s="46">
        <f ca="1">EFEITO!$L$1194*EFEITO!$Z$1189</f>
        <v>22576.812393879954</v>
      </c>
      <c r="L1194" s="46">
        <f>EFEITO!$N$1194*EFEITO!$AA$1189</f>
        <v>19822.230710452885</v>
      </c>
      <c r="M1194" s="46">
        <f>$J$1194-EFEITO!$K$1194*EFEITO!$Y$1194</f>
        <v>0</v>
      </c>
      <c r="N1194" s="46">
        <f ca="1">$K$1194-EFEITO!$M$1194*EFEITO!$Z$1194</f>
        <v>677.30437181640082</v>
      </c>
      <c r="O1194" s="46">
        <f>$L$1194-EFEITO!$O$1194*EFEITO!$AA$1194</f>
        <v>594.66692131359014</v>
      </c>
      <c r="P1194" s="38"/>
      <c r="Q1194" s="38"/>
      <c r="R1194" s="38"/>
      <c r="S1194" s="38"/>
      <c r="T1194" s="38"/>
      <c r="U1194" s="38"/>
      <c r="V1194" s="38"/>
      <c r="W1194" s="38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35" t="s">
        <v>21</v>
      </c>
      <c r="B1195" s="35" t="s">
        <v>37</v>
      </c>
      <c r="C1195" s="35" t="s">
        <v>23</v>
      </c>
      <c r="D1195" s="35" t="s">
        <v>49</v>
      </c>
      <c r="E1195" s="35" t="s">
        <v>50</v>
      </c>
      <c r="F1195" s="35" t="s">
        <v>25</v>
      </c>
      <c r="G1195" s="35" t="s">
        <v>25</v>
      </c>
      <c r="H1195" s="35" t="s">
        <v>25</v>
      </c>
      <c r="I1195" s="45">
        <v>44378</v>
      </c>
      <c r="J1195" s="46">
        <f>EFEITO!$J$1195*EFEITO!$Y$1189</f>
        <v>0</v>
      </c>
      <c r="K1195" s="46">
        <f ca="1">EFEITO!$L$1195*EFEITO!$Z$1189</f>
        <v>25912.289484941677</v>
      </c>
      <c r="L1195" s="46">
        <f>EFEITO!$N$1195*EFEITO!$AA$1189</f>
        <v>22750.74848678779</v>
      </c>
      <c r="M1195" s="46">
        <f>$J$1195-EFEITO!$K$1195*EFEITO!$Y$1195</f>
        <v>0</v>
      </c>
      <c r="N1195" s="46">
        <f ca="1">$K$1195-EFEITO!$M$1195*EFEITO!$Z$1195</f>
        <v>777.36868454825526</v>
      </c>
      <c r="O1195" s="46">
        <f>$L$1195-EFEITO!$O$1195*EFEITO!$AA$1195</f>
        <v>682.52245460363338</v>
      </c>
      <c r="P1195" s="38"/>
      <c r="Q1195" s="38"/>
      <c r="R1195" s="38"/>
      <c r="S1195" s="38"/>
      <c r="T1195" s="38"/>
      <c r="U1195" s="38"/>
      <c r="V1195" s="38"/>
      <c r="W1195" s="38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35" t="s">
        <v>21</v>
      </c>
      <c r="B1196" s="35" t="s">
        <v>37</v>
      </c>
      <c r="C1196" s="35" t="s">
        <v>23</v>
      </c>
      <c r="D1196" s="35" t="s">
        <v>49</v>
      </c>
      <c r="E1196" s="35" t="s">
        <v>50</v>
      </c>
      <c r="F1196" s="35" t="s">
        <v>25</v>
      </c>
      <c r="G1196" s="35" t="s">
        <v>25</v>
      </c>
      <c r="H1196" s="35" t="s">
        <v>25</v>
      </c>
      <c r="I1196" s="45">
        <v>44409</v>
      </c>
      <c r="J1196" s="46">
        <f>EFEITO!$J$1196*EFEITO!$Y$1189</f>
        <v>0</v>
      </c>
      <c r="K1196" s="46">
        <f ca="1">EFEITO!$L$1196*EFEITO!$Z$1189</f>
        <v>22914.159181971405</v>
      </c>
      <c r="L1196" s="46">
        <f>EFEITO!$N$1196*EFEITO!$AA$1189</f>
        <v>20118.418044001872</v>
      </c>
      <c r="M1196" s="46">
        <f>$J$1196-EFEITO!$K$1196*EFEITO!$Y$1196</f>
        <v>0</v>
      </c>
      <c r="N1196" s="46">
        <f ca="1">$K$1196-EFEITO!$M$1196*EFEITO!$Z$1196</f>
        <v>687.42477545914517</v>
      </c>
      <c r="O1196" s="46">
        <f>$L$1196-EFEITO!$O$1196*EFEITO!$AA$1196</f>
        <v>603.55254132005939</v>
      </c>
      <c r="P1196" s="38"/>
      <c r="Q1196" s="38"/>
      <c r="R1196" s="38"/>
      <c r="S1196" s="38"/>
      <c r="T1196" s="38"/>
      <c r="U1196" s="38"/>
      <c r="V1196" s="38"/>
      <c r="W1196" s="38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35" t="s">
        <v>21</v>
      </c>
      <c r="B1197" s="35" t="s">
        <v>37</v>
      </c>
      <c r="C1197" s="35" t="s">
        <v>23</v>
      </c>
      <c r="D1197" s="35" t="s">
        <v>49</v>
      </c>
      <c r="E1197" s="35" t="s">
        <v>50</v>
      </c>
      <c r="F1197" s="35" t="s">
        <v>25</v>
      </c>
      <c r="G1197" s="35" t="s">
        <v>25</v>
      </c>
      <c r="H1197" s="35" t="s">
        <v>25</v>
      </c>
      <c r="I1197" s="45">
        <v>44440</v>
      </c>
      <c r="J1197" s="46">
        <f>EFEITO!$J$1197*EFEITO!$Y$1189</f>
        <v>0</v>
      </c>
      <c r="K1197" s="46">
        <f ca="1">EFEITO!$L$1197*EFEITO!$Z$1189</f>
        <v>23233.510332764163</v>
      </c>
      <c r="L1197" s="46">
        <f>EFEITO!$N$1197*EFEITO!$AA$1189</f>
        <v>20398.805375845874</v>
      </c>
      <c r="M1197" s="46">
        <f>$J$1197-EFEITO!$K$1197*EFEITO!$Y$1197</f>
        <v>0</v>
      </c>
      <c r="N1197" s="46">
        <f ca="1">$K$1197-EFEITO!$M$1197*EFEITO!$Z$1197</f>
        <v>697.00530998292743</v>
      </c>
      <c r="O1197" s="46">
        <f>$L$1197-EFEITO!$O$1197*EFEITO!$AA$1197</f>
        <v>611.96416127537668</v>
      </c>
      <c r="P1197" s="38"/>
      <c r="Q1197" s="38"/>
      <c r="R1197" s="38"/>
      <c r="S1197" s="38"/>
      <c r="T1197" s="38"/>
      <c r="U1197" s="38"/>
      <c r="V1197" s="38"/>
      <c r="W1197" s="38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35" t="s">
        <v>21</v>
      </c>
      <c r="B1198" s="35" t="s">
        <v>37</v>
      </c>
      <c r="C1198" s="35" t="s">
        <v>23</v>
      </c>
      <c r="D1198" s="35" t="s">
        <v>49</v>
      </c>
      <c r="E1198" s="35" t="s">
        <v>50</v>
      </c>
      <c r="F1198" s="35" t="s">
        <v>25</v>
      </c>
      <c r="G1198" s="35" t="s">
        <v>25</v>
      </c>
      <c r="H1198" s="35" t="s">
        <v>25</v>
      </c>
      <c r="I1198" s="45">
        <v>44470</v>
      </c>
      <c r="J1198" s="46">
        <f>EFEITO!$J$1198*EFEITO!$Y$1189</f>
        <v>0</v>
      </c>
      <c r="K1198" s="46">
        <f ca="1">EFEITO!$L$1198*EFEITO!$Z$1189</f>
        <v>25118.481928543584</v>
      </c>
      <c r="L1198" s="46">
        <f>EFEITO!$N$1198*EFEITO!$AA$1189</f>
        <v>22053.792856023494</v>
      </c>
      <c r="M1198" s="46">
        <f>$J$1198-EFEITO!$K$1198*EFEITO!$Y$1198</f>
        <v>0</v>
      </c>
      <c r="N1198" s="46">
        <f ca="1">$K$1198-EFEITO!$M$1198*EFEITO!$Z$1198</f>
        <v>753.55445785630945</v>
      </c>
      <c r="O1198" s="46">
        <f>$L$1198-EFEITO!$O$1198*EFEITO!$AA$1198</f>
        <v>661.61378568070359</v>
      </c>
      <c r="P1198" s="38"/>
      <c r="Q1198" s="38"/>
      <c r="R1198" s="38"/>
      <c r="S1198" s="38"/>
      <c r="T1198" s="38"/>
      <c r="U1198" s="38"/>
      <c r="V1198" s="38"/>
      <c r="W1198" s="38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35" t="s">
        <v>21</v>
      </c>
      <c r="B1199" s="35" t="s">
        <v>37</v>
      </c>
      <c r="C1199" s="35" t="s">
        <v>23</v>
      </c>
      <c r="D1199" s="35" t="s">
        <v>49</v>
      </c>
      <c r="E1199" s="35" t="s">
        <v>50</v>
      </c>
      <c r="F1199" s="35" t="s">
        <v>25</v>
      </c>
      <c r="G1199" s="35" t="s">
        <v>25</v>
      </c>
      <c r="H1199" s="35" t="s">
        <v>25</v>
      </c>
      <c r="I1199" s="45">
        <v>44501</v>
      </c>
      <c r="J1199" s="46">
        <f>EFEITO!$J$1199*EFEITO!$Y$1189</f>
        <v>0</v>
      </c>
      <c r="K1199" s="46">
        <f ca="1">EFEITO!$L$1199*EFEITO!$Z$1189</f>
        <v>24852.832044610434</v>
      </c>
      <c r="L1199" s="46">
        <f>EFEITO!$N$1199*EFEITO!$AA$1189</f>
        <v>21820.554735616584</v>
      </c>
      <c r="M1199" s="46">
        <f>$J$1199-EFEITO!$K$1199*EFEITO!$Y$1199</f>
        <v>0</v>
      </c>
      <c r="N1199" s="46">
        <f ca="1">$K$1199-EFEITO!$M$1199*EFEITO!$Z$1199</f>
        <v>745.58496133831795</v>
      </c>
      <c r="O1199" s="46">
        <f>$L$1199-EFEITO!$O$1199*EFEITO!$AA$1199</f>
        <v>654.61664206849673</v>
      </c>
      <c r="P1199" s="38"/>
      <c r="Q1199" s="38"/>
      <c r="R1199" s="38"/>
      <c r="S1199" s="38"/>
      <c r="T1199" s="38"/>
      <c r="U1199" s="38"/>
      <c r="V1199" s="38"/>
      <c r="W1199" s="38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35" t="s">
        <v>27</v>
      </c>
      <c r="B1200" s="35" t="s">
        <v>37</v>
      </c>
      <c r="C1200" s="35" t="s">
        <v>23</v>
      </c>
      <c r="D1200" s="35" t="s">
        <v>49</v>
      </c>
      <c r="E1200" s="35" t="s">
        <v>50</v>
      </c>
      <c r="F1200" s="35" t="s">
        <v>25</v>
      </c>
      <c r="G1200" s="35" t="s">
        <v>25</v>
      </c>
      <c r="H1200" s="35" t="s">
        <v>25</v>
      </c>
      <c r="I1200" s="45">
        <v>44501</v>
      </c>
      <c r="J1200" s="46">
        <f>EFEITO!$J$1200*EFEITO!$Y$1189</f>
        <v>0</v>
      </c>
      <c r="K1200" s="46">
        <f ca="1">EFEITO!$L$1200*EFEITO!$Z$1189</f>
        <v>-8.5693510946177618</v>
      </c>
      <c r="L1200" s="46">
        <f>EFEITO!$N$1200*EFEITO!$AA$1189</f>
        <v>-7.5238103357067043</v>
      </c>
      <c r="M1200" s="46">
        <f>$J$1200-EFEITO!$K$1200*EFEITO!$Y$1200</f>
        <v>0</v>
      </c>
      <c r="N1200" s="46">
        <f ca="1">$K$1200-EFEITO!$M$1200*EFEITO!$Z$1200</f>
        <v>-0.25708053283853438</v>
      </c>
      <c r="O1200" s="46">
        <f>$L$1200-EFEITO!$O$1200*EFEITO!$AA$1200</f>
        <v>-0.22571431007120157</v>
      </c>
      <c r="P1200" s="38"/>
      <c r="Q1200" s="38"/>
      <c r="R1200" s="38"/>
      <c r="S1200" s="38"/>
      <c r="T1200" s="38"/>
      <c r="U1200" s="38"/>
      <c r="V1200" s="38"/>
      <c r="W1200" s="38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35" t="s">
        <v>21</v>
      </c>
      <c r="B1201" s="35" t="s">
        <v>37</v>
      </c>
      <c r="C1201" s="35" t="s">
        <v>23</v>
      </c>
      <c r="D1201" s="35" t="s">
        <v>49</v>
      </c>
      <c r="E1201" s="35" t="s">
        <v>50</v>
      </c>
      <c r="F1201" s="35" t="s">
        <v>25</v>
      </c>
      <c r="G1201" s="35" t="s">
        <v>25</v>
      </c>
      <c r="H1201" s="35" t="s">
        <v>25</v>
      </c>
      <c r="I1201" s="45">
        <v>44531</v>
      </c>
      <c r="J1201" s="46">
        <f>EFEITO!$J$1201*EFEITO!$Y$1189</f>
        <v>0</v>
      </c>
      <c r="K1201" s="46">
        <f ca="1">EFEITO!$L$1201*EFEITO!$Z$1189</f>
        <v>26500.71826010543</v>
      </c>
      <c r="L1201" s="46">
        <f>EFEITO!$N$1201*EFEITO!$AA$1189</f>
        <v>23267.383463172984</v>
      </c>
      <c r="M1201" s="46">
        <f>$J$1201-EFEITO!$K$1201*EFEITO!$Y$1201</f>
        <v>0</v>
      </c>
      <c r="N1201" s="46">
        <f ca="1">$K$1201-EFEITO!$M$1201*EFEITO!$Z$1201</f>
        <v>795.02154780316414</v>
      </c>
      <c r="O1201" s="46">
        <f>$L$1201-EFEITO!$O$1201*EFEITO!$AA$1201</f>
        <v>698.02150389519011</v>
      </c>
      <c r="P1201" s="38"/>
      <c r="Q1201" s="38"/>
      <c r="R1201" s="38"/>
      <c r="S1201" s="38"/>
      <c r="T1201" s="38"/>
      <c r="U1201" s="38"/>
      <c r="V1201" s="38"/>
      <c r="W1201" s="38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35" t="s">
        <v>55</v>
      </c>
      <c r="B1202" s="35" t="s">
        <v>37</v>
      </c>
      <c r="C1202" s="35" t="s">
        <v>23</v>
      </c>
      <c r="D1202" s="35" t="s">
        <v>49</v>
      </c>
      <c r="E1202" s="35" t="s">
        <v>50</v>
      </c>
      <c r="F1202" s="35" t="s">
        <v>25</v>
      </c>
      <c r="G1202" s="35" t="s">
        <v>25</v>
      </c>
      <c r="H1202" s="35" t="s">
        <v>25</v>
      </c>
      <c r="I1202" s="45">
        <v>44562</v>
      </c>
      <c r="J1202" s="46">
        <f>EFEITO!$J$1202*EFEITO!$Y$1189</f>
        <v>0</v>
      </c>
      <c r="K1202" s="46">
        <f ca="1">EFEITO!$L$1202*EFEITO!$Z$1189</f>
        <v>26500.71826010543</v>
      </c>
      <c r="L1202" s="46">
        <f>EFEITO!$N$1202*EFEITO!$AA$1189</f>
        <v>23267.383463172984</v>
      </c>
      <c r="M1202" s="46">
        <f>$J$1202-EFEITO!$K$1202*EFEITO!$Y$1202</f>
        <v>0</v>
      </c>
      <c r="N1202" s="46">
        <f ca="1">$K$1202-EFEITO!$M$1202*EFEITO!$Z$1202</f>
        <v>795.02154780316414</v>
      </c>
      <c r="O1202" s="46">
        <f>$L$1202-EFEITO!$O$1202*EFEITO!$AA$1202</f>
        <v>698.02150389519011</v>
      </c>
      <c r="P1202" s="38"/>
      <c r="Q1202" s="38"/>
      <c r="R1202" s="38"/>
      <c r="S1202" s="38"/>
      <c r="T1202" s="38"/>
      <c r="U1202" s="38"/>
      <c r="V1202" s="38"/>
      <c r="W1202" s="38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35" t="s">
        <v>21</v>
      </c>
      <c r="B1203" s="35" t="s">
        <v>46</v>
      </c>
      <c r="C1203" s="35" t="s">
        <v>23</v>
      </c>
      <c r="D1203" s="35" t="s">
        <v>47</v>
      </c>
      <c r="E1203" s="35" t="s">
        <v>48</v>
      </c>
      <c r="F1203" s="35" t="s">
        <v>25</v>
      </c>
      <c r="G1203" s="35" t="s">
        <v>25</v>
      </c>
      <c r="H1203" s="35" t="s">
        <v>25</v>
      </c>
      <c r="I1203" s="45">
        <v>44228</v>
      </c>
      <c r="J1203" s="46">
        <f>EFEITO!$J$1203*EFEITO!$Y$1203</f>
        <v>0</v>
      </c>
      <c r="K1203" s="46">
        <f ca="1">EFEITO!$L$1203*EFEITO!$Z$1203</f>
        <v>481391.32436567801</v>
      </c>
      <c r="L1203" s="46">
        <f>EFEITO!$N$1203*EFEITO!$AA$1203</f>
        <v>422657.09291067196</v>
      </c>
      <c r="M1203" s="46">
        <f>$J$1203-EFEITO!$K$1203*EFEITO!$Y$1203</f>
        <v>0</v>
      </c>
      <c r="N1203" s="46">
        <f ca="1">$K$1203-EFEITO!$M$1203*EFEITO!$Z$1203</f>
        <v>0</v>
      </c>
      <c r="O1203" s="46">
        <f>$L$1203-EFEITO!$O$1203*EFEITO!$AA$1203</f>
        <v>0</v>
      </c>
      <c r="P1203" s="38"/>
      <c r="Q1203" s="38"/>
      <c r="R1203" s="38"/>
      <c r="S1203" s="38"/>
      <c r="T1203" s="38"/>
      <c r="U1203" s="38"/>
      <c r="V1203" s="38"/>
      <c r="W1203" s="38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35" t="s">
        <v>21</v>
      </c>
      <c r="B1204" s="35" t="s">
        <v>46</v>
      </c>
      <c r="C1204" s="35" t="s">
        <v>23</v>
      </c>
      <c r="D1204" s="35" t="s">
        <v>47</v>
      </c>
      <c r="E1204" s="35" t="s">
        <v>48</v>
      </c>
      <c r="F1204" s="35" t="s">
        <v>25</v>
      </c>
      <c r="G1204" s="35" t="s">
        <v>25</v>
      </c>
      <c r="H1204" s="35" t="s">
        <v>25</v>
      </c>
      <c r="I1204" s="45">
        <v>44256</v>
      </c>
      <c r="J1204" s="46">
        <f>EFEITO!$J$1204*EFEITO!$Y$1204</f>
        <v>0</v>
      </c>
      <c r="K1204" s="46">
        <f ca="1">EFEITO!$L$1204*EFEITO!$Z$1204</f>
        <v>480898.8009115149</v>
      </c>
      <c r="L1204" s="46">
        <f>EFEITO!$N$1204*EFEITO!$AA$1204</f>
        <v>422224.66191162722</v>
      </c>
      <c r="M1204" s="46">
        <f>$J$1204-EFEITO!$K$1204*EFEITO!$Y$1204</f>
        <v>0</v>
      </c>
      <c r="N1204" s="46">
        <f ca="1">$K$1204-EFEITO!$M$1204*EFEITO!$Z$1204</f>
        <v>0</v>
      </c>
      <c r="O1204" s="46">
        <f>$L$1204-EFEITO!$O$1204*EFEITO!$AA$1204</f>
        <v>0</v>
      </c>
      <c r="P1204" s="38"/>
      <c r="Q1204" s="38"/>
      <c r="R1204" s="38"/>
      <c r="S1204" s="38"/>
      <c r="T1204" s="38"/>
      <c r="U1204" s="38"/>
      <c r="V1204" s="38"/>
      <c r="W1204" s="38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35" t="s">
        <v>21</v>
      </c>
      <c r="B1205" s="35" t="s">
        <v>46</v>
      </c>
      <c r="C1205" s="35" t="s">
        <v>23</v>
      </c>
      <c r="D1205" s="35" t="s">
        <v>47</v>
      </c>
      <c r="E1205" s="35" t="s">
        <v>48</v>
      </c>
      <c r="F1205" s="35" t="s">
        <v>25</v>
      </c>
      <c r="G1205" s="35" t="s">
        <v>25</v>
      </c>
      <c r="H1205" s="35" t="s">
        <v>25</v>
      </c>
      <c r="I1205" s="45">
        <v>44287</v>
      </c>
      <c r="J1205" s="46">
        <f>EFEITO!$J$1205*EFEITO!$Y$1205</f>
        <v>0</v>
      </c>
      <c r="K1205" s="46">
        <f ca="1">EFEITO!$L$1205*EFEITO!$Z$1205</f>
        <v>482411.09142818936</v>
      </c>
      <c r="L1205" s="46">
        <f>EFEITO!$N$1205*EFEITO!$AA$1205</f>
        <v>423552.43888030492</v>
      </c>
      <c r="M1205" s="46">
        <f>$J$1205-EFEITO!$K$1205*EFEITO!$Y$1205</f>
        <v>0</v>
      </c>
      <c r="N1205" s="46">
        <f ca="1">$K$1205-EFEITO!$M$1205*EFEITO!$Z$1205</f>
        <v>0</v>
      </c>
      <c r="O1205" s="46">
        <f>$L$1205-EFEITO!$O$1205*EFEITO!$AA$1205</f>
        <v>0</v>
      </c>
      <c r="P1205" s="38"/>
      <c r="Q1205" s="38"/>
      <c r="R1205" s="38"/>
      <c r="S1205" s="38"/>
      <c r="T1205" s="38"/>
      <c r="U1205" s="38"/>
      <c r="V1205" s="38"/>
      <c r="W1205" s="38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35" t="s">
        <v>21</v>
      </c>
      <c r="B1206" s="35" t="s">
        <v>46</v>
      </c>
      <c r="C1206" s="35" t="s">
        <v>23</v>
      </c>
      <c r="D1206" s="35" t="s">
        <v>47</v>
      </c>
      <c r="E1206" s="35" t="s">
        <v>48</v>
      </c>
      <c r="F1206" s="35" t="s">
        <v>25</v>
      </c>
      <c r="G1206" s="35" t="s">
        <v>25</v>
      </c>
      <c r="H1206" s="35" t="s">
        <v>25</v>
      </c>
      <c r="I1206" s="45">
        <v>44317</v>
      </c>
      <c r="J1206" s="46">
        <f>EFEITO!$J$1206*EFEITO!$Y$1206</f>
        <v>0</v>
      </c>
      <c r="K1206" s="46">
        <f ca="1">EFEITO!$L$1206*EFEITO!$Z$1206</f>
        <v>487232.63682157604</v>
      </c>
      <c r="L1206" s="46">
        <f>EFEITO!$N$1206*EFEITO!$AA$1206</f>
        <v>427785.71076569031</v>
      </c>
      <c r="M1206" s="46">
        <f>$J$1206-EFEITO!$K$1206*EFEITO!$Y$1206</f>
        <v>0</v>
      </c>
      <c r="N1206" s="46">
        <f ca="1">$K$1206-EFEITO!$M$1206*EFEITO!$Z$1206</f>
        <v>0</v>
      </c>
      <c r="O1206" s="46">
        <f>$L$1206-EFEITO!$O$1206*EFEITO!$AA$1206</f>
        <v>0</v>
      </c>
      <c r="P1206" s="38"/>
      <c r="Q1206" s="38"/>
      <c r="R1206" s="38"/>
      <c r="S1206" s="38"/>
      <c r="T1206" s="38"/>
      <c r="U1206" s="38"/>
      <c r="V1206" s="38"/>
      <c r="W1206" s="38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35" t="s">
        <v>21</v>
      </c>
      <c r="B1207" s="35" t="s">
        <v>46</v>
      </c>
      <c r="C1207" s="35" t="s">
        <v>23</v>
      </c>
      <c r="D1207" s="35" t="s">
        <v>47</v>
      </c>
      <c r="E1207" s="35" t="s">
        <v>48</v>
      </c>
      <c r="F1207" s="35" t="s">
        <v>25</v>
      </c>
      <c r="G1207" s="35" t="s">
        <v>25</v>
      </c>
      <c r="H1207" s="35" t="s">
        <v>25</v>
      </c>
      <c r="I1207" s="45">
        <v>44348</v>
      </c>
      <c r="J1207" s="46">
        <f>EFEITO!$J$1207*EFEITO!$Y$1207</f>
        <v>0</v>
      </c>
      <c r="K1207" s="46">
        <f ca="1">EFEITO!$L$1207*EFEITO!$Z$1207</f>
        <v>526357.85165453877</v>
      </c>
      <c r="L1207" s="46">
        <f>EFEITO!$N$1207*EFEITO!$AA$1207</f>
        <v>462137.28447258146</v>
      </c>
      <c r="M1207" s="46">
        <f>$J$1207-EFEITO!$K$1207*EFEITO!$Y$1207</f>
        <v>0</v>
      </c>
      <c r="N1207" s="46">
        <f ca="1">$K$1207-EFEITO!$M$1207*EFEITO!$Z$1207</f>
        <v>0</v>
      </c>
      <c r="O1207" s="46">
        <f>$L$1207-EFEITO!$O$1207*EFEITO!$AA$1207</f>
        <v>0</v>
      </c>
      <c r="P1207" s="38"/>
      <c r="Q1207" s="38"/>
      <c r="R1207" s="38"/>
      <c r="S1207" s="38"/>
      <c r="T1207" s="38"/>
      <c r="U1207" s="38"/>
      <c r="V1207" s="38"/>
      <c r="W1207" s="38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35" t="s">
        <v>21</v>
      </c>
      <c r="B1208" s="35" t="s">
        <v>46</v>
      </c>
      <c r="C1208" s="35" t="s">
        <v>23</v>
      </c>
      <c r="D1208" s="35" t="s">
        <v>47</v>
      </c>
      <c r="E1208" s="35" t="s">
        <v>48</v>
      </c>
      <c r="F1208" s="35" t="s">
        <v>25</v>
      </c>
      <c r="G1208" s="35" t="s">
        <v>25</v>
      </c>
      <c r="H1208" s="35" t="s">
        <v>25</v>
      </c>
      <c r="I1208" s="45">
        <v>44378</v>
      </c>
      <c r="J1208" s="46">
        <f>EFEITO!$J$1208*EFEITO!$Y$1208</f>
        <v>0</v>
      </c>
      <c r="K1208" s="46">
        <f ca="1">EFEITO!$L$1208*EFEITO!$Z$1208</f>
        <v>484452.51081045286</v>
      </c>
      <c r="L1208" s="46">
        <f>EFEITO!$N$1208*EFEITO!$AA$1208</f>
        <v>425344.78605784476</v>
      </c>
      <c r="M1208" s="46">
        <f>$J$1208-EFEITO!$K$1208*EFEITO!$Y$1208</f>
        <v>0</v>
      </c>
      <c r="N1208" s="46">
        <f ca="1">$K$1208-EFEITO!$M$1208*EFEITO!$Z$1208</f>
        <v>0</v>
      </c>
      <c r="O1208" s="46">
        <f>$L$1208-EFEITO!$O$1208*EFEITO!$AA$1208</f>
        <v>0</v>
      </c>
      <c r="P1208" s="38"/>
      <c r="Q1208" s="38"/>
      <c r="R1208" s="38"/>
      <c r="S1208" s="38"/>
      <c r="T1208" s="38"/>
      <c r="U1208" s="38"/>
      <c r="V1208" s="38"/>
      <c r="W1208" s="38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35" t="s">
        <v>21</v>
      </c>
      <c r="B1209" s="35" t="s">
        <v>46</v>
      </c>
      <c r="C1209" s="35" t="s">
        <v>23</v>
      </c>
      <c r="D1209" s="35" t="s">
        <v>47</v>
      </c>
      <c r="E1209" s="35" t="s">
        <v>48</v>
      </c>
      <c r="F1209" s="35" t="s">
        <v>25</v>
      </c>
      <c r="G1209" s="35" t="s">
        <v>25</v>
      </c>
      <c r="H1209" s="35" t="s">
        <v>25</v>
      </c>
      <c r="I1209" s="45">
        <v>44409</v>
      </c>
      <c r="J1209" s="46">
        <f>EFEITO!$J$1209*EFEITO!$Y$1209</f>
        <v>0</v>
      </c>
      <c r="K1209" s="46">
        <f ca="1">EFEITO!$L$1209*EFEITO!$Z$1209</f>
        <v>452999.03610945033</v>
      </c>
      <c r="L1209" s="46">
        <f>EFEITO!$N$1209*EFEITO!$AA$1209</f>
        <v>397728.92863336287</v>
      </c>
      <c r="M1209" s="46">
        <f>$J$1209-EFEITO!$K$1209*EFEITO!$Y$1209</f>
        <v>0</v>
      </c>
      <c r="N1209" s="46">
        <f ca="1">$K$1209-EFEITO!$M$1209*EFEITO!$Z$1209</f>
        <v>0</v>
      </c>
      <c r="O1209" s="46">
        <f>$L$1209-EFEITO!$O$1209*EFEITO!$AA$1209</f>
        <v>0</v>
      </c>
      <c r="P1209" s="38"/>
      <c r="Q1209" s="38"/>
      <c r="R1209" s="38"/>
      <c r="S1209" s="38"/>
      <c r="T1209" s="38"/>
      <c r="U1209" s="38"/>
      <c r="V1209" s="38"/>
      <c r="W1209" s="38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35" t="s">
        <v>21</v>
      </c>
      <c r="B1210" s="35" t="s">
        <v>46</v>
      </c>
      <c r="C1210" s="35" t="s">
        <v>23</v>
      </c>
      <c r="D1210" s="35" t="s">
        <v>47</v>
      </c>
      <c r="E1210" s="35" t="s">
        <v>48</v>
      </c>
      <c r="F1210" s="35" t="s">
        <v>25</v>
      </c>
      <c r="G1210" s="35" t="s">
        <v>25</v>
      </c>
      <c r="H1210" s="35" t="s">
        <v>25</v>
      </c>
      <c r="I1210" s="45">
        <v>44440</v>
      </c>
      <c r="J1210" s="46">
        <f>EFEITO!$J$1210*EFEITO!$Y$1210</f>
        <v>0</v>
      </c>
      <c r="K1210" s="46">
        <f ca="1">EFEITO!$L$1210*EFEITO!$Z$1210</f>
        <v>436590.542609239</v>
      </c>
      <c r="L1210" s="46">
        <f>EFEITO!$N$1210*EFEITO!$AA$1210</f>
        <v>383322.42438033887</v>
      </c>
      <c r="M1210" s="46">
        <f>$J$1210-EFEITO!$K$1210*EFEITO!$Y$1210</f>
        <v>0</v>
      </c>
      <c r="N1210" s="46">
        <f ca="1">$K$1210-EFEITO!$M$1210*EFEITO!$Z$1210</f>
        <v>0</v>
      </c>
      <c r="O1210" s="46">
        <f>$L$1210-EFEITO!$O$1210*EFEITO!$AA$1210</f>
        <v>0</v>
      </c>
      <c r="P1210" s="38"/>
      <c r="Q1210" s="38"/>
      <c r="R1210" s="38"/>
      <c r="S1210" s="38"/>
      <c r="T1210" s="38"/>
      <c r="U1210" s="38"/>
      <c r="V1210" s="38"/>
      <c r="W1210" s="38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35" t="s">
        <v>21</v>
      </c>
      <c r="B1211" s="35" t="s">
        <v>46</v>
      </c>
      <c r="C1211" s="35" t="s">
        <v>23</v>
      </c>
      <c r="D1211" s="35" t="s">
        <v>47</v>
      </c>
      <c r="E1211" s="35" t="s">
        <v>48</v>
      </c>
      <c r="F1211" s="35" t="s">
        <v>25</v>
      </c>
      <c r="G1211" s="35" t="s">
        <v>25</v>
      </c>
      <c r="H1211" s="35" t="s">
        <v>25</v>
      </c>
      <c r="I1211" s="45">
        <v>44470</v>
      </c>
      <c r="J1211" s="46">
        <f>EFEITO!$J$1211*EFEITO!$Y$1211</f>
        <v>0</v>
      </c>
      <c r="K1211" s="46">
        <f ca="1">EFEITO!$L$1211*EFEITO!$Z$1211</f>
        <v>448954.68801359</v>
      </c>
      <c r="L1211" s="46">
        <f>EFEITO!$N$1211*EFEITO!$AA$1211</f>
        <v>394178.02872637444</v>
      </c>
      <c r="M1211" s="46">
        <f>$J$1211-EFEITO!$K$1211*EFEITO!$Y$1211</f>
        <v>0</v>
      </c>
      <c r="N1211" s="46">
        <f ca="1">$K$1211-EFEITO!$M$1211*EFEITO!$Z$1211</f>
        <v>0</v>
      </c>
      <c r="O1211" s="46">
        <f>$L$1211-EFEITO!$O$1211*EFEITO!$AA$1211</f>
        <v>0</v>
      </c>
      <c r="P1211" s="38"/>
      <c r="Q1211" s="38"/>
      <c r="R1211" s="38"/>
      <c r="S1211" s="38"/>
      <c r="T1211" s="38"/>
      <c r="U1211" s="38"/>
      <c r="V1211" s="38"/>
      <c r="W1211" s="38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35" t="s">
        <v>21</v>
      </c>
      <c r="B1212" s="35" t="s">
        <v>46</v>
      </c>
      <c r="C1212" s="35" t="s">
        <v>23</v>
      </c>
      <c r="D1212" s="35" t="s">
        <v>47</v>
      </c>
      <c r="E1212" s="35" t="s">
        <v>48</v>
      </c>
      <c r="F1212" s="35" t="s">
        <v>25</v>
      </c>
      <c r="G1212" s="35" t="s">
        <v>25</v>
      </c>
      <c r="H1212" s="35" t="s">
        <v>25</v>
      </c>
      <c r="I1212" s="45">
        <v>44501</v>
      </c>
      <c r="J1212" s="46">
        <f>EFEITO!$J$1212*EFEITO!$Y$1212</f>
        <v>0</v>
      </c>
      <c r="K1212" s="46">
        <f ca="1">EFEITO!$L$1212*EFEITO!$Z$1212</f>
        <v>426403.55510849028</v>
      </c>
      <c r="L1212" s="46">
        <f>EFEITO!$N$1212*EFEITO!$AA$1212</f>
        <v>374378.34436756087</v>
      </c>
      <c r="M1212" s="46">
        <f>$J$1212-EFEITO!$K$1212*EFEITO!$Y$1212</f>
        <v>0</v>
      </c>
      <c r="N1212" s="46">
        <f ca="1">$K$1212-EFEITO!$M$1212*EFEITO!$Z$1212</f>
        <v>0</v>
      </c>
      <c r="O1212" s="46">
        <f>$L$1212-EFEITO!$O$1212*EFEITO!$AA$1212</f>
        <v>0</v>
      </c>
      <c r="P1212" s="38"/>
      <c r="Q1212" s="38"/>
      <c r="R1212" s="38"/>
      <c r="S1212" s="38"/>
      <c r="T1212" s="38"/>
      <c r="U1212" s="38"/>
      <c r="V1212" s="38"/>
      <c r="W1212" s="38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35" t="s">
        <v>21</v>
      </c>
      <c r="B1213" s="35" t="s">
        <v>46</v>
      </c>
      <c r="C1213" s="35" t="s">
        <v>23</v>
      </c>
      <c r="D1213" s="35" t="s">
        <v>47</v>
      </c>
      <c r="E1213" s="35" t="s">
        <v>48</v>
      </c>
      <c r="F1213" s="35" t="s">
        <v>25</v>
      </c>
      <c r="G1213" s="35" t="s">
        <v>25</v>
      </c>
      <c r="H1213" s="35" t="s">
        <v>25</v>
      </c>
      <c r="I1213" s="45">
        <v>44531</v>
      </c>
      <c r="J1213" s="46">
        <f>EFEITO!$J$1213*EFEITO!$Y$1213</f>
        <v>0</v>
      </c>
      <c r="K1213" s="46">
        <f ca="1">EFEITO!$L$1213*EFEITO!$Z$1213</f>
        <v>439110.34601635957</v>
      </c>
      <c r="L1213" s="46">
        <f>EFEITO!$N$1213*EFEITO!$AA$1213</f>
        <v>385534.78826986958</v>
      </c>
      <c r="M1213" s="46">
        <f>$J$1213-EFEITO!$K$1213*EFEITO!$Y$1213</f>
        <v>0</v>
      </c>
      <c r="N1213" s="46">
        <f ca="1">$K$1213-EFEITO!$M$1213*EFEITO!$Z$1213</f>
        <v>0</v>
      </c>
      <c r="O1213" s="46">
        <f>$L$1213-EFEITO!$O$1213*EFEITO!$AA$1213</f>
        <v>0</v>
      </c>
      <c r="P1213" s="38"/>
      <c r="Q1213" s="38"/>
      <c r="R1213" s="38"/>
      <c r="S1213" s="38"/>
      <c r="T1213" s="38"/>
      <c r="U1213" s="38"/>
      <c r="V1213" s="38"/>
      <c r="W1213" s="38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35" t="s">
        <v>55</v>
      </c>
      <c r="B1214" s="35" t="s">
        <v>46</v>
      </c>
      <c r="C1214" s="35" t="s">
        <v>23</v>
      </c>
      <c r="D1214" s="35" t="s">
        <v>47</v>
      </c>
      <c r="E1214" s="35" t="s">
        <v>48</v>
      </c>
      <c r="F1214" s="35" t="s">
        <v>25</v>
      </c>
      <c r="G1214" s="35" t="s">
        <v>25</v>
      </c>
      <c r="H1214" s="35" t="s">
        <v>25</v>
      </c>
      <c r="I1214" s="45">
        <v>44562</v>
      </c>
      <c r="J1214" s="46">
        <f>EFEITO!$J$1214*EFEITO!$Y$1214</f>
        <v>0</v>
      </c>
      <c r="K1214" s="46">
        <f ca="1">EFEITO!$L$1214*EFEITO!$Z$1214</f>
        <v>439110.34601635957</v>
      </c>
      <c r="L1214" s="46">
        <f>EFEITO!$N$1214*EFEITO!$AA$1214</f>
        <v>385534.78826986958</v>
      </c>
      <c r="M1214" s="46">
        <f>$J$1214-EFEITO!$K$1214*EFEITO!$Y$1214</f>
        <v>0</v>
      </c>
      <c r="N1214" s="46">
        <f ca="1">$K$1214-EFEITO!$M$1214*EFEITO!$Z$1214</f>
        <v>0</v>
      </c>
      <c r="O1214" s="46">
        <f>$L$1214-EFEITO!$O$1214*EFEITO!$AA$1214</f>
        <v>0</v>
      </c>
      <c r="P1214" s="38"/>
      <c r="Q1214" s="38"/>
      <c r="R1214" s="38"/>
      <c r="S1214" s="38"/>
      <c r="T1214" s="38"/>
      <c r="U1214" s="38"/>
      <c r="V1214" s="38"/>
      <c r="W1214" s="38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E5A0-DAD3-4841-B4F8-2C2BF36C393D}">
  <dimension ref="A1:BD123"/>
  <sheetViews>
    <sheetView showGridLines="0" topLeftCell="B45" workbookViewId="0">
      <selection activeCell="L63" sqref="L63:BD12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8.7109375" style="9" bestFit="1" customWidth="1"/>
    <col min="15" max="15" width="7" style="9" bestFit="1" customWidth="1"/>
    <col min="16" max="16" width="4.42578125" style="9" bestFit="1" customWidth="1"/>
    <col min="17" max="18" width="10" style="9" bestFit="1" customWidth="1"/>
    <col min="19" max="19" width="8.7109375" style="9" bestFit="1" customWidth="1"/>
    <col min="20" max="21" width="10" style="9" bestFit="1" customWidth="1"/>
    <col min="22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7" width="8.7109375" style="9" bestFit="1" customWidth="1"/>
    <col min="38" max="38" width="7" style="9" bestFit="1" customWidth="1"/>
    <col min="39" max="39" width="4.42578125" style="9" bestFit="1" customWidth="1"/>
    <col min="40" max="41" width="10" style="9" bestFit="1" customWidth="1"/>
    <col min="42" max="42" width="8.7109375" style="9" bestFit="1" customWidth="1"/>
    <col min="43" max="44" width="10" style="9" bestFit="1" customWidth="1"/>
    <col min="45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07" t="s">
        <v>68</v>
      </c>
      <c r="B1" s="107" t="s">
        <v>69</v>
      </c>
      <c r="C1" s="107" t="s">
        <v>70</v>
      </c>
      <c r="D1" s="107" t="s">
        <v>71</v>
      </c>
      <c r="E1" s="107" t="s">
        <v>72</v>
      </c>
      <c r="F1" s="107" t="s">
        <v>15</v>
      </c>
      <c r="G1" s="107" t="s">
        <v>74</v>
      </c>
      <c r="H1" s="107" t="s">
        <v>75</v>
      </c>
      <c r="I1" s="107" t="s">
        <v>816</v>
      </c>
      <c r="J1" s="95"/>
      <c r="L1" s="108" t="s">
        <v>1013</v>
      </c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I1" s="108" t="s">
        <v>1014</v>
      </c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08"/>
      <c r="BB1" s="108"/>
      <c r="BC1" s="108"/>
      <c r="BD1" s="108"/>
    </row>
    <row r="2" spans="1:56" ht="11.25" customHeight="1" x14ac:dyDescent="0.25">
      <c r="A2" s="107"/>
      <c r="B2" s="107"/>
      <c r="C2" s="107"/>
      <c r="D2" s="107"/>
      <c r="E2" s="107"/>
      <c r="F2" s="107"/>
      <c r="G2" s="107"/>
      <c r="H2" s="107"/>
      <c r="I2" s="107"/>
      <c r="J2" s="95"/>
      <c r="L2" s="108" t="s">
        <v>716</v>
      </c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  <c r="AA2" s="108"/>
      <c r="AB2" s="108"/>
      <c r="AC2" s="108"/>
      <c r="AD2" s="108"/>
      <c r="AE2" s="108"/>
      <c r="AF2" s="108"/>
      <c r="AG2" s="108"/>
      <c r="AI2" s="108" t="s">
        <v>716</v>
      </c>
      <c r="AJ2" s="108"/>
      <c r="AK2" s="108"/>
      <c r="AL2" s="108"/>
      <c r="AM2" s="108"/>
      <c r="AN2" s="108"/>
      <c r="AO2" s="108"/>
      <c r="AP2" s="108"/>
      <c r="AQ2" s="108"/>
      <c r="AR2" s="108"/>
      <c r="AS2" s="108"/>
      <c r="AT2" s="108"/>
      <c r="AU2" s="108"/>
      <c r="AV2" s="108"/>
      <c r="AW2" s="108"/>
      <c r="AX2" s="108"/>
      <c r="AY2" s="108"/>
      <c r="AZ2" s="108"/>
      <c r="BA2" s="108"/>
      <c r="BB2" s="108"/>
      <c r="BC2" s="108"/>
      <c r="BD2" s="108"/>
    </row>
    <row r="3" spans="1:56" ht="11.25" customHeight="1" x14ac:dyDescent="0.25">
      <c r="A3" s="107"/>
      <c r="B3" s="107"/>
      <c r="C3" s="107"/>
      <c r="D3" s="107"/>
      <c r="E3" s="107"/>
      <c r="F3" s="107"/>
      <c r="G3" s="107"/>
      <c r="H3" s="107"/>
      <c r="I3" s="107"/>
      <c r="J3" s="95"/>
      <c r="L3" s="108" t="s">
        <v>717</v>
      </c>
      <c r="M3" s="108"/>
      <c r="N3" s="108"/>
      <c r="O3" s="108"/>
      <c r="P3" s="108"/>
      <c r="Q3" s="108"/>
      <c r="R3" s="108"/>
      <c r="S3" s="108"/>
      <c r="T3" s="108" t="s">
        <v>726</v>
      </c>
      <c r="U3" s="108"/>
      <c r="V3" s="108"/>
      <c r="W3" s="108"/>
      <c r="X3" s="108"/>
      <c r="Y3" s="108"/>
      <c r="Z3" s="108"/>
      <c r="AA3" s="10" t="s">
        <v>734</v>
      </c>
      <c r="AB3" s="108" t="s">
        <v>736</v>
      </c>
      <c r="AC3" s="108"/>
      <c r="AD3" s="108" t="s">
        <v>739</v>
      </c>
      <c r="AE3" s="108"/>
      <c r="AF3" s="108"/>
      <c r="AG3" s="108"/>
      <c r="AI3" s="108" t="s">
        <v>717</v>
      </c>
      <c r="AJ3" s="108"/>
      <c r="AK3" s="108"/>
      <c r="AL3" s="108"/>
      <c r="AM3" s="108"/>
      <c r="AN3" s="108"/>
      <c r="AO3" s="108"/>
      <c r="AP3" s="108"/>
      <c r="AQ3" s="108" t="s">
        <v>726</v>
      </c>
      <c r="AR3" s="108"/>
      <c r="AS3" s="108"/>
      <c r="AT3" s="108"/>
      <c r="AU3" s="108"/>
      <c r="AV3" s="108"/>
      <c r="AW3" s="108"/>
      <c r="AX3" s="10" t="s">
        <v>734</v>
      </c>
      <c r="AY3" s="108" t="s">
        <v>736</v>
      </c>
      <c r="AZ3" s="108"/>
      <c r="BA3" s="108" t="s">
        <v>739</v>
      </c>
      <c r="BB3" s="108"/>
      <c r="BC3" s="108"/>
      <c r="BD3" s="108"/>
    </row>
    <row r="4" spans="1:56" ht="11.25" customHeight="1" x14ac:dyDescent="0.25">
      <c r="A4" s="107"/>
      <c r="B4" s="107"/>
      <c r="C4" s="107"/>
      <c r="D4" s="107"/>
      <c r="E4" s="107"/>
      <c r="F4" s="107"/>
      <c r="G4" s="107"/>
      <c r="H4" s="107"/>
      <c r="I4" s="107"/>
      <c r="J4" s="95"/>
      <c r="L4" s="10" t="s">
        <v>801</v>
      </c>
      <c r="M4" s="10" t="s">
        <v>718</v>
      </c>
      <c r="N4" s="10" t="s">
        <v>719</v>
      </c>
      <c r="O4" s="10" t="s">
        <v>720</v>
      </c>
      <c r="P4" s="10" t="s">
        <v>721</v>
      </c>
      <c r="Q4" s="10" t="s">
        <v>722</v>
      </c>
      <c r="R4" s="10" t="s">
        <v>723</v>
      </c>
      <c r="S4" s="10" t="s">
        <v>724</v>
      </c>
      <c r="T4" s="10" t="s">
        <v>727</v>
      </c>
      <c r="U4" s="10" t="s">
        <v>728</v>
      </c>
      <c r="V4" s="10" t="s">
        <v>729</v>
      </c>
      <c r="W4" s="10" t="s">
        <v>730</v>
      </c>
      <c r="X4" s="10" t="s">
        <v>731</v>
      </c>
      <c r="Y4" s="10" t="s">
        <v>732</v>
      </c>
      <c r="Z4" s="10" t="s">
        <v>733</v>
      </c>
      <c r="AA4" s="10" t="s">
        <v>735</v>
      </c>
      <c r="AB4" s="10" t="s">
        <v>737</v>
      </c>
      <c r="AC4" s="10" t="s">
        <v>738</v>
      </c>
      <c r="AD4" s="10" t="s">
        <v>740</v>
      </c>
      <c r="AE4" s="10" t="s">
        <v>741</v>
      </c>
      <c r="AF4" s="10" t="s">
        <v>742</v>
      </c>
      <c r="AG4" s="10" t="s">
        <v>743</v>
      </c>
      <c r="AI4" s="10" t="s">
        <v>801</v>
      </c>
      <c r="AJ4" s="10" t="s">
        <v>718</v>
      </c>
      <c r="AK4" s="10" t="s">
        <v>719</v>
      </c>
      <c r="AL4" s="10" t="s">
        <v>720</v>
      </c>
      <c r="AM4" s="10" t="s">
        <v>721</v>
      </c>
      <c r="AN4" s="10" t="s">
        <v>722</v>
      </c>
      <c r="AO4" s="10" t="s">
        <v>723</v>
      </c>
      <c r="AP4" s="10" t="s">
        <v>724</v>
      </c>
      <c r="AQ4" s="10" t="s">
        <v>727</v>
      </c>
      <c r="AR4" s="10" t="s">
        <v>728</v>
      </c>
      <c r="AS4" s="10" t="s">
        <v>729</v>
      </c>
      <c r="AT4" s="10" t="s">
        <v>730</v>
      </c>
      <c r="AU4" s="10" t="s">
        <v>731</v>
      </c>
      <c r="AV4" s="10" t="s">
        <v>732</v>
      </c>
      <c r="AW4" s="10" t="s">
        <v>733</v>
      </c>
      <c r="AX4" s="10" t="s">
        <v>735</v>
      </c>
      <c r="AY4" s="10" t="s">
        <v>737</v>
      </c>
      <c r="AZ4" s="10" t="s">
        <v>738</v>
      </c>
      <c r="BA4" s="10" t="s">
        <v>740</v>
      </c>
      <c r="BB4" s="10" t="s">
        <v>741</v>
      </c>
      <c r="BC4" s="10" t="s">
        <v>742</v>
      </c>
      <c r="BD4" s="10" t="s">
        <v>743</v>
      </c>
    </row>
    <row r="5" spans="1:56" ht="11.25" customHeight="1" x14ac:dyDescent="0.25">
      <c r="A5" s="106" t="s">
        <v>56</v>
      </c>
      <c r="B5" s="106" t="s">
        <v>40</v>
      </c>
      <c r="C5" s="106" t="s">
        <v>25</v>
      </c>
      <c r="D5" s="106" t="s">
        <v>25</v>
      </c>
      <c r="E5" s="106" t="s">
        <v>25</v>
      </c>
      <c r="F5" s="106" t="s">
        <v>25</v>
      </c>
      <c r="G5" s="17" t="s">
        <v>82</v>
      </c>
      <c r="H5" s="17" t="s">
        <v>81</v>
      </c>
      <c r="I5" s="17">
        <f>'MERCADO TUSD'!$U$2</f>
        <v>115925</v>
      </c>
      <c r="J5" s="15"/>
      <c r="L5" s="12">
        <f>('TUSD BE'!$L$5+'TUSD BF'!$L$5+'TUSD CVA'!$L$5)*1</f>
        <v>0</v>
      </c>
      <c r="M5" s="12">
        <f>('TUSD BE'!$M$5+'TUSD BF'!$M$5+'TUSD CVA'!$M$5)*1</f>
        <v>0</v>
      </c>
      <c r="N5" s="12">
        <f ca="1">('TUSD BE'!$N$5+'TUSD BF'!$N$5+'TUSD CVA'!$N$5)*1</f>
        <v>0</v>
      </c>
      <c r="O5" s="12">
        <f>('TUSD BE'!$O$5+'TUSD BF'!$O$5+'TUSD CVA'!$O$5)*1</f>
        <v>0</v>
      </c>
      <c r="P5" s="12">
        <f>('TUSD BE'!$P$5+'TUSD BF'!$P$5+'TUSD CVA'!$P$5)*1</f>
        <v>0</v>
      </c>
      <c r="Q5" s="12">
        <f>('TUSD BE'!$Q$5+'TUSD BF'!$Q$5+'TUSD CVA'!$Q$5)*1</f>
        <v>0</v>
      </c>
      <c r="R5" s="12">
        <f>('TUSD BE'!$R$5+'TUSD BF'!$R$5+'TUSD CVA'!$R$5)*1</f>
        <v>0</v>
      </c>
      <c r="S5" s="12">
        <f>('TUSD BE'!$S$5+'TUSD BF'!$S$5+'TUSD CVA'!$S$5)*1</f>
        <v>0</v>
      </c>
      <c r="T5" s="12">
        <f>('TUSD BE'!$U$5+'TUSD BF'!$U$5+'TUSD CVA'!$U$5)*1</f>
        <v>4.2789621253010663</v>
      </c>
      <c r="U5" s="12">
        <f>('TUSD BE'!$V$5+'TUSD BF'!$V$5+'TUSD CVA'!$V$5)*1</f>
        <v>1.1612084573899242</v>
      </c>
      <c r="V5" s="12">
        <f>('TUSD BE'!$W$5+'TUSD BF'!$W$5+'TUSD CVA'!$W$5)*1</f>
        <v>9.958249286706651E-2</v>
      </c>
      <c r="W5" s="12">
        <f>('TUSD BE'!$X$5+'TUSD BF'!$X$5+'TUSD CVA'!$X$5)*1</f>
        <v>0</v>
      </c>
      <c r="X5" s="12">
        <f>('TUSD BE'!$Y$5+'TUSD BF'!$Y$5+'TUSD CVA'!$Y$5)*1</f>
        <v>4.7443078672455075</v>
      </c>
      <c r="Y5" s="12">
        <f>('TUSD BE'!$Z$5+'TUSD BF'!$Z$5+'TUSD CVA'!$Z$5)*1</f>
        <v>0</v>
      </c>
      <c r="Z5" s="12">
        <f>('TUSD BE'!$AA$5+'TUSD BF'!$AA$5+'TUSD CVA'!$AA$5)*1</f>
        <v>0</v>
      </c>
      <c r="AA5" s="12">
        <f>('TUSD BE'!$AC$5+'TUSD BF'!$AC$5+'TUSD CVA'!$AC$5)*1</f>
        <v>2.5201745790518633</v>
      </c>
      <c r="AB5" s="12">
        <f ca="1">('TUSD BE'!$AE$5+'TUSD BF'!$AE$5+'TUSD CVA'!$AE$5)*1</f>
        <v>-1.0704901634889634</v>
      </c>
      <c r="AC5" s="12">
        <f ca="1">('TUSD BE'!$AF$5+'TUSD BF'!$AF$5+'TUSD CVA'!$AF$5)*1</f>
        <v>0</v>
      </c>
      <c r="AD5" s="12">
        <f>('TUSD BE'!$AH$5+'TUSD BF'!$AH$5+'TUSD CVA'!$AH$5)*1</f>
        <v>0</v>
      </c>
      <c r="AE5" s="12">
        <f>('TUSD BE'!$AI$5+'TUSD BF'!$AI$5+'TUSD CVA'!$AI$5)*1</f>
        <v>0</v>
      </c>
      <c r="AF5" s="12">
        <f ca="1">('TUSD BE'!$AJ$5+'TUSD BF'!$AJ$5+'TUSD CVA'!$AJ$5)*1</f>
        <v>0</v>
      </c>
      <c r="AG5" s="12">
        <f ca="1">('TUSD BE'!$AK$5+'TUSD BF'!$AK$5+'TUSD CVA'!$AK$5)*1</f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4.31786771967825</v>
      </c>
      <c r="AR5" s="12">
        <v>1.5816987043045101</v>
      </c>
      <c r="AS5" s="12">
        <v>0.131211176210625</v>
      </c>
      <c r="AT5" s="12">
        <v>0</v>
      </c>
      <c r="AU5" s="12">
        <v>5.3669852147847399</v>
      </c>
      <c r="AV5" s="12">
        <v>0</v>
      </c>
      <c r="AW5" s="12">
        <v>0</v>
      </c>
      <c r="AX5" s="12">
        <v>2.1200862778665401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</row>
    <row r="6" spans="1:56" ht="11.25" customHeight="1" x14ac:dyDescent="0.25">
      <c r="A6" s="106"/>
      <c r="B6" s="106"/>
      <c r="C6" s="106"/>
      <c r="D6" s="106"/>
      <c r="E6" s="106"/>
      <c r="F6" s="106"/>
      <c r="G6" s="17" t="s">
        <v>83</v>
      </c>
      <c r="H6" s="17" t="s">
        <v>81</v>
      </c>
      <c r="I6" s="17">
        <f>'MERCADO TUSD'!$U$3</f>
        <v>117848</v>
      </c>
      <c r="J6" s="15"/>
      <c r="L6" s="12">
        <f>('TUSD BE'!$L$6+'TUSD BF'!$L$6+'TUSD CVA'!$L$6)*1</f>
        <v>0</v>
      </c>
      <c r="M6" s="12">
        <f>('TUSD BE'!$M$6+'TUSD BF'!$M$6+'TUSD CVA'!$M$6)*1</f>
        <v>0</v>
      </c>
      <c r="N6" s="12">
        <f ca="1">('TUSD BE'!$N$6+'TUSD BF'!$N$6+'TUSD CVA'!$N$6)*1</f>
        <v>0</v>
      </c>
      <c r="O6" s="12">
        <f>('TUSD BE'!$O$6+'TUSD BF'!$O$6+'TUSD CVA'!$O$6)*1</f>
        <v>0</v>
      </c>
      <c r="P6" s="12">
        <f>('TUSD BE'!$P$6+'TUSD BF'!$P$6+'TUSD CVA'!$P$6)*1</f>
        <v>0</v>
      </c>
      <c r="Q6" s="12">
        <f>('TUSD BE'!$Q$6+'TUSD BF'!$Q$6+'TUSD CVA'!$Q$6)*1</f>
        <v>0</v>
      </c>
      <c r="R6" s="12">
        <f>('TUSD BE'!$R$6+'TUSD BF'!$R$6+'TUSD CVA'!$R$6)*1</f>
        <v>0</v>
      </c>
      <c r="S6" s="12">
        <f>('TUSD BE'!$S$6+'TUSD BF'!$S$6+'TUSD CVA'!$S$6)*1</f>
        <v>0</v>
      </c>
      <c r="T6" s="12">
        <f>('TUSD BE'!$U$6+'TUSD BF'!$U$6+'TUSD CVA'!$U$6)*1</f>
        <v>3.2781075952953964</v>
      </c>
      <c r="U6" s="12">
        <f>('TUSD BE'!$V$6+'TUSD BF'!$V$6+'TUSD CVA'!$V$6)*1</f>
        <v>0.89942702033530042</v>
      </c>
      <c r="V6" s="12">
        <f>('TUSD BE'!$W$6+'TUSD BF'!$W$6+'TUSD CVA'!$W$6)*1</f>
        <v>7.4268185171880774E-2</v>
      </c>
      <c r="W6" s="12">
        <f>('TUSD BE'!$X$6+'TUSD BF'!$X$6+'TUSD CVA'!$X$6)*1</f>
        <v>0</v>
      </c>
      <c r="X6" s="12">
        <f>('TUSD BE'!$Y$6+'TUSD BF'!$Y$6+'TUSD CVA'!$Y$6)*1</f>
        <v>1.6071152910848674</v>
      </c>
      <c r="Y6" s="12">
        <f>('TUSD BE'!$Z$6+'TUSD BF'!$Z$6+'TUSD CVA'!$Z$6)*1</f>
        <v>0</v>
      </c>
      <c r="Z6" s="12">
        <f>('TUSD BE'!$AA$6+'TUSD BF'!$AA$6+'TUSD CVA'!$AA$6)*1</f>
        <v>0</v>
      </c>
      <c r="AA6" s="12">
        <f>('TUSD BE'!$AC$6+'TUSD BF'!$AC$6+'TUSD CVA'!$AC$6)*1</f>
        <v>0.31923727001220786</v>
      </c>
      <c r="AB6" s="12">
        <f ca="1">('TUSD BE'!$AE$6+'TUSD BF'!$AE$6+'TUSD CVA'!$AE$6)*1</f>
        <v>-0.50773578028934663</v>
      </c>
      <c r="AC6" s="12">
        <f ca="1">('TUSD BE'!$AF$6+'TUSD BF'!$AF$6+'TUSD CVA'!$AF$6)*1</f>
        <v>0</v>
      </c>
      <c r="AD6" s="12">
        <f>('TUSD BE'!$AH$6+'TUSD BF'!$AH$6+'TUSD CVA'!$AH$6)*1</f>
        <v>0</v>
      </c>
      <c r="AE6" s="12">
        <f>('TUSD BE'!$AI$6+'TUSD BF'!$AI$6+'TUSD CVA'!$AI$6)*1</f>
        <v>0</v>
      </c>
      <c r="AF6" s="12">
        <f ca="1">('TUSD BE'!$AJ$6+'TUSD BF'!$AJ$6+'TUSD CVA'!$AJ$6)*1</f>
        <v>0</v>
      </c>
      <c r="AG6" s="12">
        <f ca="1">('TUSD BE'!$AK$6+'TUSD BF'!$AK$6+'TUSD CVA'!$AK$6)*1</f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3.3079131230595298</v>
      </c>
      <c r="AR6" s="12">
        <v>1.2251224520690001</v>
      </c>
      <c r="AS6" s="12">
        <v>9.7856718092399805E-2</v>
      </c>
      <c r="AT6" s="12">
        <v>0</v>
      </c>
      <c r="AU6" s="12">
        <v>1.8180447490046101</v>
      </c>
      <c r="AV6" s="12">
        <v>0</v>
      </c>
      <c r="AW6" s="12">
        <v>0</v>
      </c>
      <c r="AX6" s="12">
        <v>0.268557012344394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</row>
    <row r="7" spans="1:56" ht="11.25" customHeight="1" x14ac:dyDescent="0.25">
      <c r="A7" s="106"/>
      <c r="B7" s="106"/>
      <c r="C7" s="106"/>
      <c r="D7" s="106"/>
      <c r="E7" s="106"/>
      <c r="F7" s="106"/>
      <c r="G7" s="17" t="s">
        <v>84</v>
      </c>
      <c r="H7" s="17" t="s">
        <v>78</v>
      </c>
      <c r="I7" s="17">
        <f>'MERCADO TUSD'!$U$4</f>
        <v>69324.911000000007</v>
      </c>
      <c r="J7" s="15"/>
      <c r="L7" s="12">
        <f>('TUSD BE'!$L$7+'TUSD BF'!$L$7+'TUSD CVA'!$L$7)*1</f>
        <v>1.2127654435258974</v>
      </c>
      <c r="M7" s="12">
        <f>('TUSD BE'!$M$7+'TUSD BF'!$M$7+'TUSD CVA'!$M$7)*1</f>
        <v>5.5194950658593984E-2</v>
      </c>
      <c r="N7" s="12">
        <f ca="1">('TUSD BE'!$N$7+'TUSD BF'!$N$7+'TUSD CVA'!$N$7)*1</f>
        <v>9.9639704886598429E-2</v>
      </c>
      <c r="O7" s="12">
        <f>('TUSD BE'!$O$7+'TUSD BF'!$O$7+'TUSD CVA'!$O$7)*1</f>
        <v>3.7615096723935967E-2</v>
      </c>
      <c r="P7" s="12">
        <f>('TUSD BE'!$P$7+'TUSD BF'!$P$7+'TUSD CVA'!$P$7)*1</f>
        <v>0</v>
      </c>
      <c r="Q7" s="12">
        <f>('TUSD BE'!$Q$7+'TUSD BF'!$Q$7+'TUSD CVA'!$Q$7)*1</f>
        <v>21.676907346037559</v>
      </c>
      <c r="R7" s="12">
        <f>('TUSD BE'!$R$7+'TUSD BF'!$R$7+'TUSD CVA'!$R$7)*1</f>
        <v>14.427520425441489</v>
      </c>
      <c r="S7" s="12">
        <f>('TUSD BE'!$S$7+'TUSD BF'!$S$7+'TUSD CVA'!$S$7)*1</f>
        <v>0</v>
      </c>
      <c r="T7" s="12">
        <f>('TUSD BE'!$U$7+'TUSD BF'!$U$7+'TUSD CVA'!$U$7)*1</f>
        <v>0</v>
      </c>
      <c r="U7" s="12">
        <f>('TUSD BE'!$V$7+'TUSD BF'!$V$7+'TUSD CVA'!$V$7)*1</f>
        <v>0</v>
      </c>
      <c r="V7" s="12">
        <f>('TUSD BE'!$W$7+'TUSD BF'!$W$7+'TUSD CVA'!$W$7)*1</f>
        <v>0</v>
      </c>
      <c r="W7" s="12">
        <f>('TUSD BE'!$X$7+'TUSD BF'!$X$7+'TUSD CVA'!$X$7)*1</f>
        <v>0</v>
      </c>
      <c r="X7" s="12">
        <f>('TUSD BE'!$Y$7+'TUSD BF'!$Y$7+'TUSD CVA'!$Y$7)*1</f>
        <v>0</v>
      </c>
      <c r="Y7" s="12">
        <f>('TUSD BE'!$Z$7+'TUSD BF'!$Z$7+'TUSD CVA'!$Z$7)*1</f>
        <v>0</v>
      </c>
      <c r="Z7" s="12">
        <f>('TUSD BE'!$AA$7+'TUSD BF'!$AA$7+'TUSD CVA'!$AA$7)*1</f>
        <v>0</v>
      </c>
      <c r="AA7" s="12">
        <f>('TUSD BE'!$AC$7+'TUSD BF'!$AC$7+'TUSD CVA'!$AC$7)*1</f>
        <v>0</v>
      </c>
      <c r="AB7" s="12">
        <f ca="1">('TUSD BE'!$AE$7+'TUSD BF'!$AE$7+'TUSD CVA'!$AE$7)*1</f>
        <v>-3.5174262477682006</v>
      </c>
      <c r="AC7" s="12">
        <f ca="1">('TUSD BE'!$AF$7+'TUSD BF'!$AF$7+'TUSD CVA'!$AF$7)*1</f>
        <v>0</v>
      </c>
      <c r="AD7" s="12">
        <f>('TUSD BE'!$AH$7+'TUSD BF'!$AH$7+'TUSD CVA'!$AH$7)*1</f>
        <v>3.0492304534580676</v>
      </c>
      <c r="AE7" s="12">
        <f>('TUSD BE'!$AI$7+'TUSD BF'!$AI$7+'TUSD CVA'!$AI$7)*1</f>
        <v>7.1892530399287377E-2</v>
      </c>
      <c r="AF7" s="12">
        <f ca="1">('TUSD BE'!$AJ$7+'TUSD BF'!$AJ$7+'TUSD CVA'!$AJ$7)*1</f>
        <v>0.72329632453984072</v>
      </c>
      <c r="AG7" s="12">
        <f ca="1">('TUSD BE'!$AK$7+'TUSD BF'!$AK$7+'TUSD CVA'!$AK$7)*1</f>
        <v>0</v>
      </c>
      <c r="AI7" s="12">
        <v>0</v>
      </c>
      <c r="AJ7" s="12">
        <v>5.7131927167701199E-2</v>
      </c>
      <c r="AK7" s="12">
        <v>0.10865080770815699</v>
      </c>
      <c r="AL7" s="12">
        <v>4.6353452504891701E-2</v>
      </c>
      <c r="AM7" s="12">
        <v>0</v>
      </c>
      <c r="AN7" s="12">
        <v>18.795188577791599</v>
      </c>
      <c r="AO7" s="12">
        <v>9.5704209868042103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2.7961840808546699</v>
      </c>
      <c r="BB7" s="12">
        <v>6.8354552761725501E-2</v>
      </c>
      <c r="BC7" s="12">
        <v>0.73179183336226095</v>
      </c>
      <c r="BD7" s="12">
        <v>0</v>
      </c>
    </row>
    <row r="8" spans="1:56" ht="11.25" customHeight="1" x14ac:dyDescent="0.25">
      <c r="A8" s="106"/>
      <c r="B8" s="106"/>
      <c r="C8" s="106"/>
      <c r="D8" s="106"/>
      <c r="E8" s="18" t="s">
        <v>85</v>
      </c>
      <c r="F8" s="18" t="s">
        <v>25</v>
      </c>
      <c r="G8" s="17" t="s">
        <v>84</v>
      </c>
      <c r="H8" s="17" t="s">
        <v>78</v>
      </c>
      <c r="I8" s="17">
        <f>'MERCADO TUSD'!$U$5</f>
        <v>0</v>
      </c>
      <c r="J8" s="15"/>
      <c r="L8" s="12">
        <f>('TUSD BE'!$L$8+'TUSD BF'!$L$8+'TUSD CVA'!$L$8)*1</f>
        <v>0</v>
      </c>
      <c r="M8" s="12">
        <f>('TUSD BE'!$M$8+'TUSD BF'!$M$8+'TUSD CVA'!$M$8)*1</f>
        <v>5.5194950658593984E-2</v>
      </c>
      <c r="N8" s="12">
        <f ca="1">('TUSD BE'!$N$8+'TUSD BF'!$N$8+'TUSD CVA'!$N$8)*1</f>
        <v>8.7927837715222903E-2</v>
      </c>
      <c r="O8" s="12">
        <f>('TUSD BE'!$O$8+'TUSD BF'!$O$8+'TUSD CVA'!$O$8)*1</f>
        <v>3.7615096723935967E-2</v>
      </c>
      <c r="P8" s="12">
        <f>('TUSD BE'!$P$8+'TUSD BF'!$P$8+'TUSD CVA'!$P$8)*1</f>
        <v>0</v>
      </c>
      <c r="Q8" s="12">
        <f>('TUSD BE'!$Q$8+'TUSD BF'!$Q$8+'TUSD CVA'!$Q$8)*1</f>
        <v>0</v>
      </c>
      <c r="R8" s="12">
        <f>('TUSD BE'!$R$8+'TUSD BF'!$R$8+'TUSD CVA'!$R$8)*1</f>
        <v>0</v>
      </c>
      <c r="S8" s="12">
        <f>('TUSD BE'!$S$8+'TUSD BF'!$S$8+'TUSD CVA'!$S$8)*1</f>
        <v>0</v>
      </c>
      <c r="T8" s="12">
        <f>('TUSD BE'!$U$8+'TUSD BF'!$U$8+'TUSD CVA'!$U$8)*1</f>
        <v>0</v>
      </c>
      <c r="U8" s="12">
        <f>('TUSD BE'!$V$8+'TUSD BF'!$V$8+'TUSD CVA'!$V$8)*1</f>
        <v>0</v>
      </c>
      <c r="V8" s="12">
        <f>('TUSD BE'!$W$8+'TUSD BF'!$W$8+'TUSD CVA'!$W$8)*1</f>
        <v>0</v>
      </c>
      <c r="W8" s="12">
        <f>('TUSD BE'!$X$8+'TUSD BF'!$X$8+'TUSD CVA'!$X$8)*1</f>
        <v>0</v>
      </c>
      <c r="X8" s="12">
        <f>('TUSD BE'!$Y$8+'TUSD BF'!$Y$8+'TUSD CVA'!$Y$8)*1</f>
        <v>0</v>
      </c>
      <c r="Y8" s="12">
        <f>('TUSD BE'!$Z$8+'TUSD BF'!$Z$8+'TUSD CVA'!$Z$8)*1</f>
        <v>0</v>
      </c>
      <c r="Z8" s="12">
        <f>('TUSD BE'!$AA$8+'TUSD BF'!$AA$8+'TUSD CVA'!$AA$8)*1</f>
        <v>0</v>
      </c>
      <c r="AA8" s="12">
        <f>('TUSD BE'!$AC$8+'TUSD BF'!$AC$8+'TUSD CVA'!$AC$8)*1</f>
        <v>0</v>
      </c>
      <c r="AB8" s="12">
        <f ca="1">('TUSD BE'!$AE$8+'TUSD BF'!$AE$8+'TUSD CVA'!$AE$8)*1</f>
        <v>-0.30948188022039641</v>
      </c>
      <c r="AC8" s="12">
        <f ca="1">('TUSD BE'!$AF$8+'TUSD BF'!$AF$8+'TUSD CVA'!$AF$8)*1</f>
        <v>0</v>
      </c>
      <c r="AD8" s="12">
        <f>('TUSD BE'!$AH$8+'TUSD BF'!$AH$8+'TUSD CVA'!$AH$8)*1</f>
        <v>3.0492304534580676</v>
      </c>
      <c r="AE8" s="12">
        <f>('TUSD BE'!$AI$8+'TUSD BF'!$AI$8+'TUSD CVA'!$AI$8)*1</f>
        <v>7.1892530399287377E-2</v>
      </c>
      <c r="AF8" s="12">
        <f ca="1">('TUSD BE'!$AJ$8+'TUSD BF'!$AJ$8+'TUSD CVA'!$AJ$8)*1</f>
        <v>0.72329632453984072</v>
      </c>
      <c r="AG8" s="12">
        <f ca="1">('TUSD BE'!$AK$8+'TUSD BF'!$AK$8+'TUSD CVA'!$AK$8)*1</f>
        <v>0</v>
      </c>
      <c r="AI8" s="12">
        <v>0</v>
      </c>
      <c r="AJ8" s="12">
        <v>5.7131927167701199E-2</v>
      </c>
      <c r="AK8" s="12">
        <v>9.6075287599492298E-2</v>
      </c>
      <c r="AL8" s="12">
        <v>4.6353452504891701E-2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2.7961840808546699</v>
      </c>
      <c r="BB8" s="12">
        <v>6.8354552761725501E-2</v>
      </c>
      <c r="BC8" s="12">
        <v>0.73179183336226095</v>
      </c>
      <c r="BD8" s="12">
        <v>0</v>
      </c>
    </row>
    <row r="9" spans="1:56" ht="11.25" customHeight="1" x14ac:dyDescent="0.25">
      <c r="A9" s="106"/>
      <c r="B9" s="106" t="s">
        <v>59</v>
      </c>
      <c r="C9" s="106" t="s">
        <v>25</v>
      </c>
      <c r="D9" s="106" t="s">
        <v>25</v>
      </c>
      <c r="E9" s="106" t="s">
        <v>25</v>
      </c>
      <c r="F9" s="106" t="s">
        <v>60</v>
      </c>
      <c r="G9" s="17" t="s">
        <v>82</v>
      </c>
      <c r="H9" s="17" t="s">
        <v>81</v>
      </c>
      <c r="I9" s="17">
        <f>'MERCADO TUSD'!$U$6</f>
        <v>216624</v>
      </c>
      <c r="J9" s="15"/>
      <c r="L9" s="12">
        <f>('TUSD BE'!$L$9+'TUSD BF'!$L$9+'TUSD CVA'!$L$9)*1</f>
        <v>0</v>
      </c>
      <c r="M9" s="12">
        <f>('TUSD BE'!$M$9+'TUSD BF'!$M$9+'TUSD CVA'!$M$9)*1</f>
        <v>0</v>
      </c>
      <c r="N9" s="12">
        <f ca="1">('TUSD BE'!$N$9+'TUSD BF'!$N$9+'TUSD CVA'!$N$9)*1</f>
        <v>0</v>
      </c>
      <c r="O9" s="12">
        <f>('TUSD BE'!$O$9+'TUSD BF'!$O$9+'TUSD CVA'!$O$9)*1</f>
        <v>0</v>
      </c>
      <c r="P9" s="12">
        <f>('TUSD BE'!$P$9+'TUSD BF'!$P$9+'TUSD CVA'!$P$9)*1</f>
        <v>0</v>
      </c>
      <c r="Q9" s="12">
        <f>('TUSD BE'!$Q$9+'TUSD BF'!$Q$9+'TUSD CVA'!$Q$9)*1</f>
        <v>0</v>
      </c>
      <c r="R9" s="12">
        <f>('TUSD BE'!$R$9+'TUSD BF'!$R$9+'TUSD CVA'!$R$9)*1</f>
        <v>0</v>
      </c>
      <c r="S9" s="12">
        <f>('TUSD BE'!$S$9+'TUSD BF'!$S$9+'TUSD CVA'!$S$9)*1</f>
        <v>0</v>
      </c>
      <c r="T9" s="12">
        <f>('TUSD BE'!$U$9+'TUSD BF'!$U$9+'TUSD CVA'!$U$9)*1</f>
        <v>4.2789621253010663</v>
      </c>
      <c r="U9" s="12">
        <f>('TUSD BE'!$V$9+'TUSD BF'!$V$9+'TUSD CVA'!$V$9)*1</f>
        <v>1.1612084573899242</v>
      </c>
      <c r="V9" s="12">
        <f>('TUSD BE'!$W$9+'TUSD BF'!$W$9+'TUSD CVA'!$W$9)*1</f>
        <v>9.958249286706651E-2</v>
      </c>
      <c r="W9" s="12">
        <f>('TUSD BE'!$X$9+'TUSD BF'!$X$9+'TUSD CVA'!$X$9)*1</f>
        <v>0</v>
      </c>
      <c r="X9" s="12">
        <f>('TUSD BE'!$Y$9+'TUSD BF'!$Y$9+'TUSD CVA'!$Y$9)*1</f>
        <v>4.7443078672455075</v>
      </c>
      <c r="Y9" s="12">
        <f>('TUSD BE'!$Z$9+'TUSD BF'!$Z$9+'TUSD CVA'!$Z$9)*1</f>
        <v>0</v>
      </c>
      <c r="Z9" s="12">
        <f>('TUSD BE'!$AA$9+'TUSD BF'!$AA$9+'TUSD CVA'!$AA$9)*1</f>
        <v>0</v>
      </c>
      <c r="AA9" s="12">
        <f>('TUSD BE'!$AC$9+'TUSD BF'!$AC$9+'TUSD CVA'!$AC$9)*1</f>
        <v>2.5201745790518633</v>
      </c>
      <c r="AB9" s="12">
        <f>('TUSD BE'!$AE$9+'TUSD BF'!$AE$9+'TUSD CVA'!$AE$9)*1</f>
        <v>0</v>
      </c>
      <c r="AC9" s="12">
        <f ca="1">('TUSD BE'!$AF$9+'TUSD BF'!$AF$9+'TUSD CVA'!$AF$9)*1</f>
        <v>0</v>
      </c>
      <c r="AD9" s="12">
        <f>('TUSD BE'!$AH$9+'TUSD BF'!$AH$9+'TUSD CVA'!$AH$9)*1</f>
        <v>0</v>
      </c>
      <c r="AE9" s="12">
        <f>('TUSD BE'!$AI$9+'TUSD BF'!$AI$9+'TUSD CVA'!$AI$9)*1</f>
        <v>0</v>
      </c>
      <c r="AF9" s="12">
        <f ca="1">('TUSD BE'!$AJ$9+'TUSD BF'!$AJ$9+'TUSD CVA'!$AJ$9)*1</f>
        <v>0</v>
      </c>
      <c r="AG9" s="12">
        <f ca="1">('TUSD BE'!$AK$9+'TUSD BF'!$AK$9+'TUSD CVA'!$AK$9)*1</f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4.31786771967825</v>
      </c>
      <c r="AR9" s="12">
        <v>1.5816987043045101</v>
      </c>
      <c r="AS9" s="12">
        <v>0.131211176210625</v>
      </c>
      <c r="AT9" s="12">
        <v>0</v>
      </c>
      <c r="AU9" s="12">
        <v>5.3669852147847399</v>
      </c>
      <c r="AV9" s="12">
        <v>0</v>
      </c>
      <c r="AW9" s="12">
        <v>0</v>
      </c>
      <c r="AX9" s="12">
        <v>2.1200862778665401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</row>
    <row r="10" spans="1:56" ht="11.25" customHeight="1" x14ac:dyDescent="0.25">
      <c r="A10" s="106"/>
      <c r="B10" s="106"/>
      <c r="C10" s="106"/>
      <c r="D10" s="106"/>
      <c r="E10" s="106"/>
      <c r="F10" s="106"/>
      <c r="G10" s="17" t="s">
        <v>83</v>
      </c>
      <c r="H10" s="17" t="s">
        <v>81</v>
      </c>
      <c r="I10" s="17">
        <f>'MERCADO TUSD'!$U$7</f>
        <v>219920</v>
      </c>
      <c r="J10" s="15"/>
      <c r="L10" s="12">
        <f>('TUSD BE'!$L$10+'TUSD BF'!$L$10+'TUSD CVA'!$L$10)*1</f>
        <v>0</v>
      </c>
      <c r="M10" s="12">
        <f>('TUSD BE'!$M$10+'TUSD BF'!$M$10+'TUSD CVA'!$M$10)*1</f>
        <v>0</v>
      </c>
      <c r="N10" s="12">
        <f ca="1">('TUSD BE'!$N$10+'TUSD BF'!$N$10+'TUSD CVA'!$N$10)*1</f>
        <v>0</v>
      </c>
      <c r="O10" s="12">
        <f>('TUSD BE'!$O$10+'TUSD BF'!$O$10+'TUSD CVA'!$O$10)*1</f>
        <v>0</v>
      </c>
      <c r="P10" s="12">
        <f>('TUSD BE'!$P$10+'TUSD BF'!$P$10+'TUSD CVA'!$P$10)*1</f>
        <v>0</v>
      </c>
      <c r="Q10" s="12">
        <f>('TUSD BE'!$Q$10+'TUSD BF'!$Q$10+'TUSD CVA'!$Q$10)*1</f>
        <v>0</v>
      </c>
      <c r="R10" s="12">
        <f>('TUSD BE'!$R$10+'TUSD BF'!$R$10+'TUSD CVA'!$R$10)*1</f>
        <v>0</v>
      </c>
      <c r="S10" s="12">
        <f>('TUSD BE'!$S$10+'TUSD BF'!$S$10+'TUSD CVA'!$S$10)*1</f>
        <v>0</v>
      </c>
      <c r="T10" s="12">
        <f>('TUSD BE'!$U$10+'TUSD BF'!$U$10+'TUSD CVA'!$U$10)*1</f>
        <v>3.2781075952953964</v>
      </c>
      <c r="U10" s="12">
        <f>('TUSD BE'!$V$10+'TUSD BF'!$V$10+'TUSD CVA'!$V$10)*1</f>
        <v>0.89942702033530042</v>
      </c>
      <c r="V10" s="12">
        <f>('TUSD BE'!$W$10+'TUSD BF'!$W$10+'TUSD CVA'!$W$10)*1</f>
        <v>7.4268185171880774E-2</v>
      </c>
      <c r="W10" s="12">
        <f>('TUSD BE'!$X$10+'TUSD BF'!$X$10+'TUSD CVA'!$X$10)*1</f>
        <v>0</v>
      </c>
      <c r="X10" s="12">
        <f>('TUSD BE'!$Y$10+'TUSD BF'!$Y$10+'TUSD CVA'!$Y$10)*1</f>
        <v>1.6071152910848674</v>
      </c>
      <c r="Y10" s="12">
        <f>('TUSD BE'!$Z$10+'TUSD BF'!$Z$10+'TUSD CVA'!$Z$10)*1</f>
        <v>0</v>
      </c>
      <c r="Z10" s="12">
        <f>('TUSD BE'!$AA$10+'TUSD BF'!$AA$10+'TUSD CVA'!$AA$10)*1</f>
        <v>0</v>
      </c>
      <c r="AA10" s="12">
        <f>('TUSD BE'!$AC$10+'TUSD BF'!$AC$10+'TUSD CVA'!$AC$10)*1</f>
        <v>0.31923727001220786</v>
      </c>
      <c r="AB10" s="12">
        <f>('TUSD BE'!$AE$10+'TUSD BF'!$AE$10+'TUSD CVA'!$AE$10)*1</f>
        <v>0</v>
      </c>
      <c r="AC10" s="12">
        <f ca="1">('TUSD BE'!$AF$10+'TUSD BF'!$AF$10+'TUSD CVA'!$AF$10)*1</f>
        <v>0</v>
      </c>
      <c r="AD10" s="12">
        <f>('TUSD BE'!$AH$10+'TUSD BF'!$AH$10+'TUSD CVA'!$AH$10)*1</f>
        <v>0</v>
      </c>
      <c r="AE10" s="12">
        <f>('TUSD BE'!$AI$10+'TUSD BF'!$AI$10+'TUSD CVA'!$AI$10)*1</f>
        <v>0</v>
      </c>
      <c r="AF10" s="12">
        <f ca="1">('TUSD BE'!$AJ$10+'TUSD BF'!$AJ$10+'TUSD CVA'!$AJ$10)*1</f>
        <v>0</v>
      </c>
      <c r="AG10" s="12">
        <f ca="1">('TUSD BE'!$AK$10+'TUSD BF'!$AK$10+'TUSD CVA'!$AK$10)*1</f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3.3079131230595298</v>
      </c>
      <c r="AR10" s="12">
        <v>1.2251224520690001</v>
      </c>
      <c r="AS10" s="12">
        <v>9.7856718092399805E-2</v>
      </c>
      <c r="AT10" s="12">
        <v>0</v>
      </c>
      <c r="AU10" s="12">
        <v>1.8180447490046101</v>
      </c>
      <c r="AV10" s="12">
        <v>0</v>
      </c>
      <c r="AW10" s="12">
        <v>0</v>
      </c>
      <c r="AX10" s="12">
        <v>0.268557012344394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</row>
    <row r="11" spans="1:56" ht="11.25" customHeight="1" x14ac:dyDescent="0.25">
      <c r="A11" s="106"/>
      <c r="B11" s="106"/>
      <c r="C11" s="106"/>
      <c r="D11" s="106"/>
      <c r="E11" s="106"/>
      <c r="F11" s="106"/>
      <c r="G11" s="17" t="s">
        <v>84</v>
      </c>
      <c r="H11" s="17" t="s">
        <v>78</v>
      </c>
      <c r="I11" s="17">
        <f>'MERCADO TUSD'!$U$8</f>
        <v>41971.481000000007</v>
      </c>
      <c r="J11" s="15"/>
      <c r="L11" s="12">
        <f>('TUSD BE'!$L$11+'TUSD BF'!$L$11+'TUSD CVA'!$L$11)*1</f>
        <v>0</v>
      </c>
      <c r="M11" s="12">
        <f>('TUSD BE'!$M$11+'TUSD BF'!$M$11+'TUSD CVA'!$M$11)*1</f>
        <v>0</v>
      </c>
      <c r="N11" s="12">
        <f ca="1">('TUSD BE'!$N$11+'TUSD BF'!$N$11+'TUSD CVA'!$N$11)*1</f>
        <v>0</v>
      </c>
      <c r="O11" s="12">
        <f>('TUSD BE'!$O$11+'TUSD BF'!$O$11+'TUSD CVA'!$O$11)*1</f>
        <v>0</v>
      </c>
      <c r="P11" s="12">
        <f>('TUSD BE'!$P$11+'TUSD BF'!$P$11+'TUSD CVA'!$P$11)*1</f>
        <v>0</v>
      </c>
      <c r="Q11" s="12">
        <f>('TUSD BE'!$Q$11+'TUSD BF'!$Q$11+'TUSD CVA'!$Q$11)*1</f>
        <v>0</v>
      </c>
      <c r="R11" s="12">
        <f>('TUSD BE'!$R$11+'TUSD BF'!$R$11+'TUSD CVA'!$R$11)*1</f>
        <v>0</v>
      </c>
      <c r="S11" s="12">
        <f>('TUSD BE'!$S$11+'TUSD BF'!$S$11+'TUSD CVA'!$S$11)*1</f>
        <v>0</v>
      </c>
      <c r="T11" s="12">
        <f>('TUSD BE'!$U$11+'TUSD BF'!$U$11+'TUSD CVA'!$U$11)*1</f>
        <v>0</v>
      </c>
      <c r="U11" s="12">
        <f>('TUSD BE'!$V$11+'TUSD BF'!$V$11+'TUSD CVA'!$V$11)*1</f>
        <v>0</v>
      </c>
      <c r="V11" s="12">
        <f>('TUSD BE'!$W$11+'TUSD BF'!$W$11+'TUSD CVA'!$W$11)*1</f>
        <v>0</v>
      </c>
      <c r="W11" s="12">
        <f>('TUSD BE'!$X$11+'TUSD BF'!$X$11+'TUSD CVA'!$X$11)*1</f>
        <v>0</v>
      </c>
      <c r="X11" s="12">
        <f>('TUSD BE'!$Y$11+'TUSD BF'!$Y$11+'TUSD CVA'!$Y$11)*1</f>
        <v>0</v>
      </c>
      <c r="Y11" s="12">
        <f>('TUSD BE'!$Z$11+'TUSD BF'!$Z$11+'TUSD CVA'!$Z$11)*1</f>
        <v>0</v>
      </c>
      <c r="Z11" s="12">
        <f>('TUSD BE'!$AA$11+'TUSD BF'!$AA$11+'TUSD CVA'!$AA$11)*1</f>
        <v>0</v>
      </c>
      <c r="AA11" s="12">
        <f>('TUSD BE'!$AC$11+'TUSD BF'!$AC$11+'TUSD CVA'!$AC$11)*1</f>
        <v>0</v>
      </c>
      <c r="AB11" s="12">
        <f>('TUSD BE'!$AE$11+'TUSD BF'!$AE$11+'TUSD CVA'!$AE$11)*1</f>
        <v>0</v>
      </c>
      <c r="AC11" s="12">
        <f ca="1">('TUSD BE'!$AF$11+'TUSD BF'!$AF$11+'TUSD CVA'!$AF$11)*1</f>
        <v>0</v>
      </c>
      <c r="AD11" s="12">
        <f>('TUSD BE'!$AH$11+'TUSD BF'!$AH$11+'TUSD CVA'!$AH$11)*1</f>
        <v>3.0492304534580676</v>
      </c>
      <c r="AE11" s="12">
        <f>('TUSD BE'!$AI$11+'TUSD BF'!$AI$11+'TUSD CVA'!$AI$11)*1</f>
        <v>7.1892530399287377E-2</v>
      </c>
      <c r="AF11" s="12">
        <f ca="1">('TUSD BE'!$AJ$11+'TUSD BF'!$AJ$11+'TUSD CVA'!$AJ$11)*1</f>
        <v>0</v>
      </c>
      <c r="AG11" s="12">
        <f ca="1">('TUSD BE'!$AK$11+'TUSD BF'!$AK$11+'TUSD CVA'!$AK$11)*1</f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2.7961840808546699</v>
      </c>
      <c r="BB11" s="12">
        <v>6.8354552761725501E-2</v>
      </c>
      <c r="BC11" s="12">
        <v>0</v>
      </c>
      <c r="BD11" s="12">
        <v>0</v>
      </c>
    </row>
    <row r="12" spans="1:56" ht="11.25" customHeight="1" x14ac:dyDescent="0.25">
      <c r="A12" s="106" t="s">
        <v>39</v>
      </c>
      <c r="B12" s="106" t="s">
        <v>40</v>
      </c>
      <c r="C12" s="106" t="s">
        <v>25</v>
      </c>
      <c r="D12" s="106" t="s">
        <v>25</v>
      </c>
      <c r="E12" s="106" t="s">
        <v>25</v>
      </c>
      <c r="F12" s="106" t="s">
        <v>25</v>
      </c>
      <c r="G12" s="17" t="s">
        <v>82</v>
      </c>
      <c r="H12" s="17" t="s">
        <v>81</v>
      </c>
      <c r="I12" s="17">
        <f>'MERCADO TUSD'!$U$9</f>
        <v>96314</v>
      </c>
      <c r="J12" s="15"/>
      <c r="L12" s="12">
        <f>('TUSD BE'!$L$12+'TUSD BF'!$L$12+'TUSD CVA'!$L$12)*1</f>
        <v>0</v>
      </c>
      <c r="M12" s="12">
        <f>('TUSD BE'!$M$12+'TUSD BF'!$M$12+'TUSD CVA'!$M$12)*1</f>
        <v>0</v>
      </c>
      <c r="N12" s="12">
        <f ca="1">('TUSD BE'!$N$12+'TUSD BF'!$N$12+'TUSD CVA'!$N$12)*1</f>
        <v>0</v>
      </c>
      <c r="O12" s="12">
        <f>('TUSD BE'!$O$12+'TUSD BF'!$O$12+'TUSD CVA'!$O$12)*1</f>
        <v>0</v>
      </c>
      <c r="P12" s="12">
        <f>('TUSD BE'!$P$12+'TUSD BF'!$P$12+'TUSD CVA'!$P$12)*1</f>
        <v>0</v>
      </c>
      <c r="Q12" s="12">
        <f>('TUSD BE'!$Q$12+'TUSD BF'!$Q$12+'TUSD CVA'!$Q$12)*1</f>
        <v>0</v>
      </c>
      <c r="R12" s="12">
        <f>('TUSD BE'!$R$12+'TUSD BF'!$R$12+'TUSD CVA'!$R$12)*1</f>
        <v>0</v>
      </c>
      <c r="S12" s="12">
        <f>('TUSD BE'!$S$12+'TUSD BF'!$S$12+'TUSD CVA'!$S$12)*1</f>
        <v>0</v>
      </c>
      <c r="T12" s="12">
        <f>('TUSD BE'!$U$12+'TUSD BF'!$U$12+'TUSD CVA'!$U$12)*1</f>
        <v>5.2171844182204596</v>
      </c>
      <c r="U12" s="12">
        <f>('TUSD BE'!$V$12+'TUSD BF'!$V$12+'TUSD CVA'!$V$12)*1</f>
        <v>1.4157935518561531</v>
      </c>
      <c r="V12" s="12">
        <f>('TUSD BE'!$W$12+'TUSD BF'!$W$12+'TUSD CVA'!$W$12)*1</f>
        <v>0.12159563448240933</v>
      </c>
      <c r="W12" s="12">
        <f>('TUSD BE'!$X$12+'TUSD BF'!$X$12+'TUSD CVA'!$X$12)*1</f>
        <v>0</v>
      </c>
      <c r="X12" s="12">
        <f>('TUSD BE'!$Y$12+'TUSD BF'!$Y$12+'TUSD CVA'!$Y$12)*1</f>
        <v>6.2814093335343415</v>
      </c>
      <c r="Y12" s="12">
        <f>('TUSD BE'!$Z$12+'TUSD BF'!$Z$12+'TUSD CVA'!$Z$12)*1</f>
        <v>0</v>
      </c>
      <c r="Z12" s="12">
        <f>('TUSD BE'!$AA$12+'TUSD BF'!$AA$12+'TUSD CVA'!$AA$12)*1</f>
        <v>0</v>
      </c>
      <c r="AA12" s="12">
        <f>('TUSD BE'!$AC$12+'TUSD BF'!$AC$12+'TUSD CVA'!$AC$12)*1</f>
        <v>26.486663961172738</v>
      </c>
      <c r="AB12" s="12">
        <f ca="1">('TUSD BE'!$AE$12+'TUSD BF'!$AE$12+'TUSD CVA'!$AE$12)*1</f>
        <v>-3.3453516666475687</v>
      </c>
      <c r="AC12" s="12">
        <f ca="1">('TUSD BE'!$AF$12+'TUSD BF'!$AF$12+'TUSD CVA'!$AF$12)*1</f>
        <v>0</v>
      </c>
      <c r="AD12" s="12">
        <f>('TUSD BE'!$AH$12+'TUSD BF'!$AH$12+'TUSD CVA'!$AH$12)*1</f>
        <v>0</v>
      </c>
      <c r="AE12" s="12">
        <f>('TUSD BE'!$AI$12+'TUSD BF'!$AI$12+'TUSD CVA'!$AI$12)*1</f>
        <v>0</v>
      </c>
      <c r="AF12" s="12">
        <f ca="1">('TUSD BE'!$AJ$12+'TUSD BF'!$AJ$12+'TUSD CVA'!$AJ$12)*1</f>
        <v>0</v>
      </c>
      <c r="AG12" s="12">
        <f ca="1">('TUSD BE'!$AK$12+'TUSD BF'!$AK$12+'TUSD CVA'!$AK$12)*1</f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5.3036177980022501</v>
      </c>
      <c r="AR12" s="12">
        <v>1.9427576980999599</v>
      </c>
      <c r="AS12" s="12">
        <v>0.161402760352923</v>
      </c>
      <c r="AT12" s="12">
        <v>0</v>
      </c>
      <c r="AU12" s="12">
        <v>7.1584627729046204</v>
      </c>
      <c r="AV12" s="12">
        <v>0</v>
      </c>
      <c r="AW12" s="12">
        <v>0</v>
      </c>
      <c r="AX12" s="12">
        <v>22.446845123831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</row>
    <row r="13" spans="1:56" ht="11.25" customHeight="1" x14ac:dyDescent="0.25">
      <c r="A13" s="106"/>
      <c r="B13" s="106"/>
      <c r="C13" s="106"/>
      <c r="D13" s="106"/>
      <c r="E13" s="106"/>
      <c r="F13" s="106"/>
      <c r="G13" s="17" t="s">
        <v>83</v>
      </c>
      <c r="H13" s="17" t="s">
        <v>81</v>
      </c>
      <c r="I13" s="17">
        <f>'MERCADO TUSD'!$U$10</f>
        <v>112951</v>
      </c>
      <c r="J13" s="15"/>
      <c r="L13" s="12">
        <f>('TUSD BE'!$L$13+'TUSD BF'!$L$13+'TUSD CVA'!$L$13)*1</f>
        <v>0</v>
      </c>
      <c r="M13" s="12">
        <f>('TUSD BE'!$M$13+'TUSD BF'!$M$13+'TUSD CVA'!$M$13)*1</f>
        <v>0</v>
      </c>
      <c r="N13" s="12">
        <f ca="1">('TUSD BE'!$N$13+'TUSD BF'!$N$13+'TUSD CVA'!$N$13)*1</f>
        <v>0</v>
      </c>
      <c r="O13" s="12">
        <f>('TUSD BE'!$O$13+'TUSD BF'!$O$13+'TUSD CVA'!$O$13)*1</f>
        <v>0</v>
      </c>
      <c r="P13" s="12">
        <f>('TUSD BE'!$P$13+'TUSD BF'!$P$13+'TUSD CVA'!$P$13)*1</f>
        <v>0</v>
      </c>
      <c r="Q13" s="12">
        <f>('TUSD BE'!$Q$13+'TUSD BF'!$Q$13+'TUSD CVA'!$Q$13)*1</f>
        <v>0</v>
      </c>
      <c r="R13" s="12">
        <f>('TUSD BE'!$R$13+'TUSD BF'!$R$13+'TUSD CVA'!$R$13)*1</f>
        <v>0</v>
      </c>
      <c r="S13" s="12">
        <f>('TUSD BE'!$S$13+'TUSD BF'!$S$13+'TUSD CVA'!$S$13)*1</f>
        <v>0</v>
      </c>
      <c r="T13" s="12">
        <f>('TUSD BE'!$U$13+'TUSD BF'!$U$13+'TUSD CVA'!$U$13)*1</f>
        <v>3.9061011401297741</v>
      </c>
      <c r="U13" s="12">
        <f>('TUSD BE'!$V$13+'TUSD BF'!$V$13+'TUSD CVA'!$V$13)*1</f>
        <v>1.0717835611564328</v>
      </c>
      <c r="V13" s="12">
        <f>('TUSD BE'!$W$13+'TUSD BF'!$W$13+'TUSD CVA'!$W$13)*1</f>
        <v>8.8624231806904999E-2</v>
      </c>
      <c r="W13" s="12">
        <f>('TUSD BE'!$X$13+'TUSD BF'!$X$13+'TUSD CVA'!$X$13)*1</f>
        <v>0</v>
      </c>
      <c r="X13" s="12">
        <f>('TUSD BE'!$Y$13+'TUSD BF'!$Y$13+'TUSD CVA'!$Y$13)*1</f>
        <v>2.3614276723576766</v>
      </c>
      <c r="Y13" s="12">
        <f>('TUSD BE'!$Z$13+'TUSD BF'!$Z$13+'TUSD CVA'!$Z$13)*1</f>
        <v>0</v>
      </c>
      <c r="Z13" s="12">
        <f>('TUSD BE'!$AA$13+'TUSD BF'!$AA$13+'TUSD CVA'!$AA$13)*1</f>
        <v>0</v>
      </c>
      <c r="AA13" s="12">
        <f>('TUSD BE'!$AC$13+'TUSD BF'!$AC$13+'TUSD CVA'!$AC$13)*1</f>
        <v>12.069619923482694</v>
      </c>
      <c r="AB13" s="12">
        <f ca="1">('TUSD BE'!$AE$13+'TUSD BF'!$AE$13+'TUSD CVA'!$AE$13)*1</f>
        <v>-1.6407139614850279</v>
      </c>
      <c r="AC13" s="12">
        <f ca="1">('TUSD BE'!$AF$13+'TUSD BF'!$AF$13+'TUSD CVA'!$AF$13)*1</f>
        <v>0</v>
      </c>
      <c r="AD13" s="12">
        <f>('TUSD BE'!$AH$13+'TUSD BF'!$AH$13+'TUSD CVA'!$AH$13)*1</f>
        <v>0</v>
      </c>
      <c r="AE13" s="12">
        <f>('TUSD BE'!$AI$13+'TUSD BF'!$AI$13+'TUSD CVA'!$AI$13)*1</f>
        <v>0</v>
      </c>
      <c r="AF13" s="12">
        <f ca="1">('TUSD BE'!$AJ$13+'TUSD BF'!$AJ$13+'TUSD CVA'!$AJ$13)*1</f>
        <v>0</v>
      </c>
      <c r="AG13" s="12">
        <f ca="1">('TUSD BE'!$AK$13+'TUSD BF'!$AK$13+'TUSD CVA'!$AK$13)*1</f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3.9708137314907099</v>
      </c>
      <c r="AR13" s="12">
        <v>1.4707057829185599</v>
      </c>
      <c r="AS13" s="12">
        <v>0.11763741115114699</v>
      </c>
      <c r="AT13" s="12">
        <v>0</v>
      </c>
      <c r="AU13" s="12">
        <v>2.6911463950030199</v>
      </c>
      <c r="AV13" s="12">
        <v>0</v>
      </c>
      <c r="AW13" s="12">
        <v>0</v>
      </c>
      <c r="AX13" s="12">
        <v>10.228728295986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</row>
    <row r="14" spans="1:56" ht="11.25" customHeight="1" x14ac:dyDescent="0.25">
      <c r="A14" s="106"/>
      <c r="B14" s="106"/>
      <c r="C14" s="106"/>
      <c r="D14" s="106"/>
      <c r="E14" s="106"/>
      <c r="F14" s="106"/>
      <c r="G14" s="17" t="s">
        <v>84</v>
      </c>
      <c r="H14" s="17" t="s">
        <v>78</v>
      </c>
      <c r="I14" s="17">
        <f>'MERCADO TUSD'!$U$11</f>
        <v>43743.163999999997</v>
      </c>
      <c r="J14" s="15"/>
      <c r="L14" s="12">
        <f>('TUSD BE'!$L$14+'TUSD BF'!$L$14+'TUSD CVA'!$L$14)*1</f>
        <v>1.6431015686479897</v>
      </c>
      <c r="M14" s="12">
        <f>('TUSD BE'!$M$14+'TUSD BF'!$M$14+'TUSD CVA'!$M$14)*1</f>
        <v>0.39528505121616281</v>
      </c>
      <c r="N14" s="12">
        <f ca="1">('TUSD BE'!$N$14+'TUSD BF'!$N$14+'TUSD CVA'!$N$14)*1</f>
        <v>0.19225909901201535</v>
      </c>
      <c r="O14" s="12">
        <f>('TUSD BE'!$O$14+'TUSD BF'!$O$14+'TUSD CVA'!$O$14)*1</f>
        <v>3.7615096723935967E-2</v>
      </c>
      <c r="P14" s="12">
        <f>('TUSD BE'!$P$14+'TUSD BF'!$P$14+'TUSD CVA'!$P$14)*1</f>
        <v>0</v>
      </c>
      <c r="Q14" s="12">
        <f>('TUSD BE'!$Q$14+'TUSD BF'!$Q$14+'TUSD CVA'!$Q$14)*1</f>
        <v>29.368713178502496</v>
      </c>
      <c r="R14" s="12">
        <f>('TUSD BE'!$R$14+'TUSD BF'!$R$14+'TUSD CVA'!$R$14)*1</f>
        <v>14.427520425441489</v>
      </c>
      <c r="S14" s="12">
        <f>('TUSD BE'!$S$14+'TUSD BF'!$S$14+'TUSD CVA'!$S$14)*1</f>
        <v>0</v>
      </c>
      <c r="T14" s="12">
        <f>('TUSD BE'!$U$14+'TUSD BF'!$U$14+'TUSD CVA'!$U$14)*1</f>
        <v>0</v>
      </c>
      <c r="U14" s="12">
        <f>('TUSD BE'!$V$14+'TUSD BF'!$V$14+'TUSD CVA'!$V$14)*1</f>
        <v>0</v>
      </c>
      <c r="V14" s="12">
        <f>('TUSD BE'!$W$14+'TUSD BF'!$W$14+'TUSD CVA'!$W$14)*1</f>
        <v>0</v>
      </c>
      <c r="W14" s="12">
        <f>('TUSD BE'!$X$14+'TUSD BF'!$X$14+'TUSD CVA'!$X$14)*1</f>
        <v>0</v>
      </c>
      <c r="X14" s="12">
        <f>('TUSD BE'!$Y$14+'TUSD BF'!$Y$14+'TUSD CVA'!$Y$14)*1</f>
        <v>0</v>
      </c>
      <c r="Y14" s="12">
        <f>('TUSD BE'!$Z$14+'TUSD BF'!$Z$14+'TUSD CVA'!$Z$14)*1</f>
        <v>0</v>
      </c>
      <c r="Z14" s="12">
        <f>('TUSD BE'!$AA$14+'TUSD BF'!$AA$14+'TUSD CVA'!$AA$14)*1</f>
        <v>0</v>
      </c>
      <c r="AA14" s="12">
        <f>('TUSD BE'!$AC$14+'TUSD BF'!$AC$14+'TUSD CVA'!$AC$14)*1</f>
        <v>0</v>
      </c>
      <c r="AB14" s="12">
        <f ca="1">('TUSD BE'!$AE$14+'TUSD BF'!$AE$14+'TUSD CVA'!$AE$14)*1</f>
        <v>-4.6033099922216865</v>
      </c>
      <c r="AC14" s="12">
        <f ca="1">('TUSD BE'!$AF$14+'TUSD BF'!$AF$14+'TUSD CVA'!$AF$14)*1</f>
        <v>0</v>
      </c>
      <c r="AD14" s="12">
        <f>('TUSD BE'!$AH$14+'TUSD BF'!$AH$14+'TUSD CVA'!$AH$14)*1</f>
        <v>6.1329374262826244</v>
      </c>
      <c r="AE14" s="12">
        <f>('TUSD BE'!$AI$14+'TUSD BF'!$AI$14+'TUSD CVA'!$AI$14)*1</f>
        <v>0.14459792301231986</v>
      </c>
      <c r="AF14" s="12">
        <f ca="1">('TUSD BE'!$AJ$14+'TUSD BF'!$AJ$14+'TUSD CVA'!$AJ$14)*1</f>
        <v>2.0483212452394377</v>
      </c>
      <c r="AG14" s="12">
        <f ca="1">('TUSD BE'!$AK$14+'TUSD BF'!$AK$14+'TUSD CVA'!$AK$14)*1</f>
        <v>0</v>
      </c>
      <c r="AI14" s="12">
        <v>0</v>
      </c>
      <c r="AJ14" s="12">
        <v>0.35476160262858702</v>
      </c>
      <c r="AK14" s="12">
        <v>0.20628254825529099</v>
      </c>
      <c r="AL14" s="12">
        <v>4.6353452504891701E-2</v>
      </c>
      <c r="AM14" s="12">
        <v>0</v>
      </c>
      <c r="AN14" s="12">
        <v>24.405692630863701</v>
      </c>
      <c r="AO14" s="12">
        <v>9.5704209868042103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5.6239835794638502</v>
      </c>
      <c r="BB14" s="12">
        <v>0.137481965134441</v>
      </c>
      <c r="BC14" s="12">
        <v>1.89792292775147</v>
      </c>
      <c r="BD14" s="12">
        <v>0</v>
      </c>
    </row>
    <row r="15" spans="1:56" ht="11.25" customHeight="1" x14ac:dyDescent="0.25">
      <c r="A15" s="106"/>
      <c r="B15" s="106"/>
      <c r="C15" s="106"/>
      <c r="D15" s="106"/>
      <c r="E15" s="18" t="s">
        <v>85</v>
      </c>
      <c r="F15" s="18" t="s">
        <v>25</v>
      </c>
      <c r="G15" s="17" t="s">
        <v>84</v>
      </c>
      <c r="H15" s="17" t="s">
        <v>78</v>
      </c>
      <c r="I15" s="17">
        <f>'MERCADO TUSD'!$U$12</f>
        <v>0</v>
      </c>
      <c r="J15" s="15"/>
      <c r="L15" s="12">
        <f>('TUSD BE'!$L$15+'TUSD BF'!$L$15+'TUSD CVA'!$L$15)*1</f>
        <v>0</v>
      </c>
      <c r="M15" s="12">
        <f>('TUSD BE'!$M$15+'TUSD BF'!$M$15+'TUSD CVA'!$M$15)*1</f>
        <v>0.39528505121616281</v>
      </c>
      <c r="N15" s="12">
        <f ca="1">('TUSD BE'!$N$15+'TUSD BF'!$N$15+'TUSD CVA'!$N$15)*1</f>
        <v>0.18054723184063984</v>
      </c>
      <c r="O15" s="12">
        <f>('TUSD BE'!$O$15+'TUSD BF'!$O$15+'TUSD CVA'!$O$15)*1</f>
        <v>3.7615096723935967E-2</v>
      </c>
      <c r="P15" s="12">
        <f>('TUSD BE'!$P$15+'TUSD BF'!$P$15+'TUSD CVA'!$P$15)*1</f>
        <v>0</v>
      </c>
      <c r="Q15" s="12">
        <f>('TUSD BE'!$Q$15+'TUSD BF'!$Q$15+'TUSD CVA'!$Q$15)*1</f>
        <v>0</v>
      </c>
      <c r="R15" s="12">
        <f>('TUSD BE'!$R$15+'TUSD BF'!$R$15+'TUSD CVA'!$R$15)*1</f>
        <v>0</v>
      </c>
      <c r="S15" s="12">
        <f>('TUSD BE'!$S$15+'TUSD BF'!$S$15+'TUSD CVA'!$S$15)*1</f>
        <v>0</v>
      </c>
      <c r="T15" s="12">
        <f>('TUSD BE'!$U$15+'TUSD BF'!$U$15+'TUSD CVA'!$U$15)*1</f>
        <v>0</v>
      </c>
      <c r="U15" s="12">
        <f>('TUSD BE'!$V$15+'TUSD BF'!$V$15+'TUSD CVA'!$V$15)*1</f>
        <v>0</v>
      </c>
      <c r="V15" s="12">
        <f>('TUSD BE'!$W$15+'TUSD BF'!$W$15+'TUSD CVA'!$W$15)*1</f>
        <v>0</v>
      </c>
      <c r="W15" s="12">
        <f>('TUSD BE'!$X$15+'TUSD BF'!$X$15+'TUSD CVA'!$X$15)*1</f>
        <v>0</v>
      </c>
      <c r="X15" s="12">
        <f>('TUSD BE'!$Y$15+'TUSD BF'!$Y$15+'TUSD CVA'!$Y$15)*1</f>
        <v>0</v>
      </c>
      <c r="Y15" s="12">
        <f>('TUSD BE'!$Z$15+'TUSD BF'!$Z$15+'TUSD CVA'!$Z$15)*1</f>
        <v>0</v>
      </c>
      <c r="Z15" s="12">
        <f>('TUSD BE'!$AA$15+'TUSD BF'!$AA$15+'TUSD CVA'!$AA$15)*1</f>
        <v>0</v>
      </c>
      <c r="AA15" s="12">
        <f>('TUSD BE'!$AC$15+'TUSD BF'!$AC$15+'TUSD CVA'!$AC$15)*1</f>
        <v>0</v>
      </c>
      <c r="AB15" s="12">
        <f ca="1">('TUSD BE'!$AE$15+'TUSD BF'!$AE$15+'TUSD CVA'!$AE$15)*1</f>
        <v>-0.68963577531382947</v>
      </c>
      <c r="AC15" s="12">
        <f ca="1">('TUSD BE'!$AF$15+'TUSD BF'!$AF$15+'TUSD CVA'!$AF$15)*1</f>
        <v>0</v>
      </c>
      <c r="AD15" s="12">
        <f>('TUSD BE'!$AH$15+'TUSD BF'!$AH$15+'TUSD CVA'!$AH$15)*1</f>
        <v>6.1329374262826244</v>
      </c>
      <c r="AE15" s="12">
        <f>('TUSD BE'!$AI$15+'TUSD BF'!$AI$15+'TUSD CVA'!$AI$15)*1</f>
        <v>0.14459792301231986</v>
      </c>
      <c r="AF15" s="12">
        <f ca="1">('TUSD BE'!$AJ$15+'TUSD BF'!$AJ$15+'TUSD CVA'!$AJ$15)*1</f>
        <v>2.0483212452394377</v>
      </c>
      <c r="AG15" s="12">
        <f ca="1">('TUSD BE'!$AK$15+'TUSD BF'!$AK$15+'TUSD CVA'!$AK$15)*1</f>
        <v>0</v>
      </c>
      <c r="AI15" s="12">
        <v>0</v>
      </c>
      <c r="AJ15" s="12">
        <v>0.35476160262858702</v>
      </c>
      <c r="AK15" s="12">
        <v>0.19370702814662599</v>
      </c>
      <c r="AL15" s="12">
        <v>4.6353452504891701E-2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5.6239835794638502</v>
      </c>
      <c r="BB15" s="12">
        <v>0.137481965134441</v>
      </c>
      <c r="BC15" s="12">
        <v>1.89792292775147</v>
      </c>
      <c r="BD15" s="12">
        <v>0</v>
      </c>
    </row>
    <row r="16" spans="1:56" ht="11.25" customHeight="1" x14ac:dyDescent="0.25">
      <c r="A16" s="106"/>
      <c r="B16" s="106" t="s">
        <v>59</v>
      </c>
      <c r="C16" s="106" t="s">
        <v>25</v>
      </c>
      <c r="D16" s="106" t="s">
        <v>25</v>
      </c>
      <c r="E16" s="106" t="s">
        <v>25</v>
      </c>
      <c r="F16" s="106" t="s">
        <v>60</v>
      </c>
      <c r="G16" s="17" t="s">
        <v>82</v>
      </c>
      <c r="H16" s="17" t="s">
        <v>81</v>
      </c>
      <c r="I16" s="17">
        <f>'MERCADO TUSD'!$U$13</f>
        <v>1804</v>
      </c>
      <c r="J16" s="15"/>
      <c r="L16" s="12">
        <f>('TUSD BE'!$L$16+'TUSD BF'!$L$16+'TUSD CVA'!$L$16)*1</f>
        <v>0</v>
      </c>
      <c r="M16" s="12">
        <f>('TUSD BE'!$M$16+'TUSD BF'!$M$16+'TUSD CVA'!$M$16)*1</f>
        <v>0</v>
      </c>
      <c r="N16" s="12">
        <f ca="1">('TUSD BE'!$N$16+'TUSD BF'!$N$16+'TUSD CVA'!$N$16)*1</f>
        <v>0</v>
      </c>
      <c r="O16" s="12">
        <f>('TUSD BE'!$O$16+'TUSD BF'!$O$16+'TUSD CVA'!$O$16)*1</f>
        <v>0</v>
      </c>
      <c r="P16" s="12">
        <f>('TUSD BE'!$P$16+'TUSD BF'!$P$16+'TUSD CVA'!$P$16)*1</f>
        <v>0</v>
      </c>
      <c r="Q16" s="12">
        <f>('TUSD BE'!$Q$16+'TUSD BF'!$Q$16+'TUSD CVA'!$Q$16)*1</f>
        <v>0</v>
      </c>
      <c r="R16" s="12">
        <f>('TUSD BE'!$R$16+'TUSD BF'!$R$16+'TUSD CVA'!$R$16)*1</f>
        <v>0</v>
      </c>
      <c r="S16" s="12">
        <f>('TUSD BE'!$S$16+'TUSD BF'!$S$16+'TUSD CVA'!$S$16)*1</f>
        <v>0</v>
      </c>
      <c r="T16" s="12">
        <f>('TUSD BE'!$U$16+'TUSD BF'!$U$16+'TUSD CVA'!$U$16)*1</f>
        <v>5.2171844182204596</v>
      </c>
      <c r="U16" s="12">
        <f>('TUSD BE'!$V$16+'TUSD BF'!$V$16+'TUSD CVA'!$V$16)*1</f>
        <v>1.4157935518561531</v>
      </c>
      <c r="V16" s="12">
        <f>('TUSD BE'!$W$16+'TUSD BF'!$W$16+'TUSD CVA'!$W$16)*1</f>
        <v>0.12159563448240933</v>
      </c>
      <c r="W16" s="12">
        <f>('TUSD BE'!$X$16+'TUSD BF'!$X$16+'TUSD CVA'!$X$16)*1</f>
        <v>0</v>
      </c>
      <c r="X16" s="12">
        <f>('TUSD BE'!$Y$16+'TUSD BF'!$Y$16+'TUSD CVA'!$Y$16)*1</f>
        <v>6.2814093335343415</v>
      </c>
      <c r="Y16" s="12">
        <f>('TUSD BE'!$Z$16+'TUSD BF'!$Z$16+'TUSD CVA'!$Z$16)*1</f>
        <v>0</v>
      </c>
      <c r="Z16" s="12">
        <f>('TUSD BE'!$AA$16+'TUSD BF'!$AA$16+'TUSD CVA'!$AA$16)*1</f>
        <v>0</v>
      </c>
      <c r="AA16" s="12">
        <f>('TUSD BE'!$AC$16+'TUSD BF'!$AC$16+'TUSD CVA'!$AC$16)*1</f>
        <v>9.2368746390705851</v>
      </c>
      <c r="AB16" s="12">
        <f>('TUSD BE'!$AE$16+'TUSD BF'!$AE$16+'TUSD CVA'!$AE$16)*1</f>
        <v>0</v>
      </c>
      <c r="AC16" s="12">
        <f ca="1">('TUSD BE'!$AF$16+'TUSD BF'!$AF$16+'TUSD CVA'!$AF$16)*1</f>
        <v>0</v>
      </c>
      <c r="AD16" s="12">
        <f>('TUSD BE'!$AH$16+'TUSD BF'!$AH$16+'TUSD CVA'!$AH$16)*1</f>
        <v>0</v>
      </c>
      <c r="AE16" s="12">
        <f>('TUSD BE'!$AI$16+'TUSD BF'!$AI$16+'TUSD CVA'!$AI$16)*1</f>
        <v>0</v>
      </c>
      <c r="AF16" s="12">
        <f ca="1">('TUSD BE'!$AJ$16+'TUSD BF'!$AJ$16+'TUSD CVA'!$AJ$16)*1</f>
        <v>0</v>
      </c>
      <c r="AG16" s="12">
        <f ca="1">('TUSD BE'!$AK$16+'TUSD BF'!$AK$16+'TUSD CVA'!$AK$16)*1</f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5.3036177980022501</v>
      </c>
      <c r="AR16" s="12">
        <v>1.9427576980999599</v>
      </c>
      <c r="AS16" s="12">
        <v>0.161402760352923</v>
      </c>
      <c r="AT16" s="12">
        <v>0</v>
      </c>
      <c r="AU16" s="12">
        <v>7.1584627729046204</v>
      </c>
      <c r="AV16" s="12">
        <v>0</v>
      </c>
      <c r="AW16" s="12">
        <v>0</v>
      </c>
      <c r="AX16" s="12">
        <v>7.82804111364878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</row>
    <row r="17" spans="1:56" ht="11.25" customHeight="1" x14ac:dyDescent="0.25">
      <c r="A17" s="106"/>
      <c r="B17" s="106"/>
      <c r="C17" s="106"/>
      <c r="D17" s="106"/>
      <c r="E17" s="106"/>
      <c r="F17" s="106"/>
      <c r="G17" s="17" t="s">
        <v>83</v>
      </c>
      <c r="H17" s="17" t="s">
        <v>81</v>
      </c>
      <c r="I17" s="17">
        <f>'MERCADO TUSD'!$U$14</f>
        <v>1804</v>
      </c>
      <c r="J17" s="15"/>
      <c r="L17" s="12">
        <f>('TUSD BE'!$L$17+'TUSD BF'!$L$17+'TUSD CVA'!$L$17)*1</f>
        <v>0</v>
      </c>
      <c r="M17" s="12">
        <f>('TUSD BE'!$M$17+'TUSD BF'!$M$17+'TUSD CVA'!$M$17)*1</f>
        <v>0</v>
      </c>
      <c r="N17" s="12">
        <f ca="1">('TUSD BE'!$N$17+'TUSD BF'!$N$17+'TUSD CVA'!$N$17)*1</f>
        <v>0</v>
      </c>
      <c r="O17" s="12">
        <f>('TUSD BE'!$O$17+'TUSD BF'!$O$17+'TUSD CVA'!$O$17)*1</f>
        <v>0</v>
      </c>
      <c r="P17" s="12">
        <f>('TUSD BE'!$P$17+'TUSD BF'!$P$17+'TUSD CVA'!$P$17)*1</f>
        <v>0</v>
      </c>
      <c r="Q17" s="12">
        <f>('TUSD BE'!$Q$17+'TUSD BF'!$Q$17+'TUSD CVA'!$Q$17)*1</f>
        <v>0</v>
      </c>
      <c r="R17" s="12">
        <f>('TUSD BE'!$R$17+'TUSD BF'!$R$17+'TUSD CVA'!$R$17)*1</f>
        <v>0</v>
      </c>
      <c r="S17" s="12">
        <f>('TUSD BE'!$S$17+'TUSD BF'!$S$17+'TUSD CVA'!$S$17)*1</f>
        <v>0</v>
      </c>
      <c r="T17" s="12">
        <f>('TUSD BE'!$U$17+'TUSD BF'!$U$17+'TUSD CVA'!$U$17)*1</f>
        <v>3.9061011401297741</v>
      </c>
      <c r="U17" s="12">
        <f>('TUSD BE'!$V$17+'TUSD BF'!$V$17+'TUSD CVA'!$V$17)*1</f>
        <v>1.0717835611564328</v>
      </c>
      <c r="V17" s="12">
        <f>('TUSD BE'!$W$17+'TUSD BF'!$W$17+'TUSD CVA'!$W$17)*1</f>
        <v>8.8624231806904999E-2</v>
      </c>
      <c r="W17" s="12">
        <f>('TUSD BE'!$X$17+'TUSD BF'!$X$17+'TUSD CVA'!$X$17)*1</f>
        <v>0</v>
      </c>
      <c r="X17" s="12">
        <f>('TUSD BE'!$Y$17+'TUSD BF'!$Y$17+'TUSD CVA'!$Y$17)*1</f>
        <v>2.3614276723576766</v>
      </c>
      <c r="Y17" s="12">
        <f>('TUSD BE'!$Z$17+'TUSD BF'!$Z$17+'TUSD CVA'!$Z$17)*1</f>
        <v>0</v>
      </c>
      <c r="Z17" s="12">
        <f>('TUSD BE'!$AA$17+'TUSD BF'!$AA$17+'TUSD CVA'!$AA$17)*1</f>
        <v>0</v>
      </c>
      <c r="AA17" s="12">
        <f>('TUSD BE'!$AC$17+'TUSD BF'!$AC$17+'TUSD CVA'!$AC$17)*1</f>
        <v>4.2091007769888531</v>
      </c>
      <c r="AB17" s="12">
        <f>('TUSD BE'!$AE$17+'TUSD BF'!$AE$17+'TUSD CVA'!$AE$17)*1</f>
        <v>0</v>
      </c>
      <c r="AC17" s="12">
        <f ca="1">('TUSD BE'!$AF$17+'TUSD BF'!$AF$17+'TUSD CVA'!$AF$17)*1</f>
        <v>0</v>
      </c>
      <c r="AD17" s="12">
        <f>('TUSD BE'!$AH$17+'TUSD BF'!$AH$17+'TUSD CVA'!$AH$17)*1</f>
        <v>0</v>
      </c>
      <c r="AE17" s="12">
        <f>('TUSD BE'!$AI$17+'TUSD BF'!$AI$17+'TUSD CVA'!$AI$17)*1</f>
        <v>0</v>
      </c>
      <c r="AF17" s="12">
        <f ca="1">('TUSD BE'!$AJ$17+'TUSD BF'!$AJ$17+'TUSD CVA'!$AJ$17)*1</f>
        <v>0</v>
      </c>
      <c r="AG17" s="12">
        <f ca="1">('TUSD BE'!$AK$17+'TUSD BF'!$AK$17+'TUSD CVA'!$AK$17)*1</f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3.9708137314907099</v>
      </c>
      <c r="AR17" s="12">
        <v>1.4707057829185599</v>
      </c>
      <c r="AS17" s="12">
        <v>0.11763741115114699</v>
      </c>
      <c r="AT17" s="12">
        <v>0</v>
      </c>
      <c r="AU17" s="12">
        <v>2.6911463950030199</v>
      </c>
      <c r="AV17" s="12">
        <v>0</v>
      </c>
      <c r="AW17" s="12">
        <v>0</v>
      </c>
      <c r="AX17" s="12">
        <v>3.5671171496027898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</row>
    <row r="18" spans="1:56" ht="11.25" customHeight="1" x14ac:dyDescent="0.25">
      <c r="A18" s="106"/>
      <c r="B18" s="106"/>
      <c r="C18" s="106"/>
      <c r="D18" s="106"/>
      <c r="E18" s="106"/>
      <c r="F18" s="106"/>
      <c r="G18" s="17" t="s">
        <v>84</v>
      </c>
      <c r="H18" s="17" t="s">
        <v>78</v>
      </c>
      <c r="I18" s="17">
        <f>'MERCADO TUSD'!$U$15</f>
        <v>731.00300000000004</v>
      </c>
      <c r="J18" s="15"/>
      <c r="L18" s="12">
        <f>('TUSD BE'!$L$18+'TUSD BF'!$L$18+'TUSD CVA'!$L$18)*1</f>
        <v>0</v>
      </c>
      <c r="M18" s="12">
        <f>('TUSD BE'!$M$18+'TUSD BF'!$M$18+'TUSD CVA'!$M$18)*1</f>
        <v>0</v>
      </c>
      <c r="N18" s="12">
        <f ca="1">('TUSD BE'!$N$18+'TUSD BF'!$N$18+'TUSD CVA'!$N$18)*1</f>
        <v>0</v>
      </c>
      <c r="O18" s="12">
        <f>('TUSD BE'!$O$18+'TUSD BF'!$O$18+'TUSD CVA'!$O$18)*1</f>
        <v>0</v>
      </c>
      <c r="P18" s="12">
        <f>('TUSD BE'!$P$18+'TUSD BF'!$P$18+'TUSD CVA'!$P$18)*1</f>
        <v>0</v>
      </c>
      <c r="Q18" s="12">
        <f>('TUSD BE'!$Q$18+'TUSD BF'!$Q$18+'TUSD CVA'!$Q$18)*1</f>
        <v>0</v>
      </c>
      <c r="R18" s="12">
        <f>('TUSD BE'!$R$18+'TUSD BF'!$R$18+'TUSD CVA'!$R$18)*1</f>
        <v>0</v>
      </c>
      <c r="S18" s="12">
        <f>('TUSD BE'!$S$18+'TUSD BF'!$S$18+'TUSD CVA'!$S$18)*1</f>
        <v>0</v>
      </c>
      <c r="T18" s="12">
        <f>('TUSD BE'!$U$18+'TUSD BF'!$U$18+'TUSD CVA'!$U$18)*1</f>
        <v>0</v>
      </c>
      <c r="U18" s="12">
        <f>('TUSD BE'!$V$18+'TUSD BF'!$V$18+'TUSD CVA'!$V$18)*1</f>
        <v>0</v>
      </c>
      <c r="V18" s="12">
        <f>('TUSD BE'!$W$18+'TUSD BF'!$W$18+'TUSD CVA'!$W$18)*1</f>
        <v>0</v>
      </c>
      <c r="W18" s="12">
        <f>('TUSD BE'!$X$18+'TUSD BF'!$X$18+'TUSD CVA'!$X$18)*1</f>
        <v>0</v>
      </c>
      <c r="X18" s="12">
        <f>('TUSD BE'!$Y$18+'TUSD BF'!$Y$18+'TUSD CVA'!$Y$18)*1</f>
        <v>0</v>
      </c>
      <c r="Y18" s="12">
        <f>('TUSD BE'!$Z$18+'TUSD BF'!$Z$18+'TUSD CVA'!$Z$18)*1</f>
        <v>0</v>
      </c>
      <c r="Z18" s="12">
        <f>('TUSD BE'!$AA$18+'TUSD BF'!$AA$18+'TUSD CVA'!$AA$18)*1</f>
        <v>0</v>
      </c>
      <c r="AA18" s="12">
        <f>('TUSD BE'!$AC$18+'TUSD BF'!$AC$18+'TUSD CVA'!$AC$18)*1</f>
        <v>0</v>
      </c>
      <c r="AB18" s="12">
        <f>('TUSD BE'!$AE$18+'TUSD BF'!$AE$18+'TUSD CVA'!$AE$18)*1</f>
        <v>0</v>
      </c>
      <c r="AC18" s="12">
        <f ca="1">('TUSD BE'!$AF$18+'TUSD BF'!$AF$18+'TUSD CVA'!$AF$18)*1</f>
        <v>0</v>
      </c>
      <c r="AD18" s="12">
        <f>('TUSD BE'!$AH$18+'TUSD BF'!$AH$18+'TUSD CVA'!$AH$18)*1</f>
        <v>6.1329374262826244</v>
      </c>
      <c r="AE18" s="12">
        <f>('TUSD BE'!$AI$18+'TUSD BF'!$AI$18+'TUSD CVA'!$AI$18)*1</f>
        <v>0.14459792301231986</v>
      </c>
      <c r="AF18" s="12">
        <f ca="1">('TUSD BE'!$AJ$18+'TUSD BF'!$AJ$18+'TUSD CVA'!$AJ$18)*1</f>
        <v>0</v>
      </c>
      <c r="AG18" s="12">
        <f ca="1">('TUSD BE'!$AK$18+'TUSD BF'!$AK$18+'TUSD CVA'!$AK$18)*1</f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5.6239835794638502</v>
      </c>
      <c r="BB18" s="12">
        <v>0.137481965134441</v>
      </c>
      <c r="BC18" s="12">
        <v>0</v>
      </c>
      <c r="BD18" s="12">
        <v>0</v>
      </c>
    </row>
    <row r="19" spans="1:56" ht="11.25" customHeight="1" x14ac:dyDescent="0.25">
      <c r="A19" s="106"/>
      <c r="B19" s="18" t="s">
        <v>87</v>
      </c>
      <c r="C19" s="18" t="s">
        <v>25</v>
      </c>
      <c r="D19" s="18" t="s">
        <v>25</v>
      </c>
      <c r="E19" s="18" t="s">
        <v>25</v>
      </c>
      <c r="F19" s="18" t="s">
        <v>25</v>
      </c>
      <c r="G19" s="17" t="s">
        <v>9</v>
      </c>
      <c r="H19" s="17" t="s">
        <v>81</v>
      </c>
      <c r="I19" s="17">
        <f>'MERCADO TUSD'!$U$16</f>
        <v>0</v>
      </c>
      <c r="J19" s="15"/>
      <c r="L19" s="12">
        <f>('TUSD BE'!$L$19+'TUSD BF'!$L$19+'TUSD CVA'!$L$19)*1</f>
        <v>0</v>
      </c>
      <c r="M19" s="12">
        <f>('TUSD BE'!$M$19+'TUSD BF'!$M$19+'TUSD CVA'!$M$19)*1</f>
        <v>3.2878642355397218E-2</v>
      </c>
      <c r="N19" s="12">
        <f ca="1">('TUSD BE'!$N$19+'TUSD BF'!$N$19+'TUSD CVA'!$N$19)*1</f>
        <v>9.7091378850703028E-2</v>
      </c>
      <c r="O19" s="12">
        <f>('TUSD BE'!$O$19+'TUSD BF'!$O$19+'TUSD CVA'!$O$19)*1</f>
        <v>0</v>
      </c>
      <c r="P19" s="12">
        <f>('TUSD BE'!$P$19+'TUSD BF'!$P$19+'TUSD CVA'!$P$19)*1</f>
        <v>0</v>
      </c>
      <c r="Q19" s="12">
        <f>('TUSD BE'!$Q$19+'TUSD BF'!$Q$19+'TUSD CVA'!$Q$19)*1</f>
        <v>0</v>
      </c>
      <c r="R19" s="12">
        <f>('TUSD BE'!$R$19+'TUSD BF'!$R$19+'TUSD CVA'!$R$19)*1</f>
        <v>0</v>
      </c>
      <c r="S19" s="12">
        <f>('TUSD BE'!$S$19+'TUSD BF'!$S$19+'TUSD CVA'!$S$19)*1</f>
        <v>0</v>
      </c>
      <c r="T19" s="12">
        <f>('TUSD BE'!$U$19+'TUSD BF'!$U$19+'TUSD CVA'!$U$19)*1</f>
        <v>0</v>
      </c>
      <c r="U19" s="12">
        <f>('TUSD BE'!$V$19+'TUSD BF'!$V$19+'TUSD CVA'!$V$19)*1</f>
        <v>0</v>
      </c>
      <c r="V19" s="12">
        <f>('TUSD BE'!$W$19+'TUSD BF'!$W$19+'TUSD CVA'!$W$19)*1</f>
        <v>0</v>
      </c>
      <c r="W19" s="12">
        <f>('TUSD BE'!$X$19+'TUSD BF'!$X$19+'TUSD CVA'!$X$19)*1</f>
        <v>0</v>
      </c>
      <c r="X19" s="12">
        <f>('TUSD BE'!$Y$19+'TUSD BF'!$Y$19+'TUSD CVA'!$Y$19)*1</f>
        <v>0</v>
      </c>
      <c r="Y19" s="12">
        <f>('TUSD BE'!$Z$19+'TUSD BF'!$Z$19+'TUSD CVA'!$Z$19)*1</f>
        <v>0</v>
      </c>
      <c r="Z19" s="12">
        <f>('TUSD BE'!$AA$19+'TUSD BF'!$AA$19+'TUSD CVA'!$AA$19)*1</f>
        <v>0</v>
      </c>
      <c r="AA19" s="12">
        <f>('TUSD BE'!$AC$19+'TUSD BF'!$AC$19+'TUSD CVA'!$AC$19)*1</f>
        <v>9.7769966284747696</v>
      </c>
      <c r="AB19" s="12">
        <f ca="1">('TUSD BE'!$AE$19+'TUSD BF'!$AE$19+'TUSD CVA'!$AE$19)*1</f>
        <v>-0.84505094323006558</v>
      </c>
      <c r="AC19" s="12">
        <f ca="1">('TUSD BE'!$AF$19+'TUSD BF'!$AF$19+'TUSD CVA'!$AF$19)*1</f>
        <v>0</v>
      </c>
      <c r="AD19" s="12">
        <f>('TUSD BE'!$AH$19+'TUSD BF'!$AH$19+'TUSD CVA'!$AH$19)*1</f>
        <v>0</v>
      </c>
      <c r="AE19" s="12">
        <f>('TUSD BE'!$AI$19+'TUSD BF'!$AI$19+'TUSD CVA'!$AI$19)*1</f>
        <v>0</v>
      </c>
      <c r="AF19" s="12">
        <f ca="1">('TUSD BE'!$AJ$19+'TUSD BF'!$AJ$19+'TUSD CVA'!$AJ$19)*1</f>
        <v>0</v>
      </c>
      <c r="AG19" s="12">
        <f ca="1">('TUSD BE'!$AK$19+'TUSD BF'!$AK$19+'TUSD CVA'!$AK$19)*1</f>
        <v>0</v>
      </c>
      <c r="AI19" s="12">
        <v>0</v>
      </c>
      <c r="AJ19" s="12">
        <v>3.4026096042162397E-2</v>
      </c>
      <c r="AK19" s="12">
        <v>0.10425106170083299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8.7731811652826508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</row>
    <row r="20" spans="1:56" ht="11.25" customHeight="1" x14ac:dyDescent="0.25">
      <c r="A20" s="106"/>
      <c r="B20" s="106" t="s">
        <v>41</v>
      </c>
      <c r="C20" s="106" t="s">
        <v>25</v>
      </c>
      <c r="D20" s="106" t="s">
        <v>25</v>
      </c>
      <c r="E20" s="106" t="s">
        <v>25</v>
      </c>
      <c r="F20" s="106" t="s">
        <v>25</v>
      </c>
      <c r="G20" s="17" t="s">
        <v>9</v>
      </c>
      <c r="H20" s="17" t="s">
        <v>81</v>
      </c>
      <c r="I20" s="17">
        <f>'MERCADO TUSD'!$U$17</f>
        <v>750849</v>
      </c>
      <c r="J20" s="15"/>
      <c r="L20" s="12">
        <f>('TUSD BE'!$L$20+'TUSD BF'!$L$20+'TUSD CVA'!$L$20)*1</f>
        <v>0</v>
      </c>
      <c r="M20" s="12">
        <f>('TUSD BE'!$M$20+'TUSD BF'!$M$20+'TUSD CVA'!$M$20)*1</f>
        <v>0</v>
      </c>
      <c r="N20" s="12">
        <f ca="1">('TUSD BE'!$N$20+'TUSD BF'!$N$20+'TUSD CVA'!$N$20)*1</f>
        <v>0</v>
      </c>
      <c r="O20" s="12">
        <f>('TUSD BE'!$O$20+'TUSD BF'!$O$20+'TUSD CVA'!$O$20)*1</f>
        <v>0</v>
      </c>
      <c r="P20" s="12">
        <f>('TUSD BE'!$P$20+'TUSD BF'!$P$20+'TUSD CVA'!$P$20)*1</f>
        <v>0</v>
      </c>
      <c r="Q20" s="12">
        <f>('TUSD BE'!$Q$20+'TUSD BF'!$Q$20+'TUSD CVA'!$Q$20)*1</f>
        <v>0</v>
      </c>
      <c r="R20" s="12">
        <f>('TUSD BE'!$R$20+'TUSD BF'!$R$20+'TUSD CVA'!$R$20)*1</f>
        <v>0</v>
      </c>
      <c r="S20" s="12">
        <f>('TUSD BE'!$S$20+'TUSD BF'!$S$20+'TUSD CVA'!$S$20)*1</f>
        <v>0</v>
      </c>
      <c r="T20" s="12">
        <f>('TUSD BE'!$U$20+'TUSD BF'!$U$20+'TUSD CVA'!$U$20)*1</f>
        <v>3.9061011401297741</v>
      </c>
      <c r="U20" s="12">
        <f>('TUSD BE'!$V$20+'TUSD BF'!$V$20+'TUSD CVA'!$V$20)*1</f>
        <v>1.0717835611564328</v>
      </c>
      <c r="V20" s="12">
        <f>('TUSD BE'!$W$20+'TUSD BF'!$W$20+'TUSD CVA'!$W$20)*1</f>
        <v>8.8624231806904999E-2</v>
      </c>
      <c r="W20" s="12">
        <f>('TUSD BE'!$X$20+'TUSD BF'!$X$20+'TUSD CVA'!$X$20)*1</f>
        <v>0</v>
      </c>
      <c r="X20" s="12">
        <f>('TUSD BE'!$Y$20+'TUSD BF'!$Y$20+'TUSD CVA'!$Y$20)*1</f>
        <v>2.3614276723576766</v>
      </c>
      <c r="Y20" s="12">
        <f>('TUSD BE'!$Z$20+'TUSD BF'!$Z$20+'TUSD CVA'!$Z$20)*1</f>
        <v>0</v>
      </c>
      <c r="Z20" s="12">
        <f>('TUSD BE'!$AA$20+'TUSD BF'!$AA$20+'TUSD CVA'!$AA$20)*1</f>
        <v>0</v>
      </c>
      <c r="AA20" s="12">
        <f>('TUSD BE'!$AC$20+'TUSD BF'!$AC$20+'TUSD CVA'!$AC$20)*1</f>
        <v>12.069619923482694</v>
      </c>
      <c r="AB20" s="12">
        <f ca="1">('TUSD BE'!$AE$20+'TUSD BF'!$AE$20+'TUSD CVA'!$AE$20)*1</f>
        <v>-1.6407139614850279</v>
      </c>
      <c r="AC20" s="12">
        <f ca="1">('TUSD BE'!$AF$20+'TUSD BF'!$AF$20+'TUSD CVA'!$AF$20)*1</f>
        <v>0</v>
      </c>
      <c r="AD20" s="12">
        <f>('TUSD BE'!$AH$20+'TUSD BF'!$AH$20+'TUSD CVA'!$AH$20)*1</f>
        <v>0</v>
      </c>
      <c r="AE20" s="12">
        <f>('TUSD BE'!$AI$20+'TUSD BF'!$AI$20+'TUSD CVA'!$AI$20)*1</f>
        <v>0</v>
      </c>
      <c r="AF20" s="12">
        <f ca="1">('TUSD BE'!$AJ$20+'TUSD BF'!$AJ$20+'TUSD CVA'!$AJ$20)*1</f>
        <v>0</v>
      </c>
      <c r="AG20" s="12">
        <f ca="1">('TUSD BE'!$AK$20+'TUSD BF'!$AK$20+'TUSD CVA'!$AK$20)*1</f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3.9708137314907099</v>
      </c>
      <c r="AR20" s="12">
        <v>1.4707057829185599</v>
      </c>
      <c r="AS20" s="12">
        <v>0.11763741115114699</v>
      </c>
      <c r="AT20" s="12">
        <v>0</v>
      </c>
      <c r="AU20" s="12">
        <v>2.6911463950030199</v>
      </c>
      <c r="AV20" s="12">
        <v>0</v>
      </c>
      <c r="AW20" s="12">
        <v>0</v>
      </c>
      <c r="AX20" s="12">
        <v>10.228728295986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</row>
    <row r="21" spans="1:56" ht="11.25" customHeight="1" x14ac:dyDescent="0.25">
      <c r="A21" s="106"/>
      <c r="B21" s="106"/>
      <c r="C21" s="106"/>
      <c r="D21" s="106"/>
      <c r="E21" s="106"/>
      <c r="F21" s="106"/>
      <c r="G21" s="17" t="s">
        <v>79</v>
      </c>
      <c r="H21" s="17" t="s">
        <v>78</v>
      </c>
      <c r="I21" s="17">
        <f>'MERCADO TUSD'!$U$18</f>
        <v>10300.001999999999</v>
      </c>
      <c r="J21" s="15"/>
      <c r="L21" s="12">
        <f>('TUSD BE'!$L$21+'TUSD BF'!$L$21+'TUSD CVA'!$L$21)*1</f>
        <v>1.6431015686479897</v>
      </c>
      <c r="M21" s="12">
        <f>('TUSD BE'!$M$21+'TUSD BF'!$M$21+'TUSD CVA'!$M$21)*1</f>
        <v>0.39528505121616281</v>
      </c>
      <c r="N21" s="12">
        <f ca="1">('TUSD BE'!$N$21+'TUSD BF'!$N$21+'TUSD CVA'!$N$21)*1</f>
        <v>10.04527399295986</v>
      </c>
      <c r="O21" s="12">
        <f>('TUSD BE'!$O$21+'TUSD BF'!$O$21+'TUSD CVA'!$O$21)*1</f>
        <v>3.7615096723935967E-2</v>
      </c>
      <c r="P21" s="12">
        <f>('TUSD BE'!$P$21+'TUSD BF'!$P$21+'TUSD CVA'!$P$21)*1</f>
        <v>0</v>
      </c>
      <c r="Q21" s="12">
        <f>('TUSD BE'!$Q$21+'TUSD BF'!$Q$21+'TUSD CVA'!$Q$21)*1</f>
        <v>29.368713178502496</v>
      </c>
      <c r="R21" s="12">
        <f>('TUSD BE'!$R$21+'TUSD BF'!$R$21+'TUSD CVA'!$R$21)*1</f>
        <v>14.427520425441489</v>
      </c>
      <c r="S21" s="12">
        <f>('TUSD BE'!$S$21+'TUSD BF'!$S$21+'TUSD CVA'!$S$21)*1</f>
        <v>0</v>
      </c>
      <c r="T21" s="12">
        <f>('TUSD BE'!$U$21+'TUSD BF'!$U$21+'TUSD CVA'!$U$21)*1</f>
        <v>125.47312917685942</v>
      </c>
      <c r="U21" s="12">
        <f>('TUSD BE'!$V$21+'TUSD BF'!$V$21+'TUSD CVA'!$V$21)*1</f>
        <v>34.050289036172792</v>
      </c>
      <c r="V21" s="12">
        <f>('TUSD BE'!$W$21+'TUSD BF'!$W$21+'TUSD CVA'!$W$21)*1</f>
        <v>2.923730074172687</v>
      </c>
      <c r="W21" s="12">
        <f>('TUSD BE'!$X$21+'TUSD BF'!$X$21+'TUSD CVA'!$X$21)*1</f>
        <v>0</v>
      </c>
      <c r="X21" s="12">
        <f>('TUSD BE'!$Y$21+'TUSD BF'!$Y$21+'TUSD CVA'!$Y$21)*1</f>
        <v>151.06903277969289</v>
      </c>
      <c r="Y21" s="12">
        <f>('TUSD BE'!$Z$21+'TUSD BF'!$Z$21+'TUSD CVA'!$Z$21)*1</f>
        <v>0</v>
      </c>
      <c r="Z21" s="12">
        <f>('TUSD BE'!$AA$21+'TUSD BF'!$AA$21+'TUSD CVA'!$AA$21)*1</f>
        <v>0</v>
      </c>
      <c r="AA21" s="12">
        <f>('TUSD BE'!$AC$21+'TUSD BF'!$AC$21+'TUSD CVA'!$AC$21)*1</f>
        <v>637.00588280632917</v>
      </c>
      <c r="AB21" s="12">
        <f ca="1">('TUSD BE'!$AE$21+'TUSD BF'!$AE$21+'TUSD CVA'!$AE$21)*1</f>
        <v>-85.894407351867869</v>
      </c>
      <c r="AC21" s="12">
        <f ca="1">('TUSD BE'!$AF$21+'TUSD BF'!$AF$21+'TUSD CVA'!$AF$21)*1</f>
        <v>0</v>
      </c>
      <c r="AD21" s="12">
        <f>('TUSD BE'!$AH$21+'TUSD BF'!$AH$21+'TUSD CVA'!$AH$21)*1</f>
        <v>6.1329374262826244</v>
      </c>
      <c r="AE21" s="12">
        <f>('TUSD BE'!$AI$21+'TUSD BF'!$AI$21+'TUSD CVA'!$AI$21)*1</f>
        <v>0.14459792301231986</v>
      </c>
      <c r="AF21" s="12">
        <f ca="1">('TUSD BE'!$AJ$21+'TUSD BF'!$AJ$21+'TUSD CVA'!$AJ$21)*1</f>
        <v>2.0483212452394377</v>
      </c>
      <c r="AG21" s="12">
        <f ca="1">('TUSD BE'!$AK$21+'TUSD BF'!$AK$21+'TUSD CVA'!$AK$21)*1</f>
        <v>0</v>
      </c>
      <c r="AI21" s="12">
        <v>0</v>
      </c>
      <c r="AJ21" s="12">
        <v>0.35476160262858702</v>
      </c>
      <c r="AK21" s="12">
        <v>10.1981202998683</v>
      </c>
      <c r="AL21" s="12">
        <v>4.6353452504891701E-2</v>
      </c>
      <c r="AM21" s="12">
        <v>0</v>
      </c>
      <c r="AN21" s="12">
        <v>24.405692630863701</v>
      </c>
      <c r="AO21" s="12">
        <v>9.5704209868042103</v>
      </c>
      <c r="AP21" s="12">
        <v>0</v>
      </c>
      <c r="AQ21" s="12">
        <v>127.551849374803</v>
      </c>
      <c r="AR21" s="12">
        <v>46.723945776435201</v>
      </c>
      <c r="AS21" s="12">
        <v>3.88088031701988</v>
      </c>
      <c r="AT21" s="12">
        <v>0</v>
      </c>
      <c r="AU21" s="12">
        <v>172.162326934943</v>
      </c>
      <c r="AV21" s="12">
        <v>0</v>
      </c>
      <c r="AW21" s="12">
        <v>0</v>
      </c>
      <c r="AX21" s="12">
        <v>539.84799351415904</v>
      </c>
      <c r="AY21" s="12">
        <v>0</v>
      </c>
      <c r="AZ21" s="12">
        <v>0</v>
      </c>
      <c r="BA21" s="12">
        <v>5.6239835794638502</v>
      </c>
      <c r="BB21" s="12">
        <v>0.137481965134441</v>
      </c>
      <c r="BC21" s="12">
        <v>1.89792292775147</v>
      </c>
      <c r="BD21" s="12">
        <v>0</v>
      </c>
    </row>
    <row r="22" spans="1:56" ht="11.25" customHeight="1" x14ac:dyDescent="0.25">
      <c r="A22" s="106"/>
      <c r="B22" s="106"/>
      <c r="C22" s="106"/>
      <c r="D22" s="106"/>
      <c r="E22" s="106"/>
      <c r="F22" s="106"/>
      <c r="G22" s="17" t="s">
        <v>80</v>
      </c>
      <c r="H22" s="17" t="s">
        <v>78</v>
      </c>
      <c r="I22" s="17">
        <f>'MERCADO TUSD'!$U$19</f>
        <v>146148.57</v>
      </c>
      <c r="J22" s="15"/>
      <c r="L22" s="12">
        <f>('TUSD BE'!$L$22+'TUSD BF'!$L$22+'TUSD CVA'!$L$22)*1</f>
        <v>1.6431015686479897</v>
      </c>
      <c r="M22" s="12">
        <f>('TUSD BE'!$M$22+'TUSD BF'!$M$22+'TUSD CVA'!$M$22)*1</f>
        <v>0.39528505121616281</v>
      </c>
      <c r="N22" s="12">
        <f ca="1">('TUSD BE'!$N$22+'TUSD BF'!$N$22+'TUSD CVA'!$N$22)*1</f>
        <v>0.19225909901201535</v>
      </c>
      <c r="O22" s="12">
        <f>('TUSD BE'!$O$22+'TUSD BF'!$O$22+'TUSD CVA'!$O$22)*1</f>
        <v>3.7615096723935967E-2</v>
      </c>
      <c r="P22" s="12">
        <f>('TUSD BE'!$P$22+'TUSD BF'!$P$22+'TUSD CVA'!$P$22)*1</f>
        <v>0</v>
      </c>
      <c r="Q22" s="12">
        <f>('TUSD BE'!$Q$22+'TUSD BF'!$Q$22+'TUSD CVA'!$Q$22)*1</f>
        <v>29.368713178502496</v>
      </c>
      <c r="R22" s="12">
        <f>('TUSD BE'!$R$22+'TUSD BF'!$R$22+'TUSD CVA'!$R$22)*1</f>
        <v>14.427520425441489</v>
      </c>
      <c r="S22" s="12">
        <f>('TUSD BE'!$S$22+'TUSD BF'!$S$22+'TUSD CVA'!$S$22)*1</f>
        <v>0</v>
      </c>
      <c r="T22" s="12">
        <f>('TUSD BE'!$U$22+'TUSD BF'!$U$22+'TUSD CVA'!$U$22)*1</f>
        <v>0</v>
      </c>
      <c r="U22" s="12">
        <f>('TUSD BE'!$V$22+'TUSD BF'!$V$22+'TUSD CVA'!$V$22)*1</f>
        <v>0</v>
      </c>
      <c r="V22" s="12">
        <f>('TUSD BE'!$W$22+'TUSD BF'!$W$22+'TUSD CVA'!$W$22)*1</f>
        <v>0</v>
      </c>
      <c r="W22" s="12">
        <f>('TUSD BE'!$X$22+'TUSD BF'!$X$22+'TUSD CVA'!$X$22)*1</f>
        <v>0</v>
      </c>
      <c r="X22" s="12">
        <f>('TUSD BE'!$Y$22+'TUSD BF'!$Y$22+'TUSD CVA'!$Y$22)*1</f>
        <v>0</v>
      </c>
      <c r="Y22" s="12">
        <f>('TUSD BE'!$Z$22+'TUSD BF'!$Z$22+'TUSD CVA'!$Z$22)*1</f>
        <v>0</v>
      </c>
      <c r="Z22" s="12">
        <f>('TUSD BE'!$AA$22+'TUSD BF'!$AA$22+'TUSD CVA'!$AA$22)*1</f>
        <v>0</v>
      </c>
      <c r="AA22" s="12">
        <f>('TUSD BE'!$AC$22+'TUSD BF'!$AC$22+'TUSD CVA'!$AC$22)*1</f>
        <v>0</v>
      </c>
      <c r="AB22" s="12">
        <f ca="1">('TUSD BE'!$AE$22+'TUSD BF'!$AE$22+'TUSD CVA'!$AE$22)*1</f>
        <v>-4.6033099922216865</v>
      </c>
      <c r="AC22" s="12">
        <f ca="1">('TUSD BE'!$AF$22+'TUSD BF'!$AF$22+'TUSD CVA'!$AF$22)*1</f>
        <v>0</v>
      </c>
      <c r="AD22" s="12">
        <f>('TUSD BE'!$AH$22+'TUSD BF'!$AH$22+'TUSD CVA'!$AH$22)*1</f>
        <v>6.1329374262826244</v>
      </c>
      <c r="AE22" s="12">
        <f>('TUSD BE'!$AI$22+'TUSD BF'!$AI$22+'TUSD CVA'!$AI$22)*1</f>
        <v>0.14459792301231986</v>
      </c>
      <c r="AF22" s="12">
        <f ca="1">('TUSD BE'!$AJ$22+'TUSD BF'!$AJ$22+'TUSD CVA'!$AJ$22)*1</f>
        <v>2.0483212452394377</v>
      </c>
      <c r="AG22" s="12">
        <f ca="1">('TUSD BE'!$AK$22+'TUSD BF'!$AK$22+'TUSD CVA'!$AK$22)*1</f>
        <v>0</v>
      </c>
      <c r="AI22" s="12">
        <v>0</v>
      </c>
      <c r="AJ22" s="12">
        <v>0.35476160262858702</v>
      </c>
      <c r="AK22" s="12">
        <v>0.20628254825529099</v>
      </c>
      <c r="AL22" s="12">
        <v>4.6353452504891701E-2</v>
      </c>
      <c r="AM22" s="12">
        <v>0</v>
      </c>
      <c r="AN22" s="12">
        <v>24.405692630863701</v>
      </c>
      <c r="AO22" s="12">
        <v>9.5704209868042103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5.6239835794638502</v>
      </c>
      <c r="BB22" s="12">
        <v>0.137481965134441</v>
      </c>
      <c r="BC22" s="12">
        <v>1.89792292775147</v>
      </c>
      <c r="BD22" s="12">
        <v>0</v>
      </c>
    </row>
    <row r="23" spans="1:56" ht="11.25" customHeight="1" x14ac:dyDescent="0.25">
      <c r="A23" s="106"/>
      <c r="B23" s="106"/>
      <c r="C23" s="106"/>
      <c r="D23" s="106"/>
      <c r="E23" s="106" t="s">
        <v>85</v>
      </c>
      <c r="F23" s="106" t="s">
        <v>25</v>
      </c>
      <c r="G23" s="17" t="s">
        <v>79</v>
      </c>
      <c r="H23" s="17" t="s">
        <v>78</v>
      </c>
      <c r="I23" s="17">
        <f>'MERCADO TUSD'!$U$20</f>
        <v>0</v>
      </c>
      <c r="J23" s="15"/>
      <c r="L23" s="12">
        <f>('TUSD BE'!$L$23+'TUSD BF'!$L$23+'TUSD CVA'!$L$23)*1</f>
        <v>0</v>
      </c>
      <c r="M23" s="12">
        <f>('TUSD BE'!$M$23+'TUSD BF'!$M$23+'TUSD CVA'!$M$23)*1</f>
        <v>0.39528505121616281</v>
      </c>
      <c r="N23" s="12">
        <f ca="1">('TUSD BE'!$N$23+'TUSD BF'!$N$23+'TUSD CVA'!$N$23)*1</f>
        <v>10.033562125788482</v>
      </c>
      <c r="O23" s="12">
        <f>('TUSD BE'!$O$23+'TUSD BF'!$O$23+'TUSD CVA'!$O$23)*1</f>
        <v>3.7615096723935967E-2</v>
      </c>
      <c r="P23" s="12">
        <f>('TUSD BE'!$P$23+'TUSD BF'!$P$23+'TUSD CVA'!$P$23)*1</f>
        <v>0</v>
      </c>
      <c r="Q23" s="12">
        <f>('TUSD BE'!$Q$23+'TUSD BF'!$Q$23+'TUSD CVA'!$Q$23)*1</f>
        <v>0</v>
      </c>
      <c r="R23" s="12">
        <f>('TUSD BE'!$R$23+'TUSD BF'!$R$23+'TUSD CVA'!$R$23)*1</f>
        <v>0</v>
      </c>
      <c r="S23" s="12">
        <f>('TUSD BE'!$S$23+'TUSD BF'!$S$23+'TUSD CVA'!$S$23)*1</f>
        <v>0</v>
      </c>
      <c r="T23" s="12">
        <f>('TUSD BE'!$U$23+'TUSD BF'!$U$23+'TUSD CVA'!$U$23)*1</f>
        <v>125.47312917685942</v>
      </c>
      <c r="U23" s="12">
        <f>('TUSD BE'!$V$23+'TUSD BF'!$V$23+'TUSD CVA'!$V$23)*1</f>
        <v>34.050289036172792</v>
      </c>
      <c r="V23" s="12">
        <f>('TUSD BE'!$W$23+'TUSD BF'!$W$23+'TUSD CVA'!$W$23)*1</f>
        <v>2.923730074172687</v>
      </c>
      <c r="W23" s="12">
        <f>('TUSD BE'!$X$23+'TUSD BF'!$X$23+'TUSD CVA'!$X$23)*1</f>
        <v>0</v>
      </c>
      <c r="X23" s="12">
        <f>('TUSD BE'!$Y$23+'TUSD BF'!$Y$23+'TUSD CVA'!$Y$23)*1</f>
        <v>151.06903277969289</v>
      </c>
      <c r="Y23" s="12">
        <f>('TUSD BE'!$Z$23+'TUSD BF'!$Z$23+'TUSD CVA'!$Z$23)*1</f>
        <v>0</v>
      </c>
      <c r="Z23" s="12">
        <f>('TUSD BE'!$AA$23+'TUSD BF'!$AA$23+'TUSD CVA'!$AA$23)*1</f>
        <v>0</v>
      </c>
      <c r="AA23" s="12">
        <f>('TUSD BE'!$AC$23+'TUSD BF'!$AC$23+'TUSD CVA'!$AC$23)*1</f>
        <v>637.00588280632917</v>
      </c>
      <c r="AB23" s="12">
        <f ca="1">('TUSD BE'!$AE$23+'TUSD BF'!$AE$23+'TUSD CVA'!$AE$23)*1</f>
        <v>-81.980733134960019</v>
      </c>
      <c r="AC23" s="12">
        <f ca="1">('TUSD BE'!$AF$23+'TUSD BF'!$AF$23+'TUSD CVA'!$AF$23)*1</f>
        <v>0</v>
      </c>
      <c r="AD23" s="12">
        <f>('TUSD BE'!$AH$23+'TUSD BF'!$AH$23+'TUSD CVA'!$AH$23)*1</f>
        <v>6.1329374262826244</v>
      </c>
      <c r="AE23" s="12">
        <f>('TUSD BE'!$AI$23+'TUSD BF'!$AI$23+'TUSD CVA'!$AI$23)*1</f>
        <v>0.14459792301231986</v>
      </c>
      <c r="AF23" s="12">
        <f ca="1">('TUSD BE'!$AJ$23+'TUSD BF'!$AJ$23+'TUSD CVA'!$AJ$23)*1</f>
        <v>2.0483212452394377</v>
      </c>
      <c r="AG23" s="12">
        <f ca="1">('TUSD BE'!$AK$23+'TUSD BF'!$AK$23+'TUSD CVA'!$AK$23)*1</f>
        <v>0</v>
      </c>
      <c r="AI23" s="12">
        <v>0</v>
      </c>
      <c r="AJ23" s="12">
        <v>0.35476160262858702</v>
      </c>
      <c r="AK23" s="12">
        <v>10.185544779759599</v>
      </c>
      <c r="AL23" s="12">
        <v>4.6353452504891701E-2</v>
      </c>
      <c r="AM23" s="12">
        <v>0</v>
      </c>
      <c r="AN23" s="12">
        <v>0</v>
      </c>
      <c r="AO23" s="12">
        <v>0</v>
      </c>
      <c r="AP23" s="12">
        <v>0</v>
      </c>
      <c r="AQ23" s="12">
        <v>127.551849374803</v>
      </c>
      <c r="AR23" s="12">
        <v>46.723945776435201</v>
      </c>
      <c r="AS23" s="12">
        <v>3.88088031701988</v>
      </c>
      <c r="AT23" s="12">
        <v>0</v>
      </c>
      <c r="AU23" s="12">
        <v>172.162326934943</v>
      </c>
      <c r="AV23" s="12">
        <v>0</v>
      </c>
      <c r="AW23" s="12">
        <v>0</v>
      </c>
      <c r="AX23" s="12">
        <v>539.84799351415904</v>
      </c>
      <c r="AY23" s="12">
        <v>0</v>
      </c>
      <c r="AZ23" s="12">
        <v>0</v>
      </c>
      <c r="BA23" s="12">
        <v>5.6239835794638502</v>
      </c>
      <c r="BB23" s="12">
        <v>0.137481965134441</v>
      </c>
      <c r="BC23" s="12">
        <v>1.89792292775147</v>
      </c>
      <c r="BD23" s="12">
        <v>0</v>
      </c>
    </row>
    <row r="24" spans="1:56" ht="11.25" customHeight="1" x14ac:dyDescent="0.25">
      <c r="A24" s="106"/>
      <c r="B24" s="106"/>
      <c r="C24" s="106"/>
      <c r="D24" s="106"/>
      <c r="E24" s="106"/>
      <c r="F24" s="106"/>
      <c r="G24" s="17" t="s">
        <v>80</v>
      </c>
      <c r="H24" s="17" t="s">
        <v>78</v>
      </c>
      <c r="I24" s="17">
        <f>'MERCADO TUSD'!$U$21</f>
        <v>0</v>
      </c>
      <c r="J24" s="15"/>
      <c r="L24" s="12">
        <f>('TUSD BE'!$L$24+'TUSD BF'!$L$24+'TUSD CVA'!$L$24)*1</f>
        <v>0</v>
      </c>
      <c r="M24" s="12">
        <f>('TUSD BE'!$M$24+'TUSD BF'!$M$24+'TUSD CVA'!$M$24)*1</f>
        <v>0.39528505121616281</v>
      </c>
      <c r="N24" s="12">
        <f ca="1">('TUSD BE'!$N$24+'TUSD BF'!$N$24+'TUSD CVA'!$N$24)*1</f>
        <v>0.18054723184063984</v>
      </c>
      <c r="O24" s="12">
        <f>('TUSD BE'!$O$24+'TUSD BF'!$O$24+'TUSD CVA'!$O$24)*1</f>
        <v>3.7615096723935967E-2</v>
      </c>
      <c r="P24" s="12">
        <f>('TUSD BE'!$P$24+'TUSD BF'!$P$24+'TUSD CVA'!$P$24)*1</f>
        <v>0</v>
      </c>
      <c r="Q24" s="12">
        <f>('TUSD BE'!$Q$24+'TUSD BF'!$Q$24+'TUSD CVA'!$Q$24)*1</f>
        <v>0</v>
      </c>
      <c r="R24" s="12">
        <f>('TUSD BE'!$R$24+'TUSD BF'!$R$24+'TUSD CVA'!$R$24)*1</f>
        <v>0</v>
      </c>
      <c r="S24" s="12">
        <f>('TUSD BE'!$S$24+'TUSD BF'!$S$24+'TUSD CVA'!$S$24)*1</f>
        <v>0</v>
      </c>
      <c r="T24" s="12">
        <f>('TUSD BE'!$U$24+'TUSD BF'!$U$24+'TUSD CVA'!$U$24)*1</f>
        <v>0</v>
      </c>
      <c r="U24" s="12">
        <f>('TUSD BE'!$V$24+'TUSD BF'!$V$24+'TUSD CVA'!$V$24)*1</f>
        <v>0</v>
      </c>
      <c r="V24" s="12">
        <f>('TUSD BE'!$W$24+'TUSD BF'!$W$24+'TUSD CVA'!$W$24)*1</f>
        <v>0</v>
      </c>
      <c r="W24" s="12">
        <f>('TUSD BE'!$X$24+'TUSD BF'!$X$24+'TUSD CVA'!$X$24)*1</f>
        <v>0</v>
      </c>
      <c r="X24" s="12">
        <f>('TUSD BE'!$Y$24+'TUSD BF'!$Y$24+'TUSD CVA'!$Y$24)*1</f>
        <v>0</v>
      </c>
      <c r="Y24" s="12">
        <f>('TUSD BE'!$Z$24+'TUSD BF'!$Z$24+'TUSD CVA'!$Z$24)*1</f>
        <v>0</v>
      </c>
      <c r="Z24" s="12">
        <f>('TUSD BE'!$AA$24+'TUSD BF'!$AA$24+'TUSD CVA'!$AA$24)*1</f>
        <v>0</v>
      </c>
      <c r="AA24" s="12">
        <f>('TUSD BE'!$AC$24+'TUSD BF'!$AC$24+'TUSD CVA'!$AC$24)*1</f>
        <v>0</v>
      </c>
      <c r="AB24" s="12">
        <f ca="1">('TUSD BE'!$AE$24+'TUSD BF'!$AE$24+'TUSD CVA'!$AE$24)*1</f>
        <v>-0.68963577531382947</v>
      </c>
      <c r="AC24" s="12">
        <f ca="1">('TUSD BE'!$AF$24+'TUSD BF'!$AF$24+'TUSD CVA'!$AF$24)*1</f>
        <v>0</v>
      </c>
      <c r="AD24" s="12">
        <f>('TUSD BE'!$AH$24+'TUSD BF'!$AH$24+'TUSD CVA'!$AH$24)*1</f>
        <v>6.1329374262826244</v>
      </c>
      <c r="AE24" s="12">
        <f>('TUSD BE'!$AI$24+'TUSD BF'!$AI$24+'TUSD CVA'!$AI$24)*1</f>
        <v>0.14459792301231986</v>
      </c>
      <c r="AF24" s="12">
        <f ca="1">('TUSD BE'!$AJ$24+'TUSD BF'!$AJ$24+'TUSD CVA'!$AJ$24)*1</f>
        <v>2.0483212452394377</v>
      </c>
      <c r="AG24" s="12">
        <f ca="1">('TUSD BE'!$AK$24+'TUSD BF'!$AK$24+'TUSD CVA'!$AK$24)*1</f>
        <v>0</v>
      </c>
      <c r="AI24" s="12">
        <v>0</v>
      </c>
      <c r="AJ24" s="12">
        <v>0.35476160262858702</v>
      </c>
      <c r="AK24" s="12">
        <v>0.19370702814662599</v>
      </c>
      <c r="AL24" s="12">
        <v>4.6353452504891701E-2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5.6239835794638502</v>
      </c>
      <c r="BB24" s="12">
        <v>0.137481965134441</v>
      </c>
      <c r="BC24" s="12">
        <v>1.89792292775147</v>
      </c>
      <c r="BD24" s="12">
        <v>0</v>
      </c>
    </row>
    <row r="25" spans="1:56" ht="11.25" customHeight="1" x14ac:dyDescent="0.25">
      <c r="A25" s="106" t="s">
        <v>88</v>
      </c>
      <c r="B25" s="106" t="s">
        <v>87</v>
      </c>
      <c r="C25" s="106" t="s">
        <v>25</v>
      </c>
      <c r="D25" s="106" t="s">
        <v>25</v>
      </c>
      <c r="E25" s="18" t="s">
        <v>89</v>
      </c>
      <c r="F25" s="18" t="s">
        <v>25</v>
      </c>
      <c r="G25" s="17" t="s">
        <v>9</v>
      </c>
      <c r="H25" s="17" t="s">
        <v>81</v>
      </c>
      <c r="I25" s="17">
        <f>'MERCADO TUSD'!$U$22+0.00000001</f>
        <v>1E-8</v>
      </c>
      <c r="J25" s="15"/>
      <c r="L25" s="12">
        <f>('TUSD BE'!$L$25+'TUSD BF'!$L$25+'TUSD CVA'!$L$25)*1</f>
        <v>0</v>
      </c>
      <c r="M25" s="12">
        <f>('TUSD BE'!$M$25+'TUSD BF'!$M$25+'TUSD CVA'!$M$25)*1</f>
        <v>3.4970919596195221E-2</v>
      </c>
      <c r="N25" s="12">
        <f ca="1">('TUSD BE'!$N$25+'TUSD BF'!$N$25+'TUSD CVA'!$N$25)*1</f>
        <v>0.10329866845153206</v>
      </c>
      <c r="O25" s="12">
        <f>('TUSD BE'!$O$25+'TUSD BF'!$O$25+'TUSD CVA'!$O$25)*1</f>
        <v>0</v>
      </c>
      <c r="P25" s="12">
        <f>('TUSD BE'!$P$25+'TUSD BF'!$P$25+'TUSD CVA'!$P$25)*1</f>
        <v>0</v>
      </c>
      <c r="Q25" s="12">
        <f>('TUSD BE'!$Q$25+'TUSD BF'!$Q$25+'TUSD CVA'!$Q$25)*1</f>
        <v>0</v>
      </c>
      <c r="R25" s="12">
        <f>('TUSD BE'!$R$25+'TUSD BF'!$R$25+'TUSD CVA'!$R$25)*1</f>
        <v>0</v>
      </c>
      <c r="S25" s="12">
        <f>('TUSD BE'!$S$25+'TUSD BF'!$S$25+'TUSD CVA'!$S$25)*1</f>
        <v>0</v>
      </c>
      <c r="T25" s="12">
        <f>('TUSD BE'!$U$25+'TUSD BF'!$U$25+'TUSD CVA'!$U$25)*1</f>
        <v>0</v>
      </c>
      <c r="U25" s="12">
        <f>('TUSD BE'!$V$25+'TUSD BF'!$V$25+'TUSD CVA'!$V$25)*1</f>
        <v>0</v>
      </c>
      <c r="V25" s="12">
        <f>('TUSD BE'!$W$25+'TUSD BF'!$W$25+'TUSD CVA'!$W$25)*1</f>
        <v>0</v>
      </c>
      <c r="W25" s="12">
        <f>('TUSD BE'!$X$25+'TUSD BF'!$X$25+'TUSD CVA'!$X$25)*1</f>
        <v>0</v>
      </c>
      <c r="X25" s="12">
        <f>('TUSD BE'!$Y$25+'TUSD BF'!$Y$25+'TUSD CVA'!$Y$25)*1</f>
        <v>0</v>
      </c>
      <c r="Y25" s="12">
        <f>('TUSD BE'!$Z$25+'TUSD BF'!$Z$25+'TUSD CVA'!$Z$25)*1</f>
        <v>0</v>
      </c>
      <c r="Z25" s="12">
        <f>('TUSD BE'!$AA$25+'TUSD BF'!$AA$25+'TUSD CVA'!$AA$25)*1</f>
        <v>0</v>
      </c>
      <c r="AA25" s="12">
        <f>('TUSD BE'!$AC$25+'TUSD BF'!$AC$25+'TUSD CVA'!$AC$25)*1</f>
        <v>10.399485622708516</v>
      </c>
      <c r="AB25" s="12">
        <f ca="1">('TUSD BE'!$AE$25+'TUSD BF'!$AE$25+'TUSD CVA'!$AE$25)*1</f>
        <v>-0.89885634371447098</v>
      </c>
      <c r="AC25" s="12">
        <f ca="1">('TUSD BE'!$AF$25+'TUSD BF'!$AF$25+'TUSD CVA'!$AF$25)*1</f>
        <v>0</v>
      </c>
      <c r="AD25" s="12">
        <f>('TUSD BE'!$AH$25+'TUSD BF'!$AH$25+'TUSD CVA'!$AH$25)*1</f>
        <v>0</v>
      </c>
      <c r="AE25" s="12">
        <f>('TUSD BE'!$AI$25+'TUSD BF'!$AI$25+'TUSD CVA'!$AI$25)*1</f>
        <v>0</v>
      </c>
      <c r="AF25" s="12">
        <f ca="1">('TUSD BE'!$AJ$25+'TUSD BF'!$AJ$25+'TUSD CVA'!$AJ$25)*1</f>
        <v>0</v>
      </c>
      <c r="AG25" s="12">
        <f ca="1">('TUSD BE'!$AK$25+'TUSD BF'!$AK$25+'TUSD CVA'!$AK$25)*1</f>
        <v>0</v>
      </c>
      <c r="AI25" s="12">
        <v>0</v>
      </c>
      <c r="AJ25" s="12">
        <v>3.6191393063027301E-2</v>
      </c>
      <c r="AK25" s="12">
        <v>0.11091608735842499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9.3317585001568304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</row>
    <row r="26" spans="1:56" ht="11.25" customHeight="1" x14ac:dyDescent="0.25">
      <c r="A26" s="106"/>
      <c r="B26" s="106"/>
      <c r="C26" s="106"/>
      <c r="D26" s="106"/>
      <c r="E26" s="18" t="s">
        <v>90</v>
      </c>
      <c r="F26" s="18" t="s">
        <v>25</v>
      </c>
      <c r="G26" s="17" t="s">
        <v>9</v>
      </c>
      <c r="H26" s="17" t="s">
        <v>81</v>
      </c>
      <c r="I26" s="17">
        <f>'MERCADO TUSD'!$U$23+0.00000001</f>
        <v>1E-8</v>
      </c>
      <c r="J26" s="15"/>
      <c r="L26" s="12">
        <f>('TUSD BE'!$L$26+'TUSD BF'!$L$26+'TUSD CVA'!$L$26)*1</f>
        <v>0</v>
      </c>
      <c r="M26" s="12">
        <f>('TUSD BE'!$M$26+'TUSD BF'!$M$26+'TUSD CVA'!$M$26)*1</f>
        <v>3.4970919596195221E-2</v>
      </c>
      <c r="N26" s="12">
        <f ca="1">('TUSD BE'!$N$26+'TUSD BF'!$N$26+'TUSD CVA'!$N$26)*1</f>
        <v>0.10329866845153206</v>
      </c>
      <c r="O26" s="12">
        <f>('TUSD BE'!$O$26+'TUSD BF'!$O$26+'TUSD CVA'!$O$26)*1</f>
        <v>0</v>
      </c>
      <c r="P26" s="12">
        <f>('TUSD BE'!$P$26+'TUSD BF'!$P$26+'TUSD CVA'!$P$26)*1</f>
        <v>0</v>
      </c>
      <c r="Q26" s="12">
        <f>('TUSD BE'!$Q$26+'TUSD BF'!$Q$26+'TUSD CVA'!$Q$26)*1</f>
        <v>0</v>
      </c>
      <c r="R26" s="12">
        <f>('TUSD BE'!$R$26+'TUSD BF'!$R$26+'TUSD CVA'!$R$26)*1</f>
        <v>0</v>
      </c>
      <c r="S26" s="12">
        <f>('TUSD BE'!$S$26+'TUSD BF'!$S$26+'TUSD CVA'!$S$26)*1</f>
        <v>0</v>
      </c>
      <c r="T26" s="12">
        <f>('TUSD BE'!$U$26+'TUSD BF'!$U$26+'TUSD CVA'!$U$26)*1</f>
        <v>0</v>
      </c>
      <c r="U26" s="12">
        <f>('TUSD BE'!$V$26+'TUSD BF'!$V$26+'TUSD CVA'!$V$26)*1</f>
        <v>0</v>
      </c>
      <c r="V26" s="12">
        <f>('TUSD BE'!$W$26+'TUSD BF'!$W$26+'TUSD CVA'!$W$26)*1</f>
        <v>0</v>
      </c>
      <c r="W26" s="12">
        <f>('TUSD BE'!$X$26+'TUSD BF'!$X$26+'TUSD CVA'!$X$26)*1</f>
        <v>0</v>
      </c>
      <c r="X26" s="12">
        <f>('TUSD BE'!$Y$26+'TUSD BF'!$Y$26+'TUSD CVA'!$Y$26)*1</f>
        <v>0</v>
      </c>
      <c r="Y26" s="12">
        <f>('TUSD BE'!$Z$26+'TUSD BF'!$Z$26+'TUSD CVA'!$Z$26)*1</f>
        <v>0</v>
      </c>
      <c r="Z26" s="12">
        <f>('TUSD BE'!$AA$26+'TUSD BF'!$AA$26+'TUSD CVA'!$AA$26)*1</f>
        <v>0</v>
      </c>
      <c r="AA26" s="12">
        <f>('TUSD BE'!$AC$26+'TUSD BF'!$AC$26+'TUSD CVA'!$AC$26)*1</f>
        <v>18.020683386998474</v>
      </c>
      <c r="AB26" s="12">
        <f ca="1">('TUSD BE'!$AE$26+'TUSD BF'!$AE$26+'TUSD CVA'!$AE$26)*1</f>
        <v>-1.5489144175054119</v>
      </c>
      <c r="AC26" s="12">
        <f ca="1">('TUSD BE'!$AF$26+'TUSD BF'!$AF$26+'TUSD CVA'!$AF$26)*1</f>
        <v>0</v>
      </c>
      <c r="AD26" s="12">
        <f>('TUSD BE'!$AH$26+'TUSD BF'!$AH$26+'TUSD CVA'!$AH$26)*1</f>
        <v>0</v>
      </c>
      <c r="AE26" s="12">
        <f>('TUSD BE'!$AI$26+'TUSD BF'!$AI$26+'TUSD CVA'!$AI$26)*1</f>
        <v>0</v>
      </c>
      <c r="AF26" s="12">
        <f ca="1">('TUSD BE'!$AJ$26+'TUSD BF'!$AJ$26+'TUSD CVA'!$AJ$26)*1</f>
        <v>0</v>
      </c>
      <c r="AG26" s="12">
        <f ca="1">('TUSD BE'!$AK$26+'TUSD BF'!$AK$26+'TUSD CVA'!$AK$26)*1</f>
        <v>0</v>
      </c>
      <c r="AI26" s="12">
        <v>0</v>
      </c>
      <c r="AJ26" s="12">
        <v>3.6191393063027301E-2</v>
      </c>
      <c r="AK26" s="12">
        <v>0.11091608735842499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16.170479144473301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</row>
    <row r="27" spans="1:56" ht="11.25" customHeight="1" x14ac:dyDescent="0.25">
      <c r="A27" s="106" t="s">
        <v>22</v>
      </c>
      <c r="B27" s="106" t="s">
        <v>33</v>
      </c>
      <c r="C27" s="106" t="s">
        <v>24</v>
      </c>
      <c r="D27" s="106" t="s">
        <v>24</v>
      </c>
      <c r="E27" s="106" t="s">
        <v>25</v>
      </c>
      <c r="F27" s="106" t="s">
        <v>25</v>
      </c>
      <c r="G27" s="17" t="s">
        <v>79</v>
      </c>
      <c r="H27" s="17" t="s">
        <v>78</v>
      </c>
      <c r="I27" s="17">
        <f>'MERCADO TUSD'!$U$24</f>
        <v>6.9259999999999993</v>
      </c>
      <c r="J27" s="15"/>
      <c r="L27" s="12">
        <f>('TUSD BE'!$L$27+'TUSD BF'!$L$27+'TUSD CVA'!$L$27)*1</f>
        <v>1.9560732960095115</v>
      </c>
      <c r="M27" s="12">
        <f>('TUSD BE'!$M$27+'TUSD BF'!$M$27+'TUSD CVA'!$M$27)*1</f>
        <v>0.78655281242721842</v>
      </c>
      <c r="N27" s="12">
        <f ca="1">('TUSD BE'!$N$27+'TUSD BF'!$N$27+'TUSD CVA'!$N$27)*1</f>
        <v>8.0993464530991996</v>
      </c>
      <c r="O27" s="12">
        <f>('TUSD BE'!$O$27+'TUSD BF'!$O$27+'TUSD CVA'!$O$27)*1</f>
        <v>3.7615096723935967E-2</v>
      </c>
      <c r="P27" s="12">
        <f>('TUSD BE'!$P$27+'TUSD BF'!$P$27+'TUSD CVA'!$P$27)*1</f>
        <v>0</v>
      </c>
      <c r="Q27" s="12">
        <f>('TUSD BE'!$Q$27+'TUSD BF'!$Q$27+'TUSD CVA'!$Q$27)*1</f>
        <v>34.962753783931547</v>
      </c>
      <c r="R27" s="12">
        <f>('TUSD BE'!$R$27+'TUSD BF'!$R$27+'TUSD CVA'!$R$27)*1</f>
        <v>14.427520425441489</v>
      </c>
      <c r="S27" s="12">
        <f>('TUSD BE'!$S$27+'TUSD BF'!$S$27+'TUSD CVA'!$S$27)*1</f>
        <v>0</v>
      </c>
      <c r="T27" s="12">
        <f>('TUSD BE'!$U$27+'TUSD BF'!$U$27+'TUSD CVA'!$U$27)*1</f>
        <v>57.729075716795649</v>
      </c>
      <c r="U27" s="12">
        <f>('TUSD BE'!$V$27+'TUSD BF'!$V$27+'TUSD CVA'!$V$27)*1</f>
        <v>15.741627187497272</v>
      </c>
      <c r="V27" s="12">
        <f>('TUSD BE'!$W$27+'TUSD BF'!$W$27+'TUSD CVA'!$W$27)*1</f>
        <v>1.3304504464225477</v>
      </c>
      <c r="W27" s="12">
        <f>('TUSD BE'!$X$27+'TUSD BF'!$X$27+'TUSD CVA'!$X$27)*1</f>
        <v>0</v>
      </c>
      <c r="X27" s="12">
        <f>('TUSD BE'!$Y$27+'TUSD BF'!$Y$27+'TUSD CVA'!$Y$27)*1</f>
        <v>55.532503564999637</v>
      </c>
      <c r="Y27" s="12">
        <f>('TUSD BE'!$Z$27+'TUSD BF'!$Z$27+'TUSD CVA'!$Z$27)*1</f>
        <v>0</v>
      </c>
      <c r="Z27" s="12">
        <f>('TUSD BE'!$AA$27+'TUSD BF'!$AA$27+'TUSD CVA'!$AA$27)*1</f>
        <v>0</v>
      </c>
      <c r="AA27" s="12">
        <f>('TUSD BE'!$AC$27+'TUSD BF'!$AC$27+'TUSD CVA'!$AC$27)*1</f>
        <v>622.25323703619529</v>
      </c>
      <c r="AB27" s="12">
        <f ca="1">('TUSD BE'!$AE$27+'TUSD BF'!$AE$27+'TUSD CVA'!$AE$27)*1</f>
        <v>-70.741346575960293</v>
      </c>
      <c r="AC27" s="12">
        <f ca="1">('TUSD BE'!$AF$27+'TUSD BF'!$AF$27+'TUSD CVA'!$AF$27)*1</f>
        <v>0</v>
      </c>
      <c r="AD27" s="12">
        <f>('TUSD BE'!$AH$27+'TUSD BF'!$AH$27+'TUSD CVA'!$AH$27)*1</f>
        <v>18.48270906488305</v>
      </c>
      <c r="AE27" s="12">
        <f>('TUSD BE'!$AI$27+'TUSD BF'!$AI$27+'TUSD CVA'!$AI$27)*1</f>
        <v>0.43577182623286492</v>
      </c>
      <c r="AF27" s="12">
        <f ca="1">('TUSD BE'!$AJ$27+'TUSD BF'!$AJ$27+'TUSD CVA'!$AJ$27)*1</f>
        <v>2.8976873425982257</v>
      </c>
      <c r="AG27" s="12">
        <f ca="1">('TUSD BE'!$AK$27+'TUSD BF'!$AK$27+'TUSD CVA'!$AK$27)*1</f>
        <v>0</v>
      </c>
      <c r="AI27" s="12">
        <v>0</v>
      </c>
      <c r="AJ27" s="12">
        <v>0.73563791871328599</v>
      </c>
      <c r="AK27" s="12">
        <v>8.6974388112913505</v>
      </c>
      <c r="AL27" s="12">
        <v>4.6353452504891701E-2</v>
      </c>
      <c r="AM27" s="12">
        <v>0</v>
      </c>
      <c r="AN27" s="12">
        <v>28.052520265360499</v>
      </c>
      <c r="AO27" s="12">
        <v>9.5704209868042103</v>
      </c>
      <c r="AP27" s="12">
        <v>0</v>
      </c>
      <c r="AQ27" s="12">
        <v>62.137563324969499</v>
      </c>
      <c r="AR27" s="12">
        <v>22.871356053398799</v>
      </c>
      <c r="AS27" s="12">
        <v>1.86988656809345</v>
      </c>
      <c r="AT27" s="12">
        <v>0</v>
      </c>
      <c r="AU27" s="12">
        <v>67.009057908405097</v>
      </c>
      <c r="AV27" s="12">
        <v>0</v>
      </c>
      <c r="AW27" s="12">
        <v>0</v>
      </c>
      <c r="AX27" s="12">
        <v>558.36578313863504</v>
      </c>
      <c r="AY27" s="12">
        <v>0</v>
      </c>
      <c r="AZ27" s="12">
        <v>0</v>
      </c>
      <c r="BA27" s="12">
        <v>16.9488851850092</v>
      </c>
      <c r="BB27" s="12">
        <v>0.41432660838160001</v>
      </c>
      <c r="BC27" s="12">
        <v>2.7293192564569502</v>
      </c>
      <c r="BD27" s="12">
        <v>0</v>
      </c>
    </row>
    <row r="28" spans="1:56" ht="11.25" customHeight="1" x14ac:dyDescent="0.25">
      <c r="A28" s="106"/>
      <c r="B28" s="106"/>
      <c r="C28" s="106"/>
      <c r="D28" s="106"/>
      <c r="E28" s="106"/>
      <c r="F28" s="106"/>
      <c r="G28" s="17" t="s">
        <v>91</v>
      </c>
      <c r="H28" s="17" t="s">
        <v>78</v>
      </c>
      <c r="I28" s="17">
        <f>'MERCADO TUSD'!$U$25</f>
        <v>4.6099999999999994</v>
      </c>
      <c r="J28" s="15"/>
      <c r="L28" s="12">
        <f>('TUSD BE'!$L$28+'TUSD BF'!$L$28+'TUSD CVA'!$L$28)*1</f>
        <v>1.9560732960095115</v>
      </c>
      <c r="M28" s="12">
        <f>('TUSD BE'!$M$28+'TUSD BF'!$M$28+'TUSD CVA'!$M$28)*1</f>
        <v>0.78655281242721842</v>
      </c>
      <c r="N28" s="12">
        <f ca="1">('TUSD BE'!$N$28+'TUSD BF'!$N$28+'TUSD CVA'!$N$28)*1</f>
        <v>5.0436711182452099</v>
      </c>
      <c r="O28" s="12">
        <f>('TUSD BE'!$O$28+'TUSD BF'!$O$28+'TUSD CVA'!$O$28)*1</f>
        <v>3.7615096723935967E-2</v>
      </c>
      <c r="P28" s="12">
        <f>('TUSD BE'!$P$28+'TUSD BF'!$P$28+'TUSD CVA'!$P$28)*1</f>
        <v>0</v>
      </c>
      <c r="Q28" s="12">
        <f>('TUSD BE'!$Q$28+'TUSD BF'!$Q$28+'TUSD CVA'!$Q$28)*1</f>
        <v>34.962753783931547</v>
      </c>
      <c r="R28" s="12">
        <f>('TUSD BE'!$R$28+'TUSD BF'!$R$28+'TUSD CVA'!$R$28)*1</f>
        <v>14.427520425441489</v>
      </c>
      <c r="S28" s="12">
        <f>('TUSD BE'!$S$28+'TUSD BF'!$S$28+'TUSD CVA'!$S$28)*1</f>
        <v>0</v>
      </c>
      <c r="T28" s="12">
        <f>('TUSD BE'!$U$28+'TUSD BF'!$U$28+'TUSD CVA'!$U$28)*1</f>
        <v>34.637445430077392</v>
      </c>
      <c r="U28" s="12">
        <f>('TUSD BE'!$V$28+'TUSD BF'!$V$28+'TUSD CVA'!$V$28)*1</f>
        <v>9.4449928558146592</v>
      </c>
      <c r="V28" s="12">
        <f>('TUSD BE'!$W$28+'TUSD BF'!$W$28+'TUSD CVA'!$W$28)*1</f>
        <v>0.7982380613551886</v>
      </c>
      <c r="W28" s="12">
        <f>('TUSD BE'!$X$28+'TUSD BF'!$X$28+'TUSD CVA'!$X$28)*1</f>
        <v>0</v>
      </c>
      <c r="X28" s="12">
        <f>('TUSD BE'!$Y$28+'TUSD BF'!$Y$28+'TUSD CVA'!$Y$28)*1</f>
        <v>33.319480425920297</v>
      </c>
      <c r="Y28" s="12">
        <f>('TUSD BE'!$Z$28+'TUSD BF'!$Z$28+'TUSD CVA'!$Z$28)*1</f>
        <v>0</v>
      </c>
      <c r="Z28" s="12">
        <f>('TUSD BE'!$AA$28+'TUSD BF'!$AA$28+'TUSD CVA'!$AA$28)*1</f>
        <v>0</v>
      </c>
      <c r="AA28" s="12">
        <f>('TUSD BE'!$AC$28+'TUSD BF'!$AC$28+'TUSD CVA'!$AC$28)*1</f>
        <v>373.35189485713704</v>
      </c>
      <c r="AB28" s="12">
        <f ca="1">('TUSD BE'!$AE$28+'TUSD BF'!$AE$28+'TUSD CVA'!$AE$28)*1</f>
        <v>-44.926627924340295</v>
      </c>
      <c r="AC28" s="12">
        <f ca="1">('TUSD BE'!$AF$28+'TUSD BF'!$AF$28+'TUSD CVA'!$AF$28)*1</f>
        <v>0</v>
      </c>
      <c r="AD28" s="12">
        <f>('TUSD BE'!$AH$28+'TUSD BF'!$AH$28+'TUSD CVA'!$AH$28)*1</f>
        <v>18.48270906488305</v>
      </c>
      <c r="AE28" s="12">
        <f>('TUSD BE'!$AI$28+'TUSD BF'!$AI$28+'TUSD CVA'!$AI$28)*1</f>
        <v>0.43577182623286492</v>
      </c>
      <c r="AF28" s="12">
        <f ca="1">('TUSD BE'!$AJ$28+'TUSD BF'!$AJ$28+'TUSD CVA'!$AJ$28)*1</f>
        <v>2.8976873425982257</v>
      </c>
      <c r="AG28" s="12">
        <f ca="1">('TUSD BE'!$AK$28+'TUSD BF'!$AK$28+'TUSD CVA'!$AK$28)*1</f>
        <v>0</v>
      </c>
      <c r="AI28" s="12">
        <v>0</v>
      </c>
      <c r="AJ28" s="12">
        <v>0.73563791871328599</v>
      </c>
      <c r="AK28" s="12">
        <v>5.4164327977562001</v>
      </c>
      <c r="AL28" s="12">
        <v>4.6353452504891701E-2</v>
      </c>
      <c r="AM28" s="12">
        <v>0</v>
      </c>
      <c r="AN28" s="12">
        <v>28.052520265360499</v>
      </c>
      <c r="AO28" s="12">
        <v>9.5704209868042103</v>
      </c>
      <c r="AP28" s="12">
        <v>0</v>
      </c>
      <c r="AQ28" s="12">
        <v>37.282537994981702</v>
      </c>
      <c r="AR28" s="12">
        <v>13.7228376681871</v>
      </c>
      <c r="AS28" s="12">
        <v>1.1218866761122299</v>
      </c>
      <c r="AT28" s="12">
        <v>0</v>
      </c>
      <c r="AU28" s="12">
        <v>40.205408544657601</v>
      </c>
      <c r="AV28" s="12">
        <v>0</v>
      </c>
      <c r="AW28" s="12">
        <v>0</v>
      </c>
      <c r="AX28" s="12">
        <v>335.01942738157697</v>
      </c>
      <c r="AY28" s="12">
        <v>0</v>
      </c>
      <c r="AZ28" s="12">
        <v>0</v>
      </c>
      <c r="BA28" s="12">
        <v>16.9488851850092</v>
      </c>
      <c r="BB28" s="12">
        <v>0.41432660838160001</v>
      </c>
      <c r="BC28" s="12">
        <v>2.7293192564569502</v>
      </c>
      <c r="BD28" s="12">
        <v>0</v>
      </c>
    </row>
    <row r="29" spans="1:56" ht="11.25" customHeight="1" x14ac:dyDescent="0.25">
      <c r="A29" s="106"/>
      <c r="B29" s="106"/>
      <c r="C29" s="106"/>
      <c r="D29" s="106"/>
      <c r="E29" s="106"/>
      <c r="F29" s="106"/>
      <c r="G29" s="17" t="s">
        <v>80</v>
      </c>
      <c r="H29" s="17" t="s">
        <v>78</v>
      </c>
      <c r="I29" s="17">
        <f>'MERCADO TUSD'!$U$26</f>
        <v>73.14200000000001</v>
      </c>
      <c r="J29" s="15"/>
      <c r="L29" s="12">
        <f>('TUSD BE'!$L$29+'TUSD BF'!$L$29+'TUSD CVA'!$L$29)*1</f>
        <v>1.9560732960095115</v>
      </c>
      <c r="M29" s="12">
        <f>('TUSD BE'!$M$29+'TUSD BF'!$M$29+'TUSD CVA'!$M$29)*1</f>
        <v>0.78655281242721842</v>
      </c>
      <c r="N29" s="12">
        <f ca="1">('TUSD BE'!$N$29+'TUSD BF'!$N$29+'TUSD CVA'!$N$29)*1</f>
        <v>1.9879981257646511</v>
      </c>
      <c r="O29" s="12">
        <f>('TUSD BE'!$O$29+'TUSD BF'!$O$29+'TUSD CVA'!$O$29)*1</f>
        <v>3.7615096723935967E-2</v>
      </c>
      <c r="P29" s="12">
        <f>('TUSD BE'!$P$29+'TUSD BF'!$P$29+'TUSD CVA'!$P$29)*1</f>
        <v>0</v>
      </c>
      <c r="Q29" s="12">
        <f>('TUSD BE'!$Q$29+'TUSD BF'!$Q$29+'TUSD CVA'!$Q$29)*1</f>
        <v>34.962753783931547</v>
      </c>
      <c r="R29" s="12">
        <f>('TUSD BE'!$R$29+'TUSD BF'!$R$29+'TUSD CVA'!$R$29)*1</f>
        <v>14.427520425441489</v>
      </c>
      <c r="S29" s="12">
        <f>('TUSD BE'!$S$29+'TUSD BF'!$S$29+'TUSD CVA'!$S$29)*1</f>
        <v>0</v>
      </c>
      <c r="T29" s="12">
        <f>('TUSD BE'!$U$29+'TUSD BF'!$U$29+'TUSD CVA'!$U$29)*1</f>
        <v>11.545815143359128</v>
      </c>
      <c r="U29" s="12">
        <f>('TUSD BE'!$V$29+'TUSD BF'!$V$29+'TUSD CVA'!$V$29)*1</f>
        <v>3.1483585241320449</v>
      </c>
      <c r="V29" s="12">
        <f>('TUSD BE'!$W$29+'TUSD BF'!$W$29+'TUSD CVA'!$W$29)*1</f>
        <v>0.26610619253367951</v>
      </c>
      <c r="W29" s="12">
        <f>('TUSD BE'!$X$29+'TUSD BF'!$X$29+'TUSD CVA'!$X$29)*1</f>
        <v>0</v>
      </c>
      <c r="X29" s="12">
        <f>('TUSD BE'!$Y$29+'TUSD BF'!$Y$29+'TUSD CVA'!$Y$29)*1</f>
        <v>11.106457286840961</v>
      </c>
      <c r="Y29" s="12">
        <f>('TUSD BE'!$Z$29+'TUSD BF'!$Z$29+'TUSD CVA'!$Z$29)*1</f>
        <v>0</v>
      </c>
      <c r="Z29" s="12">
        <f>('TUSD BE'!$AA$29+'TUSD BF'!$AA$29+'TUSD CVA'!$AA$29)*1</f>
        <v>0</v>
      </c>
      <c r="AA29" s="12">
        <f>('TUSD BE'!$AC$29+'TUSD BF'!$AC$29+'TUSD CVA'!$AC$29)*1</f>
        <v>124.45067108952912</v>
      </c>
      <c r="AB29" s="12">
        <f ca="1">('TUSD BE'!$AE$29+'TUSD BF'!$AE$29+'TUSD CVA'!$AE$29)*1</f>
        <v>-19.111926396204758</v>
      </c>
      <c r="AC29" s="12">
        <f ca="1">('TUSD BE'!$AF$29+'TUSD BF'!$AF$29+'TUSD CVA'!$AF$29)*1</f>
        <v>0</v>
      </c>
      <c r="AD29" s="12">
        <f>('TUSD BE'!$AH$29+'TUSD BF'!$AH$29+'TUSD CVA'!$AH$29)*1</f>
        <v>18.48270906488305</v>
      </c>
      <c r="AE29" s="12">
        <f>('TUSD BE'!$AI$29+'TUSD BF'!$AI$29+'TUSD CVA'!$AI$29)*1</f>
        <v>0.43577182623286492</v>
      </c>
      <c r="AF29" s="12">
        <f ca="1">('TUSD BE'!$AJ$29+'TUSD BF'!$AJ$29+'TUSD CVA'!$AJ$29)*1</f>
        <v>2.8976873425982257</v>
      </c>
      <c r="AG29" s="12">
        <f ca="1">('TUSD BE'!$AK$29+'TUSD BF'!$AK$29+'TUSD CVA'!$AK$29)*1</f>
        <v>0</v>
      </c>
      <c r="AI29" s="12">
        <v>0</v>
      </c>
      <c r="AJ29" s="12">
        <v>0.73563791871328599</v>
      </c>
      <c r="AK29" s="12">
        <v>2.1354292993250699</v>
      </c>
      <c r="AL29" s="12">
        <v>4.6353452504891701E-2</v>
      </c>
      <c r="AM29" s="12">
        <v>0</v>
      </c>
      <c r="AN29" s="12">
        <v>28.052520265360499</v>
      </c>
      <c r="AO29" s="12">
        <v>9.5704209868042103</v>
      </c>
      <c r="AP29" s="12">
        <v>0</v>
      </c>
      <c r="AQ29" s="12">
        <v>12.4275126649939</v>
      </c>
      <c r="AR29" s="12">
        <v>4.5743192829753099</v>
      </c>
      <c r="AS29" s="12">
        <v>0.37399994599061098</v>
      </c>
      <c r="AT29" s="12">
        <v>0</v>
      </c>
      <c r="AU29" s="12">
        <v>13.40175918091</v>
      </c>
      <c r="AV29" s="12">
        <v>0</v>
      </c>
      <c r="AW29" s="12">
        <v>0</v>
      </c>
      <c r="AX29" s="12">
        <v>111.673177878529</v>
      </c>
      <c r="AY29" s="12">
        <v>0</v>
      </c>
      <c r="AZ29" s="12">
        <v>0</v>
      </c>
      <c r="BA29" s="12">
        <v>16.9488851850092</v>
      </c>
      <c r="BB29" s="12">
        <v>0.41432660838160001</v>
      </c>
      <c r="BC29" s="12">
        <v>2.7293192564569502</v>
      </c>
      <c r="BD29" s="12">
        <v>0</v>
      </c>
    </row>
    <row r="30" spans="1:56" ht="11.25" customHeight="1" x14ac:dyDescent="0.25">
      <c r="A30" s="106"/>
      <c r="B30" s="106" t="s">
        <v>23</v>
      </c>
      <c r="C30" s="106" t="s">
        <v>24</v>
      </c>
      <c r="D30" s="18" t="s">
        <v>24</v>
      </c>
      <c r="E30" s="18" t="s">
        <v>25</v>
      </c>
      <c r="F30" s="18" t="s">
        <v>25</v>
      </c>
      <c r="G30" s="17" t="s">
        <v>84</v>
      </c>
      <c r="H30" s="17" t="s">
        <v>78</v>
      </c>
      <c r="I30" s="17">
        <f>'MERCADO TUSD'!$U$27</f>
        <v>216529.64400000003</v>
      </c>
      <c r="J30" s="15"/>
      <c r="L30" s="12">
        <f>('TUSD BE'!$L$30+'TUSD BF'!$L$30+'TUSD CVA'!$L$30)*1</f>
        <v>1.9560732960095115</v>
      </c>
      <c r="M30" s="12">
        <f>('TUSD BE'!$M$30+'TUSD BF'!$M$30+'TUSD CVA'!$M$30)*1</f>
        <v>0.78655281242721842</v>
      </c>
      <c r="N30" s="12">
        <f ca="1">('TUSD BE'!$N$30+'TUSD BF'!$N$30+'TUSD CVA'!$N$30)*1</f>
        <v>2.8474043981197319</v>
      </c>
      <c r="O30" s="12">
        <f>('TUSD BE'!$O$30+'TUSD BF'!$O$30+'TUSD CVA'!$O$30)*1</f>
        <v>3.7615096723935967E-2</v>
      </c>
      <c r="P30" s="12">
        <f>('TUSD BE'!$P$30+'TUSD BF'!$P$30+'TUSD CVA'!$P$30)*1</f>
        <v>0</v>
      </c>
      <c r="Q30" s="12">
        <f>('TUSD BE'!$Q$30+'TUSD BF'!$Q$30+'TUSD CVA'!$Q$30)*1</f>
        <v>34.962753783931547</v>
      </c>
      <c r="R30" s="12">
        <f>('TUSD BE'!$R$30+'TUSD BF'!$R$30+'TUSD CVA'!$R$30)*1</f>
        <v>14.427520425441489</v>
      </c>
      <c r="S30" s="12">
        <f>('TUSD BE'!$S$30+'TUSD BF'!$S$30+'TUSD CVA'!$S$30)*1</f>
        <v>0</v>
      </c>
      <c r="T30" s="12">
        <f>('TUSD BE'!$U$30+'TUSD BF'!$U$30+'TUSD CVA'!$U$30)*1</f>
        <v>18.040270470697873</v>
      </c>
      <c r="U30" s="12">
        <f>('TUSD BE'!$V$30+'TUSD BF'!$V$30+'TUSD CVA'!$V$30)*1</f>
        <v>4.9192378169475282</v>
      </c>
      <c r="V30" s="12">
        <f>('TUSD BE'!$W$30+'TUSD BF'!$W$30+'TUSD CVA'!$W$30)*1</f>
        <v>0.41578589356850859</v>
      </c>
      <c r="W30" s="12">
        <f>('TUSD BE'!$X$30+'TUSD BF'!$X$30+'TUSD CVA'!$X$30)*1</f>
        <v>0</v>
      </c>
      <c r="X30" s="12">
        <f>('TUSD BE'!$Y$30+'TUSD BF'!$Y$30+'TUSD CVA'!$Y$30)*1</f>
        <v>17.353853081363678</v>
      </c>
      <c r="Y30" s="12">
        <f>('TUSD BE'!$Z$30+'TUSD BF'!$Z$30+'TUSD CVA'!$Z$30)*1</f>
        <v>0</v>
      </c>
      <c r="Z30" s="12">
        <f>('TUSD BE'!$AA$30+'TUSD BF'!$AA$30+'TUSD CVA'!$AA$30)*1</f>
        <v>0</v>
      </c>
      <c r="AA30" s="12">
        <f>('TUSD BE'!$AC$30+'TUSD BF'!$AC$30+'TUSD CVA'!$AC$30)*1</f>
        <v>194.45409957023278</v>
      </c>
      <c r="AB30" s="12">
        <f ca="1">('TUSD BE'!$AE$30+'TUSD BF'!$AE$30+'TUSD CVA'!$AE$30)*1</f>
        <v>-26.372298391919237</v>
      </c>
      <c r="AC30" s="12">
        <f ca="1">('TUSD BE'!$AF$30+'TUSD BF'!$AF$30+'TUSD CVA'!$AF$30)*1</f>
        <v>0</v>
      </c>
      <c r="AD30" s="12">
        <f>('TUSD BE'!$AH$30+'TUSD BF'!$AH$30+'TUSD CVA'!$AH$30)*1</f>
        <v>18.48270906488305</v>
      </c>
      <c r="AE30" s="12">
        <f>('TUSD BE'!$AI$30+'TUSD BF'!$AI$30+'TUSD CVA'!$AI$30)*1</f>
        <v>0.43577182623286492</v>
      </c>
      <c r="AF30" s="12">
        <f ca="1">('TUSD BE'!$AJ$30+'TUSD BF'!$AJ$30+'TUSD CVA'!$AJ$30)*1</f>
        <v>2.8976873425982257</v>
      </c>
      <c r="AG30" s="12">
        <f ca="1">('TUSD BE'!$AK$30+'TUSD BF'!$AK$30+'TUSD CVA'!$AK$30)*1</f>
        <v>0</v>
      </c>
      <c r="AI30" s="12">
        <v>0</v>
      </c>
      <c r="AJ30" s="12">
        <v>0.73563791871328599</v>
      </c>
      <c r="AK30" s="12">
        <v>3.05820964693081</v>
      </c>
      <c r="AL30" s="12">
        <v>4.6353452504891701E-2</v>
      </c>
      <c r="AM30" s="12">
        <v>0</v>
      </c>
      <c r="AN30" s="12">
        <v>28.052520265360499</v>
      </c>
      <c r="AO30" s="12">
        <v>9.5704209868042103</v>
      </c>
      <c r="AP30" s="12">
        <v>0</v>
      </c>
      <c r="AQ30" s="12">
        <v>19.417917831766498</v>
      </c>
      <c r="AR30" s="12">
        <v>7.1472687215024102</v>
      </c>
      <c r="AS30" s="12">
        <v>0.58436784299410505</v>
      </c>
      <c r="AT30" s="12">
        <v>0</v>
      </c>
      <c r="AU30" s="12">
        <v>20.940265095412901</v>
      </c>
      <c r="AV30" s="12">
        <v>0</v>
      </c>
      <c r="AW30" s="12">
        <v>0</v>
      </c>
      <c r="AX30" s="12">
        <v>174.489274026445</v>
      </c>
      <c r="AY30" s="12">
        <v>0</v>
      </c>
      <c r="AZ30" s="12">
        <v>0</v>
      </c>
      <c r="BA30" s="12">
        <v>16.9488851850092</v>
      </c>
      <c r="BB30" s="12">
        <v>0.41432660838160001</v>
      </c>
      <c r="BC30" s="12">
        <v>2.7293192564569502</v>
      </c>
      <c r="BD30" s="12">
        <v>0</v>
      </c>
    </row>
    <row r="31" spans="1:56" ht="11.25" customHeight="1" x14ac:dyDescent="0.25">
      <c r="A31" s="106"/>
      <c r="B31" s="106"/>
      <c r="C31" s="106"/>
      <c r="D31" s="18" t="s">
        <v>29</v>
      </c>
      <c r="E31" s="18" t="s">
        <v>25</v>
      </c>
      <c r="F31" s="18" t="s">
        <v>25</v>
      </c>
      <c r="G31" s="17" t="s">
        <v>84</v>
      </c>
      <c r="H31" s="17" t="s">
        <v>78</v>
      </c>
      <c r="I31" s="17">
        <f>'MERCADO TUSD'!$U$28</f>
        <v>20401.981000000003</v>
      </c>
      <c r="J31" s="15"/>
      <c r="L31" s="12">
        <f>('TUSD BE'!$L$31+'TUSD BF'!$L$31+'TUSD CVA'!$L$31)*(1 - 0.65)</f>
        <v>0</v>
      </c>
      <c r="M31" s="12">
        <f>('TUSD BE'!$M$31+'TUSD BF'!$M$31+'TUSD CVA'!$M$31)*(1 - 0.65)</f>
        <v>0.27529348434952644</v>
      </c>
      <c r="N31" s="12">
        <f ca="1">('TUSD BE'!$N$31+'TUSD BF'!$N$31+'TUSD CVA'!$N$31)*(1 - 0.65)</f>
        <v>0.99249238583192478</v>
      </c>
      <c r="O31" s="12">
        <f>('TUSD BE'!$O$31+'TUSD BF'!$O$31+'TUSD CVA'!$O$31)*(1 - 0.65)</f>
        <v>1.3165283853377587E-2</v>
      </c>
      <c r="P31" s="12">
        <v>0</v>
      </c>
      <c r="Q31" s="12">
        <f>('TUSD BE'!$Q$31+'TUSD BF'!$Q$31+'TUSD CVA'!$Q$31)*(1 - 0.65)</f>
        <v>0</v>
      </c>
      <c r="R31" s="12">
        <v>0</v>
      </c>
      <c r="S31" s="12">
        <f>('TUSD BE'!$S$31+'TUSD BF'!$S$31+'TUSD CVA'!$S$31)*(1 - 0.65)</f>
        <v>0</v>
      </c>
      <c r="T31" s="12">
        <f>('TUSD BE'!$U$31+'TUSD BF'!$U$31+'TUSD CVA'!$U$31)*(1 - 0.65)</f>
        <v>6.3140946647442551</v>
      </c>
      <c r="U31" s="12">
        <f>('TUSD BE'!$V$31+'TUSD BF'!$V$31+'TUSD CVA'!$V$31)*(1 - 0.65)</f>
        <v>1.7217332359316349</v>
      </c>
      <c r="V31" s="12">
        <f>('TUSD BE'!$W$31+'TUSD BF'!$W$31+'TUSD CVA'!$W$31)*(1 - 0.65)</f>
        <v>0.145525062748978</v>
      </c>
      <c r="W31" s="12">
        <f>('TUSD BE'!$X$31+'TUSD BF'!$X$31+'TUSD CVA'!$X$31)*(1 - 0.65)</f>
        <v>0</v>
      </c>
      <c r="X31" s="12">
        <f>('TUSD BE'!$Y$31+'TUSD BF'!$Y$31+'TUSD CVA'!$Y$31)*(1 - 0.65)</f>
        <v>6.0738485784772864</v>
      </c>
      <c r="Y31" s="12">
        <f>('TUSD BE'!$Z$31+'TUSD BF'!$Z$31+'TUSD CVA'!$Z$31)*(1 - 0.65)</f>
        <v>0</v>
      </c>
      <c r="Z31" s="12">
        <f>('TUSD BE'!$AA$31+'TUSD BF'!$AA$31+'TUSD CVA'!$AA$31)*(1 - 0.65)</f>
        <v>0</v>
      </c>
      <c r="AA31" s="12">
        <f>('TUSD BE'!$AC$31+'TUSD BF'!$AC$31+'TUSD CVA'!$AC$31)*(1 - 0.65)</f>
        <v>68.058934849581476</v>
      </c>
      <c r="AB31" s="12">
        <f ca="1">('TUSD BE'!$AE$31+'TUSD BF'!$AE$31+'TUSD CVA'!$AE$31)*(1 - 0.65)</f>
        <v>-7.6808781359623328</v>
      </c>
      <c r="AC31" s="12">
        <f ca="1">('TUSD BE'!$AF$31+'TUSD BF'!$AF$31+'TUSD CVA'!$AF$31)*(1 - 0.65)</f>
        <v>0</v>
      </c>
      <c r="AD31" s="12">
        <f>('TUSD BE'!$AH$31+'TUSD BF'!$AH$31+'TUSD CVA'!$AH$31)*(1 - 0.65)</f>
        <v>6.4689481727090667</v>
      </c>
      <c r="AE31" s="12">
        <f>('TUSD BE'!$AI$31+'TUSD BF'!$AI$31+'TUSD CVA'!$AI$31)*(1 - 0.65)</f>
        <v>0.1525201391815027</v>
      </c>
      <c r="AF31" s="12">
        <f ca="1">('TUSD BE'!$AJ$31+'TUSD BF'!$AJ$31+'TUSD CVA'!$AJ$31)*(1 - 0.65)</f>
        <v>1.0141905699093789</v>
      </c>
      <c r="AG31" s="12">
        <f ca="1">('TUSD BE'!$AK$31+'TUSD BF'!$AK$31+'TUSD CVA'!$AK$31)*(1 - 0.65)</f>
        <v>0</v>
      </c>
      <c r="AI31" s="12">
        <v>0</v>
      </c>
      <c r="AJ31" s="12">
        <v>0.25747327154965</v>
      </c>
      <c r="AK31" s="12">
        <v>1.06597194438775</v>
      </c>
      <c r="AL31" s="12">
        <v>1.6223708376712099E-2</v>
      </c>
      <c r="AM31" s="12">
        <v>0</v>
      </c>
      <c r="AN31" s="12">
        <v>0</v>
      </c>
      <c r="AO31" s="12">
        <v>0</v>
      </c>
      <c r="AP31" s="12">
        <v>0</v>
      </c>
      <c r="AQ31" s="12">
        <v>6.79627124111828</v>
      </c>
      <c r="AR31" s="12">
        <v>2.5015440525258401</v>
      </c>
      <c r="AS31" s="12">
        <v>0.204528745047937</v>
      </c>
      <c r="AT31" s="12">
        <v>0</v>
      </c>
      <c r="AU31" s="12">
        <v>7.3290927833944997</v>
      </c>
      <c r="AV31" s="12">
        <v>0</v>
      </c>
      <c r="AW31" s="12">
        <v>0</v>
      </c>
      <c r="AX31" s="12">
        <v>61.071245909255801</v>
      </c>
      <c r="AY31" s="12">
        <v>0</v>
      </c>
      <c r="AZ31" s="12">
        <v>0</v>
      </c>
      <c r="BA31" s="12">
        <v>5.9321098147532201</v>
      </c>
      <c r="BB31" s="12">
        <v>0.14501431293356001</v>
      </c>
      <c r="BC31" s="12">
        <v>0.95526173975993101</v>
      </c>
      <c r="BD31" s="12">
        <v>0</v>
      </c>
    </row>
    <row r="32" spans="1:56" ht="11.25" customHeight="1" x14ac:dyDescent="0.25">
      <c r="A32" s="106"/>
      <c r="B32" s="106"/>
      <c r="C32" s="106"/>
      <c r="D32" s="18" t="s">
        <v>30</v>
      </c>
      <c r="E32" s="18" t="s">
        <v>25</v>
      </c>
      <c r="F32" s="18" t="s">
        <v>25</v>
      </c>
      <c r="G32" s="17" t="s">
        <v>84</v>
      </c>
      <c r="H32" s="17" t="s">
        <v>78</v>
      </c>
      <c r="I32" s="17">
        <f>'MERCADO TUSD'!$U$29</f>
        <v>32706.754000000004</v>
      </c>
      <c r="J32" s="15"/>
      <c r="L32" s="12">
        <f>('TUSD BE'!$L$32+'TUSD BF'!$L$32+'TUSD CVA'!$L$32)*(1 - 0.4)</f>
        <v>0</v>
      </c>
      <c r="M32" s="12">
        <f>('TUSD BE'!$M$32+'TUSD BF'!$M$32+'TUSD CVA'!$M$32)*(1 - 0.4)</f>
        <v>0.47193168745633102</v>
      </c>
      <c r="N32" s="12">
        <f ca="1">('TUSD BE'!$N$32+'TUSD BF'!$N$32+'TUSD CVA'!$N$32)*(1 - 0.4)</f>
        <v>1.7014155185690141</v>
      </c>
      <c r="O32" s="12">
        <f>('TUSD BE'!$O$32+'TUSD BF'!$O$32+'TUSD CVA'!$O$32)*(1 - 0.4)</f>
        <v>2.2569058034361579E-2</v>
      </c>
      <c r="P32" s="12">
        <v>0</v>
      </c>
      <c r="Q32" s="12">
        <f>('TUSD BE'!$Q$32+'TUSD BF'!$Q$32+'TUSD CVA'!$Q$32)*(1 - 0.4)</f>
        <v>0</v>
      </c>
      <c r="R32" s="12">
        <v>0</v>
      </c>
      <c r="S32" s="12">
        <f>('TUSD BE'!$S$32+'TUSD BF'!$S$32+'TUSD CVA'!$S$32)*(1 - 0.4)</f>
        <v>0</v>
      </c>
      <c r="T32" s="12">
        <f>('TUSD BE'!$U$32+'TUSD BF'!$U$32+'TUSD CVA'!$U$32)*(1 - 0.4)</f>
        <v>10.824162282418724</v>
      </c>
      <c r="U32" s="12">
        <f>('TUSD BE'!$V$32+'TUSD BF'!$V$32+'TUSD CVA'!$V$32)*(1 - 0.4)</f>
        <v>2.9515426901685169</v>
      </c>
      <c r="V32" s="12">
        <f>('TUSD BE'!$W$32+'TUSD BF'!$W$32+'TUSD CVA'!$W$32)*(1 - 0.4)</f>
        <v>0.24947153614110515</v>
      </c>
      <c r="W32" s="12">
        <f>('TUSD BE'!$X$32+'TUSD BF'!$X$32+'TUSD CVA'!$X$32)*(1 - 0.4)</f>
        <v>0</v>
      </c>
      <c r="X32" s="12">
        <f>('TUSD BE'!$Y$32+'TUSD BF'!$Y$32+'TUSD CVA'!$Y$32)*(1 - 0.4)</f>
        <v>10.412311848818206</v>
      </c>
      <c r="Y32" s="12">
        <f>('TUSD BE'!$Z$32+'TUSD BF'!$Z$32+'TUSD CVA'!$Z$32)*(1 - 0.4)</f>
        <v>0</v>
      </c>
      <c r="Z32" s="12">
        <f>('TUSD BE'!$AA$32+'TUSD BF'!$AA$32+'TUSD CVA'!$AA$32)*(1 - 0.4)</f>
        <v>0</v>
      </c>
      <c r="AA32" s="12">
        <f>('TUSD BE'!$AC$32+'TUSD BF'!$AC$32+'TUSD CVA'!$AC$32)*(1 - 0.4)</f>
        <v>116.67245974213967</v>
      </c>
      <c r="AB32" s="12">
        <f ca="1">('TUSD BE'!$AE$32+'TUSD BF'!$AE$32+'TUSD CVA'!$AE$32)*(1 - 0.4)</f>
        <v>-13.167219661649714</v>
      </c>
      <c r="AC32" s="12">
        <f ca="1">('TUSD BE'!$AF$32+'TUSD BF'!$AF$32+'TUSD CVA'!$AF$32)*(1 - 0.4)</f>
        <v>0</v>
      </c>
      <c r="AD32" s="12">
        <f>('TUSD BE'!$AH$32+'TUSD BF'!$AH$32+'TUSD CVA'!$AH$32)*(1 - 0.4)</f>
        <v>11.089625438929829</v>
      </c>
      <c r="AE32" s="12">
        <f>('TUSD BE'!$AI$32+'TUSD BF'!$AI$32+'TUSD CVA'!$AI$32)*(1 - 0.4)</f>
        <v>0.26146309573971893</v>
      </c>
      <c r="AF32" s="12">
        <f ca="1">('TUSD BE'!$AJ$32+'TUSD BF'!$AJ$32+'TUSD CVA'!$AJ$32)*(1 - 0.4)</f>
        <v>1.7386124055589354</v>
      </c>
      <c r="AG32" s="12">
        <f ca="1">('TUSD BE'!$AK$32+'TUSD BF'!$AK$32+'TUSD CVA'!$AK$32)*(1 - 0.4)</f>
        <v>0</v>
      </c>
      <c r="AI32" s="12">
        <v>0</v>
      </c>
      <c r="AJ32" s="12">
        <v>0.44138275122797099</v>
      </c>
      <c r="AK32" s="12">
        <v>1.8273804760932899</v>
      </c>
      <c r="AL32" s="12">
        <v>2.7812071502935E-2</v>
      </c>
      <c r="AM32" s="12">
        <v>0</v>
      </c>
      <c r="AN32" s="12">
        <v>0</v>
      </c>
      <c r="AO32" s="12">
        <v>0</v>
      </c>
      <c r="AP32" s="12">
        <v>0</v>
      </c>
      <c r="AQ32" s="12">
        <v>11.6507506990599</v>
      </c>
      <c r="AR32" s="12">
        <v>4.2883612329014502</v>
      </c>
      <c r="AS32" s="12">
        <v>0.35062070579646298</v>
      </c>
      <c r="AT32" s="12">
        <v>0</v>
      </c>
      <c r="AU32" s="12">
        <v>12.5641590572477</v>
      </c>
      <c r="AV32" s="12">
        <v>0</v>
      </c>
      <c r="AW32" s="12">
        <v>0</v>
      </c>
      <c r="AX32" s="12">
        <v>104.693564415867</v>
      </c>
      <c r="AY32" s="12">
        <v>0</v>
      </c>
      <c r="AZ32" s="12">
        <v>0</v>
      </c>
      <c r="BA32" s="12">
        <v>10.1693311110055</v>
      </c>
      <c r="BB32" s="12">
        <v>0.24859596502896</v>
      </c>
      <c r="BC32" s="12">
        <v>1.6375915538741701</v>
      </c>
      <c r="BD32" s="12">
        <v>0</v>
      </c>
    </row>
    <row r="33" spans="1:56" ht="11.25" customHeight="1" x14ac:dyDescent="0.25">
      <c r="A33" s="106"/>
      <c r="B33" s="106"/>
      <c r="C33" s="106"/>
      <c r="D33" s="18" t="s">
        <v>31</v>
      </c>
      <c r="E33" s="18" t="s">
        <v>25</v>
      </c>
      <c r="F33" s="18" t="s">
        <v>25</v>
      </c>
      <c r="G33" s="17" t="s">
        <v>84</v>
      </c>
      <c r="H33" s="17" t="s">
        <v>78</v>
      </c>
      <c r="I33" s="17">
        <f>'MERCADO TUSD'!$U$30</f>
        <v>13213.162</v>
      </c>
      <c r="J33" s="15"/>
      <c r="L33" s="12">
        <f>('TUSD BE'!$L$33+'TUSD BF'!$L$33+'TUSD CVA'!$L$33)*(1 - 0.1)</f>
        <v>0</v>
      </c>
      <c r="M33" s="12">
        <f>('TUSD BE'!$M$33+'TUSD BF'!$M$33+'TUSD CVA'!$M$33)*(1 - 0.1)</f>
        <v>0.70789753118449661</v>
      </c>
      <c r="N33" s="12">
        <f ca="1">('TUSD BE'!$N$33+'TUSD BF'!$N$33+'TUSD CVA'!$N$33)*(1 - 0.1)</f>
        <v>2.552123277853521</v>
      </c>
      <c r="O33" s="12">
        <f>('TUSD BE'!$O$33+'TUSD BF'!$O$33+'TUSD CVA'!$O$33)*(1 - 0.1)</f>
        <v>3.3853587051542372E-2</v>
      </c>
      <c r="P33" s="12">
        <v>0</v>
      </c>
      <c r="Q33" s="12">
        <f>('TUSD BE'!$Q$33+'TUSD BF'!$Q$33+'TUSD CVA'!$Q$33)*(1 - 0.1)</f>
        <v>0</v>
      </c>
      <c r="R33" s="12">
        <v>0</v>
      </c>
      <c r="S33" s="12">
        <f>('TUSD BE'!$S$33+'TUSD BF'!$S$33+'TUSD CVA'!$S$33)*(1 - 0.1)</f>
        <v>0</v>
      </c>
      <c r="T33" s="12">
        <f>('TUSD BE'!$U$33+'TUSD BF'!$U$33+'TUSD CVA'!$U$33)*(1 - 0.1)</f>
        <v>16.236243423628085</v>
      </c>
      <c r="U33" s="12">
        <f>('TUSD BE'!$V$33+'TUSD BF'!$V$33+'TUSD CVA'!$V$33)*(1 - 0.1)</f>
        <v>4.4273140352527758</v>
      </c>
      <c r="V33" s="12">
        <f>('TUSD BE'!$W$33+'TUSD BF'!$W$33+'TUSD CVA'!$W$33)*(1 - 0.1)</f>
        <v>0.37420730421165777</v>
      </c>
      <c r="W33" s="12">
        <f>('TUSD BE'!$X$33+'TUSD BF'!$X$33+'TUSD CVA'!$X$33)*(1 - 0.1)</f>
        <v>0</v>
      </c>
      <c r="X33" s="12">
        <f>('TUSD BE'!$Y$33+'TUSD BF'!$Y$33+'TUSD CVA'!$Y$33)*(1 - 0.1)</f>
        <v>15.618467773227311</v>
      </c>
      <c r="Y33" s="12">
        <f>('TUSD BE'!$Z$33+'TUSD BF'!$Z$33+'TUSD CVA'!$Z$33)*(1 - 0.1)</f>
        <v>0</v>
      </c>
      <c r="Z33" s="12">
        <f>('TUSD BE'!$AA$33+'TUSD BF'!$AA$33+'TUSD CVA'!$AA$33)*(1 - 0.1)</f>
        <v>0</v>
      </c>
      <c r="AA33" s="12">
        <f>('TUSD BE'!$AC$33+'TUSD BF'!$AC$33+'TUSD CVA'!$AC$33)*(1 - 0.1)</f>
        <v>175.0086896132095</v>
      </c>
      <c r="AB33" s="12">
        <f ca="1">('TUSD BE'!$AE$33+'TUSD BF'!$AE$33+'TUSD CVA'!$AE$33)*(1 - 0.1)</f>
        <v>-19.750829492474573</v>
      </c>
      <c r="AC33" s="12">
        <f ca="1">('TUSD BE'!$AF$33+'TUSD BF'!$AF$33+'TUSD CVA'!$AF$33)*(1 - 0.1)</f>
        <v>0</v>
      </c>
      <c r="AD33" s="12">
        <f>('TUSD BE'!$AH$33+'TUSD BF'!$AH$33+'TUSD CVA'!$AH$33)*(1 - 0.1)</f>
        <v>16.634438158394744</v>
      </c>
      <c r="AE33" s="12">
        <f>('TUSD BE'!$AI$33+'TUSD BF'!$AI$33+'TUSD CVA'!$AI$33)*(1 - 0.1)</f>
        <v>0.39219464360957845</v>
      </c>
      <c r="AF33" s="12">
        <f ca="1">('TUSD BE'!$AJ$33+'TUSD BF'!$AJ$33+'TUSD CVA'!$AJ$33)*(1 - 0.1)</f>
        <v>2.6079186083384034</v>
      </c>
      <c r="AG33" s="12">
        <f ca="1">('TUSD BE'!$AK$33+'TUSD BF'!$AK$33+'TUSD CVA'!$AK$33)*(1 - 0.1)</f>
        <v>0</v>
      </c>
      <c r="AI33" s="12">
        <v>0</v>
      </c>
      <c r="AJ33" s="12">
        <v>0.66207412684195699</v>
      </c>
      <c r="AK33" s="12">
        <v>2.74107071413993</v>
      </c>
      <c r="AL33" s="12">
        <v>4.1718107254402503E-2</v>
      </c>
      <c r="AM33" s="12">
        <v>0</v>
      </c>
      <c r="AN33" s="12">
        <v>0</v>
      </c>
      <c r="AO33" s="12">
        <v>0</v>
      </c>
      <c r="AP33" s="12">
        <v>0</v>
      </c>
      <c r="AQ33" s="12">
        <v>17.476126048589901</v>
      </c>
      <c r="AR33" s="12">
        <v>6.4325418493521704</v>
      </c>
      <c r="AS33" s="12">
        <v>0.52593105869469503</v>
      </c>
      <c r="AT33" s="12">
        <v>0</v>
      </c>
      <c r="AU33" s="12">
        <v>18.8462385858716</v>
      </c>
      <c r="AV33" s="12">
        <v>0</v>
      </c>
      <c r="AW33" s="12">
        <v>0</v>
      </c>
      <c r="AX33" s="12">
        <v>157.04034662380101</v>
      </c>
      <c r="AY33" s="12">
        <v>0</v>
      </c>
      <c r="AZ33" s="12">
        <v>0</v>
      </c>
      <c r="BA33" s="12">
        <v>15.2539966665083</v>
      </c>
      <c r="BB33" s="12">
        <v>0.37289394754344002</v>
      </c>
      <c r="BC33" s="12">
        <v>2.4563873308112498</v>
      </c>
      <c r="BD33" s="12">
        <v>0</v>
      </c>
    </row>
    <row r="34" spans="1:56" ht="11.25" customHeight="1" x14ac:dyDescent="0.25">
      <c r="A34" s="106"/>
      <c r="B34" s="106"/>
      <c r="C34" s="106"/>
      <c r="D34" s="18" t="s">
        <v>32</v>
      </c>
      <c r="E34" s="18" t="s">
        <v>25</v>
      </c>
      <c r="F34" s="18" t="s">
        <v>25</v>
      </c>
      <c r="G34" s="17" t="s">
        <v>84</v>
      </c>
      <c r="H34" s="17" t="s">
        <v>78</v>
      </c>
      <c r="I34" s="17">
        <f>'MERCADO TUSD'!$U$31</f>
        <v>2931.0630000000001</v>
      </c>
      <c r="J34" s="15"/>
      <c r="L34" s="12">
        <f>('TUSD BE'!$L$34+'TUSD BF'!$L$34+'TUSD CVA'!$L$34)*1</f>
        <v>0</v>
      </c>
      <c r="M34" s="12">
        <f>('TUSD BE'!$M$34+'TUSD BF'!$M$34+'TUSD CVA'!$M$34)*1</f>
        <v>0.78655281242721842</v>
      </c>
      <c r="N34" s="12">
        <f ca="1">('TUSD BE'!$N$34+'TUSD BF'!$N$34+'TUSD CVA'!$N$34)*1</f>
        <v>2.8356925309483567</v>
      </c>
      <c r="O34" s="12">
        <f>('TUSD BE'!$O$34+'TUSD BF'!$O$34+'TUSD CVA'!$O$34)*1</f>
        <v>3.7615096723935967E-2</v>
      </c>
      <c r="P34" s="12">
        <v>0</v>
      </c>
      <c r="Q34" s="12">
        <f>('TUSD BE'!$Q$34+'TUSD BF'!$Q$34+'TUSD CVA'!$Q$34)*1</f>
        <v>0</v>
      </c>
      <c r="R34" s="12">
        <v>0</v>
      </c>
      <c r="S34" s="12">
        <f>('TUSD BE'!$S$34+'TUSD BF'!$S$34+'TUSD CVA'!$S$34)*1</f>
        <v>0</v>
      </c>
      <c r="T34" s="12">
        <f>('TUSD BE'!$U$34+'TUSD BF'!$U$34+'TUSD CVA'!$U$34)*1</f>
        <v>18.040270470697873</v>
      </c>
      <c r="U34" s="12">
        <f>('TUSD BE'!$V$34+'TUSD BF'!$V$34+'TUSD CVA'!$V$34)*1</f>
        <v>4.9192378169475282</v>
      </c>
      <c r="V34" s="12">
        <f>('TUSD BE'!$W$34+'TUSD BF'!$W$34+'TUSD CVA'!$W$34)*1</f>
        <v>0.41578589356850859</v>
      </c>
      <c r="W34" s="12">
        <f>('TUSD BE'!$X$34+'TUSD BF'!$X$34+'TUSD CVA'!$X$34)*1</f>
        <v>0</v>
      </c>
      <c r="X34" s="12">
        <f>('TUSD BE'!$Y$34+'TUSD BF'!$Y$34+'TUSD CVA'!$Y$34)*1</f>
        <v>17.353853081363678</v>
      </c>
      <c r="Y34" s="12">
        <f>('TUSD BE'!$Z$34+'TUSD BF'!$Z$34+'TUSD CVA'!$Z$34)*1</f>
        <v>0</v>
      </c>
      <c r="Z34" s="12">
        <f>('TUSD BE'!$AA$34+'TUSD BF'!$AA$34+'TUSD CVA'!$AA$34)*1</f>
        <v>0</v>
      </c>
      <c r="AA34" s="12">
        <f>('TUSD BE'!$AC$34+'TUSD BF'!$AC$34+'TUSD CVA'!$AC$34)*1</f>
        <v>194.45409957023278</v>
      </c>
      <c r="AB34" s="12">
        <f ca="1">('TUSD BE'!$AE$34+'TUSD BF'!$AE$34+'TUSD CVA'!$AE$34)*1</f>
        <v>-21.945366102749524</v>
      </c>
      <c r="AC34" s="12">
        <f ca="1">('TUSD BE'!$AF$34+'TUSD BF'!$AF$34+'TUSD CVA'!$AF$34)*1</f>
        <v>0</v>
      </c>
      <c r="AD34" s="12">
        <f>('TUSD BE'!$AH$34+'TUSD BF'!$AH$34+'TUSD CVA'!$AH$34)*1</f>
        <v>18.48270906488305</v>
      </c>
      <c r="AE34" s="12">
        <f>('TUSD BE'!$AI$34+'TUSD BF'!$AI$34+'TUSD CVA'!$AI$34)*1</f>
        <v>0.43577182623286492</v>
      </c>
      <c r="AF34" s="12">
        <f ca="1">('TUSD BE'!$AJ$34+'TUSD BF'!$AJ$34+'TUSD CVA'!$AJ$34)*1</f>
        <v>2.8976873425982257</v>
      </c>
      <c r="AG34" s="12">
        <f ca="1">('TUSD BE'!$AK$34+'TUSD BF'!$AK$34+'TUSD CVA'!$AK$34)*1</f>
        <v>0</v>
      </c>
      <c r="AI34" s="12">
        <v>0</v>
      </c>
      <c r="AJ34" s="12">
        <v>0.73563791871328599</v>
      </c>
      <c r="AK34" s="12">
        <v>3.0456341268221498</v>
      </c>
      <c r="AL34" s="12">
        <v>4.6353452504891701E-2</v>
      </c>
      <c r="AM34" s="12">
        <v>0</v>
      </c>
      <c r="AN34" s="12">
        <v>0</v>
      </c>
      <c r="AO34" s="12">
        <v>0</v>
      </c>
      <c r="AP34" s="12">
        <v>0</v>
      </c>
      <c r="AQ34" s="12">
        <v>19.417917831766498</v>
      </c>
      <c r="AR34" s="12">
        <v>7.1472687215024102</v>
      </c>
      <c r="AS34" s="12">
        <v>0.58436784299410505</v>
      </c>
      <c r="AT34" s="12">
        <v>0</v>
      </c>
      <c r="AU34" s="12">
        <v>20.940265095412901</v>
      </c>
      <c r="AV34" s="12">
        <v>0</v>
      </c>
      <c r="AW34" s="12">
        <v>0</v>
      </c>
      <c r="AX34" s="12">
        <v>174.489274026445</v>
      </c>
      <c r="AY34" s="12">
        <v>0</v>
      </c>
      <c r="AZ34" s="12">
        <v>0</v>
      </c>
      <c r="BA34" s="12">
        <v>16.9488851850092</v>
      </c>
      <c r="BB34" s="12">
        <v>0.41432660838160001</v>
      </c>
      <c r="BC34" s="12">
        <v>2.7293192564569502</v>
      </c>
      <c r="BD34" s="12">
        <v>0</v>
      </c>
    </row>
    <row r="35" spans="1:56" ht="11.25" customHeight="1" x14ac:dyDescent="0.25">
      <c r="A35" s="106"/>
      <c r="B35" s="106" t="s">
        <v>93</v>
      </c>
      <c r="C35" s="106" t="s">
        <v>24</v>
      </c>
      <c r="D35" s="18" t="s">
        <v>24</v>
      </c>
      <c r="E35" s="18" t="s">
        <v>25</v>
      </c>
      <c r="F35" s="18" t="s">
        <v>25</v>
      </c>
      <c r="G35" s="17" t="s">
        <v>84</v>
      </c>
      <c r="H35" s="17" t="s">
        <v>78</v>
      </c>
      <c r="I35" s="17">
        <f>'MERCADO TUSD'!$U$32</f>
        <v>0</v>
      </c>
      <c r="J35" s="15"/>
      <c r="L35" s="12">
        <f>('TUSD BE'!$L$35+'TUSD BF'!$L$35+'TUSD CVA'!$L$35)*1</f>
        <v>1.9560732960095115</v>
      </c>
      <c r="M35" s="12">
        <f>('TUSD BE'!$M$35+'TUSD BF'!$M$35+'TUSD CVA'!$M$35)*1</f>
        <v>0.78655281242721842</v>
      </c>
      <c r="N35" s="12">
        <f ca="1">('TUSD BE'!$N$35+'TUSD BF'!$N$35+'TUSD CVA'!$N$35)*1</f>
        <v>2.8474043981197319</v>
      </c>
      <c r="O35" s="12">
        <f>('TUSD BE'!$O$35+'TUSD BF'!$O$35+'TUSD CVA'!$O$35)*1</f>
        <v>3.7615096723935967E-2</v>
      </c>
      <c r="P35" s="12">
        <f>('TUSD BE'!$P$35+'TUSD BF'!$P$35+'TUSD CVA'!$P$35)*1</f>
        <v>0</v>
      </c>
      <c r="Q35" s="12">
        <f>('TUSD BE'!$Q$35+'TUSD BF'!$Q$35+'TUSD CVA'!$Q$35)*1</f>
        <v>34.962753783931547</v>
      </c>
      <c r="R35" s="12">
        <f>('TUSD BE'!$R$35+'TUSD BF'!$R$35+'TUSD CVA'!$R$35)*1</f>
        <v>14.427520425441489</v>
      </c>
      <c r="S35" s="12">
        <f>('TUSD BE'!$S$35+'TUSD BF'!$S$35+'TUSD CVA'!$S$35)*1</f>
        <v>0</v>
      </c>
      <c r="T35" s="12">
        <f>('TUSD BE'!$U$35+'TUSD BF'!$U$35+'TUSD CVA'!$U$35)*1</f>
        <v>18.040270470697873</v>
      </c>
      <c r="U35" s="12">
        <f>('TUSD BE'!$V$35+'TUSD BF'!$V$35+'TUSD CVA'!$V$35)*1</f>
        <v>4.9192378169475282</v>
      </c>
      <c r="V35" s="12">
        <f>('TUSD BE'!$W$35+'TUSD BF'!$W$35+'TUSD CVA'!$W$35)*1</f>
        <v>0.41578589356850859</v>
      </c>
      <c r="W35" s="12">
        <f>('TUSD BE'!$X$35+'TUSD BF'!$X$35+'TUSD CVA'!$X$35)*1</f>
        <v>0</v>
      </c>
      <c r="X35" s="12">
        <f>('TUSD BE'!$Y$35+'TUSD BF'!$Y$35+'TUSD CVA'!$Y$35)*1</f>
        <v>17.353853081363678</v>
      </c>
      <c r="Y35" s="12">
        <f>('TUSD BE'!$Z$35+'TUSD BF'!$Z$35+'TUSD CVA'!$Z$35)*1</f>
        <v>0</v>
      </c>
      <c r="Z35" s="12">
        <f>('TUSD BE'!$AA$35+'TUSD BF'!$AA$35+'TUSD CVA'!$AA$35)*1</f>
        <v>0</v>
      </c>
      <c r="AA35" s="12">
        <f>('TUSD BE'!$AC$35+'TUSD BF'!$AC$35+'TUSD CVA'!$AC$35)*1</f>
        <v>194.45409957023278</v>
      </c>
      <c r="AB35" s="12">
        <f ca="1">('TUSD BE'!$AE$35+'TUSD BF'!$AE$35+'TUSD CVA'!$AE$35)*1</f>
        <v>-26.372298391919237</v>
      </c>
      <c r="AC35" s="12">
        <f ca="1">('TUSD BE'!$AF$35+'TUSD BF'!$AF$35+'TUSD CVA'!$AF$35)*1</f>
        <v>0</v>
      </c>
      <c r="AD35" s="12">
        <f>('TUSD BE'!$AH$35+'TUSD BF'!$AH$35+'TUSD CVA'!$AH$35)*1</f>
        <v>18.48270906488305</v>
      </c>
      <c r="AE35" s="12">
        <f>('TUSD BE'!$AI$35+'TUSD BF'!$AI$35+'TUSD CVA'!$AI$35)*1</f>
        <v>0.43577182623286492</v>
      </c>
      <c r="AF35" s="12">
        <f ca="1">('TUSD BE'!$AJ$35+'TUSD BF'!$AJ$35+'TUSD CVA'!$AJ$35)*1</f>
        <v>2.8976873425982257</v>
      </c>
      <c r="AG35" s="12">
        <f ca="1">('TUSD BE'!$AK$35+'TUSD BF'!$AK$35+'TUSD CVA'!$AK$35)*1</f>
        <v>0</v>
      </c>
      <c r="AI35" s="12">
        <v>0</v>
      </c>
      <c r="AJ35" s="12">
        <v>0.73563791871328599</v>
      </c>
      <c r="AK35" s="12">
        <v>3.05820964693081</v>
      </c>
      <c r="AL35" s="12">
        <v>4.6353452504891701E-2</v>
      </c>
      <c r="AM35" s="12">
        <v>0</v>
      </c>
      <c r="AN35" s="12">
        <v>28.052520265360499</v>
      </c>
      <c r="AO35" s="12">
        <v>9.5704209868042103</v>
      </c>
      <c r="AP35" s="12">
        <v>0</v>
      </c>
      <c r="AQ35" s="12">
        <v>19.417917831766498</v>
      </c>
      <c r="AR35" s="12">
        <v>7.1472687215024102</v>
      </c>
      <c r="AS35" s="12">
        <v>0.58436784299410505</v>
      </c>
      <c r="AT35" s="12">
        <v>0</v>
      </c>
      <c r="AU35" s="12">
        <v>20.940265095412901</v>
      </c>
      <c r="AV35" s="12">
        <v>0</v>
      </c>
      <c r="AW35" s="12">
        <v>0</v>
      </c>
      <c r="AX35" s="12">
        <v>174.489274026445</v>
      </c>
      <c r="AY35" s="12">
        <v>0</v>
      </c>
      <c r="AZ35" s="12">
        <v>0</v>
      </c>
      <c r="BA35" s="12">
        <v>16.9488851850092</v>
      </c>
      <c r="BB35" s="12">
        <v>0.41432660838160001</v>
      </c>
      <c r="BC35" s="12">
        <v>2.7293192564569502</v>
      </c>
      <c r="BD35" s="12">
        <v>0</v>
      </c>
    </row>
    <row r="36" spans="1:56" ht="11.25" customHeight="1" x14ac:dyDescent="0.25">
      <c r="A36" s="106"/>
      <c r="B36" s="106"/>
      <c r="C36" s="106"/>
      <c r="D36" s="18" t="s">
        <v>29</v>
      </c>
      <c r="E36" s="18" t="s">
        <v>25</v>
      </c>
      <c r="F36" s="18" t="s">
        <v>25</v>
      </c>
      <c r="G36" s="17" t="s">
        <v>84</v>
      </c>
      <c r="H36" s="17" t="s">
        <v>78</v>
      </c>
      <c r="I36" s="17">
        <f>'MERCADO TUSD'!$U$33</f>
        <v>0</v>
      </c>
      <c r="J36" s="15"/>
      <c r="L36" s="12">
        <f>('TUSD BE'!$L$36+'TUSD BF'!$L$36+'TUSD CVA'!$L$36)*(1 - 0.65)</f>
        <v>0</v>
      </c>
      <c r="M36" s="12">
        <f>('TUSD BE'!$M$36+'TUSD BF'!$M$36+'TUSD CVA'!$M$36)*(1 - 0.65)</f>
        <v>0.27529348434952644</v>
      </c>
      <c r="N36" s="12">
        <f ca="1">('TUSD BE'!$N$36+'TUSD BF'!$N$36+'TUSD CVA'!$N$36)*(1 - 0.65)</f>
        <v>0.99249238583192478</v>
      </c>
      <c r="O36" s="12">
        <f>('TUSD BE'!$O$36+'TUSD BF'!$O$36+'TUSD CVA'!$O$36)*(1 - 0.65)</f>
        <v>1.3165283853377587E-2</v>
      </c>
      <c r="P36" s="12">
        <v>0</v>
      </c>
      <c r="Q36" s="12">
        <f>('TUSD BE'!$Q$36+'TUSD BF'!$Q$36+'TUSD CVA'!$Q$36)*(1 - 0.65)</f>
        <v>0</v>
      </c>
      <c r="R36" s="12">
        <v>0</v>
      </c>
      <c r="S36" s="12">
        <f>('TUSD BE'!$S$36+'TUSD BF'!$S$36+'TUSD CVA'!$S$36)*(1 - 0.65)</f>
        <v>0</v>
      </c>
      <c r="T36" s="12">
        <f>('TUSD BE'!$U$36+'TUSD BF'!$U$36+'TUSD CVA'!$U$36)*(1 - 0.65)</f>
        <v>6.3140946647442551</v>
      </c>
      <c r="U36" s="12">
        <f>('TUSD BE'!$V$36+'TUSD BF'!$V$36+'TUSD CVA'!$V$36)*(1 - 0.65)</f>
        <v>1.7217332359316349</v>
      </c>
      <c r="V36" s="12">
        <f>('TUSD BE'!$W$36+'TUSD BF'!$W$36+'TUSD CVA'!$W$36)*(1 - 0.65)</f>
        <v>0.145525062748978</v>
      </c>
      <c r="W36" s="12">
        <f>('TUSD BE'!$X$36+'TUSD BF'!$X$36+'TUSD CVA'!$X$36)*(1 - 0.65)</f>
        <v>0</v>
      </c>
      <c r="X36" s="12">
        <f>('TUSD BE'!$Y$36+'TUSD BF'!$Y$36+'TUSD CVA'!$Y$36)*(1 - 0.65)</f>
        <v>6.0738485784772864</v>
      </c>
      <c r="Y36" s="12">
        <f>('TUSD BE'!$Z$36+'TUSD BF'!$Z$36+'TUSD CVA'!$Z$36)*(1 - 0.65)</f>
        <v>0</v>
      </c>
      <c r="Z36" s="12">
        <f>('TUSD BE'!$AA$36+'TUSD BF'!$AA$36+'TUSD CVA'!$AA$36)*(1 - 0.65)</f>
        <v>0</v>
      </c>
      <c r="AA36" s="12">
        <f>('TUSD BE'!$AC$36+'TUSD BF'!$AC$36+'TUSD CVA'!$AC$36)*(1 - 0.65)</f>
        <v>68.058934849581476</v>
      </c>
      <c r="AB36" s="12">
        <f ca="1">('TUSD BE'!$AE$36+'TUSD BF'!$AE$36+'TUSD CVA'!$AE$36)*(1 - 0.65)</f>
        <v>-7.6808781359623328</v>
      </c>
      <c r="AC36" s="12">
        <f ca="1">('TUSD BE'!$AF$36+'TUSD BF'!$AF$36+'TUSD CVA'!$AF$36)*(1 - 0.65)</f>
        <v>0</v>
      </c>
      <c r="AD36" s="12">
        <f>('TUSD BE'!$AH$36+'TUSD BF'!$AH$36+'TUSD CVA'!$AH$36)*(1 - 0.65)</f>
        <v>6.4689481727090667</v>
      </c>
      <c r="AE36" s="12">
        <f>('TUSD BE'!$AI$36+'TUSD BF'!$AI$36+'TUSD CVA'!$AI$36)*(1 - 0.65)</f>
        <v>0.1525201391815027</v>
      </c>
      <c r="AF36" s="12">
        <f ca="1">('TUSD BE'!$AJ$36+'TUSD BF'!$AJ$36+'TUSD CVA'!$AJ$36)*(1 - 0.65)</f>
        <v>1.0141905699093789</v>
      </c>
      <c r="AG36" s="12">
        <f ca="1">('TUSD BE'!$AK$36+'TUSD BF'!$AK$36+'TUSD CVA'!$AK$36)*(1 - 0.65)</f>
        <v>0</v>
      </c>
      <c r="AI36" s="12">
        <v>0</v>
      </c>
      <c r="AJ36" s="12">
        <v>0.25747327154965</v>
      </c>
      <c r="AK36" s="12">
        <v>1.06597194438775</v>
      </c>
      <c r="AL36" s="12">
        <v>1.6223708376712099E-2</v>
      </c>
      <c r="AM36" s="12">
        <v>0</v>
      </c>
      <c r="AN36" s="12">
        <v>0</v>
      </c>
      <c r="AO36" s="12">
        <v>0</v>
      </c>
      <c r="AP36" s="12">
        <v>0</v>
      </c>
      <c r="AQ36" s="12">
        <v>6.79627124111828</v>
      </c>
      <c r="AR36" s="12">
        <v>2.5015440525258401</v>
      </c>
      <c r="AS36" s="12">
        <v>0.204528745047937</v>
      </c>
      <c r="AT36" s="12">
        <v>0</v>
      </c>
      <c r="AU36" s="12">
        <v>7.3290927833944997</v>
      </c>
      <c r="AV36" s="12">
        <v>0</v>
      </c>
      <c r="AW36" s="12">
        <v>0</v>
      </c>
      <c r="AX36" s="12">
        <v>61.071245909255801</v>
      </c>
      <c r="AY36" s="12">
        <v>0</v>
      </c>
      <c r="AZ36" s="12">
        <v>0</v>
      </c>
      <c r="BA36" s="12">
        <v>5.9321098147532201</v>
      </c>
      <c r="BB36" s="12">
        <v>0.14501431293356001</v>
      </c>
      <c r="BC36" s="12">
        <v>0.95526173975993101</v>
      </c>
      <c r="BD36" s="12">
        <v>0</v>
      </c>
    </row>
    <row r="37" spans="1:56" ht="11.25" customHeight="1" x14ac:dyDescent="0.25">
      <c r="A37" s="106"/>
      <c r="B37" s="106"/>
      <c r="C37" s="106"/>
      <c r="D37" s="18" t="s">
        <v>30</v>
      </c>
      <c r="E37" s="18" t="s">
        <v>25</v>
      </c>
      <c r="F37" s="18" t="s">
        <v>25</v>
      </c>
      <c r="G37" s="17" t="s">
        <v>84</v>
      </c>
      <c r="H37" s="17" t="s">
        <v>78</v>
      </c>
      <c r="I37" s="17">
        <f>'MERCADO TUSD'!$U$34</f>
        <v>0</v>
      </c>
      <c r="J37" s="15"/>
      <c r="L37" s="12">
        <f>('TUSD BE'!$L$37+'TUSD BF'!$L$37+'TUSD CVA'!$L$37)*(1 - 0.4)</f>
        <v>0</v>
      </c>
      <c r="M37" s="12">
        <f>('TUSD BE'!$M$37+'TUSD BF'!$M$37+'TUSD CVA'!$M$37)*(1 - 0.4)</f>
        <v>0.47193168745633102</v>
      </c>
      <c r="N37" s="12">
        <f ca="1">('TUSD BE'!$N$37+'TUSD BF'!$N$37+'TUSD CVA'!$N$37)*(1 - 0.4)</f>
        <v>1.7014155185690141</v>
      </c>
      <c r="O37" s="12">
        <f>('TUSD BE'!$O$37+'TUSD BF'!$O$37+'TUSD CVA'!$O$37)*(1 - 0.4)</f>
        <v>2.2569058034361579E-2</v>
      </c>
      <c r="P37" s="12">
        <v>0</v>
      </c>
      <c r="Q37" s="12">
        <f>('TUSD BE'!$Q$37+'TUSD BF'!$Q$37+'TUSD CVA'!$Q$37)*(1 - 0.4)</f>
        <v>0</v>
      </c>
      <c r="R37" s="12">
        <v>0</v>
      </c>
      <c r="S37" s="12">
        <f>('TUSD BE'!$S$37+'TUSD BF'!$S$37+'TUSD CVA'!$S$37)*(1 - 0.4)</f>
        <v>0</v>
      </c>
      <c r="T37" s="12">
        <f>('TUSD BE'!$U$37+'TUSD BF'!$U$37+'TUSD CVA'!$U$37)*(1 - 0.4)</f>
        <v>10.824162282418724</v>
      </c>
      <c r="U37" s="12">
        <f>('TUSD BE'!$V$37+'TUSD BF'!$V$37+'TUSD CVA'!$V$37)*(1 - 0.4)</f>
        <v>2.9515426901685169</v>
      </c>
      <c r="V37" s="12">
        <f>('TUSD BE'!$W$37+'TUSD BF'!$W$37+'TUSD CVA'!$W$37)*(1 - 0.4)</f>
        <v>0.24947153614110515</v>
      </c>
      <c r="W37" s="12">
        <f>('TUSD BE'!$X$37+'TUSD BF'!$X$37+'TUSD CVA'!$X$37)*(1 - 0.4)</f>
        <v>0</v>
      </c>
      <c r="X37" s="12">
        <f>('TUSD BE'!$Y$37+'TUSD BF'!$Y$37+'TUSD CVA'!$Y$37)*(1 - 0.4)</f>
        <v>10.412311848818206</v>
      </c>
      <c r="Y37" s="12">
        <f>('TUSD BE'!$Z$37+'TUSD BF'!$Z$37+'TUSD CVA'!$Z$37)*(1 - 0.4)</f>
        <v>0</v>
      </c>
      <c r="Z37" s="12">
        <f>('TUSD BE'!$AA$37+'TUSD BF'!$AA$37+'TUSD CVA'!$AA$37)*(1 - 0.4)</f>
        <v>0</v>
      </c>
      <c r="AA37" s="12">
        <f>('TUSD BE'!$AC$37+'TUSD BF'!$AC$37+'TUSD CVA'!$AC$37)*(1 - 0.4)</f>
        <v>116.67245974213967</v>
      </c>
      <c r="AB37" s="12">
        <f ca="1">('TUSD BE'!$AE$37+'TUSD BF'!$AE$37+'TUSD CVA'!$AE$37)*(1 - 0.4)</f>
        <v>-13.167219661649714</v>
      </c>
      <c r="AC37" s="12">
        <f ca="1">('TUSD BE'!$AF$37+'TUSD BF'!$AF$37+'TUSD CVA'!$AF$37)*(1 - 0.4)</f>
        <v>0</v>
      </c>
      <c r="AD37" s="12">
        <f>('TUSD BE'!$AH$37+'TUSD BF'!$AH$37+'TUSD CVA'!$AH$37)*(1 - 0.4)</f>
        <v>11.089625438929829</v>
      </c>
      <c r="AE37" s="12">
        <f>('TUSD BE'!$AI$37+'TUSD BF'!$AI$37+'TUSD CVA'!$AI$37)*(1 - 0.4)</f>
        <v>0.26146309573971893</v>
      </c>
      <c r="AF37" s="12">
        <f ca="1">('TUSD BE'!$AJ$37+'TUSD BF'!$AJ$37+'TUSD CVA'!$AJ$37)*(1 - 0.4)</f>
        <v>1.7386124055589354</v>
      </c>
      <c r="AG37" s="12">
        <f ca="1">('TUSD BE'!$AK$37+'TUSD BF'!$AK$37+'TUSD CVA'!$AK$37)*(1 - 0.4)</f>
        <v>0</v>
      </c>
      <c r="AI37" s="12">
        <v>0</v>
      </c>
      <c r="AJ37" s="12">
        <v>0.44138275122797099</v>
      </c>
      <c r="AK37" s="12">
        <v>1.8273804760932899</v>
      </c>
      <c r="AL37" s="12">
        <v>2.7812071502935E-2</v>
      </c>
      <c r="AM37" s="12">
        <v>0</v>
      </c>
      <c r="AN37" s="12">
        <v>0</v>
      </c>
      <c r="AO37" s="12">
        <v>0</v>
      </c>
      <c r="AP37" s="12">
        <v>0</v>
      </c>
      <c r="AQ37" s="12">
        <v>11.6507506990599</v>
      </c>
      <c r="AR37" s="12">
        <v>4.2883612329014502</v>
      </c>
      <c r="AS37" s="12">
        <v>0.35062070579646298</v>
      </c>
      <c r="AT37" s="12">
        <v>0</v>
      </c>
      <c r="AU37" s="12">
        <v>12.5641590572477</v>
      </c>
      <c r="AV37" s="12">
        <v>0</v>
      </c>
      <c r="AW37" s="12">
        <v>0</v>
      </c>
      <c r="AX37" s="12">
        <v>104.693564415867</v>
      </c>
      <c r="AY37" s="12">
        <v>0</v>
      </c>
      <c r="AZ37" s="12">
        <v>0</v>
      </c>
      <c r="BA37" s="12">
        <v>10.1693311110055</v>
      </c>
      <c r="BB37" s="12">
        <v>0.24859596502896</v>
      </c>
      <c r="BC37" s="12">
        <v>1.6375915538741701</v>
      </c>
      <c r="BD37" s="12">
        <v>0</v>
      </c>
    </row>
    <row r="38" spans="1:56" ht="11.25" customHeight="1" x14ac:dyDescent="0.25">
      <c r="A38" s="106"/>
      <c r="B38" s="106"/>
      <c r="C38" s="106"/>
      <c r="D38" s="18" t="s">
        <v>31</v>
      </c>
      <c r="E38" s="18" t="s">
        <v>25</v>
      </c>
      <c r="F38" s="18" t="s">
        <v>25</v>
      </c>
      <c r="G38" s="17" t="s">
        <v>84</v>
      </c>
      <c r="H38" s="17" t="s">
        <v>78</v>
      </c>
      <c r="I38" s="17">
        <f>'MERCADO TUSD'!$U$35</f>
        <v>0</v>
      </c>
      <c r="J38" s="15"/>
      <c r="L38" s="12">
        <f>('TUSD BE'!$L$38+'TUSD BF'!$L$38+'TUSD CVA'!$L$38)*(1 - 0.1)</f>
        <v>0</v>
      </c>
      <c r="M38" s="12">
        <f>('TUSD BE'!$M$38+'TUSD BF'!$M$38+'TUSD CVA'!$M$38)*(1 - 0.1)</f>
        <v>0.70789753118449661</v>
      </c>
      <c r="N38" s="12">
        <f ca="1">('TUSD BE'!$N$38+'TUSD BF'!$N$38+'TUSD CVA'!$N$38)*(1 - 0.1)</f>
        <v>2.552123277853521</v>
      </c>
      <c r="O38" s="12">
        <f>('TUSD BE'!$O$38+'TUSD BF'!$O$38+'TUSD CVA'!$O$38)*(1 - 0.1)</f>
        <v>3.3853587051542372E-2</v>
      </c>
      <c r="P38" s="12">
        <v>0</v>
      </c>
      <c r="Q38" s="12">
        <f>('TUSD BE'!$Q$38+'TUSD BF'!$Q$38+'TUSD CVA'!$Q$38)*(1 - 0.1)</f>
        <v>0</v>
      </c>
      <c r="R38" s="12">
        <v>0</v>
      </c>
      <c r="S38" s="12">
        <f>('TUSD BE'!$S$38+'TUSD BF'!$S$38+'TUSD CVA'!$S$38)*(1 - 0.1)</f>
        <v>0</v>
      </c>
      <c r="T38" s="12">
        <f>('TUSD BE'!$U$38+'TUSD BF'!$U$38+'TUSD CVA'!$U$38)*(1 - 0.1)</f>
        <v>16.236243423628085</v>
      </c>
      <c r="U38" s="12">
        <f>('TUSD BE'!$V$38+'TUSD BF'!$V$38+'TUSD CVA'!$V$38)*(1 - 0.1)</f>
        <v>4.4273140352527758</v>
      </c>
      <c r="V38" s="12">
        <f>('TUSD BE'!$W$38+'TUSD BF'!$W$38+'TUSD CVA'!$W$38)*(1 - 0.1)</f>
        <v>0.37420730421165777</v>
      </c>
      <c r="W38" s="12">
        <f>('TUSD BE'!$X$38+'TUSD BF'!$X$38+'TUSD CVA'!$X$38)*(1 - 0.1)</f>
        <v>0</v>
      </c>
      <c r="X38" s="12">
        <f>('TUSD BE'!$Y$38+'TUSD BF'!$Y$38+'TUSD CVA'!$Y$38)*(1 - 0.1)</f>
        <v>15.618467773227311</v>
      </c>
      <c r="Y38" s="12">
        <f>('TUSD BE'!$Z$38+'TUSD BF'!$Z$38+'TUSD CVA'!$Z$38)*(1 - 0.1)</f>
        <v>0</v>
      </c>
      <c r="Z38" s="12">
        <f>('TUSD BE'!$AA$38+'TUSD BF'!$AA$38+'TUSD CVA'!$AA$38)*(1 - 0.1)</f>
        <v>0</v>
      </c>
      <c r="AA38" s="12">
        <f>('TUSD BE'!$AC$38+'TUSD BF'!$AC$38+'TUSD CVA'!$AC$38)*(1 - 0.1)</f>
        <v>175.0086896132095</v>
      </c>
      <c r="AB38" s="12">
        <f ca="1">('TUSD BE'!$AE$38+'TUSD BF'!$AE$38+'TUSD CVA'!$AE$38)*(1 - 0.1)</f>
        <v>-19.750829492474573</v>
      </c>
      <c r="AC38" s="12">
        <f ca="1">('TUSD BE'!$AF$38+'TUSD BF'!$AF$38+'TUSD CVA'!$AF$38)*(1 - 0.1)</f>
        <v>0</v>
      </c>
      <c r="AD38" s="12">
        <f>('TUSD BE'!$AH$38+'TUSD BF'!$AH$38+'TUSD CVA'!$AH$38)*(1 - 0.1)</f>
        <v>16.634438158394744</v>
      </c>
      <c r="AE38" s="12">
        <f>('TUSD BE'!$AI$38+'TUSD BF'!$AI$38+'TUSD CVA'!$AI$38)*(1 - 0.1)</f>
        <v>0.39219464360957845</v>
      </c>
      <c r="AF38" s="12">
        <f ca="1">('TUSD BE'!$AJ$38+'TUSD BF'!$AJ$38+'TUSD CVA'!$AJ$38)*(1 - 0.1)</f>
        <v>2.6079186083384034</v>
      </c>
      <c r="AG38" s="12">
        <f ca="1">('TUSD BE'!$AK$38+'TUSD BF'!$AK$38+'TUSD CVA'!$AK$38)*(1 - 0.1)</f>
        <v>0</v>
      </c>
      <c r="AI38" s="12">
        <v>0</v>
      </c>
      <c r="AJ38" s="12">
        <v>0.66207412684195699</v>
      </c>
      <c r="AK38" s="12">
        <v>2.74107071413993</v>
      </c>
      <c r="AL38" s="12">
        <v>4.1718107254402503E-2</v>
      </c>
      <c r="AM38" s="12">
        <v>0</v>
      </c>
      <c r="AN38" s="12">
        <v>0</v>
      </c>
      <c r="AO38" s="12">
        <v>0</v>
      </c>
      <c r="AP38" s="12">
        <v>0</v>
      </c>
      <c r="AQ38" s="12">
        <v>17.476126048589901</v>
      </c>
      <c r="AR38" s="12">
        <v>6.4325418493521704</v>
      </c>
      <c r="AS38" s="12">
        <v>0.52593105869469503</v>
      </c>
      <c r="AT38" s="12">
        <v>0</v>
      </c>
      <c r="AU38" s="12">
        <v>18.8462385858716</v>
      </c>
      <c r="AV38" s="12">
        <v>0</v>
      </c>
      <c r="AW38" s="12">
        <v>0</v>
      </c>
      <c r="AX38" s="12">
        <v>157.04034662380101</v>
      </c>
      <c r="AY38" s="12">
        <v>0</v>
      </c>
      <c r="AZ38" s="12">
        <v>0</v>
      </c>
      <c r="BA38" s="12">
        <v>15.2539966665083</v>
      </c>
      <c r="BB38" s="12">
        <v>0.37289394754344002</v>
      </c>
      <c r="BC38" s="12">
        <v>2.4563873308112498</v>
      </c>
      <c r="BD38" s="12">
        <v>0</v>
      </c>
    </row>
    <row r="39" spans="1:56" ht="11.25" customHeight="1" x14ac:dyDescent="0.25">
      <c r="A39" s="106"/>
      <c r="B39" s="106"/>
      <c r="C39" s="106"/>
      <c r="D39" s="18" t="s">
        <v>32</v>
      </c>
      <c r="E39" s="18" t="s">
        <v>25</v>
      </c>
      <c r="F39" s="18" t="s">
        <v>25</v>
      </c>
      <c r="G39" s="17" t="s">
        <v>84</v>
      </c>
      <c r="H39" s="17" t="s">
        <v>78</v>
      </c>
      <c r="I39" s="17">
        <f>'MERCADO TUSD'!$U$36</f>
        <v>0</v>
      </c>
      <c r="J39" s="15"/>
      <c r="L39" s="12">
        <f>('TUSD BE'!$L$39+'TUSD BF'!$L$39+'TUSD CVA'!$L$39)*1</f>
        <v>0</v>
      </c>
      <c r="M39" s="12">
        <f>('TUSD BE'!$M$39+'TUSD BF'!$M$39+'TUSD CVA'!$M$39)*1</f>
        <v>0.78655281242721842</v>
      </c>
      <c r="N39" s="12">
        <f ca="1">('TUSD BE'!$N$39+'TUSD BF'!$N$39+'TUSD CVA'!$N$39)*1</f>
        <v>2.8356925309483567</v>
      </c>
      <c r="O39" s="12">
        <f>('TUSD BE'!$O$39+'TUSD BF'!$O$39+'TUSD CVA'!$O$39)*1</f>
        <v>3.7615096723935967E-2</v>
      </c>
      <c r="P39" s="12">
        <v>0</v>
      </c>
      <c r="Q39" s="12">
        <f>('TUSD BE'!$Q$39+'TUSD BF'!$Q$39+'TUSD CVA'!$Q$39)*1</f>
        <v>0</v>
      </c>
      <c r="R39" s="12">
        <v>0</v>
      </c>
      <c r="S39" s="12">
        <f>('TUSD BE'!$S$39+'TUSD BF'!$S$39+'TUSD CVA'!$S$39)*1</f>
        <v>0</v>
      </c>
      <c r="T39" s="12">
        <f>('TUSD BE'!$U$39+'TUSD BF'!$U$39+'TUSD CVA'!$U$39)*1</f>
        <v>18.040270470697873</v>
      </c>
      <c r="U39" s="12">
        <f>('TUSD BE'!$V$39+'TUSD BF'!$V$39+'TUSD CVA'!$V$39)*1</f>
        <v>4.9192378169475282</v>
      </c>
      <c r="V39" s="12">
        <f>('TUSD BE'!$W$39+'TUSD BF'!$W$39+'TUSD CVA'!$W$39)*1</f>
        <v>0.41578589356850859</v>
      </c>
      <c r="W39" s="12">
        <f>('TUSD BE'!$X$39+'TUSD BF'!$X$39+'TUSD CVA'!$X$39)*1</f>
        <v>0</v>
      </c>
      <c r="X39" s="12">
        <f>('TUSD BE'!$Y$39+'TUSD BF'!$Y$39+'TUSD CVA'!$Y$39)*1</f>
        <v>17.353853081363678</v>
      </c>
      <c r="Y39" s="12">
        <f>('TUSD BE'!$Z$39+'TUSD BF'!$Z$39+'TUSD CVA'!$Z$39)*1</f>
        <v>0</v>
      </c>
      <c r="Z39" s="12">
        <f>('TUSD BE'!$AA$39+'TUSD BF'!$AA$39+'TUSD CVA'!$AA$39)*1</f>
        <v>0</v>
      </c>
      <c r="AA39" s="12">
        <f>('TUSD BE'!$AC$39+'TUSD BF'!$AC$39+'TUSD CVA'!$AC$39)*1</f>
        <v>194.45409957023278</v>
      </c>
      <c r="AB39" s="12">
        <f ca="1">('TUSD BE'!$AE$39+'TUSD BF'!$AE$39+'TUSD CVA'!$AE$39)*1</f>
        <v>-21.945366102749524</v>
      </c>
      <c r="AC39" s="12">
        <f ca="1">('TUSD BE'!$AF$39+'TUSD BF'!$AF$39+'TUSD CVA'!$AF$39)*1</f>
        <v>0</v>
      </c>
      <c r="AD39" s="12">
        <f>('TUSD BE'!$AH$39+'TUSD BF'!$AH$39+'TUSD CVA'!$AH$39)*1</f>
        <v>18.48270906488305</v>
      </c>
      <c r="AE39" s="12">
        <f>('TUSD BE'!$AI$39+'TUSD BF'!$AI$39+'TUSD CVA'!$AI$39)*1</f>
        <v>0.43577182623286492</v>
      </c>
      <c r="AF39" s="12">
        <f ca="1">('TUSD BE'!$AJ$39+'TUSD BF'!$AJ$39+'TUSD CVA'!$AJ$39)*1</f>
        <v>2.8976873425982257</v>
      </c>
      <c r="AG39" s="12">
        <f ca="1">('TUSD BE'!$AK$39+'TUSD BF'!$AK$39+'TUSD CVA'!$AK$39)*1</f>
        <v>0</v>
      </c>
      <c r="AI39" s="12">
        <v>0</v>
      </c>
      <c r="AJ39" s="12">
        <v>0.73563791871328599</v>
      </c>
      <c r="AK39" s="12">
        <v>3.0456341268221498</v>
      </c>
      <c r="AL39" s="12">
        <v>4.6353452504891701E-2</v>
      </c>
      <c r="AM39" s="12">
        <v>0</v>
      </c>
      <c r="AN39" s="12">
        <v>0</v>
      </c>
      <c r="AO39" s="12">
        <v>0</v>
      </c>
      <c r="AP39" s="12">
        <v>0</v>
      </c>
      <c r="AQ39" s="12">
        <v>19.417917831766498</v>
      </c>
      <c r="AR39" s="12">
        <v>7.1472687215024102</v>
      </c>
      <c r="AS39" s="12">
        <v>0.58436784299410505</v>
      </c>
      <c r="AT39" s="12">
        <v>0</v>
      </c>
      <c r="AU39" s="12">
        <v>20.940265095412901</v>
      </c>
      <c r="AV39" s="12">
        <v>0</v>
      </c>
      <c r="AW39" s="12">
        <v>0</v>
      </c>
      <c r="AX39" s="12">
        <v>174.489274026445</v>
      </c>
      <c r="AY39" s="12">
        <v>0</v>
      </c>
      <c r="AZ39" s="12">
        <v>0</v>
      </c>
      <c r="BA39" s="12">
        <v>16.9488851850092</v>
      </c>
      <c r="BB39" s="12">
        <v>0.41432660838160001</v>
      </c>
      <c r="BC39" s="12">
        <v>2.7293192564569502</v>
      </c>
      <c r="BD39" s="12">
        <v>0</v>
      </c>
    </row>
    <row r="40" spans="1:56" ht="11.25" customHeight="1" x14ac:dyDescent="0.25">
      <c r="A40" s="106" t="s">
        <v>43</v>
      </c>
      <c r="B40" s="106" t="s">
        <v>33</v>
      </c>
      <c r="C40" s="106" t="s">
        <v>44</v>
      </c>
      <c r="D40" s="106" t="s">
        <v>25</v>
      </c>
      <c r="E40" s="106" t="s">
        <v>25</v>
      </c>
      <c r="F40" s="106" t="s">
        <v>25</v>
      </c>
      <c r="G40" s="17" t="s">
        <v>79</v>
      </c>
      <c r="H40" s="17" t="s">
        <v>78</v>
      </c>
      <c r="I40" s="17">
        <f>'MERCADO TUSD'!$U$37</f>
        <v>0.16600000000000004</v>
      </c>
      <c r="J40" s="15"/>
      <c r="L40" s="12">
        <f>('TUSD BE'!$L$40+'TUSD BF'!$L$40+'TUSD CVA'!$L$40)*(1 - CUSTOS!$M$38)</f>
        <v>1.8387088982489408</v>
      </c>
      <c r="M40" s="12">
        <f>('TUSD BE'!$M$40+'TUSD BF'!$M$40+'TUSD CVA'!$M$40)*(1 - CUSTOS!$M$38)</f>
        <v>0.73935964368158524</v>
      </c>
      <c r="N40" s="12">
        <f ca="1">('TUSD BE'!$N$40+'TUSD BF'!$N$40+'TUSD CVA'!$N$40)*(1 - CUSTOS!$M$38)</f>
        <v>7.6133856659132473</v>
      </c>
      <c r="O40" s="12">
        <f>('TUSD BE'!$O$40+'TUSD BF'!$O$40+'TUSD CVA'!$O$40)*(1 - CUSTOS!$M$38)</f>
        <v>3.5358190920499806E-2</v>
      </c>
      <c r="P40" s="12">
        <f>('TUSD BE'!$P$40+'TUSD BF'!$P$40+'TUSD CVA'!$P$40)*(1 - CUSTOS!$M$38)</f>
        <v>0</v>
      </c>
      <c r="Q40" s="12">
        <f>('TUSD BE'!$Q$40+'TUSD BF'!$Q$40+'TUSD CVA'!$Q$40)*(1 - CUSTOS!$M$38)</f>
        <v>32.864988556895653</v>
      </c>
      <c r="R40" s="12">
        <f>('TUSD BE'!$R$40+'TUSD BF'!$R$40+'TUSD CVA'!$R$40)*(1 - CUSTOS!$M$38)</f>
        <v>13.561869199915</v>
      </c>
      <c r="S40" s="12">
        <f>('TUSD BE'!$S$40+'TUSD BF'!$S$40+'TUSD CVA'!$S$40)*(1 - CUSTOS!$M$38)</f>
        <v>0</v>
      </c>
      <c r="T40" s="12">
        <f>('TUSD BE'!$U$40+'TUSD BF'!$U$40+'TUSD CVA'!$U$40)*(1 - CUSTOS!$M$38)</f>
        <v>54.265331173787906</v>
      </c>
      <c r="U40" s="12">
        <f>('TUSD BE'!$V$40+'TUSD BF'!$V$40+'TUSD CVA'!$V$40)*(1 - CUSTOS!$M$38)</f>
        <v>14.797129556247436</v>
      </c>
      <c r="V40" s="12">
        <f>('TUSD BE'!$W$40+'TUSD BF'!$W$40+'TUSD CVA'!$W$40)*(1 - CUSTOS!$M$38)</f>
        <v>1.2506234196371948</v>
      </c>
      <c r="W40" s="12">
        <f>('TUSD BE'!$X$40+'TUSD BF'!$X$40+'TUSD CVA'!$X$40)*(1 - CUSTOS!$M$38)</f>
        <v>0</v>
      </c>
      <c r="X40" s="12">
        <f>('TUSD BE'!$Y$40+'TUSD BF'!$Y$40+'TUSD CVA'!$Y$40)*(1 - CUSTOS!$M$38)</f>
        <v>52.200553351099657</v>
      </c>
      <c r="Y40" s="12">
        <f>('TUSD BE'!$Z$40+'TUSD BF'!$Z$40+'TUSD CVA'!$Z$40)*(1 - CUSTOS!$M$38)</f>
        <v>0</v>
      </c>
      <c r="Z40" s="12">
        <f>('TUSD BE'!$AA$40+'TUSD BF'!$AA$40+'TUSD CVA'!$AA$40)*(1 - CUSTOS!$M$38)</f>
        <v>0</v>
      </c>
      <c r="AA40" s="12">
        <f>('TUSD BE'!$AC$40+'TUSD BF'!$AC$40+'TUSD CVA'!$AC$40)*(1 - CUSTOS!$M$38)</f>
        <v>584.91804281402358</v>
      </c>
      <c r="AB40" s="12">
        <f ca="1">('TUSD BE'!$AE$40+'TUSD BF'!$AE$40+'TUSD CVA'!$AE$40)*(1 - CUSTOS!$M$38)</f>
        <v>-66.496865781402676</v>
      </c>
      <c r="AC40" s="12">
        <f ca="1">('TUSD BE'!$AF$40+'TUSD BF'!$AF$40+'TUSD CVA'!$AF$40)*(1 - CUSTOS!$M$38)</f>
        <v>0</v>
      </c>
      <c r="AD40" s="12">
        <f>('TUSD BE'!$AH$40+'TUSD BF'!$AH$40+'TUSD CVA'!$AH$40)*(1 - CUSTOS!$M$38)</f>
        <v>17.373746520990068</v>
      </c>
      <c r="AE40" s="12">
        <f>('TUSD BE'!$AI$40+'TUSD BF'!$AI$40+'TUSD CVA'!$AI$40)*(1 - CUSTOS!$M$38)</f>
        <v>0.40962551665889302</v>
      </c>
      <c r="AF40" s="12">
        <f ca="1">('TUSD BE'!$AJ$40+'TUSD BF'!$AJ$40+'TUSD CVA'!$AJ$40)*(1 - CUSTOS!$M$38)</f>
        <v>2.7238261020423318</v>
      </c>
      <c r="AG40" s="12">
        <f ca="1">('TUSD BE'!$AK$40+'TUSD BF'!$AK$40+'TUSD CVA'!$AK$40)*(1 - CUSTOS!$M$38)</f>
        <v>0</v>
      </c>
      <c r="AI40" s="12">
        <v>0</v>
      </c>
      <c r="AJ40" s="12">
        <v>0.64736136846769099</v>
      </c>
      <c r="AK40" s="12">
        <v>7.6537461539363898</v>
      </c>
      <c r="AL40" s="12">
        <v>4.07910382043047E-2</v>
      </c>
      <c r="AM40" s="12">
        <v>0</v>
      </c>
      <c r="AN40" s="12">
        <v>24.686217833517301</v>
      </c>
      <c r="AO40" s="12">
        <v>8.4219704683877108</v>
      </c>
      <c r="AP40" s="12">
        <v>0</v>
      </c>
      <c r="AQ40" s="12">
        <v>54.681055725973202</v>
      </c>
      <c r="AR40" s="12">
        <v>20.126793326990999</v>
      </c>
      <c r="AS40" s="12">
        <v>1.64550017992224</v>
      </c>
      <c r="AT40" s="12">
        <v>0</v>
      </c>
      <c r="AU40" s="12">
        <v>58.967970959396503</v>
      </c>
      <c r="AV40" s="12">
        <v>0</v>
      </c>
      <c r="AW40" s="12">
        <v>0</v>
      </c>
      <c r="AX40" s="12">
        <v>491.36188916199899</v>
      </c>
      <c r="AY40" s="12">
        <v>0</v>
      </c>
      <c r="AZ40" s="12">
        <v>0</v>
      </c>
      <c r="BA40" s="12">
        <v>14.9150189628081</v>
      </c>
      <c r="BB40" s="12">
        <v>0.36460741537580799</v>
      </c>
      <c r="BC40" s="12">
        <v>2.4018009456821101</v>
      </c>
      <c r="BD40" s="12">
        <v>0</v>
      </c>
    </row>
    <row r="41" spans="1:56" ht="11.25" customHeight="1" x14ac:dyDescent="0.25">
      <c r="A41" s="106"/>
      <c r="B41" s="106"/>
      <c r="C41" s="106"/>
      <c r="D41" s="106"/>
      <c r="E41" s="106"/>
      <c r="F41" s="106"/>
      <c r="G41" s="17" t="s">
        <v>91</v>
      </c>
      <c r="H41" s="17" t="s">
        <v>78</v>
      </c>
      <c r="I41" s="17">
        <f>'MERCADO TUSD'!$U$38</f>
        <v>0.14499999999999999</v>
      </c>
      <c r="J41" s="15"/>
      <c r="L41" s="12">
        <f>('TUSD BE'!$L$41+'TUSD BF'!$L$41+'TUSD CVA'!$L$41)*(1 - CUSTOS!$M$38)</f>
        <v>1.8387088982489408</v>
      </c>
      <c r="M41" s="12">
        <f>('TUSD BE'!$M$41+'TUSD BF'!$M$41+'TUSD CVA'!$M$41)*(1 - CUSTOS!$M$38)</f>
        <v>0.73935964368158524</v>
      </c>
      <c r="N41" s="12">
        <f ca="1">('TUSD BE'!$N$41+'TUSD BF'!$N$41+'TUSD CVA'!$N$41)*(1 - CUSTOS!$M$38)</f>
        <v>4.7410508511504972</v>
      </c>
      <c r="O41" s="12">
        <f>('TUSD BE'!$O$41+'TUSD BF'!$O$41+'TUSD CVA'!$O$41)*(1 - CUSTOS!$M$38)</f>
        <v>3.5358190920499806E-2</v>
      </c>
      <c r="P41" s="12">
        <f>('TUSD BE'!$P$41+'TUSD BF'!$P$41+'TUSD CVA'!$P$41)*(1 - CUSTOS!$M$38)</f>
        <v>0</v>
      </c>
      <c r="Q41" s="12">
        <f>('TUSD BE'!$Q$41+'TUSD BF'!$Q$41+'TUSD CVA'!$Q$41)*(1 - CUSTOS!$M$38)</f>
        <v>32.864988556895653</v>
      </c>
      <c r="R41" s="12">
        <f>('TUSD BE'!$R$41+'TUSD BF'!$R$41+'TUSD CVA'!$R$41)*(1 - CUSTOS!$M$38)</f>
        <v>13.561869199915</v>
      </c>
      <c r="S41" s="12">
        <f>('TUSD BE'!$S$41+'TUSD BF'!$S$41+'TUSD CVA'!$S$41)*(1 - CUSTOS!$M$38)</f>
        <v>0</v>
      </c>
      <c r="T41" s="12">
        <f>('TUSD BE'!$U$41+'TUSD BF'!$U$41+'TUSD CVA'!$U$41)*(1 - CUSTOS!$M$38)</f>
        <v>32.559198704272745</v>
      </c>
      <c r="U41" s="12">
        <f>('TUSD BE'!$V$41+'TUSD BF'!$V$41+'TUSD CVA'!$V$41)*(1 - CUSTOS!$M$38)</f>
        <v>8.8782932844657783</v>
      </c>
      <c r="V41" s="12">
        <f>('TUSD BE'!$W$41+'TUSD BF'!$W$41+'TUSD CVA'!$W$41)*(1 - CUSTOS!$M$38)</f>
        <v>0.75034377767387728</v>
      </c>
      <c r="W41" s="12">
        <f>('TUSD BE'!$X$41+'TUSD BF'!$X$41+'TUSD CVA'!$X$41)*(1 - CUSTOS!$M$38)</f>
        <v>0</v>
      </c>
      <c r="X41" s="12">
        <f>('TUSD BE'!$Y$41+'TUSD BF'!$Y$41+'TUSD CVA'!$Y$41)*(1 - CUSTOS!$M$38)</f>
        <v>31.320311600365077</v>
      </c>
      <c r="Y41" s="12">
        <f>('TUSD BE'!$Z$41+'TUSD BF'!$Z$41+'TUSD CVA'!$Z$41)*(1 - CUSTOS!$M$38)</f>
        <v>0</v>
      </c>
      <c r="Z41" s="12">
        <f>('TUSD BE'!$AA$41+'TUSD BF'!$AA$41+'TUSD CVA'!$AA$41)*(1 - CUSTOS!$M$38)</f>
        <v>0</v>
      </c>
      <c r="AA41" s="12">
        <f>('TUSD BE'!$AC$41+'TUSD BF'!$AC$41+'TUSD CVA'!$AC$41)*(1 - CUSTOS!$M$38)</f>
        <v>350.9507811657088</v>
      </c>
      <c r="AB41" s="12">
        <f ca="1">('TUSD BE'!$AE$41+'TUSD BF'!$AE$41+'TUSD CVA'!$AE$41)*(1 - CUSTOS!$M$38)</f>
        <v>-42.231030248879875</v>
      </c>
      <c r="AC41" s="12">
        <f ca="1">('TUSD BE'!$AF$41+'TUSD BF'!$AF$41+'TUSD CVA'!$AF$41)*(1 - CUSTOS!$M$38)</f>
        <v>0</v>
      </c>
      <c r="AD41" s="12">
        <f>('TUSD BE'!$AH$41+'TUSD BF'!$AH$41+'TUSD CVA'!$AH$41)*(1 - CUSTOS!$M$38)</f>
        <v>17.373746520990068</v>
      </c>
      <c r="AE41" s="12">
        <f>('TUSD BE'!$AI$41+'TUSD BF'!$AI$41+'TUSD CVA'!$AI$41)*(1 - CUSTOS!$M$38)</f>
        <v>0.40962551665889302</v>
      </c>
      <c r="AF41" s="12">
        <f ca="1">('TUSD BE'!$AJ$41+'TUSD BF'!$AJ$41+'TUSD CVA'!$AJ$41)*(1 - CUSTOS!$M$38)</f>
        <v>2.7238261020423318</v>
      </c>
      <c r="AG41" s="12">
        <f ca="1">('TUSD BE'!$AK$41+'TUSD BF'!$AK$41+'TUSD CVA'!$AK$41)*(1 - CUSTOS!$M$38)</f>
        <v>0</v>
      </c>
      <c r="AI41" s="12">
        <v>0</v>
      </c>
      <c r="AJ41" s="12">
        <v>0.64736136846769099</v>
      </c>
      <c r="AK41" s="12">
        <v>4.7664608620254603</v>
      </c>
      <c r="AL41" s="12">
        <v>4.07910382043047E-2</v>
      </c>
      <c r="AM41" s="12">
        <v>0</v>
      </c>
      <c r="AN41" s="12">
        <v>24.686217833517301</v>
      </c>
      <c r="AO41" s="12">
        <v>8.4219704683877108</v>
      </c>
      <c r="AP41" s="12">
        <v>0</v>
      </c>
      <c r="AQ41" s="12">
        <v>32.8086334355839</v>
      </c>
      <c r="AR41" s="12">
        <v>12.0760971480046</v>
      </c>
      <c r="AS41" s="12">
        <v>0.98726027497876301</v>
      </c>
      <c r="AT41" s="12">
        <v>0</v>
      </c>
      <c r="AU41" s="12">
        <v>35.3807595192986</v>
      </c>
      <c r="AV41" s="12">
        <v>0</v>
      </c>
      <c r="AW41" s="12">
        <v>0</v>
      </c>
      <c r="AX41" s="12">
        <v>294.81709609578701</v>
      </c>
      <c r="AY41" s="12">
        <v>0</v>
      </c>
      <c r="AZ41" s="12">
        <v>0</v>
      </c>
      <c r="BA41" s="12">
        <v>14.9150189628081</v>
      </c>
      <c r="BB41" s="12">
        <v>0.36460741537580799</v>
      </c>
      <c r="BC41" s="12">
        <v>2.4018009456821101</v>
      </c>
      <c r="BD41" s="12">
        <v>0</v>
      </c>
    </row>
    <row r="42" spans="1:56" ht="11.25" customHeight="1" x14ac:dyDescent="0.25">
      <c r="A42" s="106"/>
      <c r="B42" s="106"/>
      <c r="C42" s="106"/>
      <c r="D42" s="106"/>
      <c r="E42" s="106"/>
      <c r="F42" s="106"/>
      <c r="G42" s="17" t="s">
        <v>80</v>
      </c>
      <c r="H42" s="17" t="s">
        <v>78</v>
      </c>
      <c r="I42" s="17">
        <f>'MERCADO TUSD'!$U$39</f>
        <v>3.37</v>
      </c>
      <c r="J42" s="15"/>
      <c r="L42" s="12">
        <f>('TUSD BE'!$L$42+'TUSD BF'!$L$42+'TUSD CVA'!$L$42)*(1 - CUSTOS!$M$38)</f>
        <v>1.8387088982489408</v>
      </c>
      <c r="M42" s="12">
        <f>('TUSD BE'!$M$42+'TUSD BF'!$M$42+'TUSD CVA'!$M$42)*(1 - CUSTOS!$M$38)</f>
        <v>0.73935964368158524</v>
      </c>
      <c r="N42" s="12">
        <f ca="1">('TUSD BE'!$N$42+'TUSD BF'!$N$42+'TUSD CVA'!$N$42)*(1 - CUSTOS!$M$38)</f>
        <v>1.8687182382187719</v>
      </c>
      <c r="O42" s="12">
        <f>('TUSD BE'!$O$42+'TUSD BF'!$O$42+'TUSD CVA'!$O$42)*(1 - CUSTOS!$M$38)</f>
        <v>3.5358190920499806E-2</v>
      </c>
      <c r="P42" s="12">
        <f>('TUSD BE'!$P$42+'TUSD BF'!$P$42+'TUSD CVA'!$P$42)*(1 - CUSTOS!$M$38)</f>
        <v>0</v>
      </c>
      <c r="Q42" s="12">
        <f>('TUSD BE'!$Q$42+'TUSD BF'!$Q$42+'TUSD CVA'!$Q$42)*(1 - CUSTOS!$M$38)</f>
        <v>32.864988556895653</v>
      </c>
      <c r="R42" s="12">
        <f>('TUSD BE'!$R$42+'TUSD BF'!$R$42+'TUSD CVA'!$R$42)*(1 - CUSTOS!$M$38)</f>
        <v>13.561869199915</v>
      </c>
      <c r="S42" s="12">
        <f>('TUSD BE'!$S$42+'TUSD BF'!$S$42+'TUSD CVA'!$S$42)*(1 - CUSTOS!$M$38)</f>
        <v>0</v>
      </c>
      <c r="T42" s="12">
        <f>('TUSD BE'!$U$42+'TUSD BF'!$U$42+'TUSD CVA'!$U$42)*(1 - CUSTOS!$M$38)</f>
        <v>10.853066234757581</v>
      </c>
      <c r="U42" s="12">
        <f>('TUSD BE'!$V$42+'TUSD BF'!$V$42+'TUSD CVA'!$V$42)*(1 - CUSTOS!$M$38)</f>
        <v>2.9594570126841222</v>
      </c>
      <c r="V42" s="12">
        <f>('TUSD BE'!$W$42+'TUSD BF'!$W$42+'TUSD CVA'!$W$42)*(1 - CUSTOS!$M$38)</f>
        <v>0.25013982098165871</v>
      </c>
      <c r="W42" s="12">
        <f>('TUSD BE'!$X$42+'TUSD BF'!$X$42+'TUSD CVA'!$X$42)*(1 - CUSTOS!$M$38)</f>
        <v>0</v>
      </c>
      <c r="X42" s="12">
        <f>('TUSD BE'!$Y$42+'TUSD BF'!$Y$42+'TUSD CVA'!$Y$42)*(1 - CUSTOS!$M$38)</f>
        <v>10.440069849630502</v>
      </c>
      <c r="Y42" s="12">
        <f>('TUSD BE'!$Z$42+'TUSD BF'!$Z$42+'TUSD CVA'!$Z$42)*(1 - CUSTOS!$M$38)</f>
        <v>0</v>
      </c>
      <c r="Z42" s="12">
        <f>('TUSD BE'!$AA$42+'TUSD BF'!$AA$42+'TUSD CVA'!$AA$42)*(1 - CUSTOS!$M$38)</f>
        <v>0</v>
      </c>
      <c r="AA42" s="12">
        <f>('TUSD BE'!$AC$42+'TUSD BF'!$AC$42+'TUSD CVA'!$AC$42)*(1 - CUSTOS!$M$38)</f>
        <v>116.98363082415737</v>
      </c>
      <c r="AB42" s="12">
        <f ca="1">('TUSD BE'!$AE$42+'TUSD BF'!$AE$42+'TUSD CVA'!$AE$42)*(1 - CUSTOS!$M$38)</f>
        <v>-17.965210812432471</v>
      </c>
      <c r="AC42" s="12">
        <f ca="1">('TUSD BE'!$AF$42+'TUSD BF'!$AF$42+'TUSD CVA'!$AF$42)*(1 - CUSTOS!$M$38)</f>
        <v>0</v>
      </c>
      <c r="AD42" s="12">
        <f>('TUSD BE'!$AH$42+'TUSD BF'!$AH$42+'TUSD CVA'!$AH$42)*(1 - CUSTOS!$M$38)</f>
        <v>17.373746520990068</v>
      </c>
      <c r="AE42" s="12">
        <f>('TUSD BE'!$AI$42+'TUSD BF'!$AI$42+'TUSD CVA'!$AI$42)*(1 - CUSTOS!$M$38)</f>
        <v>0.40962551665889302</v>
      </c>
      <c r="AF42" s="12">
        <f ca="1">('TUSD BE'!$AJ$42+'TUSD BF'!$AJ$42+'TUSD CVA'!$AJ$42)*(1 - CUSTOS!$M$38)</f>
        <v>2.7238261020423318</v>
      </c>
      <c r="AG42" s="12">
        <f ca="1">('TUSD BE'!$AK$42+'TUSD BF'!$AK$42+'TUSD CVA'!$AK$42)*(1 - CUSTOS!$M$38)</f>
        <v>0</v>
      </c>
      <c r="AI42" s="12">
        <v>0</v>
      </c>
      <c r="AJ42" s="12">
        <v>0.64736136846769099</v>
      </c>
      <c r="AK42" s="12">
        <v>1.8791777834060599</v>
      </c>
      <c r="AL42" s="12">
        <v>4.07910382043047E-2</v>
      </c>
      <c r="AM42" s="12">
        <v>0</v>
      </c>
      <c r="AN42" s="12">
        <v>24.686217833517301</v>
      </c>
      <c r="AO42" s="12">
        <v>8.4219704683877108</v>
      </c>
      <c r="AP42" s="12">
        <v>0</v>
      </c>
      <c r="AQ42" s="12">
        <v>10.9362111451946</v>
      </c>
      <c r="AR42" s="12">
        <v>4.0254009690182704</v>
      </c>
      <c r="AS42" s="12">
        <v>0.32911995247173798</v>
      </c>
      <c r="AT42" s="12">
        <v>0</v>
      </c>
      <c r="AU42" s="12">
        <v>11.7935480792008</v>
      </c>
      <c r="AV42" s="12">
        <v>0</v>
      </c>
      <c r="AW42" s="12">
        <v>0</v>
      </c>
      <c r="AX42" s="12">
        <v>98.272396533105706</v>
      </c>
      <c r="AY42" s="12">
        <v>0</v>
      </c>
      <c r="AZ42" s="12">
        <v>0</v>
      </c>
      <c r="BA42" s="12">
        <v>14.9150189628081</v>
      </c>
      <c r="BB42" s="12">
        <v>0.36460741537580799</v>
      </c>
      <c r="BC42" s="12">
        <v>2.4018009456821101</v>
      </c>
      <c r="BD42" s="12">
        <v>0</v>
      </c>
    </row>
    <row r="43" spans="1:56" ht="11.25" customHeight="1" x14ac:dyDescent="0.25">
      <c r="A43" s="106"/>
      <c r="B43" s="18" t="s">
        <v>23</v>
      </c>
      <c r="C43" s="18" t="s">
        <v>44</v>
      </c>
      <c r="D43" s="18" t="s">
        <v>25</v>
      </c>
      <c r="E43" s="18" t="s">
        <v>25</v>
      </c>
      <c r="F43" s="18" t="s">
        <v>25</v>
      </c>
      <c r="G43" s="17" t="s">
        <v>84</v>
      </c>
      <c r="H43" s="17" t="s">
        <v>78</v>
      </c>
      <c r="I43" s="17">
        <f>'MERCADO TUSD'!$U$40</f>
        <v>23741.584000000003</v>
      </c>
      <c r="J43" s="15"/>
      <c r="L43" s="12">
        <f>('TUSD BE'!$L$43+'TUSD BF'!$L$43+'TUSD CVA'!$L$43)*(1 - CUSTOS!$M$38)</f>
        <v>1.8387088982489408</v>
      </c>
      <c r="M43" s="12">
        <f>('TUSD BE'!$M$43+'TUSD BF'!$M$43+'TUSD CVA'!$M$43)*(1 - CUSTOS!$M$38)</f>
        <v>0.73935964368158524</v>
      </c>
      <c r="N43" s="12">
        <f ca="1">('TUSD BE'!$N$43+'TUSD BF'!$N$43+'TUSD CVA'!$N$43)*(1 - CUSTOS!$M$38)</f>
        <v>2.676560134232548</v>
      </c>
      <c r="O43" s="12">
        <f>('TUSD BE'!$O$43+'TUSD BF'!$O$43+'TUSD CVA'!$O$43)*(1 - CUSTOS!$M$38)</f>
        <v>3.5358190920499806E-2</v>
      </c>
      <c r="P43" s="12">
        <f>('TUSD BE'!$P$43+'TUSD BF'!$P$43+'TUSD CVA'!$P$43)*(1 - CUSTOS!$M$38)</f>
        <v>0</v>
      </c>
      <c r="Q43" s="12">
        <f>('TUSD BE'!$Q$43+'TUSD BF'!$Q$43+'TUSD CVA'!$Q$43)*(1 - CUSTOS!$M$38)</f>
        <v>32.864988556895653</v>
      </c>
      <c r="R43" s="12">
        <f>('TUSD BE'!$R$43+'TUSD BF'!$R$43+'TUSD CVA'!$R$43)*(1 - CUSTOS!$M$38)</f>
        <v>13.561869199915</v>
      </c>
      <c r="S43" s="12">
        <f>('TUSD BE'!$S$43+'TUSD BF'!$S$43+'TUSD CVA'!$S$43)*(1 - CUSTOS!$M$38)</f>
        <v>0</v>
      </c>
      <c r="T43" s="12">
        <f>('TUSD BE'!$U$43+'TUSD BF'!$U$43+'TUSD CVA'!$U$43)*(1 - CUSTOS!$M$38)</f>
        <v>16.957854242456001</v>
      </c>
      <c r="U43" s="12">
        <f>('TUSD BE'!$V$43+'TUSD BF'!$V$43+'TUSD CVA'!$V$43)*(1 - CUSTOS!$M$38)</f>
        <v>4.6240835479306766</v>
      </c>
      <c r="V43" s="12">
        <f>('TUSD BE'!$W$43+'TUSD BF'!$W$43+'TUSD CVA'!$W$43)*(1 - CUSTOS!$M$38)</f>
        <v>0.39083873995439805</v>
      </c>
      <c r="W43" s="12">
        <f>('TUSD BE'!$X$43+'TUSD BF'!$X$43+'TUSD CVA'!$X$43)*(1 - CUSTOS!$M$38)</f>
        <v>0</v>
      </c>
      <c r="X43" s="12">
        <f>('TUSD BE'!$Y$43+'TUSD BF'!$Y$43+'TUSD CVA'!$Y$43)*(1 - CUSTOS!$M$38)</f>
        <v>16.312621896481858</v>
      </c>
      <c r="Y43" s="12">
        <f>('TUSD BE'!$Z$43+'TUSD BF'!$Z$43+'TUSD CVA'!$Z$43)*(1 - CUSTOS!$M$38)</f>
        <v>0</v>
      </c>
      <c r="Z43" s="12">
        <f>('TUSD BE'!$AA$43+'TUSD BF'!$AA$43+'TUSD CVA'!$AA$43)*(1 - CUSTOS!$M$38)</f>
        <v>0</v>
      </c>
      <c r="AA43" s="12">
        <f>('TUSD BE'!$AC$43+'TUSD BF'!$AC$43+'TUSD CVA'!$AC$43)*(1 - CUSTOS!$M$38)</f>
        <v>182.7868535960188</v>
      </c>
      <c r="AB43" s="12">
        <f ca="1">('TUSD BE'!$AE$43+'TUSD BF'!$AE$43+'TUSD CVA'!$AE$43)*(1 - CUSTOS!$M$38)</f>
        <v>-24.789960488404081</v>
      </c>
      <c r="AC43" s="12">
        <f ca="1">('TUSD BE'!$AF$43+'TUSD BF'!$AF$43+'TUSD CVA'!$AF$43)*(1 - CUSTOS!$M$38)</f>
        <v>0</v>
      </c>
      <c r="AD43" s="12">
        <f>('TUSD BE'!$AH$43+'TUSD BF'!$AH$43+'TUSD CVA'!$AH$43)*(1 - CUSTOS!$M$38)</f>
        <v>17.373746520990068</v>
      </c>
      <c r="AE43" s="12">
        <f>('TUSD BE'!$AI$43+'TUSD BF'!$AI$43+'TUSD CVA'!$AI$43)*(1 - CUSTOS!$M$38)</f>
        <v>0.40962551665889302</v>
      </c>
      <c r="AF43" s="12">
        <f ca="1">('TUSD BE'!$AJ$43+'TUSD BF'!$AJ$43+'TUSD CVA'!$AJ$43)*(1 - CUSTOS!$M$38)</f>
        <v>2.7238261020423318</v>
      </c>
      <c r="AG43" s="12">
        <f ca="1">('TUSD BE'!$AK$43+'TUSD BF'!$AK$43+'TUSD CVA'!$AK$43)*(1 - CUSTOS!$M$38)</f>
        <v>0</v>
      </c>
      <c r="AI43" s="12">
        <v>0</v>
      </c>
      <c r="AJ43" s="12">
        <v>0.64736136846769099</v>
      </c>
      <c r="AK43" s="12">
        <v>2.6912244892991102</v>
      </c>
      <c r="AL43" s="12">
        <v>4.07910382043047E-2</v>
      </c>
      <c r="AM43" s="12">
        <v>0</v>
      </c>
      <c r="AN43" s="12">
        <v>24.686217833517301</v>
      </c>
      <c r="AO43" s="12">
        <v>8.4219704683877108</v>
      </c>
      <c r="AP43" s="12">
        <v>0</v>
      </c>
      <c r="AQ43" s="12">
        <v>17.0877676919545</v>
      </c>
      <c r="AR43" s="12">
        <v>6.2895964749221198</v>
      </c>
      <c r="AS43" s="12">
        <v>0.51424370183481205</v>
      </c>
      <c r="AT43" s="12">
        <v>0</v>
      </c>
      <c r="AU43" s="12">
        <v>18.4274332839633</v>
      </c>
      <c r="AV43" s="12">
        <v>0</v>
      </c>
      <c r="AW43" s="12">
        <v>0</v>
      </c>
      <c r="AX43" s="12">
        <v>153.55056114327201</v>
      </c>
      <c r="AY43" s="12">
        <v>0</v>
      </c>
      <c r="AZ43" s="12">
        <v>0</v>
      </c>
      <c r="BA43" s="12">
        <v>14.9150189628081</v>
      </c>
      <c r="BB43" s="12">
        <v>0.36460741537580799</v>
      </c>
      <c r="BC43" s="12">
        <v>2.4018009456821101</v>
      </c>
      <c r="BD43" s="12">
        <v>0</v>
      </c>
    </row>
    <row r="44" spans="1:56" ht="11.25" customHeight="1" x14ac:dyDescent="0.25">
      <c r="A44" s="106"/>
      <c r="B44" s="106" t="s">
        <v>33</v>
      </c>
      <c r="C44" s="106" t="s">
        <v>44</v>
      </c>
      <c r="D44" s="106" t="s">
        <v>94</v>
      </c>
      <c r="E44" s="106" t="s">
        <v>25</v>
      </c>
      <c r="F44" s="106" t="s">
        <v>25</v>
      </c>
      <c r="G44" s="17" t="s">
        <v>79</v>
      </c>
      <c r="H44" s="17" t="s">
        <v>78</v>
      </c>
      <c r="I44" s="17">
        <f>'MERCADO TUSD'!$U$41</f>
        <v>0</v>
      </c>
      <c r="J44" s="15"/>
      <c r="L44" s="12">
        <f>('TUSD BE'!$L$44+'TUSD BF'!$L$44+'TUSD CVA'!$L$44)*(1 - CUSTOS!$M$39)</f>
        <v>1.8387088982489408</v>
      </c>
      <c r="M44" s="12">
        <f>('TUSD BE'!$M$44+'TUSD BF'!$M$44+'TUSD CVA'!$M$44)*(1 - CUSTOS!$M$39)</f>
        <v>0.73935964368158524</v>
      </c>
      <c r="N44" s="12">
        <f ca="1">('TUSD BE'!$N$44+'TUSD BF'!$N$44+'TUSD CVA'!$N$44)*(1 - CUSTOS!$M$39)</f>
        <v>7.6133856659132473</v>
      </c>
      <c r="O44" s="12">
        <f>('TUSD BE'!$O$44+'TUSD BF'!$O$44+'TUSD CVA'!$O$44)*(1 - CUSTOS!$M$39)</f>
        <v>3.5358190920499806E-2</v>
      </c>
      <c r="P44" s="12">
        <f>('TUSD BE'!$P$44+'TUSD BF'!$P$44+'TUSD CVA'!$P$44)*(1 - CUSTOS!$M$39)</f>
        <v>0</v>
      </c>
      <c r="Q44" s="12">
        <f>('TUSD BE'!$Q$44+'TUSD BF'!$Q$44+'TUSD CVA'!$Q$44)*(1 - CUSTOS!$M$39)</f>
        <v>32.864988556895653</v>
      </c>
      <c r="R44" s="12">
        <f>('TUSD BE'!$R$44+'TUSD BF'!$R$44+'TUSD CVA'!$R$44)*(1 - CUSTOS!$M$39)</f>
        <v>13.561869199915</v>
      </c>
      <c r="S44" s="12">
        <f>('TUSD BE'!$S$44+'TUSD BF'!$S$44+'TUSD CVA'!$S$44)*(1 - CUSTOS!$M$39)</f>
        <v>0</v>
      </c>
      <c r="T44" s="12">
        <f>('TUSD BE'!$U$44+'TUSD BF'!$U$44+'TUSD CVA'!$U$44)*(1 - CUSTOS!$M$39)</f>
        <v>54.265331173787906</v>
      </c>
      <c r="U44" s="12">
        <f>('TUSD BE'!$V$44+'TUSD BF'!$V$44+'TUSD CVA'!$V$44)*(1 - CUSTOS!$M$39)</f>
        <v>14.797129556247436</v>
      </c>
      <c r="V44" s="12">
        <f>('TUSD BE'!$W$44+'TUSD BF'!$W$44+'TUSD CVA'!$W$44)*(1 - CUSTOS!$M$39)</f>
        <v>1.2506234196371948</v>
      </c>
      <c r="W44" s="12">
        <f>('TUSD BE'!$X$44+'TUSD BF'!$X$44+'TUSD CVA'!$X$44)*(1 - CUSTOS!$M$39)</f>
        <v>0</v>
      </c>
      <c r="X44" s="12">
        <f>('TUSD BE'!$Y$44+'TUSD BF'!$Y$44+'TUSD CVA'!$Y$44)*(1 - CUSTOS!$M$39)</f>
        <v>52.200553351099657</v>
      </c>
      <c r="Y44" s="12">
        <f>('TUSD BE'!$Z$44+'TUSD BF'!$Z$44+'TUSD CVA'!$Z$44)*(1 - CUSTOS!$M$39)</f>
        <v>0</v>
      </c>
      <c r="Z44" s="12">
        <f>('TUSD BE'!$AA$44+'TUSD BF'!$AA$44+'TUSD CVA'!$AA$44)*(1 - CUSTOS!$M$39)</f>
        <v>0</v>
      </c>
      <c r="AA44" s="12">
        <f>('TUSD BE'!$AC$44+'TUSD BF'!$AC$44+'TUSD CVA'!$AC$44)*(1 - CUSTOS!$M$39)</f>
        <v>584.91804281402358</v>
      </c>
      <c r="AB44" s="12">
        <f ca="1">('TUSD BE'!$AE$44+'TUSD BF'!$AE$44+'TUSD CVA'!$AE$44)*(1 - CUSTOS!$M$39)</f>
        <v>-66.496865781402676</v>
      </c>
      <c r="AC44" s="12">
        <f ca="1">('TUSD BE'!$AF$44+'TUSD BF'!$AF$44+'TUSD CVA'!$AF$44)*(1 - CUSTOS!$M$39)</f>
        <v>0</v>
      </c>
      <c r="AD44" s="12">
        <f>('TUSD BE'!$AH$44+'TUSD BF'!$AH$44+'TUSD CVA'!$AH$44)*(1 - CUSTOS!$M$39)</f>
        <v>17.373746520990068</v>
      </c>
      <c r="AE44" s="12">
        <f>('TUSD BE'!$AI$44+'TUSD BF'!$AI$44+'TUSD CVA'!$AI$44)*(1 - CUSTOS!$M$39)</f>
        <v>0.40962551665889302</v>
      </c>
      <c r="AF44" s="12">
        <f ca="1">('TUSD BE'!$AJ$44+'TUSD BF'!$AJ$44+'TUSD CVA'!$AJ$44)*(1 - CUSTOS!$M$39)</f>
        <v>2.7238261020423318</v>
      </c>
      <c r="AG44" s="12">
        <f ca="1">('TUSD BE'!$AK$44+'TUSD BF'!$AK$44+'TUSD CVA'!$AK$44)*(1 - CUSTOS!$M$39)</f>
        <v>0</v>
      </c>
      <c r="AI44" s="12">
        <v>0</v>
      </c>
      <c r="AJ44" s="12">
        <v>0.64736136846769099</v>
      </c>
      <c r="AK44" s="12">
        <v>7.6537461539363898</v>
      </c>
      <c r="AL44" s="12">
        <v>4.07910382043047E-2</v>
      </c>
      <c r="AM44" s="12">
        <v>0</v>
      </c>
      <c r="AN44" s="12">
        <v>24.686217833517301</v>
      </c>
      <c r="AO44" s="12">
        <v>8.4219704683877108</v>
      </c>
      <c r="AP44" s="12">
        <v>0</v>
      </c>
      <c r="AQ44" s="12">
        <v>54.681055725973202</v>
      </c>
      <c r="AR44" s="12">
        <v>20.126793326990999</v>
      </c>
      <c r="AS44" s="12">
        <v>1.64550017992224</v>
      </c>
      <c r="AT44" s="12">
        <v>0</v>
      </c>
      <c r="AU44" s="12">
        <v>58.967970959396503</v>
      </c>
      <c r="AV44" s="12">
        <v>0</v>
      </c>
      <c r="AW44" s="12">
        <v>0</v>
      </c>
      <c r="AX44" s="12">
        <v>491.36188916199899</v>
      </c>
      <c r="AY44" s="12">
        <v>0</v>
      </c>
      <c r="AZ44" s="12">
        <v>0</v>
      </c>
      <c r="BA44" s="12">
        <v>14.9150189628081</v>
      </c>
      <c r="BB44" s="12">
        <v>0.36460741537580799</v>
      </c>
      <c r="BC44" s="12">
        <v>2.4018009456821101</v>
      </c>
      <c r="BD44" s="12">
        <v>0</v>
      </c>
    </row>
    <row r="45" spans="1:56" ht="11.25" customHeight="1" x14ac:dyDescent="0.25">
      <c r="A45" s="106"/>
      <c r="B45" s="106"/>
      <c r="C45" s="106"/>
      <c r="D45" s="106"/>
      <c r="E45" s="106"/>
      <c r="F45" s="106"/>
      <c r="G45" s="17" t="s">
        <v>91</v>
      </c>
      <c r="H45" s="17" t="s">
        <v>78</v>
      </c>
      <c r="I45" s="17">
        <f>'MERCADO TUSD'!$U$42</f>
        <v>0</v>
      </c>
      <c r="J45" s="15"/>
      <c r="L45" s="12">
        <f>('TUSD BE'!$L$45+'TUSD BF'!$L$45+'TUSD CVA'!$L$45)*(1 - CUSTOS!$M$39)</f>
        <v>1.8387088982489408</v>
      </c>
      <c r="M45" s="12">
        <f>('TUSD BE'!$M$45+'TUSD BF'!$M$45+'TUSD CVA'!$M$45)*(1 - CUSTOS!$M$39)</f>
        <v>0.73935964368158524</v>
      </c>
      <c r="N45" s="12">
        <f ca="1">('TUSD BE'!$N$45+'TUSD BF'!$N$45+'TUSD CVA'!$N$45)*(1 - CUSTOS!$M$39)</f>
        <v>4.7410508511504972</v>
      </c>
      <c r="O45" s="12">
        <f>('TUSD BE'!$O$45+'TUSD BF'!$O$45+'TUSD CVA'!$O$45)*(1 - CUSTOS!$M$39)</f>
        <v>3.5358190920499806E-2</v>
      </c>
      <c r="P45" s="12">
        <f>('TUSD BE'!$P$45+'TUSD BF'!$P$45+'TUSD CVA'!$P$45)*(1 - CUSTOS!$M$39)</f>
        <v>0</v>
      </c>
      <c r="Q45" s="12">
        <f>('TUSD BE'!$Q$45+'TUSD BF'!$Q$45+'TUSD CVA'!$Q$45)*(1 - CUSTOS!$M$39)</f>
        <v>32.864988556895653</v>
      </c>
      <c r="R45" s="12">
        <f>('TUSD BE'!$R$45+'TUSD BF'!$R$45+'TUSD CVA'!$R$45)*(1 - CUSTOS!$M$39)</f>
        <v>13.561869199915</v>
      </c>
      <c r="S45" s="12">
        <f>('TUSD BE'!$S$45+'TUSD BF'!$S$45+'TUSD CVA'!$S$45)*(1 - CUSTOS!$M$39)</f>
        <v>0</v>
      </c>
      <c r="T45" s="12">
        <f>('TUSD BE'!$U$45+'TUSD BF'!$U$45+'TUSD CVA'!$U$45)*(1 - CUSTOS!$M$39)</f>
        <v>32.559198704272745</v>
      </c>
      <c r="U45" s="12">
        <f>('TUSD BE'!$V$45+'TUSD BF'!$V$45+'TUSD CVA'!$V$45)*(1 - CUSTOS!$M$39)</f>
        <v>8.8782932844657783</v>
      </c>
      <c r="V45" s="12">
        <f>('TUSD BE'!$W$45+'TUSD BF'!$W$45+'TUSD CVA'!$W$45)*(1 - CUSTOS!$M$39)</f>
        <v>0.75034377767387728</v>
      </c>
      <c r="W45" s="12">
        <f>('TUSD BE'!$X$45+'TUSD BF'!$X$45+'TUSD CVA'!$X$45)*(1 - CUSTOS!$M$39)</f>
        <v>0</v>
      </c>
      <c r="X45" s="12">
        <f>('TUSD BE'!$Y$45+'TUSD BF'!$Y$45+'TUSD CVA'!$Y$45)*(1 - CUSTOS!$M$39)</f>
        <v>31.320311600365077</v>
      </c>
      <c r="Y45" s="12">
        <f>('TUSD BE'!$Z$45+'TUSD BF'!$Z$45+'TUSD CVA'!$Z$45)*(1 - CUSTOS!$M$39)</f>
        <v>0</v>
      </c>
      <c r="Z45" s="12">
        <f>('TUSD BE'!$AA$45+'TUSD BF'!$AA$45+'TUSD CVA'!$AA$45)*(1 - CUSTOS!$M$39)</f>
        <v>0</v>
      </c>
      <c r="AA45" s="12">
        <f>('TUSD BE'!$AC$45+'TUSD BF'!$AC$45+'TUSD CVA'!$AC$45)*(1 - CUSTOS!$M$39)</f>
        <v>350.9507811657088</v>
      </c>
      <c r="AB45" s="12">
        <f ca="1">('TUSD BE'!$AE$45+'TUSD BF'!$AE$45+'TUSD CVA'!$AE$45)*(1 - CUSTOS!$M$39)</f>
        <v>-42.231030248879875</v>
      </c>
      <c r="AC45" s="12">
        <f ca="1">('TUSD BE'!$AF$45+'TUSD BF'!$AF$45+'TUSD CVA'!$AF$45)*(1 - CUSTOS!$M$39)</f>
        <v>0</v>
      </c>
      <c r="AD45" s="12">
        <f>('TUSD BE'!$AH$45+'TUSD BF'!$AH$45+'TUSD CVA'!$AH$45)*(1 - CUSTOS!$M$39)</f>
        <v>17.373746520990068</v>
      </c>
      <c r="AE45" s="12">
        <f>('TUSD BE'!$AI$45+'TUSD BF'!$AI$45+'TUSD CVA'!$AI$45)*(1 - CUSTOS!$M$39)</f>
        <v>0.40962551665889302</v>
      </c>
      <c r="AF45" s="12">
        <f ca="1">('TUSD BE'!$AJ$45+'TUSD BF'!$AJ$45+'TUSD CVA'!$AJ$45)*(1 - CUSTOS!$M$39)</f>
        <v>2.7238261020423318</v>
      </c>
      <c r="AG45" s="12">
        <f ca="1">('TUSD BE'!$AK$45+'TUSD BF'!$AK$45+'TUSD CVA'!$AK$45)*(1 - CUSTOS!$M$39)</f>
        <v>0</v>
      </c>
      <c r="AI45" s="12">
        <v>0</v>
      </c>
      <c r="AJ45" s="12">
        <v>0.64736136846769099</v>
      </c>
      <c r="AK45" s="12">
        <v>4.7664608620254603</v>
      </c>
      <c r="AL45" s="12">
        <v>4.07910382043047E-2</v>
      </c>
      <c r="AM45" s="12">
        <v>0</v>
      </c>
      <c r="AN45" s="12">
        <v>24.686217833517301</v>
      </c>
      <c r="AO45" s="12">
        <v>8.4219704683877108</v>
      </c>
      <c r="AP45" s="12">
        <v>0</v>
      </c>
      <c r="AQ45" s="12">
        <v>32.8086334355839</v>
      </c>
      <c r="AR45" s="12">
        <v>12.0760971480046</v>
      </c>
      <c r="AS45" s="12">
        <v>0.98726027497876301</v>
      </c>
      <c r="AT45" s="12">
        <v>0</v>
      </c>
      <c r="AU45" s="12">
        <v>35.3807595192986</v>
      </c>
      <c r="AV45" s="12">
        <v>0</v>
      </c>
      <c r="AW45" s="12">
        <v>0</v>
      </c>
      <c r="AX45" s="12">
        <v>294.81709609578701</v>
      </c>
      <c r="AY45" s="12">
        <v>0</v>
      </c>
      <c r="AZ45" s="12">
        <v>0</v>
      </c>
      <c r="BA45" s="12">
        <v>14.9150189628081</v>
      </c>
      <c r="BB45" s="12">
        <v>0.36460741537580799</v>
      </c>
      <c r="BC45" s="12">
        <v>2.4018009456821101</v>
      </c>
      <c r="BD45" s="12">
        <v>0</v>
      </c>
    </row>
    <row r="46" spans="1:56" ht="11.25" customHeight="1" x14ac:dyDescent="0.25">
      <c r="A46" s="106"/>
      <c r="B46" s="106"/>
      <c r="C46" s="106"/>
      <c r="D46" s="106"/>
      <c r="E46" s="106"/>
      <c r="F46" s="106"/>
      <c r="G46" s="17" t="s">
        <v>80</v>
      </c>
      <c r="H46" s="17" t="s">
        <v>78</v>
      </c>
      <c r="I46" s="17">
        <f>'MERCADO TUSD'!$U$43</f>
        <v>0</v>
      </c>
      <c r="J46" s="15"/>
      <c r="L46" s="12">
        <f>('TUSD BE'!$L$46+'TUSD BF'!$L$46+'TUSD CVA'!$L$46)*(1 - CUSTOS!$M$39)</f>
        <v>1.8387088982489408</v>
      </c>
      <c r="M46" s="12">
        <f>('TUSD BE'!$M$46+'TUSD BF'!$M$46+'TUSD CVA'!$M$46)*(1 - CUSTOS!$M$39)</f>
        <v>0.73935964368158524</v>
      </c>
      <c r="N46" s="12">
        <f ca="1">('TUSD BE'!$N$46+'TUSD BF'!$N$46+'TUSD CVA'!$N$46)*(1 - CUSTOS!$M$39)</f>
        <v>1.8687182382187719</v>
      </c>
      <c r="O46" s="12">
        <f>('TUSD BE'!$O$46+'TUSD BF'!$O$46+'TUSD CVA'!$O$46)*(1 - CUSTOS!$M$39)</f>
        <v>3.5358190920499806E-2</v>
      </c>
      <c r="P46" s="12">
        <f>('TUSD BE'!$P$46+'TUSD BF'!$P$46+'TUSD CVA'!$P$46)*(1 - CUSTOS!$M$39)</f>
        <v>0</v>
      </c>
      <c r="Q46" s="12">
        <f>('TUSD BE'!$Q$46+'TUSD BF'!$Q$46+'TUSD CVA'!$Q$46)*(1 - CUSTOS!$M$39)</f>
        <v>32.864988556895653</v>
      </c>
      <c r="R46" s="12">
        <f>('TUSD BE'!$R$46+'TUSD BF'!$R$46+'TUSD CVA'!$R$46)*(1 - CUSTOS!$M$39)</f>
        <v>13.561869199915</v>
      </c>
      <c r="S46" s="12">
        <f>('TUSD BE'!$S$46+'TUSD BF'!$S$46+'TUSD CVA'!$S$46)*(1 - CUSTOS!$M$39)</f>
        <v>0</v>
      </c>
      <c r="T46" s="12">
        <f>('TUSD BE'!$U$46+'TUSD BF'!$U$46+'TUSD CVA'!$U$46)*(1 - CUSTOS!$M$39)</f>
        <v>10.853066234757581</v>
      </c>
      <c r="U46" s="12">
        <f>('TUSD BE'!$V$46+'TUSD BF'!$V$46+'TUSD CVA'!$V$46)*(1 - CUSTOS!$M$39)</f>
        <v>2.9594570126841222</v>
      </c>
      <c r="V46" s="12">
        <f>('TUSD BE'!$W$46+'TUSD BF'!$W$46+'TUSD CVA'!$W$46)*(1 - CUSTOS!$M$39)</f>
        <v>0.25013982098165871</v>
      </c>
      <c r="W46" s="12">
        <f>('TUSD BE'!$X$46+'TUSD BF'!$X$46+'TUSD CVA'!$X$46)*(1 - CUSTOS!$M$39)</f>
        <v>0</v>
      </c>
      <c r="X46" s="12">
        <f>('TUSD BE'!$Y$46+'TUSD BF'!$Y$46+'TUSD CVA'!$Y$46)*(1 - CUSTOS!$M$39)</f>
        <v>10.440069849630502</v>
      </c>
      <c r="Y46" s="12">
        <f>('TUSD BE'!$Z$46+'TUSD BF'!$Z$46+'TUSD CVA'!$Z$46)*(1 - CUSTOS!$M$39)</f>
        <v>0</v>
      </c>
      <c r="Z46" s="12">
        <f>('TUSD BE'!$AA$46+'TUSD BF'!$AA$46+'TUSD CVA'!$AA$46)*(1 - CUSTOS!$M$39)</f>
        <v>0</v>
      </c>
      <c r="AA46" s="12">
        <f>('TUSD BE'!$AC$46+'TUSD BF'!$AC$46+'TUSD CVA'!$AC$46)*(1 - CUSTOS!$M$39)</f>
        <v>116.98363082415737</v>
      </c>
      <c r="AB46" s="12">
        <f ca="1">('TUSD BE'!$AE$46+'TUSD BF'!$AE$46+'TUSD CVA'!$AE$46)*(1 - CUSTOS!$M$39)</f>
        <v>-17.965210812432471</v>
      </c>
      <c r="AC46" s="12">
        <f ca="1">('TUSD BE'!$AF$46+'TUSD BF'!$AF$46+'TUSD CVA'!$AF$46)*(1 - CUSTOS!$M$39)</f>
        <v>0</v>
      </c>
      <c r="AD46" s="12">
        <f>('TUSD BE'!$AH$46+'TUSD BF'!$AH$46+'TUSD CVA'!$AH$46)*(1 - CUSTOS!$M$39)</f>
        <v>17.373746520990068</v>
      </c>
      <c r="AE46" s="12">
        <f>('TUSD BE'!$AI$46+'TUSD BF'!$AI$46+'TUSD CVA'!$AI$46)*(1 - CUSTOS!$M$39)</f>
        <v>0.40962551665889302</v>
      </c>
      <c r="AF46" s="12">
        <f ca="1">('TUSD BE'!$AJ$46+'TUSD BF'!$AJ$46+'TUSD CVA'!$AJ$46)*(1 - CUSTOS!$M$39)</f>
        <v>2.7238261020423318</v>
      </c>
      <c r="AG46" s="12">
        <f ca="1">('TUSD BE'!$AK$46+'TUSD BF'!$AK$46+'TUSD CVA'!$AK$46)*(1 - CUSTOS!$M$39)</f>
        <v>0</v>
      </c>
      <c r="AI46" s="12">
        <v>0</v>
      </c>
      <c r="AJ46" s="12">
        <v>0.64736136846769099</v>
      </c>
      <c r="AK46" s="12">
        <v>1.8791777834060599</v>
      </c>
      <c r="AL46" s="12">
        <v>4.07910382043047E-2</v>
      </c>
      <c r="AM46" s="12">
        <v>0</v>
      </c>
      <c r="AN46" s="12">
        <v>24.686217833517301</v>
      </c>
      <c r="AO46" s="12">
        <v>8.4219704683877108</v>
      </c>
      <c r="AP46" s="12">
        <v>0</v>
      </c>
      <c r="AQ46" s="12">
        <v>10.9362111451946</v>
      </c>
      <c r="AR46" s="12">
        <v>4.0254009690182704</v>
      </c>
      <c r="AS46" s="12">
        <v>0.32911995247173798</v>
      </c>
      <c r="AT46" s="12">
        <v>0</v>
      </c>
      <c r="AU46" s="12">
        <v>11.7935480792008</v>
      </c>
      <c r="AV46" s="12">
        <v>0</v>
      </c>
      <c r="AW46" s="12">
        <v>0</v>
      </c>
      <c r="AX46" s="12">
        <v>98.272396533105706</v>
      </c>
      <c r="AY46" s="12">
        <v>0</v>
      </c>
      <c r="AZ46" s="12">
        <v>0</v>
      </c>
      <c r="BA46" s="12">
        <v>14.9150189628081</v>
      </c>
      <c r="BB46" s="12">
        <v>0.36460741537580799</v>
      </c>
      <c r="BC46" s="12">
        <v>2.4018009456821101</v>
      </c>
      <c r="BD46" s="12">
        <v>0</v>
      </c>
    </row>
    <row r="47" spans="1:56" ht="11.25" customHeight="1" x14ac:dyDescent="0.25">
      <c r="A47" s="106"/>
      <c r="B47" s="18" t="s">
        <v>23</v>
      </c>
      <c r="C47" s="18" t="s">
        <v>44</v>
      </c>
      <c r="D47" s="18" t="s">
        <v>94</v>
      </c>
      <c r="E47" s="18" t="s">
        <v>25</v>
      </c>
      <c r="F47" s="18" t="s">
        <v>25</v>
      </c>
      <c r="G47" s="17" t="s">
        <v>84</v>
      </c>
      <c r="H47" s="17" t="s">
        <v>78</v>
      </c>
      <c r="I47" s="17">
        <f>'MERCADO TUSD'!$U$44</f>
        <v>0</v>
      </c>
      <c r="J47" s="15"/>
      <c r="L47" s="12">
        <f>('TUSD BE'!$L$47+'TUSD BF'!$L$47+'TUSD CVA'!$L$47)*(1 - CUSTOS!$M$39)</f>
        <v>1.8387088982489408</v>
      </c>
      <c r="M47" s="12">
        <f>('TUSD BE'!$M$47+'TUSD BF'!$M$47+'TUSD CVA'!$M$47)*(1 - CUSTOS!$M$39)</f>
        <v>0.73935964368158524</v>
      </c>
      <c r="N47" s="12">
        <f ca="1">('TUSD BE'!$N$47+'TUSD BF'!$N$47+'TUSD CVA'!$N$47)*(1 - CUSTOS!$M$39)</f>
        <v>2.676560134232548</v>
      </c>
      <c r="O47" s="12">
        <f>('TUSD BE'!$O$47+'TUSD BF'!$O$47+'TUSD CVA'!$O$47)*(1 - CUSTOS!$M$39)</f>
        <v>3.5358190920499806E-2</v>
      </c>
      <c r="P47" s="12">
        <f>('TUSD BE'!$P$47+'TUSD BF'!$P$47+'TUSD CVA'!$P$47)*(1 - CUSTOS!$M$39)</f>
        <v>0</v>
      </c>
      <c r="Q47" s="12">
        <f>('TUSD BE'!$Q$47+'TUSD BF'!$Q$47+'TUSD CVA'!$Q$47)*(1 - CUSTOS!$M$39)</f>
        <v>32.864988556895653</v>
      </c>
      <c r="R47" s="12">
        <f>('TUSD BE'!$R$47+'TUSD BF'!$R$47+'TUSD CVA'!$R$47)*(1 - CUSTOS!$M$39)</f>
        <v>13.561869199915</v>
      </c>
      <c r="S47" s="12">
        <f>('TUSD BE'!$S$47+'TUSD BF'!$S$47+'TUSD CVA'!$S$47)*(1 - CUSTOS!$M$39)</f>
        <v>0</v>
      </c>
      <c r="T47" s="12">
        <f>('TUSD BE'!$U$47+'TUSD BF'!$U$47+'TUSD CVA'!$U$47)*(1 - CUSTOS!$M$39)</f>
        <v>16.957854242456001</v>
      </c>
      <c r="U47" s="12">
        <f>('TUSD BE'!$V$47+'TUSD BF'!$V$47+'TUSD CVA'!$V$47)*(1 - CUSTOS!$M$39)</f>
        <v>4.6240835479306766</v>
      </c>
      <c r="V47" s="12">
        <f>('TUSD BE'!$W$47+'TUSD BF'!$W$47+'TUSD CVA'!$W$47)*(1 - CUSTOS!$M$39)</f>
        <v>0.39083873995439805</v>
      </c>
      <c r="W47" s="12">
        <f>('TUSD BE'!$X$47+'TUSD BF'!$X$47+'TUSD CVA'!$X$47)*(1 - CUSTOS!$M$39)</f>
        <v>0</v>
      </c>
      <c r="X47" s="12">
        <f>('TUSD BE'!$Y$47+'TUSD BF'!$Y$47+'TUSD CVA'!$Y$47)*(1 - CUSTOS!$M$39)</f>
        <v>16.312621896481858</v>
      </c>
      <c r="Y47" s="12">
        <f>('TUSD BE'!$Z$47+'TUSD BF'!$Z$47+'TUSD CVA'!$Z$47)*(1 - CUSTOS!$M$39)</f>
        <v>0</v>
      </c>
      <c r="Z47" s="12">
        <f>('TUSD BE'!$AA$47+'TUSD BF'!$AA$47+'TUSD CVA'!$AA$47)*(1 - CUSTOS!$M$39)</f>
        <v>0</v>
      </c>
      <c r="AA47" s="12">
        <f>('TUSD BE'!$AC$47+'TUSD BF'!$AC$47+'TUSD CVA'!$AC$47)*(1 - CUSTOS!$M$39)</f>
        <v>182.7868535960188</v>
      </c>
      <c r="AB47" s="12">
        <f ca="1">('TUSD BE'!$AE$47+'TUSD BF'!$AE$47+'TUSD CVA'!$AE$47)*(1 - CUSTOS!$M$39)</f>
        <v>-24.789960488404081</v>
      </c>
      <c r="AC47" s="12">
        <f ca="1">('TUSD BE'!$AF$47+'TUSD BF'!$AF$47+'TUSD CVA'!$AF$47)*(1 - CUSTOS!$M$39)</f>
        <v>0</v>
      </c>
      <c r="AD47" s="12">
        <f>('TUSD BE'!$AH$47+'TUSD BF'!$AH$47+'TUSD CVA'!$AH$47)*(1 - CUSTOS!$M$39)</f>
        <v>17.373746520990068</v>
      </c>
      <c r="AE47" s="12">
        <f>('TUSD BE'!$AI$47+'TUSD BF'!$AI$47+'TUSD CVA'!$AI$47)*(1 - CUSTOS!$M$39)</f>
        <v>0.40962551665889302</v>
      </c>
      <c r="AF47" s="12">
        <f ca="1">('TUSD BE'!$AJ$47+'TUSD BF'!$AJ$47+'TUSD CVA'!$AJ$47)*(1 - CUSTOS!$M$39)</f>
        <v>2.7238261020423318</v>
      </c>
      <c r="AG47" s="12">
        <f ca="1">('TUSD BE'!$AK$47+'TUSD BF'!$AK$47+'TUSD CVA'!$AK$47)*(1 - CUSTOS!$M$39)</f>
        <v>0</v>
      </c>
      <c r="AI47" s="12">
        <v>0</v>
      </c>
      <c r="AJ47" s="12">
        <v>0.64736136846769099</v>
      </c>
      <c r="AK47" s="12">
        <v>2.6912244892991102</v>
      </c>
      <c r="AL47" s="12">
        <v>4.07910382043047E-2</v>
      </c>
      <c r="AM47" s="12">
        <v>0</v>
      </c>
      <c r="AN47" s="12">
        <v>24.686217833517301</v>
      </c>
      <c r="AO47" s="12">
        <v>8.4219704683877108</v>
      </c>
      <c r="AP47" s="12">
        <v>0</v>
      </c>
      <c r="AQ47" s="12">
        <v>17.0877676919545</v>
      </c>
      <c r="AR47" s="12">
        <v>6.2895964749221198</v>
      </c>
      <c r="AS47" s="12">
        <v>0.51424370183481205</v>
      </c>
      <c r="AT47" s="12">
        <v>0</v>
      </c>
      <c r="AU47" s="12">
        <v>18.4274332839633</v>
      </c>
      <c r="AV47" s="12">
        <v>0</v>
      </c>
      <c r="AW47" s="12">
        <v>0</v>
      </c>
      <c r="AX47" s="12">
        <v>153.55056114327201</v>
      </c>
      <c r="AY47" s="12">
        <v>0</v>
      </c>
      <c r="AZ47" s="12">
        <v>0</v>
      </c>
      <c r="BA47" s="12">
        <v>14.9150189628081</v>
      </c>
      <c r="BB47" s="12">
        <v>0.36460741537580799</v>
      </c>
      <c r="BC47" s="12">
        <v>2.4018009456821101</v>
      </c>
      <c r="BD47" s="12">
        <v>0</v>
      </c>
    </row>
    <row r="48" spans="1:56" ht="11.25" customHeight="1" x14ac:dyDescent="0.25">
      <c r="A48" s="106"/>
      <c r="B48" s="106" t="s">
        <v>33</v>
      </c>
      <c r="C48" s="106" t="s">
        <v>44</v>
      </c>
      <c r="D48" s="106" t="s">
        <v>95</v>
      </c>
      <c r="E48" s="106" t="s">
        <v>25</v>
      </c>
      <c r="F48" s="106" t="s">
        <v>25</v>
      </c>
      <c r="G48" s="17" t="s">
        <v>79</v>
      </c>
      <c r="H48" s="17" t="s">
        <v>78</v>
      </c>
      <c r="I48" s="17">
        <f>'MERCADO TUSD'!$U$45</f>
        <v>0</v>
      </c>
      <c r="J48" s="15"/>
      <c r="L48" s="12">
        <f>('TUSD BE'!$L$48+'TUSD BF'!$L$48+'TUSD CVA'!$L$48)*(1 - CUSTOS!$M$40)</f>
        <v>1.7995874323287506</v>
      </c>
      <c r="M48" s="12">
        <f>('TUSD BE'!$M$48+'TUSD BF'!$M$48+'TUSD CVA'!$M$48)*(1 - CUSTOS!$M$40)</f>
        <v>0.72362858743304093</v>
      </c>
      <c r="N48" s="12">
        <f ca="1">('TUSD BE'!$N$48+'TUSD BF'!$N$48+'TUSD CVA'!$N$48)*(1 - CUSTOS!$M$40)</f>
        <v>7.4513987368512637</v>
      </c>
      <c r="O48" s="12">
        <f>('TUSD BE'!$O$48+'TUSD BF'!$O$48+'TUSD CVA'!$O$48)*(1 - CUSTOS!$M$40)</f>
        <v>3.4605888986021092E-2</v>
      </c>
      <c r="P48" s="12">
        <f>('TUSD BE'!$P$48+'TUSD BF'!$P$48+'TUSD CVA'!$P$48)*(1 - CUSTOS!$M$40)</f>
        <v>0</v>
      </c>
      <c r="Q48" s="12">
        <f>('TUSD BE'!$Q$48+'TUSD BF'!$Q$48+'TUSD CVA'!$Q$48)*(1 - CUSTOS!$M$40)</f>
        <v>32.165733481217025</v>
      </c>
      <c r="R48" s="12">
        <f>('TUSD BE'!$R$48+'TUSD BF'!$R$48+'TUSD CVA'!$R$48)*(1 - CUSTOS!$M$40)</f>
        <v>13.273318791406171</v>
      </c>
      <c r="S48" s="12">
        <f>('TUSD BE'!$S$48+'TUSD BF'!$S$48+'TUSD CVA'!$S$48)*(1 - CUSTOS!$M$40)</f>
        <v>0</v>
      </c>
      <c r="T48" s="12">
        <f>('TUSD BE'!$U$48+'TUSD BF'!$U$48+'TUSD CVA'!$U$48)*(1 - CUSTOS!$M$40)</f>
        <v>53.110749659451997</v>
      </c>
      <c r="U48" s="12">
        <f>('TUSD BE'!$V$48+'TUSD BF'!$V$48+'TUSD CVA'!$V$48)*(1 - CUSTOS!$M$40)</f>
        <v>14.482297012497492</v>
      </c>
      <c r="V48" s="12">
        <f>('TUSD BE'!$W$48+'TUSD BF'!$W$48+'TUSD CVA'!$W$48)*(1 - CUSTOS!$M$40)</f>
        <v>1.2240144107087441</v>
      </c>
      <c r="W48" s="12">
        <f>('TUSD BE'!$X$48+'TUSD BF'!$X$48+'TUSD CVA'!$X$48)*(1 - CUSTOS!$M$40)</f>
        <v>0</v>
      </c>
      <c r="X48" s="12">
        <f>('TUSD BE'!$Y$48+'TUSD BF'!$Y$48+'TUSD CVA'!$Y$48)*(1 - CUSTOS!$M$40)</f>
        <v>51.089903279799671</v>
      </c>
      <c r="Y48" s="12">
        <f>('TUSD BE'!$Z$48+'TUSD BF'!$Z$48+'TUSD CVA'!$Z$48)*(1 - CUSTOS!$M$40)</f>
        <v>0</v>
      </c>
      <c r="Z48" s="12">
        <f>('TUSD BE'!$AA$48+'TUSD BF'!$AA$48+'TUSD CVA'!$AA$48)*(1 - CUSTOS!$M$40)</f>
        <v>0</v>
      </c>
      <c r="AA48" s="12">
        <f>('TUSD BE'!$AC$48+'TUSD BF'!$AC$48+'TUSD CVA'!$AC$48)*(1 - CUSTOS!$M$40)</f>
        <v>572.47297807329971</v>
      </c>
      <c r="AB48" s="12">
        <f ca="1">('TUSD BE'!$AE$48+'TUSD BF'!$AE$48+'TUSD CVA'!$AE$48)*(1 - CUSTOS!$M$40)</f>
        <v>-65.082038849883475</v>
      </c>
      <c r="AC48" s="12">
        <f ca="1">('TUSD BE'!$AF$48+'TUSD BF'!$AF$48+'TUSD CVA'!$AF$48)*(1 - CUSTOS!$M$40)</f>
        <v>0</v>
      </c>
      <c r="AD48" s="12">
        <f>('TUSD BE'!$AH$48+'TUSD BF'!$AH$48+'TUSD CVA'!$AH$48)*(1 - CUSTOS!$M$40)</f>
        <v>17.004092339692406</v>
      </c>
      <c r="AE48" s="12">
        <f>('TUSD BE'!$AI$48+'TUSD BF'!$AI$48+'TUSD CVA'!$AI$48)*(1 - CUSTOS!$M$40)</f>
        <v>0.40091008013423574</v>
      </c>
      <c r="AF48" s="12">
        <f ca="1">('TUSD BE'!$AJ$48+'TUSD BF'!$AJ$48+'TUSD CVA'!$AJ$48)*(1 - CUSTOS!$M$40)</f>
        <v>2.6658723551903676</v>
      </c>
      <c r="AG48" s="12">
        <f ca="1">('TUSD BE'!$AK$48+'TUSD BF'!$AK$48+'TUSD CVA'!$AK$48)*(1 - CUSTOS!$M$40)</f>
        <v>0</v>
      </c>
      <c r="AI48" s="12">
        <v>0</v>
      </c>
      <c r="AJ48" s="12">
        <v>0.61793585171915999</v>
      </c>
      <c r="AK48" s="12">
        <v>7.3058486014847404</v>
      </c>
      <c r="AL48" s="12">
        <v>3.8936900104109003E-2</v>
      </c>
      <c r="AM48" s="12">
        <v>0</v>
      </c>
      <c r="AN48" s="12">
        <v>23.564117022902899</v>
      </c>
      <c r="AO48" s="12">
        <v>8.0391536289155408</v>
      </c>
      <c r="AP48" s="12">
        <v>0</v>
      </c>
      <c r="AQ48" s="12">
        <v>52.195553192974401</v>
      </c>
      <c r="AR48" s="12">
        <v>19.211939084855</v>
      </c>
      <c r="AS48" s="12">
        <v>1.5707047171985</v>
      </c>
      <c r="AT48" s="12">
        <v>0</v>
      </c>
      <c r="AU48" s="12">
        <v>56.287608643060302</v>
      </c>
      <c r="AV48" s="12">
        <v>0</v>
      </c>
      <c r="AW48" s="12">
        <v>0</v>
      </c>
      <c r="AX48" s="12">
        <v>469.02725783645297</v>
      </c>
      <c r="AY48" s="12">
        <v>0</v>
      </c>
      <c r="AZ48" s="12">
        <v>0</v>
      </c>
      <c r="BA48" s="12">
        <v>14.237063555407699</v>
      </c>
      <c r="BB48" s="12">
        <v>0.34803435104054398</v>
      </c>
      <c r="BC48" s="12">
        <v>2.2926281754238298</v>
      </c>
      <c r="BD48" s="12">
        <v>0</v>
      </c>
    </row>
    <row r="49" spans="1:56" ht="11.25" customHeight="1" x14ac:dyDescent="0.25">
      <c r="A49" s="106"/>
      <c r="B49" s="106"/>
      <c r="C49" s="106"/>
      <c r="D49" s="106"/>
      <c r="E49" s="106"/>
      <c r="F49" s="106"/>
      <c r="G49" s="17" t="s">
        <v>91</v>
      </c>
      <c r="H49" s="17" t="s">
        <v>78</v>
      </c>
      <c r="I49" s="17">
        <f>'MERCADO TUSD'!$U$46</f>
        <v>0</v>
      </c>
      <c r="J49" s="15"/>
      <c r="L49" s="12">
        <f>('TUSD BE'!$L$49+'TUSD BF'!$L$49+'TUSD CVA'!$L$49)*(1 - CUSTOS!$M$40)</f>
        <v>1.7995874323287506</v>
      </c>
      <c r="M49" s="12">
        <f>('TUSD BE'!$M$49+'TUSD BF'!$M$49+'TUSD CVA'!$M$49)*(1 - CUSTOS!$M$40)</f>
        <v>0.72362858743304093</v>
      </c>
      <c r="N49" s="12">
        <f ca="1">('TUSD BE'!$N$49+'TUSD BF'!$N$49+'TUSD CVA'!$N$49)*(1 - CUSTOS!$M$40)</f>
        <v>4.6401774287855932</v>
      </c>
      <c r="O49" s="12">
        <f>('TUSD BE'!$O$49+'TUSD BF'!$O$49+'TUSD CVA'!$O$49)*(1 - CUSTOS!$M$40)</f>
        <v>3.4605888986021092E-2</v>
      </c>
      <c r="P49" s="12">
        <f>('TUSD BE'!$P$49+'TUSD BF'!$P$49+'TUSD CVA'!$P$49)*(1 - CUSTOS!$M$40)</f>
        <v>0</v>
      </c>
      <c r="Q49" s="12">
        <f>('TUSD BE'!$Q$49+'TUSD BF'!$Q$49+'TUSD CVA'!$Q$49)*(1 - CUSTOS!$M$40)</f>
        <v>32.165733481217025</v>
      </c>
      <c r="R49" s="12">
        <f>('TUSD BE'!$R$49+'TUSD BF'!$R$49+'TUSD CVA'!$R$49)*(1 - CUSTOS!$M$40)</f>
        <v>13.273318791406171</v>
      </c>
      <c r="S49" s="12">
        <f>('TUSD BE'!$S$49+'TUSD BF'!$S$49+'TUSD CVA'!$S$49)*(1 - CUSTOS!$M$40)</f>
        <v>0</v>
      </c>
      <c r="T49" s="12">
        <f>('TUSD BE'!$U$49+'TUSD BF'!$U$49+'TUSD CVA'!$U$49)*(1 - CUSTOS!$M$40)</f>
        <v>31.866449795671201</v>
      </c>
      <c r="U49" s="12">
        <f>('TUSD BE'!$V$49+'TUSD BF'!$V$49+'TUSD CVA'!$V$49)*(1 - CUSTOS!$M$40)</f>
        <v>8.6893934273494864</v>
      </c>
      <c r="V49" s="12">
        <f>('TUSD BE'!$W$49+'TUSD BF'!$W$49+'TUSD CVA'!$W$49)*(1 - CUSTOS!$M$40)</f>
        <v>0.7343790164467735</v>
      </c>
      <c r="W49" s="12">
        <f>('TUSD BE'!$X$49+'TUSD BF'!$X$49+'TUSD CVA'!$X$49)*(1 - CUSTOS!$M$40)</f>
        <v>0</v>
      </c>
      <c r="X49" s="12">
        <f>('TUSD BE'!$Y$49+'TUSD BF'!$Y$49+'TUSD CVA'!$Y$49)*(1 - CUSTOS!$M$40)</f>
        <v>30.653921991846673</v>
      </c>
      <c r="Y49" s="12">
        <f>('TUSD BE'!$Z$49+'TUSD BF'!$Z$49+'TUSD CVA'!$Z$49)*(1 - CUSTOS!$M$40)</f>
        <v>0</v>
      </c>
      <c r="Z49" s="12">
        <f>('TUSD BE'!$AA$49+'TUSD BF'!$AA$49+'TUSD CVA'!$AA$49)*(1 - CUSTOS!$M$40)</f>
        <v>0</v>
      </c>
      <c r="AA49" s="12">
        <f>('TUSD BE'!$AC$49+'TUSD BF'!$AC$49+'TUSD CVA'!$AC$49)*(1 - CUSTOS!$M$40)</f>
        <v>343.48374326856612</v>
      </c>
      <c r="AB49" s="12">
        <f ca="1">('TUSD BE'!$AE$49+'TUSD BF'!$AE$49+'TUSD CVA'!$AE$49)*(1 - CUSTOS!$M$40)</f>
        <v>-41.332497690393076</v>
      </c>
      <c r="AC49" s="12">
        <f ca="1">('TUSD BE'!$AF$49+'TUSD BF'!$AF$49+'TUSD CVA'!$AF$49)*(1 - CUSTOS!$M$40)</f>
        <v>0</v>
      </c>
      <c r="AD49" s="12">
        <f>('TUSD BE'!$AH$49+'TUSD BF'!$AH$49+'TUSD CVA'!$AH$49)*(1 - CUSTOS!$M$40)</f>
        <v>17.004092339692406</v>
      </c>
      <c r="AE49" s="12">
        <f>('TUSD BE'!$AI$49+'TUSD BF'!$AI$49+'TUSD CVA'!$AI$49)*(1 - CUSTOS!$M$40)</f>
        <v>0.40091008013423574</v>
      </c>
      <c r="AF49" s="12">
        <f ca="1">('TUSD BE'!$AJ$49+'TUSD BF'!$AJ$49+'TUSD CVA'!$AJ$49)*(1 - CUSTOS!$M$40)</f>
        <v>2.6658723551903676</v>
      </c>
      <c r="AG49" s="12">
        <f ca="1">('TUSD BE'!$AK$49+'TUSD BF'!$AK$49+'TUSD CVA'!$AK$49)*(1 - CUSTOS!$M$40)</f>
        <v>0</v>
      </c>
      <c r="AI49" s="12">
        <v>0</v>
      </c>
      <c r="AJ49" s="12">
        <v>0.61793585171915999</v>
      </c>
      <c r="AK49" s="12">
        <v>4.5498035501152101</v>
      </c>
      <c r="AL49" s="12">
        <v>3.8936900104109003E-2</v>
      </c>
      <c r="AM49" s="12">
        <v>0</v>
      </c>
      <c r="AN49" s="12">
        <v>23.564117022902899</v>
      </c>
      <c r="AO49" s="12">
        <v>8.0391536289155408</v>
      </c>
      <c r="AP49" s="12">
        <v>0</v>
      </c>
      <c r="AQ49" s="12">
        <v>31.3173319157846</v>
      </c>
      <c r="AR49" s="12">
        <v>11.5271836412771</v>
      </c>
      <c r="AS49" s="12">
        <v>0.94238480793427304</v>
      </c>
      <c r="AT49" s="12">
        <v>0</v>
      </c>
      <c r="AU49" s="12">
        <v>33.772543177512297</v>
      </c>
      <c r="AV49" s="12">
        <v>0</v>
      </c>
      <c r="AW49" s="12">
        <v>0</v>
      </c>
      <c r="AX49" s="12">
        <v>281.41631900052403</v>
      </c>
      <c r="AY49" s="12">
        <v>0</v>
      </c>
      <c r="AZ49" s="12">
        <v>0</v>
      </c>
      <c r="BA49" s="12">
        <v>14.237063555407699</v>
      </c>
      <c r="BB49" s="12">
        <v>0.34803435104054398</v>
      </c>
      <c r="BC49" s="12">
        <v>2.2926281754238298</v>
      </c>
      <c r="BD49" s="12">
        <v>0</v>
      </c>
    </row>
    <row r="50" spans="1:56" ht="11.25" customHeight="1" x14ac:dyDescent="0.25">
      <c r="A50" s="106"/>
      <c r="B50" s="106"/>
      <c r="C50" s="106"/>
      <c r="D50" s="106"/>
      <c r="E50" s="106"/>
      <c r="F50" s="106"/>
      <c r="G50" s="17" t="s">
        <v>80</v>
      </c>
      <c r="H50" s="17" t="s">
        <v>78</v>
      </c>
      <c r="I50" s="17">
        <f>'MERCADO TUSD'!$U$47</f>
        <v>0</v>
      </c>
      <c r="J50" s="15"/>
      <c r="L50" s="12">
        <f>('TUSD BE'!$L$50+'TUSD BF'!$L$50+'TUSD CVA'!$L$50)*(1 - CUSTOS!$M$40)</f>
        <v>1.7995874323287506</v>
      </c>
      <c r="M50" s="12">
        <f>('TUSD BE'!$M$50+'TUSD BF'!$M$50+'TUSD CVA'!$M$50)*(1 - CUSTOS!$M$40)</f>
        <v>0.72362858743304093</v>
      </c>
      <c r="N50" s="12">
        <f ca="1">('TUSD BE'!$N$50+'TUSD BF'!$N$50+'TUSD CVA'!$N$50)*(1 - CUSTOS!$M$40)</f>
        <v>1.828958275703479</v>
      </c>
      <c r="O50" s="12">
        <f>('TUSD BE'!$O$50+'TUSD BF'!$O$50+'TUSD CVA'!$O$50)*(1 - CUSTOS!$M$40)</f>
        <v>3.4605888986021092E-2</v>
      </c>
      <c r="P50" s="12">
        <f>('TUSD BE'!$P$50+'TUSD BF'!$P$50+'TUSD CVA'!$P$50)*(1 - CUSTOS!$M$40)</f>
        <v>0</v>
      </c>
      <c r="Q50" s="12">
        <f>('TUSD BE'!$Q$50+'TUSD BF'!$Q$50+'TUSD CVA'!$Q$50)*(1 - CUSTOS!$M$40)</f>
        <v>32.165733481217025</v>
      </c>
      <c r="R50" s="12">
        <f>('TUSD BE'!$R$50+'TUSD BF'!$R$50+'TUSD CVA'!$R$50)*(1 - CUSTOS!$M$40)</f>
        <v>13.273318791406171</v>
      </c>
      <c r="S50" s="12">
        <f>('TUSD BE'!$S$50+'TUSD BF'!$S$50+'TUSD CVA'!$S$50)*(1 - CUSTOS!$M$40)</f>
        <v>0</v>
      </c>
      <c r="T50" s="12">
        <f>('TUSD BE'!$U$50+'TUSD BF'!$U$50+'TUSD CVA'!$U$50)*(1 - CUSTOS!$M$40)</f>
        <v>10.622149931890398</v>
      </c>
      <c r="U50" s="12">
        <f>('TUSD BE'!$V$50+'TUSD BF'!$V$50+'TUSD CVA'!$V$50)*(1 - CUSTOS!$M$40)</f>
        <v>2.8964898422014813</v>
      </c>
      <c r="V50" s="12">
        <f>('TUSD BE'!$W$50+'TUSD BF'!$W$50+'TUSD CVA'!$W$50)*(1 - CUSTOS!$M$40)</f>
        <v>0.24481769713098517</v>
      </c>
      <c r="W50" s="12">
        <f>('TUSD BE'!$X$50+'TUSD BF'!$X$50+'TUSD CVA'!$X$50)*(1 - CUSTOS!$M$40)</f>
        <v>0</v>
      </c>
      <c r="X50" s="12">
        <f>('TUSD BE'!$Y$50+'TUSD BF'!$Y$50+'TUSD CVA'!$Y$50)*(1 - CUSTOS!$M$40)</f>
        <v>10.217940703893683</v>
      </c>
      <c r="Y50" s="12">
        <f>('TUSD BE'!$Z$50+'TUSD BF'!$Z$50+'TUSD CVA'!$Z$50)*(1 - CUSTOS!$M$40)</f>
        <v>0</v>
      </c>
      <c r="Z50" s="12">
        <f>('TUSD BE'!$AA$50+'TUSD BF'!$AA$50+'TUSD CVA'!$AA$50)*(1 - CUSTOS!$M$40)</f>
        <v>0</v>
      </c>
      <c r="AA50" s="12">
        <f>('TUSD BE'!$AC$50+'TUSD BF'!$AC$50+'TUSD CVA'!$AC$50)*(1 - CUSTOS!$M$40)</f>
        <v>114.4946174023668</v>
      </c>
      <c r="AB50" s="12">
        <f ca="1">('TUSD BE'!$AE$50+'TUSD BF'!$AE$50+'TUSD CVA'!$AE$50)*(1 - CUSTOS!$M$40)</f>
        <v>-17.582972284508379</v>
      </c>
      <c r="AC50" s="12">
        <f ca="1">('TUSD BE'!$AF$50+'TUSD BF'!$AF$50+'TUSD CVA'!$AF$50)*(1 - CUSTOS!$M$40)</f>
        <v>0</v>
      </c>
      <c r="AD50" s="12">
        <f>('TUSD BE'!$AH$50+'TUSD BF'!$AH$50+'TUSD CVA'!$AH$50)*(1 - CUSTOS!$M$40)</f>
        <v>17.004092339692406</v>
      </c>
      <c r="AE50" s="12">
        <f>('TUSD BE'!$AI$50+'TUSD BF'!$AI$50+'TUSD CVA'!$AI$50)*(1 - CUSTOS!$M$40)</f>
        <v>0.40091008013423574</v>
      </c>
      <c r="AF50" s="12">
        <f ca="1">('TUSD BE'!$AJ$50+'TUSD BF'!$AJ$50+'TUSD CVA'!$AJ$50)*(1 - CUSTOS!$M$40)</f>
        <v>2.6658723551903676</v>
      </c>
      <c r="AG50" s="12">
        <f ca="1">('TUSD BE'!$AK$50+'TUSD BF'!$AK$50+'TUSD CVA'!$AK$50)*(1 - CUSTOS!$M$40)</f>
        <v>0</v>
      </c>
      <c r="AI50" s="12">
        <v>0</v>
      </c>
      <c r="AJ50" s="12">
        <v>0.61793585171915999</v>
      </c>
      <c r="AK50" s="12">
        <v>1.79376061143306</v>
      </c>
      <c r="AL50" s="12">
        <v>3.8936900104109003E-2</v>
      </c>
      <c r="AM50" s="12">
        <v>0</v>
      </c>
      <c r="AN50" s="12">
        <v>23.564117022902899</v>
      </c>
      <c r="AO50" s="12">
        <v>8.0391536289155408</v>
      </c>
      <c r="AP50" s="12">
        <v>0</v>
      </c>
      <c r="AQ50" s="12">
        <v>10.439110638594901</v>
      </c>
      <c r="AR50" s="12">
        <v>3.84242819769926</v>
      </c>
      <c r="AS50" s="12">
        <v>0.31415995463211399</v>
      </c>
      <c r="AT50" s="12">
        <v>0</v>
      </c>
      <c r="AU50" s="12">
        <v>11.2574777119644</v>
      </c>
      <c r="AV50" s="12">
        <v>0</v>
      </c>
      <c r="AW50" s="12">
        <v>0</v>
      </c>
      <c r="AX50" s="12">
        <v>93.805469417964503</v>
      </c>
      <c r="AY50" s="12">
        <v>0</v>
      </c>
      <c r="AZ50" s="12">
        <v>0</v>
      </c>
      <c r="BA50" s="12">
        <v>14.237063555407699</v>
      </c>
      <c r="BB50" s="12">
        <v>0.34803435104054398</v>
      </c>
      <c r="BC50" s="12">
        <v>2.2926281754238298</v>
      </c>
      <c r="BD50" s="12">
        <v>0</v>
      </c>
    </row>
    <row r="51" spans="1:56" ht="11.25" customHeight="1" x14ac:dyDescent="0.25">
      <c r="A51" s="106"/>
      <c r="B51" s="18" t="s">
        <v>23</v>
      </c>
      <c r="C51" s="18" t="s">
        <v>44</v>
      </c>
      <c r="D51" s="18" t="s">
        <v>95</v>
      </c>
      <c r="E51" s="18" t="s">
        <v>25</v>
      </c>
      <c r="F51" s="18" t="s">
        <v>25</v>
      </c>
      <c r="G51" s="17" t="s">
        <v>84</v>
      </c>
      <c r="H51" s="17" t="s">
        <v>78</v>
      </c>
      <c r="I51" s="17">
        <f>'MERCADO TUSD'!$U$48</f>
        <v>0</v>
      </c>
      <c r="J51" s="15"/>
      <c r="L51" s="12">
        <f>('TUSD BE'!$L$51+'TUSD BF'!$L$51+'TUSD CVA'!$L$51)*(1 - CUSTOS!$M$40)</f>
        <v>1.7995874323287506</v>
      </c>
      <c r="M51" s="12">
        <f>('TUSD BE'!$M$51+'TUSD BF'!$M$51+'TUSD CVA'!$M$51)*(1 - CUSTOS!$M$40)</f>
        <v>0.72362858743304093</v>
      </c>
      <c r="N51" s="12">
        <f ca="1">('TUSD BE'!$N$51+'TUSD BF'!$N$51+'TUSD CVA'!$N$51)*(1 - CUSTOS!$M$40)</f>
        <v>2.6196120462701535</v>
      </c>
      <c r="O51" s="12">
        <f>('TUSD BE'!$O$51+'TUSD BF'!$O$51+'TUSD CVA'!$O$51)*(1 - CUSTOS!$M$40)</f>
        <v>3.4605888986021092E-2</v>
      </c>
      <c r="P51" s="12">
        <f>('TUSD BE'!$P$51+'TUSD BF'!$P$51+'TUSD CVA'!$P$51)*(1 - CUSTOS!$M$40)</f>
        <v>0</v>
      </c>
      <c r="Q51" s="12">
        <f>('TUSD BE'!$Q$51+'TUSD BF'!$Q$51+'TUSD CVA'!$Q$51)*(1 - CUSTOS!$M$40)</f>
        <v>32.165733481217025</v>
      </c>
      <c r="R51" s="12">
        <f>('TUSD BE'!$R$51+'TUSD BF'!$R$51+'TUSD CVA'!$R$51)*(1 - CUSTOS!$M$40)</f>
        <v>13.273318791406171</v>
      </c>
      <c r="S51" s="12">
        <f>('TUSD BE'!$S$51+'TUSD BF'!$S$51+'TUSD CVA'!$S$51)*(1 - CUSTOS!$M$40)</f>
        <v>0</v>
      </c>
      <c r="T51" s="12">
        <f>('TUSD BE'!$U$51+'TUSD BF'!$U$51+'TUSD CVA'!$U$51)*(1 - CUSTOS!$M$40)</f>
        <v>16.597048833042045</v>
      </c>
      <c r="U51" s="12">
        <f>('TUSD BE'!$V$51+'TUSD BF'!$V$51+'TUSD CVA'!$V$51)*(1 - CUSTOS!$M$40)</f>
        <v>4.5256987915917257</v>
      </c>
      <c r="V51" s="12">
        <f>('TUSD BE'!$W$51+'TUSD BF'!$W$51+'TUSD CVA'!$W$51)*(1 - CUSTOS!$M$40)</f>
        <v>0.38252302208302791</v>
      </c>
      <c r="W51" s="12">
        <f>('TUSD BE'!$X$51+'TUSD BF'!$X$51+'TUSD CVA'!$X$51)*(1 - CUSTOS!$M$40)</f>
        <v>0</v>
      </c>
      <c r="X51" s="12">
        <f>('TUSD BE'!$Y$51+'TUSD BF'!$Y$51+'TUSD CVA'!$Y$51)*(1 - CUSTOS!$M$40)</f>
        <v>15.965544834854583</v>
      </c>
      <c r="Y51" s="12">
        <f>('TUSD BE'!$Z$51+'TUSD BF'!$Z$51+'TUSD CVA'!$Z$51)*(1 - CUSTOS!$M$40)</f>
        <v>0</v>
      </c>
      <c r="Z51" s="12">
        <f>('TUSD BE'!$AA$51+'TUSD BF'!$AA$51+'TUSD CVA'!$AA$51)*(1 - CUSTOS!$M$40)</f>
        <v>0</v>
      </c>
      <c r="AA51" s="12">
        <f>('TUSD BE'!$AC$51+'TUSD BF'!$AC$51+'TUSD CVA'!$AC$51)*(1 - CUSTOS!$M$40)</f>
        <v>178.89777160461418</v>
      </c>
      <c r="AB51" s="12">
        <f ca="1">('TUSD BE'!$AE$51+'TUSD BF'!$AE$51+'TUSD CVA'!$AE$51)*(1 - CUSTOS!$M$40)</f>
        <v>-24.262514520565698</v>
      </c>
      <c r="AC51" s="12">
        <f ca="1">('TUSD BE'!$AF$51+'TUSD BF'!$AF$51+'TUSD CVA'!$AF$51)*(1 - CUSTOS!$M$40)</f>
        <v>0</v>
      </c>
      <c r="AD51" s="12">
        <f>('TUSD BE'!$AH$51+'TUSD BF'!$AH$51+'TUSD CVA'!$AH$51)*(1 - CUSTOS!$M$40)</f>
        <v>17.004092339692406</v>
      </c>
      <c r="AE51" s="12">
        <f>('TUSD BE'!$AI$51+'TUSD BF'!$AI$51+'TUSD CVA'!$AI$51)*(1 - CUSTOS!$M$40)</f>
        <v>0.40091008013423574</v>
      </c>
      <c r="AF51" s="12">
        <f ca="1">('TUSD BE'!$AJ$51+'TUSD BF'!$AJ$51+'TUSD CVA'!$AJ$51)*(1 - CUSTOS!$M$40)</f>
        <v>2.6658723551903676</v>
      </c>
      <c r="AG51" s="12">
        <f ca="1">('TUSD BE'!$AK$51+'TUSD BF'!$AK$51+'TUSD CVA'!$AK$51)*(1 - CUSTOS!$M$40)</f>
        <v>0</v>
      </c>
      <c r="AI51" s="12">
        <v>0</v>
      </c>
      <c r="AJ51" s="12">
        <v>0.61793585171915999</v>
      </c>
      <c r="AK51" s="12">
        <v>2.56889610342188</v>
      </c>
      <c r="AL51" s="12">
        <v>3.8936900104109003E-2</v>
      </c>
      <c r="AM51" s="12">
        <v>0</v>
      </c>
      <c r="AN51" s="12">
        <v>23.564117022902899</v>
      </c>
      <c r="AO51" s="12">
        <v>8.0391536289155408</v>
      </c>
      <c r="AP51" s="12">
        <v>0</v>
      </c>
      <c r="AQ51" s="12">
        <v>16.311050978683902</v>
      </c>
      <c r="AR51" s="12">
        <v>6.0037057260620204</v>
      </c>
      <c r="AS51" s="12">
        <v>0.49086898811504798</v>
      </c>
      <c r="AT51" s="12">
        <v>0</v>
      </c>
      <c r="AU51" s="12">
        <v>17.589822680146799</v>
      </c>
      <c r="AV51" s="12">
        <v>0</v>
      </c>
      <c r="AW51" s="12">
        <v>0</v>
      </c>
      <c r="AX51" s="12">
        <v>146.57099018221399</v>
      </c>
      <c r="AY51" s="12">
        <v>0</v>
      </c>
      <c r="AZ51" s="12">
        <v>0</v>
      </c>
      <c r="BA51" s="12">
        <v>14.237063555407699</v>
      </c>
      <c r="BB51" s="12">
        <v>0.34803435104054398</v>
      </c>
      <c r="BC51" s="12">
        <v>2.2926281754238298</v>
      </c>
      <c r="BD51" s="12">
        <v>0</v>
      </c>
    </row>
    <row r="52" spans="1:56" ht="11.25" customHeight="1" x14ac:dyDescent="0.25">
      <c r="A52" s="106"/>
      <c r="B52" s="106" t="s">
        <v>93</v>
      </c>
      <c r="C52" s="106" t="s">
        <v>44</v>
      </c>
      <c r="D52" s="18" t="s">
        <v>25</v>
      </c>
      <c r="E52" s="18" t="s">
        <v>25</v>
      </c>
      <c r="F52" s="18" t="s">
        <v>25</v>
      </c>
      <c r="G52" s="17" t="s">
        <v>84</v>
      </c>
      <c r="H52" s="17" t="s">
        <v>78</v>
      </c>
      <c r="I52" s="17">
        <f>'MERCADO TUSD'!$U$49</f>
        <v>0</v>
      </c>
      <c r="J52" s="15"/>
      <c r="L52" s="12">
        <f>('TUSD BE'!$L$52+'TUSD BF'!$L$52+'TUSD CVA'!$L$52)*(1 - CUSTOS!$M$38)</f>
        <v>1.8387088982489408</v>
      </c>
      <c r="M52" s="12">
        <f>('TUSD BE'!$M$52+'TUSD BF'!$M$52+'TUSD CVA'!$M$52)*(1 - CUSTOS!$M$38)</f>
        <v>0.73935964368158524</v>
      </c>
      <c r="N52" s="12">
        <f ca="1">('TUSD BE'!$N$52+'TUSD BF'!$N$52+'TUSD CVA'!$N$52)*(1 - CUSTOS!$M$38)</f>
        <v>2.676560134232548</v>
      </c>
      <c r="O52" s="12">
        <f>('TUSD BE'!$O$52+'TUSD BF'!$O$52+'TUSD CVA'!$O$52)*(1 - CUSTOS!$M$38)</f>
        <v>3.5358190920499806E-2</v>
      </c>
      <c r="P52" s="12">
        <f>('TUSD BE'!$P$52+'TUSD BF'!$P$52+'TUSD CVA'!$P$52)*(1 - CUSTOS!$M$38)</f>
        <v>0</v>
      </c>
      <c r="Q52" s="12">
        <f>('TUSD BE'!$Q$52+'TUSD BF'!$Q$52+'TUSD CVA'!$Q$52)*(1 - CUSTOS!$M$38)</f>
        <v>32.864988556895653</v>
      </c>
      <c r="R52" s="12">
        <f>('TUSD BE'!$R$52+'TUSD BF'!$R$52+'TUSD CVA'!$R$52)*(1 - CUSTOS!$M$38)</f>
        <v>13.561869199915</v>
      </c>
      <c r="S52" s="12">
        <f>('TUSD BE'!$S$52+'TUSD BF'!$S$52+'TUSD CVA'!$S$52)*(1 - CUSTOS!$M$38)</f>
        <v>0</v>
      </c>
      <c r="T52" s="12">
        <f>('TUSD BE'!$U$52+'TUSD BF'!$U$52+'TUSD CVA'!$U$52)*(1 - CUSTOS!$M$38)</f>
        <v>16.957854242456001</v>
      </c>
      <c r="U52" s="12">
        <f>('TUSD BE'!$V$52+'TUSD BF'!$V$52+'TUSD CVA'!$V$52)*(1 - CUSTOS!$M$38)</f>
        <v>4.6240835479306766</v>
      </c>
      <c r="V52" s="12">
        <f>('TUSD BE'!$W$52+'TUSD BF'!$W$52+'TUSD CVA'!$W$52)*(1 - CUSTOS!$M$38)</f>
        <v>0.39083873995439805</v>
      </c>
      <c r="W52" s="12">
        <f>('TUSD BE'!$X$52+'TUSD BF'!$X$52+'TUSD CVA'!$X$52)*(1 - CUSTOS!$M$38)</f>
        <v>0</v>
      </c>
      <c r="X52" s="12">
        <f>('TUSD BE'!$Y$52+'TUSD BF'!$Y$52+'TUSD CVA'!$Y$52)*(1 - CUSTOS!$M$38)</f>
        <v>16.312621896481858</v>
      </c>
      <c r="Y52" s="12">
        <f>('TUSD BE'!$Z$52+'TUSD BF'!$Z$52+'TUSD CVA'!$Z$52)*(1 - CUSTOS!$M$38)</f>
        <v>0</v>
      </c>
      <c r="Z52" s="12">
        <f>('TUSD BE'!$AA$52+'TUSD BF'!$AA$52+'TUSD CVA'!$AA$52)*(1 - CUSTOS!$M$38)</f>
        <v>0</v>
      </c>
      <c r="AA52" s="12">
        <f>('TUSD BE'!$AC$52+'TUSD BF'!$AC$52+'TUSD CVA'!$AC$52)*(1 - CUSTOS!$M$38)</f>
        <v>182.7868535960188</v>
      </c>
      <c r="AB52" s="12">
        <f ca="1">('TUSD BE'!$AE$52+'TUSD BF'!$AE$52+'TUSD CVA'!$AE$52)*(1 - CUSTOS!$M$38)</f>
        <v>-24.789960488404081</v>
      </c>
      <c r="AC52" s="12">
        <f ca="1">('TUSD BE'!$AF$52+'TUSD BF'!$AF$52+'TUSD CVA'!$AF$52)*(1 - CUSTOS!$M$38)</f>
        <v>0</v>
      </c>
      <c r="AD52" s="12">
        <f>('TUSD BE'!$AH$52+'TUSD BF'!$AH$52+'TUSD CVA'!$AH$52)*(1 - CUSTOS!$M$38)</f>
        <v>17.373746520990068</v>
      </c>
      <c r="AE52" s="12">
        <f>('TUSD BE'!$AI$52+'TUSD BF'!$AI$52+'TUSD CVA'!$AI$52)*(1 - CUSTOS!$M$38)</f>
        <v>0.40962551665889302</v>
      </c>
      <c r="AF52" s="12">
        <f ca="1">('TUSD BE'!$AJ$52+'TUSD BF'!$AJ$52+'TUSD CVA'!$AJ$52)*(1 - CUSTOS!$M$38)</f>
        <v>2.7238261020423318</v>
      </c>
      <c r="AG52" s="12">
        <f ca="1">('TUSD BE'!$AK$52+'TUSD BF'!$AK$52+'TUSD CVA'!$AK$52)*(1 - CUSTOS!$M$38)</f>
        <v>0</v>
      </c>
      <c r="AI52" s="12">
        <v>0</v>
      </c>
      <c r="AJ52" s="12">
        <v>0.64736136846769099</v>
      </c>
      <c r="AK52" s="12">
        <v>2.6912244892991102</v>
      </c>
      <c r="AL52" s="12">
        <v>4.07910382043047E-2</v>
      </c>
      <c r="AM52" s="12">
        <v>0</v>
      </c>
      <c r="AN52" s="12">
        <v>24.686217833517301</v>
      </c>
      <c r="AO52" s="12">
        <v>8.4219704683877108</v>
      </c>
      <c r="AP52" s="12">
        <v>0</v>
      </c>
      <c r="AQ52" s="12">
        <v>17.0877676919545</v>
      </c>
      <c r="AR52" s="12">
        <v>6.2895964749221198</v>
      </c>
      <c r="AS52" s="12">
        <v>0.51424370183481205</v>
      </c>
      <c r="AT52" s="12">
        <v>0</v>
      </c>
      <c r="AU52" s="12">
        <v>18.4274332839633</v>
      </c>
      <c r="AV52" s="12">
        <v>0</v>
      </c>
      <c r="AW52" s="12">
        <v>0</v>
      </c>
      <c r="AX52" s="12">
        <v>153.55056114327201</v>
      </c>
      <c r="AY52" s="12">
        <v>0</v>
      </c>
      <c r="AZ52" s="12">
        <v>0</v>
      </c>
      <c r="BA52" s="12">
        <v>14.9150189628081</v>
      </c>
      <c r="BB52" s="12">
        <v>0.36460741537580799</v>
      </c>
      <c r="BC52" s="12">
        <v>2.4018009456821101</v>
      </c>
      <c r="BD52" s="12">
        <v>0</v>
      </c>
    </row>
    <row r="53" spans="1:56" ht="11.25" customHeight="1" x14ac:dyDescent="0.25">
      <c r="A53" s="106"/>
      <c r="B53" s="106"/>
      <c r="C53" s="106"/>
      <c r="D53" s="18" t="s">
        <v>94</v>
      </c>
      <c r="E53" s="18" t="s">
        <v>25</v>
      </c>
      <c r="F53" s="18" t="s">
        <v>25</v>
      </c>
      <c r="G53" s="17" t="s">
        <v>84</v>
      </c>
      <c r="H53" s="17" t="s">
        <v>78</v>
      </c>
      <c r="I53" s="17">
        <f>'MERCADO TUSD'!$U$50</f>
        <v>0</v>
      </c>
      <c r="J53" s="15"/>
      <c r="L53" s="12">
        <f>('TUSD BE'!$L$53+'TUSD BF'!$L$53+'TUSD CVA'!$L$53)*(1 - CUSTOS!$M$39)</f>
        <v>1.8387088982489408</v>
      </c>
      <c r="M53" s="12">
        <f>('TUSD BE'!$M$53+'TUSD BF'!$M$53+'TUSD CVA'!$M$53)*(1 - CUSTOS!$M$39)</f>
        <v>0.73935964368158524</v>
      </c>
      <c r="N53" s="12">
        <f ca="1">('TUSD BE'!$N$53+'TUSD BF'!$N$53+'TUSD CVA'!$N$53)*(1 - CUSTOS!$M$39)</f>
        <v>2.676560134232548</v>
      </c>
      <c r="O53" s="12">
        <f>('TUSD BE'!$O$53+'TUSD BF'!$O$53+'TUSD CVA'!$O$53)*(1 - CUSTOS!$M$39)</f>
        <v>3.5358190920499806E-2</v>
      </c>
      <c r="P53" s="12">
        <f>('TUSD BE'!$P$53+'TUSD BF'!$P$53+'TUSD CVA'!$P$53)*(1 - CUSTOS!$M$39)</f>
        <v>0</v>
      </c>
      <c r="Q53" s="12">
        <f>('TUSD BE'!$Q$53+'TUSD BF'!$Q$53+'TUSD CVA'!$Q$53)*(1 - CUSTOS!$M$39)</f>
        <v>32.864988556895653</v>
      </c>
      <c r="R53" s="12">
        <f>('TUSD BE'!$R$53+'TUSD BF'!$R$53+'TUSD CVA'!$R$53)*(1 - CUSTOS!$M$39)</f>
        <v>13.561869199915</v>
      </c>
      <c r="S53" s="12">
        <f>('TUSD BE'!$S$53+'TUSD BF'!$S$53+'TUSD CVA'!$S$53)*(1 - CUSTOS!$M$39)</f>
        <v>0</v>
      </c>
      <c r="T53" s="12">
        <f>('TUSD BE'!$U$53+'TUSD BF'!$U$53+'TUSD CVA'!$U$53)*(1 - CUSTOS!$M$39)</f>
        <v>16.957854242456001</v>
      </c>
      <c r="U53" s="12">
        <f>('TUSD BE'!$V$53+'TUSD BF'!$V$53+'TUSD CVA'!$V$53)*(1 - CUSTOS!$M$39)</f>
        <v>4.6240835479306766</v>
      </c>
      <c r="V53" s="12">
        <f>('TUSD BE'!$W$53+'TUSD BF'!$W$53+'TUSD CVA'!$W$53)*(1 - CUSTOS!$M$39)</f>
        <v>0.39083873995439805</v>
      </c>
      <c r="W53" s="12">
        <f>('TUSD BE'!$X$53+'TUSD BF'!$X$53+'TUSD CVA'!$X$53)*(1 - CUSTOS!$M$39)</f>
        <v>0</v>
      </c>
      <c r="X53" s="12">
        <f>('TUSD BE'!$Y$53+'TUSD BF'!$Y$53+'TUSD CVA'!$Y$53)*(1 - CUSTOS!$M$39)</f>
        <v>16.312621896481858</v>
      </c>
      <c r="Y53" s="12">
        <f>('TUSD BE'!$Z$53+'TUSD BF'!$Z$53+'TUSD CVA'!$Z$53)*(1 - CUSTOS!$M$39)</f>
        <v>0</v>
      </c>
      <c r="Z53" s="12">
        <f>('TUSD BE'!$AA$53+'TUSD BF'!$AA$53+'TUSD CVA'!$AA$53)*(1 - CUSTOS!$M$39)</f>
        <v>0</v>
      </c>
      <c r="AA53" s="12">
        <f>('TUSD BE'!$AC$53+'TUSD BF'!$AC$53+'TUSD CVA'!$AC$53)*(1 - CUSTOS!$M$39)</f>
        <v>182.7868535960188</v>
      </c>
      <c r="AB53" s="12">
        <f ca="1">('TUSD BE'!$AE$53+'TUSD BF'!$AE$53+'TUSD CVA'!$AE$53)*(1 - CUSTOS!$M$39)</f>
        <v>-24.789960488404081</v>
      </c>
      <c r="AC53" s="12">
        <f ca="1">('TUSD BE'!$AF$53+'TUSD BF'!$AF$53+'TUSD CVA'!$AF$53)*(1 - CUSTOS!$M$39)</f>
        <v>0</v>
      </c>
      <c r="AD53" s="12">
        <f>('TUSD BE'!$AH$53+'TUSD BF'!$AH$53+'TUSD CVA'!$AH$53)*(1 - CUSTOS!$M$39)</f>
        <v>17.373746520990068</v>
      </c>
      <c r="AE53" s="12">
        <f>('TUSD BE'!$AI$53+'TUSD BF'!$AI$53+'TUSD CVA'!$AI$53)*(1 - CUSTOS!$M$39)</f>
        <v>0.40962551665889302</v>
      </c>
      <c r="AF53" s="12">
        <f ca="1">('TUSD BE'!$AJ$53+'TUSD BF'!$AJ$53+'TUSD CVA'!$AJ$53)*(1 - CUSTOS!$M$39)</f>
        <v>2.7238261020423318</v>
      </c>
      <c r="AG53" s="12">
        <f ca="1">('TUSD BE'!$AK$53+'TUSD BF'!$AK$53+'TUSD CVA'!$AK$53)*(1 - CUSTOS!$M$39)</f>
        <v>0</v>
      </c>
      <c r="AI53" s="12">
        <v>0</v>
      </c>
      <c r="AJ53" s="12">
        <v>0.64736136846769099</v>
      </c>
      <c r="AK53" s="12">
        <v>2.6912244892991102</v>
      </c>
      <c r="AL53" s="12">
        <v>4.07910382043047E-2</v>
      </c>
      <c r="AM53" s="12">
        <v>0</v>
      </c>
      <c r="AN53" s="12">
        <v>24.686217833517301</v>
      </c>
      <c r="AO53" s="12">
        <v>8.4219704683877108</v>
      </c>
      <c r="AP53" s="12">
        <v>0</v>
      </c>
      <c r="AQ53" s="12">
        <v>17.0877676919545</v>
      </c>
      <c r="AR53" s="12">
        <v>6.2895964749221198</v>
      </c>
      <c r="AS53" s="12">
        <v>0.51424370183481205</v>
      </c>
      <c r="AT53" s="12">
        <v>0</v>
      </c>
      <c r="AU53" s="12">
        <v>18.4274332839633</v>
      </c>
      <c r="AV53" s="12">
        <v>0</v>
      </c>
      <c r="AW53" s="12">
        <v>0</v>
      </c>
      <c r="AX53" s="12">
        <v>153.55056114327201</v>
      </c>
      <c r="AY53" s="12">
        <v>0</v>
      </c>
      <c r="AZ53" s="12">
        <v>0</v>
      </c>
      <c r="BA53" s="12">
        <v>14.9150189628081</v>
      </c>
      <c r="BB53" s="12">
        <v>0.36460741537580799</v>
      </c>
      <c r="BC53" s="12">
        <v>2.4018009456821101</v>
      </c>
      <c r="BD53" s="12">
        <v>0</v>
      </c>
    </row>
    <row r="54" spans="1:56" ht="11.25" customHeight="1" x14ac:dyDescent="0.25">
      <c r="A54" s="106"/>
      <c r="B54" s="106"/>
      <c r="C54" s="106"/>
      <c r="D54" s="18" t="s">
        <v>95</v>
      </c>
      <c r="E54" s="18" t="s">
        <v>25</v>
      </c>
      <c r="F54" s="18" t="s">
        <v>25</v>
      </c>
      <c r="G54" s="17" t="s">
        <v>84</v>
      </c>
      <c r="H54" s="17" t="s">
        <v>78</v>
      </c>
      <c r="I54" s="17">
        <f>'MERCADO TUSD'!$U$51</f>
        <v>0</v>
      </c>
      <c r="J54" s="15"/>
      <c r="L54" s="12">
        <f>('TUSD BE'!$L$54+'TUSD BF'!$L$54+'TUSD CVA'!$L$54)*(1 - CUSTOS!$M$40)</f>
        <v>1.7995874323287506</v>
      </c>
      <c r="M54" s="12">
        <f>('TUSD BE'!$M$54+'TUSD BF'!$M$54+'TUSD CVA'!$M$54)*(1 - CUSTOS!$M$40)</f>
        <v>0.72362858743304093</v>
      </c>
      <c r="N54" s="12">
        <f ca="1">('TUSD BE'!$N$54+'TUSD BF'!$N$54+'TUSD CVA'!$N$54)*(1 - CUSTOS!$M$40)</f>
        <v>2.6196120462701535</v>
      </c>
      <c r="O54" s="12">
        <f>('TUSD BE'!$O$54+'TUSD BF'!$O$54+'TUSD CVA'!$O$54)*(1 - CUSTOS!$M$40)</f>
        <v>3.4605888986021092E-2</v>
      </c>
      <c r="P54" s="12">
        <f>('TUSD BE'!$P$54+'TUSD BF'!$P$54+'TUSD CVA'!$P$54)*(1 - CUSTOS!$M$40)</f>
        <v>0</v>
      </c>
      <c r="Q54" s="12">
        <f>('TUSD BE'!$Q$54+'TUSD BF'!$Q$54+'TUSD CVA'!$Q$54)*(1 - CUSTOS!$M$40)</f>
        <v>32.165733481217025</v>
      </c>
      <c r="R54" s="12">
        <f>('TUSD BE'!$R$54+'TUSD BF'!$R$54+'TUSD CVA'!$R$54)*(1 - CUSTOS!$M$40)</f>
        <v>13.273318791406171</v>
      </c>
      <c r="S54" s="12">
        <f>('TUSD BE'!$S$54+'TUSD BF'!$S$54+'TUSD CVA'!$S$54)*(1 - CUSTOS!$M$40)</f>
        <v>0</v>
      </c>
      <c r="T54" s="12">
        <f>('TUSD BE'!$U$54+'TUSD BF'!$U$54+'TUSD CVA'!$U$54)*(1 - CUSTOS!$M$40)</f>
        <v>16.597048833042045</v>
      </c>
      <c r="U54" s="12">
        <f>('TUSD BE'!$V$54+'TUSD BF'!$V$54+'TUSD CVA'!$V$54)*(1 - CUSTOS!$M$40)</f>
        <v>4.5256987915917257</v>
      </c>
      <c r="V54" s="12">
        <f>('TUSD BE'!$W$54+'TUSD BF'!$W$54+'TUSD CVA'!$W$54)*(1 - CUSTOS!$M$40)</f>
        <v>0.38252302208302791</v>
      </c>
      <c r="W54" s="12">
        <f>('TUSD BE'!$X$54+'TUSD BF'!$X$54+'TUSD CVA'!$X$54)*(1 - CUSTOS!$M$40)</f>
        <v>0</v>
      </c>
      <c r="X54" s="12">
        <f>('TUSD BE'!$Y$54+'TUSD BF'!$Y$54+'TUSD CVA'!$Y$54)*(1 - CUSTOS!$M$40)</f>
        <v>15.965544834854583</v>
      </c>
      <c r="Y54" s="12">
        <f>('TUSD BE'!$Z$54+'TUSD BF'!$Z$54+'TUSD CVA'!$Z$54)*(1 - CUSTOS!$M$40)</f>
        <v>0</v>
      </c>
      <c r="Z54" s="12">
        <f>('TUSD BE'!$AA$54+'TUSD BF'!$AA$54+'TUSD CVA'!$AA$54)*(1 - CUSTOS!$M$40)</f>
        <v>0</v>
      </c>
      <c r="AA54" s="12">
        <f>('TUSD BE'!$AC$54+'TUSD BF'!$AC$54+'TUSD CVA'!$AC$54)*(1 - CUSTOS!$M$40)</f>
        <v>178.89777160461418</v>
      </c>
      <c r="AB54" s="12">
        <f ca="1">('TUSD BE'!$AE$54+'TUSD BF'!$AE$54+'TUSD CVA'!$AE$54)*(1 - CUSTOS!$M$40)</f>
        <v>-24.262514520565698</v>
      </c>
      <c r="AC54" s="12">
        <f ca="1">('TUSD BE'!$AF$54+'TUSD BF'!$AF$54+'TUSD CVA'!$AF$54)*(1 - CUSTOS!$M$40)</f>
        <v>0</v>
      </c>
      <c r="AD54" s="12">
        <f>('TUSD BE'!$AH$54+'TUSD BF'!$AH$54+'TUSD CVA'!$AH$54)*(1 - CUSTOS!$M$40)</f>
        <v>17.004092339692406</v>
      </c>
      <c r="AE54" s="12">
        <f>('TUSD BE'!$AI$54+'TUSD BF'!$AI$54+'TUSD CVA'!$AI$54)*(1 - CUSTOS!$M$40)</f>
        <v>0.40091008013423574</v>
      </c>
      <c r="AF54" s="12">
        <f ca="1">('TUSD BE'!$AJ$54+'TUSD BF'!$AJ$54+'TUSD CVA'!$AJ$54)*(1 - CUSTOS!$M$40)</f>
        <v>2.6658723551903676</v>
      </c>
      <c r="AG54" s="12">
        <f ca="1">('TUSD BE'!$AK$54+'TUSD BF'!$AK$54+'TUSD CVA'!$AK$54)*(1 - CUSTOS!$M$40)</f>
        <v>0</v>
      </c>
      <c r="AI54" s="12">
        <v>0</v>
      </c>
      <c r="AJ54" s="12">
        <v>0.61793585171915999</v>
      </c>
      <c r="AK54" s="12">
        <v>2.56889610342188</v>
      </c>
      <c r="AL54" s="12">
        <v>3.8936900104109003E-2</v>
      </c>
      <c r="AM54" s="12">
        <v>0</v>
      </c>
      <c r="AN54" s="12">
        <v>23.564117022902899</v>
      </c>
      <c r="AO54" s="12">
        <v>8.0391536289155408</v>
      </c>
      <c r="AP54" s="12">
        <v>0</v>
      </c>
      <c r="AQ54" s="12">
        <v>16.311050978683902</v>
      </c>
      <c r="AR54" s="12">
        <v>6.0037057260620204</v>
      </c>
      <c r="AS54" s="12">
        <v>0.49086898811504798</v>
      </c>
      <c r="AT54" s="12">
        <v>0</v>
      </c>
      <c r="AU54" s="12">
        <v>17.589822680146799</v>
      </c>
      <c r="AV54" s="12">
        <v>0</v>
      </c>
      <c r="AW54" s="12">
        <v>0</v>
      </c>
      <c r="AX54" s="12">
        <v>146.57099018221399</v>
      </c>
      <c r="AY54" s="12">
        <v>0</v>
      </c>
      <c r="AZ54" s="12">
        <v>0</v>
      </c>
      <c r="BA54" s="12">
        <v>14.237063555407699</v>
      </c>
      <c r="BB54" s="12">
        <v>0.34803435104054398</v>
      </c>
      <c r="BC54" s="12">
        <v>2.2926281754238298</v>
      </c>
      <c r="BD54" s="12">
        <v>0</v>
      </c>
    </row>
    <row r="55" spans="1:56" ht="11.25" customHeight="1" x14ac:dyDescent="0.25">
      <c r="A55" s="106" t="s">
        <v>37</v>
      </c>
      <c r="B55" s="106" t="s">
        <v>33</v>
      </c>
      <c r="C55" s="106" t="s">
        <v>25</v>
      </c>
      <c r="D55" s="106" t="s">
        <v>25</v>
      </c>
      <c r="E55" s="106" t="s">
        <v>25</v>
      </c>
      <c r="F55" s="106" t="s">
        <v>25</v>
      </c>
      <c r="G55" s="17" t="s">
        <v>79</v>
      </c>
      <c r="H55" s="17" t="s">
        <v>78</v>
      </c>
      <c r="I55" s="17">
        <f>'MERCADO TUSD'!$U$52</f>
        <v>8.0860000000000003</v>
      </c>
      <c r="J55" s="15"/>
      <c r="L55" s="12">
        <f>('TUSD BE'!$L$55+'TUSD BF'!$L$55+'TUSD CVA'!$L$55)*1</f>
        <v>1.9560732960095115</v>
      </c>
      <c r="M55" s="12">
        <f>('TUSD BE'!$M$55+'TUSD BF'!$M$55+'TUSD CVA'!$M$55)*1</f>
        <v>0.78655281242721842</v>
      </c>
      <c r="N55" s="12">
        <f ca="1">('TUSD BE'!$N$55+'TUSD BF'!$N$55+'TUSD CVA'!$N$55)*1</f>
        <v>8.2187079473762754</v>
      </c>
      <c r="O55" s="12">
        <f>('TUSD BE'!$O$55+'TUSD BF'!$O$55+'TUSD CVA'!$O$55)*1</f>
        <v>3.7615096723935967E-2</v>
      </c>
      <c r="P55" s="12">
        <f>('TUSD BE'!$P$55+'TUSD BF'!$P$55+'TUSD CVA'!$P$55)*1</f>
        <v>0</v>
      </c>
      <c r="Q55" s="12">
        <f>('TUSD BE'!$Q$55+'TUSD BF'!$Q$55+'TUSD CVA'!$Q$55)*1</f>
        <v>34.962753783931547</v>
      </c>
      <c r="R55" s="12">
        <f>('TUSD BE'!$R$55+'TUSD BF'!$R$55+'TUSD CVA'!$R$55)*1</f>
        <v>14.427520425441489</v>
      </c>
      <c r="S55" s="12">
        <f>('TUSD BE'!$S$55+'TUSD BF'!$S$55+'TUSD CVA'!$S$55)*1</f>
        <v>0</v>
      </c>
      <c r="T55" s="12">
        <f>('TUSD BE'!$U$55+'TUSD BF'!$U$55+'TUSD CVA'!$U$55)*1</f>
        <v>58.631089240330539</v>
      </c>
      <c r="U55" s="12">
        <f>('TUSD BE'!$V$55+'TUSD BF'!$V$55+'TUSD CVA'!$V$55)*1</f>
        <v>15.987626300806312</v>
      </c>
      <c r="V55" s="12">
        <f>('TUSD BE'!$W$55+'TUSD BF'!$W$55+'TUSD CVA'!$W$55)*1</f>
        <v>1.351223637851803</v>
      </c>
      <c r="W55" s="12">
        <f>('TUSD BE'!$X$55+'TUSD BF'!$X$55+'TUSD CVA'!$X$55)*1</f>
        <v>0</v>
      </c>
      <c r="X55" s="12">
        <f>('TUSD BE'!$Y$55+'TUSD BF'!$Y$55+'TUSD CVA'!$Y$55)*1</f>
        <v>56.400158221178728</v>
      </c>
      <c r="Y55" s="12">
        <f>('TUSD BE'!$Z$55+'TUSD BF'!$Z$55+'TUSD CVA'!$Z$55)*1</f>
        <v>0</v>
      </c>
      <c r="Z55" s="12">
        <f>('TUSD BE'!$AA$55+'TUSD BF'!$AA$55+'TUSD CVA'!$AA$55)*1</f>
        <v>0</v>
      </c>
      <c r="AA55" s="12">
        <f>('TUSD BE'!$AC$55+'TUSD BF'!$AC$55+'TUSD CVA'!$AC$55)*1</f>
        <v>631.97588280898185</v>
      </c>
      <c r="AB55" s="12">
        <f ca="1">('TUSD BE'!$AE$55+'TUSD BF'!$AE$55+'TUSD CVA'!$AE$55)*1</f>
        <v>-71.749726299751728</v>
      </c>
      <c r="AC55" s="12">
        <f ca="1">('TUSD BE'!$AF$55+'TUSD BF'!$AF$55+'TUSD CVA'!$AF$55)*1</f>
        <v>0</v>
      </c>
      <c r="AD55" s="12">
        <f>('TUSD BE'!$AH$55+'TUSD BF'!$AH$55+'TUSD CVA'!$AH$55)*1</f>
        <v>18.48270906488305</v>
      </c>
      <c r="AE55" s="12">
        <f>('TUSD BE'!$AI$55+'TUSD BF'!$AI$55+'TUSD CVA'!$AI$55)*1</f>
        <v>0.43577182623286492</v>
      </c>
      <c r="AF55" s="12">
        <f ca="1">('TUSD BE'!$AJ$55+'TUSD BF'!$AJ$55+'TUSD CVA'!$AJ$55)*1</f>
        <v>2.8976873425982257</v>
      </c>
      <c r="AG55" s="12">
        <f ca="1">('TUSD BE'!$AK$55+'TUSD BF'!$AK$55+'TUSD CVA'!$AK$55)*1</f>
        <v>0</v>
      </c>
      <c r="AI55" s="12">
        <v>0</v>
      </c>
      <c r="AJ55" s="12">
        <v>0.73563791871328599</v>
      </c>
      <c r="AK55" s="12">
        <v>8.8256022244788106</v>
      </c>
      <c r="AL55" s="12">
        <v>4.6353452504891701E-2</v>
      </c>
      <c r="AM55" s="12">
        <v>0</v>
      </c>
      <c r="AN55" s="12">
        <v>28.052520265360499</v>
      </c>
      <c r="AO55" s="12">
        <v>9.5704209868042103</v>
      </c>
      <c r="AP55" s="12">
        <v>0</v>
      </c>
      <c r="AQ55" s="12">
        <v>63.108459216557797</v>
      </c>
      <c r="AR55" s="12">
        <v>23.2287735708064</v>
      </c>
      <c r="AS55" s="12">
        <v>1.8990823278712401</v>
      </c>
      <c r="AT55" s="12">
        <v>0</v>
      </c>
      <c r="AU55" s="12">
        <v>68.056025312501106</v>
      </c>
      <c r="AV55" s="12">
        <v>0</v>
      </c>
      <c r="AW55" s="12">
        <v>0</v>
      </c>
      <c r="AX55" s="12">
        <v>567.09019371295199</v>
      </c>
      <c r="AY55" s="12">
        <v>0</v>
      </c>
      <c r="AZ55" s="12">
        <v>0</v>
      </c>
      <c r="BA55" s="12">
        <v>16.9488851850092</v>
      </c>
      <c r="BB55" s="12">
        <v>0.41432660838160001</v>
      </c>
      <c r="BC55" s="12">
        <v>2.7293192564569502</v>
      </c>
      <c r="BD55" s="12">
        <v>0</v>
      </c>
    </row>
    <row r="56" spans="1:56" ht="11.25" customHeight="1" x14ac:dyDescent="0.25">
      <c r="A56" s="106"/>
      <c r="B56" s="106"/>
      <c r="C56" s="106"/>
      <c r="D56" s="106"/>
      <c r="E56" s="106"/>
      <c r="F56" s="106"/>
      <c r="G56" s="17" t="s">
        <v>91</v>
      </c>
      <c r="H56" s="17" t="s">
        <v>78</v>
      </c>
      <c r="I56" s="17">
        <f>'MERCADO TUSD'!$U$53</f>
        <v>8.0350000000000001</v>
      </c>
      <c r="J56" s="15"/>
      <c r="L56" s="12">
        <f>('TUSD BE'!$L$56+'TUSD BF'!$L$56+'TUSD CVA'!$L$56)*1</f>
        <v>1.9560732960095115</v>
      </c>
      <c r="M56" s="12">
        <f>('TUSD BE'!$M$56+'TUSD BF'!$M$56+'TUSD CVA'!$M$56)*1</f>
        <v>0.78655281242721842</v>
      </c>
      <c r="N56" s="12">
        <f ca="1">('TUSD BE'!$N$56+'TUSD BF'!$N$56+'TUSD CVA'!$N$56)*1</f>
        <v>5.1152891859981704</v>
      </c>
      <c r="O56" s="12">
        <f>('TUSD BE'!$O$56+'TUSD BF'!$O$56+'TUSD CVA'!$O$56)*1</f>
        <v>3.7615096723935967E-2</v>
      </c>
      <c r="P56" s="12">
        <f>('TUSD BE'!$P$56+'TUSD BF'!$P$56+'TUSD CVA'!$P$56)*1</f>
        <v>0</v>
      </c>
      <c r="Q56" s="12">
        <f>('TUSD BE'!$Q$56+'TUSD BF'!$Q$56+'TUSD CVA'!$Q$56)*1</f>
        <v>34.962753783931547</v>
      </c>
      <c r="R56" s="12">
        <f>('TUSD BE'!$R$56+'TUSD BF'!$R$56+'TUSD CVA'!$R$56)*1</f>
        <v>14.427520425441489</v>
      </c>
      <c r="S56" s="12">
        <f>('TUSD BE'!$S$56+'TUSD BF'!$S$56+'TUSD CVA'!$S$56)*1</f>
        <v>0</v>
      </c>
      <c r="T56" s="12">
        <f>('TUSD BE'!$U$56+'TUSD BF'!$U$56+'TUSD CVA'!$U$56)*1</f>
        <v>35.178632523142078</v>
      </c>
      <c r="U56" s="12">
        <f>('TUSD BE'!$V$56+'TUSD BF'!$V$56+'TUSD CVA'!$V$56)*1</f>
        <v>9.5925592371674924</v>
      </c>
      <c r="V56" s="12">
        <f>('TUSD BE'!$W$56+'TUSD BF'!$W$56+'TUSD CVA'!$W$56)*1</f>
        <v>0.81071807946191188</v>
      </c>
      <c r="W56" s="12">
        <f>('TUSD BE'!$X$56+'TUSD BF'!$X$56+'TUSD CVA'!$X$56)*1</f>
        <v>0</v>
      </c>
      <c r="X56" s="12">
        <f>('TUSD BE'!$Y$56+'TUSD BF'!$Y$56+'TUSD CVA'!$Y$56)*1</f>
        <v>33.840160071945689</v>
      </c>
      <c r="Y56" s="12">
        <f>('TUSD BE'!$Z$56+'TUSD BF'!$Z$56+'TUSD CVA'!$Z$56)*1</f>
        <v>0</v>
      </c>
      <c r="Z56" s="12">
        <f>('TUSD BE'!$AA$56+'TUSD BF'!$AA$56+'TUSD CVA'!$AA$56)*1</f>
        <v>0</v>
      </c>
      <c r="AA56" s="12">
        <f>('TUSD BE'!$AC$56+'TUSD BF'!$AC$56+'TUSD CVA'!$AC$56)*1</f>
        <v>379.18555336767918</v>
      </c>
      <c r="AB56" s="12">
        <f ca="1">('TUSD BE'!$AE$56+'TUSD BF'!$AE$56+'TUSD CVA'!$AE$56)*1</f>
        <v>-45.531666458462119</v>
      </c>
      <c r="AC56" s="12">
        <f ca="1">('TUSD BE'!$AF$56+'TUSD BF'!$AF$56+'TUSD CVA'!$AF$56)*1</f>
        <v>0</v>
      </c>
      <c r="AD56" s="12">
        <f>('TUSD BE'!$AH$56+'TUSD BF'!$AH$56+'TUSD CVA'!$AH$56)*1</f>
        <v>18.48270906488305</v>
      </c>
      <c r="AE56" s="12">
        <f>('TUSD BE'!$AI$56+'TUSD BF'!$AI$56+'TUSD CVA'!$AI$56)*1</f>
        <v>0.43577182623286492</v>
      </c>
      <c r="AF56" s="12">
        <f ca="1">('TUSD BE'!$AJ$56+'TUSD BF'!$AJ$56+'TUSD CVA'!$AJ$56)*1</f>
        <v>2.8976873425982257</v>
      </c>
      <c r="AG56" s="12">
        <f ca="1">('TUSD BE'!$AK$56+'TUSD BF'!$AK$56+'TUSD CVA'!$AK$56)*1</f>
        <v>0</v>
      </c>
      <c r="AI56" s="12">
        <v>0</v>
      </c>
      <c r="AJ56" s="12">
        <v>0.73563791871328599</v>
      </c>
      <c r="AK56" s="12">
        <v>5.4933321032206903</v>
      </c>
      <c r="AL56" s="12">
        <v>4.6353452504891701E-2</v>
      </c>
      <c r="AM56" s="12">
        <v>0</v>
      </c>
      <c r="AN56" s="12">
        <v>28.052520265360499</v>
      </c>
      <c r="AO56" s="12">
        <v>9.5704209868042103</v>
      </c>
      <c r="AP56" s="12">
        <v>0</v>
      </c>
      <c r="AQ56" s="12">
        <v>37.865052903603001</v>
      </c>
      <c r="AR56" s="12">
        <v>13.9372401063361</v>
      </c>
      <c r="AS56" s="12">
        <v>1.13942676435082</v>
      </c>
      <c r="AT56" s="12">
        <v>0</v>
      </c>
      <c r="AU56" s="12">
        <v>40.833693788657101</v>
      </c>
      <c r="AV56" s="12">
        <v>0</v>
      </c>
      <c r="AW56" s="12">
        <v>0</v>
      </c>
      <c r="AX56" s="12">
        <v>340.254137478573</v>
      </c>
      <c r="AY56" s="12">
        <v>0</v>
      </c>
      <c r="AZ56" s="12">
        <v>0</v>
      </c>
      <c r="BA56" s="12">
        <v>16.9488851850092</v>
      </c>
      <c r="BB56" s="12">
        <v>0.41432660838160001</v>
      </c>
      <c r="BC56" s="12">
        <v>2.7293192564569502</v>
      </c>
      <c r="BD56" s="12">
        <v>0</v>
      </c>
    </row>
    <row r="57" spans="1:56" ht="11.25" customHeight="1" x14ac:dyDescent="0.25">
      <c r="A57" s="106"/>
      <c r="B57" s="106"/>
      <c r="C57" s="106"/>
      <c r="D57" s="106"/>
      <c r="E57" s="106"/>
      <c r="F57" s="106"/>
      <c r="G57" s="17" t="s">
        <v>80</v>
      </c>
      <c r="H57" s="17" t="s">
        <v>78</v>
      </c>
      <c r="I57" s="17">
        <f>'MERCADO TUSD'!$U$54</f>
        <v>133.73599999999999</v>
      </c>
      <c r="J57" s="15"/>
      <c r="L57" s="12">
        <f>('TUSD BE'!$L$57+'TUSD BF'!$L$57+'TUSD CVA'!$L$57)*1</f>
        <v>1.9560732960095115</v>
      </c>
      <c r="M57" s="12">
        <f>('TUSD BE'!$M$57+'TUSD BF'!$M$57+'TUSD CVA'!$M$57)*1</f>
        <v>0.78655281242721842</v>
      </c>
      <c r="N57" s="12">
        <f ca="1">('TUSD BE'!$N$57+'TUSD BF'!$N$57+'TUSD CVA'!$N$57)*1</f>
        <v>2.0118692534333489</v>
      </c>
      <c r="O57" s="12">
        <f>('TUSD BE'!$O$57+'TUSD BF'!$O$57+'TUSD CVA'!$O$57)*1</f>
        <v>3.7615096723935967E-2</v>
      </c>
      <c r="P57" s="12">
        <f>('TUSD BE'!$P$57+'TUSD BF'!$P$57+'TUSD CVA'!$P$57)*1</f>
        <v>0</v>
      </c>
      <c r="Q57" s="12">
        <f>('TUSD BE'!$Q$57+'TUSD BF'!$Q$57+'TUSD CVA'!$Q$57)*1</f>
        <v>34.962753783931547</v>
      </c>
      <c r="R57" s="12">
        <f>('TUSD BE'!$R$57+'TUSD BF'!$R$57+'TUSD CVA'!$R$57)*1</f>
        <v>14.427520425441489</v>
      </c>
      <c r="S57" s="12">
        <f>('TUSD BE'!$S$57+'TUSD BF'!$S$57+'TUSD CVA'!$S$57)*1</f>
        <v>0</v>
      </c>
      <c r="T57" s="12">
        <f>('TUSD BE'!$U$57+'TUSD BF'!$U$57+'TUSD CVA'!$U$57)*1</f>
        <v>11.726175805953615</v>
      </c>
      <c r="U57" s="12">
        <f>('TUSD BE'!$V$57+'TUSD BF'!$V$57+'TUSD CVA'!$V$57)*1</f>
        <v>3.1974921735286728</v>
      </c>
      <c r="V57" s="12">
        <f>('TUSD BE'!$W$57+'TUSD BF'!$W$57+'TUSD CVA'!$W$57)*1</f>
        <v>0.27021252107202071</v>
      </c>
      <c r="W57" s="12">
        <f>('TUSD BE'!$X$57+'TUSD BF'!$X$57+'TUSD CVA'!$X$57)*1</f>
        <v>0</v>
      </c>
      <c r="X57" s="12">
        <f>('TUSD BE'!$Y$57+'TUSD BF'!$Y$57+'TUSD CVA'!$Y$57)*1</f>
        <v>11.280053357315229</v>
      </c>
      <c r="Y57" s="12">
        <f>('TUSD BE'!$Z$57+'TUSD BF'!$Z$57+'TUSD CVA'!$Z$57)*1</f>
        <v>0</v>
      </c>
      <c r="Z57" s="12">
        <f>('TUSD BE'!$AA$57+'TUSD BF'!$AA$57+'TUSD CVA'!$AA$57)*1</f>
        <v>0</v>
      </c>
      <c r="AA57" s="12">
        <f>('TUSD BE'!$AC$57+'TUSD BF'!$AC$57+'TUSD CVA'!$AC$57)*1</f>
        <v>126.39522392637649</v>
      </c>
      <c r="AB57" s="12">
        <f ca="1">('TUSD BE'!$AE$57+'TUSD BF'!$AE$57+'TUSD CVA'!$AE$57)*1</f>
        <v>-19.313597118754714</v>
      </c>
      <c r="AC57" s="12">
        <f ca="1">('TUSD BE'!$AF$57+'TUSD BF'!$AF$57+'TUSD CVA'!$AF$57)*1</f>
        <v>0</v>
      </c>
      <c r="AD57" s="12">
        <f>('TUSD BE'!$AH$57+'TUSD BF'!$AH$57+'TUSD CVA'!$AH$57)*1</f>
        <v>18.48270906488305</v>
      </c>
      <c r="AE57" s="12">
        <f>('TUSD BE'!$AI$57+'TUSD BF'!$AI$57+'TUSD CVA'!$AI$57)*1</f>
        <v>0.43577182623286492</v>
      </c>
      <c r="AF57" s="12">
        <f ca="1">('TUSD BE'!$AJ$57+'TUSD BF'!$AJ$57+'TUSD CVA'!$AJ$57)*1</f>
        <v>2.8976873425982257</v>
      </c>
      <c r="AG57" s="12">
        <f ca="1">('TUSD BE'!$AK$57+'TUSD BF'!$AK$57+'TUSD CVA'!$AK$57)*1</f>
        <v>0</v>
      </c>
      <c r="AI57" s="12">
        <v>0</v>
      </c>
      <c r="AJ57" s="12">
        <v>0.73563791871328599</v>
      </c>
      <c r="AK57" s="12">
        <v>2.1610607244105502</v>
      </c>
      <c r="AL57" s="12">
        <v>4.6353452504891701E-2</v>
      </c>
      <c r="AM57" s="12">
        <v>0</v>
      </c>
      <c r="AN57" s="12">
        <v>28.052520265360499</v>
      </c>
      <c r="AO57" s="12">
        <v>9.5704209868042103</v>
      </c>
      <c r="AP57" s="12">
        <v>0</v>
      </c>
      <c r="AQ57" s="12">
        <v>12.621646590648201</v>
      </c>
      <c r="AR57" s="12">
        <v>4.6457066418657398</v>
      </c>
      <c r="AS57" s="12">
        <v>0.379771200830406</v>
      </c>
      <c r="AT57" s="12">
        <v>0</v>
      </c>
      <c r="AU57" s="12">
        <v>13.611231262885701</v>
      </c>
      <c r="AV57" s="12">
        <v>0</v>
      </c>
      <c r="AW57" s="12">
        <v>0</v>
      </c>
      <c r="AX57" s="12">
        <v>113.41808124419499</v>
      </c>
      <c r="AY57" s="12">
        <v>0</v>
      </c>
      <c r="AZ57" s="12">
        <v>0</v>
      </c>
      <c r="BA57" s="12">
        <v>16.9488851850092</v>
      </c>
      <c r="BB57" s="12">
        <v>0.41432660838160001</v>
      </c>
      <c r="BC57" s="12">
        <v>2.7293192564569502</v>
      </c>
      <c r="BD57" s="12">
        <v>0</v>
      </c>
    </row>
    <row r="58" spans="1:56" ht="11.25" customHeight="1" x14ac:dyDescent="0.25">
      <c r="A58" s="106"/>
      <c r="B58" s="18" t="s">
        <v>23</v>
      </c>
      <c r="C58" s="18" t="s">
        <v>25</v>
      </c>
      <c r="D58" s="18" t="s">
        <v>25</v>
      </c>
      <c r="E58" s="18" t="s">
        <v>25</v>
      </c>
      <c r="F58" s="18" t="s">
        <v>25</v>
      </c>
      <c r="G58" s="17" t="s">
        <v>84</v>
      </c>
      <c r="H58" s="17" t="s">
        <v>78</v>
      </c>
      <c r="I58" s="17">
        <f>'MERCADO TUSD'!$U$55</f>
        <v>94039.850999999995</v>
      </c>
      <c r="J58" s="15"/>
      <c r="L58" s="12">
        <f>('TUSD BE'!$L$58+'TUSD BF'!$L$58+'TUSD CVA'!$L$58)*1</f>
        <v>1.9560732960095115</v>
      </c>
      <c r="M58" s="12">
        <f>('TUSD BE'!$M$58+'TUSD BF'!$M$58+'TUSD CVA'!$M$58)*1</f>
        <v>0.78655281242721842</v>
      </c>
      <c r="N58" s="12">
        <f ca="1">('TUSD BE'!$N$58+'TUSD BF'!$N$58+'TUSD CVA'!$N$58)*1</f>
        <v>2.8474043981197319</v>
      </c>
      <c r="O58" s="12">
        <f>('TUSD BE'!$O$58+'TUSD BF'!$O$58+'TUSD CVA'!$O$58)*1</f>
        <v>3.7615096723935967E-2</v>
      </c>
      <c r="P58" s="12">
        <f>('TUSD BE'!$P$58+'TUSD BF'!$P$58+'TUSD CVA'!$P$58)*1</f>
        <v>0</v>
      </c>
      <c r="Q58" s="12">
        <f>('TUSD BE'!$Q$58+'TUSD BF'!$Q$58+'TUSD CVA'!$Q$58)*1</f>
        <v>34.962753783931547</v>
      </c>
      <c r="R58" s="12">
        <f>('TUSD BE'!$R$58+'TUSD BF'!$R$58+'TUSD CVA'!$R$58)*1</f>
        <v>14.427520425441489</v>
      </c>
      <c r="S58" s="12">
        <f>('TUSD BE'!$S$58+'TUSD BF'!$S$58+'TUSD CVA'!$S$58)*1</f>
        <v>0</v>
      </c>
      <c r="T58" s="12">
        <f>('TUSD BE'!$U$58+'TUSD BF'!$U$58+'TUSD CVA'!$U$58)*1</f>
        <v>18.040270470697873</v>
      </c>
      <c r="U58" s="12">
        <f>('TUSD BE'!$V$58+'TUSD BF'!$V$58+'TUSD CVA'!$V$58)*1</f>
        <v>4.9192378169475282</v>
      </c>
      <c r="V58" s="12">
        <f>('TUSD BE'!$W$58+'TUSD BF'!$W$58+'TUSD CVA'!$W$58)*1</f>
        <v>0.41578589356850859</v>
      </c>
      <c r="W58" s="12">
        <f>('TUSD BE'!$X$58+'TUSD BF'!$X$58+'TUSD CVA'!$X$58)*1</f>
        <v>0</v>
      </c>
      <c r="X58" s="12">
        <f>('TUSD BE'!$Y$58+'TUSD BF'!$Y$58+'TUSD CVA'!$Y$58)*1</f>
        <v>17.353853081363678</v>
      </c>
      <c r="Y58" s="12">
        <f>('TUSD BE'!$Z$58+'TUSD BF'!$Z$58+'TUSD CVA'!$Z$58)*1</f>
        <v>0</v>
      </c>
      <c r="Z58" s="12">
        <f>('TUSD BE'!$AA$58+'TUSD BF'!$AA$58+'TUSD CVA'!$AA$58)*1</f>
        <v>0</v>
      </c>
      <c r="AA58" s="12">
        <f>('TUSD BE'!$AC$58+'TUSD BF'!$AC$58+'TUSD CVA'!$AC$58)*1</f>
        <v>194.45409957023278</v>
      </c>
      <c r="AB58" s="12">
        <f ca="1">('TUSD BE'!$AE$58+'TUSD BF'!$AE$58+'TUSD CVA'!$AE$58)*1</f>
        <v>-26.372298391919237</v>
      </c>
      <c r="AC58" s="12">
        <f ca="1">('TUSD BE'!$AF$58+'TUSD BF'!$AF$58+'TUSD CVA'!$AF$58)*1</f>
        <v>0</v>
      </c>
      <c r="AD58" s="12">
        <f>('TUSD BE'!$AH$58+'TUSD BF'!$AH$58+'TUSD CVA'!$AH$58)*1</f>
        <v>18.48270906488305</v>
      </c>
      <c r="AE58" s="12">
        <f>('TUSD BE'!$AI$58+'TUSD BF'!$AI$58+'TUSD CVA'!$AI$58)*1</f>
        <v>0.43577182623286492</v>
      </c>
      <c r="AF58" s="12">
        <f ca="1">('TUSD BE'!$AJ$58+'TUSD BF'!$AJ$58+'TUSD CVA'!$AJ$58)*1</f>
        <v>2.8976873425982257</v>
      </c>
      <c r="AG58" s="12">
        <f ca="1">('TUSD BE'!$AK$58+'TUSD BF'!$AK$58+'TUSD CVA'!$AK$58)*1</f>
        <v>0</v>
      </c>
      <c r="AI58" s="12">
        <v>0</v>
      </c>
      <c r="AJ58" s="12">
        <v>0.73563791871328599</v>
      </c>
      <c r="AK58" s="12">
        <v>3.05820964693081</v>
      </c>
      <c r="AL58" s="12">
        <v>4.6353452504891701E-2</v>
      </c>
      <c r="AM58" s="12">
        <v>0</v>
      </c>
      <c r="AN58" s="12">
        <v>28.052520265360499</v>
      </c>
      <c r="AO58" s="12">
        <v>9.5704209868042103</v>
      </c>
      <c r="AP58" s="12">
        <v>0</v>
      </c>
      <c r="AQ58" s="12">
        <v>19.417917831766498</v>
      </c>
      <c r="AR58" s="12">
        <v>7.1472687215024102</v>
      </c>
      <c r="AS58" s="12">
        <v>0.58436784299410505</v>
      </c>
      <c r="AT58" s="12">
        <v>0</v>
      </c>
      <c r="AU58" s="12">
        <v>20.940265095412901</v>
      </c>
      <c r="AV58" s="12">
        <v>0</v>
      </c>
      <c r="AW58" s="12">
        <v>0</v>
      </c>
      <c r="AX58" s="12">
        <v>174.489274026445</v>
      </c>
      <c r="AY58" s="12">
        <v>0</v>
      </c>
      <c r="AZ58" s="12">
        <v>0</v>
      </c>
      <c r="BA58" s="12">
        <v>16.9488851850092</v>
      </c>
      <c r="BB58" s="12">
        <v>0.41432660838160001</v>
      </c>
      <c r="BC58" s="12">
        <v>2.7293192564569502</v>
      </c>
      <c r="BD58" s="12">
        <v>0</v>
      </c>
    </row>
    <row r="59" spans="1:56" ht="11.25" customHeight="1" x14ac:dyDescent="0.25">
      <c r="A59" s="106"/>
      <c r="B59" s="18" t="s">
        <v>93</v>
      </c>
      <c r="C59" s="18" t="s">
        <v>25</v>
      </c>
      <c r="D59" s="18" t="s">
        <v>25</v>
      </c>
      <c r="E59" s="18" t="s">
        <v>25</v>
      </c>
      <c r="F59" s="18" t="s">
        <v>25</v>
      </c>
      <c r="G59" s="17" t="s">
        <v>84</v>
      </c>
      <c r="H59" s="17" t="s">
        <v>78</v>
      </c>
      <c r="I59" s="17">
        <f>'MERCADO TUSD'!$U$56</f>
        <v>0</v>
      </c>
      <c r="J59" s="15"/>
      <c r="L59" s="12">
        <f>('TUSD BE'!$L$59+'TUSD BF'!$L$59+'TUSD CVA'!$L$59)*1</f>
        <v>1.9560732960095115</v>
      </c>
      <c r="M59" s="12">
        <f>('TUSD BE'!$M$59+'TUSD BF'!$M$59+'TUSD CVA'!$M$59)*1</f>
        <v>0.78655281242721842</v>
      </c>
      <c r="N59" s="12">
        <f ca="1">('TUSD BE'!$N$59+'TUSD BF'!$N$59+'TUSD CVA'!$N$59)*1</f>
        <v>2.8474043981197319</v>
      </c>
      <c r="O59" s="12">
        <f>('TUSD BE'!$O$59+'TUSD BF'!$O$59+'TUSD CVA'!$O$59)*1</f>
        <v>3.7615096723935967E-2</v>
      </c>
      <c r="P59" s="12">
        <f>('TUSD BE'!$P$59+'TUSD BF'!$P$59+'TUSD CVA'!$P$59)*1</f>
        <v>0</v>
      </c>
      <c r="Q59" s="12">
        <f>('TUSD BE'!$Q$59+'TUSD BF'!$Q$59+'TUSD CVA'!$Q$59)*1</f>
        <v>34.962753783931547</v>
      </c>
      <c r="R59" s="12">
        <f>('TUSD BE'!$R$59+'TUSD BF'!$R$59+'TUSD CVA'!$R$59)*1</f>
        <v>14.427520425441489</v>
      </c>
      <c r="S59" s="12">
        <f>('TUSD BE'!$S$59+'TUSD BF'!$S$59+'TUSD CVA'!$S$59)*1</f>
        <v>0</v>
      </c>
      <c r="T59" s="12">
        <f>('TUSD BE'!$U$59+'TUSD BF'!$U$59+'TUSD CVA'!$U$59)*1</f>
        <v>18.040270470697873</v>
      </c>
      <c r="U59" s="12">
        <f>('TUSD BE'!$V$59+'TUSD BF'!$V$59+'TUSD CVA'!$V$59)*1</f>
        <v>4.9192378169475282</v>
      </c>
      <c r="V59" s="12">
        <f>('TUSD BE'!$W$59+'TUSD BF'!$W$59+'TUSD CVA'!$W$59)*1</f>
        <v>0.41578589356850859</v>
      </c>
      <c r="W59" s="12">
        <f>('TUSD BE'!$X$59+'TUSD BF'!$X$59+'TUSD CVA'!$X$59)*1</f>
        <v>0</v>
      </c>
      <c r="X59" s="12">
        <f>('TUSD BE'!$Y$59+'TUSD BF'!$Y$59+'TUSD CVA'!$Y$59)*1</f>
        <v>17.353853081363678</v>
      </c>
      <c r="Y59" s="12">
        <f>('TUSD BE'!$Z$59+'TUSD BF'!$Z$59+'TUSD CVA'!$Z$59)*1</f>
        <v>0</v>
      </c>
      <c r="Z59" s="12">
        <f>('TUSD BE'!$AA$59+'TUSD BF'!$AA$59+'TUSD CVA'!$AA$59)*1</f>
        <v>0</v>
      </c>
      <c r="AA59" s="12">
        <f>('TUSD BE'!$AC$59+'TUSD BF'!$AC$59+'TUSD CVA'!$AC$59)*1</f>
        <v>194.45409957023278</v>
      </c>
      <c r="AB59" s="12">
        <f ca="1">('TUSD BE'!$AE$59+'TUSD BF'!$AE$59+'TUSD CVA'!$AE$59)*1</f>
        <v>-26.372298391919237</v>
      </c>
      <c r="AC59" s="12">
        <f ca="1">('TUSD BE'!$AF$59+'TUSD BF'!$AF$59+'TUSD CVA'!$AF$59)*1</f>
        <v>0</v>
      </c>
      <c r="AD59" s="12">
        <f>('TUSD BE'!$AH$59+'TUSD BF'!$AH$59+'TUSD CVA'!$AH$59)*1</f>
        <v>18.48270906488305</v>
      </c>
      <c r="AE59" s="12">
        <f>('TUSD BE'!$AI$59+'TUSD BF'!$AI$59+'TUSD CVA'!$AI$59)*1</f>
        <v>0.43577182623286492</v>
      </c>
      <c r="AF59" s="12">
        <f ca="1">('TUSD BE'!$AJ$59+'TUSD BF'!$AJ$59+'TUSD CVA'!$AJ$59)*1</f>
        <v>2.8976873425982257</v>
      </c>
      <c r="AG59" s="12">
        <f ca="1">('TUSD BE'!$AK$59+'TUSD BF'!$AK$59+'TUSD CVA'!$AK$59)*1</f>
        <v>0</v>
      </c>
      <c r="AI59" s="12">
        <v>0</v>
      </c>
      <c r="AJ59" s="12">
        <v>0.73563791871328599</v>
      </c>
      <c r="AK59" s="12">
        <v>3.05820964693081</v>
      </c>
      <c r="AL59" s="12">
        <v>4.6353452504891701E-2</v>
      </c>
      <c r="AM59" s="12">
        <v>0</v>
      </c>
      <c r="AN59" s="12">
        <v>28.052520265360499</v>
      </c>
      <c r="AO59" s="12">
        <v>9.5704209868042103</v>
      </c>
      <c r="AP59" s="12">
        <v>0</v>
      </c>
      <c r="AQ59" s="12">
        <v>19.417917831766498</v>
      </c>
      <c r="AR59" s="12">
        <v>7.1472687215024102</v>
      </c>
      <c r="AS59" s="12">
        <v>0.58436784299410505</v>
      </c>
      <c r="AT59" s="12">
        <v>0</v>
      </c>
      <c r="AU59" s="12">
        <v>20.940265095412901</v>
      </c>
      <c r="AV59" s="12">
        <v>0</v>
      </c>
      <c r="AW59" s="12">
        <v>0</v>
      </c>
      <c r="AX59" s="12">
        <v>174.489274026445</v>
      </c>
      <c r="AY59" s="12">
        <v>0</v>
      </c>
      <c r="AZ59" s="12">
        <v>0</v>
      </c>
      <c r="BA59" s="12">
        <v>16.9488851850092</v>
      </c>
      <c r="BB59" s="12">
        <v>0.41432660838160001</v>
      </c>
      <c r="BC59" s="12">
        <v>2.7293192564569502</v>
      </c>
      <c r="BD59" s="12">
        <v>0</v>
      </c>
    </row>
    <row r="60" spans="1:56" ht="11.25" customHeight="1" x14ac:dyDescent="0.25">
      <c r="A60" s="106" t="s">
        <v>46</v>
      </c>
      <c r="B60" s="106" t="s">
        <v>23</v>
      </c>
      <c r="C60" s="106" t="s">
        <v>47</v>
      </c>
      <c r="D60" s="18" t="s">
        <v>48</v>
      </c>
      <c r="E60" s="18" t="s">
        <v>25</v>
      </c>
      <c r="F60" s="18" t="s">
        <v>25</v>
      </c>
      <c r="G60" s="17" t="s">
        <v>84</v>
      </c>
      <c r="H60" s="17" t="s">
        <v>78</v>
      </c>
      <c r="I60" s="17">
        <f>'MERCADO TUSD'!$U$57</f>
        <v>35555.334999999999</v>
      </c>
      <c r="J60" s="15"/>
      <c r="L60" s="12">
        <f>('TUSD BE'!$L$60+'TUSD BF'!$L$60+'TUSD CVA'!$L$60)*1</f>
        <v>1.0758403128052314</v>
      </c>
      <c r="M60" s="12">
        <f>('TUSD BE'!$M$60+'TUSD BF'!$M$60+'TUSD CVA'!$M$60)*1</f>
        <v>0.43260404683497022</v>
      </c>
      <c r="N60" s="12">
        <f ca="1">('TUSD BE'!$N$60+'TUSD BF'!$N$60+'TUSD CVA'!$N$60)*1</f>
        <v>1.5660724189658526</v>
      </c>
      <c r="O60" s="12">
        <f>('TUSD BE'!$O$60+'TUSD BF'!$O$60+'TUSD CVA'!$O$60)*1</f>
        <v>2.0688303198164785E-2</v>
      </c>
      <c r="P60" s="12">
        <f>('TUSD BE'!$P$60+'TUSD BF'!$P$60+'TUSD CVA'!$P$60)*1</f>
        <v>0</v>
      </c>
      <c r="Q60" s="12">
        <f>('TUSD BE'!$Q$60+'TUSD BF'!$Q$60+'TUSD CVA'!$Q$60)*1</f>
        <v>19.229514581162356</v>
      </c>
      <c r="R60" s="12">
        <f>('TUSD BE'!$R$60+'TUSD BF'!$R$60+'TUSD CVA'!$R$60)*1</f>
        <v>7.9351362339928206</v>
      </c>
      <c r="S60" s="12">
        <f>('TUSD BE'!$S$60+'TUSD BF'!$S$60+'TUSD CVA'!$S$60)*1</f>
        <v>0</v>
      </c>
      <c r="T60" s="12">
        <f>('TUSD BE'!$U$60+'TUSD BF'!$U$60+'TUSD CVA'!$U$60)*1</f>
        <v>9.9221487588838286</v>
      </c>
      <c r="U60" s="12">
        <f>('TUSD BE'!$V$60+'TUSD BF'!$V$60+'TUSD CVA'!$V$60)*1</f>
        <v>2.7055807993211407</v>
      </c>
      <c r="V60" s="12">
        <f>('TUSD BE'!$W$60+'TUSD BF'!$W$60+'TUSD CVA'!$W$60)*1</f>
        <v>0.22868224146267974</v>
      </c>
      <c r="W60" s="12">
        <f>('TUSD BE'!$X$60+'TUSD BF'!$X$60+'TUSD CVA'!$X$60)*1</f>
        <v>0</v>
      </c>
      <c r="X60" s="12">
        <f>('TUSD BE'!$Y$60+'TUSD BF'!$Y$60+'TUSD CVA'!$Y$60)*1</f>
        <v>9.5446191947500232</v>
      </c>
      <c r="Y60" s="12">
        <f>('TUSD BE'!$Z$60+'TUSD BF'!$Z$60+'TUSD CVA'!$Z$60)*1</f>
        <v>0</v>
      </c>
      <c r="Z60" s="12">
        <f>('TUSD BE'!$AA$60+'TUSD BF'!$AA$60+'TUSD CVA'!$AA$60)*1</f>
        <v>0</v>
      </c>
      <c r="AA60" s="12">
        <f>('TUSD BE'!$AC$60+'TUSD BF'!$AC$60+'TUSD CVA'!$AC$60)*1</f>
        <v>106.94975476362805</v>
      </c>
      <c r="AB60" s="12">
        <f ca="1">('TUSD BE'!$AE$60+'TUSD BF'!$AE$60+'TUSD CVA'!$AE$60)*1</f>
        <v>-14.504764115555581</v>
      </c>
      <c r="AC60" s="12">
        <f ca="1">('TUSD BE'!$AF$60+'TUSD BF'!$AF$60+'TUSD CVA'!$AF$60)*1</f>
        <v>0</v>
      </c>
      <c r="AD60" s="12">
        <f>('TUSD BE'!$AH$60+'TUSD BF'!$AH$60+'TUSD CVA'!$AH$60)*1</f>
        <v>10.165489985685678</v>
      </c>
      <c r="AE60" s="12">
        <f>('TUSD BE'!$AI$60+'TUSD BF'!$AI$60+'TUSD CVA'!$AI$60)*1</f>
        <v>0.2396745044280757</v>
      </c>
      <c r="AF60" s="12">
        <f ca="1">('TUSD BE'!$AJ$60+'TUSD BF'!$AJ$60+'TUSD CVA'!$AJ$60)*1</f>
        <v>1.5937280384290242</v>
      </c>
      <c r="AG60" s="12">
        <f ca="1">('TUSD BE'!$AK$60+'TUSD BF'!$AK$60+'TUSD CVA'!$AK$60)*1</f>
        <v>0</v>
      </c>
      <c r="AI60" s="12">
        <v>0</v>
      </c>
      <c r="AJ60" s="12">
        <v>0.40460085529230699</v>
      </c>
      <c r="AK60" s="12">
        <v>1.68201530581195</v>
      </c>
      <c r="AL60" s="12">
        <v>2.5494398877690401E-2</v>
      </c>
      <c r="AM60" s="12">
        <v>0</v>
      </c>
      <c r="AN60" s="12">
        <v>15.428886145948301</v>
      </c>
      <c r="AO60" s="12">
        <v>5.2637315427423204</v>
      </c>
      <c r="AP60" s="12">
        <v>0</v>
      </c>
      <c r="AQ60" s="12">
        <v>10.6798548074716</v>
      </c>
      <c r="AR60" s="12">
        <v>3.9309977968263299</v>
      </c>
      <c r="AS60" s="12">
        <v>0.32140231364675798</v>
      </c>
      <c r="AT60" s="12">
        <v>0</v>
      </c>
      <c r="AU60" s="12">
        <v>11.517145802477099</v>
      </c>
      <c r="AV60" s="12">
        <v>0</v>
      </c>
      <c r="AW60" s="12">
        <v>0</v>
      </c>
      <c r="AX60" s="12">
        <v>95.969100714544794</v>
      </c>
      <c r="AY60" s="12">
        <v>0</v>
      </c>
      <c r="AZ60" s="12">
        <v>0</v>
      </c>
      <c r="BA60" s="12">
        <v>9.3218868517550497</v>
      </c>
      <c r="BB60" s="12">
        <v>0.22787963460988001</v>
      </c>
      <c r="BC60" s="12">
        <v>1.5011255910513199</v>
      </c>
      <c r="BD60" s="12">
        <v>0</v>
      </c>
    </row>
    <row r="61" spans="1:56" ht="11.25" customHeight="1" x14ac:dyDescent="0.25">
      <c r="A61" s="106"/>
      <c r="B61" s="106"/>
      <c r="C61" s="106"/>
      <c r="D61" s="17" t="s">
        <v>96</v>
      </c>
      <c r="E61" s="17" t="s">
        <v>25</v>
      </c>
      <c r="F61" s="17" t="s">
        <v>25</v>
      </c>
      <c r="G61" s="17" t="s">
        <v>84</v>
      </c>
      <c r="H61" s="17" t="s">
        <v>78</v>
      </c>
      <c r="I61" s="17">
        <f>'MERCADO TUSD'!$U$58</f>
        <v>0</v>
      </c>
      <c r="J61" s="15"/>
      <c r="L61" s="12">
        <f>('TUSD BE'!$L$61+'TUSD BF'!$L$61+'TUSD CVA'!$L$61)*1</f>
        <v>1.173643977605707</v>
      </c>
      <c r="M61" s="12">
        <f>('TUSD BE'!$M$61+'TUSD BF'!$M$61+'TUSD CVA'!$M$61)*1</f>
        <v>0.47193168745633107</v>
      </c>
      <c r="N61" s="12">
        <f ca="1">('TUSD BE'!$N$61+'TUSD BF'!$N$61+'TUSD CVA'!$N$61)*1</f>
        <v>1.7084426388718394</v>
      </c>
      <c r="O61" s="12">
        <f>('TUSD BE'!$O$61+'TUSD BF'!$O$61+'TUSD CVA'!$O$61)*1</f>
        <v>2.2569058034361583E-2</v>
      </c>
      <c r="P61" s="12">
        <f>('TUSD BE'!$P$61+'TUSD BF'!$P$61+'TUSD CVA'!$P$61)*1</f>
        <v>0</v>
      </c>
      <c r="Q61" s="12">
        <f>('TUSD BE'!$Q$61+'TUSD BF'!$Q$61+'TUSD CVA'!$Q$61)*1</f>
        <v>20.977652270358927</v>
      </c>
      <c r="R61" s="12">
        <f>('TUSD BE'!$R$61+'TUSD BF'!$R$61+'TUSD CVA'!$R$61)*1</f>
        <v>8.656512255264893</v>
      </c>
      <c r="S61" s="12">
        <f>('TUSD BE'!$S$61+'TUSD BF'!$S$61+'TUSD CVA'!$S$61)*1</f>
        <v>0</v>
      </c>
      <c r="T61" s="12">
        <f>('TUSD BE'!$U$61+'TUSD BF'!$U$61+'TUSD CVA'!$U$61)*1</f>
        <v>10.824162282418722</v>
      </c>
      <c r="U61" s="12">
        <f>('TUSD BE'!$V$61+'TUSD BF'!$V$61+'TUSD CVA'!$V$61)*1</f>
        <v>2.9515426901685169</v>
      </c>
      <c r="V61" s="12">
        <f>('TUSD BE'!$W$61+'TUSD BF'!$W$61+'TUSD CVA'!$W$61)*1</f>
        <v>0.24947153614110512</v>
      </c>
      <c r="W61" s="12">
        <f>('TUSD BE'!$X$61+'TUSD BF'!$X$61+'TUSD CVA'!$X$61)*1</f>
        <v>0</v>
      </c>
      <c r="X61" s="12">
        <f>('TUSD BE'!$Y$61+'TUSD BF'!$Y$61+'TUSD CVA'!$Y$61)*1</f>
        <v>10.412311848818204</v>
      </c>
      <c r="Y61" s="12">
        <f>('TUSD BE'!$Z$61+'TUSD BF'!$Z$61+'TUSD CVA'!$Z$61)*1</f>
        <v>0</v>
      </c>
      <c r="Z61" s="12">
        <f>('TUSD BE'!$AA$61+'TUSD BF'!$AA$61+'TUSD CVA'!$AA$61)*1</f>
        <v>0</v>
      </c>
      <c r="AA61" s="12">
        <f>('TUSD BE'!$AC$61+'TUSD BF'!$AC$61+'TUSD CVA'!$AC$61)*1</f>
        <v>116.67245974213968</v>
      </c>
      <c r="AB61" s="12">
        <f ca="1">('TUSD BE'!$AE$61+'TUSD BF'!$AE$61+'TUSD CVA'!$AE$61)*1</f>
        <v>-15.823379035151543</v>
      </c>
      <c r="AC61" s="12">
        <f ca="1">('TUSD BE'!$AF$61+'TUSD BF'!$AF$61+'TUSD CVA'!$AF$61)*1</f>
        <v>0</v>
      </c>
      <c r="AD61" s="12">
        <f>('TUSD BE'!$AH$61+'TUSD BF'!$AH$61+'TUSD CVA'!$AH$61)*1</f>
        <v>11.089625438929831</v>
      </c>
      <c r="AE61" s="12">
        <f>('TUSD BE'!$AI$61+'TUSD BF'!$AI$61+'TUSD CVA'!$AI$61)*1</f>
        <v>0.26146309573971893</v>
      </c>
      <c r="AF61" s="12">
        <f ca="1">('TUSD BE'!$AJ$61+'TUSD BF'!$AJ$61+'TUSD CVA'!$AJ$61)*1</f>
        <v>1.7386124055589351</v>
      </c>
      <c r="AG61" s="12">
        <f ca="1">('TUSD BE'!$AK$61+'TUSD BF'!$AK$61+'TUSD CVA'!$AK$61)*1</f>
        <v>0</v>
      </c>
      <c r="AI61" s="12">
        <v>0</v>
      </c>
      <c r="AJ61" s="12">
        <v>0.44138275122797099</v>
      </c>
      <c r="AK61" s="12">
        <v>1.8349257881584899</v>
      </c>
      <c r="AL61" s="12">
        <v>2.7812071502935E-2</v>
      </c>
      <c r="AM61" s="12">
        <v>0</v>
      </c>
      <c r="AN61" s="12">
        <v>16.831512159216299</v>
      </c>
      <c r="AO61" s="12">
        <v>5.7422525920825302</v>
      </c>
      <c r="AP61" s="12">
        <v>0</v>
      </c>
      <c r="AQ61" s="12">
        <v>11.6507506990599</v>
      </c>
      <c r="AR61" s="12">
        <v>4.2883612329014502</v>
      </c>
      <c r="AS61" s="12">
        <v>0.35062070579646298</v>
      </c>
      <c r="AT61" s="12">
        <v>0</v>
      </c>
      <c r="AU61" s="12">
        <v>12.5641590572477</v>
      </c>
      <c r="AV61" s="12">
        <v>0</v>
      </c>
      <c r="AW61" s="12">
        <v>0</v>
      </c>
      <c r="AX61" s="12">
        <v>104.693564415867</v>
      </c>
      <c r="AY61" s="12">
        <v>0</v>
      </c>
      <c r="AZ61" s="12">
        <v>0</v>
      </c>
      <c r="BA61" s="12">
        <v>10.1693311110055</v>
      </c>
      <c r="BB61" s="12">
        <v>0.24859596502896</v>
      </c>
      <c r="BC61" s="12">
        <v>1.6375915538741701</v>
      </c>
      <c r="BD61" s="12">
        <v>0</v>
      </c>
    </row>
    <row r="63" spans="1:56" ht="11.25" customHeight="1" x14ac:dyDescent="0.25">
      <c r="L63" s="108" t="s">
        <v>1013</v>
      </c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I63" s="108" t="s">
        <v>1014</v>
      </c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8"/>
      <c r="BA63" s="108"/>
      <c r="BB63" s="108"/>
      <c r="BC63" s="108"/>
      <c r="BD63" s="108"/>
    </row>
    <row r="64" spans="1:56" ht="11.25" customHeight="1" x14ac:dyDescent="0.25">
      <c r="L64" s="108" t="s">
        <v>716</v>
      </c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I64" s="108" t="s">
        <v>716</v>
      </c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8"/>
      <c r="BA64" s="108"/>
      <c r="BB64" s="108"/>
      <c r="BC64" s="108"/>
      <c r="BD64" s="108"/>
    </row>
    <row r="65" spans="1:56" ht="11.25" customHeight="1" x14ac:dyDescent="0.25">
      <c r="L65" s="108" t="s">
        <v>717</v>
      </c>
      <c r="M65" s="108"/>
      <c r="N65" s="108"/>
      <c r="O65" s="108"/>
      <c r="P65" s="108"/>
      <c r="Q65" s="108"/>
      <c r="R65" s="108"/>
      <c r="S65" s="108"/>
      <c r="T65" s="108" t="s">
        <v>726</v>
      </c>
      <c r="U65" s="108"/>
      <c r="V65" s="108"/>
      <c r="W65" s="108"/>
      <c r="X65" s="108"/>
      <c r="Y65" s="108"/>
      <c r="Z65" s="108"/>
      <c r="AA65" s="10" t="s">
        <v>734</v>
      </c>
      <c r="AB65" s="108" t="s">
        <v>736</v>
      </c>
      <c r="AC65" s="108"/>
      <c r="AD65" s="108" t="s">
        <v>739</v>
      </c>
      <c r="AE65" s="108"/>
      <c r="AF65" s="108"/>
      <c r="AG65" s="108"/>
      <c r="AI65" s="108" t="s">
        <v>717</v>
      </c>
      <c r="AJ65" s="108"/>
      <c r="AK65" s="108"/>
      <c r="AL65" s="108"/>
      <c r="AM65" s="108"/>
      <c r="AN65" s="108"/>
      <c r="AO65" s="108"/>
      <c r="AP65" s="108"/>
      <c r="AQ65" s="108" t="s">
        <v>726</v>
      </c>
      <c r="AR65" s="108"/>
      <c r="AS65" s="108"/>
      <c r="AT65" s="108"/>
      <c r="AU65" s="108"/>
      <c r="AV65" s="108"/>
      <c r="AW65" s="108"/>
      <c r="AX65" s="10" t="s">
        <v>734</v>
      </c>
      <c r="AY65" s="108" t="s">
        <v>736</v>
      </c>
      <c r="AZ65" s="108"/>
      <c r="BA65" s="108" t="s">
        <v>739</v>
      </c>
      <c r="BB65" s="108"/>
      <c r="BC65" s="108"/>
      <c r="BD65" s="108"/>
    </row>
    <row r="66" spans="1:56" ht="11.25" customHeight="1" x14ac:dyDescent="0.25">
      <c r="L66" s="10" t="s">
        <v>801</v>
      </c>
      <c r="M66" s="10" t="s">
        <v>718</v>
      </c>
      <c r="N66" s="10" t="s">
        <v>719</v>
      </c>
      <c r="O66" s="10" t="s">
        <v>720</v>
      </c>
      <c r="P66" s="10" t="s">
        <v>721</v>
      </c>
      <c r="Q66" s="10" t="s">
        <v>722</v>
      </c>
      <c r="R66" s="10" t="s">
        <v>723</v>
      </c>
      <c r="S66" s="10" t="s">
        <v>724</v>
      </c>
      <c r="T66" s="10" t="s">
        <v>727</v>
      </c>
      <c r="U66" s="10" t="s">
        <v>728</v>
      </c>
      <c r="V66" s="10" t="s">
        <v>729</v>
      </c>
      <c r="W66" s="10" t="s">
        <v>730</v>
      </c>
      <c r="X66" s="10" t="s">
        <v>731</v>
      </c>
      <c r="Y66" s="10" t="s">
        <v>732</v>
      </c>
      <c r="Z66" s="10" t="s">
        <v>733</v>
      </c>
      <c r="AA66" s="10" t="s">
        <v>735</v>
      </c>
      <c r="AB66" s="10" t="s">
        <v>737</v>
      </c>
      <c r="AC66" s="10" t="s">
        <v>738</v>
      </c>
      <c r="AD66" s="10" t="s">
        <v>740</v>
      </c>
      <c r="AE66" s="10" t="s">
        <v>741</v>
      </c>
      <c r="AF66" s="10" t="s">
        <v>742</v>
      </c>
      <c r="AG66" s="10" t="s">
        <v>743</v>
      </c>
      <c r="AI66" s="10" t="s">
        <v>801</v>
      </c>
      <c r="AJ66" s="10" t="s">
        <v>718</v>
      </c>
      <c r="AK66" s="10" t="s">
        <v>719</v>
      </c>
      <c r="AL66" s="10" t="s">
        <v>720</v>
      </c>
      <c r="AM66" s="10" t="s">
        <v>721</v>
      </c>
      <c r="AN66" s="10" t="s">
        <v>722</v>
      </c>
      <c r="AO66" s="10" t="s">
        <v>723</v>
      </c>
      <c r="AP66" s="10" t="s">
        <v>724</v>
      </c>
      <c r="AQ66" s="10" t="s">
        <v>727</v>
      </c>
      <c r="AR66" s="10" t="s">
        <v>728</v>
      </c>
      <c r="AS66" s="10" t="s">
        <v>729</v>
      </c>
      <c r="AT66" s="10" t="s">
        <v>730</v>
      </c>
      <c r="AU66" s="10" t="s">
        <v>731</v>
      </c>
      <c r="AV66" s="10" t="s">
        <v>732</v>
      </c>
      <c r="AW66" s="10" t="s">
        <v>733</v>
      </c>
      <c r="AX66" s="10" t="s">
        <v>735</v>
      </c>
      <c r="AY66" s="10" t="s">
        <v>737</v>
      </c>
      <c r="AZ66" s="10" t="s">
        <v>738</v>
      </c>
      <c r="BA66" s="10" t="s">
        <v>740</v>
      </c>
      <c r="BB66" s="10" t="s">
        <v>741</v>
      </c>
      <c r="BC66" s="10" t="s">
        <v>742</v>
      </c>
      <c r="BD66" s="10" t="s">
        <v>743</v>
      </c>
    </row>
    <row r="67" spans="1:56" ht="11.25" customHeight="1" x14ac:dyDescent="0.25">
      <c r="A67" s="9" t="s">
        <v>56</v>
      </c>
      <c r="B67" s="9" t="s">
        <v>1015</v>
      </c>
      <c r="C67" s="9" t="s">
        <v>1016</v>
      </c>
      <c r="D67" s="9" t="s">
        <v>1017</v>
      </c>
      <c r="E67" s="9" t="s">
        <v>1018</v>
      </c>
      <c r="F67" s="9" t="s">
        <v>1019</v>
      </c>
      <c r="G67" s="9" t="s">
        <v>1020</v>
      </c>
      <c r="L67" s="12">
        <f>$I$5*$L$5</f>
        <v>0</v>
      </c>
      <c r="M67" s="12">
        <f>$I$5*$M$5</f>
        <v>0</v>
      </c>
      <c r="N67" s="12">
        <f ca="1">$I$5*$N$5</f>
        <v>0</v>
      </c>
      <c r="O67" s="12">
        <f>$I$5*$O$5</f>
        <v>0</v>
      </c>
      <c r="P67" s="12">
        <f>$I$5*$P$5</f>
        <v>0</v>
      </c>
      <c r="Q67" s="12">
        <f>$I$5*$Q$5</f>
        <v>0</v>
      </c>
      <c r="R67" s="12">
        <f>$I$5*$R$5</f>
        <v>0</v>
      </c>
      <c r="S67" s="12">
        <f>$I$5*$S$5</f>
        <v>0</v>
      </c>
      <c r="T67" s="12">
        <f>$I$5*$T$5</f>
        <v>496038.68437552609</v>
      </c>
      <c r="U67" s="12">
        <f>$I$5*$U$5</f>
        <v>134613.09042292697</v>
      </c>
      <c r="V67" s="12">
        <f>$I$5*$V$5</f>
        <v>11544.100485614685</v>
      </c>
      <c r="W67" s="12">
        <f>$I$5*$W$5</f>
        <v>0</v>
      </c>
      <c r="X67" s="12">
        <f>$I$5*$X$5</f>
        <v>549983.8895104354</v>
      </c>
      <c r="Y67" s="12">
        <f>$I$5*$Y$5</f>
        <v>0</v>
      </c>
      <c r="Z67" s="12">
        <f>$I$5*$Z$5</f>
        <v>0</v>
      </c>
      <c r="AA67" s="12">
        <f>$I$5*$AA$5</f>
        <v>292151.23807658727</v>
      </c>
      <c r="AB67" s="12">
        <f ca="1">$I$5*$AB$5</f>
        <v>-124096.57220245809</v>
      </c>
      <c r="AC67" s="12">
        <f ca="1">$I$5*$AC$5</f>
        <v>0</v>
      </c>
      <c r="AD67" s="12">
        <f>$I$5*$AD$5</f>
        <v>0</v>
      </c>
      <c r="AE67" s="12">
        <f>$I$5*$AE$5</f>
        <v>0</v>
      </c>
      <c r="AF67" s="12">
        <f ca="1">$I$5*$AF$5</f>
        <v>0</v>
      </c>
      <c r="AG67" s="12">
        <f ca="1">$I$5*$AG$5</f>
        <v>0</v>
      </c>
      <c r="AI67" s="12">
        <f>$I$5*$AI$5</f>
        <v>0</v>
      </c>
      <c r="AJ67" s="12">
        <f>$I$5*$AJ$5</f>
        <v>0</v>
      </c>
      <c r="AK67" s="12">
        <f>$I$5*$AK$5</f>
        <v>0</v>
      </c>
      <c r="AL67" s="12">
        <f>$I$5*$AL$5</f>
        <v>0</v>
      </c>
      <c r="AM67" s="12">
        <f>$I$5*$AM$5</f>
        <v>0</v>
      </c>
      <c r="AN67" s="12">
        <f>$I$5*$AN$5</f>
        <v>0</v>
      </c>
      <c r="AO67" s="12">
        <f>$I$5*$AO$5</f>
        <v>0</v>
      </c>
      <c r="AP67" s="12">
        <f>$I$5*$AP$5</f>
        <v>0</v>
      </c>
      <c r="AQ67" s="12">
        <f>$I$5*$AQ$5</f>
        <v>500548.81540370116</v>
      </c>
      <c r="AR67" s="12">
        <f>$I$5*$AR$5</f>
        <v>183358.42229650033</v>
      </c>
      <c r="AS67" s="12">
        <f>$I$5*$AS$5</f>
        <v>15210.655602216704</v>
      </c>
      <c r="AT67" s="12">
        <f>$I$5*$AT$5</f>
        <v>0</v>
      </c>
      <c r="AU67" s="12">
        <f>$I$5*$AU$5</f>
        <v>622167.76102392096</v>
      </c>
      <c r="AV67" s="12">
        <f>$I$5*$AV$5</f>
        <v>0</v>
      </c>
      <c r="AW67" s="12">
        <f>$I$5*$AW$5</f>
        <v>0</v>
      </c>
      <c r="AX67" s="12">
        <f>$I$5*$AX$5</f>
        <v>245771.00176167866</v>
      </c>
      <c r="AY67" s="12">
        <f>$I$5*$AY$5</f>
        <v>0</v>
      </c>
      <c r="AZ67" s="12">
        <f>$I$5*$AZ$5</f>
        <v>0</v>
      </c>
      <c r="BA67" s="12">
        <f>$I$5*$BA$5</f>
        <v>0</v>
      </c>
      <c r="BB67" s="12">
        <f>$I$5*$BB$5</f>
        <v>0</v>
      </c>
      <c r="BC67" s="12">
        <f>$I$5*$BC$5</f>
        <v>0</v>
      </c>
      <c r="BD67" s="12">
        <f>$I$5*$BD$5</f>
        <v>0</v>
      </c>
    </row>
    <row r="68" spans="1:56" ht="11.25" customHeight="1" x14ac:dyDescent="0.25">
      <c r="A68" s="9" t="s">
        <v>56</v>
      </c>
      <c r="B68" s="9" t="s">
        <v>1015</v>
      </c>
      <c r="C68" s="9" t="s">
        <v>1016</v>
      </c>
      <c r="D68" s="9" t="s">
        <v>1017</v>
      </c>
      <c r="E68" s="9" t="s">
        <v>1018</v>
      </c>
      <c r="F68" s="9" t="s">
        <v>1019</v>
      </c>
      <c r="G68" s="9" t="s">
        <v>1021</v>
      </c>
      <c r="L68" s="12">
        <f>$I$6*$L$6</f>
        <v>0</v>
      </c>
      <c r="M68" s="12">
        <f>$I$6*$M$6</f>
        <v>0</v>
      </c>
      <c r="N68" s="12">
        <f ca="1">$I$6*$N$6</f>
        <v>0</v>
      </c>
      <c r="O68" s="12">
        <f>$I$6*$O$6</f>
        <v>0</v>
      </c>
      <c r="P68" s="12">
        <f>$I$6*$P$6</f>
        <v>0</v>
      </c>
      <c r="Q68" s="12">
        <f>$I$6*$Q$6</f>
        <v>0</v>
      </c>
      <c r="R68" s="12">
        <f>$I$6*$R$6</f>
        <v>0</v>
      </c>
      <c r="S68" s="12">
        <f>$I$6*$S$6</f>
        <v>0</v>
      </c>
      <c r="T68" s="12">
        <f>$I$6*$T$6</f>
        <v>386318.42389037187</v>
      </c>
      <c r="U68" s="12">
        <f>$I$6*$U$6</f>
        <v>105995.67549247449</v>
      </c>
      <c r="V68" s="12">
        <f>$I$6*$V$6</f>
        <v>8752.3570861358057</v>
      </c>
      <c r="W68" s="12">
        <f>$I$6*$W$6</f>
        <v>0</v>
      </c>
      <c r="X68" s="12">
        <f>$I$6*$X$6</f>
        <v>189395.32282376944</v>
      </c>
      <c r="Y68" s="12">
        <f>$I$6*$Y$6</f>
        <v>0</v>
      </c>
      <c r="Z68" s="12">
        <f>$I$6*$Z$6</f>
        <v>0</v>
      </c>
      <c r="AA68" s="12">
        <f>$I$6*$AA$6</f>
        <v>37621.47379639867</v>
      </c>
      <c r="AB68" s="12">
        <f ca="1">$I$6*$AB$6</f>
        <v>-59835.646235538923</v>
      </c>
      <c r="AC68" s="12">
        <f ca="1">$I$6*$AC$6</f>
        <v>0</v>
      </c>
      <c r="AD68" s="12">
        <f>$I$6*$AD$6</f>
        <v>0</v>
      </c>
      <c r="AE68" s="12">
        <f>$I$6*$AE$6</f>
        <v>0</v>
      </c>
      <c r="AF68" s="12">
        <f ca="1">$I$6*$AF$6</f>
        <v>0</v>
      </c>
      <c r="AG68" s="12">
        <f ca="1">$I$6*$AG$6</f>
        <v>0</v>
      </c>
      <c r="AI68" s="12">
        <f>$I$6*$AI$6</f>
        <v>0</v>
      </c>
      <c r="AJ68" s="12">
        <f>$I$6*$AJ$6</f>
        <v>0</v>
      </c>
      <c r="AK68" s="12">
        <f>$I$6*$AK$6</f>
        <v>0</v>
      </c>
      <c r="AL68" s="12">
        <f>$I$6*$AL$6</f>
        <v>0</v>
      </c>
      <c r="AM68" s="12">
        <f>$I$6*$AM$6</f>
        <v>0</v>
      </c>
      <c r="AN68" s="12">
        <f>$I$6*$AN$6</f>
        <v>0</v>
      </c>
      <c r="AO68" s="12">
        <f>$I$6*$AO$6</f>
        <v>0</v>
      </c>
      <c r="AP68" s="12">
        <f>$I$6*$AP$6</f>
        <v>0</v>
      </c>
      <c r="AQ68" s="12">
        <f>$I$6*$AQ$6</f>
        <v>389830.94572631945</v>
      </c>
      <c r="AR68" s="12">
        <f>$I$6*$AR$6</f>
        <v>144378.23073142752</v>
      </c>
      <c r="AS68" s="12">
        <f>$I$6*$AS$6</f>
        <v>11532.218513753132</v>
      </c>
      <c r="AT68" s="12">
        <f>$I$6*$AT$6</f>
        <v>0</v>
      </c>
      <c r="AU68" s="12">
        <f>$I$6*$AU$6</f>
        <v>214252.93758069529</v>
      </c>
      <c r="AV68" s="12">
        <f>$I$6*$AV$6</f>
        <v>0</v>
      </c>
      <c r="AW68" s="12">
        <f>$I$6*$AW$6</f>
        <v>0</v>
      </c>
      <c r="AX68" s="12">
        <f>$I$6*$AX$6</f>
        <v>31648.906790762143</v>
      </c>
      <c r="AY68" s="12">
        <f>$I$6*$AY$6</f>
        <v>0</v>
      </c>
      <c r="AZ68" s="12">
        <f>$I$6*$AZ$6</f>
        <v>0</v>
      </c>
      <c r="BA68" s="12">
        <f>$I$6*$BA$6</f>
        <v>0</v>
      </c>
      <c r="BB68" s="12">
        <f>$I$6*$BB$6</f>
        <v>0</v>
      </c>
      <c r="BC68" s="12">
        <f>$I$6*$BC$6</f>
        <v>0</v>
      </c>
      <c r="BD68" s="12">
        <f>$I$6*$BD$6</f>
        <v>0</v>
      </c>
    </row>
    <row r="69" spans="1:56" ht="11.25" customHeight="1" x14ac:dyDescent="0.25">
      <c r="A69" s="9" t="s">
        <v>56</v>
      </c>
      <c r="B69" s="9" t="s">
        <v>1015</v>
      </c>
      <c r="C69" s="9" t="s">
        <v>1016</v>
      </c>
      <c r="D69" s="9" t="s">
        <v>1017</v>
      </c>
      <c r="E69" s="9" t="s">
        <v>1018</v>
      </c>
      <c r="F69" s="9" t="s">
        <v>1019</v>
      </c>
      <c r="G69" s="9" t="s">
        <v>1022</v>
      </c>
      <c r="L69" s="12">
        <f>$I$7*$L$7</f>
        <v>84074.856436308371</v>
      </c>
      <c r="M69" s="12">
        <f>$I$7*$M$7</f>
        <v>3826.3850420564199</v>
      </c>
      <c r="N69" s="12">
        <f ca="1">$I$7*$N$7</f>
        <v>6907.5136733297022</v>
      </c>
      <c r="O69" s="12">
        <f>$I$7*$O$7</f>
        <v>2607.6632326432527</v>
      </c>
      <c r="P69" s="12">
        <f>$I$7*$P$7</f>
        <v>0</v>
      </c>
      <c r="Q69" s="12">
        <f>$I$7*$Q$7</f>
        <v>1502749.6725193001</v>
      </c>
      <c r="R69" s="12">
        <f>$I$7*$R$7</f>
        <v>1000186.5694444135</v>
      </c>
      <c r="S69" s="12">
        <f>$I$7*$S$7</f>
        <v>0</v>
      </c>
      <c r="T69" s="12">
        <f>$I$7*$T$7</f>
        <v>0</v>
      </c>
      <c r="U69" s="12">
        <f>$I$7*$U$7</f>
        <v>0</v>
      </c>
      <c r="V69" s="12">
        <f>$I$7*$V$7</f>
        <v>0</v>
      </c>
      <c r="W69" s="12">
        <f>$I$7*$W$7</f>
        <v>0</v>
      </c>
      <c r="X69" s="12">
        <f>$I$7*$X$7</f>
        <v>0</v>
      </c>
      <c r="Y69" s="12">
        <f>$I$7*$Y$7</f>
        <v>0</v>
      </c>
      <c r="Z69" s="12">
        <f>$I$7*$Z$7</f>
        <v>0</v>
      </c>
      <c r="AA69" s="12">
        <f>$I$7*$AA$7</f>
        <v>0</v>
      </c>
      <c r="AB69" s="12">
        <f ca="1">$I$7*$AB$7</f>
        <v>-243845.26157559449</v>
      </c>
      <c r="AC69" s="12">
        <f ca="1">$I$7*$AC$7</f>
        <v>0</v>
      </c>
      <c r="AD69" s="12">
        <f>$I$7*$AD$7</f>
        <v>211387.6298044702</v>
      </c>
      <c r="AE69" s="12">
        <f>$I$7*$AE$7</f>
        <v>4983.9432714953928</v>
      </c>
      <c r="AF69" s="12">
        <f ca="1">$I$7*$AF$7</f>
        <v>50142.453325351576</v>
      </c>
      <c r="AG69" s="12">
        <f ca="1">$I$7*$AG$7</f>
        <v>0</v>
      </c>
      <c r="AI69" s="12">
        <f>$I$7*$AI$7</f>
        <v>0</v>
      </c>
      <c r="AJ69" s="12">
        <f>$I$7*$AJ$7</f>
        <v>3960.6657661593681</v>
      </c>
      <c r="AK69" s="12">
        <f>$I$7*$AK$7</f>
        <v>7532.2075744460981</v>
      </c>
      <c r="AL69" s="12">
        <f>$I$7*$AL$7</f>
        <v>3213.4489694443446</v>
      </c>
      <c r="AM69" s="12">
        <f>$I$7*$AM$7</f>
        <v>0</v>
      </c>
      <c r="AN69" s="12">
        <f>$I$7*$AN$7</f>
        <v>1302974.7753836194</v>
      </c>
      <c r="AO69" s="12">
        <f>$I$7*$AO$7</f>
        <v>663468.58314273413</v>
      </c>
      <c r="AP69" s="12">
        <f>$I$7*$AP$7</f>
        <v>0</v>
      </c>
      <c r="AQ69" s="12">
        <f>$I$7*$AQ$7</f>
        <v>0</v>
      </c>
      <c r="AR69" s="12">
        <f>$I$7*$AR$7</f>
        <v>0</v>
      </c>
      <c r="AS69" s="12">
        <f>$I$7*$AS$7</f>
        <v>0</v>
      </c>
      <c r="AT69" s="12">
        <f>$I$7*$AT$7</f>
        <v>0</v>
      </c>
      <c r="AU69" s="12">
        <f>$I$7*$AU$7</f>
        <v>0</v>
      </c>
      <c r="AV69" s="12">
        <f>$I$7*$AV$7</f>
        <v>0</v>
      </c>
      <c r="AW69" s="12">
        <f>$I$7*$AW$7</f>
        <v>0</v>
      </c>
      <c r="AX69" s="12">
        <f>$I$7*$AX$7</f>
        <v>0</v>
      </c>
      <c r="AY69" s="12">
        <f>$I$7*$AY$7</f>
        <v>0</v>
      </c>
      <c r="AZ69" s="12">
        <f>$I$7*$AZ$7</f>
        <v>0</v>
      </c>
      <c r="BA69" s="12">
        <f>$I$7*$BA$7</f>
        <v>193845.21254486681</v>
      </c>
      <c r="BB69" s="12">
        <f>$I$7*$BB$7</f>
        <v>4738.6732866514249</v>
      </c>
      <c r="BC69" s="12">
        <f>$I$7*$BC$7</f>
        <v>50731.403718365575</v>
      </c>
      <c r="BD69" s="12">
        <f>$I$7*$BD$7</f>
        <v>0</v>
      </c>
    </row>
    <row r="70" spans="1:56" ht="11.25" customHeight="1" x14ac:dyDescent="0.25">
      <c r="A70" s="9" t="s">
        <v>56</v>
      </c>
      <c r="B70" s="9" t="s">
        <v>1015</v>
      </c>
      <c r="C70" s="9" t="s">
        <v>1016</v>
      </c>
      <c r="D70" s="9" t="s">
        <v>1017</v>
      </c>
      <c r="E70" s="9" t="s">
        <v>1023</v>
      </c>
      <c r="F70" s="9" t="s">
        <v>1024</v>
      </c>
      <c r="G70" s="9" t="s">
        <v>1025</v>
      </c>
      <c r="L70" s="12">
        <f>$I$8*$L$8</f>
        <v>0</v>
      </c>
      <c r="M70" s="12">
        <f>$I$8*$M$8</f>
        <v>0</v>
      </c>
      <c r="N70" s="12">
        <f ca="1">$I$8*$N$8</f>
        <v>0</v>
      </c>
      <c r="O70" s="12">
        <f>$I$8*$O$8</f>
        <v>0</v>
      </c>
      <c r="P70" s="12">
        <f>$I$8*$P$8</f>
        <v>0</v>
      </c>
      <c r="Q70" s="12">
        <f>$I$8*$Q$8</f>
        <v>0</v>
      </c>
      <c r="R70" s="12">
        <f>$I$8*$R$8</f>
        <v>0</v>
      </c>
      <c r="S70" s="12">
        <f>$I$8*$S$8</f>
        <v>0</v>
      </c>
      <c r="T70" s="12">
        <f>$I$8*$T$8</f>
        <v>0</v>
      </c>
      <c r="U70" s="12">
        <f>$I$8*$U$8</f>
        <v>0</v>
      </c>
      <c r="V70" s="12">
        <f>$I$8*$V$8</f>
        <v>0</v>
      </c>
      <c r="W70" s="12">
        <f>$I$8*$W$8</f>
        <v>0</v>
      </c>
      <c r="X70" s="12">
        <f>$I$8*$X$8</f>
        <v>0</v>
      </c>
      <c r="Y70" s="12">
        <f>$I$8*$Y$8</f>
        <v>0</v>
      </c>
      <c r="Z70" s="12">
        <f>$I$8*$Z$8</f>
        <v>0</v>
      </c>
      <c r="AA70" s="12">
        <f>$I$8*$AA$8</f>
        <v>0</v>
      </c>
      <c r="AB70" s="12">
        <f ca="1">$I$8*$AB$8</f>
        <v>0</v>
      </c>
      <c r="AC70" s="12">
        <f ca="1">$I$8*$AC$8</f>
        <v>0</v>
      </c>
      <c r="AD70" s="12">
        <f>$I$8*$AD$8</f>
        <v>0</v>
      </c>
      <c r="AE70" s="12">
        <f>$I$8*$AE$8</f>
        <v>0</v>
      </c>
      <c r="AF70" s="12">
        <f ca="1">$I$8*$AF$8</f>
        <v>0</v>
      </c>
      <c r="AG70" s="12">
        <f ca="1">$I$8*$AG$8</f>
        <v>0</v>
      </c>
      <c r="AI70" s="12">
        <f>$I$8*$AI$8</f>
        <v>0</v>
      </c>
      <c r="AJ70" s="12">
        <f>$I$8*$AJ$8</f>
        <v>0</v>
      </c>
      <c r="AK70" s="12">
        <f>$I$8*$AK$8</f>
        <v>0</v>
      </c>
      <c r="AL70" s="12">
        <f>$I$8*$AL$8</f>
        <v>0</v>
      </c>
      <c r="AM70" s="12">
        <f>$I$8*$AM$8</f>
        <v>0</v>
      </c>
      <c r="AN70" s="12">
        <f>$I$8*$AN$8</f>
        <v>0</v>
      </c>
      <c r="AO70" s="12">
        <f>$I$8*$AO$8</f>
        <v>0</v>
      </c>
      <c r="AP70" s="12">
        <f>$I$8*$AP$8</f>
        <v>0</v>
      </c>
      <c r="AQ70" s="12">
        <f>$I$8*$AQ$8</f>
        <v>0</v>
      </c>
      <c r="AR70" s="12">
        <f>$I$8*$AR$8</f>
        <v>0</v>
      </c>
      <c r="AS70" s="12">
        <f>$I$8*$AS$8</f>
        <v>0</v>
      </c>
      <c r="AT70" s="12">
        <f>$I$8*$AT$8</f>
        <v>0</v>
      </c>
      <c r="AU70" s="12">
        <f>$I$8*$AU$8</f>
        <v>0</v>
      </c>
      <c r="AV70" s="12">
        <f>$I$8*$AV$8</f>
        <v>0</v>
      </c>
      <c r="AW70" s="12">
        <f>$I$8*$AW$8</f>
        <v>0</v>
      </c>
      <c r="AX70" s="12">
        <f>$I$8*$AX$8</f>
        <v>0</v>
      </c>
      <c r="AY70" s="12">
        <f>$I$8*$AY$8</f>
        <v>0</v>
      </c>
      <c r="AZ70" s="12">
        <f>$I$8*$AZ$8</f>
        <v>0</v>
      </c>
      <c r="BA70" s="12">
        <f>$I$8*$BA$8</f>
        <v>0</v>
      </c>
      <c r="BB70" s="12">
        <f>$I$8*$BB$8</f>
        <v>0</v>
      </c>
      <c r="BC70" s="12">
        <f>$I$8*$BC$8</f>
        <v>0</v>
      </c>
      <c r="BD70" s="12">
        <f>$I$8*$BD$8</f>
        <v>0</v>
      </c>
    </row>
    <row r="71" spans="1:56" ht="11.25" customHeight="1" x14ac:dyDescent="0.25">
      <c r="A71" s="9" t="s">
        <v>56</v>
      </c>
      <c r="B71" s="9" t="s">
        <v>1026</v>
      </c>
      <c r="C71" s="9" t="s">
        <v>1027</v>
      </c>
      <c r="D71" s="9" t="s">
        <v>1028</v>
      </c>
      <c r="E71" s="9" t="s">
        <v>1029</v>
      </c>
      <c r="F71" s="9" t="s">
        <v>1030</v>
      </c>
      <c r="G71" s="9" t="s">
        <v>1031</v>
      </c>
      <c r="L71" s="12">
        <f>$I$9*$L$9</f>
        <v>0</v>
      </c>
      <c r="M71" s="12">
        <f>$I$9*$M$9</f>
        <v>0</v>
      </c>
      <c r="N71" s="12">
        <f ca="1">$I$9*$N$9</f>
        <v>0</v>
      </c>
      <c r="O71" s="12">
        <f>$I$9*$O$9</f>
        <v>0</v>
      </c>
      <c r="P71" s="12">
        <f>$I$9*$P$9</f>
        <v>0</v>
      </c>
      <c r="Q71" s="12">
        <f>$I$9*$Q$9</f>
        <v>0</v>
      </c>
      <c r="R71" s="12">
        <f>$I$9*$R$9</f>
        <v>0</v>
      </c>
      <c r="S71" s="12">
        <f>$I$9*$S$9</f>
        <v>0</v>
      </c>
      <c r="T71" s="12">
        <f>$I$9*$T$9</f>
        <v>926925.89143121825</v>
      </c>
      <c r="U71" s="12">
        <f>$I$9*$U$9</f>
        <v>251545.62087363494</v>
      </c>
      <c r="V71" s="12">
        <f>$I$9*$V$9</f>
        <v>21571.957934835416</v>
      </c>
      <c r="W71" s="12">
        <f>$I$9*$W$9</f>
        <v>0</v>
      </c>
      <c r="X71" s="12">
        <f>$I$9*$X$9</f>
        <v>1027730.9474341908</v>
      </c>
      <c r="Y71" s="12">
        <f>$I$9*$Y$9</f>
        <v>0</v>
      </c>
      <c r="Z71" s="12">
        <f>$I$9*$Z$9</f>
        <v>0</v>
      </c>
      <c r="AA71" s="12">
        <f>$I$9*$AA$9</f>
        <v>545930.29801253078</v>
      </c>
      <c r="AB71" s="12">
        <f>$I$9*$AB$9</f>
        <v>0</v>
      </c>
      <c r="AC71" s="12">
        <f ca="1">$I$9*$AC$9</f>
        <v>0</v>
      </c>
      <c r="AD71" s="12">
        <f>$I$9*$AD$9</f>
        <v>0</v>
      </c>
      <c r="AE71" s="12">
        <f>$I$9*$AE$9</f>
        <v>0</v>
      </c>
      <c r="AF71" s="12">
        <f ca="1">$I$9*$AF$9</f>
        <v>0</v>
      </c>
      <c r="AG71" s="12">
        <f ca="1">$I$9*$AG$9</f>
        <v>0</v>
      </c>
      <c r="AI71" s="12">
        <f>$I$9*$AI$9</f>
        <v>0</v>
      </c>
      <c r="AJ71" s="12">
        <f>$I$9*$AJ$9</f>
        <v>0</v>
      </c>
      <c r="AK71" s="12">
        <f>$I$9*$AK$9</f>
        <v>0</v>
      </c>
      <c r="AL71" s="12">
        <f>$I$9*$AL$9</f>
        <v>0</v>
      </c>
      <c r="AM71" s="12">
        <f>$I$9*$AM$9</f>
        <v>0</v>
      </c>
      <c r="AN71" s="12">
        <f>$I$9*$AN$9</f>
        <v>0</v>
      </c>
      <c r="AO71" s="12">
        <f>$I$9*$AO$9</f>
        <v>0</v>
      </c>
      <c r="AP71" s="12">
        <f>$I$9*$AP$9</f>
        <v>0</v>
      </c>
      <c r="AQ71" s="12">
        <f>$I$9*$AQ$9</f>
        <v>935353.77690758125</v>
      </c>
      <c r="AR71" s="12">
        <f>$I$9*$AR$9</f>
        <v>342633.9001212602</v>
      </c>
      <c r="AS71" s="12">
        <f>$I$9*$AS$9</f>
        <v>28423.489835450429</v>
      </c>
      <c r="AT71" s="12">
        <f>$I$9*$AT$9</f>
        <v>0</v>
      </c>
      <c r="AU71" s="12">
        <f>$I$9*$AU$9</f>
        <v>1162617.8051675295</v>
      </c>
      <c r="AV71" s="12">
        <f>$I$9*$AV$9</f>
        <v>0</v>
      </c>
      <c r="AW71" s="12">
        <f>$I$9*$AW$9</f>
        <v>0</v>
      </c>
      <c r="AX71" s="12">
        <f>$I$9*$AX$9</f>
        <v>459261.56985656137</v>
      </c>
      <c r="AY71" s="12">
        <f>$I$9*$AY$9</f>
        <v>0</v>
      </c>
      <c r="AZ71" s="12">
        <f>$I$9*$AZ$9</f>
        <v>0</v>
      </c>
      <c r="BA71" s="12">
        <f>$I$9*$BA$9</f>
        <v>0</v>
      </c>
      <c r="BB71" s="12">
        <f>$I$9*$BB$9</f>
        <v>0</v>
      </c>
      <c r="BC71" s="12">
        <f>$I$9*$BC$9</f>
        <v>0</v>
      </c>
      <c r="BD71" s="12">
        <f>$I$9*$BD$9</f>
        <v>0</v>
      </c>
    </row>
    <row r="72" spans="1:56" ht="11.25" customHeight="1" x14ac:dyDescent="0.25">
      <c r="A72" s="9" t="s">
        <v>56</v>
      </c>
      <c r="B72" s="9" t="s">
        <v>1026</v>
      </c>
      <c r="C72" s="9" t="s">
        <v>1027</v>
      </c>
      <c r="D72" s="9" t="s">
        <v>1028</v>
      </c>
      <c r="E72" s="9" t="s">
        <v>1029</v>
      </c>
      <c r="F72" s="9" t="s">
        <v>1030</v>
      </c>
      <c r="G72" s="9" t="s">
        <v>1032</v>
      </c>
      <c r="L72" s="12">
        <f>$I$10*$L$10</f>
        <v>0</v>
      </c>
      <c r="M72" s="12">
        <f>$I$10*$M$10</f>
        <v>0</v>
      </c>
      <c r="N72" s="12">
        <f ca="1">$I$10*$N$10</f>
        <v>0</v>
      </c>
      <c r="O72" s="12">
        <f>$I$10*$O$10</f>
        <v>0</v>
      </c>
      <c r="P72" s="12">
        <f>$I$10*$P$10</f>
        <v>0</v>
      </c>
      <c r="Q72" s="12">
        <f>$I$10*$Q$10</f>
        <v>0</v>
      </c>
      <c r="R72" s="12">
        <f>$I$10*$R$10</f>
        <v>0</v>
      </c>
      <c r="S72" s="12">
        <f>$I$10*$S$10</f>
        <v>0</v>
      </c>
      <c r="T72" s="12">
        <f>$I$10*$T$10</f>
        <v>720921.42235736363</v>
      </c>
      <c r="U72" s="12">
        <f>$I$10*$U$10</f>
        <v>197801.99031213927</v>
      </c>
      <c r="V72" s="12">
        <f>$I$10*$V$10</f>
        <v>16333.059283000021</v>
      </c>
      <c r="W72" s="12">
        <f>$I$10*$W$10</f>
        <v>0</v>
      </c>
      <c r="X72" s="12">
        <f>$I$10*$X$10</f>
        <v>353436.79481538403</v>
      </c>
      <c r="Y72" s="12">
        <f>$I$10*$Y$10</f>
        <v>0</v>
      </c>
      <c r="Z72" s="12">
        <f>$I$10*$Z$10</f>
        <v>0</v>
      </c>
      <c r="AA72" s="12">
        <f>$I$10*$AA$10</f>
        <v>70206.660421084758</v>
      </c>
      <c r="AB72" s="12">
        <f>$I$10*$AB$10</f>
        <v>0</v>
      </c>
      <c r="AC72" s="12">
        <f ca="1">$I$10*$AC$10</f>
        <v>0</v>
      </c>
      <c r="AD72" s="12">
        <f>$I$10*$AD$10</f>
        <v>0</v>
      </c>
      <c r="AE72" s="12">
        <f>$I$10*$AE$10</f>
        <v>0</v>
      </c>
      <c r="AF72" s="12">
        <f ca="1">$I$10*$AF$10</f>
        <v>0</v>
      </c>
      <c r="AG72" s="12">
        <f ca="1">$I$10*$AG$10</f>
        <v>0</v>
      </c>
      <c r="AI72" s="12">
        <f>$I$10*$AI$10</f>
        <v>0</v>
      </c>
      <c r="AJ72" s="12">
        <f>$I$10*$AJ$10</f>
        <v>0</v>
      </c>
      <c r="AK72" s="12">
        <f>$I$10*$AK$10</f>
        <v>0</v>
      </c>
      <c r="AL72" s="12">
        <f>$I$10*$AL$10</f>
        <v>0</v>
      </c>
      <c r="AM72" s="12">
        <f>$I$10*$AM$10</f>
        <v>0</v>
      </c>
      <c r="AN72" s="12">
        <f>$I$10*$AN$10</f>
        <v>0</v>
      </c>
      <c r="AO72" s="12">
        <f>$I$10*$AO$10</f>
        <v>0</v>
      </c>
      <c r="AP72" s="12">
        <f>$I$10*$AP$10</f>
        <v>0</v>
      </c>
      <c r="AQ72" s="12">
        <f>$I$10*$AQ$10</f>
        <v>727476.25402325182</v>
      </c>
      <c r="AR72" s="12">
        <f>$I$10*$AR$10</f>
        <v>269428.92965901451</v>
      </c>
      <c r="AS72" s="12">
        <f>$I$10*$AS$10</f>
        <v>21520.649442880564</v>
      </c>
      <c r="AT72" s="12">
        <f>$I$10*$AT$10</f>
        <v>0</v>
      </c>
      <c r="AU72" s="12">
        <f>$I$10*$AU$10</f>
        <v>399824.40120109386</v>
      </c>
      <c r="AV72" s="12">
        <f>$I$10*$AV$10</f>
        <v>0</v>
      </c>
      <c r="AW72" s="12">
        <f>$I$10*$AW$10</f>
        <v>0</v>
      </c>
      <c r="AX72" s="12">
        <f>$I$10*$AX$10</f>
        <v>59061.05815477913</v>
      </c>
      <c r="AY72" s="12">
        <f>$I$10*$AY$10</f>
        <v>0</v>
      </c>
      <c r="AZ72" s="12">
        <f>$I$10*$AZ$10</f>
        <v>0</v>
      </c>
      <c r="BA72" s="12">
        <f>$I$10*$BA$10</f>
        <v>0</v>
      </c>
      <c r="BB72" s="12">
        <f>$I$10*$BB$10</f>
        <v>0</v>
      </c>
      <c r="BC72" s="12">
        <f>$I$10*$BC$10</f>
        <v>0</v>
      </c>
      <c r="BD72" s="12">
        <f>$I$10*$BD$10</f>
        <v>0</v>
      </c>
    </row>
    <row r="73" spans="1:56" ht="11.25" customHeight="1" x14ac:dyDescent="0.25">
      <c r="A73" s="9" t="s">
        <v>56</v>
      </c>
      <c r="B73" s="9" t="s">
        <v>1026</v>
      </c>
      <c r="C73" s="9" t="s">
        <v>1027</v>
      </c>
      <c r="D73" s="9" t="s">
        <v>1028</v>
      </c>
      <c r="E73" s="9" t="s">
        <v>1029</v>
      </c>
      <c r="F73" s="9" t="s">
        <v>1030</v>
      </c>
      <c r="G73" s="9" t="s">
        <v>1033</v>
      </c>
      <c r="L73" s="12">
        <f>$I$11*$L$11</f>
        <v>0</v>
      </c>
      <c r="M73" s="12">
        <f>$I$11*$M$11</f>
        <v>0</v>
      </c>
      <c r="N73" s="12">
        <f ca="1">$I$11*$N$11</f>
        <v>0</v>
      </c>
      <c r="O73" s="12">
        <f>$I$11*$O$11</f>
        <v>0</v>
      </c>
      <c r="P73" s="12">
        <f>$I$11*$P$11</f>
        <v>0</v>
      </c>
      <c r="Q73" s="12">
        <f>$I$11*$Q$11</f>
        <v>0</v>
      </c>
      <c r="R73" s="12">
        <f>$I$11*$R$11</f>
        <v>0</v>
      </c>
      <c r="S73" s="12">
        <f>$I$11*$S$11</f>
        <v>0</v>
      </c>
      <c r="T73" s="12">
        <f>$I$11*$T$11</f>
        <v>0</v>
      </c>
      <c r="U73" s="12">
        <f>$I$11*$U$11</f>
        <v>0</v>
      </c>
      <c r="V73" s="12">
        <f>$I$11*$V$11</f>
        <v>0</v>
      </c>
      <c r="W73" s="12">
        <f>$I$11*$W$11</f>
        <v>0</v>
      </c>
      <c r="X73" s="12">
        <f>$I$11*$X$11</f>
        <v>0</v>
      </c>
      <c r="Y73" s="12">
        <f>$I$11*$Y$11</f>
        <v>0</v>
      </c>
      <c r="Z73" s="12">
        <f>$I$11*$Z$11</f>
        <v>0</v>
      </c>
      <c r="AA73" s="12">
        <f>$I$11*$AA$11</f>
        <v>0</v>
      </c>
      <c r="AB73" s="12">
        <f>$I$11*$AB$11</f>
        <v>0</v>
      </c>
      <c r="AC73" s="12">
        <f ca="1">$I$11*$AC$11</f>
        <v>0</v>
      </c>
      <c r="AD73" s="12">
        <f>$I$11*$AD$11</f>
        <v>127980.71804193669</v>
      </c>
      <c r="AE73" s="12">
        <f>$I$11*$AE$11</f>
        <v>3017.435973695613</v>
      </c>
      <c r="AF73" s="12">
        <f ca="1">$I$11*$AF$11</f>
        <v>0</v>
      </c>
      <c r="AG73" s="12">
        <f ca="1">$I$11*$AG$11</f>
        <v>0</v>
      </c>
      <c r="AI73" s="12">
        <f>$I$11*$AI$11</f>
        <v>0</v>
      </c>
      <c r="AJ73" s="12">
        <f>$I$11*$AJ$11</f>
        <v>0</v>
      </c>
      <c r="AK73" s="12">
        <f>$I$11*$AK$11</f>
        <v>0</v>
      </c>
      <c r="AL73" s="12">
        <f>$I$11*$AL$11</f>
        <v>0</v>
      </c>
      <c r="AM73" s="12">
        <f>$I$11*$AM$11</f>
        <v>0</v>
      </c>
      <c r="AN73" s="12">
        <f>$I$11*$AN$11</f>
        <v>0</v>
      </c>
      <c r="AO73" s="12">
        <f>$I$11*$AO$11</f>
        <v>0</v>
      </c>
      <c r="AP73" s="12">
        <f>$I$11*$AP$11</f>
        <v>0</v>
      </c>
      <c r="AQ73" s="12">
        <f>$I$11*$AQ$11</f>
        <v>0</v>
      </c>
      <c r="AR73" s="12">
        <f>$I$11*$AR$11</f>
        <v>0</v>
      </c>
      <c r="AS73" s="12">
        <f>$I$11*$AS$11</f>
        <v>0</v>
      </c>
      <c r="AT73" s="12">
        <f>$I$11*$AT$11</f>
        <v>0</v>
      </c>
      <c r="AU73" s="12">
        <f>$I$11*$AU$11</f>
        <v>0</v>
      </c>
      <c r="AV73" s="12">
        <f>$I$11*$AV$11</f>
        <v>0</v>
      </c>
      <c r="AW73" s="12">
        <f>$I$11*$AW$11</f>
        <v>0</v>
      </c>
      <c r="AX73" s="12">
        <f>$I$11*$AX$11</f>
        <v>0</v>
      </c>
      <c r="AY73" s="12">
        <f>$I$11*$AY$11</f>
        <v>0</v>
      </c>
      <c r="AZ73" s="12">
        <f>$I$11*$AZ$11</f>
        <v>0</v>
      </c>
      <c r="BA73" s="12">
        <f>$I$11*$BA$11</f>
        <v>117359.98702209425</v>
      </c>
      <c r="BB73" s="12">
        <f>$I$11*$BB$11</f>
        <v>2868.9418125022598</v>
      </c>
      <c r="BC73" s="12">
        <f>$I$11*$BC$11</f>
        <v>0</v>
      </c>
      <c r="BD73" s="12">
        <f>$I$11*$BD$11</f>
        <v>0</v>
      </c>
    </row>
    <row r="74" spans="1:56" ht="11.25" customHeight="1" x14ac:dyDescent="0.25">
      <c r="A74" s="9" t="s">
        <v>39</v>
      </c>
      <c r="B74" s="9" t="s">
        <v>1034</v>
      </c>
      <c r="C74" s="9" t="s">
        <v>1035</v>
      </c>
      <c r="D74" s="9" t="s">
        <v>1036</v>
      </c>
      <c r="E74" s="9" t="s">
        <v>1037</v>
      </c>
      <c r="F74" s="9" t="s">
        <v>1038</v>
      </c>
      <c r="G74" s="9" t="s">
        <v>1039</v>
      </c>
      <c r="L74" s="12">
        <f>$I$12*$L$12</f>
        <v>0</v>
      </c>
      <c r="M74" s="12">
        <f>$I$12*$M$12</f>
        <v>0</v>
      </c>
      <c r="N74" s="12">
        <f ca="1">$I$12*$N$12</f>
        <v>0</v>
      </c>
      <c r="O74" s="12">
        <f>$I$12*$O$12</f>
        <v>0</v>
      </c>
      <c r="P74" s="12">
        <f>$I$12*$P$12</f>
        <v>0</v>
      </c>
      <c r="Q74" s="12">
        <f>$I$12*$Q$12</f>
        <v>0</v>
      </c>
      <c r="R74" s="12">
        <f>$I$12*$R$12</f>
        <v>0</v>
      </c>
      <c r="S74" s="12">
        <f>$I$12*$S$12</f>
        <v>0</v>
      </c>
      <c r="T74" s="12">
        <f>$I$12*$T$12</f>
        <v>502487.90005648538</v>
      </c>
      <c r="U74" s="12">
        <f>$I$12*$U$12</f>
        <v>136360.74015347354</v>
      </c>
      <c r="V74" s="12">
        <f>$I$12*$V$12</f>
        <v>11711.361939538772</v>
      </c>
      <c r="W74" s="12">
        <f>$I$12*$W$12</f>
        <v>0</v>
      </c>
      <c r="X74" s="12">
        <f>$I$12*$X$12</f>
        <v>604987.65855002659</v>
      </c>
      <c r="Y74" s="12">
        <f>$I$12*$Y$12</f>
        <v>0</v>
      </c>
      <c r="Z74" s="12">
        <f>$I$12*$Z$12</f>
        <v>0</v>
      </c>
      <c r="AA74" s="12">
        <f>$I$12*$AA$12</f>
        <v>2551036.552756391</v>
      </c>
      <c r="AB74" s="12">
        <f ca="1">$I$12*$AB$12</f>
        <v>-322204.20042149391</v>
      </c>
      <c r="AC74" s="12">
        <f ca="1">$I$12*$AC$12</f>
        <v>0</v>
      </c>
      <c r="AD74" s="12">
        <f>$I$12*$AD$12</f>
        <v>0</v>
      </c>
      <c r="AE74" s="12">
        <f>$I$12*$AE$12</f>
        <v>0</v>
      </c>
      <c r="AF74" s="12">
        <f ca="1">$I$12*$AF$12</f>
        <v>0</v>
      </c>
      <c r="AG74" s="12">
        <f ca="1">$I$12*$AG$12</f>
        <v>0</v>
      </c>
      <c r="AI74" s="12">
        <f>$I$12*$AI$12</f>
        <v>0</v>
      </c>
      <c r="AJ74" s="12">
        <f>$I$12*$AJ$12</f>
        <v>0</v>
      </c>
      <c r="AK74" s="12">
        <f>$I$12*$AK$12</f>
        <v>0</v>
      </c>
      <c r="AL74" s="12">
        <f>$I$12*$AL$12</f>
        <v>0</v>
      </c>
      <c r="AM74" s="12">
        <f>$I$12*$AM$12</f>
        <v>0</v>
      </c>
      <c r="AN74" s="12">
        <f>$I$12*$AN$12</f>
        <v>0</v>
      </c>
      <c r="AO74" s="12">
        <f>$I$12*$AO$12</f>
        <v>0</v>
      </c>
      <c r="AP74" s="12">
        <f>$I$12*$AP$12</f>
        <v>0</v>
      </c>
      <c r="AQ74" s="12">
        <f>$I$12*$AQ$12</f>
        <v>510812.64459678874</v>
      </c>
      <c r="AR74" s="12">
        <f>$I$12*$AR$12</f>
        <v>187114.76493479955</v>
      </c>
      <c r="AS74" s="12">
        <f>$I$12*$AS$12</f>
        <v>15545.345460631426</v>
      </c>
      <c r="AT74" s="12">
        <f>$I$12*$AT$12</f>
        <v>0</v>
      </c>
      <c r="AU74" s="12">
        <f>$I$12*$AU$12</f>
        <v>689460.18350953562</v>
      </c>
      <c r="AV74" s="12">
        <f>$I$12*$AV$12</f>
        <v>0</v>
      </c>
      <c r="AW74" s="12">
        <f>$I$12*$AW$12</f>
        <v>0</v>
      </c>
      <c r="AX74" s="12">
        <f>$I$12*$AX$12</f>
        <v>2161945.4412566591</v>
      </c>
      <c r="AY74" s="12">
        <f>$I$12*$AY$12</f>
        <v>0</v>
      </c>
      <c r="AZ74" s="12">
        <f>$I$12*$AZ$12</f>
        <v>0</v>
      </c>
      <c r="BA74" s="12">
        <f>$I$12*$BA$12</f>
        <v>0</v>
      </c>
      <c r="BB74" s="12">
        <f>$I$12*$BB$12</f>
        <v>0</v>
      </c>
      <c r="BC74" s="12">
        <f>$I$12*$BC$12</f>
        <v>0</v>
      </c>
      <c r="BD74" s="12">
        <f>$I$12*$BD$12</f>
        <v>0</v>
      </c>
    </row>
    <row r="75" spans="1:56" ht="11.25" customHeight="1" x14ac:dyDescent="0.25">
      <c r="A75" s="9" t="s">
        <v>39</v>
      </c>
      <c r="B75" s="9" t="s">
        <v>1034</v>
      </c>
      <c r="C75" s="9" t="s">
        <v>1035</v>
      </c>
      <c r="D75" s="9" t="s">
        <v>1036</v>
      </c>
      <c r="E75" s="9" t="s">
        <v>1037</v>
      </c>
      <c r="F75" s="9" t="s">
        <v>1038</v>
      </c>
      <c r="G75" s="9" t="s">
        <v>1040</v>
      </c>
      <c r="L75" s="12">
        <f>$I$13*$L$13</f>
        <v>0</v>
      </c>
      <c r="M75" s="12">
        <f>$I$13*$M$13</f>
        <v>0</v>
      </c>
      <c r="N75" s="12">
        <f ca="1">$I$13*$N$13</f>
        <v>0</v>
      </c>
      <c r="O75" s="12">
        <f>$I$13*$O$13</f>
        <v>0</v>
      </c>
      <c r="P75" s="12">
        <f>$I$13*$P$13</f>
        <v>0</v>
      </c>
      <c r="Q75" s="12">
        <f>$I$13*$Q$13</f>
        <v>0</v>
      </c>
      <c r="R75" s="12">
        <f>$I$13*$R$13</f>
        <v>0</v>
      </c>
      <c r="S75" s="12">
        <f>$I$13*$S$13</f>
        <v>0</v>
      </c>
      <c r="T75" s="12">
        <f>$I$13*$T$13</f>
        <v>441198.02987879812</v>
      </c>
      <c r="U75" s="12">
        <f>$I$13*$U$13</f>
        <v>121059.02501618024</v>
      </c>
      <c r="V75" s="12">
        <f>$I$13*$V$13</f>
        <v>10010.195606821726</v>
      </c>
      <c r="W75" s="12">
        <f>$I$13*$W$13</f>
        <v>0</v>
      </c>
      <c r="X75" s="12">
        <f>$I$13*$X$13</f>
        <v>266725.61702047195</v>
      </c>
      <c r="Y75" s="12">
        <f>$I$13*$Y$13</f>
        <v>0</v>
      </c>
      <c r="Z75" s="12">
        <f>$I$13*$Z$13</f>
        <v>0</v>
      </c>
      <c r="AA75" s="12">
        <f>$I$13*$AA$13</f>
        <v>1363275.6399772938</v>
      </c>
      <c r="AB75" s="12">
        <f ca="1">$I$13*$AB$13</f>
        <v>-185320.2826636954</v>
      </c>
      <c r="AC75" s="12">
        <f ca="1">$I$13*$AC$13</f>
        <v>0</v>
      </c>
      <c r="AD75" s="12">
        <f>$I$13*$AD$13</f>
        <v>0</v>
      </c>
      <c r="AE75" s="12">
        <f>$I$13*$AE$13</f>
        <v>0</v>
      </c>
      <c r="AF75" s="12">
        <f ca="1">$I$13*$AF$13</f>
        <v>0</v>
      </c>
      <c r="AG75" s="12">
        <f ca="1">$I$13*$AG$13</f>
        <v>0</v>
      </c>
      <c r="AI75" s="12">
        <f>$I$13*$AI$13</f>
        <v>0</v>
      </c>
      <c r="AJ75" s="12">
        <f>$I$13*$AJ$13</f>
        <v>0</v>
      </c>
      <c r="AK75" s="12">
        <f>$I$13*$AK$13</f>
        <v>0</v>
      </c>
      <c r="AL75" s="12">
        <f>$I$13*$AL$13</f>
        <v>0</v>
      </c>
      <c r="AM75" s="12">
        <f>$I$13*$AM$13</f>
        <v>0</v>
      </c>
      <c r="AN75" s="12">
        <f>$I$13*$AN$13</f>
        <v>0</v>
      </c>
      <c r="AO75" s="12">
        <f>$I$13*$AO$13</f>
        <v>0</v>
      </c>
      <c r="AP75" s="12">
        <f>$I$13*$AP$13</f>
        <v>0</v>
      </c>
      <c r="AQ75" s="12">
        <f>$I$13*$AQ$13</f>
        <v>448507.3817856072</v>
      </c>
      <c r="AR75" s="12">
        <f>$I$13*$AR$13</f>
        <v>166117.68888643425</v>
      </c>
      <c r="AS75" s="12">
        <f>$I$13*$AS$13</f>
        <v>13287.263226933204</v>
      </c>
      <c r="AT75" s="12">
        <f>$I$13*$AT$13</f>
        <v>0</v>
      </c>
      <c r="AU75" s="12">
        <f>$I$13*$AU$13</f>
        <v>303967.67646198609</v>
      </c>
      <c r="AV75" s="12">
        <f>$I$13*$AV$13</f>
        <v>0</v>
      </c>
      <c r="AW75" s="12">
        <f>$I$13*$AW$13</f>
        <v>0</v>
      </c>
      <c r="AX75" s="12">
        <f>$I$13*$AX$13</f>
        <v>1155345.0897599147</v>
      </c>
      <c r="AY75" s="12">
        <f>$I$13*$AY$13</f>
        <v>0</v>
      </c>
      <c r="AZ75" s="12">
        <f>$I$13*$AZ$13</f>
        <v>0</v>
      </c>
      <c r="BA75" s="12">
        <f>$I$13*$BA$13</f>
        <v>0</v>
      </c>
      <c r="BB75" s="12">
        <f>$I$13*$BB$13</f>
        <v>0</v>
      </c>
      <c r="BC75" s="12">
        <f>$I$13*$BC$13</f>
        <v>0</v>
      </c>
      <c r="BD75" s="12">
        <f>$I$13*$BD$13</f>
        <v>0</v>
      </c>
    </row>
    <row r="76" spans="1:56" ht="11.25" customHeight="1" x14ac:dyDescent="0.25">
      <c r="A76" s="9" t="s">
        <v>39</v>
      </c>
      <c r="B76" s="9" t="s">
        <v>1034</v>
      </c>
      <c r="C76" s="9" t="s">
        <v>1035</v>
      </c>
      <c r="D76" s="9" t="s">
        <v>1036</v>
      </c>
      <c r="E76" s="9" t="s">
        <v>1037</v>
      </c>
      <c r="F76" s="9" t="s">
        <v>1038</v>
      </c>
      <c r="G76" s="9" t="s">
        <v>1041</v>
      </c>
      <c r="L76" s="12">
        <f>$I$14*$L$14</f>
        <v>71874.461386026262</v>
      </c>
      <c r="M76" s="12">
        <f>$I$14*$M$14</f>
        <v>17291.018822097009</v>
      </c>
      <c r="N76" s="12">
        <f ca="1">$I$14*$N$14</f>
        <v>8410.021298574824</v>
      </c>
      <c r="O76" s="12">
        <f>$I$14*$O$14</f>
        <v>1645.4033448709936</v>
      </c>
      <c r="P76" s="12">
        <f>$I$14*$P$14</f>
        <v>0</v>
      </c>
      <c r="Q76" s="12">
        <f>$I$14*$Q$14</f>
        <v>1284680.4370361958</v>
      </c>
      <c r="R76" s="12">
        <f>$I$14*$R$14</f>
        <v>631105.39208343683</v>
      </c>
      <c r="S76" s="12">
        <f>$I$14*$S$14</f>
        <v>0</v>
      </c>
      <c r="T76" s="12">
        <f>$I$14*$T$14</f>
        <v>0</v>
      </c>
      <c r="U76" s="12">
        <f>$I$14*$U$14</f>
        <v>0</v>
      </c>
      <c r="V76" s="12">
        <f>$I$14*$V$14</f>
        <v>0</v>
      </c>
      <c r="W76" s="12">
        <f>$I$14*$W$14</f>
        <v>0</v>
      </c>
      <c r="X76" s="12">
        <f>$I$14*$X$14</f>
        <v>0</v>
      </c>
      <c r="Y76" s="12">
        <f>$I$14*$Y$14</f>
        <v>0</v>
      </c>
      <c r="Z76" s="12">
        <f>$I$14*$Z$14</f>
        <v>0</v>
      </c>
      <c r="AA76" s="12">
        <f>$I$14*$AA$14</f>
        <v>0</v>
      </c>
      <c r="AB76" s="12">
        <f ca="1">$I$14*$AB$14</f>
        <v>-201363.34393259193</v>
      </c>
      <c r="AC76" s="12">
        <f ca="1">$I$14*$AC$14</f>
        <v>0</v>
      </c>
      <c r="AD76" s="12">
        <f>$I$14*$AD$14</f>
        <v>268274.08763961872</v>
      </c>
      <c r="AE76" s="12">
        <f>$I$14*$AE$14</f>
        <v>6325.1706603872808</v>
      </c>
      <c r="AF76" s="12">
        <f ca="1">$I$14*$AF$14</f>
        <v>89600.052155192941</v>
      </c>
      <c r="AG76" s="12">
        <f ca="1">$I$14*$AG$14</f>
        <v>0</v>
      </c>
      <c r="AI76" s="12">
        <f>$I$14*$AI$14</f>
        <v>0</v>
      </c>
      <c r="AJ76" s="12">
        <f>$I$14*$AJ$14</f>
        <v>15518.394964685112</v>
      </c>
      <c r="AK76" s="12">
        <f>$I$14*$AK$14</f>
        <v>9023.4513386691069</v>
      </c>
      <c r="AL76" s="12">
        <f>$I$14*$AL$14</f>
        <v>2027.6466748876883</v>
      </c>
      <c r="AM76" s="12">
        <f>$I$14*$AM$14</f>
        <v>0</v>
      </c>
      <c r="AN76" s="12">
        <f>$I$14*$AN$14</f>
        <v>1067582.2152854623</v>
      </c>
      <c r="AO76" s="12">
        <f>$I$14*$AO$14</f>
        <v>418640.49477481836</v>
      </c>
      <c r="AP76" s="12">
        <f>$I$14*$AP$14</f>
        <v>0</v>
      </c>
      <c r="AQ76" s="12">
        <f>$I$14*$AQ$14</f>
        <v>0</v>
      </c>
      <c r="AR76" s="12">
        <f>$I$14*$AR$14</f>
        <v>0</v>
      </c>
      <c r="AS76" s="12">
        <f>$I$14*$AS$14</f>
        <v>0</v>
      </c>
      <c r="AT76" s="12">
        <f>$I$14*$AT$14</f>
        <v>0</v>
      </c>
      <c r="AU76" s="12">
        <f>$I$14*$AU$14</f>
        <v>0</v>
      </c>
      <c r="AV76" s="12">
        <f>$I$14*$AV$14</f>
        <v>0</v>
      </c>
      <c r="AW76" s="12">
        <f>$I$14*$AW$14</f>
        <v>0</v>
      </c>
      <c r="AX76" s="12">
        <f>$I$14*$AX$14</f>
        <v>0</v>
      </c>
      <c r="AY76" s="12">
        <f>$I$14*$AY$14</f>
        <v>0</v>
      </c>
      <c r="AZ76" s="12">
        <f>$I$14*$AZ$14</f>
        <v>0</v>
      </c>
      <c r="BA76" s="12">
        <f>$I$14*$BA$14</f>
        <v>246010.83604979422</v>
      </c>
      <c r="BB76" s="12">
        <f>$I$14*$BB$14</f>
        <v>6013.8961479181344</v>
      </c>
      <c r="BC76" s="12">
        <f>$I$14*$BC$14</f>
        <v>83021.153887992696</v>
      </c>
      <c r="BD76" s="12">
        <f>$I$14*$BD$14</f>
        <v>0</v>
      </c>
    </row>
    <row r="77" spans="1:56" ht="11.25" customHeight="1" x14ac:dyDescent="0.25">
      <c r="A77" s="9" t="s">
        <v>39</v>
      </c>
      <c r="B77" s="9" t="s">
        <v>1034</v>
      </c>
      <c r="C77" s="9" t="s">
        <v>1035</v>
      </c>
      <c r="D77" s="9" t="s">
        <v>1036</v>
      </c>
      <c r="E77" s="9" t="s">
        <v>1042</v>
      </c>
      <c r="F77" s="9" t="s">
        <v>1043</v>
      </c>
      <c r="G77" s="9" t="s">
        <v>1044</v>
      </c>
      <c r="L77" s="12">
        <f>$I$15*$L$15</f>
        <v>0</v>
      </c>
      <c r="M77" s="12">
        <f>$I$15*$M$15</f>
        <v>0</v>
      </c>
      <c r="N77" s="12">
        <f ca="1">$I$15*$N$15</f>
        <v>0</v>
      </c>
      <c r="O77" s="12">
        <f>$I$15*$O$15</f>
        <v>0</v>
      </c>
      <c r="P77" s="12">
        <f>$I$15*$P$15</f>
        <v>0</v>
      </c>
      <c r="Q77" s="12">
        <f>$I$15*$Q$15</f>
        <v>0</v>
      </c>
      <c r="R77" s="12">
        <f>$I$15*$R$15</f>
        <v>0</v>
      </c>
      <c r="S77" s="12">
        <f>$I$15*$S$15</f>
        <v>0</v>
      </c>
      <c r="T77" s="12">
        <f>$I$15*$T$15</f>
        <v>0</v>
      </c>
      <c r="U77" s="12">
        <f>$I$15*$U$15</f>
        <v>0</v>
      </c>
      <c r="V77" s="12">
        <f>$I$15*$V$15</f>
        <v>0</v>
      </c>
      <c r="W77" s="12">
        <f>$I$15*$W$15</f>
        <v>0</v>
      </c>
      <c r="X77" s="12">
        <f>$I$15*$X$15</f>
        <v>0</v>
      </c>
      <c r="Y77" s="12">
        <f>$I$15*$Y$15</f>
        <v>0</v>
      </c>
      <c r="Z77" s="12">
        <f>$I$15*$Z$15</f>
        <v>0</v>
      </c>
      <c r="AA77" s="12">
        <f>$I$15*$AA$15</f>
        <v>0</v>
      </c>
      <c r="AB77" s="12">
        <f ca="1">$I$15*$AB$15</f>
        <v>0</v>
      </c>
      <c r="AC77" s="12">
        <f ca="1">$I$15*$AC$15</f>
        <v>0</v>
      </c>
      <c r="AD77" s="12">
        <f>$I$15*$AD$15</f>
        <v>0</v>
      </c>
      <c r="AE77" s="12">
        <f>$I$15*$AE$15</f>
        <v>0</v>
      </c>
      <c r="AF77" s="12">
        <f ca="1">$I$15*$AF$15</f>
        <v>0</v>
      </c>
      <c r="AG77" s="12">
        <f ca="1">$I$15*$AG$15</f>
        <v>0</v>
      </c>
      <c r="AI77" s="12">
        <f>$I$15*$AI$15</f>
        <v>0</v>
      </c>
      <c r="AJ77" s="12">
        <f>$I$15*$AJ$15</f>
        <v>0</v>
      </c>
      <c r="AK77" s="12">
        <f>$I$15*$AK$15</f>
        <v>0</v>
      </c>
      <c r="AL77" s="12">
        <f>$I$15*$AL$15</f>
        <v>0</v>
      </c>
      <c r="AM77" s="12">
        <f>$I$15*$AM$15</f>
        <v>0</v>
      </c>
      <c r="AN77" s="12">
        <f>$I$15*$AN$15</f>
        <v>0</v>
      </c>
      <c r="AO77" s="12">
        <f>$I$15*$AO$15</f>
        <v>0</v>
      </c>
      <c r="AP77" s="12">
        <f>$I$15*$AP$15</f>
        <v>0</v>
      </c>
      <c r="AQ77" s="12">
        <f>$I$15*$AQ$15</f>
        <v>0</v>
      </c>
      <c r="AR77" s="12">
        <f>$I$15*$AR$15</f>
        <v>0</v>
      </c>
      <c r="AS77" s="12">
        <f>$I$15*$AS$15</f>
        <v>0</v>
      </c>
      <c r="AT77" s="12">
        <f>$I$15*$AT$15</f>
        <v>0</v>
      </c>
      <c r="AU77" s="12">
        <f>$I$15*$AU$15</f>
        <v>0</v>
      </c>
      <c r="AV77" s="12">
        <f>$I$15*$AV$15</f>
        <v>0</v>
      </c>
      <c r="AW77" s="12">
        <f>$I$15*$AW$15</f>
        <v>0</v>
      </c>
      <c r="AX77" s="12">
        <f>$I$15*$AX$15</f>
        <v>0</v>
      </c>
      <c r="AY77" s="12">
        <f>$I$15*$AY$15</f>
        <v>0</v>
      </c>
      <c r="AZ77" s="12">
        <f>$I$15*$AZ$15</f>
        <v>0</v>
      </c>
      <c r="BA77" s="12">
        <f>$I$15*$BA$15</f>
        <v>0</v>
      </c>
      <c r="BB77" s="12">
        <f>$I$15*$BB$15</f>
        <v>0</v>
      </c>
      <c r="BC77" s="12">
        <f>$I$15*$BC$15</f>
        <v>0</v>
      </c>
      <c r="BD77" s="12">
        <f>$I$15*$BD$15</f>
        <v>0</v>
      </c>
    </row>
    <row r="78" spans="1:56" ht="11.25" customHeight="1" x14ac:dyDescent="0.25">
      <c r="A78" s="9" t="s">
        <v>39</v>
      </c>
      <c r="B78" s="9" t="s">
        <v>1045</v>
      </c>
      <c r="C78" s="9" t="s">
        <v>1046</v>
      </c>
      <c r="D78" s="9" t="s">
        <v>1047</v>
      </c>
      <c r="E78" s="9" t="s">
        <v>1048</v>
      </c>
      <c r="F78" s="9" t="s">
        <v>1049</v>
      </c>
      <c r="G78" s="9" t="s">
        <v>1050</v>
      </c>
      <c r="L78" s="12">
        <f>$I$16*$L$16</f>
        <v>0</v>
      </c>
      <c r="M78" s="12">
        <f>$I$16*$M$16</f>
        <v>0</v>
      </c>
      <c r="N78" s="12">
        <f ca="1">$I$16*$N$16</f>
        <v>0</v>
      </c>
      <c r="O78" s="12">
        <f>$I$16*$O$16</f>
        <v>0</v>
      </c>
      <c r="P78" s="12">
        <f>$I$16*$P$16</f>
        <v>0</v>
      </c>
      <c r="Q78" s="12">
        <f>$I$16*$Q$16</f>
        <v>0</v>
      </c>
      <c r="R78" s="12">
        <f>$I$16*$R$16</f>
        <v>0</v>
      </c>
      <c r="S78" s="12">
        <f>$I$16*$S$16</f>
        <v>0</v>
      </c>
      <c r="T78" s="12">
        <f>$I$16*$T$16</f>
        <v>9411.8006904697086</v>
      </c>
      <c r="U78" s="12">
        <f>$I$16*$U$16</f>
        <v>2554.0915675485003</v>
      </c>
      <c r="V78" s="12">
        <f>$I$16*$V$16</f>
        <v>219.35852460626643</v>
      </c>
      <c r="W78" s="12">
        <f>$I$16*$W$16</f>
        <v>0</v>
      </c>
      <c r="X78" s="12">
        <f>$I$16*$X$16</f>
        <v>11331.662437695952</v>
      </c>
      <c r="Y78" s="12">
        <f>$I$16*$Y$16</f>
        <v>0</v>
      </c>
      <c r="Z78" s="12">
        <f>$I$16*$Z$16</f>
        <v>0</v>
      </c>
      <c r="AA78" s="12">
        <f>$I$16*$AA$16</f>
        <v>16663.321848883337</v>
      </c>
      <c r="AB78" s="12">
        <f>$I$16*$AB$16</f>
        <v>0</v>
      </c>
      <c r="AC78" s="12">
        <f ca="1">$I$16*$AC$16</f>
        <v>0</v>
      </c>
      <c r="AD78" s="12">
        <f>$I$16*$AD$16</f>
        <v>0</v>
      </c>
      <c r="AE78" s="12">
        <f>$I$16*$AE$16</f>
        <v>0</v>
      </c>
      <c r="AF78" s="12">
        <f ca="1">$I$16*$AF$16</f>
        <v>0</v>
      </c>
      <c r="AG78" s="12">
        <f ca="1">$I$16*$AG$16</f>
        <v>0</v>
      </c>
      <c r="AI78" s="12">
        <f>$I$16*$AI$16</f>
        <v>0</v>
      </c>
      <c r="AJ78" s="12">
        <f>$I$16*$AJ$16</f>
        <v>0</v>
      </c>
      <c r="AK78" s="12">
        <f>$I$16*$AK$16</f>
        <v>0</v>
      </c>
      <c r="AL78" s="12">
        <f>$I$16*$AL$16</f>
        <v>0</v>
      </c>
      <c r="AM78" s="12">
        <f>$I$16*$AM$16</f>
        <v>0</v>
      </c>
      <c r="AN78" s="12">
        <f>$I$16*$AN$16</f>
        <v>0</v>
      </c>
      <c r="AO78" s="12">
        <f>$I$16*$AO$16</f>
        <v>0</v>
      </c>
      <c r="AP78" s="12">
        <f>$I$16*$AP$16</f>
        <v>0</v>
      </c>
      <c r="AQ78" s="12">
        <f>$I$16*$AQ$16</f>
        <v>9567.7265075960586</v>
      </c>
      <c r="AR78" s="12">
        <f>$I$16*$AR$16</f>
        <v>3504.7348873723276</v>
      </c>
      <c r="AS78" s="12">
        <f>$I$16*$AS$16</f>
        <v>291.17057967667307</v>
      </c>
      <c r="AT78" s="12">
        <f>$I$16*$AT$16</f>
        <v>0</v>
      </c>
      <c r="AU78" s="12">
        <f>$I$16*$AU$16</f>
        <v>12913.866842319936</v>
      </c>
      <c r="AV78" s="12">
        <f>$I$16*$AV$16</f>
        <v>0</v>
      </c>
      <c r="AW78" s="12">
        <f>$I$16*$AW$16</f>
        <v>0</v>
      </c>
      <c r="AX78" s="12">
        <f>$I$16*$AX$16</f>
        <v>14121.7861690224</v>
      </c>
      <c r="AY78" s="12">
        <f>$I$16*$AY$16</f>
        <v>0</v>
      </c>
      <c r="AZ78" s="12">
        <f>$I$16*$AZ$16</f>
        <v>0</v>
      </c>
      <c r="BA78" s="12">
        <f>$I$16*$BA$16</f>
        <v>0</v>
      </c>
      <c r="BB78" s="12">
        <f>$I$16*$BB$16</f>
        <v>0</v>
      </c>
      <c r="BC78" s="12">
        <f>$I$16*$BC$16</f>
        <v>0</v>
      </c>
      <c r="BD78" s="12">
        <f>$I$16*$BD$16</f>
        <v>0</v>
      </c>
    </row>
    <row r="79" spans="1:56" ht="11.25" customHeight="1" x14ac:dyDescent="0.25">
      <c r="A79" s="9" t="s">
        <v>39</v>
      </c>
      <c r="B79" s="9" t="s">
        <v>1045</v>
      </c>
      <c r="C79" s="9" t="s">
        <v>1046</v>
      </c>
      <c r="D79" s="9" t="s">
        <v>1047</v>
      </c>
      <c r="E79" s="9" t="s">
        <v>1048</v>
      </c>
      <c r="F79" s="9" t="s">
        <v>1049</v>
      </c>
      <c r="G79" s="9" t="s">
        <v>1051</v>
      </c>
      <c r="L79" s="12">
        <f>$I$17*$L$17</f>
        <v>0</v>
      </c>
      <c r="M79" s="12">
        <f>$I$17*$M$17</f>
        <v>0</v>
      </c>
      <c r="N79" s="12">
        <f ca="1">$I$17*$N$17</f>
        <v>0</v>
      </c>
      <c r="O79" s="12">
        <f>$I$17*$O$17</f>
        <v>0</v>
      </c>
      <c r="P79" s="12">
        <f>$I$17*$P$17</f>
        <v>0</v>
      </c>
      <c r="Q79" s="12">
        <f>$I$17*$Q$17</f>
        <v>0</v>
      </c>
      <c r="R79" s="12">
        <f>$I$17*$R$17</f>
        <v>0</v>
      </c>
      <c r="S79" s="12">
        <f>$I$17*$S$17</f>
        <v>0</v>
      </c>
      <c r="T79" s="12">
        <f>$I$17*$T$17</f>
        <v>7046.6064567941121</v>
      </c>
      <c r="U79" s="12">
        <f>$I$17*$U$17</f>
        <v>1933.4975443262049</v>
      </c>
      <c r="V79" s="12">
        <f>$I$17*$V$17</f>
        <v>159.87811417965662</v>
      </c>
      <c r="W79" s="12">
        <f>$I$17*$W$17</f>
        <v>0</v>
      </c>
      <c r="X79" s="12">
        <f>$I$17*$X$17</f>
        <v>4260.0155209332488</v>
      </c>
      <c r="Y79" s="12">
        <f>$I$17*$Y$17</f>
        <v>0</v>
      </c>
      <c r="Z79" s="12">
        <f>$I$17*$Z$17</f>
        <v>0</v>
      </c>
      <c r="AA79" s="12">
        <f>$I$17*$AA$17</f>
        <v>7593.2178016878906</v>
      </c>
      <c r="AB79" s="12">
        <f>$I$17*$AB$17</f>
        <v>0</v>
      </c>
      <c r="AC79" s="12">
        <f ca="1">$I$17*$AC$17</f>
        <v>0</v>
      </c>
      <c r="AD79" s="12">
        <f>$I$17*$AD$17</f>
        <v>0</v>
      </c>
      <c r="AE79" s="12">
        <f>$I$17*$AE$17</f>
        <v>0</v>
      </c>
      <c r="AF79" s="12">
        <f ca="1">$I$17*$AF$17</f>
        <v>0</v>
      </c>
      <c r="AG79" s="12">
        <f ca="1">$I$17*$AG$17</f>
        <v>0</v>
      </c>
      <c r="AI79" s="12">
        <f>$I$17*$AI$17</f>
        <v>0</v>
      </c>
      <c r="AJ79" s="12">
        <f>$I$17*$AJ$17</f>
        <v>0</v>
      </c>
      <c r="AK79" s="12">
        <f>$I$17*$AK$17</f>
        <v>0</v>
      </c>
      <c r="AL79" s="12">
        <f>$I$17*$AL$17</f>
        <v>0</v>
      </c>
      <c r="AM79" s="12">
        <f>$I$17*$AM$17</f>
        <v>0</v>
      </c>
      <c r="AN79" s="12">
        <f>$I$17*$AN$17</f>
        <v>0</v>
      </c>
      <c r="AO79" s="12">
        <f>$I$17*$AO$17</f>
        <v>0</v>
      </c>
      <c r="AP79" s="12">
        <f>$I$17*$AP$17</f>
        <v>0</v>
      </c>
      <c r="AQ79" s="12">
        <f>$I$17*$AQ$17</f>
        <v>7163.3479716092406</v>
      </c>
      <c r="AR79" s="12">
        <f>$I$17*$AR$17</f>
        <v>2653.153232385082</v>
      </c>
      <c r="AS79" s="12">
        <f>$I$17*$AS$17</f>
        <v>212.21788971666919</v>
      </c>
      <c r="AT79" s="12">
        <f>$I$17*$AT$17</f>
        <v>0</v>
      </c>
      <c r="AU79" s="12">
        <f>$I$17*$AU$17</f>
        <v>4854.8280965854483</v>
      </c>
      <c r="AV79" s="12">
        <f>$I$17*$AV$17</f>
        <v>0</v>
      </c>
      <c r="AW79" s="12">
        <f>$I$17*$AW$17</f>
        <v>0</v>
      </c>
      <c r="AX79" s="12">
        <f>$I$17*$AX$17</f>
        <v>6435.0793378834333</v>
      </c>
      <c r="AY79" s="12">
        <f>$I$17*$AY$17</f>
        <v>0</v>
      </c>
      <c r="AZ79" s="12">
        <f>$I$17*$AZ$17</f>
        <v>0</v>
      </c>
      <c r="BA79" s="12">
        <f>$I$17*$BA$17</f>
        <v>0</v>
      </c>
      <c r="BB79" s="12">
        <f>$I$17*$BB$17</f>
        <v>0</v>
      </c>
      <c r="BC79" s="12">
        <f>$I$17*$BC$17</f>
        <v>0</v>
      </c>
      <c r="BD79" s="12">
        <f>$I$17*$BD$17</f>
        <v>0</v>
      </c>
    </row>
    <row r="80" spans="1:56" ht="11.25" customHeight="1" x14ac:dyDescent="0.25">
      <c r="A80" s="9" t="s">
        <v>39</v>
      </c>
      <c r="B80" s="9" t="s">
        <v>1045</v>
      </c>
      <c r="C80" s="9" t="s">
        <v>1046</v>
      </c>
      <c r="D80" s="9" t="s">
        <v>1047</v>
      </c>
      <c r="E80" s="9" t="s">
        <v>1048</v>
      </c>
      <c r="F80" s="9" t="s">
        <v>1049</v>
      </c>
      <c r="G80" s="9" t="s">
        <v>1052</v>
      </c>
      <c r="L80" s="12">
        <f>$I$18*$L$18</f>
        <v>0</v>
      </c>
      <c r="M80" s="12">
        <f>$I$18*$M$18</f>
        <v>0</v>
      </c>
      <c r="N80" s="12">
        <f ca="1">$I$18*$N$18</f>
        <v>0</v>
      </c>
      <c r="O80" s="12">
        <f>$I$18*$O$18</f>
        <v>0</v>
      </c>
      <c r="P80" s="12">
        <f>$I$18*$P$18</f>
        <v>0</v>
      </c>
      <c r="Q80" s="12">
        <f>$I$18*$Q$18</f>
        <v>0</v>
      </c>
      <c r="R80" s="12">
        <f>$I$18*$R$18</f>
        <v>0</v>
      </c>
      <c r="S80" s="12">
        <f>$I$18*$S$18</f>
        <v>0</v>
      </c>
      <c r="T80" s="12">
        <f>$I$18*$T$18</f>
        <v>0</v>
      </c>
      <c r="U80" s="12">
        <f>$I$18*$U$18</f>
        <v>0</v>
      </c>
      <c r="V80" s="12">
        <f>$I$18*$V$18</f>
        <v>0</v>
      </c>
      <c r="W80" s="12">
        <f>$I$18*$W$18</f>
        <v>0</v>
      </c>
      <c r="X80" s="12">
        <f>$I$18*$X$18</f>
        <v>0</v>
      </c>
      <c r="Y80" s="12">
        <f>$I$18*$Y$18</f>
        <v>0</v>
      </c>
      <c r="Z80" s="12">
        <f>$I$18*$Z$18</f>
        <v>0</v>
      </c>
      <c r="AA80" s="12">
        <f>$I$18*$AA$18</f>
        <v>0</v>
      </c>
      <c r="AB80" s="12">
        <f>$I$18*$AB$18</f>
        <v>0</v>
      </c>
      <c r="AC80" s="12">
        <f ca="1">$I$18*$AC$18</f>
        <v>0</v>
      </c>
      <c r="AD80" s="12">
        <f>$I$18*$AD$18</f>
        <v>4483.1956574248779</v>
      </c>
      <c r="AE80" s="12">
        <f>$I$18*$AE$18</f>
        <v>105.70151551577486</v>
      </c>
      <c r="AF80" s="12">
        <f ca="1">$I$18*$AF$18</f>
        <v>0</v>
      </c>
      <c r="AG80" s="12">
        <f ca="1">$I$18*$AG$18</f>
        <v>0</v>
      </c>
      <c r="AI80" s="12">
        <f>$I$18*$AI$18</f>
        <v>0</v>
      </c>
      <c r="AJ80" s="12">
        <f>$I$18*$AJ$18</f>
        <v>0</v>
      </c>
      <c r="AK80" s="12">
        <f>$I$18*$AK$18</f>
        <v>0</v>
      </c>
      <c r="AL80" s="12">
        <f>$I$18*$AL$18</f>
        <v>0</v>
      </c>
      <c r="AM80" s="12">
        <f>$I$18*$AM$18</f>
        <v>0</v>
      </c>
      <c r="AN80" s="12">
        <f>$I$18*$AN$18</f>
        <v>0</v>
      </c>
      <c r="AO80" s="12">
        <f>$I$18*$AO$18</f>
        <v>0</v>
      </c>
      <c r="AP80" s="12">
        <f>$I$18*$AP$18</f>
        <v>0</v>
      </c>
      <c r="AQ80" s="12">
        <f>$I$18*$AQ$18</f>
        <v>0</v>
      </c>
      <c r="AR80" s="12">
        <f>$I$18*$AR$18</f>
        <v>0</v>
      </c>
      <c r="AS80" s="12">
        <f>$I$18*$AS$18</f>
        <v>0</v>
      </c>
      <c r="AT80" s="12">
        <f>$I$18*$AT$18</f>
        <v>0</v>
      </c>
      <c r="AU80" s="12">
        <f>$I$18*$AU$18</f>
        <v>0</v>
      </c>
      <c r="AV80" s="12">
        <f>$I$18*$AV$18</f>
        <v>0</v>
      </c>
      <c r="AW80" s="12">
        <f>$I$18*$AW$18</f>
        <v>0</v>
      </c>
      <c r="AX80" s="12">
        <f>$I$18*$AX$18</f>
        <v>0</v>
      </c>
      <c r="AY80" s="12">
        <f>$I$18*$AY$18</f>
        <v>0</v>
      </c>
      <c r="AZ80" s="12">
        <f>$I$18*$AZ$18</f>
        <v>0</v>
      </c>
      <c r="BA80" s="12">
        <f>$I$18*$BA$18</f>
        <v>4111.1488685388131</v>
      </c>
      <c r="BB80" s="12">
        <f>$I$18*$BB$18</f>
        <v>100.49972895917178</v>
      </c>
      <c r="BC80" s="12">
        <f>$I$18*$BC$18</f>
        <v>0</v>
      </c>
      <c r="BD80" s="12">
        <f>$I$18*$BD$18</f>
        <v>0</v>
      </c>
    </row>
    <row r="81" spans="1:56" ht="11.25" customHeight="1" x14ac:dyDescent="0.25">
      <c r="A81" s="9" t="s">
        <v>39</v>
      </c>
      <c r="B81" s="9" t="s">
        <v>1053</v>
      </c>
      <c r="C81" s="9" t="s">
        <v>1054</v>
      </c>
      <c r="D81" s="9" t="s">
        <v>1055</v>
      </c>
      <c r="E81" s="9" t="s">
        <v>1056</v>
      </c>
      <c r="F81" s="9" t="s">
        <v>1057</v>
      </c>
      <c r="G81" s="9" t="s">
        <v>1058</v>
      </c>
      <c r="L81" s="12">
        <f>$I$19*$L$19</f>
        <v>0</v>
      </c>
      <c r="M81" s="12">
        <f>$I$19*$M$19</f>
        <v>0</v>
      </c>
      <c r="N81" s="12">
        <f ca="1">$I$19*$N$19</f>
        <v>0</v>
      </c>
      <c r="O81" s="12">
        <f>$I$19*$O$19</f>
        <v>0</v>
      </c>
      <c r="P81" s="12">
        <f>$I$19*$P$19</f>
        <v>0</v>
      </c>
      <c r="Q81" s="12">
        <f>$I$19*$Q$19</f>
        <v>0</v>
      </c>
      <c r="R81" s="12">
        <f>$I$19*$R$19</f>
        <v>0</v>
      </c>
      <c r="S81" s="12">
        <f>$I$19*$S$19</f>
        <v>0</v>
      </c>
      <c r="T81" s="12">
        <f>$I$19*$T$19</f>
        <v>0</v>
      </c>
      <c r="U81" s="12">
        <f>$I$19*$U$19</f>
        <v>0</v>
      </c>
      <c r="V81" s="12">
        <f>$I$19*$V$19</f>
        <v>0</v>
      </c>
      <c r="W81" s="12">
        <f>$I$19*$W$19</f>
        <v>0</v>
      </c>
      <c r="X81" s="12">
        <f>$I$19*$X$19</f>
        <v>0</v>
      </c>
      <c r="Y81" s="12">
        <f>$I$19*$Y$19</f>
        <v>0</v>
      </c>
      <c r="Z81" s="12">
        <f>$I$19*$Z$19</f>
        <v>0</v>
      </c>
      <c r="AA81" s="12">
        <f>$I$19*$AA$19</f>
        <v>0</v>
      </c>
      <c r="AB81" s="12">
        <f ca="1">$I$19*$AB$19</f>
        <v>0</v>
      </c>
      <c r="AC81" s="12">
        <f ca="1">$I$19*$AC$19</f>
        <v>0</v>
      </c>
      <c r="AD81" s="12">
        <f>$I$19*$AD$19</f>
        <v>0</v>
      </c>
      <c r="AE81" s="12">
        <f>$I$19*$AE$19</f>
        <v>0</v>
      </c>
      <c r="AF81" s="12">
        <f ca="1">$I$19*$AF$19</f>
        <v>0</v>
      </c>
      <c r="AG81" s="12">
        <f ca="1">$I$19*$AG$19</f>
        <v>0</v>
      </c>
      <c r="AI81" s="12">
        <f>$I$19*$AI$19</f>
        <v>0</v>
      </c>
      <c r="AJ81" s="12">
        <f>$I$19*$AJ$19</f>
        <v>0</v>
      </c>
      <c r="AK81" s="12">
        <f>$I$19*$AK$19</f>
        <v>0</v>
      </c>
      <c r="AL81" s="12">
        <f>$I$19*$AL$19</f>
        <v>0</v>
      </c>
      <c r="AM81" s="12">
        <f>$I$19*$AM$19</f>
        <v>0</v>
      </c>
      <c r="AN81" s="12">
        <f>$I$19*$AN$19</f>
        <v>0</v>
      </c>
      <c r="AO81" s="12">
        <f>$I$19*$AO$19</f>
        <v>0</v>
      </c>
      <c r="AP81" s="12">
        <f>$I$19*$AP$19</f>
        <v>0</v>
      </c>
      <c r="AQ81" s="12">
        <f>$I$19*$AQ$19</f>
        <v>0</v>
      </c>
      <c r="AR81" s="12">
        <f>$I$19*$AR$19</f>
        <v>0</v>
      </c>
      <c r="AS81" s="12">
        <f>$I$19*$AS$19</f>
        <v>0</v>
      </c>
      <c r="AT81" s="12">
        <f>$I$19*$AT$19</f>
        <v>0</v>
      </c>
      <c r="AU81" s="12">
        <f>$I$19*$AU$19</f>
        <v>0</v>
      </c>
      <c r="AV81" s="12">
        <f>$I$19*$AV$19</f>
        <v>0</v>
      </c>
      <c r="AW81" s="12">
        <f>$I$19*$AW$19</f>
        <v>0</v>
      </c>
      <c r="AX81" s="12">
        <f>$I$19*$AX$19</f>
        <v>0</v>
      </c>
      <c r="AY81" s="12">
        <f>$I$19*$AY$19</f>
        <v>0</v>
      </c>
      <c r="AZ81" s="12">
        <f>$I$19*$AZ$19</f>
        <v>0</v>
      </c>
      <c r="BA81" s="12">
        <f>$I$19*$BA$19</f>
        <v>0</v>
      </c>
      <c r="BB81" s="12">
        <f>$I$19*$BB$19</f>
        <v>0</v>
      </c>
      <c r="BC81" s="12">
        <f>$I$19*$BC$19</f>
        <v>0</v>
      </c>
      <c r="BD81" s="12">
        <f>$I$19*$BD$19</f>
        <v>0</v>
      </c>
    </row>
    <row r="82" spans="1:56" ht="11.25" customHeight="1" x14ac:dyDescent="0.25">
      <c r="A82" s="9" t="s">
        <v>39</v>
      </c>
      <c r="B82" s="9" t="s">
        <v>1059</v>
      </c>
      <c r="C82" s="9" t="s">
        <v>1060</v>
      </c>
      <c r="D82" s="9" t="s">
        <v>1061</v>
      </c>
      <c r="E82" s="9" t="s">
        <v>1062</v>
      </c>
      <c r="F82" s="9" t="s">
        <v>1063</v>
      </c>
      <c r="G82" s="9" t="s">
        <v>1064</v>
      </c>
      <c r="L82" s="12">
        <f>$I$20*$L$20</f>
        <v>0</v>
      </c>
      <c r="M82" s="12">
        <f>$I$20*$M$20</f>
        <v>0</v>
      </c>
      <c r="N82" s="12">
        <f ca="1">$I$20*$N$20</f>
        <v>0</v>
      </c>
      <c r="O82" s="12">
        <f>$I$20*$O$20</f>
        <v>0</v>
      </c>
      <c r="P82" s="12">
        <f>$I$20*$P$20</f>
        <v>0</v>
      </c>
      <c r="Q82" s="12">
        <f>$I$20*$Q$20</f>
        <v>0</v>
      </c>
      <c r="R82" s="12">
        <f>$I$20*$R$20</f>
        <v>0</v>
      </c>
      <c r="S82" s="12">
        <f>$I$20*$S$20</f>
        <v>0</v>
      </c>
      <c r="T82" s="12">
        <f>$I$20*$T$20</f>
        <v>2932892.1349653006</v>
      </c>
      <c r="U82" s="12">
        <f>$I$20*$U$20</f>
        <v>804747.61511074647</v>
      </c>
      <c r="V82" s="12">
        <f>$I$20*$V$20</f>
        <v>66543.415827982812</v>
      </c>
      <c r="W82" s="12">
        <f>$I$20*$W$20</f>
        <v>0</v>
      </c>
      <c r="X82" s="12">
        <f>$I$20*$X$20</f>
        <v>1773075.606362089</v>
      </c>
      <c r="Y82" s="12">
        <f>$I$20*$Y$20</f>
        <v>0</v>
      </c>
      <c r="Z82" s="12">
        <f>$I$20*$Z$20</f>
        <v>0</v>
      </c>
      <c r="AA82" s="12">
        <f>$I$20*$AA$20</f>
        <v>9062462.0499270577</v>
      </c>
      <c r="AB82" s="12">
        <f ca="1">$I$20*$AB$20</f>
        <v>-1231928.4372670718</v>
      </c>
      <c r="AC82" s="12">
        <f ca="1">$I$20*$AC$20</f>
        <v>0</v>
      </c>
      <c r="AD82" s="12">
        <f>$I$20*$AD$20</f>
        <v>0</v>
      </c>
      <c r="AE82" s="12">
        <f>$I$20*$AE$20</f>
        <v>0</v>
      </c>
      <c r="AF82" s="12">
        <f ca="1">$I$20*$AF$20</f>
        <v>0</v>
      </c>
      <c r="AG82" s="12">
        <f ca="1">$I$20*$AG$20</f>
        <v>0</v>
      </c>
      <c r="AI82" s="12">
        <f>$I$20*$AI$20</f>
        <v>0</v>
      </c>
      <c r="AJ82" s="12">
        <f>$I$20*$AJ$20</f>
        <v>0</v>
      </c>
      <c r="AK82" s="12">
        <f>$I$20*$AK$20</f>
        <v>0</v>
      </c>
      <c r="AL82" s="12">
        <f>$I$20*$AL$20</f>
        <v>0</v>
      </c>
      <c r="AM82" s="12">
        <f>$I$20*$AM$20</f>
        <v>0</v>
      </c>
      <c r="AN82" s="12">
        <f>$I$20*$AN$20</f>
        <v>0</v>
      </c>
      <c r="AO82" s="12">
        <f>$I$20*$AO$20</f>
        <v>0</v>
      </c>
      <c r="AP82" s="12">
        <f>$I$20*$AP$20</f>
        <v>0</v>
      </c>
      <c r="AQ82" s="12">
        <f>$I$20*$AQ$20</f>
        <v>2981481.5194760682</v>
      </c>
      <c r="AR82" s="12">
        <f>$I$20*$AR$20</f>
        <v>1104277.9663986177</v>
      </c>
      <c r="AS82" s="12">
        <f>$I$20*$AS$20</f>
        <v>88327.932525427575</v>
      </c>
      <c r="AT82" s="12">
        <f>$I$20*$AT$20</f>
        <v>0</v>
      </c>
      <c r="AU82" s="12">
        <f>$I$20*$AU$20</f>
        <v>2020644.5795416224</v>
      </c>
      <c r="AV82" s="12">
        <f>$I$20*$AV$20</f>
        <v>0</v>
      </c>
      <c r="AW82" s="12">
        <f>$I$20*$AW$20</f>
        <v>0</v>
      </c>
      <c r="AX82" s="12">
        <f>$I$20*$AX$20</f>
        <v>7680230.4123127926</v>
      </c>
      <c r="AY82" s="12">
        <f>$I$20*$AY$20</f>
        <v>0</v>
      </c>
      <c r="AZ82" s="12">
        <f>$I$20*$AZ$20</f>
        <v>0</v>
      </c>
      <c r="BA82" s="12">
        <f>$I$20*$BA$20</f>
        <v>0</v>
      </c>
      <c r="BB82" s="12">
        <f>$I$20*$BB$20</f>
        <v>0</v>
      </c>
      <c r="BC82" s="12">
        <f>$I$20*$BC$20</f>
        <v>0</v>
      </c>
      <c r="BD82" s="12">
        <f>$I$20*$BD$20</f>
        <v>0</v>
      </c>
    </row>
    <row r="83" spans="1:56" ht="11.25" customHeight="1" x14ac:dyDescent="0.25">
      <c r="A83" s="9" t="s">
        <v>39</v>
      </c>
      <c r="B83" s="9" t="s">
        <v>1059</v>
      </c>
      <c r="C83" s="9" t="s">
        <v>1060</v>
      </c>
      <c r="D83" s="9" t="s">
        <v>1061</v>
      </c>
      <c r="E83" s="9" t="s">
        <v>1062</v>
      </c>
      <c r="F83" s="9" t="s">
        <v>1063</v>
      </c>
      <c r="G83" s="9" t="s">
        <v>1065</v>
      </c>
      <c r="L83" s="12">
        <f>$I$21*$L$21</f>
        <v>16923.94944327743</v>
      </c>
      <c r="M83" s="12">
        <f>$I$21*$M$21</f>
        <v>4071.4368180965789</v>
      </c>
      <c r="N83" s="12">
        <f ca="1">$I$21*$N$21</f>
        <v>103466.34221803454</v>
      </c>
      <c r="O83" s="12">
        <f>$I$21*$O$21</f>
        <v>387.43557148673386</v>
      </c>
      <c r="P83" s="12">
        <f>$I$21*$P$21</f>
        <v>0</v>
      </c>
      <c r="Q83" s="12">
        <f>$I$21*$Q$21</f>
        <v>302497.804476002</v>
      </c>
      <c r="R83" s="12">
        <f>$I$21*$R$21</f>
        <v>148603.48923708819</v>
      </c>
      <c r="S83" s="12">
        <f>$I$21*$S$21</f>
        <v>0</v>
      </c>
      <c r="T83" s="12">
        <f>$I$21*$T$21</f>
        <v>1292373.4814679101</v>
      </c>
      <c r="U83" s="12">
        <f>$I$21*$U$21</f>
        <v>350718.04517315776</v>
      </c>
      <c r="V83" s="12">
        <f>$I$21*$V$21</f>
        <v>30114.425611438819</v>
      </c>
      <c r="W83" s="12">
        <f>$I$21*$W$21</f>
        <v>0</v>
      </c>
      <c r="X83" s="12">
        <f>$I$21*$X$21</f>
        <v>1556011.3397689022</v>
      </c>
      <c r="Y83" s="12">
        <f>$I$21*$Y$21</f>
        <v>0</v>
      </c>
      <c r="Z83" s="12">
        <f>$I$21*$Z$21</f>
        <v>0</v>
      </c>
      <c r="AA83" s="12">
        <f>$I$21*$AA$21</f>
        <v>6561161.8669169554</v>
      </c>
      <c r="AB83" s="12">
        <f ca="1">$I$21*$AB$21</f>
        <v>-884712.56751305365</v>
      </c>
      <c r="AC83" s="12">
        <f ca="1">$I$21*$AC$21</f>
        <v>0</v>
      </c>
      <c r="AD83" s="12">
        <f>$I$21*$AD$21</f>
        <v>63169.267756585876</v>
      </c>
      <c r="AE83" s="12">
        <f>$I$21*$AE$21</f>
        <v>1489.3588962227404</v>
      </c>
      <c r="AF83" s="12">
        <f ca="1">$I$21*$AF$21</f>
        <v>21097.712922608694</v>
      </c>
      <c r="AG83" s="12">
        <f ca="1">$I$21*$AG$21</f>
        <v>0</v>
      </c>
      <c r="AI83" s="12">
        <f>$I$21*$AI$21</f>
        <v>0</v>
      </c>
      <c r="AJ83" s="12">
        <f>$I$21*$AJ$21</f>
        <v>3654.0452165976512</v>
      </c>
      <c r="AK83" s="12">
        <f>$I$21*$AK$21</f>
        <v>105040.65948488408</v>
      </c>
      <c r="AL83" s="12">
        <f>$I$21*$AL$21</f>
        <v>477.44065350728948</v>
      </c>
      <c r="AM83" s="12">
        <f>$I$21*$AM$21</f>
        <v>0</v>
      </c>
      <c r="AN83" s="12">
        <f>$I$21*$AN$21</f>
        <v>251378.68290928134</v>
      </c>
      <c r="AO83" s="12">
        <f>$I$21*$AO$21</f>
        <v>98575.355304925324</v>
      </c>
      <c r="AP83" s="12">
        <f>$I$21*$AP$21</f>
        <v>0</v>
      </c>
      <c r="AQ83" s="12">
        <f>$I$21*$AQ$21</f>
        <v>1313784.3036641695</v>
      </c>
      <c r="AR83" s="12">
        <f>$I$21*$AR$21</f>
        <v>481256.73494517407</v>
      </c>
      <c r="AS83" s="12">
        <f>$I$21*$AS$21</f>
        <v>39973.075027065395</v>
      </c>
      <c r="AT83" s="12">
        <f>$I$21*$AT$21</f>
        <v>0</v>
      </c>
      <c r="AU83" s="12">
        <f>$I$21*$AU$21</f>
        <v>1773272.3117545664</v>
      </c>
      <c r="AV83" s="12">
        <f>$I$21*$AV$21</f>
        <v>0</v>
      </c>
      <c r="AW83" s="12">
        <f>$I$21*$AW$21</f>
        <v>0</v>
      </c>
      <c r="AX83" s="12">
        <f>$I$21*$AX$21</f>
        <v>5560435.4128918247</v>
      </c>
      <c r="AY83" s="12">
        <f>$I$21*$AY$21</f>
        <v>0</v>
      </c>
      <c r="AZ83" s="12">
        <f>$I$21*$AZ$21</f>
        <v>0</v>
      </c>
      <c r="BA83" s="12">
        <f>$I$21*$BA$21</f>
        <v>57927.042116444805</v>
      </c>
      <c r="BB83" s="12">
        <f>$I$21*$BB$21</f>
        <v>1416.0645158486723</v>
      </c>
      <c r="BC83" s="12">
        <f>$I$21*$BC$21</f>
        <v>19548.609951685994</v>
      </c>
      <c r="BD83" s="12">
        <f>$I$21*$BD$21</f>
        <v>0</v>
      </c>
    </row>
    <row r="84" spans="1:56" ht="11.25" customHeight="1" x14ac:dyDescent="0.25">
      <c r="A84" s="9" t="s">
        <v>39</v>
      </c>
      <c r="B84" s="9" t="s">
        <v>1059</v>
      </c>
      <c r="C84" s="9" t="s">
        <v>1060</v>
      </c>
      <c r="D84" s="9" t="s">
        <v>1061</v>
      </c>
      <c r="E84" s="9" t="s">
        <v>1062</v>
      </c>
      <c r="F84" s="9" t="s">
        <v>1063</v>
      </c>
      <c r="G84" s="9" t="s">
        <v>1066</v>
      </c>
      <c r="L84" s="12">
        <f>$I$22*$L$22</f>
        <v>240136.94462266055</v>
      </c>
      <c r="M84" s="12">
        <f>$I$22*$M$22</f>
        <v>57770.344977618959</v>
      </c>
      <c r="N84" s="12">
        <f ca="1">$I$22*$N$22</f>
        <v>28098.392390094457</v>
      </c>
      <c r="O84" s="12">
        <f>$I$22*$O$22</f>
        <v>5497.3925966149263</v>
      </c>
      <c r="P84" s="12">
        <f>$I$22*$P$22</f>
        <v>0</v>
      </c>
      <c r="Q84" s="12">
        <f>$I$22*$Q$22</f>
        <v>4292195.4337782944</v>
      </c>
      <c r="R84" s="12">
        <f>$I$22*$R$22</f>
        <v>2108561.4788240655</v>
      </c>
      <c r="S84" s="12">
        <f>$I$22*$S$22</f>
        <v>0</v>
      </c>
      <c r="T84" s="12">
        <f>$I$22*$T$22</f>
        <v>0</v>
      </c>
      <c r="U84" s="12">
        <f>$I$22*$U$22</f>
        <v>0</v>
      </c>
      <c r="V84" s="12">
        <f>$I$22*$V$22</f>
        <v>0</v>
      </c>
      <c r="W84" s="12">
        <f>$I$22*$W$22</f>
        <v>0</v>
      </c>
      <c r="X84" s="12">
        <f>$I$22*$X$22</f>
        <v>0</v>
      </c>
      <c r="Y84" s="12">
        <f>$I$22*$Y$22</f>
        <v>0</v>
      </c>
      <c r="Z84" s="12">
        <f>$I$22*$Z$22</f>
        <v>0</v>
      </c>
      <c r="AA84" s="12">
        <f>$I$22*$AA$22</f>
        <v>0</v>
      </c>
      <c r="AB84" s="12">
        <f ca="1">$I$22*$AB$22</f>
        <v>-672767.17262991064</v>
      </c>
      <c r="AC84" s="12">
        <f ca="1">$I$22*$AC$22</f>
        <v>0</v>
      </c>
      <c r="AD84" s="12">
        <f>$I$22*$AD$22</f>
        <v>896320.03475068603</v>
      </c>
      <c r="AE84" s="12">
        <f>$I$22*$AE$22</f>
        <v>21132.779673220641</v>
      </c>
      <c r="AF84" s="12">
        <f ca="1">$I$22*$AF$22</f>
        <v>299359.22089236317</v>
      </c>
      <c r="AG84" s="12">
        <f ca="1">$I$22*$AG$22</f>
        <v>0</v>
      </c>
      <c r="AI84" s="12">
        <f>$I$22*$AI$22</f>
        <v>0</v>
      </c>
      <c r="AJ84" s="12">
        <f>$I$22*$AJ$22</f>
        <v>51847.900915076236</v>
      </c>
      <c r="AK84" s="12">
        <f>$I$22*$AK$22</f>
        <v>30147.899443466777</v>
      </c>
      <c r="AL84" s="12">
        <f>$I$22*$AL$22</f>
        <v>6774.4907981528404</v>
      </c>
      <c r="AM84" s="12">
        <f>$I$22*$AM$22</f>
        <v>0</v>
      </c>
      <c r="AN84" s="12">
        <f>$I$22*$AN$22</f>
        <v>3566857.0778602678</v>
      </c>
      <c r="AO84" s="12">
        <f>$I$22*$AO$22</f>
        <v>1398703.3415194242</v>
      </c>
      <c r="AP84" s="12">
        <f>$I$22*$AP$22</f>
        <v>0</v>
      </c>
      <c r="AQ84" s="12">
        <f>$I$22*$AQ$22</f>
        <v>0</v>
      </c>
      <c r="AR84" s="12">
        <f>$I$22*$AR$22</f>
        <v>0</v>
      </c>
      <c r="AS84" s="12">
        <f>$I$22*$AS$22</f>
        <v>0</v>
      </c>
      <c r="AT84" s="12">
        <f>$I$22*$AT$22</f>
        <v>0</v>
      </c>
      <c r="AU84" s="12">
        <f>$I$22*$AU$22</f>
        <v>0</v>
      </c>
      <c r="AV84" s="12">
        <f>$I$22*$AV$22</f>
        <v>0</v>
      </c>
      <c r="AW84" s="12">
        <f>$I$22*$AW$22</f>
        <v>0</v>
      </c>
      <c r="AX84" s="12">
        <f>$I$22*$AX$22</f>
        <v>0</v>
      </c>
      <c r="AY84" s="12">
        <f>$I$22*$AY$22</f>
        <v>0</v>
      </c>
      <c r="AZ84" s="12">
        <f>$I$22*$AZ$22</f>
        <v>0</v>
      </c>
      <c r="BA84" s="12">
        <f>$I$22*$BA$22</f>
        <v>821937.15784212307</v>
      </c>
      <c r="BB84" s="12">
        <f>$I$22*$BB$22</f>
        <v>20092.79260518841</v>
      </c>
      <c r="BC84" s="12">
        <f>$I$22*$BC$22</f>
        <v>277378.72186109069</v>
      </c>
      <c r="BD84" s="12">
        <f>$I$22*$BD$22</f>
        <v>0</v>
      </c>
    </row>
    <row r="85" spans="1:56" ht="11.25" customHeight="1" x14ac:dyDescent="0.25">
      <c r="A85" s="9" t="s">
        <v>39</v>
      </c>
      <c r="B85" s="9" t="s">
        <v>1059</v>
      </c>
      <c r="C85" s="9" t="s">
        <v>1060</v>
      </c>
      <c r="D85" s="9" t="s">
        <v>1061</v>
      </c>
      <c r="E85" s="9" t="s">
        <v>1067</v>
      </c>
      <c r="F85" s="9" t="s">
        <v>1068</v>
      </c>
      <c r="G85" s="9" t="s">
        <v>1069</v>
      </c>
      <c r="L85" s="12">
        <f>$I$23*$L$23</f>
        <v>0</v>
      </c>
      <c r="M85" s="12">
        <f>$I$23*$M$23</f>
        <v>0</v>
      </c>
      <c r="N85" s="12">
        <f ca="1">$I$23*$N$23</f>
        <v>0</v>
      </c>
      <c r="O85" s="12">
        <f>$I$23*$O$23</f>
        <v>0</v>
      </c>
      <c r="P85" s="12">
        <f>$I$23*$P$23</f>
        <v>0</v>
      </c>
      <c r="Q85" s="12">
        <f>$I$23*$Q$23</f>
        <v>0</v>
      </c>
      <c r="R85" s="12">
        <f>$I$23*$R$23</f>
        <v>0</v>
      </c>
      <c r="S85" s="12">
        <f>$I$23*$S$23</f>
        <v>0</v>
      </c>
      <c r="T85" s="12">
        <f>$I$23*$T$23</f>
        <v>0</v>
      </c>
      <c r="U85" s="12">
        <f>$I$23*$U$23</f>
        <v>0</v>
      </c>
      <c r="V85" s="12">
        <f>$I$23*$V$23</f>
        <v>0</v>
      </c>
      <c r="W85" s="12">
        <f>$I$23*$W$23</f>
        <v>0</v>
      </c>
      <c r="X85" s="12">
        <f>$I$23*$X$23</f>
        <v>0</v>
      </c>
      <c r="Y85" s="12">
        <f>$I$23*$Y$23</f>
        <v>0</v>
      </c>
      <c r="Z85" s="12">
        <f>$I$23*$Z$23</f>
        <v>0</v>
      </c>
      <c r="AA85" s="12">
        <f>$I$23*$AA$23</f>
        <v>0</v>
      </c>
      <c r="AB85" s="12">
        <f ca="1">$I$23*$AB$23</f>
        <v>0</v>
      </c>
      <c r="AC85" s="12">
        <f ca="1">$I$23*$AC$23</f>
        <v>0</v>
      </c>
      <c r="AD85" s="12">
        <f>$I$23*$AD$23</f>
        <v>0</v>
      </c>
      <c r="AE85" s="12">
        <f>$I$23*$AE$23</f>
        <v>0</v>
      </c>
      <c r="AF85" s="12">
        <f ca="1">$I$23*$AF$23</f>
        <v>0</v>
      </c>
      <c r="AG85" s="12">
        <f ca="1">$I$23*$AG$23</f>
        <v>0</v>
      </c>
      <c r="AI85" s="12">
        <f>$I$23*$AI$23</f>
        <v>0</v>
      </c>
      <c r="AJ85" s="12">
        <f>$I$23*$AJ$23</f>
        <v>0</v>
      </c>
      <c r="AK85" s="12">
        <f>$I$23*$AK$23</f>
        <v>0</v>
      </c>
      <c r="AL85" s="12">
        <f>$I$23*$AL$23</f>
        <v>0</v>
      </c>
      <c r="AM85" s="12">
        <f>$I$23*$AM$23</f>
        <v>0</v>
      </c>
      <c r="AN85" s="12">
        <f>$I$23*$AN$23</f>
        <v>0</v>
      </c>
      <c r="AO85" s="12">
        <f>$I$23*$AO$23</f>
        <v>0</v>
      </c>
      <c r="AP85" s="12">
        <f>$I$23*$AP$23</f>
        <v>0</v>
      </c>
      <c r="AQ85" s="12">
        <f>$I$23*$AQ$23</f>
        <v>0</v>
      </c>
      <c r="AR85" s="12">
        <f>$I$23*$AR$23</f>
        <v>0</v>
      </c>
      <c r="AS85" s="12">
        <f>$I$23*$AS$23</f>
        <v>0</v>
      </c>
      <c r="AT85" s="12">
        <f>$I$23*$AT$23</f>
        <v>0</v>
      </c>
      <c r="AU85" s="12">
        <f>$I$23*$AU$23</f>
        <v>0</v>
      </c>
      <c r="AV85" s="12">
        <f>$I$23*$AV$23</f>
        <v>0</v>
      </c>
      <c r="AW85" s="12">
        <f>$I$23*$AW$23</f>
        <v>0</v>
      </c>
      <c r="AX85" s="12">
        <f>$I$23*$AX$23</f>
        <v>0</v>
      </c>
      <c r="AY85" s="12">
        <f>$I$23*$AY$23</f>
        <v>0</v>
      </c>
      <c r="AZ85" s="12">
        <f>$I$23*$AZ$23</f>
        <v>0</v>
      </c>
      <c r="BA85" s="12">
        <f>$I$23*$BA$23</f>
        <v>0</v>
      </c>
      <c r="BB85" s="12">
        <f>$I$23*$BB$23</f>
        <v>0</v>
      </c>
      <c r="BC85" s="12">
        <f>$I$23*$BC$23</f>
        <v>0</v>
      </c>
      <c r="BD85" s="12">
        <f>$I$23*$BD$23</f>
        <v>0</v>
      </c>
    </row>
    <row r="86" spans="1:56" ht="11.25" customHeight="1" x14ac:dyDescent="0.25">
      <c r="A86" s="9" t="s">
        <v>39</v>
      </c>
      <c r="B86" s="9" t="s">
        <v>1059</v>
      </c>
      <c r="C86" s="9" t="s">
        <v>1060</v>
      </c>
      <c r="D86" s="9" t="s">
        <v>1061</v>
      </c>
      <c r="E86" s="9" t="s">
        <v>1067</v>
      </c>
      <c r="F86" s="9" t="s">
        <v>1068</v>
      </c>
      <c r="G86" s="9" t="s">
        <v>1070</v>
      </c>
      <c r="L86" s="12">
        <f>$I$24*$L$24</f>
        <v>0</v>
      </c>
      <c r="M86" s="12">
        <f>$I$24*$M$24</f>
        <v>0</v>
      </c>
      <c r="N86" s="12">
        <f ca="1">$I$24*$N$24</f>
        <v>0</v>
      </c>
      <c r="O86" s="12">
        <f>$I$24*$O$24</f>
        <v>0</v>
      </c>
      <c r="P86" s="12">
        <f>$I$24*$P$24</f>
        <v>0</v>
      </c>
      <c r="Q86" s="12">
        <f>$I$24*$Q$24</f>
        <v>0</v>
      </c>
      <c r="R86" s="12">
        <f>$I$24*$R$24</f>
        <v>0</v>
      </c>
      <c r="S86" s="12">
        <f>$I$24*$S$24</f>
        <v>0</v>
      </c>
      <c r="T86" s="12">
        <f>$I$24*$T$24</f>
        <v>0</v>
      </c>
      <c r="U86" s="12">
        <f>$I$24*$U$24</f>
        <v>0</v>
      </c>
      <c r="V86" s="12">
        <f>$I$24*$V$24</f>
        <v>0</v>
      </c>
      <c r="W86" s="12">
        <f>$I$24*$W$24</f>
        <v>0</v>
      </c>
      <c r="X86" s="12">
        <f>$I$24*$X$24</f>
        <v>0</v>
      </c>
      <c r="Y86" s="12">
        <f>$I$24*$Y$24</f>
        <v>0</v>
      </c>
      <c r="Z86" s="12">
        <f>$I$24*$Z$24</f>
        <v>0</v>
      </c>
      <c r="AA86" s="12">
        <f>$I$24*$AA$24</f>
        <v>0</v>
      </c>
      <c r="AB86" s="12">
        <f ca="1">$I$24*$AB$24</f>
        <v>0</v>
      </c>
      <c r="AC86" s="12">
        <f ca="1">$I$24*$AC$24</f>
        <v>0</v>
      </c>
      <c r="AD86" s="12">
        <f>$I$24*$AD$24</f>
        <v>0</v>
      </c>
      <c r="AE86" s="12">
        <f>$I$24*$AE$24</f>
        <v>0</v>
      </c>
      <c r="AF86" s="12">
        <f ca="1">$I$24*$AF$24</f>
        <v>0</v>
      </c>
      <c r="AG86" s="12">
        <f ca="1">$I$24*$AG$24</f>
        <v>0</v>
      </c>
      <c r="AI86" s="12">
        <f>$I$24*$AI$24</f>
        <v>0</v>
      </c>
      <c r="AJ86" s="12">
        <f>$I$24*$AJ$24</f>
        <v>0</v>
      </c>
      <c r="AK86" s="12">
        <f>$I$24*$AK$24</f>
        <v>0</v>
      </c>
      <c r="AL86" s="12">
        <f>$I$24*$AL$24</f>
        <v>0</v>
      </c>
      <c r="AM86" s="12">
        <f>$I$24*$AM$24</f>
        <v>0</v>
      </c>
      <c r="AN86" s="12">
        <f>$I$24*$AN$24</f>
        <v>0</v>
      </c>
      <c r="AO86" s="12">
        <f>$I$24*$AO$24</f>
        <v>0</v>
      </c>
      <c r="AP86" s="12">
        <f>$I$24*$AP$24</f>
        <v>0</v>
      </c>
      <c r="AQ86" s="12">
        <f>$I$24*$AQ$24</f>
        <v>0</v>
      </c>
      <c r="AR86" s="12">
        <f>$I$24*$AR$24</f>
        <v>0</v>
      </c>
      <c r="AS86" s="12">
        <f>$I$24*$AS$24</f>
        <v>0</v>
      </c>
      <c r="AT86" s="12">
        <f>$I$24*$AT$24</f>
        <v>0</v>
      </c>
      <c r="AU86" s="12">
        <f>$I$24*$AU$24</f>
        <v>0</v>
      </c>
      <c r="AV86" s="12">
        <f>$I$24*$AV$24</f>
        <v>0</v>
      </c>
      <c r="AW86" s="12">
        <f>$I$24*$AW$24</f>
        <v>0</v>
      </c>
      <c r="AX86" s="12">
        <f>$I$24*$AX$24</f>
        <v>0</v>
      </c>
      <c r="AY86" s="12">
        <f>$I$24*$AY$24</f>
        <v>0</v>
      </c>
      <c r="AZ86" s="12">
        <f>$I$24*$AZ$24</f>
        <v>0</v>
      </c>
      <c r="BA86" s="12">
        <f>$I$24*$BA$24</f>
        <v>0</v>
      </c>
      <c r="BB86" s="12">
        <f>$I$24*$BB$24</f>
        <v>0</v>
      </c>
      <c r="BC86" s="12">
        <f>$I$24*$BC$24</f>
        <v>0</v>
      </c>
      <c r="BD86" s="12">
        <f>$I$24*$BD$24</f>
        <v>0</v>
      </c>
    </row>
    <row r="87" spans="1:56" ht="11.25" customHeight="1" x14ac:dyDescent="0.25">
      <c r="A87" s="9" t="s">
        <v>88</v>
      </c>
      <c r="B87" s="9" t="s">
        <v>1071</v>
      </c>
      <c r="C87" s="9" t="s">
        <v>1072</v>
      </c>
      <c r="D87" s="9" t="s">
        <v>1073</v>
      </c>
      <c r="E87" s="9" t="s">
        <v>1074</v>
      </c>
      <c r="F87" s="9" t="s">
        <v>1075</v>
      </c>
      <c r="G87" s="9" t="s">
        <v>1076</v>
      </c>
      <c r="L87" s="12">
        <f>$I$25*$L$25</f>
        <v>0</v>
      </c>
      <c r="M87" s="12">
        <f>$I$25*$M$25</f>
        <v>3.4970919596195223E-10</v>
      </c>
      <c r="N87" s="12">
        <f ca="1">$I$25*$N$25</f>
        <v>1.0329866845153205E-9</v>
      </c>
      <c r="O87" s="12">
        <f>$I$25*$O$25</f>
        <v>0</v>
      </c>
      <c r="P87" s="12">
        <f>$I$25*$P$25</f>
        <v>0</v>
      </c>
      <c r="Q87" s="12">
        <f>$I$25*$Q$25</f>
        <v>0</v>
      </c>
      <c r="R87" s="12">
        <f>$I$25*$R$25</f>
        <v>0</v>
      </c>
      <c r="S87" s="12">
        <f>$I$25*$S$25</f>
        <v>0</v>
      </c>
      <c r="T87" s="12">
        <f>$I$25*$T$25</f>
        <v>0</v>
      </c>
      <c r="U87" s="12">
        <f>$I$25*$U$25</f>
        <v>0</v>
      </c>
      <c r="V87" s="12">
        <f>$I$25*$V$25</f>
        <v>0</v>
      </c>
      <c r="W87" s="12">
        <f>$I$25*$W$25</f>
        <v>0</v>
      </c>
      <c r="X87" s="12">
        <f>$I$25*$X$25</f>
        <v>0</v>
      </c>
      <c r="Y87" s="12">
        <f>$I$25*$Y$25</f>
        <v>0</v>
      </c>
      <c r="Z87" s="12">
        <f>$I$25*$Z$25</f>
        <v>0</v>
      </c>
      <c r="AA87" s="12">
        <f>$I$25*$AA$25</f>
        <v>1.0399485622708516E-7</v>
      </c>
      <c r="AB87" s="12">
        <f ca="1">$I$25*$AB$25</f>
        <v>-8.9885634371447093E-9</v>
      </c>
      <c r="AC87" s="12">
        <f ca="1">$I$25*$AC$25</f>
        <v>0</v>
      </c>
      <c r="AD87" s="12">
        <f>$I$25*$AD$25</f>
        <v>0</v>
      </c>
      <c r="AE87" s="12">
        <f>$I$25*$AE$25</f>
        <v>0</v>
      </c>
      <c r="AF87" s="12">
        <f ca="1">$I$25*$AF$25</f>
        <v>0</v>
      </c>
      <c r="AG87" s="12">
        <f ca="1">$I$25*$AG$25</f>
        <v>0</v>
      </c>
      <c r="AI87" s="12">
        <f>$I$25*$AI$25</f>
        <v>0</v>
      </c>
      <c r="AJ87" s="12">
        <f>$I$25*$AJ$25</f>
        <v>3.6191393063027303E-10</v>
      </c>
      <c r="AK87" s="12">
        <f>$I$25*$AK$25</f>
        <v>1.10916087358425E-9</v>
      </c>
      <c r="AL87" s="12">
        <f>$I$25*$AL$25</f>
        <v>0</v>
      </c>
      <c r="AM87" s="12">
        <f>$I$25*$AM$25</f>
        <v>0</v>
      </c>
      <c r="AN87" s="12">
        <f>$I$25*$AN$25</f>
        <v>0</v>
      </c>
      <c r="AO87" s="12">
        <f>$I$25*$AO$25</f>
        <v>0</v>
      </c>
      <c r="AP87" s="12">
        <f>$I$25*$AP$25</f>
        <v>0</v>
      </c>
      <c r="AQ87" s="12">
        <f>$I$25*$AQ$25</f>
        <v>0</v>
      </c>
      <c r="AR87" s="12">
        <f>$I$25*$AR$25</f>
        <v>0</v>
      </c>
      <c r="AS87" s="12">
        <f>$I$25*$AS$25</f>
        <v>0</v>
      </c>
      <c r="AT87" s="12">
        <f>$I$25*$AT$25</f>
        <v>0</v>
      </c>
      <c r="AU87" s="12">
        <f>$I$25*$AU$25</f>
        <v>0</v>
      </c>
      <c r="AV87" s="12">
        <f>$I$25*$AV$25</f>
        <v>0</v>
      </c>
      <c r="AW87" s="12">
        <f>$I$25*$AW$25</f>
        <v>0</v>
      </c>
      <c r="AX87" s="12">
        <f>$I$25*$AX$25</f>
        <v>9.33175850015683E-8</v>
      </c>
      <c r="AY87" s="12">
        <f>$I$25*$AY$25</f>
        <v>0</v>
      </c>
      <c r="AZ87" s="12">
        <f>$I$25*$AZ$25</f>
        <v>0</v>
      </c>
      <c r="BA87" s="12">
        <f>$I$25*$BA$25</f>
        <v>0</v>
      </c>
      <c r="BB87" s="12">
        <f>$I$25*$BB$25</f>
        <v>0</v>
      </c>
      <c r="BC87" s="12">
        <f>$I$25*$BC$25</f>
        <v>0</v>
      </c>
      <c r="BD87" s="12">
        <f>$I$25*$BD$25</f>
        <v>0</v>
      </c>
    </row>
    <row r="88" spans="1:56" ht="11.25" customHeight="1" x14ac:dyDescent="0.25">
      <c r="A88" s="9" t="s">
        <v>88</v>
      </c>
      <c r="B88" s="9" t="s">
        <v>1071</v>
      </c>
      <c r="C88" s="9" t="s">
        <v>1072</v>
      </c>
      <c r="D88" s="9" t="s">
        <v>1073</v>
      </c>
      <c r="E88" s="9" t="s">
        <v>1077</v>
      </c>
      <c r="F88" s="9" t="s">
        <v>1078</v>
      </c>
      <c r="G88" s="9" t="s">
        <v>1079</v>
      </c>
      <c r="L88" s="12">
        <f>$I$26*$L$26</f>
        <v>0</v>
      </c>
      <c r="M88" s="12">
        <f>$I$26*$M$26</f>
        <v>3.4970919596195223E-10</v>
      </c>
      <c r="N88" s="12">
        <f ca="1">$I$26*$N$26</f>
        <v>1.0329866845153205E-9</v>
      </c>
      <c r="O88" s="12">
        <f>$I$26*$O$26</f>
        <v>0</v>
      </c>
      <c r="P88" s="12">
        <f>$I$26*$P$26</f>
        <v>0</v>
      </c>
      <c r="Q88" s="12">
        <f>$I$26*$Q$26</f>
        <v>0</v>
      </c>
      <c r="R88" s="12">
        <f>$I$26*$R$26</f>
        <v>0</v>
      </c>
      <c r="S88" s="12">
        <f>$I$26*$S$26</f>
        <v>0</v>
      </c>
      <c r="T88" s="12">
        <f>$I$26*$T$26</f>
        <v>0</v>
      </c>
      <c r="U88" s="12">
        <f>$I$26*$U$26</f>
        <v>0</v>
      </c>
      <c r="V88" s="12">
        <f>$I$26*$V$26</f>
        <v>0</v>
      </c>
      <c r="W88" s="12">
        <f>$I$26*$W$26</f>
        <v>0</v>
      </c>
      <c r="X88" s="12">
        <f>$I$26*$X$26</f>
        <v>0</v>
      </c>
      <c r="Y88" s="12">
        <f>$I$26*$Y$26</f>
        <v>0</v>
      </c>
      <c r="Z88" s="12">
        <f>$I$26*$Z$26</f>
        <v>0</v>
      </c>
      <c r="AA88" s="12">
        <f>$I$26*$AA$26</f>
        <v>1.8020683386998476E-7</v>
      </c>
      <c r="AB88" s="12">
        <f ca="1">$I$26*$AB$26</f>
        <v>-1.5489144175054119E-8</v>
      </c>
      <c r="AC88" s="12">
        <f ca="1">$I$26*$AC$26</f>
        <v>0</v>
      </c>
      <c r="AD88" s="12">
        <f>$I$26*$AD$26</f>
        <v>0</v>
      </c>
      <c r="AE88" s="12">
        <f>$I$26*$AE$26</f>
        <v>0</v>
      </c>
      <c r="AF88" s="12">
        <f ca="1">$I$26*$AF$26</f>
        <v>0</v>
      </c>
      <c r="AG88" s="12">
        <f ca="1">$I$26*$AG$26</f>
        <v>0</v>
      </c>
      <c r="AI88" s="12">
        <f>$I$26*$AI$26</f>
        <v>0</v>
      </c>
      <c r="AJ88" s="12">
        <f>$I$26*$AJ$26</f>
        <v>3.6191393063027303E-10</v>
      </c>
      <c r="AK88" s="12">
        <f>$I$26*$AK$26</f>
        <v>1.10916087358425E-9</v>
      </c>
      <c r="AL88" s="12">
        <f>$I$26*$AL$26</f>
        <v>0</v>
      </c>
      <c r="AM88" s="12">
        <f>$I$26*$AM$26</f>
        <v>0</v>
      </c>
      <c r="AN88" s="12">
        <f>$I$26*$AN$26</f>
        <v>0</v>
      </c>
      <c r="AO88" s="12">
        <f>$I$26*$AO$26</f>
        <v>0</v>
      </c>
      <c r="AP88" s="12">
        <f>$I$26*$AP$26</f>
        <v>0</v>
      </c>
      <c r="AQ88" s="12">
        <f>$I$26*$AQ$26</f>
        <v>0</v>
      </c>
      <c r="AR88" s="12">
        <f>$I$26*$AR$26</f>
        <v>0</v>
      </c>
      <c r="AS88" s="12">
        <f>$I$26*$AS$26</f>
        <v>0</v>
      </c>
      <c r="AT88" s="12">
        <f>$I$26*$AT$26</f>
        <v>0</v>
      </c>
      <c r="AU88" s="12">
        <f>$I$26*$AU$26</f>
        <v>0</v>
      </c>
      <c r="AV88" s="12">
        <f>$I$26*$AV$26</f>
        <v>0</v>
      </c>
      <c r="AW88" s="12">
        <f>$I$26*$AW$26</f>
        <v>0</v>
      </c>
      <c r="AX88" s="12">
        <f>$I$26*$AX$26</f>
        <v>1.6170479144473302E-7</v>
      </c>
      <c r="AY88" s="12">
        <f>$I$26*$AY$26</f>
        <v>0</v>
      </c>
      <c r="AZ88" s="12">
        <f>$I$26*$AZ$26</f>
        <v>0</v>
      </c>
      <c r="BA88" s="12">
        <f>$I$26*$BA$26</f>
        <v>0</v>
      </c>
      <c r="BB88" s="12">
        <f>$I$26*$BB$26</f>
        <v>0</v>
      </c>
      <c r="BC88" s="12">
        <f>$I$26*$BC$26</f>
        <v>0</v>
      </c>
      <c r="BD88" s="12">
        <f>$I$26*$BD$26</f>
        <v>0</v>
      </c>
    </row>
    <row r="89" spans="1:56" ht="11.25" customHeight="1" x14ac:dyDescent="0.25">
      <c r="A89" s="9" t="s">
        <v>22</v>
      </c>
      <c r="B89" s="9" t="s">
        <v>1080</v>
      </c>
      <c r="C89" s="9" t="s">
        <v>1081</v>
      </c>
      <c r="D89" s="9" t="s">
        <v>1082</v>
      </c>
      <c r="E89" s="9" t="s">
        <v>1083</v>
      </c>
      <c r="F89" s="9" t="s">
        <v>1084</v>
      </c>
      <c r="G89" s="9" t="s">
        <v>1085</v>
      </c>
      <c r="L89" s="12">
        <f>$I$27*$L$27</f>
        <v>13.547763648161876</v>
      </c>
      <c r="M89" s="12">
        <f>$I$27*$M$27</f>
        <v>5.447664778870914</v>
      </c>
      <c r="N89" s="12">
        <f ca="1">$I$27*$N$27</f>
        <v>56.09607353416505</v>
      </c>
      <c r="O89" s="12">
        <f>$I$27*$O$27</f>
        <v>0.26052215990998046</v>
      </c>
      <c r="P89" s="12">
        <f>$I$27*$P$27</f>
        <v>0</v>
      </c>
      <c r="Q89" s="12">
        <f>$I$27*$Q$27</f>
        <v>242.15203270750987</v>
      </c>
      <c r="R89" s="12">
        <f>$I$27*$R$27</f>
        <v>99.925006466607741</v>
      </c>
      <c r="S89" s="12">
        <f>$I$27*$S$27</f>
        <v>0</v>
      </c>
      <c r="T89" s="12">
        <f>$I$27*$T$27</f>
        <v>399.83157841452663</v>
      </c>
      <c r="U89" s="12">
        <f>$I$27*$U$27</f>
        <v>109.0265099006061</v>
      </c>
      <c r="V89" s="12">
        <f>$I$27*$V$27</f>
        <v>9.2146997919225644</v>
      </c>
      <c r="W89" s="12">
        <f>$I$27*$W$27</f>
        <v>0</v>
      </c>
      <c r="X89" s="12">
        <f>$I$27*$X$27</f>
        <v>384.61811969118742</v>
      </c>
      <c r="Y89" s="12">
        <f>$I$27*$Y$27</f>
        <v>0</v>
      </c>
      <c r="Z89" s="12">
        <f>$I$27*$Z$27</f>
        <v>0</v>
      </c>
      <c r="AA89" s="12">
        <f>$I$27*$AA$27</f>
        <v>4309.7259197126878</v>
      </c>
      <c r="AB89" s="12">
        <f ca="1">$I$27*$AB$27</f>
        <v>-489.95456638510092</v>
      </c>
      <c r="AC89" s="12">
        <f ca="1">$I$27*$AC$27</f>
        <v>0</v>
      </c>
      <c r="AD89" s="12">
        <f>$I$27*$AD$27</f>
        <v>128.01124298337999</v>
      </c>
      <c r="AE89" s="12">
        <f>$I$27*$AE$27</f>
        <v>3.0181556684888222</v>
      </c>
      <c r="AF89" s="12">
        <f ca="1">$I$27*$AF$27</f>
        <v>20.069382534835309</v>
      </c>
      <c r="AG89" s="12">
        <f ca="1">$I$27*$AG$27</f>
        <v>0</v>
      </c>
      <c r="AI89" s="12">
        <f>$I$27*$AI$27</f>
        <v>0</v>
      </c>
      <c r="AJ89" s="12">
        <f>$I$27*$AJ$27</f>
        <v>5.0950282250082184</v>
      </c>
      <c r="AK89" s="12">
        <f>$I$27*$AK$27</f>
        <v>60.238461207003887</v>
      </c>
      <c r="AL89" s="12">
        <f>$I$27*$AL$27</f>
        <v>0.32104401204887989</v>
      </c>
      <c r="AM89" s="12">
        <f>$I$27*$AM$27</f>
        <v>0</v>
      </c>
      <c r="AN89" s="12">
        <f>$I$27*$AN$27</f>
        <v>194.29175535788679</v>
      </c>
      <c r="AO89" s="12">
        <f>$I$27*$AO$27</f>
        <v>66.284735754605947</v>
      </c>
      <c r="AP89" s="12">
        <f>$I$27*$AP$27</f>
        <v>0</v>
      </c>
      <c r="AQ89" s="12">
        <f>$I$27*$AQ$27</f>
        <v>430.3647635887387</v>
      </c>
      <c r="AR89" s="12">
        <f>$I$27*$AR$27</f>
        <v>158.40701202584006</v>
      </c>
      <c r="AS89" s="12">
        <f>$I$27*$AS$27</f>
        <v>12.950834370615233</v>
      </c>
      <c r="AT89" s="12">
        <f>$I$27*$AT$27</f>
        <v>0</v>
      </c>
      <c r="AU89" s="12">
        <f>$I$27*$AU$27</f>
        <v>464.10473507361365</v>
      </c>
      <c r="AV89" s="12">
        <f>$I$27*$AV$27</f>
        <v>0</v>
      </c>
      <c r="AW89" s="12">
        <f>$I$27*$AW$27</f>
        <v>0</v>
      </c>
      <c r="AX89" s="12">
        <f>$I$27*$AX$27</f>
        <v>3867.2414140181859</v>
      </c>
      <c r="AY89" s="12">
        <f>$I$27*$AY$27</f>
        <v>0</v>
      </c>
      <c r="AZ89" s="12">
        <f>$I$27*$AZ$27</f>
        <v>0</v>
      </c>
      <c r="BA89" s="12">
        <f>$I$27*$BA$27</f>
        <v>117.38797879137371</v>
      </c>
      <c r="BB89" s="12">
        <f>$I$27*$BB$27</f>
        <v>2.8696260896509616</v>
      </c>
      <c r="BC89" s="12">
        <f>$I$27*$BC$27</f>
        <v>18.903265170220834</v>
      </c>
      <c r="BD89" s="12">
        <f>$I$27*$BD$27</f>
        <v>0</v>
      </c>
    </row>
    <row r="90" spans="1:56" ht="11.25" customHeight="1" x14ac:dyDescent="0.25">
      <c r="A90" s="9" t="s">
        <v>22</v>
      </c>
      <c r="B90" s="9" t="s">
        <v>1080</v>
      </c>
      <c r="C90" s="9" t="s">
        <v>1081</v>
      </c>
      <c r="D90" s="9" t="s">
        <v>1082</v>
      </c>
      <c r="E90" s="9" t="s">
        <v>1083</v>
      </c>
      <c r="F90" s="9" t="s">
        <v>1084</v>
      </c>
      <c r="G90" s="9" t="s">
        <v>1086</v>
      </c>
      <c r="L90" s="12">
        <f>$I$28*$L$28</f>
        <v>9.0174978946038475</v>
      </c>
      <c r="M90" s="12">
        <f>$I$28*$M$28</f>
        <v>3.6260084652894764</v>
      </c>
      <c r="N90" s="12">
        <f ca="1">$I$28*$N$28</f>
        <v>23.251323855110414</v>
      </c>
      <c r="O90" s="12">
        <f>$I$28*$O$28</f>
        <v>0.17340559589734478</v>
      </c>
      <c r="P90" s="12">
        <f>$I$28*$P$28</f>
        <v>0</v>
      </c>
      <c r="Q90" s="12">
        <f>$I$28*$Q$28</f>
        <v>161.17829494392441</v>
      </c>
      <c r="R90" s="12">
        <f>$I$28*$R$28</f>
        <v>66.510869161285257</v>
      </c>
      <c r="S90" s="12">
        <f>$I$28*$S$28</f>
        <v>0</v>
      </c>
      <c r="T90" s="12">
        <f>$I$28*$T$28</f>
        <v>159.67862343265676</v>
      </c>
      <c r="U90" s="12">
        <f>$I$28*$U$28</f>
        <v>43.541417065305573</v>
      </c>
      <c r="V90" s="12">
        <f>$I$28*$V$28</f>
        <v>3.6798774628474189</v>
      </c>
      <c r="W90" s="12">
        <f>$I$28*$W$28</f>
        <v>0</v>
      </c>
      <c r="X90" s="12">
        <f>$I$28*$X$28</f>
        <v>153.60280476349254</v>
      </c>
      <c r="Y90" s="12">
        <f>$I$28*$Y$28</f>
        <v>0</v>
      </c>
      <c r="Z90" s="12">
        <f>$I$28*$Z$28</f>
        <v>0</v>
      </c>
      <c r="AA90" s="12">
        <f>$I$28*$AA$28</f>
        <v>1721.1522352914014</v>
      </c>
      <c r="AB90" s="12">
        <f ca="1">$I$28*$AB$28</f>
        <v>-207.11175473120872</v>
      </c>
      <c r="AC90" s="12">
        <f ca="1">$I$28*$AC$28</f>
        <v>0</v>
      </c>
      <c r="AD90" s="12">
        <f>$I$28*$AD$28</f>
        <v>85.205288789110853</v>
      </c>
      <c r="AE90" s="12">
        <f>$I$28*$AE$28</f>
        <v>2.008908118933507</v>
      </c>
      <c r="AF90" s="12">
        <f ca="1">$I$28*$AF$28</f>
        <v>13.358338649377819</v>
      </c>
      <c r="AG90" s="12">
        <f ca="1">$I$28*$AG$28</f>
        <v>0</v>
      </c>
      <c r="AI90" s="12">
        <f>$I$28*$AI$28</f>
        <v>0</v>
      </c>
      <c r="AJ90" s="12">
        <f>$I$28*$AJ$28</f>
        <v>3.3912908052682478</v>
      </c>
      <c r="AK90" s="12">
        <f>$I$28*$AK$28</f>
        <v>24.969755197656081</v>
      </c>
      <c r="AL90" s="12">
        <f>$I$28*$AL$28</f>
        <v>0.21368941604755071</v>
      </c>
      <c r="AM90" s="12">
        <f>$I$28*$AM$28</f>
        <v>0</v>
      </c>
      <c r="AN90" s="12">
        <f>$I$28*$AN$28</f>
        <v>129.32211842331188</v>
      </c>
      <c r="AO90" s="12">
        <f>$I$28*$AO$28</f>
        <v>44.119640749167402</v>
      </c>
      <c r="AP90" s="12">
        <f>$I$28*$AP$28</f>
        <v>0</v>
      </c>
      <c r="AQ90" s="12">
        <f>$I$28*$AQ$28</f>
        <v>171.87250015686561</v>
      </c>
      <c r="AR90" s="12">
        <f>$I$28*$AR$28</f>
        <v>63.262281650342523</v>
      </c>
      <c r="AS90" s="12">
        <f>$I$28*$AS$28</f>
        <v>5.1718975768773792</v>
      </c>
      <c r="AT90" s="12">
        <f>$I$28*$AT$28</f>
        <v>0</v>
      </c>
      <c r="AU90" s="12">
        <f>$I$28*$AU$28</f>
        <v>185.34693339087153</v>
      </c>
      <c r="AV90" s="12">
        <f>$I$28*$AV$28</f>
        <v>0</v>
      </c>
      <c r="AW90" s="12">
        <f>$I$28*$AW$28</f>
        <v>0</v>
      </c>
      <c r="AX90" s="12">
        <f>$I$28*$AX$28</f>
        <v>1544.4395602290697</v>
      </c>
      <c r="AY90" s="12">
        <f>$I$28*$AY$28</f>
        <v>0</v>
      </c>
      <c r="AZ90" s="12">
        <f>$I$28*$AZ$28</f>
        <v>0</v>
      </c>
      <c r="BA90" s="12">
        <f>$I$28*$BA$28</f>
        <v>78.134360702892394</v>
      </c>
      <c r="BB90" s="12">
        <f>$I$28*$BB$28</f>
        <v>1.9100456646391759</v>
      </c>
      <c r="BC90" s="12">
        <f>$I$28*$BC$28</f>
        <v>12.582161772266538</v>
      </c>
      <c r="BD90" s="12">
        <f>$I$28*$BD$28</f>
        <v>0</v>
      </c>
    </row>
    <row r="91" spans="1:56" ht="11.25" customHeight="1" x14ac:dyDescent="0.25">
      <c r="A91" s="9" t="s">
        <v>22</v>
      </c>
      <c r="B91" s="9" t="s">
        <v>1080</v>
      </c>
      <c r="C91" s="9" t="s">
        <v>1081</v>
      </c>
      <c r="D91" s="9" t="s">
        <v>1082</v>
      </c>
      <c r="E91" s="9" t="s">
        <v>1083</v>
      </c>
      <c r="F91" s="9" t="s">
        <v>1084</v>
      </c>
      <c r="G91" s="9" t="s">
        <v>1087</v>
      </c>
      <c r="L91" s="12">
        <f>$I$29*$L$29</f>
        <v>143.07111301672771</v>
      </c>
      <c r="M91" s="12">
        <f>$I$29*$M$29</f>
        <v>57.53004580655162</v>
      </c>
      <c r="N91" s="12">
        <f ca="1">$I$29*$N$29</f>
        <v>145.40615891467812</v>
      </c>
      <c r="O91" s="12">
        <f>$I$29*$O$29</f>
        <v>2.7512434045821248</v>
      </c>
      <c r="P91" s="12">
        <f>$I$29*$P$29</f>
        <v>0</v>
      </c>
      <c r="Q91" s="12">
        <f>$I$29*$Q$29</f>
        <v>2557.2457372643216</v>
      </c>
      <c r="R91" s="12">
        <f>$I$29*$R$29</f>
        <v>1055.2576989576417</v>
      </c>
      <c r="S91" s="12">
        <f>$I$29*$S$29</f>
        <v>0</v>
      </c>
      <c r="T91" s="12">
        <f>$I$29*$T$29</f>
        <v>844.48401121557345</v>
      </c>
      <c r="U91" s="12">
        <f>$I$29*$U$29</f>
        <v>230.27723917206606</v>
      </c>
      <c r="V91" s="12">
        <f>$I$29*$V$29</f>
        <v>19.46353913429839</v>
      </c>
      <c r="W91" s="12">
        <f>$I$29*$W$29</f>
        <v>0</v>
      </c>
      <c r="X91" s="12">
        <f>$I$29*$X$29</f>
        <v>812.34849887412167</v>
      </c>
      <c r="Y91" s="12">
        <f>$I$29*$Y$29</f>
        <v>0</v>
      </c>
      <c r="Z91" s="12">
        <f>$I$29*$Z$29</f>
        <v>0</v>
      </c>
      <c r="AA91" s="12">
        <f>$I$29*$AA$29</f>
        <v>9102.5709848303395</v>
      </c>
      <c r="AB91" s="12">
        <f ca="1">$I$29*$AB$29</f>
        <v>-1397.8845204712086</v>
      </c>
      <c r="AC91" s="12">
        <f ca="1">$I$29*$AC$29</f>
        <v>0</v>
      </c>
      <c r="AD91" s="12">
        <f>$I$29*$AD$29</f>
        <v>1351.8623064236763</v>
      </c>
      <c r="AE91" s="12">
        <f>$I$29*$AE$29</f>
        <v>31.873222914324209</v>
      </c>
      <c r="AF91" s="12">
        <f ca="1">$I$29*$AF$29</f>
        <v>211.94264761231946</v>
      </c>
      <c r="AG91" s="12">
        <f ca="1">$I$29*$AG$29</f>
        <v>0</v>
      </c>
      <c r="AI91" s="12">
        <f>$I$29*$AI$29</f>
        <v>0</v>
      </c>
      <c r="AJ91" s="12">
        <f>$I$29*$AJ$29</f>
        <v>53.806028650527168</v>
      </c>
      <c r="AK91" s="12">
        <f>$I$29*$AK$29</f>
        <v>156.18956981123429</v>
      </c>
      <c r="AL91" s="12">
        <f>$I$29*$AL$29</f>
        <v>3.3903842231127892</v>
      </c>
      <c r="AM91" s="12">
        <f>$I$29*$AM$29</f>
        <v>0</v>
      </c>
      <c r="AN91" s="12">
        <f>$I$29*$AN$29</f>
        <v>2051.817437248998</v>
      </c>
      <c r="AO91" s="12">
        <f>$I$29*$AO$29</f>
        <v>699.99973181683367</v>
      </c>
      <c r="AP91" s="12">
        <f>$I$29*$AP$29</f>
        <v>0</v>
      </c>
      <c r="AQ91" s="12">
        <f>$I$29*$AQ$29</f>
        <v>908.97313134298395</v>
      </c>
      <c r="AR91" s="12">
        <f>$I$29*$AR$29</f>
        <v>334.57486099538016</v>
      </c>
      <c r="AS91" s="12">
        <f>$I$29*$AS$29</f>
        <v>27.355104049645274</v>
      </c>
      <c r="AT91" s="12">
        <f>$I$29*$AT$29</f>
        <v>0</v>
      </c>
      <c r="AU91" s="12">
        <f>$I$29*$AU$29</f>
        <v>980.23147001011932</v>
      </c>
      <c r="AV91" s="12">
        <f>$I$29*$AV$29</f>
        <v>0</v>
      </c>
      <c r="AW91" s="12">
        <f>$I$29*$AW$29</f>
        <v>0</v>
      </c>
      <c r="AX91" s="12">
        <f>$I$29*$AX$29</f>
        <v>8167.9995763913694</v>
      </c>
      <c r="AY91" s="12">
        <f>$I$29*$AY$29</f>
        <v>0</v>
      </c>
      <c r="AZ91" s="12">
        <f>$I$29*$AZ$29</f>
        <v>0</v>
      </c>
      <c r="BA91" s="12">
        <f>$I$29*$BA$29</f>
        <v>1239.675360201943</v>
      </c>
      <c r="BB91" s="12">
        <f>$I$29*$BB$29</f>
        <v>30.304676790246994</v>
      </c>
      <c r="BC91" s="12">
        <f>$I$29*$BC$29</f>
        <v>199.62786905577428</v>
      </c>
      <c r="BD91" s="12">
        <f>$I$29*$BD$29</f>
        <v>0</v>
      </c>
    </row>
    <row r="92" spans="1:56" ht="11.25" customHeight="1" x14ac:dyDescent="0.25">
      <c r="A92" s="9" t="s">
        <v>22</v>
      </c>
      <c r="B92" s="9" t="s">
        <v>1088</v>
      </c>
      <c r="C92" s="9" t="s">
        <v>1089</v>
      </c>
      <c r="D92" s="9" t="s">
        <v>1090</v>
      </c>
      <c r="E92" s="9" t="s">
        <v>1091</v>
      </c>
      <c r="F92" s="9" t="s">
        <v>1092</v>
      </c>
      <c r="G92" s="9" t="s">
        <v>1093</v>
      </c>
      <c r="L92" s="12">
        <f>$I$30*$L$30</f>
        <v>423547.85442284623</v>
      </c>
      <c r="M92" s="12">
        <f>$I$30*$M$30</f>
        <v>170312.0004620644</v>
      </c>
      <c r="N92" s="12">
        <f ca="1">$I$30*$N$30</f>
        <v>616547.4606488999</v>
      </c>
      <c r="O92" s="12">
        <f>$I$30*$O$30</f>
        <v>8144.7835026594221</v>
      </c>
      <c r="P92" s="12">
        <f>$I$30*$P$30</f>
        <v>0</v>
      </c>
      <c r="Q92" s="12">
        <f>$I$30*$Q$30</f>
        <v>7570472.6300943522</v>
      </c>
      <c r="R92" s="12">
        <f>$I$30*$R$30</f>
        <v>3123985.8615235747</v>
      </c>
      <c r="S92" s="12">
        <f>$I$30*$S$30</f>
        <v>0</v>
      </c>
      <c r="T92" s="12">
        <f>$I$30*$T$30</f>
        <v>3906253.3426839234</v>
      </c>
      <c r="U92" s="12">
        <f>$I$30*$U$30</f>
        <v>1065160.8132549855</v>
      </c>
      <c r="V92" s="12">
        <f>$I$30*$V$30</f>
        <v>90029.971514611068</v>
      </c>
      <c r="W92" s="12">
        <f>$I$30*$W$30</f>
        <v>0</v>
      </c>
      <c r="X92" s="12">
        <f>$I$30*$X$30</f>
        <v>3757623.6297359806</v>
      </c>
      <c r="Y92" s="12">
        <f>$I$30*$Y$30</f>
        <v>0</v>
      </c>
      <c r="Z92" s="12">
        <f>$I$30*$Z$30</f>
        <v>0</v>
      </c>
      <c r="AA92" s="12">
        <f>$I$30*$AA$30</f>
        <v>42105076.954283066</v>
      </c>
      <c r="AB92" s="12">
        <f ca="1">$I$30*$AB$30</f>
        <v>-5710384.382264046</v>
      </c>
      <c r="AC92" s="12">
        <f ca="1">$I$30*$AC$30</f>
        <v>0</v>
      </c>
      <c r="AD92" s="12">
        <f>$I$30*$AD$30</f>
        <v>4002054.4139747</v>
      </c>
      <c r="AE92" s="12">
        <f>$I$30*$AE$30</f>
        <v>94357.518399432112</v>
      </c>
      <c r="AF92" s="12">
        <f ca="1">$I$30*$AF$30</f>
        <v>627435.20871609997</v>
      </c>
      <c r="AG92" s="12">
        <f ca="1">$I$30*$AG$30</f>
        <v>0</v>
      </c>
      <c r="AI92" s="12">
        <f>$I$30*$AI$30</f>
        <v>0</v>
      </c>
      <c r="AJ92" s="12">
        <f>$I$30*$AJ$30</f>
        <v>159287.41665188878</v>
      </c>
      <c r="AK92" s="12">
        <f>$I$30*$AK$30</f>
        <v>662193.04612729407</v>
      </c>
      <c r="AL92" s="12">
        <f>$I$30*$AL$30</f>
        <v>10036.89656905511</v>
      </c>
      <c r="AM92" s="12">
        <f>$I$30*$AM$30</f>
        <v>0</v>
      </c>
      <c r="AN92" s="12">
        <f>$I$30*$AN$30</f>
        <v>6074202.2263612952</v>
      </c>
      <c r="AO92" s="12">
        <f>$I$30*$AO$30</f>
        <v>2072279.8492028445</v>
      </c>
      <c r="AP92" s="12">
        <f>$I$30*$AP$30</f>
        <v>0</v>
      </c>
      <c r="AQ92" s="12">
        <f>$I$30*$AQ$30</f>
        <v>4204554.8353336528</v>
      </c>
      <c r="AR92" s="12">
        <f>$I$30*$AR$30</f>
        <v>1547595.5518392522</v>
      </c>
      <c r="AS92" s="12">
        <f>$I$30*$AS$30</f>
        <v>126532.96100856148</v>
      </c>
      <c r="AT92" s="12">
        <f>$I$30*$AT$30</f>
        <v>0</v>
      </c>
      <c r="AU92" s="12">
        <f>$I$30*$AU$30</f>
        <v>4534188.1463753823</v>
      </c>
      <c r="AV92" s="12">
        <f>$I$30*$AV$30</f>
        <v>0</v>
      </c>
      <c r="AW92" s="12">
        <f>$I$30*$AW$30</f>
        <v>0</v>
      </c>
      <c r="AX92" s="12">
        <f>$I$30*$AX$30</f>
        <v>37782100.386764586</v>
      </c>
      <c r="AY92" s="12">
        <f>$I$30*$AY$30</f>
        <v>0</v>
      </c>
      <c r="AZ92" s="12">
        <f>$I$30*$AZ$30</f>
        <v>0</v>
      </c>
      <c r="BA92" s="12">
        <f>$I$30*$BA$30</f>
        <v>3669936.0753069166</v>
      </c>
      <c r="BB92" s="12">
        <f>$I$30*$BB$30</f>
        <v>89713.993012595281</v>
      </c>
      <c r="BC92" s="12">
        <f>$I$30*$BC$30</f>
        <v>590978.52696296817</v>
      </c>
      <c r="BD92" s="12">
        <f>$I$30*$BD$30</f>
        <v>0</v>
      </c>
    </row>
    <row r="93" spans="1:56" ht="11.25" customHeight="1" x14ac:dyDescent="0.25">
      <c r="A93" s="9" t="s">
        <v>22</v>
      </c>
      <c r="B93" s="9" t="s">
        <v>1088</v>
      </c>
      <c r="C93" s="9" t="s">
        <v>1089</v>
      </c>
      <c r="D93" s="9" t="s">
        <v>1094</v>
      </c>
      <c r="E93" s="9" t="s">
        <v>1095</v>
      </c>
      <c r="F93" s="9" t="s">
        <v>1096</v>
      </c>
      <c r="G93" s="9" t="s">
        <v>1097</v>
      </c>
      <c r="L93" s="12">
        <f>$I$31*$L$31</f>
        <v>0</v>
      </c>
      <c r="M93" s="12">
        <f>$I$31*$M$31</f>
        <v>5616.5324371228371</v>
      </c>
      <c r="N93" s="12">
        <f ca="1">$I$31*$N$31</f>
        <v>20248.810798387603</v>
      </c>
      <c r="O93" s="12">
        <f>$I$31*$O$31</f>
        <v>268.59787103621636</v>
      </c>
      <c r="P93" s="12">
        <f>$I$31*$P$31</f>
        <v>0</v>
      </c>
      <c r="Q93" s="12">
        <f>$I$31*$Q$31</f>
        <v>0</v>
      </c>
      <c r="R93" s="12">
        <f>$I$31*$R$31</f>
        <v>0</v>
      </c>
      <c r="S93" s="12">
        <f>$I$31*$S$31</f>
        <v>0</v>
      </c>
      <c r="T93" s="12">
        <f>$I$31*$T$31</f>
        <v>128820.03938231368</v>
      </c>
      <c r="U93" s="12">
        <f>$I$31*$U$31</f>
        <v>35126.768766545734</v>
      </c>
      <c r="V93" s="12">
        <f>$I$31*$V$31</f>
        <v>2968.9995652284574</v>
      </c>
      <c r="W93" s="12">
        <f>$I$31*$W$31</f>
        <v>0</v>
      </c>
      <c r="X93" s="12">
        <f>$I$31*$X$31</f>
        <v>123918.54329497063</v>
      </c>
      <c r="Y93" s="12">
        <f>$I$31*$Y$31</f>
        <v>0</v>
      </c>
      <c r="Z93" s="12">
        <f>$I$31*$Z$31</f>
        <v>0</v>
      </c>
      <c r="AA93" s="12">
        <f>$I$31*$AA$31</f>
        <v>1388537.0956813993</v>
      </c>
      <c r="AB93" s="12">
        <f ca="1">$I$31*$AB$31</f>
        <v>-156705.12979321895</v>
      </c>
      <c r="AC93" s="12">
        <f ca="1">$I$31*$AC$31</f>
        <v>0</v>
      </c>
      <c r="AD93" s="12">
        <f>$I$31*$AD$31</f>
        <v>131979.35770959512</v>
      </c>
      <c r="AE93" s="12">
        <f>$I$31*$AE$31</f>
        <v>3111.7129816983743</v>
      </c>
      <c r="AF93" s="12">
        <f ca="1">$I$31*$AF$31</f>
        <v>20691.496737670324</v>
      </c>
      <c r="AG93" s="12">
        <f ca="1">$I$31*$AG$31</f>
        <v>0</v>
      </c>
      <c r="AI93" s="12">
        <f>$I$31*$AI$31</f>
        <v>0</v>
      </c>
      <c r="AJ93" s="12">
        <f>$I$31*$AJ$31</f>
        <v>5252.9647941638004</v>
      </c>
      <c r="AK93" s="12">
        <f>$I$31*$AK$31</f>
        <v>21747.939355931936</v>
      </c>
      <c r="AL93" s="12">
        <f>$I$31*$AL$31</f>
        <v>330.99579005122115</v>
      </c>
      <c r="AM93" s="12">
        <f>$I$31*$AM$31</f>
        <v>0</v>
      </c>
      <c r="AN93" s="12">
        <f>$I$31*$AN$31</f>
        <v>0</v>
      </c>
      <c r="AO93" s="12">
        <f>$I$31*$AO$31</f>
        <v>0</v>
      </c>
      <c r="AP93" s="12">
        <f>$I$31*$AP$31</f>
        <v>0</v>
      </c>
      <c r="AQ93" s="12">
        <f>$I$31*$AQ$31</f>
        <v>138657.39673214158</v>
      </c>
      <c r="AR93" s="12">
        <f>$I$31*$AR$31</f>
        <v>51036.454230295203</v>
      </c>
      <c r="AS93" s="12">
        <f>$I$31*$AS$31</f>
        <v>4172.7915704218558</v>
      </c>
      <c r="AT93" s="12">
        <f>$I$31*$AT$31</f>
        <v>0</v>
      </c>
      <c r="AU93" s="12">
        <f>$I$31*$AU$31</f>
        <v>149528.01171405171</v>
      </c>
      <c r="AV93" s="12">
        <f>$I$31*$AV$31</f>
        <v>0</v>
      </c>
      <c r="AW93" s="12">
        <f>$I$31*$AW$31</f>
        <v>0</v>
      </c>
      <c r="AX93" s="12">
        <f>$I$31*$AX$31</f>
        <v>1245974.3986869648</v>
      </c>
      <c r="AY93" s="12">
        <f>$I$31*$AY$31</f>
        <v>0</v>
      </c>
      <c r="AZ93" s="12">
        <f>$I$31*$AZ$31</f>
        <v>0</v>
      </c>
      <c r="BA93" s="12">
        <f>$I$31*$BA$31</f>
        <v>121026.79173050873</v>
      </c>
      <c r="BB93" s="12">
        <f>$I$31*$BB$31</f>
        <v>2958.5792571985462</v>
      </c>
      <c r="BC93" s="12">
        <f>$I$31*$BC$31</f>
        <v>19489.231864609061</v>
      </c>
      <c r="BD93" s="12">
        <f>$I$31*$BD$31</f>
        <v>0</v>
      </c>
    </row>
    <row r="94" spans="1:56" ht="11.25" customHeight="1" x14ac:dyDescent="0.25">
      <c r="A94" s="9" t="s">
        <v>22</v>
      </c>
      <c r="B94" s="9" t="s">
        <v>1088</v>
      </c>
      <c r="C94" s="9" t="s">
        <v>1089</v>
      </c>
      <c r="D94" s="9" t="s">
        <v>1098</v>
      </c>
      <c r="E94" s="9" t="s">
        <v>1099</v>
      </c>
      <c r="F94" s="9" t="s">
        <v>1100</v>
      </c>
      <c r="G94" s="9" t="s">
        <v>1101</v>
      </c>
      <c r="L94" s="12">
        <f>$I$32*$L$32</f>
        <v>0</v>
      </c>
      <c r="M94" s="12">
        <f>$I$32*$M$32</f>
        <v>15435.353606439106</v>
      </c>
      <c r="N94" s="12">
        <f ca="1">$I$32*$N$32</f>
        <v>55647.778817619183</v>
      </c>
      <c r="O94" s="12">
        <f>$I$32*$O$32</f>
        <v>738.16062914158783</v>
      </c>
      <c r="P94" s="12">
        <f>$I$32*$P$32</f>
        <v>0</v>
      </c>
      <c r="Q94" s="12">
        <f>$I$32*$Q$32</f>
        <v>0</v>
      </c>
      <c r="R94" s="12">
        <f>$I$32*$R$32</f>
        <v>0</v>
      </c>
      <c r="S94" s="12">
        <f>$I$32*$S$32</f>
        <v>0</v>
      </c>
      <c r="T94" s="12">
        <f>$I$32*$T$32</f>
        <v>354023.21302714781</v>
      </c>
      <c r="U94" s="12">
        <f>$I$32*$U$32</f>
        <v>96535.380687839919</v>
      </c>
      <c r="V94" s="12">
        <f>$I$32*$V$32</f>
        <v>8159.4041625692362</v>
      </c>
      <c r="W94" s="12">
        <f>$I$32*$W$32</f>
        <v>0</v>
      </c>
      <c r="X94" s="12">
        <f>$I$32*$X$32</f>
        <v>340552.9222105823</v>
      </c>
      <c r="Y94" s="12">
        <f>$I$32*$Y$32</f>
        <v>0</v>
      </c>
      <c r="Z94" s="12">
        <f>$I$32*$Z$32</f>
        <v>0</v>
      </c>
      <c r="AA94" s="12">
        <f>$I$32*$AA$32</f>
        <v>3815977.4393610661</v>
      </c>
      <c r="AB94" s="12">
        <f ca="1">$I$32*$AB$32</f>
        <v>-430657.01433754049</v>
      </c>
      <c r="AC94" s="12">
        <f ca="1">$I$32*$AC$32</f>
        <v>0</v>
      </c>
      <c r="AD94" s="12">
        <f>$I$32*$AD$32</f>
        <v>362705.65118321998</v>
      </c>
      <c r="AE94" s="12">
        <f>$I$32*$AE$32</f>
        <v>8551.6091524374369</v>
      </c>
      <c r="AF94" s="12">
        <f ca="1">$I$32*$AF$32</f>
        <v>56864.36824996434</v>
      </c>
      <c r="AG94" s="12">
        <f ca="1">$I$32*$AG$32</f>
        <v>0</v>
      </c>
      <c r="AI94" s="12">
        <f>$I$32*$AI$32</f>
        <v>0</v>
      </c>
      <c r="AJ94" s="12">
        <f>$I$32*$AJ$32</f>
        <v>14436.197064256447</v>
      </c>
      <c r="AK94" s="12">
        <f>$I$32*$AK$32</f>
        <v>59767.683695986125</v>
      </c>
      <c r="AL94" s="12">
        <f>$I$32*$AL$32</f>
        <v>909.64258087690541</v>
      </c>
      <c r="AM94" s="12">
        <f>$I$32*$AM$32</f>
        <v>0</v>
      </c>
      <c r="AN94" s="12">
        <f>$I$32*$AN$32</f>
        <v>0</v>
      </c>
      <c r="AO94" s="12">
        <f>$I$32*$AO$32</f>
        <v>0</v>
      </c>
      <c r="AP94" s="12">
        <f>$I$32*$AP$32</f>
        <v>0</v>
      </c>
      <c r="AQ94" s="12">
        <f>$I$32*$AQ$32</f>
        <v>381058.23702948022</v>
      </c>
      <c r="AR94" s="12">
        <f>$I$32*$AR$32</f>
        <v>140258.37590764445</v>
      </c>
      <c r="AS94" s="12">
        <f>$I$32*$AS$32</f>
        <v>11467.66517179129</v>
      </c>
      <c r="AT94" s="12">
        <f>$I$32*$AT$32</f>
        <v>0</v>
      </c>
      <c r="AU94" s="12">
        <f>$I$32*$AU$32</f>
        <v>410932.85950227251</v>
      </c>
      <c r="AV94" s="12">
        <f>$I$32*$AV$32</f>
        <v>0</v>
      </c>
      <c r="AW94" s="12">
        <f>$I$32*$AW$32</f>
        <v>0</v>
      </c>
      <c r="AX94" s="12">
        <f>$I$32*$AX$32</f>
        <v>3424186.6567329164</v>
      </c>
      <c r="AY94" s="12">
        <f>$I$32*$AY$32</f>
        <v>0</v>
      </c>
      <c r="AZ94" s="12">
        <f>$I$32*$AZ$32</f>
        <v>0</v>
      </c>
      <c r="BA94" s="12">
        <f>$I$32*$BA$32</f>
        <v>332605.81099220359</v>
      </c>
      <c r="BB94" s="12">
        <f>$I$32*$BB$32</f>
        <v>8130.7670735947986</v>
      </c>
      <c r="BC94" s="12">
        <f>$I$32*$BC$32</f>
        <v>53560.304105040239</v>
      </c>
      <c r="BD94" s="12">
        <f>$I$32*$BD$32</f>
        <v>0</v>
      </c>
    </row>
    <row r="95" spans="1:56" ht="11.25" customHeight="1" x14ac:dyDescent="0.25">
      <c r="A95" s="9" t="s">
        <v>22</v>
      </c>
      <c r="B95" s="9" t="s">
        <v>1088</v>
      </c>
      <c r="C95" s="9" t="s">
        <v>1089</v>
      </c>
      <c r="D95" s="9" t="s">
        <v>1102</v>
      </c>
      <c r="E95" s="9" t="s">
        <v>1103</v>
      </c>
      <c r="F95" s="9" t="s">
        <v>1104</v>
      </c>
      <c r="G95" s="9" t="s">
        <v>1105</v>
      </c>
      <c r="L95" s="12">
        <f>$I$33*$L$33</f>
        <v>0</v>
      </c>
      <c r="M95" s="12">
        <f>$I$33*$M$33</f>
        <v>9353.5647589408054</v>
      </c>
      <c r="N95" s="12">
        <f ca="1">$I$33*$N$33</f>
        <v>33721.618314249587</v>
      </c>
      <c r="O95" s="12">
        <f>$I$33*$O$33</f>
        <v>447.31292999313172</v>
      </c>
      <c r="P95" s="12">
        <f>$I$33*$P$33</f>
        <v>0</v>
      </c>
      <c r="Q95" s="12">
        <f>$I$33*$Q$33</f>
        <v>0</v>
      </c>
      <c r="R95" s="12">
        <f>$I$33*$R$33</f>
        <v>0</v>
      </c>
      <c r="S95" s="12">
        <f>$I$33*$S$33</f>
        <v>0</v>
      </c>
      <c r="T95" s="12">
        <f>$I$33*$T$33</f>
        <v>214532.11462783252</v>
      </c>
      <c r="U95" s="12">
        <f>$I$33*$U$33</f>
        <v>58498.817572668639</v>
      </c>
      <c r="V95" s="12">
        <f>$I$33*$V$33</f>
        <v>4944.4617321319165</v>
      </c>
      <c r="W95" s="12">
        <f>$I$33*$W$33</f>
        <v>0</v>
      </c>
      <c r="X95" s="12">
        <f>$I$33*$X$33</f>
        <v>206369.34487943171</v>
      </c>
      <c r="Y95" s="12">
        <f>$I$33*$Y$33</f>
        <v>0</v>
      </c>
      <c r="Z95" s="12">
        <f>$I$33*$Z$33</f>
        <v>0</v>
      </c>
      <c r="AA95" s="12">
        <f>$I$33*$AA$33</f>
        <v>2312418.1672670543</v>
      </c>
      <c r="AB95" s="12">
        <f ca="1">$I$33*$AB$33</f>
        <v>-260970.90971844431</v>
      </c>
      <c r="AC95" s="12">
        <f ca="1">$I$33*$AC$33</f>
        <v>0</v>
      </c>
      <c r="AD95" s="12">
        <f>$I$33*$AD$33</f>
        <v>219793.52616585142</v>
      </c>
      <c r="AE95" s="12">
        <f>$I$33*$AE$33</f>
        <v>5182.1313615456247</v>
      </c>
      <c r="AF95" s="12">
        <f ca="1">$I$33*$AF$33</f>
        <v>34458.851054789877</v>
      </c>
      <c r="AG95" s="12">
        <f ca="1">$I$33*$AG$33</f>
        <v>0</v>
      </c>
      <c r="AI95" s="12">
        <f>$I$33*$AI$33</f>
        <v>0</v>
      </c>
      <c r="AJ95" s="12">
        <f>$I$33*$AJ$33</f>
        <v>8748.0926939713263</v>
      </c>
      <c r="AK95" s="12">
        <f>$I$33*$AK$33</f>
        <v>36218.211399386586</v>
      </c>
      <c r="AL95" s="12">
        <f>$I$33*$AL$33</f>
        <v>551.22810948579547</v>
      </c>
      <c r="AM95" s="12">
        <f>$I$33*$AM$33</f>
        <v>0</v>
      </c>
      <c r="AN95" s="12">
        <f>$I$33*$AN$33</f>
        <v>0</v>
      </c>
      <c r="AO95" s="12">
        <f>$I$33*$AO$33</f>
        <v>0</v>
      </c>
      <c r="AP95" s="12">
        <f>$I$33*$AP$33</f>
        <v>0</v>
      </c>
      <c r="AQ95" s="12">
        <f>$I$33*$AQ$33</f>
        <v>230914.88461243824</v>
      </c>
      <c r="AR95" s="12">
        <f>$I$33*$AR$33</f>
        <v>84994.217527269822</v>
      </c>
      <c r="AS95" s="12">
        <f>$I$33*$AS$33</f>
        <v>6949.212279364514</v>
      </c>
      <c r="AT95" s="12">
        <f>$I$33*$AT$33</f>
        <v>0</v>
      </c>
      <c r="AU95" s="12">
        <f>$I$33*$AU$33</f>
        <v>249018.40352577236</v>
      </c>
      <c r="AV95" s="12">
        <f>$I$33*$AV$33</f>
        <v>0</v>
      </c>
      <c r="AW95" s="12">
        <f>$I$33*$AW$33</f>
        <v>0</v>
      </c>
      <c r="AX95" s="12">
        <f>$I$33*$AX$33</f>
        <v>2074999.5404764358</v>
      </c>
      <c r="AY95" s="12">
        <f>$I$33*$AY$33</f>
        <v>0</v>
      </c>
      <c r="AZ95" s="12">
        <f>$I$33*$AZ$33</f>
        <v>0</v>
      </c>
      <c r="BA95" s="12">
        <f>$I$33*$BA$33</f>
        <v>201553.52910203414</v>
      </c>
      <c r="BB95" s="12">
        <f>$I$33*$BB$33</f>
        <v>4927.1081377109749</v>
      </c>
      <c r="BC95" s="12">
        <f>$I$33*$BC$33</f>
        <v>32456.643736756636</v>
      </c>
      <c r="BD95" s="12">
        <f>$I$33*$BD$33</f>
        <v>0</v>
      </c>
    </row>
    <row r="96" spans="1:56" ht="11.25" customHeight="1" x14ac:dyDescent="0.25">
      <c r="A96" s="9" t="s">
        <v>22</v>
      </c>
      <c r="B96" s="9" t="s">
        <v>1088</v>
      </c>
      <c r="C96" s="9" t="s">
        <v>1089</v>
      </c>
      <c r="D96" s="9" t="s">
        <v>1106</v>
      </c>
      <c r="E96" s="9" t="s">
        <v>1107</v>
      </c>
      <c r="F96" s="9" t="s">
        <v>1108</v>
      </c>
      <c r="G96" s="9" t="s">
        <v>1109</v>
      </c>
      <c r="L96" s="12">
        <f>$I$34*$L$34</f>
        <v>0</v>
      </c>
      <c r="M96" s="12">
        <f>$I$34*$M$34</f>
        <v>2305.4358460513604</v>
      </c>
      <c r="N96" s="12">
        <f ca="1">$I$34*$N$34</f>
        <v>8311.593456839084</v>
      </c>
      <c r="O96" s="12">
        <f>$I$34*$O$34</f>
        <v>110.25221824894993</v>
      </c>
      <c r="P96" s="12">
        <f>$I$34*$P$34</f>
        <v>0</v>
      </c>
      <c r="Q96" s="12">
        <f>$I$34*$Q$34</f>
        <v>0</v>
      </c>
      <c r="R96" s="12">
        <f>$I$34*$R$34</f>
        <v>0</v>
      </c>
      <c r="S96" s="12">
        <f>$I$34*$S$34</f>
        <v>0</v>
      </c>
      <c r="T96" s="12">
        <f>$I$34*$T$34</f>
        <v>52877.169286655124</v>
      </c>
      <c r="U96" s="12">
        <f>$I$34*$U$34</f>
        <v>14418.595953455673</v>
      </c>
      <c r="V96" s="12">
        <f>$I$34*$V$34</f>
        <v>1218.6946485605936</v>
      </c>
      <c r="W96" s="12">
        <f>$I$34*$W$34</f>
        <v>0</v>
      </c>
      <c r="X96" s="12">
        <f>$I$34*$X$34</f>
        <v>50865.236674221065</v>
      </c>
      <c r="Y96" s="12">
        <f>$I$34*$Y$34</f>
        <v>0</v>
      </c>
      <c r="Z96" s="12">
        <f>$I$34*$Z$34</f>
        <v>0</v>
      </c>
      <c r="AA96" s="12">
        <f>$I$34*$AA$34</f>
        <v>569957.2164486252</v>
      </c>
      <c r="AB96" s="12">
        <f ca="1">$I$34*$AB$34</f>
        <v>-64323.250605223329</v>
      </c>
      <c r="AC96" s="12">
        <f ca="1">$I$34*$AC$34</f>
        <v>0</v>
      </c>
      <c r="AD96" s="12">
        <f>$I$34*$AD$34</f>
        <v>54173.984679843306</v>
      </c>
      <c r="AE96" s="12">
        <f>$I$34*$AE$34</f>
        <v>1277.2746763135799</v>
      </c>
      <c r="AF96" s="12">
        <f ca="1">$I$34*$AF$34</f>
        <v>8493.3041554579831</v>
      </c>
      <c r="AG96" s="12">
        <f ca="1">$I$34*$AG$34</f>
        <v>0</v>
      </c>
      <c r="AI96" s="12">
        <f>$I$34*$AI$34</f>
        <v>0</v>
      </c>
      <c r="AJ96" s="12">
        <f>$I$34*$AJ$34</f>
        <v>2156.2010849375201</v>
      </c>
      <c r="AK96" s="12">
        <f>$I$34*$AK$34</f>
        <v>8926.9455006657117</v>
      </c>
      <c r="AL96" s="12">
        <f>$I$34*$AL$34</f>
        <v>135.86488955934539</v>
      </c>
      <c r="AM96" s="12">
        <f>$I$34*$AM$34</f>
        <v>0</v>
      </c>
      <c r="AN96" s="12">
        <f>$I$34*$AN$34</f>
        <v>0</v>
      </c>
      <c r="AO96" s="12">
        <f>$I$34*$AO$34</f>
        <v>0</v>
      </c>
      <c r="AP96" s="12">
        <f>$I$34*$AP$34</f>
        <v>0</v>
      </c>
      <c r="AQ96" s="12">
        <f>$I$34*$AQ$34</f>
        <v>56915.140493731007</v>
      </c>
      <c r="AR96" s="12">
        <f>$I$34*$AR$34</f>
        <v>20949.094900653021</v>
      </c>
      <c r="AS96" s="12">
        <f>$I$34*$AS$34</f>
        <v>1712.8189629898307</v>
      </c>
      <c r="AT96" s="12">
        <f>$I$34*$AT$34</f>
        <v>0</v>
      </c>
      <c r="AU96" s="12">
        <f>$I$34*$AU$34</f>
        <v>61377.236231356226</v>
      </c>
      <c r="AV96" s="12">
        <f>$I$34*$AV$34</f>
        <v>0</v>
      </c>
      <c r="AW96" s="12">
        <f>$I$34*$AW$34</f>
        <v>0</v>
      </c>
      <c r="AX96" s="12">
        <f>$I$34*$AX$34</f>
        <v>511439.054995774</v>
      </c>
      <c r="AY96" s="12">
        <f>$I$34*$AY$34</f>
        <v>0</v>
      </c>
      <c r="AZ96" s="12">
        <f>$I$34*$AZ$34</f>
        <v>0</v>
      </c>
      <c r="BA96" s="12">
        <f>$I$34*$BA$34</f>
        <v>49678.250257028623</v>
      </c>
      <c r="BB96" s="12">
        <f>$I$34*$BB$34</f>
        <v>1214.4173917427977</v>
      </c>
      <c r="BC96" s="12">
        <f>$I$34*$BC$34</f>
        <v>7999.8066877884776</v>
      </c>
      <c r="BD96" s="12">
        <f>$I$34*$BD$34</f>
        <v>0</v>
      </c>
    </row>
    <row r="97" spans="1:56" ht="11.25" customHeight="1" x14ac:dyDescent="0.25">
      <c r="A97" s="9" t="s">
        <v>22</v>
      </c>
      <c r="B97" s="9" t="s">
        <v>1110</v>
      </c>
      <c r="C97" s="9" t="s">
        <v>1111</v>
      </c>
      <c r="D97" s="9" t="s">
        <v>1112</v>
      </c>
      <c r="E97" s="9" t="s">
        <v>1113</v>
      </c>
      <c r="F97" s="9" t="s">
        <v>1114</v>
      </c>
      <c r="G97" s="9" t="s">
        <v>1115</v>
      </c>
      <c r="L97" s="12">
        <f>$I$35*$L$35</f>
        <v>0</v>
      </c>
      <c r="M97" s="12">
        <f>$I$35*$M$35</f>
        <v>0</v>
      </c>
      <c r="N97" s="12">
        <f ca="1">$I$35*$N$35</f>
        <v>0</v>
      </c>
      <c r="O97" s="12">
        <f>$I$35*$O$35</f>
        <v>0</v>
      </c>
      <c r="P97" s="12">
        <f>$I$35*$P$35</f>
        <v>0</v>
      </c>
      <c r="Q97" s="12">
        <f>$I$35*$Q$35</f>
        <v>0</v>
      </c>
      <c r="R97" s="12">
        <f>$I$35*$R$35</f>
        <v>0</v>
      </c>
      <c r="S97" s="12">
        <f>$I$35*$S$35</f>
        <v>0</v>
      </c>
      <c r="T97" s="12">
        <f>$I$35*$T$35</f>
        <v>0</v>
      </c>
      <c r="U97" s="12">
        <f>$I$35*$U$35</f>
        <v>0</v>
      </c>
      <c r="V97" s="12">
        <f>$I$35*$V$35</f>
        <v>0</v>
      </c>
      <c r="W97" s="12">
        <f>$I$35*$W$35</f>
        <v>0</v>
      </c>
      <c r="X97" s="12">
        <f>$I$35*$X$35</f>
        <v>0</v>
      </c>
      <c r="Y97" s="12">
        <f>$I$35*$Y$35</f>
        <v>0</v>
      </c>
      <c r="Z97" s="12">
        <f>$I$35*$Z$35</f>
        <v>0</v>
      </c>
      <c r="AA97" s="12">
        <f>$I$35*$AA$35</f>
        <v>0</v>
      </c>
      <c r="AB97" s="12">
        <f ca="1">$I$35*$AB$35</f>
        <v>0</v>
      </c>
      <c r="AC97" s="12">
        <f ca="1">$I$35*$AC$35</f>
        <v>0</v>
      </c>
      <c r="AD97" s="12">
        <f>$I$35*$AD$35</f>
        <v>0</v>
      </c>
      <c r="AE97" s="12">
        <f>$I$35*$AE$35</f>
        <v>0</v>
      </c>
      <c r="AF97" s="12">
        <f ca="1">$I$35*$AF$35</f>
        <v>0</v>
      </c>
      <c r="AG97" s="12">
        <f ca="1">$I$35*$AG$35</f>
        <v>0</v>
      </c>
      <c r="AI97" s="12">
        <f>$I$35*$AI$35</f>
        <v>0</v>
      </c>
      <c r="AJ97" s="12">
        <f>$I$35*$AJ$35</f>
        <v>0</v>
      </c>
      <c r="AK97" s="12">
        <f>$I$35*$AK$35</f>
        <v>0</v>
      </c>
      <c r="AL97" s="12">
        <f>$I$35*$AL$35</f>
        <v>0</v>
      </c>
      <c r="AM97" s="12">
        <f>$I$35*$AM$35</f>
        <v>0</v>
      </c>
      <c r="AN97" s="12">
        <f>$I$35*$AN$35</f>
        <v>0</v>
      </c>
      <c r="AO97" s="12">
        <f>$I$35*$AO$35</f>
        <v>0</v>
      </c>
      <c r="AP97" s="12">
        <f>$I$35*$AP$35</f>
        <v>0</v>
      </c>
      <c r="AQ97" s="12">
        <f>$I$35*$AQ$35</f>
        <v>0</v>
      </c>
      <c r="AR97" s="12">
        <f>$I$35*$AR$35</f>
        <v>0</v>
      </c>
      <c r="AS97" s="12">
        <f>$I$35*$AS$35</f>
        <v>0</v>
      </c>
      <c r="AT97" s="12">
        <f>$I$35*$AT$35</f>
        <v>0</v>
      </c>
      <c r="AU97" s="12">
        <f>$I$35*$AU$35</f>
        <v>0</v>
      </c>
      <c r="AV97" s="12">
        <f>$I$35*$AV$35</f>
        <v>0</v>
      </c>
      <c r="AW97" s="12">
        <f>$I$35*$AW$35</f>
        <v>0</v>
      </c>
      <c r="AX97" s="12">
        <f>$I$35*$AX$35</f>
        <v>0</v>
      </c>
      <c r="AY97" s="12">
        <f>$I$35*$AY$35</f>
        <v>0</v>
      </c>
      <c r="AZ97" s="12">
        <f>$I$35*$AZ$35</f>
        <v>0</v>
      </c>
      <c r="BA97" s="12">
        <f>$I$35*$BA$35</f>
        <v>0</v>
      </c>
      <c r="BB97" s="12">
        <f>$I$35*$BB$35</f>
        <v>0</v>
      </c>
      <c r="BC97" s="12">
        <f>$I$35*$BC$35</f>
        <v>0</v>
      </c>
      <c r="BD97" s="12">
        <f>$I$35*$BD$35</f>
        <v>0</v>
      </c>
    </row>
    <row r="98" spans="1:56" ht="11.25" customHeight="1" x14ac:dyDescent="0.25">
      <c r="A98" s="9" t="s">
        <v>22</v>
      </c>
      <c r="B98" s="9" t="s">
        <v>1110</v>
      </c>
      <c r="C98" s="9" t="s">
        <v>1111</v>
      </c>
      <c r="D98" s="9" t="s">
        <v>1116</v>
      </c>
      <c r="E98" s="9" t="s">
        <v>1117</v>
      </c>
      <c r="F98" s="9" t="s">
        <v>1118</v>
      </c>
      <c r="G98" s="9" t="s">
        <v>1119</v>
      </c>
      <c r="L98" s="12">
        <f>$I$36*$L$36</f>
        <v>0</v>
      </c>
      <c r="M98" s="12">
        <f>$I$36*$M$36</f>
        <v>0</v>
      </c>
      <c r="N98" s="12">
        <f ca="1">$I$36*$N$36</f>
        <v>0</v>
      </c>
      <c r="O98" s="12">
        <f>$I$36*$O$36</f>
        <v>0</v>
      </c>
      <c r="P98" s="12">
        <f>$I$36*$P$36</f>
        <v>0</v>
      </c>
      <c r="Q98" s="12">
        <f>$I$36*$Q$36</f>
        <v>0</v>
      </c>
      <c r="R98" s="12">
        <f>$I$36*$R$36</f>
        <v>0</v>
      </c>
      <c r="S98" s="12">
        <f>$I$36*$S$36</f>
        <v>0</v>
      </c>
      <c r="T98" s="12">
        <f>$I$36*$T$36</f>
        <v>0</v>
      </c>
      <c r="U98" s="12">
        <f>$I$36*$U$36</f>
        <v>0</v>
      </c>
      <c r="V98" s="12">
        <f>$I$36*$V$36</f>
        <v>0</v>
      </c>
      <c r="W98" s="12">
        <f>$I$36*$W$36</f>
        <v>0</v>
      </c>
      <c r="X98" s="12">
        <f>$I$36*$X$36</f>
        <v>0</v>
      </c>
      <c r="Y98" s="12">
        <f>$I$36*$Y$36</f>
        <v>0</v>
      </c>
      <c r="Z98" s="12">
        <f>$I$36*$Z$36</f>
        <v>0</v>
      </c>
      <c r="AA98" s="12">
        <f>$I$36*$AA$36</f>
        <v>0</v>
      </c>
      <c r="AB98" s="12">
        <f ca="1">$I$36*$AB$36</f>
        <v>0</v>
      </c>
      <c r="AC98" s="12">
        <f ca="1">$I$36*$AC$36</f>
        <v>0</v>
      </c>
      <c r="AD98" s="12">
        <f>$I$36*$AD$36</f>
        <v>0</v>
      </c>
      <c r="AE98" s="12">
        <f>$I$36*$AE$36</f>
        <v>0</v>
      </c>
      <c r="AF98" s="12">
        <f ca="1">$I$36*$AF$36</f>
        <v>0</v>
      </c>
      <c r="AG98" s="12">
        <f ca="1">$I$36*$AG$36</f>
        <v>0</v>
      </c>
      <c r="AI98" s="12">
        <f>$I$36*$AI$36</f>
        <v>0</v>
      </c>
      <c r="AJ98" s="12">
        <f>$I$36*$AJ$36</f>
        <v>0</v>
      </c>
      <c r="AK98" s="12">
        <f>$I$36*$AK$36</f>
        <v>0</v>
      </c>
      <c r="AL98" s="12">
        <f>$I$36*$AL$36</f>
        <v>0</v>
      </c>
      <c r="AM98" s="12">
        <f>$I$36*$AM$36</f>
        <v>0</v>
      </c>
      <c r="AN98" s="12">
        <f>$I$36*$AN$36</f>
        <v>0</v>
      </c>
      <c r="AO98" s="12">
        <f>$I$36*$AO$36</f>
        <v>0</v>
      </c>
      <c r="AP98" s="12">
        <f>$I$36*$AP$36</f>
        <v>0</v>
      </c>
      <c r="AQ98" s="12">
        <f>$I$36*$AQ$36</f>
        <v>0</v>
      </c>
      <c r="AR98" s="12">
        <f>$I$36*$AR$36</f>
        <v>0</v>
      </c>
      <c r="AS98" s="12">
        <f>$I$36*$AS$36</f>
        <v>0</v>
      </c>
      <c r="AT98" s="12">
        <f>$I$36*$AT$36</f>
        <v>0</v>
      </c>
      <c r="AU98" s="12">
        <f>$I$36*$AU$36</f>
        <v>0</v>
      </c>
      <c r="AV98" s="12">
        <f>$I$36*$AV$36</f>
        <v>0</v>
      </c>
      <c r="AW98" s="12">
        <f>$I$36*$AW$36</f>
        <v>0</v>
      </c>
      <c r="AX98" s="12">
        <f>$I$36*$AX$36</f>
        <v>0</v>
      </c>
      <c r="AY98" s="12">
        <f>$I$36*$AY$36</f>
        <v>0</v>
      </c>
      <c r="AZ98" s="12">
        <f>$I$36*$AZ$36</f>
        <v>0</v>
      </c>
      <c r="BA98" s="12">
        <f>$I$36*$BA$36</f>
        <v>0</v>
      </c>
      <c r="BB98" s="12">
        <f>$I$36*$BB$36</f>
        <v>0</v>
      </c>
      <c r="BC98" s="12">
        <f>$I$36*$BC$36</f>
        <v>0</v>
      </c>
      <c r="BD98" s="12">
        <f>$I$36*$BD$36</f>
        <v>0</v>
      </c>
    </row>
    <row r="99" spans="1:56" ht="11.25" customHeight="1" x14ac:dyDescent="0.25">
      <c r="A99" s="9" t="s">
        <v>22</v>
      </c>
      <c r="B99" s="9" t="s">
        <v>1110</v>
      </c>
      <c r="C99" s="9" t="s">
        <v>1111</v>
      </c>
      <c r="D99" s="9" t="s">
        <v>1120</v>
      </c>
      <c r="E99" s="9" t="s">
        <v>1121</v>
      </c>
      <c r="F99" s="9" t="s">
        <v>1122</v>
      </c>
      <c r="G99" s="9" t="s">
        <v>1123</v>
      </c>
      <c r="L99" s="12">
        <f>$I$37*$L$37</f>
        <v>0</v>
      </c>
      <c r="M99" s="12">
        <f>$I$37*$M$37</f>
        <v>0</v>
      </c>
      <c r="N99" s="12">
        <f ca="1">$I$37*$N$37</f>
        <v>0</v>
      </c>
      <c r="O99" s="12">
        <f>$I$37*$O$37</f>
        <v>0</v>
      </c>
      <c r="P99" s="12">
        <f>$I$37*$P$37</f>
        <v>0</v>
      </c>
      <c r="Q99" s="12">
        <f>$I$37*$Q$37</f>
        <v>0</v>
      </c>
      <c r="R99" s="12">
        <f>$I$37*$R$37</f>
        <v>0</v>
      </c>
      <c r="S99" s="12">
        <f>$I$37*$S$37</f>
        <v>0</v>
      </c>
      <c r="T99" s="12">
        <f>$I$37*$T$37</f>
        <v>0</v>
      </c>
      <c r="U99" s="12">
        <f>$I$37*$U$37</f>
        <v>0</v>
      </c>
      <c r="V99" s="12">
        <f>$I$37*$V$37</f>
        <v>0</v>
      </c>
      <c r="W99" s="12">
        <f>$I$37*$W$37</f>
        <v>0</v>
      </c>
      <c r="X99" s="12">
        <f>$I$37*$X$37</f>
        <v>0</v>
      </c>
      <c r="Y99" s="12">
        <f>$I$37*$Y$37</f>
        <v>0</v>
      </c>
      <c r="Z99" s="12">
        <f>$I$37*$Z$37</f>
        <v>0</v>
      </c>
      <c r="AA99" s="12">
        <f>$I$37*$AA$37</f>
        <v>0</v>
      </c>
      <c r="AB99" s="12">
        <f ca="1">$I$37*$AB$37</f>
        <v>0</v>
      </c>
      <c r="AC99" s="12">
        <f ca="1">$I$37*$AC$37</f>
        <v>0</v>
      </c>
      <c r="AD99" s="12">
        <f>$I$37*$AD$37</f>
        <v>0</v>
      </c>
      <c r="AE99" s="12">
        <f>$I$37*$AE$37</f>
        <v>0</v>
      </c>
      <c r="AF99" s="12">
        <f ca="1">$I$37*$AF$37</f>
        <v>0</v>
      </c>
      <c r="AG99" s="12">
        <f ca="1">$I$37*$AG$37</f>
        <v>0</v>
      </c>
      <c r="AI99" s="12">
        <f>$I$37*$AI$37</f>
        <v>0</v>
      </c>
      <c r="AJ99" s="12">
        <f>$I$37*$AJ$37</f>
        <v>0</v>
      </c>
      <c r="AK99" s="12">
        <f>$I$37*$AK$37</f>
        <v>0</v>
      </c>
      <c r="AL99" s="12">
        <f>$I$37*$AL$37</f>
        <v>0</v>
      </c>
      <c r="AM99" s="12">
        <f>$I$37*$AM$37</f>
        <v>0</v>
      </c>
      <c r="AN99" s="12">
        <f>$I$37*$AN$37</f>
        <v>0</v>
      </c>
      <c r="AO99" s="12">
        <f>$I$37*$AO$37</f>
        <v>0</v>
      </c>
      <c r="AP99" s="12">
        <f>$I$37*$AP$37</f>
        <v>0</v>
      </c>
      <c r="AQ99" s="12">
        <f>$I$37*$AQ$37</f>
        <v>0</v>
      </c>
      <c r="AR99" s="12">
        <f>$I$37*$AR$37</f>
        <v>0</v>
      </c>
      <c r="AS99" s="12">
        <f>$I$37*$AS$37</f>
        <v>0</v>
      </c>
      <c r="AT99" s="12">
        <f>$I$37*$AT$37</f>
        <v>0</v>
      </c>
      <c r="AU99" s="12">
        <f>$I$37*$AU$37</f>
        <v>0</v>
      </c>
      <c r="AV99" s="12">
        <f>$I$37*$AV$37</f>
        <v>0</v>
      </c>
      <c r="AW99" s="12">
        <f>$I$37*$AW$37</f>
        <v>0</v>
      </c>
      <c r="AX99" s="12">
        <f>$I$37*$AX$37</f>
        <v>0</v>
      </c>
      <c r="AY99" s="12">
        <f>$I$37*$AY$37</f>
        <v>0</v>
      </c>
      <c r="AZ99" s="12">
        <f>$I$37*$AZ$37</f>
        <v>0</v>
      </c>
      <c r="BA99" s="12">
        <f>$I$37*$BA$37</f>
        <v>0</v>
      </c>
      <c r="BB99" s="12">
        <f>$I$37*$BB$37</f>
        <v>0</v>
      </c>
      <c r="BC99" s="12">
        <f>$I$37*$BC$37</f>
        <v>0</v>
      </c>
      <c r="BD99" s="12">
        <f>$I$37*$BD$37</f>
        <v>0</v>
      </c>
    </row>
    <row r="100" spans="1:56" ht="11.25" customHeight="1" x14ac:dyDescent="0.25">
      <c r="A100" s="9" t="s">
        <v>22</v>
      </c>
      <c r="B100" s="9" t="s">
        <v>1110</v>
      </c>
      <c r="C100" s="9" t="s">
        <v>1111</v>
      </c>
      <c r="D100" s="9" t="s">
        <v>1124</v>
      </c>
      <c r="E100" s="9" t="s">
        <v>1125</v>
      </c>
      <c r="F100" s="9" t="s">
        <v>1126</v>
      </c>
      <c r="G100" s="9" t="s">
        <v>1127</v>
      </c>
      <c r="L100" s="12">
        <f>$I$38*$L$38</f>
        <v>0</v>
      </c>
      <c r="M100" s="12">
        <f>$I$38*$M$38</f>
        <v>0</v>
      </c>
      <c r="N100" s="12">
        <f ca="1">$I$38*$N$38</f>
        <v>0</v>
      </c>
      <c r="O100" s="12">
        <f>$I$38*$O$38</f>
        <v>0</v>
      </c>
      <c r="P100" s="12">
        <f>$I$38*$P$38</f>
        <v>0</v>
      </c>
      <c r="Q100" s="12">
        <f>$I$38*$Q$38</f>
        <v>0</v>
      </c>
      <c r="R100" s="12">
        <f>$I$38*$R$38</f>
        <v>0</v>
      </c>
      <c r="S100" s="12">
        <f>$I$38*$S$38</f>
        <v>0</v>
      </c>
      <c r="T100" s="12">
        <f>$I$38*$T$38</f>
        <v>0</v>
      </c>
      <c r="U100" s="12">
        <f>$I$38*$U$38</f>
        <v>0</v>
      </c>
      <c r="V100" s="12">
        <f>$I$38*$V$38</f>
        <v>0</v>
      </c>
      <c r="W100" s="12">
        <f>$I$38*$W$38</f>
        <v>0</v>
      </c>
      <c r="X100" s="12">
        <f>$I$38*$X$38</f>
        <v>0</v>
      </c>
      <c r="Y100" s="12">
        <f>$I$38*$Y$38</f>
        <v>0</v>
      </c>
      <c r="Z100" s="12">
        <f>$I$38*$Z$38</f>
        <v>0</v>
      </c>
      <c r="AA100" s="12">
        <f>$I$38*$AA$38</f>
        <v>0</v>
      </c>
      <c r="AB100" s="12">
        <f ca="1">$I$38*$AB$38</f>
        <v>0</v>
      </c>
      <c r="AC100" s="12">
        <f ca="1">$I$38*$AC$38</f>
        <v>0</v>
      </c>
      <c r="AD100" s="12">
        <f>$I$38*$AD$38</f>
        <v>0</v>
      </c>
      <c r="AE100" s="12">
        <f>$I$38*$AE$38</f>
        <v>0</v>
      </c>
      <c r="AF100" s="12">
        <f ca="1">$I$38*$AF$38</f>
        <v>0</v>
      </c>
      <c r="AG100" s="12">
        <f ca="1">$I$38*$AG$38</f>
        <v>0</v>
      </c>
      <c r="AI100" s="12">
        <f>$I$38*$AI$38</f>
        <v>0</v>
      </c>
      <c r="AJ100" s="12">
        <f>$I$38*$AJ$38</f>
        <v>0</v>
      </c>
      <c r="AK100" s="12">
        <f>$I$38*$AK$38</f>
        <v>0</v>
      </c>
      <c r="AL100" s="12">
        <f>$I$38*$AL$38</f>
        <v>0</v>
      </c>
      <c r="AM100" s="12">
        <f>$I$38*$AM$38</f>
        <v>0</v>
      </c>
      <c r="AN100" s="12">
        <f>$I$38*$AN$38</f>
        <v>0</v>
      </c>
      <c r="AO100" s="12">
        <f>$I$38*$AO$38</f>
        <v>0</v>
      </c>
      <c r="AP100" s="12">
        <f>$I$38*$AP$38</f>
        <v>0</v>
      </c>
      <c r="AQ100" s="12">
        <f>$I$38*$AQ$38</f>
        <v>0</v>
      </c>
      <c r="AR100" s="12">
        <f>$I$38*$AR$38</f>
        <v>0</v>
      </c>
      <c r="AS100" s="12">
        <f>$I$38*$AS$38</f>
        <v>0</v>
      </c>
      <c r="AT100" s="12">
        <f>$I$38*$AT$38</f>
        <v>0</v>
      </c>
      <c r="AU100" s="12">
        <f>$I$38*$AU$38</f>
        <v>0</v>
      </c>
      <c r="AV100" s="12">
        <f>$I$38*$AV$38</f>
        <v>0</v>
      </c>
      <c r="AW100" s="12">
        <f>$I$38*$AW$38</f>
        <v>0</v>
      </c>
      <c r="AX100" s="12">
        <f>$I$38*$AX$38</f>
        <v>0</v>
      </c>
      <c r="AY100" s="12">
        <f>$I$38*$AY$38</f>
        <v>0</v>
      </c>
      <c r="AZ100" s="12">
        <f>$I$38*$AZ$38</f>
        <v>0</v>
      </c>
      <c r="BA100" s="12">
        <f>$I$38*$BA$38</f>
        <v>0</v>
      </c>
      <c r="BB100" s="12">
        <f>$I$38*$BB$38</f>
        <v>0</v>
      </c>
      <c r="BC100" s="12">
        <f>$I$38*$BC$38</f>
        <v>0</v>
      </c>
      <c r="BD100" s="12">
        <f>$I$38*$BD$38</f>
        <v>0</v>
      </c>
    </row>
    <row r="101" spans="1:56" ht="11.25" customHeight="1" x14ac:dyDescent="0.25">
      <c r="A101" s="9" t="s">
        <v>22</v>
      </c>
      <c r="B101" s="9" t="s">
        <v>1110</v>
      </c>
      <c r="C101" s="9" t="s">
        <v>1111</v>
      </c>
      <c r="D101" s="9" t="s">
        <v>1128</v>
      </c>
      <c r="E101" s="9" t="s">
        <v>1129</v>
      </c>
      <c r="F101" s="9" t="s">
        <v>1130</v>
      </c>
      <c r="G101" s="9" t="s">
        <v>1131</v>
      </c>
      <c r="L101" s="12">
        <f>$I$39*$L$39</f>
        <v>0</v>
      </c>
      <c r="M101" s="12">
        <f>$I$39*$M$39</f>
        <v>0</v>
      </c>
      <c r="N101" s="12">
        <f ca="1">$I$39*$N$39</f>
        <v>0</v>
      </c>
      <c r="O101" s="12">
        <f>$I$39*$O$39</f>
        <v>0</v>
      </c>
      <c r="P101" s="12">
        <f>$I$39*$P$39</f>
        <v>0</v>
      </c>
      <c r="Q101" s="12">
        <f>$I$39*$Q$39</f>
        <v>0</v>
      </c>
      <c r="R101" s="12">
        <f>$I$39*$R$39</f>
        <v>0</v>
      </c>
      <c r="S101" s="12">
        <f>$I$39*$S$39</f>
        <v>0</v>
      </c>
      <c r="T101" s="12">
        <f>$I$39*$T$39</f>
        <v>0</v>
      </c>
      <c r="U101" s="12">
        <f>$I$39*$U$39</f>
        <v>0</v>
      </c>
      <c r="V101" s="12">
        <f>$I$39*$V$39</f>
        <v>0</v>
      </c>
      <c r="W101" s="12">
        <f>$I$39*$W$39</f>
        <v>0</v>
      </c>
      <c r="X101" s="12">
        <f>$I$39*$X$39</f>
        <v>0</v>
      </c>
      <c r="Y101" s="12">
        <f>$I$39*$Y$39</f>
        <v>0</v>
      </c>
      <c r="Z101" s="12">
        <f>$I$39*$Z$39</f>
        <v>0</v>
      </c>
      <c r="AA101" s="12">
        <f>$I$39*$AA$39</f>
        <v>0</v>
      </c>
      <c r="AB101" s="12">
        <f ca="1">$I$39*$AB$39</f>
        <v>0</v>
      </c>
      <c r="AC101" s="12">
        <f ca="1">$I$39*$AC$39</f>
        <v>0</v>
      </c>
      <c r="AD101" s="12">
        <f>$I$39*$AD$39</f>
        <v>0</v>
      </c>
      <c r="AE101" s="12">
        <f>$I$39*$AE$39</f>
        <v>0</v>
      </c>
      <c r="AF101" s="12">
        <f ca="1">$I$39*$AF$39</f>
        <v>0</v>
      </c>
      <c r="AG101" s="12">
        <f ca="1">$I$39*$AG$39</f>
        <v>0</v>
      </c>
      <c r="AI101" s="12">
        <f>$I$39*$AI$39</f>
        <v>0</v>
      </c>
      <c r="AJ101" s="12">
        <f>$I$39*$AJ$39</f>
        <v>0</v>
      </c>
      <c r="AK101" s="12">
        <f>$I$39*$AK$39</f>
        <v>0</v>
      </c>
      <c r="AL101" s="12">
        <f>$I$39*$AL$39</f>
        <v>0</v>
      </c>
      <c r="AM101" s="12">
        <f>$I$39*$AM$39</f>
        <v>0</v>
      </c>
      <c r="AN101" s="12">
        <f>$I$39*$AN$39</f>
        <v>0</v>
      </c>
      <c r="AO101" s="12">
        <f>$I$39*$AO$39</f>
        <v>0</v>
      </c>
      <c r="AP101" s="12">
        <f>$I$39*$AP$39</f>
        <v>0</v>
      </c>
      <c r="AQ101" s="12">
        <f>$I$39*$AQ$39</f>
        <v>0</v>
      </c>
      <c r="AR101" s="12">
        <f>$I$39*$AR$39</f>
        <v>0</v>
      </c>
      <c r="AS101" s="12">
        <f>$I$39*$AS$39</f>
        <v>0</v>
      </c>
      <c r="AT101" s="12">
        <f>$I$39*$AT$39</f>
        <v>0</v>
      </c>
      <c r="AU101" s="12">
        <f>$I$39*$AU$39</f>
        <v>0</v>
      </c>
      <c r="AV101" s="12">
        <f>$I$39*$AV$39</f>
        <v>0</v>
      </c>
      <c r="AW101" s="12">
        <f>$I$39*$AW$39</f>
        <v>0</v>
      </c>
      <c r="AX101" s="12">
        <f>$I$39*$AX$39</f>
        <v>0</v>
      </c>
      <c r="AY101" s="12">
        <f>$I$39*$AY$39</f>
        <v>0</v>
      </c>
      <c r="AZ101" s="12">
        <f>$I$39*$AZ$39</f>
        <v>0</v>
      </c>
      <c r="BA101" s="12">
        <f>$I$39*$BA$39</f>
        <v>0</v>
      </c>
      <c r="BB101" s="12">
        <f>$I$39*$BB$39</f>
        <v>0</v>
      </c>
      <c r="BC101" s="12">
        <f>$I$39*$BC$39</f>
        <v>0</v>
      </c>
      <c r="BD101" s="12">
        <f>$I$39*$BD$39</f>
        <v>0</v>
      </c>
    </row>
    <row r="102" spans="1:56" ht="11.25" customHeight="1" x14ac:dyDescent="0.25">
      <c r="A102" s="9" t="s">
        <v>43</v>
      </c>
      <c r="B102" s="9" t="s">
        <v>1132</v>
      </c>
      <c r="C102" s="9" t="s">
        <v>1133</v>
      </c>
      <c r="D102" s="9" t="s">
        <v>1134</v>
      </c>
      <c r="E102" s="9" t="s">
        <v>1135</v>
      </c>
      <c r="F102" s="9" t="s">
        <v>1136</v>
      </c>
      <c r="G102" s="9" t="s">
        <v>1137</v>
      </c>
      <c r="L102" s="12">
        <f>$I$40*$L$40</f>
        <v>0.30522567710932424</v>
      </c>
      <c r="M102" s="12">
        <f>$I$40*$M$40</f>
        <v>0.12273370085114317</v>
      </c>
      <c r="N102" s="12">
        <f ca="1">$I$40*$N$40</f>
        <v>1.2638220205415993</v>
      </c>
      <c r="O102" s="12">
        <f>$I$40*$O$40</f>
        <v>5.8694596928029691E-3</v>
      </c>
      <c r="P102" s="12">
        <f>$I$40*$P$40</f>
        <v>0</v>
      </c>
      <c r="Q102" s="12">
        <f>$I$40*$Q$40</f>
        <v>5.4555881004446798</v>
      </c>
      <c r="R102" s="12">
        <f>$I$40*$R$40</f>
        <v>2.2512702871858905</v>
      </c>
      <c r="S102" s="12">
        <f>$I$40*$S$40</f>
        <v>0</v>
      </c>
      <c r="T102" s="12">
        <f>$I$40*$T$40</f>
        <v>9.0080449748487936</v>
      </c>
      <c r="U102" s="12">
        <f>$I$40*$U$40</f>
        <v>2.4563235063370747</v>
      </c>
      <c r="V102" s="12">
        <f>$I$40*$V$40</f>
        <v>0.20760348765977438</v>
      </c>
      <c r="W102" s="12">
        <f>$I$40*$W$40</f>
        <v>0</v>
      </c>
      <c r="X102" s="12">
        <f>$I$40*$X$40</f>
        <v>8.6652918562825452</v>
      </c>
      <c r="Y102" s="12">
        <f>$I$40*$Y$40</f>
        <v>0</v>
      </c>
      <c r="Z102" s="12">
        <f>$I$40*$Z$40</f>
        <v>0</v>
      </c>
      <c r="AA102" s="12">
        <f>$I$40*$AA$40</f>
        <v>97.096395107127933</v>
      </c>
      <c r="AB102" s="12">
        <f ca="1">$I$40*$AB$40</f>
        <v>-11.038479719712846</v>
      </c>
      <c r="AC102" s="12">
        <f ca="1">$I$40*$AC$40</f>
        <v>0</v>
      </c>
      <c r="AD102" s="12">
        <f>$I$40*$AD$40</f>
        <v>2.8840419224843519</v>
      </c>
      <c r="AE102" s="12">
        <f>$I$40*$AE$40</f>
        <v>6.7997835765376255E-2</v>
      </c>
      <c r="AF102" s="12">
        <f ca="1">$I$40*$AF$40</f>
        <v>0.45215513293902715</v>
      </c>
      <c r="AG102" s="12">
        <f ca="1">$I$40*$AG$40</f>
        <v>0</v>
      </c>
      <c r="AI102" s="12">
        <f>$I$40*$AI$40</f>
        <v>0</v>
      </c>
      <c r="AJ102" s="12">
        <f>$I$40*$AJ$40</f>
        <v>0.10746198716563672</v>
      </c>
      <c r="AK102" s="12">
        <f>$I$40*$AK$40</f>
        <v>1.270521861553441</v>
      </c>
      <c r="AL102" s="12">
        <f>$I$40*$AL$40</f>
        <v>6.7713123419145815E-3</v>
      </c>
      <c r="AM102" s="12">
        <f>$I$40*$AM$40</f>
        <v>0</v>
      </c>
      <c r="AN102" s="12">
        <f>$I$40*$AN$40</f>
        <v>4.0979121603638724</v>
      </c>
      <c r="AO102" s="12">
        <f>$I$40*$AO$40</f>
        <v>1.3980470977523602</v>
      </c>
      <c r="AP102" s="12">
        <f>$I$40*$AP$40</f>
        <v>0</v>
      </c>
      <c r="AQ102" s="12">
        <f>$I$40*$AQ$40</f>
        <v>9.0770552505115543</v>
      </c>
      <c r="AR102" s="12">
        <f>$I$40*$AR$40</f>
        <v>3.3410476922805064</v>
      </c>
      <c r="AS102" s="12">
        <f>$I$40*$AS$40</f>
        <v>0.27315302986709189</v>
      </c>
      <c r="AT102" s="12">
        <f>$I$40*$AT$40</f>
        <v>0</v>
      </c>
      <c r="AU102" s="12">
        <f>$I$40*$AU$40</f>
        <v>9.7886831792598219</v>
      </c>
      <c r="AV102" s="12">
        <f>$I$40*$AV$40</f>
        <v>0</v>
      </c>
      <c r="AW102" s="12">
        <f>$I$40*$AW$40</f>
        <v>0</v>
      </c>
      <c r="AX102" s="12">
        <f>$I$40*$AX$40</f>
        <v>81.566073600891855</v>
      </c>
      <c r="AY102" s="12">
        <f>$I$40*$AY$40</f>
        <v>0</v>
      </c>
      <c r="AZ102" s="12">
        <f>$I$40*$AZ$40</f>
        <v>0</v>
      </c>
      <c r="BA102" s="12">
        <f>$I$40*$BA$40</f>
        <v>2.4758931478261452</v>
      </c>
      <c r="BB102" s="12">
        <f>$I$40*$BB$40</f>
        <v>6.0524830952384139E-2</v>
      </c>
      <c r="BC102" s="12">
        <f>$I$40*$BC$40</f>
        <v>0.39869895698323038</v>
      </c>
      <c r="BD102" s="12">
        <f>$I$40*$BD$40</f>
        <v>0</v>
      </c>
    </row>
    <row r="103" spans="1:56" ht="11.25" customHeight="1" x14ac:dyDescent="0.25">
      <c r="A103" s="9" t="s">
        <v>43</v>
      </c>
      <c r="B103" s="9" t="s">
        <v>1132</v>
      </c>
      <c r="C103" s="9" t="s">
        <v>1133</v>
      </c>
      <c r="D103" s="9" t="s">
        <v>1134</v>
      </c>
      <c r="E103" s="9" t="s">
        <v>1135</v>
      </c>
      <c r="F103" s="9" t="s">
        <v>1136</v>
      </c>
      <c r="G103" s="9" t="s">
        <v>1138</v>
      </c>
      <c r="L103" s="12">
        <f>$I$41*$L$41</f>
        <v>0.26661279024609641</v>
      </c>
      <c r="M103" s="12">
        <f>$I$41*$M$41</f>
        <v>0.10720714833382985</v>
      </c>
      <c r="N103" s="12">
        <f ca="1">$I$41*$N$41</f>
        <v>0.68745237341682208</v>
      </c>
      <c r="O103" s="12">
        <f>$I$41*$O$41</f>
        <v>5.1269376834724711E-3</v>
      </c>
      <c r="P103" s="12">
        <f>$I$41*$P$41</f>
        <v>0</v>
      </c>
      <c r="Q103" s="12">
        <f>$I$41*$Q$41</f>
        <v>4.7654233407498694</v>
      </c>
      <c r="R103" s="12">
        <f>$I$41*$R$41</f>
        <v>1.9664710339876748</v>
      </c>
      <c r="S103" s="12">
        <f>$I$41*$S$41</f>
        <v>0</v>
      </c>
      <c r="T103" s="12">
        <f>$I$41*$T$41</f>
        <v>4.7210838121195478</v>
      </c>
      <c r="U103" s="12">
        <f>$I$41*$U$41</f>
        <v>1.2873525262475378</v>
      </c>
      <c r="V103" s="12">
        <f>$I$41*$V$41</f>
        <v>0.1087998477627122</v>
      </c>
      <c r="W103" s="12">
        <f>$I$41*$W$41</f>
        <v>0</v>
      </c>
      <c r="X103" s="12">
        <f>$I$41*$X$41</f>
        <v>4.5414451820529358</v>
      </c>
      <c r="Y103" s="12">
        <f>$I$41*$Y$41</f>
        <v>0</v>
      </c>
      <c r="Z103" s="12">
        <f>$I$41*$Z$41</f>
        <v>0</v>
      </c>
      <c r="AA103" s="12">
        <f>$I$41*$AA$41</f>
        <v>50.887863269027775</v>
      </c>
      <c r="AB103" s="12">
        <f ca="1">$I$41*$AB$41</f>
        <v>-6.1234993860875813</v>
      </c>
      <c r="AC103" s="12">
        <f ca="1">$I$41*$AC$41</f>
        <v>0</v>
      </c>
      <c r="AD103" s="12">
        <f>$I$41*$AD$41</f>
        <v>2.5191932455435597</v>
      </c>
      <c r="AE103" s="12">
        <f>$I$41*$AE$41</f>
        <v>5.9395699915539481E-2</v>
      </c>
      <c r="AF103" s="12">
        <f ca="1">$I$41*$AF$41</f>
        <v>0.3949547847961381</v>
      </c>
      <c r="AG103" s="12">
        <f ca="1">$I$41*$AG$41</f>
        <v>0</v>
      </c>
      <c r="AI103" s="12">
        <f>$I$41*$AI$41</f>
        <v>0</v>
      </c>
      <c r="AJ103" s="12">
        <f>$I$41*$AJ$41</f>
        <v>9.3867398427815191E-2</v>
      </c>
      <c r="AK103" s="12">
        <f>$I$41*$AK$41</f>
        <v>0.69113682499369167</v>
      </c>
      <c r="AL103" s="12">
        <f>$I$41*$AL$41</f>
        <v>5.9147005396241814E-3</v>
      </c>
      <c r="AM103" s="12">
        <f>$I$41*$AM$41</f>
        <v>0</v>
      </c>
      <c r="AN103" s="12">
        <f>$I$41*$AN$41</f>
        <v>3.5795015858600086</v>
      </c>
      <c r="AO103" s="12">
        <f>$I$41*$AO$41</f>
        <v>1.221185717916218</v>
      </c>
      <c r="AP103" s="12">
        <f>$I$41*$AP$41</f>
        <v>0</v>
      </c>
      <c r="AQ103" s="12">
        <f>$I$41*$AQ$41</f>
        <v>4.7572518481596653</v>
      </c>
      <c r="AR103" s="12">
        <f>$I$41*$AR$41</f>
        <v>1.7510340864606668</v>
      </c>
      <c r="AS103" s="12">
        <f>$I$41*$AS$41</f>
        <v>0.14315273987192062</v>
      </c>
      <c r="AT103" s="12">
        <f>$I$41*$AT$41</f>
        <v>0</v>
      </c>
      <c r="AU103" s="12">
        <f>$I$41*$AU$41</f>
        <v>5.1302101302982965</v>
      </c>
      <c r="AV103" s="12">
        <f>$I$41*$AV$41</f>
        <v>0</v>
      </c>
      <c r="AW103" s="12">
        <f>$I$41*$AW$41</f>
        <v>0</v>
      </c>
      <c r="AX103" s="12">
        <f>$I$41*$AX$41</f>
        <v>42.74847893388911</v>
      </c>
      <c r="AY103" s="12">
        <f>$I$41*$AY$41</f>
        <v>0</v>
      </c>
      <c r="AZ103" s="12">
        <f>$I$41*$AZ$41</f>
        <v>0</v>
      </c>
      <c r="BA103" s="12">
        <f>$I$41*$BA$41</f>
        <v>2.1626777496071745</v>
      </c>
      <c r="BB103" s="12">
        <f>$I$41*$BB$41</f>
        <v>5.2868075229492155E-2</v>
      </c>
      <c r="BC103" s="12">
        <f>$I$41*$BC$41</f>
        <v>0.34826113712390594</v>
      </c>
      <c r="BD103" s="12">
        <f>$I$41*$BD$41</f>
        <v>0</v>
      </c>
    </row>
    <row r="104" spans="1:56" ht="11.25" customHeight="1" x14ac:dyDescent="0.25">
      <c r="A104" s="9" t="s">
        <v>43</v>
      </c>
      <c r="B104" s="9" t="s">
        <v>1132</v>
      </c>
      <c r="C104" s="9" t="s">
        <v>1133</v>
      </c>
      <c r="D104" s="9" t="s">
        <v>1134</v>
      </c>
      <c r="E104" s="9" t="s">
        <v>1135</v>
      </c>
      <c r="F104" s="9" t="s">
        <v>1136</v>
      </c>
      <c r="G104" s="9" t="s">
        <v>1139</v>
      </c>
      <c r="L104" s="12">
        <f>$I$42*$L$42</f>
        <v>6.1964489870989308</v>
      </c>
      <c r="M104" s="12">
        <f>$I$42*$M$42</f>
        <v>2.4916419992069425</v>
      </c>
      <c r="N104" s="12">
        <f ca="1">$I$42*$N$42</f>
        <v>6.2975804627972618</v>
      </c>
      <c r="O104" s="12">
        <f>$I$42*$O$42</f>
        <v>0.11915710340208435</v>
      </c>
      <c r="P104" s="12">
        <f>$I$42*$P$42</f>
        <v>0</v>
      </c>
      <c r="Q104" s="12">
        <f>$I$42*$Q$42</f>
        <v>110.75501143673836</v>
      </c>
      <c r="R104" s="12">
        <f>$I$42*$R$42</f>
        <v>45.703499203713548</v>
      </c>
      <c r="S104" s="12">
        <f>$I$42*$S$42</f>
        <v>0</v>
      </c>
      <c r="T104" s="12">
        <f>$I$42*$T$42</f>
        <v>36.574833211133047</v>
      </c>
      <c r="U104" s="12">
        <f>$I$42*$U$42</f>
        <v>9.973370132745492</v>
      </c>
      <c r="V104" s="12">
        <f>$I$42*$V$42</f>
        <v>0.84297119670818987</v>
      </c>
      <c r="W104" s="12">
        <f>$I$42*$W$42</f>
        <v>0</v>
      </c>
      <c r="X104" s="12">
        <f>$I$42*$X$42</f>
        <v>35.183035393254791</v>
      </c>
      <c r="Y104" s="12">
        <f>$I$42*$Y$42</f>
        <v>0</v>
      </c>
      <c r="Z104" s="12">
        <f>$I$42*$Z$42</f>
        <v>0</v>
      </c>
      <c r="AA104" s="12">
        <f>$I$42*$AA$42</f>
        <v>394.23483587741038</v>
      </c>
      <c r="AB104" s="12">
        <f ca="1">$I$42*$AB$42</f>
        <v>-60.542760437897428</v>
      </c>
      <c r="AC104" s="12">
        <f ca="1">$I$42*$AC$42</f>
        <v>0</v>
      </c>
      <c r="AD104" s="12">
        <f>$I$42*$AD$42</f>
        <v>58.549525775736527</v>
      </c>
      <c r="AE104" s="12">
        <f>$I$42*$AE$42</f>
        <v>1.3804379911404696</v>
      </c>
      <c r="AF104" s="12">
        <f ca="1">$I$42*$AF$42</f>
        <v>9.1792939638826585</v>
      </c>
      <c r="AG104" s="12">
        <f ca="1">$I$42*$AG$42</f>
        <v>0</v>
      </c>
      <c r="AI104" s="12">
        <f>$I$42*$AI$42</f>
        <v>0</v>
      </c>
      <c r="AJ104" s="12">
        <f>$I$42*$AJ$42</f>
        <v>2.1816078117361188</v>
      </c>
      <c r="AK104" s="12">
        <f>$I$42*$AK$42</f>
        <v>6.3328291300784221</v>
      </c>
      <c r="AL104" s="12">
        <f>$I$42*$AL$42</f>
        <v>0.13746579874850684</v>
      </c>
      <c r="AM104" s="12">
        <f>$I$42*$AM$42</f>
        <v>0</v>
      </c>
      <c r="AN104" s="12">
        <f>$I$42*$AN$42</f>
        <v>83.192554098953309</v>
      </c>
      <c r="AO104" s="12">
        <f>$I$42*$AO$42</f>
        <v>28.382040478466585</v>
      </c>
      <c r="AP104" s="12">
        <f>$I$42*$AP$42</f>
        <v>0</v>
      </c>
      <c r="AQ104" s="12">
        <f>$I$42*$AQ$42</f>
        <v>36.8550315593058</v>
      </c>
      <c r="AR104" s="12">
        <f>$I$42*$AR$42</f>
        <v>13.565601265591571</v>
      </c>
      <c r="AS104" s="12">
        <f>$I$42*$AS$42</f>
        <v>1.109134239829757</v>
      </c>
      <c r="AT104" s="12">
        <f>$I$42*$AT$42</f>
        <v>0</v>
      </c>
      <c r="AU104" s="12">
        <f>$I$42*$AU$42</f>
        <v>39.744257026906695</v>
      </c>
      <c r="AV104" s="12">
        <f>$I$42*$AV$42</f>
        <v>0</v>
      </c>
      <c r="AW104" s="12">
        <f>$I$42*$AW$42</f>
        <v>0</v>
      </c>
      <c r="AX104" s="12">
        <f>$I$42*$AX$42</f>
        <v>331.17797631656623</v>
      </c>
      <c r="AY104" s="12">
        <f>$I$42*$AY$42</f>
        <v>0</v>
      </c>
      <c r="AZ104" s="12">
        <f>$I$42*$AZ$42</f>
        <v>0</v>
      </c>
      <c r="BA104" s="12">
        <f>$I$42*$BA$42</f>
        <v>50.263613904663295</v>
      </c>
      <c r="BB104" s="12">
        <f>$I$42*$BB$42</f>
        <v>1.228726989816473</v>
      </c>
      <c r="BC104" s="12">
        <f>$I$42*$BC$42</f>
        <v>8.0940691869487118</v>
      </c>
      <c r="BD104" s="12">
        <f>$I$42*$BD$42</f>
        <v>0</v>
      </c>
    </row>
    <row r="105" spans="1:56" ht="11.25" customHeight="1" x14ac:dyDescent="0.25">
      <c r="A105" s="9" t="s">
        <v>43</v>
      </c>
      <c r="B105" s="9" t="s">
        <v>1140</v>
      </c>
      <c r="C105" s="9" t="s">
        <v>1141</v>
      </c>
      <c r="D105" s="9" t="s">
        <v>1142</v>
      </c>
      <c r="E105" s="9" t="s">
        <v>1143</v>
      </c>
      <c r="F105" s="9" t="s">
        <v>1144</v>
      </c>
      <c r="G105" s="9" t="s">
        <v>1145</v>
      </c>
      <c r="L105" s="12">
        <f>$I$43*$L$43</f>
        <v>43653.861759324689</v>
      </c>
      <c r="M105" s="12">
        <f>$I$43*$M$43</f>
        <v>17553.569086676427</v>
      </c>
      <c r="N105" s="12">
        <f ca="1">$I$43*$N$43</f>
        <v>63545.777257933318</v>
      </c>
      <c r="O105" s="12">
        <f>$I$43*$O$43</f>
        <v>839.45945982708361</v>
      </c>
      <c r="P105" s="12">
        <f>$I$43*$P$43</f>
        <v>0</v>
      </c>
      <c r="Q105" s="12">
        <f>$I$43*$Q$43</f>
        <v>780266.88648257707</v>
      </c>
      <c r="R105" s="12">
        <f>$I$43*$R$43</f>
        <v>321980.25680679479</v>
      </c>
      <c r="S105" s="12">
        <f>$I$43*$S$43</f>
        <v>0</v>
      </c>
      <c r="T105" s="12">
        <f>$I$43*$T$43</f>
        <v>402606.32095702557</v>
      </c>
      <c r="U105" s="12">
        <f>$I$43*$U$43</f>
        <v>109783.0679762142</v>
      </c>
      <c r="V105" s="12">
        <f>$I$43*$V$43</f>
        <v>9279.1307750814976</v>
      </c>
      <c r="W105" s="12">
        <f>$I$43*$W$43</f>
        <v>0</v>
      </c>
      <c r="X105" s="12">
        <f>$I$43*$X$43</f>
        <v>387287.4830155634</v>
      </c>
      <c r="Y105" s="12">
        <f>$I$43*$Y$43</f>
        <v>0</v>
      </c>
      <c r="Z105" s="12">
        <f>$I$43*$Z$43</f>
        <v>0</v>
      </c>
      <c r="AA105" s="12">
        <f>$I$43*$AA$43</f>
        <v>4339649.4387455825</v>
      </c>
      <c r="AB105" s="12">
        <f ca="1">$I$43*$AB$43</f>
        <v>-588552.92929212656</v>
      </c>
      <c r="AC105" s="12">
        <f ca="1">$I$43*$AC$43</f>
        <v>0</v>
      </c>
      <c r="AD105" s="12">
        <f>$I$43*$AD$43</f>
        <v>412480.26242279349</v>
      </c>
      <c r="AE105" s="12">
        <f>$I$43*$AE$43</f>
        <v>9725.158612300509</v>
      </c>
      <c r="AF105" s="12">
        <f ca="1">$I$43*$AF$43</f>
        <v>64667.946203030595</v>
      </c>
      <c r="AG105" s="12">
        <f ca="1">$I$43*$AG$43</f>
        <v>0</v>
      </c>
      <c r="AI105" s="12">
        <f>$I$43*$AI$43</f>
        <v>0</v>
      </c>
      <c r="AJ105" s="12">
        <f>$I$43*$AJ$43</f>
        <v>15369.384307830638</v>
      </c>
      <c r="AK105" s="12">
        <f>$I$43*$AK$43</f>
        <v>63893.932275551932</v>
      </c>
      <c r="AL105" s="12">
        <f>$I$43*$AL$43</f>
        <v>968.44385997470931</v>
      </c>
      <c r="AM105" s="12">
        <f>$I$43*$AM$43</f>
        <v>0</v>
      </c>
      <c r="AN105" s="12">
        <f>$I$43*$AN$43</f>
        <v>586089.91433674912</v>
      </c>
      <c r="AO105" s="12">
        <f>$I$43*$AO$43</f>
        <v>199950.91932074621</v>
      </c>
      <c r="AP105" s="12">
        <f>$I$43*$AP$43</f>
        <v>0</v>
      </c>
      <c r="AQ105" s="12">
        <f>$I$43*$AQ$43</f>
        <v>405690.67203102395</v>
      </c>
      <c r="AR105" s="12">
        <f>$I$43*$AR$43</f>
        <v>149324.98303546742</v>
      </c>
      <c r="AS105" s="12">
        <f>$I$43*$AS$43</f>
        <v>12208.960043582145</v>
      </c>
      <c r="AT105" s="12">
        <f>$I$43*$AT$43</f>
        <v>0</v>
      </c>
      <c r="AU105" s="12">
        <f>$I$43*$AU$43</f>
        <v>437496.45521561056</v>
      </c>
      <c r="AV105" s="12">
        <f>$I$43*$AV$43</f>
        <v>0</v>
      </c>
      <c r="AW105" s="12">
        <f>$I$43*$AW$43</f>
        <v>0</v>
      </c>
      <c r="AX105" s="12">
        <f>$I$43*$AX$43</f>
        <v>3645533.5456301286</v>
      </c>
      <c r="AY105" s="12">
        <f>$I$43*$AY$43</f>
        <v>0</v>
      </c>
      <c r="AZ105" s="12">
        <f>$I$43*$AZ$43</f>
        <v>0</v>
      </c>
      <c r="BA105" s="12">
        <f>$I$43*$BA$43</f>
        <v>354106.1755671014</v>
      </c>
      <c r="BB105" s="12">
        <f>$I$43*$BB$43</f>
        <v>8656.3575791676376</v>
      </c>
      <c r="BC105" s="12">
        <f>$I$43*$BC$43</f>
        <v>57022.55890319126</v>
      </c>
      <c r="BD105" s="12">
        <f>$I$43*$BD$43</f>
        <v>0</v>
      </c>
    </row>
    <row r="106" spans="1:56" ht="11.25" customHeight="1" x14ac:dyDescent="0.25">
      <c r="A106" s="9" t="s">
        <v>43</v>
      </c>
      <c r="B106" s="9" t="s">
        <v>1132</v>
      </c>
      <c r="C106" s="9" t="s">
        <v>1133</v>
      </c>
      <c r="D106" s="9" t="s">
        <v>1146</v>
      </c>
      <c r="E106" s="9" t="s">
        <v>1147</v>
      </c>
      <c r="F106" s="9" t="s">
        <v>1148</v>
      </c>
      <c r="G106" s="9" t="s">
        <v>1149</v>
      </c>
      <c r="L106" s="12">
        <f>$I$44*$L$44</f>
        <v>0</v>
      </c>
      <c r="M106" s="12">
        <f>$I$44*$M$44</f>
        <v>0</v>
      </c>
      <c r="N106" s="12">
        <f ca="1">$I$44*$N$44</f>
        <v>0</v>
      </c>
      <c r="O106" s="12">
        <f>$I$44*$O$44</f>
        <v>0</v>
      </c>
      <c r="P106" s="12">
        <f>$I$44*$P$44</f>
        <v>0</v>
      </c>
      <c r="Q106" s="12">
        <f>$I$44*$Q$44</f>
        <v>0</v>
      </c>
      <c r="R106" s="12">
        <f>$I$44*$R$44</f>
        <v>0</v>
      </c>
      <c r="S106" s="12">
        <f>$I$44*$S$44</f>
        <v>0</v>
      </c>
      <c r="T106" s="12">
        <f>$I$44*$T$44</f>
        <v>0</v>
      </c>
      <c r="U106" s="12">
        <f>$I$44*$U$44</f>
        <v>0</v>
      </c>
      <c r="V106" s="12">
        <f>$I$44*$V$44</f>
        <v>0</v>
      </c>
      <c r="W106" s="12">
        <f>$I$44*$W$44</f>
        <v>0</v>
      </c>
      <c r="X106" s="12">
        <f>$I$44*$X$44</f>
        <v>0</v>
      </c>
      <c r="Y106" s="12">
        <f>$I$44*$Y$44</f>
        <v>0</v>
      </c>
      <c r="Z106" s="12">
        <f>$I$44*$Z$44</f>
        <v>0</v>
      </c>
      <c r="AA106" s="12">
        <f>$I$44*$AA$44</f>
        <v>0</v>
      </c>
      <c r="AB106" s="12">
        <f ca="1">$I$44*$AB$44</f>
        <v>0</v>
      </c>
      <c r="AC106" s="12">
        <f ca="1">$I$44*$AC$44</f>
        <v>0</v>
      </c>
      <c r="AD106" s="12">
        <f>$I$44*$AD$44</f>
        <v>0</v>
      </c>
      <c r="AE106" s="12">
        <f>$I$44*$AE$44</f>
        <v>0</v>
      </c>
      <c r="AF106" s="12">
        <f ca="1">$I$44*$AF$44</f>
        <v>0</v>
      </c>
      <c r="AG106" s="12">
        <f ca="1">$I$44*$AG$44</f>
        <v>0</v>
      </c>
      <c r="AI106" s="12">
        <f>$I$44*$AI$44</f>
        <v>0</v>
      </c>
      <c r="AJ106" s="12">
        <f>$I$44*$AJ$44</f>
        <v>0</v>
      </c>
      <c r="AK106" s="12">
        <f>$I$44*$AK$44</f>
        <v>0</v>
      </c>
      <c r="AL106" s="12">
        <f>$I$44*$AL$44</f>
        <v>0</v>
      </c>
      <c r="AM106" s="12">
        <f>$I$44*$AM$44</f>
        <v>0</v>
      </c>
      <c r="AN106" s="12">
        <f>$I$44*$AN$44</f>
        <v>0</v>
      </c>
      <c r="AO106" s="12">
        <f>$I$44*$AO$44</f>
        <v>0</v>
      </c>
      <c r="AP106" s="12">
        <f>$I$44*$AP$44</f>
        <v>0</v>
      </c>
      <c r="AQ106" s="12">
        <f>$I$44*$AQ$44</f>
        <v>0</v>
      </c>
      <c r="AR106" s="12">
        <f>$I$44*$AR$44</f>
        <v>0</v>
      </c>
      <c r="AS106" s="12">
        <f>$I$44*$AS$44</f>
        <v>0</v>
      </c>
      <c r="AT106" s="12">
        <f>$I$44*$AT$44</f>
        <v>0</v>
      </c>
      <c r="AU106" s="12">
        <f>$I$44*$AU$44</f>
        <v>0</v>
      </c>
      <c r="AV106" s="12">
        <f>$I$44*$AV$44</f>
        <v>0</v>
      </c>
      <c r="AW106" s="12">
        <f>$I$44*$AW$44</f>
        <v>0</v>
      </c>
      <c r="AX106" s="12">
        <f>$I$44*$AX$44</f>
        <v>0</v>
      </c>
      <c r="AY106" s="12">
        <f>$I$44*$AY$44</f>
        <v>0</v>
      </c>
      <c r="AZ106" s="12">
        <f>$I$44*$AZ$44</f>
        <v>0</v>
      </c>
      <c r="BA106" s="12">
        <f>$I$44*$BA$44</f>
        <v>0</v>
      </c>
      <c r="BB106" s="12">
        <f>$I$44*$BB$44</f>
        <v>0</v>
      </c>
      <c r="BC106" s="12">
        <f>$I$44*$BC$44</f>
        <v>0</v>
      </c>
      <c r="BD106" s="12">
        <f>$I$44*$BD$44</f>
        <v>0</v>
      </c>
    </row>
    <row r="107" spans="1:56" ht="11.25" customHeight="1" x14ac:dyDescent="0.25">
      <c r="A107" s="9" t="s">
        <v>43</v>
      </c>
      <c r="B107" s="9" t="s">
        <v>1132</v>
      </c>
      <c r="C107" s="9" t="s">
        <v>1133</v>
      </c>
      <c r="D107" s="9" t="s">
        <v>1146</v>
      </c>
      <c r="E107" s="9" t="s">
        <v>1147</v>
      </c>
      <c r="F107" s="9" t="s">
        <v>1148</v>
      </c>
      <c r="G107" s="9" t="s">
        <v>1150</v>
      </c>
      <c r="L107" s="12">
        <f>$I$45*$L$45</f>
        <v>0</v>
      </c>
      <c r="M107" s="12">
        <f>$I$45*$M$45</f>
        <v>0</v>
      </c>
      <c r="N107" s="12">
        <f ca="1">$I$45*$N$45</f>
        <v>0</v>
      </c>
      <c r="O107" s="12">
        <f>$I$45*$O$45</f>
        <v>0</v>
      </c>
      <c r="P107" s="12">
        <f>$I$45*$P$45</f>
        <v>0</v>
      </c>
      <c r="Q107" s="12">
        <f>$I$45*$Q$45</f>
        <v>0</v>
      </c>
      <c r="R107" s="12">
        <f>$I$45*$R$45</f>
        <v>0</v>
      </c>
      <c r="S107" s="12">
        <f>$I$45*$S$45</f>
        <v>0</v>
      </c>
      <c r="T107" s="12">
        <f>$I$45*$T$45</f>
        <v>0</v>
      </c>
      <c r="U107" s="12">
        <f>$I$45*$U$45</f>
        <v>0</v>
      </c>
      <c r="V107" s="12">
        <f>$I$45*$V$45</f>
        <v>0</v>
      </c>
      <c r="W107" s="12">
        <f>$I$45*$W$45</f>
        <v>0</v>
      </c>
      <c r="X107" s="12">
        <f>$I$45*$X$45</f>
        <v>0</v>
      </c>
      <c r="Y107" s="12">
        <f>$I$45*$Y$45</f>
        <v>0</v>
      </c>
      <c r="Z107" s="12">
        <f>$I$45*$Z$45</f>
        <v>0</v>
      </c>
      <c r="AA107" s="12">
        <f>$I$45*$AA$45</f>
        <v>0</v>
      </c>
      <c r="AB107" s="12">
        <f ca="1">$I$45*$AB$45</f>
        <v>0</v>
      </c>
      <c r="AC107" s="12">
        <f ca="1">$I$45*$AC$45</f>
        <v>0</v>
      </c>
      <c r="AD107" s="12">
        <f>$I$45*$AD$45</f>
        <v>0</v>
      </c>
      <c r="AE107" s="12">
        <f>$I$45*$AE$45</f>
        <v>0</v>
      </c>
      <c r="AF107" s="12">
        <f ca="1">$I$45*$AF$45</f>
        <v>0</v>
      </c>
      <c r="AG107" s="12">
        <f ca="1">$I$45*$AG$45</f>
        <v>0</v>
      </c>
      <c r="AI107" s="12">
        <f>$I$45*$AI$45</f>
        <v>0</v>
      </c>
      <c r="AJ107" s="12">
        <f>$I$45*$AJ$45</f>
        <v>0</v>
      </c>
      <c r="AK107" s="12">
        <f>$I$45*$AK$45</f>
        <v>0</v>
      </c>
      <c r="AL107" s="12">
        <f>$I$45*$AL$45</f>
        <v>0</v>
      </c>
      <c r="AM107" s="12">
        <f>$I$45*$AM$45</f>
        <v>0</v>
      </c>
      <c r="AN107" s="12">
        <f>$I$45*$AN$45</f>
        <v>0</v>
      </c>
      <c r="AO107" s="12">
        <f>$I$45*$AO$45</f>
        <v>0</v>
      </c>
      <c r="AP107" s="12">
        <f>$I$45*$AP$45</f>
        <v>0</v>
      </c>
      <c r="AQ107" s="12">
        <f>$I$45*$AQ$45</f>
        <v>0</v>
      </c>
      <c r="AR107" s="12">
        <f>$I$45*$AR$45</f>
        <v>0</v>
      </c>
      <c r="AS107" s="12">
        <f>$I$45*$AS$45</f>
        <v>0</v>
      </c>
      <c r="AT107" s="12">
        <f>$I$45*$AT$45</f>
        <v>0</v>
      </c>
      <c r="AU107" s="12">
        <f>$I$45*$AU$45</f>
        <v>0</v>
      </c>
      <c r="AV107" s="12">
        <f>$I$45*$AV$45</f>
        <v>0</v>
      </c>
      <c r="AW107" s="12">
        <f>$I$45*$AW$45</f>
        <v>0</v>
      </c>
      <c r="AX107" s="12">
        <f>$I$45*$AX$45</f>
        <v>0</v>
      </c>
      <c r="AY107" s="12">
        <f>$I$45*$AY$45</f>
        <v>0</v>
      </c>
      <c r="AZ107" s="12">
        <f>$I$45*$AZ$45</f>
        <v>0</v>
      </c>
      <c r="BA107" s="12">
        <f>$I$45*$BA$45</f>
        <v>0</v>
      </c>
      <c r="BB107" s="12">
        <f>$I$45*$BB$45</f>
        <v>0</v>
      </c>
      <c r="BC107" s="12">
        <f>$I$45*$BC$45</f>
        <v>0</v>
      </c>
      <c r="BD107" s="12">
        <f>$I$45*$BD$45</f>
        <v>0</v>
      </c>
    </row>
    <row r="108" spans="1:56" ht="11.25" customHeight="1" x14ac:dyDescent="0.25">
      <c r="A108" s="9" t="s">
        <v>43</v>
      </c>
      <c r="B108" s="9" t="s">
        <v>1132</v>
      </c>
      <c r="C108" s="9" t="s">
        <v>1133</v>
      </c>
      <c r="D108" s="9" t="s">
        <v>1146</v>
      </c>
      <c r="E108" s="9" t="s">
        <v>1147</v>
      </c>
      <c r="F108" s="9" t="s">
        <v>1148</v>
      </c>
      <c r="G108" s="9" t="s">
        <v>1151</v>
      </c>
      <c r="L108" s="12">
        <f>$I$46*$L$46</f>
        <v>0</v>
      </c>
      <c r="M108" s="12">
        <f>$I$46*$M$46</f>
        <v>0</v>
      </c>
      <c r="N108" s="12">
        <f ca="1">$I$46*$N$46</f>
        <v>0</v>
      </c>
      <c r="O108" s="12">
        <f>$I$46*$O$46</f>
        <v>0</v>
      </c>
      <c r="P108" s="12">
        <f>$I$46*$P$46</f>
        <v>0</v>
      </c>
      <c r="Q108" s="12">
        <f>$I$46*$Q$46</f>
        <v>0</v>
      </c>
      <c r="R108" s="12">
        <f>$I$46*$R$46</f>
        <v>0</v>
      </c>
      <c r="S108" s="12">
        <f>$I$46*$S$46</f>
        <v>0</v>
      </c>
      <c r="T108" s="12">
        <f>$I$46*$T$46</f>
        <v>0</v>
      </c>
      <c r="U108" s="12">
        <f>$I$46*$U$46</f>
        <v>0</v>
      </c>
      <c r="V108" s="12">
        <f>$I$46*$V$46</f>
        <v>0</v>
      </c>
      <c r="W108" s="12">
        <f>$I$46*$W$46</f>
        <v>0</v>
      </c>
      <c r="X108" s="12">
        <f>$I$46*$X$46</f>
        <v>0</v>
      </c>
      <c r="Y108" s="12">
        <f>$I$46*$Y$46</f>
        <v>0</v>
      </c>
      <c r="Z108" s="12">
        <f>$I$46*$Z$46</f>
        <v>0</v>
      </c>
      <c r="AA108" s="12">
        <f>$I$46*$AA$46</f>
        <v>0</v>
      </c>
      <c r="AB108" s="12">
        <f ca="1">$I$46*$AB$46</f>
        <v>0</v>
      </c>
      <c r="AC108" s="12">
        <f ca="1">$I$46*$AC$46</f>
        <v>0</v>
      </c>
      <c r="AD108" s="12">
        <f>$I$46*$AD$46</f>
        <v>0</v>
      </c>
      <c r="AE108" s="12">
        <f>$I$46*$AE$46</f>
        <v>0</v>
      </c>
      <c r="AF108" s="12">
        <f ca="1">$I$46*$AF$46</f>
        <v>0</v>
      </c>
      <c r="AG108" s="12">
        <f ca="1">$I$46*$AG$46</f>
        <v>0</v>
      </c>
      <c r="AI108" s="12">
        <f>$I$46*$AI$46</f>
        <v>0</v>
      </c>
      <c r="AJ108" s="12">
        <f>$I$46*$AJ$46</f>
        <v>0</v>
      </c>
      <c r="AK108" s="12">
        <f>$I$46*$AK$46</f>
        <v>0</v>
      </c>
      <c r="AL108" s="12">
        <f>$I$46*$AL$46</f>
        <v>0</v>
      </c>
      <c r="AM108" s="12">
        <f>$I$46*$AM$46</f>
        <v>0</v>
      </c>
      <c r="AN108" s="12">
        <f>$I$46*$AN$46</f>
        <v>0</v>
      </c>
      <c r="AO108" s="12">
        <f>$I$46*$AO$46</f>
        <v>0</v>
      </c>
      <c r="AP108" s="12">
        <f>$I$46*$AP$46</f>
        <v>0</v>
      </c>
      <c r="AQ108" s="12">
        <f>$I$46*$AQ$46</f>
        <v>0</v>
      </c>
      <c r="AR108" s="12">
        <f>$I$46*$AR$46</f>
        <v>0</v>
      </c>
      <c r="AS108" s="12">
        <f>$I$46*$AS$46</f>
        <v>0</v>
      </c>
      <c r="AT108" s="12">
        <f>$I$46*$AT$46</f>
        <v>0</v>
      </c>
      <c r="AU108" s="12">
        <f>$I$46*$AU$46</f>
        <v>0</v>
      </c>
      <c r="AV108" s="12">
        <f>$I$46*$AV$46</f>
        <v>0</v>
      </c>
      <c r="AW108" s="12">
        <f>$I$46*$AW$46</f>
        <v>0</v>
      </c>
      <c r="AX108" s="12">
        <f>$I$46*$AX$46</f>
        <v>0</v>
      </c>
      <c r="AY108" s="12">
        <f>$I$46*$AY$46</f>
        <v>0</v>
      </c>
      <c r="AZ108" s="12">
        <f>$I$46*$AZ$46</f>
        <v>0</v>
      </c>
      <c r="BA108" s="12">
        <f>$I$46*$BA$46</f>
        <v>0</v>
      </c>
      <c r="BB108" s="12">
        <f>$I$46*$BB$46</f>
        <v>0</v>
      </c>
      <c r="BC108" s="12">
        <f>$I$46*$BC$46</f>
        <v>0</v>
      </c>
      <c r="BD108" s="12">
        <f>$I$46*$BD$46</f>
        <v>0</v>
      </c>
    </row>
    <row r="109" spans="1:56" ht="11.25" customHeight="1" x14ac:dyDescent="0.25">
      <c r="A109" s="9" t="s">
        <v>43</v>
      </c>
      <c r="B109" s="9" t="s">
        <v>1140</v>
      </c>
      <c r="C109" s="9" t="s">
        <v>1141</v>
      </c>
      <c r="D109" s="9" t="s">
        <v>1152</v>
      </c>
      <c r="E109" s="9" t="s">
        <v>1153</v>
      </c>
      <c r="F109" s="9" t="s">
        <v>1154</v>
      </c>
      <c r="G109" s="9" t="s">
        <v>1155</v>
      </c>
      <c r="L109" s="12">
        <f>$I$47*$L$47</f>
        <v>0</v>
      </c>
      <c r="M109" s="12">
        <f>$I$47*$M$47</f>
        <v>0</v>
      </c>
      <c r="N109" s="12">
        <f ca="1">$I$47*$N$47</f>
        <v>0</v>
      </c>
      <c r="O109" s="12">
        <f>$I$47*$O$47</f>
        <v>0</v>
      </c>
      <c r="P109" s="12">
        <f>$I$47*$P$47</f>
        <v>0</v>
      </c>
      <c r="Q109" s="12">
        <f>$I$47*$Q$47</f>
        <v>0</v>
      </c>
      <c r="R109" s="12">
        <f>$I$47*$R$47</f>
        <v>0</v>
      </c>
      <c r="S109" s="12">
        <f>$I$47*$S$47</f>
        <v>0</v>
      </c>
      <c r="T109" s="12">
        <f>$I$47*$T$47</f>
        <v>0</v>
      </c>
      <c r="U109" s="12">
        <f>$I$47*$U$47</f>
        <v>0</v>
      </c>
      <c r="V109" s="12">
        <f>$I$47*$V$47</f>
        <v>0</v>
      </c>
      <c r="W109" s="12">
        <f>$I$47*$W$47</f>
        <v>0</v>
      </c>
      <c r="X109" s="12">
        <f>$I$47*$X$47</f>
        <v>0</v>
      </c>
      <c r="Y109" s="12">
        <f>$I$47*$Y$47</f>
        <v>0</v>
      </c>
      <c r="Z109" s="12">
        <f>$I$47*$Z$47</f>
        <v>0</v>
      </c>
      <c r="AA109" s="12">
        <f>$I$47*$AA$47</f>
        <v>0</v>
      </c>
      <c r="AB109" s="12">
        <f ca="1">$I$47*$AB$47</f>
        <v>0</v>
      </c>
      <c r="AC109" s="12">
        <f ca="1">$I$47*$AC$47</f>
        <v>0</v>
      </c>
      <c r="AD109" s="12">
        <f>$I$47*$AD$47</f>
        <v>0</v>
      </c>
      <c r="AE109" s="12">
        <f>$I$47*$AE$47</f>
        <v>0</v>
      </c>
      <c r="AF109" s="12">
        <f ca="1">$I$47*$AF$47</f>
        <v>0</v>
      </c>
      <c r="AG109" s="12">
        <f ca="1">$I$47*$AG$47</f>
        <v>0</v>
      </c>
      <c r="AI109" s="12">
        <f>$I$47*$AI$47</f>
        <v>0</v>
      </c>
      <c r="AJ109" s="12">
        <f>$I$47*$AJ$47</f>
        <v>0</v>
      </c>
      <c r="AK109" s="12">
        <f>$I$47*$AK$47</f>
        <v>0</v>
      </c>
      <c r="AL109" s="12">
        <f>$I$47*$AL$47</f>
        <v>0</v>
      </c>
      <c r="AM109" s="12">
        <f>$I$47*$AM$47</f>
        <v>0</v>
      </c>
      <c r="AN109" s="12">
        <f>$I$47*$AN$47</f>
        <v>0</v>
      </c>
      <c r="AO109" s="12">
        <f>$I$47*$AO$47</f>
        <v>0</v>
      </c>
      <c r="AP109" s="12">
        <f>$I$47*$AP$47</f>
        <v>0</v>
      </c>
      <c r="AQ109" s="12">
        <f>$I$47*$AQ$47</f>
        <v>0</v>
      </c>
      <c r="AR109" s="12">
        <f>$I$47*$AR$47</f>
        <v>0</v>
      </c>
      <c r="AS109" s="12">
        <f>$I$47*$AS$47</f>
        <v>0</v>
      </c>
      <c r="AT109" s="12">
        <f>$I$47*$AT$47</f>
        <v>0</v>
      </c>
      <c r="AU109" s="12">
        <f>$I$47*$AU$47</f>
        <v>0</v>
      </c>
      <c r="AV109" s="12">
        <f>$I$47*$AV$47</f>
        <v>0</v>
      </c>
      <c r="AW109" s="12">
        <f>$I$47*$AW$47</f>
        <v>0</v>
      </c>
      <c r="AX109" s="12">
        <f>$I$47*$AX$47</f>
        <v>0</v>
      </c>
      <c r="AY109" s="12">
        <f>$I$47*$AY$47</f>
        <v>0</v>
      </c>
      <c r="AZ109" s="12">
        <f>$I$47*$AZ$47</f>
        <v>0</v>
      </c>
      <c r="BA109" s="12">
        <f>$I$47*$BA$47</f>
        <v>0</v>
      </c>
      <c r="BB109" s="12">
        <f>$I$47*$BB$47</f>
        <v>0</v>
      </c>
      <c r="BC109" s="12">
        <f>$I$47*$BC$47</f>
        <v>0</v>
      </c>
      <c r="BD109" s="12">
        <f>$I$47*$BD$47</f>
        <v>0</v>
      </c>
    </row>
    <row r="110" spans="1:56" ht="11.25" customHeight="1" x14ac:dyDescent="0.25">
      <c r="A110" s="9" t="s">
        <v>43</v>
      </c>
      <c r="B110" s="9" t="s">
        <v>1132</v>
      </c>
      <c r="C110" s="9" t="s">
        <v>1133</v>
      </c>
      <c r="D110" s="9" t="s">
        <v>1156</v>
      </c>
      <c r="E110" s="9" t="s">
        <v>1157</v>
      </c>
      <c r="F110" s="9" t="s">
        <v>1158</v>
      </c>
      <c r="G110" s="9" t="s">
        <v>1159</v>
      </c>
      <c r="L110" s="12">
        <f>$I$48*$L$48</f>
        <v>0</v>
      </c>
      <c r="M110" s="12">
        <f>$I$48*$M$48</f>
        <v>0</v>
      </c>
      <c r="N110" s="12">
        <f ca="1">$I$48*$N$48</f>
        <v>0</v>
      </c>
      <c r="O110" s="12">
        <f>$I$48*$O$48</f>
        <v>0</v>
      </c>
      <c r="P110" s="12">
        <f>$I$48*$P$48</f>
        <v>0</v>
      </c>
      <c r="Q110" s="12">
        <f>$I$48*$Q$48</f>
        <v>0</v>
      </c>
      <c r="R110" s="12">
        <f>$I$48*$R$48</f>
        <v>0</v>
      </c>
      <c r="S110" s="12">
        <f>$I$48*$S$48</f>
        <v>0</v>
      </c>
      <c r="T110" s="12">
        <f>$I$48*$T$48</f>
        <v>0</v>
      </c>
      <c r="U110" s="12">
        <f>$I$48*$U$48</f>
        <v>0</v>
      </c>
      <c r="V110" s="12">
        <f>$I$48*$V$48</f>
        <v>0</v>
      </c>
      <c r="W110" s="12">
        <f>$I$48*$W$48</f>
        <v>0</v>
      </c>
      <c r="X110" s="12">
        <f>$I$48*$X$48</f>
        <v>0</v>
      </c>
      <c r="Y110" s="12">
        <f>$I$48*$Y$48</f>
        <v>0</v>
      </c>
      <c r="Z110" s="12">
        <f>$I$48*$Z$48</f>
        <v>0</v>
      </c>
      <c r="AA110" s="12">
        <f>$I$48*$AA$48</f>
        <v>0</v>
      </c>
      <c r="AB110" s="12">
        <f ca="1">$I$48*$AB$48</f>
        <v>0</v>
      </c>
      <c r="AC110" s="12">
        <f ca="1">$I$48*$AC$48</f>
        <v>0</v>
      </c>
      <c r="AD110" s="12">
        <f>$I$48*$AD$48</f>
        <v>0</v>
      </c>
      <c r="AE110" s="12">
        <f>$I$48*$AE$48</f>
        <v>0</v>
      </c>
      <c r="AF110" s="12">
        <f ca="1">$I$48*$AF$48</f>
        <v>0</v>
      </c>
      <c r="AG110" s="12">
        <f ca="1">$I$48*$AG$48</f>
        <v>0</v>
      </c>
      <c r="AI110" s="12">
        <f>$I$48*$AI$48</f>
        <v>0</v>
      </c>
      <c r="AJ110" s="12">
        <f>$I$48*$AJ$48</f>
        <v>0</v>
      </c>
      <c r="AK110" s="12">
        <f>$I$48*$AK$48</f>
        <v>0</v>
      </c>
      <c r="AL110" s="12">
        <f>$I$48*$AL$48</f>
        <v>0</v>
      </c>
      <c r="AM110" s="12">
        <f>$I$48*$AM$48</f>
        <v>0</v>
      </c>
      <c r="AN110" s="12">
        <f>$I$48*$AN$48</f>
        <v>0</v>
      </c>
      <c r="AO110" s="12">
        <f>$I$48*$AO$48</f>
        <v>0</v>
      </c>
      <c r="AP110" s="12">
        <f>$I$48*$AP$48</f>
        <v>0</v>
      </c>
      <c r="AQ110" s="12">
        <f>$I$48*$AQ$48</f>
        <v>0</v>
      </c>
      <c r="AR110" s="12">
        <f>$I$48*$AR$48</f>
        <v>0</v>
      </c>
      <c r="AS110" s="12">
        <f>$I$48*$AS$48</f>
        <v>0</v>
      </c>
      <c r="AT110" s="12">
        <f>$I$48*$AT$48</f>
        <v>0</v>
      </c>
      <c r="AU110" s="12">
        <f>$I$48*$AU$48</f>
        <v>0</v>
      </c>
      <c r="AV110" s="12">
        <f>$I$48*$AV$48</f>
        <v>0</v>
      </c>
      <c r="AW110" s="12">
        <f>$I$48*$AW$48</f>
        <v>0</v>
      </c>
      <c r="AX110" s="12">
        <f>$I$48*$AX$48</f>
        <v>0</v>
      </c>
      <c r="AY110" s="12">
        <f>$I$48*$AY$48</f>
        <v>0</v>
      </c>
      <c r="AZ110" s="12">
        <f>$I$48*$AZ$48</f>
        <v>0</v>
      </c>
      <c r="BA110" s="12">
        <f>$I$48*$BA$48</f>
        <v>0</v>
      </c>
      <c r="BB110" s="12">
        <f>$I$48*$BB$48</f>
        <v>0</v>
      </c>
      <c r="BC110" s="12">
        <f>$I$48*$BC$48</f>
        <v>0</v>
      </c>
      <c r="BD110" s="12">
        <f>$I$48*$BD$48</f>
        <v>0</v>
      </c>
    </row>
    <row r="111" spans="1:56" ht="11.25" customHeight="1" x14ac:dyDescent="0.25">
      <c r="A111" s="9" t="s">
        <v>43</v>
      </c>
      <c r="B111" s="9" t="s">
        <v>1132</v>
      </c>
      <c r="C111" s="9" t="s">
        <v>1133</v>
      </c>
      <c r="D111" s="9" t="s">
        <v>1156</v>
      </c>
      <c r="E111" s="9" t="s">
        <v>1157</v>
      </c>
      <c r="F111" s="9" t="s">
        <v>1158</v>
      </c>
      <c r="G111" s="9" t="s">
        <v>1160</v>
      </c>
      <c r="L111" s="12">
        <f>$I$49*$L$49</f>
        <v>0</v>
      </c>
      <c r="M111" s="12">
        <f>$I$49*$M$49</f>
        <v>0</v>
      </c>
      <c r="N111" s="12">
        <f ca="1">$I$49*$N$49</f>
        <v>0</v>
      </c>
      <c r="O111" s="12">
        <f>$I$49*$O$49</f>
        <v>0</v>
      </c>
      <c r="P111" s="12">
        <f>$I$49*$P$49</f>
        <v>0</v>
      </c>
      <c r="Q111" s="12">
        <f>$I$49*$Q$49</f>
        <v>0</v>
      </c>
      <c r="R111" s="12">
        <f>$I$49*$R$49</f>
        <v>0</v>
      </c>
      <c r="S111" s="12">
        <f>$I$49*$S$49</f>
        <v>0</v>
      </c>
      <c r="T111" s="12">
        <f>$I$49*$T$49</f>
        <v>0</v>
      </c>
      <c r="U111" s="12">
        <f>$I$49*$U$49</f>
        <v>0</v>
      </c>
      <c r="V111" s="12">
        <f>$I$49*$V$49</f>
        <v>0</v>
      </c>
      <c r="W111" s="12">
        <f>$I$49*$W$49</f>
        <v>0</v>
      </c>
      <c r="X111" s="12">
        <f>$I$49*$X$49</f>
        <v>0</v>
      </c>
      <c r="Y111" s="12">
        <f>$I$49*$Y$49</f>
        <v>0</v>
      </c>
      <c r="Z111" s="12">
        <f>$I$49*$Z$49</f>
        <v>0</v>
      </c>
      <c r="AA111" s="12">
        <f>$I$49*$AA$49</f>
        <v>0</v>
      </c>
      <c r="AB111" s="12">
        <f ca="1">$I$49*$AB$49</f>
        <v>0</v>
      </c>
      <c r="AC111" s="12">
        <f ca="1">$I$49*$AC$49</f>
        <v>0</v>
      </c>
      <c r="AD111" s="12">
        <f>$I$49*$AD$49</f>
        <v>0</v>
      </c>
      <c r="AE111" s="12">
        <f>$I$49*$AE$49</f>
        <v>0</v>
      </c>
      <c r="AF111" s="12">
        <f ca="1">$I$49*$AF$49</f>
        <v>0</v>
      </c>
      <c r="AG111" s="12">
        <f ca="1">$I$49*$AG$49</f>
        <v>0</v>
      </c>
      <c r="AI111" s="12">
        <f>$I$49*$AI$49</f>
        <v>0</v>
      </c>
      <c r="AJ111" s="12">
        <f>$I$49*$AJ$49</f>
        <v>0</v>
      </c>
      <c r="AK111" s="12">
        <f>$I$49*$AK$49</f>
        <v>0</v>
      </c>
      <c r="AL111" s="12">
        <f>$I$49*$AL$49</f>
        <v>0</v>
      </c>
      <c r="AM111" s="12">
        <f>$I$49*$AM$49</f>
        <v>0</v>
      </c>
      <c r="AN111" s="12">
        <f>$I$49*$AN$49</f>
        <v>0</v>
      </c>
      <c r="AO111" s="12">
        <f>$I$49*$AO$49</f>
        <v>0</v>
      </c>
      <c r="AP111" s="12">
        <f>$I$49*$AP$49</f>
        <v>0</v>
      </c>
      <c r="AQ111" s="12">
        <f>$I$49*$AQ$49</f>
        <v>0</v>
      </c>
      <c r="AR111" s="12">
        <f>$I$49*$AR$49</f>
        <v>0</v>
      </c>
      <c r="AS111" s="12">
        <f>$I$49*$AS$49</f>
        <v>0</v>
      </c>
      <c r="AT111" s="12">
        <f>$I$49*$AT$49</f>
        <v>0</v>
      </c>
      <c r="AU111" s="12">
        <f>$I$49*$AU$49</f>
        <v>0</v>
      </c>
      <c r="AV111" s="12">
        <f>$I$49*$AV$49</f>
        <v>0</v>
      </c>
      <c r="AW111" s="12">
        <f>$I$49*$AW$49</f>
        <v>0</v>
      </c>
      <c r="AX111" s="12">
        <f>$I$49*$AX$49</f>
        <v>0</v>
      </c>
      <c r="AY111" s="12">
        <f>$I$49*$AY$49</f>
        <v>0</v>
      </c>
      <c r="AZ111" s="12">
        <f>$I$49*$AZ$49</f>
        <v>0</v>
      </c>
      <c r="BA111" s="12">
        <f>$I$49*$BA$49</f>
        <v>0</v>
      </c>
      <c r="BB111" s="12">
        <f>$I$49*$BB$49</f>
        <v>0</v>
      </c>
      <c r="BC111" s="12">
        <f>$I$49*$BC$49</f>
        <v>0</v>
      </c>
      <c r="BD111" s="12">
        <f>$I$49*$BD$49</f>
        <v>0</v>
      </c>
    </row>
    <row r="112" spans="1:56" ht="11.25" customHeight="1" x14ac:dyDescent="0.25">
      <c r="A112" s="9" t="s">
        <v>43</v>
      </c>
      <c r="B112" s="9" t="s">
        <v>1132</v>
      </c>
      <c r="C112" s="9" t="s">
        <v>1133</v>
      </c>
      <c r="D112" s="9" t="s">
        <v>1156</v>
      </c>
      <c r="E112" s="9" t="s">
        <v>1157</v>
      </c>
      <c r="F112" s="9" t="s">
        <v>1158</v>
      </c>
      <c r="G112" s="9" t="s">
        <v>1161</v>
      </c>
      <c r="L112" s="12">
        <f>$I$50*$L$50</f>
        <v>0</v>
      </c>
      <c r="M112" s="12">
        <f>$I$50*$M$50</f>
        <v>0</v>
      </c>
      <c r="N112" s="12">
        <f ca="1">$I$50*$N$50</f>
        <v>0</v>
      </c>
      <c r="O112" s="12">
        <f>$I$50*$O$50</f>
        <v>0</v>
      </c>
      <c r="P112" s="12">
        <f>$I$50*$P$50</f>
        <v>0</v>
      </c>
      <c r="Q112" s="12">
        <f>$I$50*$Q$50</f>
        <v>0</v>
      </c>
      <c r="R112" s="12">
        <f>$I$50*$R$50</f>
        <v>0</v>
      </c>
      <c r="S112" s="12">
        <f>$I$50*$S$50</f>
        <v>0</v>
      </c>
      <c r="T112" s="12">
        <f>$I$50*$T$50</f>
        <v>0</v>
      </c>
      <c r="U112" s="12">
        <f>$I$50*$U$50</f>
        <v>0</v>
      </c>
      <c r="V112" s="12">
        <f>$I$50*$V$50</f>
        <v>0</v>
      </c>
      <c r="W112" s="12">
        <f>$I$50*$W$50</f>
        <v>0</v>
      </c>
      <c r="X112" s="12">
        <f>$I$50*$X$50</f>
        <v>0</v>
      </c>
      <c r="Y112" s="12">
        <f>$I$50*$Y$50</f>
        <v>0</v>
      </c>
      <c r="Z112" s="12">
        <f>$I$50*$Z$50</f>
        <v>0</v>
      </c>
      <c r="AA112" s="12">
        <f>$I$50*$AA$50</f>
        <v>0</v>
      </c>
      <c r="AB112" s="12">
        <f ca="1">$I$50*$AB$50</f>
        <v>0</v>
      </c>
      <c r="AC112" s="12">
        <f ca="1">$I$50*$AC$50</f>
        <v>0</v>
      </c>
      <c r="AD112" s="12">
        <f>$I$50*$AD$50</f>
        <v>0</v>
      </c>
      <c r="AE112" s="12">
        <f>$I$50*$AE$50</f>
        <v>0</v>
      </c>
      <c r="AF112" s="12">
        <f ca="1">$I$50*$AF$50</f>
        <v>0</v>
      </c>
      <c r="AG112" s="12">
        <f ca="1">$I$50*$AG$50</f>
        <v>0</v>
      </c>
      <c r="AI112" s="12">
        <f>$I$50*$AI$50</f>
        <v>0</v>
      </c>
      <c r="AJ112" s="12">
        <f>$I$50*$AJ$50</f>
        <v>0</v>
      </c>
      <c r="AK112" s="12">
        <f>$I$50*$AK$50</f>
        <v>0</v>
      </c>
      <c r="AL112" s="12">
        <f>$I$50*$AL$50</f>
        <v>0</v>
      </c>
      <c r="AM112" s="12">
        <f>$I$50*$AM$50</f>
        <v>0</v>
      </c>
      <c r="AN112" s="12">
        <f>$I$50*$AN$50</f>
        <v>0</v>
      </c>
      <c r="AO112" s="12">
        <f>$I$50*$AO$50</f>
        <v>0</v>
      </c>
      <c r="AP112" s="12">
        <f>$I$50*$AP$50</f>
        <v>0</v>
      </c>
      <c r="AQ112" s="12">
        <f>$I$50*$AQ$50</f>
        <v>0</v>
      </c>
      <c r="AR112" s="12">
        <f>$I$50*$AR$50</f>
        <v>0</v>
      </c>
      <c r="AS112" s="12">
        <f>$I$50*$AS$50</f>
        <v>0</v>
      </c>
      <c r="AT112" s="12">
        <f>$I$50*$AT$50</f>
        <v>0</v>
      </c>
      <c r="AU112" s="12">
        <f>$I$50*$AU$50</f>
        <v>0</v>
      </c>
      <c r="AV112" s="12">
        <f>$I$50*$AV$50</f>
        <v>0</v>
      </c>
      <c r="AW112" s="12">
        <f>$I$50*$AW$50</f>
        <v>0</v>
      </c>
      <c r="AX112" s="12">
        <f>$I$50*$AX$50</f>
        <v>0</v>
      </c>
      <c r="AY112" s="12">
        <f>$I$50*$AY$50</f>
        <v>0</v>
      </c>
      <c r="AZ112" s="12">
        <f>$I$50*$AZ$50</f>
        <v>0</v>
      </c>
      <c r="BA112" s="12">
        <f>$I$50*$BA$50</f>
        <v>0</v>
      </c>
      <c r="BB112" s="12">
        <f>$I$50*$BB$50</f>
        <v>0</v>
      </c>
      <c r="BC112" s="12">
        <f>$I$50*$BC$50</f>
        <v>0</v>
      </c>
      <c r="BD112" s="12">
        <f>$I$50*$BD$50</f>
        <v>0</v>
      </c>
    </row>
    <row r="113" spans="1:56" ht="11.25" customHeight="1" x14ac:dyDescent="0.25">
      <c r="A113" s="9" t="s">
        <v>43</v>
      </c>
      <c r="B113" s="9" t="s">
        <v>1140</v>
      </c>
      <c r="C113" s="9" t="s">
        <v>1141</v>
      </c>
      <c r="D113" s="9" t="s">
        <v>1162</v>
      </c>
      <c r="E113" s="9" t="s">
        <v>1163</v>
      </c>
      <c r="F113" s="9" t="s">
        <v>1164</v>
      </c>
      <c r="G113" s="9" t="s">
        <v>1165</v>
      </c>
      <c r="L113" s="12">
        <f>$I$51*$L$51</f>
        <v>0</v>
      </c>
      <c r="M113" s="12">
        <f>$I$51*$M$51</f>
        <v>0</v>
      </c>
      <c r="N113" s="12">
        <f ca="1">$I$51*$N$51</f>
        <v>0</v>
      </c>
      <c r="O113" s="12">
        <f>$I$51*$O$51</f>
        <v>0</v>
      </c>
      <c r="P113" s="12">
        <f>$I$51*$P$51</f>
        <v>0</v>
      </c>
      <c r="Q113" s="12">
        <f>$I$51*$Q$51</f>
        <v>0</v>
      </c>
      <c r="R113" s="12">
        <f>$I$51*$R$51</f>
        <v>0</v>
      </c>
      <c r="S113" s="12">
        <f>$I$51*$S$51</f>
        <v>0</v>
      </c>
      <c r="T113" s="12">
        <f>$I$51*$T$51</f>
        <v>0</v>
      </c>
      <c r="U113" s="12">
        <f>$I$51*$U$51</f>
        <v>0</v>
      </c>
      <c r="V113" s="12">
        <f>$I$51*$V$51</f>
        <v>0</v>
      </c>
      <c r="W113" s="12">
        <f>$I$51*$W$51</f>
        <v>0</v>
      </c>
      <c r="X113" s="12">
        <f>$I$51*$X$51</f>
        <v>0</v>
      </c>
      <c r="Y113" s="12">
        <f>$I$51*$Y$51</f>
        <v>0</v>
      </c>
      <c r="Z113" s="12">
        <f>$I$51*$Z$51</f>
        <v>0</v>
      </c>
      <c r="AA113" s="12">
        <f>$I$51*$AA$51</f>
        <v>0</v>
      </c>
      <c r="AB113" s="12">
        <f ca="1">$I$51*$AB$51</f>
        <v>0</v>
      </c>
      <c r="AC113" s="12">
        <f ca="1">$I$51*$AC$51</f>
        <v>0</v>
      </c>
      <c r="AD113" s="12">
        <f>$I$51*$AD$51</f>
        <v>0</v>
      </c>
      <c r="AE113" s="12">
        <f>$I$51*$AE$51</f>
        <v>0</v>
      </c>
      <c r="AF113" s="12">
        <f ca="1">$I$51*$AF$51</f>
        <v>0</v>
      </c>
      <c r="AG113" s="12">
        <f ca="1">$I$51*$AG$51</f>
        <v>0</v>
      </c>
      <c r="AI113" s="12">
        <f>$I$51*$AI$51</f>
        <v>0</v>
      </c>
      <c r="AJ113" s="12">
        <f>$I$51*$AJ$51</f>
        <v>0</v>
      </c>
      <c r="AK113" s="12">
        <f>$I$51*$AK$51</f>
        <v>0</v>
      </c>
      <c r="AL113" s="12">
        <f>$I$51*$AL$51</f>
        <v>0</v>
      </c>
      <c r="AM113" s="12">
        <f>$I$51*$AM$51</f>
        <v>0</v>
      </c>
      <c r="AN113" s="12">
        <f>$I$51*$AN$51</f>
        <v>0</v>
      </c>
      <c r="AO113" s="12">
        <f>$I$51*$AO$51</f>
        <v>0</v>
      </c>
      <c r="AP113" s="12">
        <f>$I$51*$AP$51</f>
        <v>0</v>
      </c>
      <c r="AQ113" s="12">
        <f>$I$51*$AQ$51</f>
        <v>0</v>
      </c>
      <c r="AR113" s="12">
        <f>$I$51*$AR$51</f>
        <v>0</v>
      </c>
      <c r="AS113" s="12">
        <f>$I$51*$AS$51</f>
        <v>0</v>
      </c>
      <c r="AT113" s="12">
        <f>$I$51*$AT$51</f>
        <v>0</v>
      </c>
      <c r="AU113" s="12">
        <f>$I$51*$AU$51</f>
        <v>0</v>
      </c>
      <c r="AV113" s="12">
        <f>$I$51*$AV$51</f>
        <v>0</v>
      </c>
      <c r="AW113" s="12">
        <f>$I$51*$AW$51</f>
        <v>0</v>
      </c>
      <c r="AX113" s="12">
        <f>$I$51*$AX$51</f>
        <v>0</v>
      </c>
      <c r="AY113" s="12">
        <f>$I$51*$AY$51</f>
        <v>0</v>
      </c>
      <c r="AZ113" s="12">
        <f>$I$51*$AZ$51</f>
        <v>0</v>
      </c>
      <c r="BA113" s="12">
        <f>$I$51*$BA$51</f>
        <v>0</v>
      </c>
      <c r="BB113" s="12">
        <f>$I$51*$BB$51</f>
        <v>0</v>
      </c>
      <c r="BC113" s="12">
        <f>$I$51*$BC$51</f>
        <v>0</v>
      </c>
      <c r="BD113" s="12">
        <f>$I$51*$BD$51</f>
        <v>0</v>
      </c>
    </row>
    <row r="114" spans="1:56" ht="11.25" customHeight="1" x14ac:dyDescent="0.25">
      <c r="A114" s="9" t="s">
        <v>43</v>
      </c>
      <c r="B114" s="9" t="s">
        <v>1166</v>
      </c>
      <c r="C114" s="9" t="s">
        <v>1167</v>
      </c>
      <c r="D114" s="9" t="s">
        <v>1168</v>
      </c>
      <c r="E114" s="9" t="s">
        <v>1169</v>
      </c>
      <c r="F114" s="9" t="s">
        <v>1170</v>
      </c>
      <c r="G114" s="9" t="s">
        <v>1171</v>
      </c>
      <c r="L114" s="12">
        <f>$I$52*$L$52</f>
        <v>0</v>
      </c>
      <c r="M114" s="12">
        <f>$I$52*$M$52</f>
        <v>0</v>
      </c>
      <c r="N114" s="12">
        <f ca="1">$I$52*$N$52</f>
        <v>0</v>
      </c>
      <c r="O114" s="12">
        <f>$I$52*$O$52</f>
        <v>0</v>
      </c>
      <c r="P114" s="12">
        <f>$I$52*$P$52</f>
        <v>0</v>
      </c>
      <c r="Q114" s="12">
        <f>$I$52*$Q$52</f>
        <v>0</v>
      </c>
      <c r="R114" s="12">
        <f>$I$52*$R$52</f>
        <v>0</v>
      </c>
      <c r="S114" s="12">
        <f>$I$52*$S$52</f>
        <v>0</v>
      </c>
      <c r="T114" s="12">
        <f>$I$52*$T$52</f>
        <v>0</v>
      </c>
      <c r="U114" s="12">
        <f>$I$52*$U$52</f>
        <v>0</v>
      </c>
      <c r="V114" s="12">
        <f>$I$52*$V$52</f>
        <v>0</v>
      </c>
      <c r="W114" s="12">
        <f>$I$52*$W$52</f>
        <v>0</v>
      </c>
      <c r="X114" s="12">
        <f>$I$52*$X$52</f>
        <v>0</v>
      </c>
      <c r="Y114" s="12">
        <f>$I$52*$Y$52</f>
        <v>0</v>
      </c>
      <c r="Z114" s="12">
        <f>$I$52*$Z$52</f>
        <v>0</v>
      </c>
      <c r="AA114" s="12">
        <f>$I$52*$AA$52</f>
        <v>0</v>
      </c>
      <c r="AB114" s="12">
        <f ca="1">$I$52*$AB$52</f>
        <v>0</v>
      </c>
      <c r="AC114" s="12">
        <f ca="1">$I$52*$AC$52</f>
        <v>0</v>
      </c>
      <c r="AD114" s="12">
        <f>$I$52*$AD$52</f>
        <v>0</v>
      </c>
      <c r="AE114" s="12">
        <f>$I$52*$AE$52</f>
        <v>0</v>
      </c>
      <c r="AF114" s="12">
        <f ca="1">$I$52*$AF$52</f>
        <v>0</v>
      </c>
      <c r="AG114" s="12">
        <f ca="1">$I$52*$AG$52</f>
        <v>0</v>
      </c>
      <c r="AI114" s="12">
        <f>$I$52*$AI$52</f>
        <v>0</v>
      </c>
      <c r="AJ114" s="12">
        <f>$I$52*$AJ$52</f>
        <v>0</v>
      </c>
      <c r="AK114" s="12">
        <f>$I$52*$AK$52</f>
        <v>0</v>
      </c>
      <c r="AL114" s="12">
        <f>$I$52*$AL$52</f>
        <v>0</v>
      </c>
      <c r="AM114" s="12">
        <f>$I$52*$AM$52</f>
        <v>0</v>
      </c>
      <c r="AN114" s="12">
        <f>$I$52*$AN$52</f>
        <v>0</v>
      </c>
      <c r="AO114" s="12">
        <f>$I$52*$AO$52</f>
        <v>0</v>
      </c>
      <c r="AP114" s="12">
        <f>$I$52*$AP$52</f>
        <v>0</v>
      </c>
      <c r="AQ114" s="12">
        <f>$I$52*$AQ$52</f>
        <v>0</v>
      </c>
      <c r="AR114" s="12">
        <f>$I$52*$AR$52</f>
        <v>0</v>
      </c>
      <c r="AS114" s="12">
        <f>$I$52*$AS$52</f>
        <v>0</v>
      </c>
      <c r="AT114" s="12">
        <f>$I$52*$AT$52</f>
        <v>0</v>
      </c>
      <c r="AU114" s="12">
        <f>$I$52*$AU$52</f>
        <v>0</v>
      </c>
      <c r="AV114" s="12">
        <f>$I$52*$AV$52</f>
        <v>0</v>
      </c>
      <c r="AW114" s="12">
        <f>$I$52*$AW$52</f>
        <v>0</v>
      </c>
      <c r="AX114" s="12">
        <f>$I$52*$AX$52</f>
        <v>0</v>
      </c>
      <c r="AY114" s="12">
        <f>$I$52*$AY$52</f>
        <v>0</v>
      </c>
      <c r="AZ114" s="12">
        <f>$I$52*$AZ$52</f>
        <v>0</v>
      </c>
      <c r="BA114" s="12">
        <f>$I$52*$BA$52</f>
        <v>0</v>
      </c>
      <c r="BB114" s="12">
        <f>$I$52*$BB$52</f>
        <v>0</v>
      </c>
      <c r="BC114" s="12">
        <f>$I$52*$BC$52</f>
        <v>0</v>
      </c>
      <c r="BD114" s="12">
        <f>$I$52*$BD$52</f>
        <v>0</v>
      </c>
    </row>
    <row r="115" spans="1:56" ht="11.25" customHeight="1" x14ac:dyDescent="0.25">
      <c r="A115" s="9" t="s">
        <v>43</v>
      </c>
      <c r="B115" s="9" t="s">
        <v>1166</v>
      </c>
      <c r="C115" s="9" t="s">
        <v>1167</v>
      </c>
      <c r="D115" s="9" t="s">
        <v>1172</v>
      </c>
      <c r="E115" s="9" t="s">
        <v>1173</v>
      </c>
      <c r="F115" s="9" t="s">
        <v>1174</v>
      </c>
      <c r="G115" s="9" t="s">
        <v>1175</v>
      </c>
      <c r="L115" s="12">
        <f>$I$53*$L$53</f>
        <v>0</v>
      </c>
      <c r="M115" s="12">
        <f>$I$53*$M$53</f>
        <v>0</v>
      </c>
      <c r="N115" s="12">
        <f ca="1">$I$53*$N$53</f>
        <v>0</v>
      </c>
      <c r="O115" s="12">
        <f>$I$53*$O$53</f>
        <v>0</v>
      </c>
      <c r="P115" s="12">
        <f>$I$53*$P$53</f>
        <v>0</v>
      </c>
      <c r="Q115" s="12">
        <f>$I$53*$Q$53</f>
        <v>0</v>
      </c>
      <c r="R115" s="12">
        <f>$I$53*$R$53</f>
        <v>0</v>
      </c>
      <c r="S115" s="12">
        <f>$I$53*$S$53</f>
        <v>0</v>
      </c>
      <c r="T115" s="12">
        <f>$I$53*$T$53</f>
        <v>0</v>
      </c>
      <c r="U115" s="12">
        <f>$I$53*$U$53</f>
        <v>0</v>
      </c>
      <c r="V115" s="12">
        <f>$I$53*$V$53</f>
        <v>0</v>
      </c>
      <c r="W115" s="12">
        <f>$I$53*$W$53</f>
        <v>0</v>
      </c>
      <c r="X115" s="12">
        <f>$I$53*$X$53</f>
        <v>0</v>
      </c>
      <c r="Y115" s="12">
        <f>$I$53*$Y$53</f>
        <v>0</v>
      </c>
      <c r="Z115" s="12">
        <f>$I$53*$Z$53</f>
        <v>0</v>
      </c>
      <c r="AA115" s="12">
        <f>$I$53*$AA$53</f>
        <v>0</v>
      </c>
      <c r="AB115" s="12">
        <f ca="1">$I$53*$AB$53</f>
        <v>0</v>
      </c>
      <c r="AC115" s="12">
        <f ca="1">$I$53*$AC$53</f>
        <v>0</v>
      </c>
      <c r="AD115" s="12">
        <f>$I$53*$AD$53</f>
        <v>0</v>
      </c>
      <c r="AE115" s="12">
        <f>$I$53*$AE$53</f>
        <v>0</v>
      </c>
      <c r="AF115" s="12">
        <f ca="1">$I$53*$AF$53</f>
        <v>0</v>
      </c>
      <c r="AG115" s="12">
        <f ca="1">$I$53*$AG$53</f>
        <v>0</v>
      </c>
      <c r="AI115" s="12">
        <f>$I$53*$AI$53</f>
        <v>0</v>
      </c>
      <c r="AJ115" s="12">
        <f>$I$53*$AJ$53</f>
        <v>0</v>
      </c>
      <c r="AK115" s="12">
        <f>$I$53*$AK$53</f>
        <v>0</v>
      </c>
      <c r="AL115" s="12">
        <f>$I$53*$AL$53</f>
        <v>0</v>
      </c>
      <c r="AM115" s="12">
        <f>$I$53*$AM$53</f>
        <v>0</v>
      </c>
      <c r="AN115" s="12">
        <f>$I$53*$AN$53</f>
        <v>0</v>
      </c>
      <c r="AO115" s="12">
        <f>$I$53*$AO$53</f>
        <v>0</v>
      </c>
      <c r="AP115" s="12">
        <f>$I$53*$AP$53</f>
        <v>0</v>
      </c>
      <c r="AQ115" s="12">
        <f>$I$53*$AQ$53</f>
        <v>0</v>
      </c>
      <c r="AR115" s="12">
        <f>$I$53*$AR$53</f>
        <v>0</v>
      </c>
      <c r="AS115" s="12">
        <f>$I$53*$AS$53</f>
        <v>0</v>
      </c>
      <c r="AT115" s="12">
        <f>$I$53*$AT$53</f>
        <v>0</v>
      </c>
      <c r="AU115" s="12">
        <f>$I$53*$AU$53</f>
        <v>0</v>
      </c>
      <c r="AV115" s="12">
        <f>$I$53*$AV$53</f>
        <v>0</v>
      </c>
      <c r="AW115" s="12">
        <f>$I$53*$AW$53</f>
        <v>0</v>
      </c>
      <c r="AX115" s="12">
        <f>$I$53*$AX$53</f>
        <v>0</v>
      </c>
      <c r="AY115" s="12">
        <f>$I$53*$AY$53</f>
        <v>0</v>
      </c>
      <c r="AZ115" s="12">
        <f>$I$53*$AZ$53</f>
        <v>0</v>
      </c>
      <c r="BA115" s="12">
        <f>$I$53*$BA$53</f>
        <v>0</v>
      </c>
      <c r="BB115" s="12">
        <f>$I$53*$BB$53</f>
        <v>0</v>
      </c>
      <c r="BC115" s="12">
        <f>$I$53*$BC$53</f>
        <v>0</v>
      </c>
      <c r="BD115" s="12">
        <f>$I$53*$BD$53</f>
        <v>0</v>
      </c>
    </row>
    <row r="116" spans="1:56" ht="11.25" customHeight="1" x14ac:dyDescent="0.25">
      <c r="A116" s="9" t="s">
        <v>43</v>
      </c>
      <c r="B116" s="9" t="s">
        <v>1166</v>
      </c>
      <c r="C116" s="9" t="s">
        <v>1167</v>
      </c>
      <c r="D116" s="9" t="s">
        <v>1176</v>
      </c>
      <c r="E116" s="9" t="s">
        <v>1177</v>
      </c>
      <c r="F116" s="9" t="s">
        <v>1178</v>
      </c>
      <c r="G116" s="9" t="s">
        <v>1179</v>
      </c>
      <c r="L116" s="12">
        <f>$I$54*$L$54</f>
        <v>0</v>
      </c>
      <c r="M116" s="12">
        <f>$I$54*$M$54</f>
        <v>0</v>
      </c>
      <c r="N116" s="12">
        <f ca="1">$I$54*$N$54</f>
        <v>0</v>
      </c>
      <c r="O116" s="12">
        <f>$I$54*$O$54</f>
        <v>0</v>
      </c>
      <c r="P116" s="12">
        <f>$I$54*$P$54</f>
        <v>0</v>
      </c>
      <c r="Q116" s="12">
        <f>$I$54*$Q$54</f>
        <v>0</v>
      </c>
      <c r="R116" s="12">
        <f>$I$54*$R$54</f>
        <v>0</v>
      </c>
      <c r="S116" s="12">
        <f>$I$54*$S$54</f>
        <v>0</v>
      </c>
      <c r="T116" s="12">
        <f>$I$54*$T$54</f>
        <v>0</v>
      </c>
      <c r="U116" s="12">
        <f>$I$54*$U$54</f>
        <v>0</v>
      </c>
      <c r="V116" s="12">
        <f>$I$54*$V$54</f>
        <v>0</v>
      </c>
      <c r="W116" s="12">
        <f>$I$54*$W$54</f>
        <v>0</v>
      </c>
      <c r="X116" s="12">
        <f>$I$54*$X$54</f>
        <v>0</v>
      </c>
      <c r="Y116" s="12">
        <f>$I$54*$Y$54</f>
        <v>0</v>
      </c>
      <c r="Z116" s="12">
        <f>$I$54*$Z$54</f>
        <v>0</v>
      </c>
      <c r="AA116" s="12">
        <f>$I$54*$AA$54</f>
        <v>0</v>
      </c>
      <c r="AB116" s="12">
        <f ca="1">$I$54*$AB$54</f>
        <v>0</v>
      </c>
      <c r="AC116" s="12">
        <f ca="1">$I$54*$AC$54</f>
        <v>0</v>
      </c>
      <c r="AD116" s="12">
        <f>$I$54*$AD$54</f>
        <v>0</v>
      </c>
      <c r="AE116" s="12">
        <f>$I$54*$AE$54</f>
        <v>0</v>
      </c>
      <c r="AF116" s="12">
        <f ca="1">$I$54*$AF$54</f>
        <v>0</v>
      </c>
      <c r="AG116" s="12">
        <f ca="1">$I$54*$AG$54</f>
        <v>0</v>
      </c>
      <c r="AI116" s="12">
        <f>$I$54*$AI$54</f>
        <v>0</v>
      </c>
      <c r="AJ116" s="12">
        <f>$I$54*$AJ$54</f>
        <v>0</v>
      </c>
      <c r="AK116" s="12">
        <f>$I$54*$AK$54</f>
        <v>0</v>
      </c>
      <c r="AL116" s="12">
        <f>$I$54*$AL$54</f>
        <v>0</v>
      </c>
      <c r="AM116" s="12">
        <f>$I$54*$AM$54</f>
        <v>0</v>
      </c>
      <c r="AN116" s="12">
        <f>$I$54*$AN$54</f>
        <v>0</v>
      </c>
      <c r="AO116" s="12">
        <f>$I$54*$AO$54</f>
        <v>0</v>
      </c>
      <c r="AP116" s="12">
        <f>$I$54*$AP$54</f>
        <v>0</v>
      </c>
      <c r="AQ116" s="12">
        <f>$I$54*$AQ$54</f>
        <v>0</v>
      </c>
      <c r="AR116" s="12">
        <f>$I$54*$AR$54</f>
        <v>0</v>
      </c>
      <c r="AS116" s="12">
        <f>$I$54*$AS$54</f>
        <v>0</v>
      </c>
      <c r="AT116" s="12">
        <f>$I$54*$AT$54</f>
        <v>0</v>
      </c>
      <c r="AU116" s="12">
        <f>$I$54*$AU$54</f>
        <v>0</v>
      </c>
      <c r="AV116" s="12">
        <f>$I$54*$AV$54</f>
        <v>0</v>
      </c>
      <c r="AW116" s="12">
        <f>$I$54*$AW$54</f>
        <v>0</v>
      </c>
      <c r="AX116" s="12">
        <f>$I$54*$AX$54</f>
        <v>0</v>
      </c>
      <c r="AY116" s="12">
        <f>$I$54*$AY$54</f>
        <v>0</v>
      </c>
      <c r="AZ116" s="12">
        <f>$I$54*$AZ$54</f>
        <v>0</v>
      </c>
      <c r="BA116" s="12">
        <f>$I$54*$BA$54</f>
        <v>0</v>
      </c>
      <c r="BB116" s="12">
        <f>$I$54*$BB$54</f>
        <v>0</v>
      </c>
      <c r="BC116" s="12">
        <f>$I$54*$BC$54</f>
        <v>0</v>
      </c>
      <c r="BD116" s="12">
        <f>$I$54*$BD$54</f>
        <v>0</v>
      </c>
    </row>
    <row r="117" spans="1:56" ht="11.25" customHeight="1" x14ac:dyDescent="0.25">
      <c r="A117" s="9" t="s">
        <v>37</v>
      </c>
      <c r="B117" s="9" t="s">
        <v>1180</v>
      </c>
      <c r="C117" s="9" t="s">
        <v>1181</v>
      </c>
      <c r="D117" s="9" t="s">
        <v>1182</v>
      </c>
      <c r="E117" s="9" t="s">
        <v>1183</v>
      </c>
      <c r="F117" s="9" t="s">
        <v>1184</v>
      </c>
      <c r="G117" s="9" t="s">
        <v>1185</v>
      </c>
      <c r="L117" s="12">
        <f>$I$55*$L$55</f>
        <v>15.816808671532911</v>
      </c>
      <c r="M117" s="12">
        <f>$I$55*$M$55</f>
        <v>6.3600660412864887</v>
      </c>
      <c r="N117" s="12">
        <f ca="1">$I$55*$N$55</f>
        <v>66.45647246248457</v>
      </c>
      <c r="O117" s="12">
        <f>$I$55*$O$55</f>
        <v>0.30415567210974626</v>
      </c>
      <c r="P117" s="12">
        <f>$I$55*$P$55</f>
        <v>0</v>
      </c>
      <c r="Q117" s="12">
        <f>$I$55*$Q$55</f>
        <v>282.70882709687049</v>
      </c>
      <c r="R117" s="12">
        <f>$I$55*$R$55</f>
        <v>116.66093016011989</v>
      </c>
      <c r="S117" s="12">
        <f>$I$55*$S$55</f>
        <v>0</v>
      </c>
      <c r="T117" s="12">
        <f>$I$55*$T$55</f>
        <v>474.09098759731273</v>
      </c>
      <c r="U117" s="12">
        <f>$I$55*$U$55</f>
        <v>129.27594626831984</v>
      </c>
      <c r="V117" s="12">
        <f>$I$55*$V$55</f>
        <v>10.92599433566968</v>
      </c>
      <c r="W117" s="12">
        <f>$I$55*$W$55</f>
        <v>0</v>
      </c>
      <c r="X117" s="12">
        <f>$I$55*$X$55</f>
        <v>456.0516793764512</v>
      </c>
      <c r="Y117" s="12">
        <f>$I$55*$Y$55</f>
        <v>0</v>
      </c>
      <c r="Z117" s="12">
        <f>$I$55*$Z$55</f>
        <v>0</v>
      </c>
      <c r="AA117" s="12">
        <f>$I$55*$AA$55</f>
        <v>5110.1569883934271</v>
      </c>
      <c r="AB117" s="12">
        <f ca="1">$I$55*$AB$55</f>
        <v>-580.16828685979249</v>
      </c>
      <c r="AC117" s="12">
        <f ca="1">$I$55*$AC$55</f>
        <v>0</v>
      </c>
      <c r="AD117" s="12">
        <f>$I$55*$AD$55</f>
        <v>149.45118549864435</v>
      </c>
      <c r="AE117" s="12">
        <f>$I$55*$AE$55</f>
        <v>3.5236509869189461</v>
      </c>
      <c r="AF117" s="12">
        <f ca="1">$I$55*$AF$55</f>
        <v>23.430699852249255</v>
      </c>
      <c r="AG117" s="12">
        <f ca="1">$I$55*$AG$55</f>
        <v>0</v>
      </c>
      <c r="AI117" s="12">
        <f>$I$55*$AI$55</f>
        <v>0</v>
      </c>
      <c r="AJ117" s="12">
        <f>$I$55*$AJ$55</f>
        <v>5.948368210715631</v>
      </c>
      <c r="AK117" s="12">
        <f>$I$55*$AK$55</f>
        <v>71.363819587135666</v>
      </c>
      <c r="AL117" s="12">
        <f>$I$55*$AL$55</f>
        <v>0.3748140169545543</v>
      </c>
      <c r="AM117" s="12">
        <f>$I$55*$AM$55</f>
        <v>0</v>
      </c>
      <c r="AN117" s="12">
        <f>$I$55*$AN$55</f>
        <v>226.83267886570499</v>
      </c>
      <c r="AO117" s="12">
        <f>$I$55*$AO$55</f>
        <v>77.38642409929885</v>
      </c>
      <c r="AP117" s="12">
        <f>$I$55*$AP$55</f>
        <v>0</v>
      </c>
      <c r="AQ117" s="12">
        <f>$I$55*$AQ$55</f>
        <v>510.29500122508637</v>
      </c>
      <c r="AR117" s="12">
        <f>$I$55*$AR$55</f>
        <v>187.82786309354054</v>
      </c>
      <c r="AS117" s="12">
        <f>$I$55*$AS$55</f>
        <v>15.355979703166849</v>
      </c>
      <c r="AT117" s="12">
        <f>$I$55*$AT$55</f>
        <v>0</v>
      </c>
      <c r="AU117" s="12">
        <f>$I$55*$AU$55</f>
        <v>550.30102067688392</v>
      </c>
      <c r="AV117" s="12">
        <f>$I$55*$AV$55</f>
        <v>0</v>
      </c>
      <c r="AW117" s="12">
        <f>$I$55*$AW$55</f>
        <v>0</v>
      </c>
      <c r="AX117" s="12">
        <f>$I$55*$AX$55</f>
        <v>4585.4913063629301</v>
      </c>
      <c r="AY117" s="12">
        <f>$I$55*$AY$55</f>
        <v>0</v>
      </c>
      <c r="AZ117" s="12">
        <f>$I$55*$AZ$55</f>
        <v>0</v>
      </c>
      <c r="BA117" s="12">
        <f>$I$55*$BA$55</f>
        <v>137.04868560598439</v>
      </c>
      <c r="BB117" s="12">
        <f>$I$55*$BB$55</f>
        <v>3.350244955373618</v>
      </c>
      <c r="BC117" s="12">
        <f>$I$55*$BC$55</f>
        <v>22.069275507710898</v>
      </c>
      <c r="BD117" s="12">
        <f>$I$55*$BD$55</f>
        <v>0</v>
      </c>
    </row>
    <row r="118" spans="1:56" ht="11.25" customHeight="1" x14ac:dyDescent="0.25">
      <c r="A118" s="9" t="s">
        <v>37</v>
      </c>
      <c r="B118" s="9" t="s">
        <v>1180</v>
      </c>
      <c r="C118" s="9" t="s">
        <v>1181</v>
      </c>
      <c r="D118" s="9" t="s">
        <v>1182</v>
      </c>
      <c r="E118" s="9" t="s">
        <v>1183</v>
      </c>
      <c r="F118" s="9" t="s">
        <v>1184</v>
      </c>
      <c r="G118" s="9" t="s">
        <v>1186</v>
      </c>
      <c r="L118" s="12">
        <f>$I$56*$L$56</f>
        <v>15.717048933436425</v>
      </c>
      <c r="M118" s="12">
        <f>$I$56*$M$56</f>
        <v>6.3199518478526997</v>
      </c>
      <c r="N118" s="12">
        <f ca="1">$I$56*$N$56</f>
        <v>41.101348609495297</v>
      </c>
      <c r="O118" s="12">
        <f>$I$56*$O$56</f>
        <v>0.30223730217682548</v>
      </c>
      <c r="P118" s="12">
        <f>$I$56*$P$56</f>
        <v>0</v>
      </c>
      <c r="Q118" s="12">
        <f>$I$56*$Q$56</f>
        <v>280.92572665388997</v>
      </c>
      <c r="R118" s="12">
        <f>$I$56*$R$56</f>
        <v>115.92512661842237</v>
      </c>
      <c r="S118" s="12">
        <f>$I$56*$S$56</f>
        <v>0</v>
      </c>
      <c r="T118" s="12">
        <f>$I$56*$T$56</f>
        <v>282.66031232344659</v>
      </c>
      <c r="U118" s="12">
        <f>$I$56*$U$56</f>
        <v>77.076213470640809</v>
      </c>
      <c r="V118" s="12">
        <f>$I$56*$V$56</f>
        <v>6.514119768476462</v>
      </c>
      <c r="W118" s="12">
        <f>$I$56*$W$56</f>
        <v>0</v>
      </c>
      <c r="X118" s="12">
        <f>$I$56*$X$56</f>
        <v>271.90568617808361</v>
      </c>
      <c r="Y118" s="12">
        <f>$I$56*$Y$56</f>
        <v>0</v>
      </c>
      <c r="Z118" s="12">
        <f>$I$56*$Z$56</f>
        <v>0</v>
      </c>
      <c r="AA118" s="12">
        <f>$I$56*$AA$56</f>
        <v>3046.7559213093023</v>
      </c>
      <c r="AB118" s="12">
        <f ca="1">$I$56*$AB$56</f>
        <v>-365.84693999374315</v>
      </c>
      <c r="AC118" s="12">
        <f ca="1">$I$56*$AC$56</f>
        <v>0</v>
      </c>
      <c r="AD118" s="12">
        <f>$I$56*$AD$56</f>
        <v>148.50856733633532</v>
      </c>
      <c r="AE118" s="12">
        <f>$I$56*$AE$56</f>
        <v>3.5014266237810698</v>
      </c>
      <c r="AF118" s="12">
        <f ca="1">$I$56*$AF$56</f>
        <v>23.282917797776744</v>
      </c>
      <c r="AG118" s="12">
        <f ca="1">$I$56*$AG$56</f>
        <v>0</v>
      </c>
      <c r="AI118" s="12">
        <f>$I$56*$AI$56</f>
        <v>0</v>
      </c>
      <c r="AJ118" s="12">
        <f>$I$56*$AJ$56</f>
        <v>5.9108506768612532</v>
      </c>
      <c r="AK118" s="12">
        <f>$I$56*$AK$56</f>
        <v>44.138923449378247</v>
      </c>
      <c r="AL118" s="12">
        <f>$I$56*$AL$56</f>
        <v>0.3724499908768048</v>
      </c>
      <c r="AM118" s="12">
        <f>$I$56*$AM$56</f>
        <v>0</v>
      </c>
      <c r="AN118" s="12">
        <f>$I$56*$AN$56</f>
        <v>225.40200033217161</v>
      </c>
      <c r="AO118" s="12">
        <f>$I$56*$AO$56</f>
        <v>76.898332628971829</v>
      </c>
      <c r="AP118" s="12">
        <f>$I$56*$AP$56</f>
        <v>0</v>
      </c>
      <c r="AQ118" s="12">
        <f>$I$56*$AQ$56</f>
        <v>304.24570008045009</v>
      </c>
      <c r="AR118" s="12">
        <f>$I$56*$AR$56</f>
        <v>111.98572425441057</v>
      </c>
      <c r="AS118" s="12">
        <f>$I$56*$AS$56</f>
        <v>9.1552940515588386</v>
      </c>
      <c r="AT118" s="12">
        <f>$I$56*$AT$56</f>
        <v>0</v>
      </c>
      <c r="AU118" s="12">
        <f>$I$56*$AU$56</f>
        <v>328.09872959185981</v>
      </c>
      <c r="AV118" s="12">
        <f>$I$56*$AV$56</f>
        <v>0</v>
      </c>
      <c r="AW118" s="12">
        <f>$I$56*$AW$56</f>
        <v>0</v>
      </c>
      <c r="AX118" s="12">
        <f>$I$56*$AX$56</f>
        <v>2733.9419946403341</v>
      </c>
      <c r="AY118" s="12">
        <f>$I$56*$AY$56</f>
        <v>0</v>
      </c>
      <c r="AZ118" s="12">
        <f>$I$56*$AZ$56</f>
        <v>0</v>
      </c>
      <c r="BA118" s="12">
        <f>$I$56*$BA$56</f>
        <v>136.18429246154892</v>
      </c>
      <c r="BB118" s="12">
        <f>$I$56*$BB$56</f>
        <v>3.3291142983461564</v>
      </c>
      <c r="BC118" s="12">
        <f>$I$56*$BC$56</f>
        <v>21.930080225631595</v>
      </c>
      <c r="BD118" s="12">
        <f>$I$56*$BD$56</f>
        <v>0</v>
      </c>
    </row>
    <row r="119" spans="1:56" ht="11.25" customHeight="1" x14ac:dyDescent="0.25">
      <c r="A119" s="9" t="s">
        <v>37</v>
      </c>
      <c r="B119" s="9" t="s">
        <v>1180</v>
      </c>
      <c r="C119" s="9" t="s">
        <v>1181</v>
      </c>
      <c r="D119" s="9" t="s">
        <v>1182</v>
      </c>
      <c r="E119" s="9" t="s">
        <v>1183</v>
      </c>
      <c r="F119" s="9" t="s">
        <v>1184</v>
      </c>
      <c r="G119" s="9" t="s">
        <v>1187</v>
      </c>
      <c r="L119" s="12">
        <f>$I$57*$L$57</f>
        <v>261.59741831512804</v>
      </c>
      <c r="M119" s="12">
        <f>$I$57*$M$57</f>
        <v>105.19042692276648</v>
      </c>
      <c r="N119" s="12">
        <f ca="1">$I$57*$N$57</f>
        <v>269.05934647716231</v>
      </c>
      <c r="O119" s="12">
        <f>$I$57*$O$57</f>
        <v>5.0304925754722998</v>
      </c>
      <c r="P119" s="12">
        <f>$I$57*$P$57</f>
        <v>0</v>
      </c>
      <c r="Q119" s="12">
        <f>$I$57*$Q$57</f>
        <v>4675.7788400478694</v>
      </c>
      <c r="R119" s="12">
        <f>$I$57*$R$57</f>
        <v>1929.478871616843</v>
      </c>
      <c r="S119" s="12">
        <f>$I$57*$S$57</f>
        <v>0</v>
      </c>
      <c r="T119" s="12">
        <f>$I$57*$T$57</f>
        <v>1568.2118475850125</v>
      </c>
      <c r="U119" s="12">
        <f>$I$57*$U$57</f>
        <v>427.61981331903053</v>
      </c>
      <c r="V119" s="12">
        <f>$I$57*$V$57</f>
        <v>36.137141718087761</v>
      </c>
      <c r="W119" s="12">
        <f>$I$57*$W$57</f>
        <v>0</v>
      </c>
      <c r="X119" s="12">
        <f>$I$57*$X$57</f>
        <v>1508.5492157939093</v>
      </c>
      <c r="Y119" s="12">
        <f>$I$57*$Y$57</f>
        <v>0</v>
      </c>
      <c r="Z119" s="12">
        <f>$I$57*$Z$57</f>
        <v>0</v>
      </c>
      <c r="AA119" s="12">
        <f>$I$57*$AA$57</f>
        <v>16903.591667017885</v>
      </c>
      <c r="AB119" s="12">
        <f ca="1">$I$57*$AB$57</f>
        <v>-2582.9232242737803</v>
      </c>
      <c r="AC119" s="12">
        <f ca="1">$I$57*$AC$57</f>
        <v>0</v>
      </c>
      <c r="AD119" s="12">
        <f>$I$57*$AD$57</f>
        <v>2471.8035795011992</v>
      </c>
      <c r="AE119" s="12">
        <f>$I$57*$AE$57</f>
        <v>58.278380953078418</v>
      </c>
      <c r="AF119" s="12">
        <f ca="1">$I$57*$AF$57</f>
        <v>387.52511444971628</v>
      </c>
      <c r="AG119" s="12">
        <f ca="1">$I$57*$AG$57</f>
        <v>0</v>
      </c>
      <c r="AI119" s="12">
        <f>$I$57*$AI$57</f>
        <v>0</v>
      </c>
      <c r="AJ119" s="12">
        <f>$I$57*$AJ$57</f>
        <v>98.381272697040004</v>
      </c>
      <c r="AK119" s="12">
        <f>$I$57*$AK$57</f>
        <v>289.01161703976931</v>
      </c>
      <c r="AL119" s="12">
        <f>$I$57*$AL$57</f>
        <v>6.1991253241941964</v>
      </c>
      <c r="AM119" s="12">
        <f>$I$57*$AM$57</f>
        <v>0</v>
      </c>
      <c r="AN119" s="12">
        <f>$I$57*$AN$57</f>
        <v>3751.6318502082513</v>
      </c>
      <c r="AO119" s="12">
        <f>$I$57*$AO$57</f>
        <v>1279.9098210912477</v>
      </c>
      <c r="AP119" s="12">
        <f>$I$57*$AP$57</f>
        <v>0</v>
      </c>
      <c r="AQ119" s="12">
        <f>$I$57*$AQ$57</f>
        <v>1687.9685284469276</v>
      </c>
      <c r="AR119" s="12">
        <f>$I$57*$AR$57</f>
        <v>621.29822345655657</v>
      </c>
      <c r="AS119" s="12">
        <f>$I$57*$AS$57</f>
        <v>50.789081314255171</v>
      </c>
      <c r="AT119" s="12">
        <f>$I$57*$AT$57</f>
        <v>0</v>
      </c>
      <c r="AU119" s="12">
        <f>$I$57*$AU$57</f>
        <v>1820.3116241732819</v>
      </c>
      <c r="AV119" s="12">
        <f>$I$57*$AV$57</f>
        <v>0</v>
      </c>
      <c r="AW119" s="12">
        <f>$I$57*$AW$57</f>
        <v>0</v>
      </c>
      <c r="AX119" s="12">
        <f>$I$57*$AX$57</f>
        <v>15168.08051327366</v>
      </c>
      <c r="AY119" s="12">
        <f>$I$57*$AY$57</f>
        <v>0</v>
      </c>
      <c r="AZ119" s="12">
        <f>$I$57*$AZ$57</f>
        <v>0</v>
      </c>
      <c r="BA119" s="12">
        <f>$I$57*$BA$57</f>
        <v>2266.67610910239</v>
      </c>
      <c r="BB119" s="12">
        <f>$I$57*$BB$57</f>
        <v>55.410383298521658</v>
      </c>
      <c r="BC119" s="12">
        <f>$I$57*$BC$57</f>
        <v>365.00824008152665</v>
      </c>
      <c r="BD119" s="12">
        <f>$I$57*$BD$57</f>
        <v>0</v>
      </c>
    </row>
    <row r="120" spans="1:56" ht="11.25" customHeight="1" x14ac:dyDescent="0.25">
      <c r="A120" s="9" t="s">
        <v>37</v>
      </c>
      <c r="B120" s="9" t="s">
        <v>1188</v>
      </c>
      <c r="C120" s="9" t="s">
        <v>1189</v>
      </c>
      <c r="D120" s="9" t="s">
        <v>1190</v>
      </c>
      <c r="E120" s="9" t="s">
        <v>1191</v>
      </c>
      <c r="F120" s="9" t="s">
        <v>1192</v>
      </c>
      <c r="G120" s="9" t="s">
        <v>1193</v>
      </c>
      <c r="L120" s="12">
        <f>$I$58*$L$58</f>
        <v>183948.84130181334</v>
      </c>
      <c r="M120" s="12">
        <f>$I$58*$M$58</f>
        <v>73967.309284286559</v>
      </c>
      <c r="N120" s="12">
        <f ca="1">$I$58*$N$58</f>
        <v>267769.48533592426</v>
      </c>
      <c r="O120" s="12">
        <f>$I$58*$O$58</f>
        <v>3537.3180912695261</v>
      </c>
      <c r="P120" s="12">
        <f>$I$58*$P$58</f>
        <v>0</v>
      </c>
      <c r="Q120" s="12">
        <f>$I$58*$Q$58</f>
        <v>3287892.1563906088</v>
      </c>
      <c r="R120" s="12">
        <f>$I$58*$R$58</f>
        <v>1356761.8711079743</v>
      </c>
      <c r="S120" s="12">
        <f>$I$58*$S$58</f>
        <v>0</v>
      </c>
      <c r="T120" s="12">
        <f>$I$58*$T$58</f>
        <v>1696504.3470641277</v>
      </c>
      <c r="U120" s="12">
        <f>$I$58*$U$58</f>
        <v>462604.39133931079</v>
      </c>
      <c r="V120" s="12">
        <f>$I$58*$V$58</f>
        <v>39100.443479084402</v>
      </c>
      <c r="W120" s="12">
        <f>$I$58*$W$58</f>
        <v>0</v>
      </c>
      <c r="X120" s="12">
        <f>$I$58*$X$58</f>
        <v>1631953.7580473311</v>
      </c>
      <c r="Y120" s="12">
        <f>$I$58*$Y$58</f>
        <v>0</v>
      </c>
      <c r="Z120" s="12">
        <f>$I$58*$Z$58</f>
        <v>0</v>
      </c>
      <c r="AA120" s="12">
        <f>$I$58*$AA$58</f>
        <v>18286434.549923856</v>
      </c>
      <c r="AB120" s="12">
        <f ca="1">$I$58*$AB$58</f>
        <v>-2480047.0113036246</v>
      </c>
      <c r="AC120" s="12">
        <f ca="1">$I$58*$AC$58</f>
        <v>0</v>
      </c>
      <c r="AD120" s="12">
        <f>$I$58*$AD$58</f>
        <v>1738111.2065379512</v>
      </c>
      <c r="AE120" s="12">
        <f>$I$58*$AE$58</f>
        <v>40979.917608936506</v>
      </c>
      <c r="AF120" s="12">
        <f ca="1">$I$58*$AF$58</f>
        <v>272498.08594252309</v>
      </c>
      <c r="AG120" s="12">
        <f ca="1">$I$58*$AG$58</f>
        <v>0</v>
      </c>
      <c r="AI120" s="12">
        <f>$I$58*$AI$58</f>
        <v>0</v>
      </c>
      <c r="AJ120" s="12">
        <f>$I$58*$AJ$58</f>
        <v>69179.280265747526</v>
      </c>
      <c r="AK120" s="12">
        <f>$I$58*$AK$58</f>
        <v>287593.57952413597</v>
      </c>
      <c r="AL120" s="12">
        <f>$I$58*$AL$58</f>
        <v>4359.0717668955922</v>
      </c>
      <c r="AM120" s="12">
        <f>$I$58*$AM$58</f>
        <v>0</v>
      </c>
      <c r="AN120" s="12">
        <f>$I$58*$AN$58</f>
        <v>2638054.8259289819</v>
      </c>
      <c r="AO120" s="12">
        <f>$I$58*$AO$58</f>
        <v>900000.96360634081</v>
      </c>
      <c r="AP120" s="12">
        <f>$I$58*$AP$58</f>
        <v>0</v>
      </c>
      <c r="AQ120" s="12">
        <f>$I$58*$AQ$58</f>
        <v>1826058.0996295644</v>
      </c>
      <c r="AR120" s="12">
        <f>$I$58*$AR$58</f>
        <v>672128.08562704711</v>
      </c>
      <c r="AS120" s="12">
        <f>$I$58*$AS$58</f>
        <v>54953.864884357026</v>
      </c>
      <c r="AT120" s="12">
        <f>$I$58*$AT$58</f>
        <v>0</v>
      </c>
      <c r="AU120" s="12">
        <f>$I$58*$AU$58</f>
        <v>1969219.4094731298</v>
      </c>
      <c r="AV120" s="12">
        <f>$I$58*$AV$58</f>
        <v>0</v>
      </c>
      <c r="AW120" s="12">
        <f>$I$58*$AW$58</f>
        <v>0</v>
      </c>
      <c r="AX120" s="12">
        <f>$I$58*$AX$58</f>
        <v>16408945.330545057</v>
      </c>
      <c r="AY120" s="12">
        <f>$I$58*$AY$58</f>
        <v>0</v>
      </c>
      <c r="AZ120" s="12">
        <f>$I$58*$AZ$58</f>
        <v>0</v>
      </c>
      <c r="BA120" s="12">
        <f>$I$58*$BA$58</f>
        <v>1593870.6374143725</v>
      </c>
      <c r="BB120" s="12">
        <f>$I$58*$BB$58</f>
        <v>38963.212517541011</v>
      </c>
      <c r="BC120" s="12">
        <f>$I$58*$BC$58</f>
        <v>256664.77620864238</v>
      </c>
      <c r="BD120" s="12">
        <f>$I$58*$BD$58</f>
        <v>0</v>
      </c>
    </row>
    <row r="121" spans="1:56" ht="11.25" customHeight="1" x14ac:dyDescent="0.25">
      <c r="A121" s="9" t="s">
        <v>37</v>
      </c>
      <c r="B121" s="9" t="s">
        <v>1194</v>
      </c>
      <c r="C121" s="9" t="s">
        <v>1195</v>
      </c>
      <c r="D121" s="9" t="s">
        <v>1196</v>
      </c>
      <c r="E121" s="9" t="s">
        <v>1197</v>
      </c>
      <c r="F121" s="9" t="s">
        <v>1198</v>
      </c>
      <c r="G121" s="9" t="s">
        <v>1199</v>
      </c>
      <c r="L121" s="12">
        <f>$I$59*$L$59</f>
        <v>0</v>
      </c>
      <c r="M121" s="12">
        <f>$I$59*$M$59</f>
        <v>0</v>
      </c>
      <c r="N121" s="12">
        <f ca="1">$I$59*$N$59</f>
        <v>0</v>
      </c>
      <c r="O121" s="12">
        <f>$I$59*$O$59</f>
        <v>0</v>
      </c>
      <c r="P121" s="12">
        <f>$I$59*$P$59</f>
        <v>0</v>
      </c>
      <c r="Q121" s="12">
        <f>$I$59*$Q$59</f>
        <v>0</v>
      </c>
      <c r="R121" s="12">
        <f>$I$59*$R$59</f>
        <v>0</v>
      </c>
      <c r="S121" s="12">
        <f>$I$59*$S$59</f>
        <v>0</v>
      </c>
      <c r="T121" s="12">
        <f>$I$59*$T$59</f>
        <v>0</v>
      </c>
      <c r="U121" s="12">
        <f>$I$59*$U$59</f>
        <v>0</v>
      </c>
      <c r="V121" s="12">
        <f>$I$59*$V$59</f>
        <v>0</v>
      </c>
      <c r="W121" s="12">
        <f>$I$59*$W$59</f>
        <v>0</v>
      </c>
      <c r="X121" s="12">
        <f>$I$59*$X$59</f>
        <v>0</v>
      </c>
      <c r="Y121" s="12">
        <f>$I$59*$Y$59</f>
        <v>0</v>
      </c>
      <c r="Z121" s="12">
        <f>$I$59*$Z$59</f>
        <v>0</v>
      </c>
      <c r="AA121" s="12">
        <f>$I$59*$AA$59</f>
        <v>0</v>
      </c>
      <c r="AB121" s="12">
        <f ca="1">$I$59*$AB$59</f>
        <v>0</v>
      </c>
      <c r="AC121" s="12">
        <f ca="1">$I$59*$AC$59</f>
        <v>0</v>
      </c>
      <c r="AD121" s="12">
        <f>$I$59*$AD$59</f>
        <v>0</v>
      </c>
      <c r="AE121" s="12">
        <f>$I$59*$AE$59</f>
        <v>0</v>
      </c>
      <c r="AF121" s="12">
        <f ca="1">$I$59*$AF$59</f>
        <v>0</v>
      </c>
      <c r="AG121" s="12">
        <f ca="1">$I$59*$AG$59</f>
        <v>0</v>
      </c>
      <c r="AI121" s="12">
        <f>$I$59*$AI$59</f>
        <v>0</v>
      </c>
      <c r="AJ121" s="12">
        <f>$I$59*$AJ$59</f>
        <v>0</v>
      </c>
      <c r="AK121" s="12">
        <f>$I$59*$AK$59</f>
        <v>0</v>
      </c>
      <c r="AL121" s="12">
        <f>$I$59*$AL$59</f>
        <v>0</v>
      </c>
      <c r="AM121" s="12">
        <f>$I$59*$AM$59</f>
        <v>0</v>
      </c>
      <c r="AN121" s="12">
        <f>$I$59*$AN$59</f>
        <v>0</v>
      </c>
      <c r="AO121" s="12">
        <f>$I$59*$AO$59</f>
        <v>0</v>
      </c>
      <c r="AP121" s="12">
        <f>$I$59*$AP$59</f>
        <v>0</v>
      </c>
      <c r="AQ121" s="12">
        <f>$I$59*$AQ$59</f>
        <v>0</v>
      </c>
      <c r="AR121" s="12">
        <f>$I$59*$AR$59</f>
        <v>0</v>
      </c>
      <c r="AS121" s="12">
        <f>$I$59*$AS$59</f>
        <v>0</v>
      </c>
      <c r="AT121" s="12">
        <f>$I$59*$AT$59</f>
        <v>0</v>
      </c>
      <c r="AU121" s="12">
        <f>$I$59*$AU$59</f>
        <v>0</v>
      </c>
      <c r="AV121" s="12">
        <f>$I$59*$AV$59</f>
        <v>0</v>
      </c>
      <c r="AW121" s="12">
        <f>$I$59*$AW$59</f>
        <v>0</v>
      </c>
      <c r="AX121" s="12">
        <f>$I$59*$AX$59</f>
        <v>0</v>
      </c>
      <c r="AY121" s="12">
        <f>$I$59*$AY$59</f>
        <v>0</v>
      </c>
      <c r="AZ121" s="12">
        <f>$I$59*$AZ$59</f>
        <v>0</v>
      </c>
      <c r="BA121" s="12">
        <f>$I$59*$BA$59</f>
        <v>0</v>
      </c>
      <c r="BB121" s="12">
        <f>$I$59*$BB$59</f>
        <v>0</v>
      </c>
      <c r="BC121" s="12">
        <f>$I$59*$BC$59</f>
        <v>0</v>
      </c>
      <c r="BD121" s="12">
        <f>$I$59*$BD$59</f>
        <v>0</v>
      </c>
    </row>
    <row r="122" spans="1:56" ht="11.25" customHeight="1" x14ac:dyDescent="0.25">
      <c r="A122" s="9" t="s">
        <v>46</v>
      </c>
      <c r="B122" s="9" t="s">
        <v>1200</v>
      </c>
      <c r="C122" s="9" t="s">
        <v>1201</v>
      </c>
      <c r="D122" s="9" t="s">
        <v>1202</v>
      </c>
      <c r="E122" s="9" t="s">
        <v>1203</v>
      </c>
      <c r="F122" s="9" t="s">
        <v>1204</v>
      </c>
      <c r="G122" s="9" t="s">
        <v>1205</v>
      </c>
      <c r="L122" s="12">
        <f>$I$60*$L$60</f>
        <v>38251.862728294793</v>
      </c>
      <c r="M122" s="12">
        <f>$I$60*$M$60</f>
        <v>15381.381807573056</v>
      </c>
      <c r="N122" s="12">
        <f ca="1">$I$60*$N$60</f>
        <v>55682.229490591242</v>
      </c>
      <c r="O122" s="12">
        <f>$I$60*$O$60</f>
        <v>735.57955079232033</v>
      </c>
      <c r="P122" s="12">
        <f>$I$60*$P$60</f>
        <v>0</v>
      </c>
      <c r="Q122" s="12">
        <f>$I$60*$Q$60</f>
        <v>683711.83282061224</v>
      </c>
      <c r="R122" s="12">
        <f>$I$60*$R$60</f>
        <v>282136.42707025312</v>
      </c>
      <c r="S122" s="12">
        <f>$I$60*$S$60</f>
        <v>0</v>
      </c>
      <c r="T122" s="12">
        <f>$I$60*$T$60</f>
        <v>352785.32304194872</v>
      </c>
      <c r="U122" s="12">
        <f>$I$60*$U$60</f>
        <v>96197.831689430925</v>
      </c>
      <c r="V122" s="12">
        <f>$I$60*$V$60</f>
        <v>8130.8737037564679</v>
      </c>
      <c r="W122" s="12">
        <f>$I$60*$W$60</f>
        <v>0</v>
      </c>
      <c r="X122" s="12">
        <f>$I$60*$X$60</f>
        <v>339362.13291676732</v>
      </c>
      <c r="Y122" s="12">
        <f>$I$60*$Y$60</f>
        <v>0</v>
      </c>
      <c r="Z122" s="12">
        <f>$I$60*$Z$60</f>
        <v>0</v>
      </c>
      <c r="AA122" s="12">
        <f>$I$60*$AA$60</f>
        <v>3802634.3587886412</v>
      </c>
      <c r="AB122" s="12">
        <f ca="1">$I$60*$AB$60</f>
        <v>-515721.74722455739</v>
      </c>
      <c r="AC122" s="12">
        <f ca="1">$I$60*$AC$60</f>
        <v>0</v>
      </c>
      <c r="AD122" s="12">
        <f>$I$60*$AD$60</f>
        <v>361437.4018801995</v>
      </c>
      <c r="AE122" s="12">
        <f>$I$60*$AE$60</f>
        <v>8521.7072958992139</v>
      </c>
      <c r="AF122" s="12">
        <f ca="1">$I$60*$AF$60</f>
        <v>56665.534305236826</v>
      </c>
      <c r="AG122" s="12">
        <f ca="1">$I$60*$AG$60</f>
        <v>0</v>
      </c>
      <c r="AI122" s="12">
        <f>$I$60*$AI$60</f>
        <v>0</v>
      </c>
      <c r="AJ122" s="12">
        <f>$I$60*$AJ$60</f>
        <v>14385.718951204497</v>
      </c>
      <c r="AK122" s="12">
        <f>$I$60*$AK$60</f>
        <v>59804.617673271328</v>
      </c>
      <c r="AL122" s="12">
        <f>$I$60*$AL$60</f>
        <v>906.46189271990625</v>
      </c>
      <c r="AM122" s="12">
        <f>$I$60*$AM$60</f>
        <v>0</v>
      </c>
      <c r="AN122" s="12">
        <f>$I$60*$AN$60</f>
        <v>548579.21559605072</v>
      </c>
      <c r="AO122" s="12">
        <f>$I$60*$AO$60</f>
        <v>187153.73835227001</v>
      </c>
      <c r="AP122" s="12">
        <f>$I$60*$AP$60</f>
        <v>0</v>
      </c>
      <c r="AQ122" s="12">
        <f>$I$60*$AQ$60</f>
        <v>379725.81543101324</v>
      </c>
      <c r="AR122" s="12">
        <f>$I$60*$AR$60</f>
        <v>139767.94355042209</v>
      </c>
      <c r="AS122" s="12">
        <f>$I$60*$AS$60</f>
        <v>11427.566931485551</v>
      </c>
      <c r="AT122" s="12">
        <f>$I$60*$AT$60</f>
        <v>0</v>
      </c>
      <c r="AU122" s="12">
        <f>$I$60*$AU$60</f>
        <v>409495.97725091706</v>
      </c>
      <c r="AV122" s="12">
        <f>$I$60*$AV$60</f>
        <v>0</v>
      </c>
      <c r="AW122" s="12">
        <f>$I$60*$AW$60</f>
        <v>0</v>
      </c>
      <c r="AX122" s="12">
        <f>$I$60*$AX$60</f>
        <v>3412213.5255543794</v>
      </c>
      <c r="AY122" s="12">
        <f>$I$60*$AY$60</f>
        <v>0</v>
      </c>
      <c r="AZ122" s="12">
        <f>$I$60*$AZ$60</f>
        <v>0</v>
      </c>
      <c r="BA122" s="12">
        <f>$I$60*$BA$60</f>
        <v>331442.80984624615</v>
      </c>
      <c r="BB122" s="12">
        <f>$I$60*$BB$60</f>
        <v>8102.3367482318781</v>
      </c>
      <c r="BC122" s="12">
        <f>$I$60*$BC$60</f>
        <v>53373.023266902681</v>
      </c>
      <c r="BD122" s="12">
        <f>$I$60*$BD$60</f>
        <v>0</v>
      </c>
    </row>
    <row r="123" spans="1:56" ht="11.25" customHeight="1" x14ac:dyDescent="0.25">
      <c r="A123" s="9" t="s">
        <v>46</v>
      </c>
      <c r="B123" s="9" t="s">
        <v>1200</v>
      </c>
      <c r="C123" s="9" t="s">
        <v>1201</v>
      </c>
      <c r="D123" s="9" t="s">
        <v>1206</v>
      </c>
      <c r="E123" s="9" t="s">
        <v>1207</v>
      </c>
      <c r="F123" s="9" t="s">
        <v>1208</v>
      </c>
      <c r="G123" s="9" t="s">
        <v>1209</v>
      </c>
      <c r="L123" s="12">
        <f>$I$61*$L$61</f>
        <v>0</v>
      </c>
      <c r="M123" s="12">
        <f>$I$61*$M$61</f>
        <v>0</v>
      </c>
      <c r="N123" s="12">
        <f ca="1">$I$61*$N$61</f>
        <v>0</v>
      </c>
      <c r="O123" s="12">
        <f>$I$61*$O$61</f>
        <v>0</v>
      </c>
      <c r="P123" s="12">
        <f>$I$61*$P$61</f>
        <v>0</v>
      </c>
      <c r="Q123" s="12">
        <f>$I$61*$Q$61</f>
        <v>0</v>
      </c>
      <c r="R123" s="12">
        <f>$I$61*$R$61</f>
        <v>0</v>
      </c>
      <c r="S123" s="12">
        <f>$I$61*$S$61</f>
        <v>0</v>
      </c>
      <c r="T123" s="12">
        <f>$I$61*$T$61</f>
        <v>0</v>
      </c>
      <c r="U123" s="12">
        <f>$I$61*$U$61</f>
        <v>0</v>
      </c>
      <c r="V123" s="12">
        <f>$I$61*$V$61</f>
        <v>0</v>
      </c>
      <c r="W123" s="12">
        <f>$I$61*$W$61</f>
        <v>0</v>
      </c>
      <c r="X123" s="12">
        <f>$I$61*$X$61</f>
        <v>0</v>
      </c>
      <c r="Y123" s="12">
        <f>$I$61*$Y$61</f>
        <v>0</v>
      </c>
      <c r="Z123" s="12">
        <f>$I$61*$Z$61</f>
        <v>0</v>
      </c>
      <c r="AA123" s="12">
        <f>$I$61*$AA$61</f>
        <v>0</v>
      </c>
      <c r="AB123" s="12">
        <f ca="1">$I$61*$AB$61</f>
        <v>0</v>
      </c>
      <c r="AC123" s="12">
        <f ca="1">$I$61*$AC$61</f>
        <v>0</v>
      </c>
      <c r="AD123" s="12">
        <f>$I$61*$AD$61</f>
        <v>0</v>
      </c>
      <c r="AE123" s="12">
        <f>$I$61*$AE$61</f>
        <v>0</v>
      </c>
      <c r="AF123" s="12">
        <f ca="1">$I$61*$AF$61</f>
        <v>0</v>
      </c>
      <c r="AG123" s="12">
        <f ca="1">$I$61*$AG$61</f>
        <v>0</v>
      </c>
      <c r="AI123" s="12">
        <f>$I$61*$AI$61</f>
        <v>0</v>
      </c>
      <c r="AJ123" s="12">
        <f>$I$61*$AJ$61</f>
        <v>0</v>
      </c>
      <c r="AK123" s="12">
        <f>$I$61*$AK$61</f>
        <v>0</v>
      </c>
      <c r="AL123" s="12">
        <f>$I$61*$AL$61</f>
        <v>0</v>
      </c>
      <c r="AM123" s="12">
        <f>$I$61*$AM$61</f>
        <v>0</v>
      </c>
      <c r="AN123" s="12">
        <f>$I$61*$AN$61</f>
        <v>0</v>
      </c>
      <c r="AO123" s="12">
        <f>$I$61*$AO$61</f>
        <v>0</v>
      </c>
      <c r="AP123" s="12">
        <f>$I$61*$AP$61</f>
        <v>0</v>
      </c>
      <c r="AQ123" s="12">
        <f>$I$61*$AQ$61</f>
        <v>0</v>
      </c>
      <c r="AR123" s="12">
        <f>$I$61*$AR$61</f>
        <v>0</v>
      </c>
      <c r="AS123" s="12">
        <f>$I$61*$AS$61</f>
        <v>0</v>
      </c>
      <c r="AT123" s="12">
        <f>$I$61*$AT$61</f>
        <v>0</v>
      </c>
      <c r="AU123" s="12">
        <f>$I$61*$AU$61</f>
        <v>0</v>
      </c>
      <c r="AV123" s="12">
        <f>$I$61*$AV$61</f>
        <v>0</v>
      </c>
      <c r="AW123" s="12">
        <f>$I$61*$AW$61</f>
        <v>0</v>
      </c>
      <c r="AX123" s="12">
        <f>$I$61*$AX$61</f>
        <v>0</v>
      </c>
      <c r="AY123" s="12">
        <f>$I$61*$AY$61</f>
        <v>0</v>
      </c>
      <c r="AZ123" s="12">
        <f>$I$61*$AZ$61</f>
        <v>0</v>
      </c>
      <c r="BA123" s="12">
        <f>$I$61*$BA$61</f>
        <v>0</v>
      </c>
      <c r="BB123" s="12">
        <f>$I$61*$BB$61</f>
        <v>0</v>
      </c>
      <c r="BC123" s="12">
        <f>$I$61*$BC$61</f>
        <v>0</v>
      </c>
      <c r="BD123" s="12">
        <f>$I$61*$BD$61</f>
        <v>0</v>
      </c>
    </row>
  </sheetData>
  <mergeCells count="104">
    <mergeCell ref="AQ65:AW65"/>
    <mergeCell ref="AY65:AZ65"/>
    <mergeCell ref="BA65:BD65"/>
    <mergeCell ref="BA3:BD3"/>
    <mergeCell ref="L63:AG63"/>
    <mergeCell ref="AI63:BD63"/>
    <mergeCell ref="L64:AG64"/>
    <mergeCell ref="AI64:BD64"/>
    <mergeCell ref="L65:S65"/>
    <mergeCell ref="T65:Z65"/>
    <mergeCell ref="AB65:AC65"/>
    <mergeCell ref="AD65:AG65"/>
    <mergeCell ref="AI65:AP65"/>
    <mergeCell ref="AB3:AC3"/>
    <mergeCell ref="AD3:AG3"/>
    <mergeCell ref="E55:E57"/>
    <mergeCell ref="F55:F57"/>
    <mergeCell ref="A60:A61"/>
    <mergeCell ref="B60:B61"/>
    <mergeCell ref="C60:C61"/>
    <mergeCell ref="AI1:BD1"/>
    <mergeCell ref="AI2:BD2"/>
    <mergeCell ref="AI3:AP3"/>
    <mergeCell ref="AQ3:AW3"/>
    <mergeCell ref="AY3:AZ3"/>
    <mergeCell ref="B52:B54"/>
    <mergeCell ref="C52:C54"/>
    <mergeCell ref="A55:A59"/>
    <mergeCell ref="B55:B57"/>
    <mergeCell ref="C55:C57"/>
    <mergeCell ref="D55:D57"/>
    <mergeCell ref="F44:F46"/>
    <mergeCell ref="B48:B50"/>
    <mergeCell ref="C48:C50"/>
    <mergeCell ref="D48:D50"/>
    <mergeCell ref="E48:E50"/>
    <mergeCell ref="F48:F50"/>
    <mergeCell ref="A40:A54"/>
    <mergeCell ref="B40:B42"/>
    <mergeCell ref="C40:C42"/>
    <mergeCell ref="D40:D42"/>
    <mergeCell ref="E40:E42"/>
    <mergeCell ref="F40:F42"/>
    <mergeCell ref="B44:B46"/>
    <mergeCell ref="C44:C46"/>
    <mergeCell ref="D44:D46"/>
    <mergeCell ref="E44:E46"/>
    <mergeCell ref="A27:A39"/>
    <mergeCell ref="B27:B29"/>
    <mergeCell ref="C27:C29"/>
    <mergeCell ref="D27:D29"/>
    <mergeCell ref="E27:E29"/>
    <mergeCell ref="F27:F29"/>
    <mergeCell ref="B30:B34"/>
    <mergeCell ref="C30:C34"/>
    <mergeCell ref="B35:B39"/>
    <mergeCell ref="C35:C39"/>
    <mergeCell ref="A25:A26"/>
    <mergeCell ref="B25:B26"/>
    <mergeCell ref="C25:C26"/>
    <mergeCell ref="D25:D26"/>
    <mergeCell ref="B16:B18"/>
    <mergeCell ref="C16:C18"/>
    <mergeCell ref="D16:D18"/>
    <mergeCell ref="E16:E18"/>
    <mergeCell ref="F16:F18"/>
    <mergeCell ref="B20:B24"/>
    <mergeCell ref="C20:C24"/>
    <mergeCell ref="D20:D24"/>
    <mergeCell ref="E20:E22"/>
    <mergeCell ref="F20:F22"/>
    <mergeCell ref="C9:C11"/>
    <mergeCell ref="D9:D11"/>
    <mergeCell ref="E9:E11"/>
    <mergeCell ref="F9:F11"/>
    <mergeCell ref="A12:A24"/>
    <mergeCell ref="B12:B15"/>
    <mergeCell ref="C12:C15"/>
    <mergeCell ref="D12:D15"/>
    <mergeCell ref="E12:E14"/>
    <mergeCell ref="F12:F14"/>
    <mergeCell ref="A5:A11"/>
    <mergeCell ref="B5:B8"/>
    <mergeCell ref="C5:C8"/>
    <mergeCell ref="D5:D8"/>
    <mergeCell ref="E5:E7"/>
    <mergeCell ref="F5:F7"/>
    <mergeCell ref="B9:B11"/>
    <mergeCell ref="E23:E24"/>
    <mergeCell ref="F23:F24"/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1D447-3E4F-47BA-8429-8FB5F03069EF}">
  <dimension ref="A1:AF89"/>
  <sheetViews>
    <sheetView showGridLines="0" topLeftCell="L20" workbookViewId="0">
      <selection activeCell="V45" sqref="V45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8.7109375" style="9" bestFit="1" customWidth="1"/>
    <col min="13" max="13" width="10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8.7109375" style="9" bestFit="1" customWidth="1"/>
    <col min="24" max="24" width="10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16" t="s">
        <v>68</v>
      </c>
      <c r="B1" s="116" t="s">
        <v>69</v>
      </c>
      <c r="C1" s="116" t="s">
        <v>70</v>
      </c>
      <c r="D1" s="116" t="s">
        <v>71</v>
      </c>
      <c r="E1" s="116" t="s">
        <v>72</v>
      </c>
      <c r="F1" s="116" t="s">
        <v>15</v>
      </c>
      <c r="G1" s="116" t="s">
        <v>74</v>
      </c>
      <c r="H1" s="116" t="s">
        <v>75</v>
      </c>
      <c r="I1" s="116" t="s">
        <v>816</v>
      </c>
      <c r="J1" s="95"/>
      <c r="L1" s="114" t="s">
        <v>1210</v>
      </c>
      <c r="M1" s="114"/>
      <c r="N1" s="114"/>
      <c r="O1" s="114"/>
      <c r="P1" s="114"/>
      <c r="Q1" s="114"/>
      <c r="R1" s="114"/>
      <c r="S1" s="114"/>
      <c r="T1" s="114"/>
      <c r="U1" s="114"/>
      <c r="W1" s="114" t="s">
        <v>1211</v>
      </c>
      <c r="X1" s="114"/>
      <c r="Y1" s="114"/>
      <c r="Z1" s="114"/>
      <c r="AA1" s="114"/>
      <c r="AB1" s="114"/>
      <c r="AC1" s="114"/>
      <c r="AD1" s="114"/>
      <c r="AE1" s="114"/>
      <c r="AF1" s="114"/>
    </row>
    <row r="2" spans="1:32" ht="11.25" customHeight="1" x14ac:dyDescent="0.25">
      <c r="A2" s="116"/>
      <c r="B2" s="116"/>
      <c r="C2" s="116"/>
      <c r="D2" s="116"/>
      <c r="E2" s="116"/>
      <c r="F2" s="116"/>
      <c r="G2" s="116"/>
      <c r="H2" s="116"/>
      <c r="I2" s="116"/>
      <c r="J2" s="95"/>
      <c r="L2" s="114" t="s">
        <v>744</v>
      </c>
      <c r="M2" s="114"/>
      <c r="N2" s="114"/>
      <c r="O2" s="114"/>
      <c r="P2" s="114"/>
      <c r="Q2" s="114"/>
      <c r="R2" s="114"/>
      <c r="S2" s="114"/>
      <c r="T2" s="114"/>
      <c r="U2" s="114"/>
      <c r="W2" s="114" t="s">
        <v>744</v>
      </c>
      <c r="X2" s="114"/>
      <c r="Y2" s="114"/>
      <c r="Z2" s="114"/>
      <c r="AA2" s="114"/>
      <c r="AB2" s="114"/>
      <c r="AC2" s="114"/>
      <c r="AD2" s="114"/>
      <c r="AE2" s="114"/>
      <c r="AF2" s="114"/>
    </row>
    <row r="3" spans="1:32" ht="11.2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95"/>
      <c r="L3" s="114" t="s">
        <v>717</v>
      </c>
      <c r="M3" s="114"/>
      <c r="N3" s="114"/>
      <c r="O3" s="114"/>
      <c r="P3" s="24" t="s">
        <v>747</v>
      </c>
      <c r="Q3" s="114" t="s">
        <v>726</v>
      </c>
      <c r="R3" s="114"/>
      <c r="S3" s="114"/>
      <c r="T3" s="24" t="s">
        <v>736</v>
      </c>
      <c r="U3" s="24" t="s">
        <v>739</v>
      </c>
      <c r="W3" s="114" t="s">
        <v>717</v>
      </c>
      <c r="X3" s="114"/>
      <c r="Y3" s="114"/>
      <c r="Z3" s="114"/>
      <c r="AA3" s="24" t="s">
        <v>747</v>
      </c>
      <c r="AB3" s="114" t="s">
        <v>726</v>
      </c>
      <c r="AC3" s="114"/>
      <c r="AD3" s="114"/>
      <c r="AE3" s="24" t="s">
        <v>736</v>
      </c>
      <c r="AF3" s="24" t="s">
        <v>739</v>
      </c>
    </row>
    <row r="4" spans="1:32" ht="11.25" customHeight="1" x14ac:dyDescent="0.25">
      <c r="A4" s="116"/>
      <c r="B4" s="116"/>
      <c r="C4" s="116"/>
      <c r="D4" s="116"/>
      <c r="E4" s="116"/>
      <c r="F4" s="116"/>
      <c r="G4" s="116"/>
      <c r="H4" s="116"/>
      <c r="I4" s="116"/>
      <c r="J4" s="95"/>
      <c r="L4" s="24" t="s">
        <v>719</v>
      </c>
      <c r="M4" s="24" t="s">
        <v>745</v>
      </c>
      <c r="N4" s="24" t="s">
        <v>746</v>
      </c>
      <c r="O4" s="24" t="s">
        <v>804</v>
      </c>
      <c r="P4" s="24" t="s">
        <v>748</v>
      </c>
      <c r="Q4" s="24" t="s">
        <v>749</v>
      </c>
      <c r="R4" s="24" t="s">
        <v>750</v>
      </c>
      <c r="S4" s="24" t="s">
        <v>751</v>
      </c>
      <c r="T4" s="24" t="s">
        <v>737</v>
      </c>
      <c r="U4" s="24" t="s">
        <v>752</v>
      </c>
      <c r="W4" s="24" t="s">
        <v>719</v>
      </c>
      <c r="X4" s="24" t="s">
        <v>745</v>
      </c>
      <c r="Y4" s="24" t="s">
        <v>746</v>
      </c>
      <c r="Z4" s="24" t="s">
        <v>804</v>
      </c>
      <c r="AA4" s="24" t="s">
        <v>748</v>
      </c>
      <c r="AB4" s="24" t="s">
        <v>749</v>
      </c>
      <c r="AC4" s="24" t="s">
        <v>750</v>
      </c>
      <c r="AD4" s="24" t="s">
        <v>751</v>
      </c>
      <c r="AE4" s="24" t="s">
        <v>737</v>
      </c>
      <c r="AF4" s="24" t="s">
        <v>752</v>
      </c>
    </row>
    <row r="5" spans="1:32" ht="11.25" customHeight="1" x14ac:dyDescent="0.25">
      <c r="A5" s="117" t="s">
        <v>56</v>
      </c>
      <c r="B5" s="117" t="s">
        <v>77</v>
      </c>
      <c r="C5" s="117" t="s">
        <v>25</v>
      </c>
      <c r="D5" s="117" t="s">
        <v>25</v>
      </c>
      <c r="E5" s="117" t="s">
        <v>25</v>
      </c>
      <c r="F5" s="117" t="s">
        <v>25</v>
      </c>
      <c r="G5" s="22" t="s">
        <v>79</v>
      </c>
      <c r="H5" s="22" t="s">
        <v>78</v>
      </c>
      <c r="I5" s="22">
        <f>'MERCADO TE'!$U$2</f>
        <v>0</v>
      </c>
      <c r="J5" s="15"/>
      <c r="L5" s="20">
        <f>('TE BE'!$L$5+'TE BF'!$L$5+'TE CVA'!$L$5)*1</f>
        <v>2.5213258337079196</v>
      </c>
      <c r="M5" s="20">
        <f>('TE BE'!$M$5+'TE BF'!$M$5+'TE CVA'!$M$5)*1</f>
        <v>21.359217492980051</v>
      </c>
      <c r="N5" s="20">
        <f>('TE BE'!$N$5+'TE BF'!$N$5+'TE CVA'!$N$5)*1</f>
        <v>0</v>
      </c>
      <c r="O5" s="20">
        <f>('TE BE'!$O$5+'TE BF'!$O$5+'TE CVA'!$O$5)*1</f>
        <v>8.3144157692497398</v>
      </c>
      <c r="P5" s="20">
        <f>('TE BE'!$Q$5+'TE BF'!$Q$5+'TE CVA'!$Q$5)*1</f>
        <v>379.26085162106199</v>
      </c>
      <c r="Q5" s="20">
        <f>('TE BE'!$S$5+'TE BF'!$S$5+'TE CVA'!$S$5)*1</f>
        <v>0</v>
      </c>
      <c r="R5" s="20">
        <f>('TE BE'!$T$5+'TE BF'!$T$5+'TE CVA'!$T$5)*1</f>
        <v>0</v>
      </c>
      <c r="S5" s="20">
        <f>('TE BE'!$U$5+'TE BF'!$U$5+'TE CVA'!$U$5)*1</f>
        <v>1.8513197508430369E-12</v>
      </c>
      <c r="T5" s="20">
        <f>('TE BE'!$W$5+'TE BF'!$W$5+'TE CVA'!$W$5)*1</f>
        <v>-30.652671999178072</v>
      </c>
      <c r="U5" s="20">
        <f>('TE BE'!$Y$5+'TE BF'!$Y$5+'TE CVA'!$Y$5)*1</f>
        <v>4.6624276249915297</v>
      </c>
      <c r="W5" s="20">
        <v>2.3256699544547099</v>
      </c>
      <c r="X5" s="20">
        <v>6.3399065838333897</v>
      </c>
      <c r="Y5" s="20">
        <v>0</v>
      </c>
      <c r="Z5" s="20">
        <v>0</v>
      </c>
      <c r="AA5" s="20">
        <v>352.52250093904502</v>
      </c>
      <c r="AB5" s="20">
        <v>0</v>
      </c>
      <c r="AC5" s="20">
        <v>0</v>
      </c>
      <c r="AD5" s="20">
        <v>1.87812190620177E-12</v>
      </c>
      <c r="AE5" s="20">
        <v>0</v>
      </c>
      <c r="AF5" s="20">
        <v>4.4756408653554498</v>
      </c>
    </row>
    <row r="6" spans="1:32" ht="11.25" customHeight="1" x14ac:dyDescent="0.25">
      <c r="A6" s="117"/>
      <c r="B6" s="117"/>
      <c r="C6" s="117"/>
      <c r="D6" s="117"/>
      <c r="E6" s="117"/>
      <c r="F6" s="117"/>
      <c r="G6" s="22" t="s">
        <v>80</v>
      </c>
      <c r="H6" s="22" t="s">
        <v>78</v>
      </c>
      <c r="I6" s="22">
        <f>'MERCADO TE'!$U$3</f>
        <v>0</v>
      </c>
      <c r="J6" s="15"/>
      <c r="L6" s="20">
        <f>('TE BE'!$L$6+'TE BF'!$L$6+'TE CVA'!$L$6)*1</f>
        <v>2.5213258337079196</v>
      </c>
      <c r="M6" s="20">
        <f>('TE BE'!$M$6+'TE BF'!$M$6+'TE CVA'!$M$6)*1</f>
        <v>21.359217492980051</v>
      </c>
      <c r="N6" s="20">
        <f>('TE BE'!$N$6+'TE BF'!$N$6+'TE CVA'!$N$6)*1</f>
        <v>0</v>
      </c>
      <c r="O6" s="20">
        <f>('TE BE'!$O$6+'TE BF'!$O$6+'TE CVA'!$O$6)*1</f>
        <v>8.3144157692497398</v>
      </c>
      <c r="P6" s="20">
        <f>('TE BE'!$Q$6+'TE BF'!$Q$6+'TE CVA'!$Q$6)*1</f>
        <v>220.50049512852439</v>
      </c>
      <c r="Q6" s="20">
        <f>('TE BE'!$S$6+'TE BF'!$S$6+'TE CVA'!$S$6)*1</f>
        <v>0</v>
      </c>
      <c r="R6" s="20">
        <f>('TE BE'!$T$6+'TE BF'!$T$6+'TE CVA'!$T$6)*1</f>
        <v>0</v>
      </c>
      <c r="S6" s="20">
        <f>('TE BE'!$U$6+'TE BF'!$U$6+'TE CVA'!$U$6)*1</f>
        <v>1.8513197508430369E-12</v>
      </c>
      <c r="T6" s="20">
        <f>('TE BE'!$W$6+'TE BF'!$W$6+'TE CVA'!$W$6)*1</f>
        <v>-18.807102945831272</v>
      </c>
      <c r="U6" s="20">
        <f>('TE BE'!$Y$6+'TE BF'!$Y$6+'TE CVA'!$Y$6)*1</f>
        <v>4.6624276249915297</v>
      </c>
      <c r="W6" s="20">
        <v>2.3256699544547099</v>
      </c>
      <c r="X6" s="20">
        <v>6.3399065838333897</v>
      </c>
      <c r="Y6" s="20">
        <v>0</v>
      </c>
      <c r="Z6" s="20">
        <v>0</v>
      </c>
      <c r="AA6" s="20">
        <v>204.95494240642199</v>
      </c>
      <c r="AB6" s="20">
        <v>0</v>
      </c>
      <c r="AC6" s="20">
        <v>0</v>
      </c>
      <c r="AD6" s="20">
        <v>1.87812190620177E-12</v>
      </c>
      <c r="AE6" s="20">
        <v>0</v>
      </c>
      <c r="AF6" s="20">
        <v>4.4756408653554498</v>
      </c>
    </row>
    <row r="7" spans="1:32" ht="11.25" customHeight="1" x14ac:dyDescent="0.25">
      <c r="A7" s="117" t="s">
        <v>39</v>
      </c>
      <c r="B7" s="117" t="s">
        <v>77</v>
      </c>
      <c r="C7" s="117" t="s">
        <v>25</v>
      </c>
      <c r="D7" s="117" t="s">
        <v>25</v>
      </c>
      <c r="E7" s="117" t="s">
        <v>25</v>
      </c>
      <c r="F7" s="117" t="s">
        <v>25</v>
      </c>
      <c r="G7" s="22" t="s">
        <v>79</v>
      </c>
      <c r="H7" s="22" t="s">
        <v>78</v>
      </c>
      <c r="I7" s="22">
        <f>'MERCADO TE'!$U$4</f>
        <v>8115.134</v>
      </c>
      <c r="J7" s="15"/>
      <c r="L7" s="20">
        <f>('TE BE'!$L$7+'TE BF'!$L$7+'TE CVA'!$L$7)*1</f>
        <v>2.5213258337079196</v>
      </c>
      <c r="M7" s="20">
        <f>('TE BE'!$M$7+'TE BF'!$M$7+'TE CVA'!$M$7)*1</f>
        <v>21.359217492980051</v>
      </c>
      <c r="N7" s="20">
        <f>('TE BE'!$N$7+'TE BF'!$N$7+'TE CVA'!$N$7)*1</f>
        <v>0</v>
      </c>
      <c r="O7" s="20">
        <f>('TE BE'!$O$7+'TE BF'!$O$7+'TE CVA'!$O$7)*1</f>
        <v>8.3144157692497398</v>
      </c>
      <c r="P7" s="20">
        <f>('TE BE'!$Q$7+'TE BF'!$Q$7+'TE CVA'!$Q$7)*1</f>
        <v>379.26085162106199</v>
      </c>
      <c r="Q7" s="20">
        <f>('TE BE'!$S$7+'TE BF'!$S$7+'TE CVA'!$S$7)*1</f>
        <v>0</v>
      </c>
      <c r="R7" s="20">
        <f>('TE BE'!$T$7+'TE BF'!$T$7+'TE CVA'!$T$7)*1</f>
        <v>0</v>
      </c>
      <c r="S7" s="20">
        <f>('TE BE'!$U$7+'TE BF'!$U$7+'TE CVA'!$U$7)*1</f>
        <v>1.8513197508430369E-12</v>
      </c>
      <c r="T7" s="20">
        <f>('TE BE'!$W$7+'TE BF'!$W$7+'TE CVA'!$W$7)*1</f>
        <v>-30.652671999178072</v>
      </c>
      <c r="U7" s="20">
        <f>('TE BE'!$Y$7+'TE BF'!$Y$7+'TE CVA'!$Y$7)*1</f>
        <v>4.6624276249915297</v>
      </c>
      <c r="W7" s="20">
        <v>2.3256699544547099</v>
      </c>
      <c r="X7" s="20">
        <v>6.3399065838333897</v>
      </c>
      <c r="Y7" s="20">
        <v>0</v>
      </c>
      <c r="Z7" s="20">
        <v>0</v>
      </c>
      <c r="AA7" s="20">
        <v>352.52250093904502</v>
      </c>
      <c r="AB7" s="20">
        <v>0</v>
      </c>
      <c r="AC7" s="20">
        <v>0</v>
      </c>
      <c r="AD7" s="20">
        <v>1.87812190620177E-12</v>
      </c>
      <c r="AE7" s="20">
        <v>0</v>
      </c>
      <c r="AF7" s="20">
        <v>4.4756408653554498</v>
      </c>
    </row>
    <row r="8" spans="1:32" ht="11.25" customHeight="1" x14ac:dyDescent="0.25">
      <c r="A8" s="117"/>
      <c r="B8" s="117"/>
      <c r="C8" s="117"/>
      <c r="D8" s="117"/>
      <c r="E8" s="117"/>
      <c r="F8" s="117"/>
      <c r="G8" s="22" t="s">
        <v>80</v>
      </c>
      <c r="H8" s="22" t="s">
        <v>78</v>
      </c>
      <c r="I8" s="22">
        <f>'MERCADO TE'!$U$5</f>
        <v>108682.38199999998</v>
      </c>
      <c r="J8" s="15"/>
      <c r="L8" s="20">
        <f>('TE BE'!$L$8+'TE BF'!$L$8+'TE CVA'!$L$8)*1</f>
        <v>2.5213258337079196</v>
      </c>
      <c r="M8" s="20">
        <f>('TE BE'!$M$8+'TE BF'!$M$8+'TE CVA'!$M$8)*1</f>
        <v>21.359217492980051</v>
      </c>
      <c r="N8" s="20">
        <f>('TE BE'!$N$8+'TE BF'!$N$8+'TE CVA'!$N$8)*1</f>
        <v>0</v>
      </c>
      <c r="O8" s="20">
        <f>('TE BE'!$O$8+'TE BF'!$O$8+'TE CVA'!$O$8)*1</f>
        <v>8.3144157692497398</v>
      </c>
      <c r="P8" s="20">
        <f>('TE BE'!$Q$8+'TE BF'!$Q$8+'TE CVA'!$Q$8)*1</f>
        <v>220.50049512852439</v>
      </c>
      <c r="Q8" s="20">
        <f>('TE BE'!$S$8+'TE BF'!$S$8+'TE CVA'!$S$8)*1</f>
        <v>0</v>
      </c>
      <c r="R8" s="20">
        <f>('TE BE'!$T$8+'TE BF'!$T$8+'TE CVA'!$T$8)*1</f>
        <v>0</v>
      </c>
      <c r="S8" s="20">
        <f>('TE BE'!$U$8+'TE BF'!$U$8+'TE CVA'!$U$8)*1</f>
        <v>1.8513197508430369E-12</v>
      </c>
      <c r="T8" s="20">
        <f>('TE BE'!$W$8+'TE BF'!$W$8+'TE CVA'!$W$8)*1</f>
        <v>-18.807102945831272</v>
      </c>
      <c r="U8" s="20">
        <f>('TE BE'!$Y$8+'TE BF'!$Y$8+'TE CVA'!$Y$8)*1</f>
        <v>4.6624276249915297</v>
      </c>
      <c r="W8" s="20">
        <v>2.3256699544547099</v>
      </c>
      <c r="X8" s="20">
        <v>6.3399065838333897</v>
      </c>
      <c r="Y8" s="20">
        <v>0</v>
      </c>
      <c r="Z8" s="20">
        <v>0</v>
      </c>
      <c r="AA8" s="20">
        <v>204.95494240642199</v>
      </c>
      <c r="AB8" s="20">
        <v>0</v>
      </c>
      <c r="AC8" s="20">
        <v>0</v>
      </c>
      <c r="AD8" s="20">
        <v>1.87812190620177E-12</v>
      </c>
      <c r="AE8" s="20">
        <v>0</v>
      </c>
      <c r="AF8" s="20">
        <v>4.4756408653554498</v>
      </c>
    </row>
    <row r="9" spans="1:32" ht="11.25" customHeight="1" x14ac:dyDescent="0.25">
      <c r="A9" s="117"/>
      <c r="B9" s="23" t="s">
        <v>86</v>
      </c>
      <c r="C9" s="23" t="s">
        <v>25</v>
      </c>
      <c r="D9" s="23" t="s">
        <v>25</v>
      </c>
      <c r="E9" s="23" t="s">
        <v>25</v>
      </c>
      <c r="F9" s="23" t="s">
        <v>25</v>
      </c>
      <c r="G9" s="22" t="s">
        <v>84</v>
      </c>
      <c r="H9" s="22" t="s">
        <v>78</v>
      </c>
      <c r="I9" s="22">
        <f>'MERCADO TE'!$U$6</f>
        <v>0</v>
      </c>
      <c r="J9" s="15"/>
      <c r="L9" s="20">
        <f>('TE BE'!$L$9+'TE BF'!$L$9+'TE CVA'!$L$9)*1</f>
        <v>2.5213258337079196</v>
      </c>
      <c r="M9" s="20">
        <f>('TE BE'!$M$9+'TE BF'!$M$9+'TE CVA'!$M$9)*1</f>
        <v>21.359217492980051</v>
      </c>
      <c r="N9" s="20">
        <f>('TE BE'!$N$9+'TE BF'!$N$9+'TE CVA'!$N$9)*1</f>
        <v>0</v>
      </c>
      <c r="O9" s="20">
        <f>('TE BE'!$O$9+'TE BF'!$O$9+'TE CVA'!$O$9)*1</f>
        <v>8.3144157692497398</v>
      </c>
      <c r="P9" s="20">
        <f>('TE BE'!$Q$9+'TE BF'!$Q$9+'TE CVA'!$Q$9)*1</f>
        <v>233.73052483623587</v>
      </c>
      <c r="Q9" s="20">
        <f>('TE BE'!$S$9+'TE BF'!$S$9+'TE CVA'!$S$9)*1</f>
        <v>0</v>
      </c>
      <c r="R9" s="20">
        <f>('TE BE'!$T$9+'TE BF'!$T$9+'TE CVA'!$T$9)*1</f>
        <v>0</v>
      </c>
      <c r="S9" s="20">
        <f>('TE BE'!$U$9+'TE BF'!$U$9+'TE CVA'!$U$9)*1</f>
        <v>1.8513197508430369E-12</v>
      </c>
      <c r="T9" s="20">
        <f>('TE BE'!$W$9+'TE BF'!$W$9+'TE CVA'!$W$9)*1</f>
        <v>-19.794233700276838</v>
      </c>
      <c r="U9" s="20">
        <f>('TE BE'!$Y$9+'TE BF'!$Y$9+'TE CVA'!$Y$9)*1</f>
        <v>4.6624276249915297</v>
      </c>
      <c r="W9" s="20">
        <v>2.3256699544547099</v>
      </c>
      <c r="X9" s="20">
        <v>6.3399065838333897</v>
      </c>
      <c r="Y9" s="20">
        <v>0</v>
      </c>
      <c r="Z9" s="20">
        <v>0</v>
      </c>
      <c r="AA9" s="20">
        <v>217.252238950807</v>
      </c>
      <c r="AB9" s="20">
        <v>0</v>
      </c>
      <c r="AC9" s="20">
        <v>0</v>
      </c>
      <c r="AD9" s="20">
        <v>1.87812190620177E-12</v>
      </c>
      <c r="AE9" s="20">
        <v>0</v>
      </c>
      <c r="AF9" s="20">
        <v>4.4756408653554498</v>
      </c>
    </row>
    <row r="10" spans="1:32" ht="11.25" customHeight="1" x14ac:dyDescent="0.25">
      <c r="A10" s="117" t="s">
        <v>22</v>
      </c>
      <c r="B10" s="117" t="s">
        <v>77</v>
      </c>
      <c r="C10" s="117" t="s">
        <v>24</v>
      </c>
      <c r="D10" s="117" t="s">
        <v>24</v>
      </c>
      <c r="E10" s="117" t="s">
        <v>25</v>
      </c>
      <c r="F10" s="117" t="s">
        <v>25</v>
      </c>
      <c r="G10" s="22" t="s">
        <v>79</v>
      </c>
      <c r="H10" s="22" t="s">
        <v>78</v>
      </c>
      <c r="I10" s="22">
        <f>'MERCADO TE'!$U$7</f>
        <v>6.9259999999999993</v>
      </c>
      <c r="J10" s="15"/>
      <c r="L10" s="20">
        <f>('TE BE'!$L$10+'TE BF'!$L$10+'TE CVA'!$L$10)*1</f>
        <v>2.5213258337079196</v>
      </c>
      <c r="M10" s="20">
        <f>('TE BE'!$M$10+'TE BF'!$M$10+'TE CVA'!$M$10)*1</f>
        <v>21.359217492980051</v>
      </c>
      <c r="N10" s="20">
        <f>('TE BE'!$N$10+'TE BF'!$N$10+'TE CVA'!$N$10)*1</f>
        <v>0</v>
      </c>
      <c r="O10" s="20">
        <f>('TE BE'!$O$10+'TE BF'!$O$10+'TE CVA'!$O$10)*1</f>
        <v>8.3144157692497398</v>
      </c>
      <c r="P10" s="20">
        <f>('TE BE'!$Q$10+'TE BF'!$Q$10+'TE CVA'!$Q$10)*1</f>
        <v>379.26085162106199</v>
      </c>
      <c r="Q10" s="20">
        <f>('TE BE'!$S$10+'TE BF'!$S$10+'TE CVA'!$S$10)*1</f>
        <v>0</v>
      </c>
      <c r="R10" s="20">
        <f>('TE BE'!$T$10+'TE BF'!$T$10+'TE CVA'!$T$10)*1</f>
        <v>0</v>
      </c>
      <c r="S10" s="20">
        <f>('TE BE'!$U$10+'TE BF'!$U$10+'TE CVA'!$U$10)*1</f>
        <v>1.8513197508430369E-12</v>
      </c>
      <c r="T10" s="20">
        <f>('TE BE'!$W$10+'TE BF'!$W$10+'TE CVA'!$W$10)*1</f>
        <v>-30.652671999178072</v>
      </c>
      <c r="U10" s="20">
        <f>('TE BE'!$Y$10+'TE BF'!$Y$10+'TE CVA'!$Y$10)*1</f>
        <v>4.6624276249915297</v>
      </c>
      <c r="W10" s="20">
        <v>2.3256699544547099</v>
      </c>
      <c r="X10" s="20">
        <v>6.3399065838333897</v>
      </c>
      <c r="Y10" s="20">
        <v>0</v>
      </c>
      <c r="Z10" s="20">
        <v>0</v>
      </c>
      <c r="AA10" s="20">
        <v>352.52250093904502</v>
      </c>
      <c r="AB10" s="20">
        <v>0</v>
      </c>
      <c r="AC10" s="20">
        <v>0</v>
      </c>
      <c r="AD10" s="20">
        <v>1.87812190620177E-12</v>
      </c>
      <c r="AE10" s="20">
        <v>0</v>
      </c>
      <c r="AF10" s="20">
        <v>4.4756408653554498</v>
      </c>
    </row>
    <row r="11" spans="1:32" ht="11.25" customHeight="1" x14ac:dyDescent="0.25">
      <c r="A11" s="117"/>
      <c r="B11" s="117"/>
      <c r="C11" s="117"/>
      <c r="D11" s="117"/>
      <c r="E11" s="117"/>
      <c r="F11" s="117"/>
      <c r="G11" s="22" t="s">
        <v>91</v>
      </c>
      <c r="H11" s="22" t="s">
        <v>78</v>
      </c>
      <c r="I11" s="22">
        <f>'MERCADO TE'!$U$8</f>
        <v>4.6099999999999994</v>
      </c>
      <c r="J11" s="15"/>
      <c r="L11" s="20">
        <f>('TE BE'!$L$11+'TE BF'!$L$11+'TE CVA'!$L$11)*1</f>
        <v>2.5213258337079196</v>
      </c>
      <c r="M11" s="20">
        <f>('TE BE'!$M$11+'TE BF'!$M$11+'TE CVA'!$M$11)*1</f>
        <v>21.359217492980051</v>
      </c>
      <c r="N11" s="20">
        <f>('TE BE'!$N$11+'TE BF'!$N$11+'TE CVA'!$N$11)*1</f>
        <v>0</v>
      </c>
      <c r="O11" s="20">
        <f>('TE BE'!$O$11+'TE BF'!$O$11+'TE CVA'!$O$11)*1</f>
        <v>8.3144157692497398</v>
      </c>
      <c r="P11" s="20">
        <f>('TE BE'!$Q$11+'TE BF'!$Q$11+'TE CVA'!$Q$11)*1</f>
        <v>220.50049512852439</v>
      </c>
      <c r="Q11" s="20">
        <f>('TE BE'!$S$11+'TE BF'!$S$11+'TE CVA'!$S$11)*1</f>
        <v>0</v>
      </c>
      <c r="R11" s="20">
        <f>('TE BE'!$T$11+'TE BF'!$T$11+'TE CVA'!$T$11)*1</f>
        <v>0</v>
      </c>
      <c r="S11" s="20">
        <f>('TE BE'!$U$11+'TE BF'!$U$11+'TE CVA'!$U$11)*1</f>
        <v>1.8513197508430369E-12</v>
      </c>
      <c r="T11" s="20">
        <f>('TE BE'!$W$11+'TE BF'!$W$11+'TE CVA'!$W$11)*1</f>
        <v>-18.807102945831272</v>
      </c>
      <c r="U11" s="20">
        <f>('TE BE'!$Y$11+'TE BF'!$Y$11+'TE CVA'!$Y$11)*1</f>
        <v>4.6624276249915297</v>
      </c>
      <c r="W11" s="20">
        <v>2.3256699544547099</v>
      </c>
      <c r="X11" s="20">
        <v>6.3399065838333897</v>
      </c>
      <c r="Y11" s="20">
        <v>0</v>
      </c>
      <c r="Z11" s="20">
        <v>0</v>
      </c>
      <c r="AA11" s="20">
        <v>204.95494240642199</v>
      </c>
      <c r="AB11" s="20">
        <v>0</v>
      </c>
      <c r="AC11" s="20">
        <v>0</v>
      </c>
      <c r="AD11" s="20">
        <v>1.87812190620177E-12</v>
      </c>
      <c r="AE11" s="20">
        <v>0</v>
      </c>
      <c r="AF11" s="20">
        <v>4.4756408653554498</v>
      </c>
    </row>
    <row r="12" spans="1:32" ht="11.25" customHeight="1" x14ac:dyDescent="0.25">
      <c r="A12" s="117"/>
      <c r="B12" s="117"/>
      <c r="C12" s="117"/>
      <c r="D12" s="117"/>
      <c r="E12" s="117"/>
      <c r="F12" s="117"/>
      <c r="G12" s="22" t="s">
        <v>80</v>
      </c>
      <c r="H12" s="22" t="s">
        <v>78</v>
      </c>
      <c r="I12" s="22">
        <f>'MERCADO TE'!$U$9</f>
        <v>73.14200000000001</v>
      </c>
      <c r="J12" s="15"/>
      <c r="L12" s="20">
        <f>('TE BE'!$L$12+'TE BF'!$L$12+'TE CVA'!$L$12)*1</f>
        <v>2.5213258337079196</v>
      </c>
      <c r="M12" s="20">
        <f>('TE BE'!$M$12+'TE BF'!$M$12+'TE CVA'!$M$12)*1</f>
        <v>21.359217492980051</v>
      </c>
      <c r="N12" s="20">
        <f>('TE BE'!$N$12+'TE BF'!$N$12+'TE CVA'!$N$12)*1</f>
        <v>0</v>
      </c>
      <c r="O12" s="20">
        <f>('TE BE'!$O$12+'TE BF'!$O$12+'TE CVA'!$O$12)*1</f>
        <v>8.3144157692497398</v>
      </c>
      <c r="P12" s="20">
        <f>('TE BE'!$Q$12+'TE BF'!$Q$12+'TE CVA'!$Q$12)*1</f>
        <v>220.50049512852439</v>
      </c>
      <c r="Q12" s="20">
        <f>('TE BE'!$S$12+'TE BF'!$S$12+'TE CVA'!$S$12)*1</f>
        <v>0</v>
      </c>
      <c r="R12" s="20">
        <f>('TE BE'!$T$12+'TE BF'!$T$12+'TE CVA'!$T$12)*1</f>
        <v>0</v>
      </c>
      <c r="S12" s="20">
        <f>('TE BE'!$U$12+'TE BF'!$U$12+'TE CVA'!$U$12)*1</f>
        <v>1.8513197508430369E-12</v>
      </c>
      <c r="T12" s="20">
        <f>('TE BE'!$W$12+'TE BF'!$W$12+'TE CVA'!$W$12)*1</f>
        <v>-18.807102945831272</v>
      </c>
      <c r="U12" s="20">
        <f>('TE BE'!$Y$12+'TE BF'!$Y$12+'TE CVA'!$Y$12)*1</f>
        <v>4.6624276249915297</v>
      </c>
      <c r="W12" s="20">
        <v>2.3256699544547099</v>
      </c>
      <c r="X12" s="20">
        <v>6.3399065838333897</v>
      </c>
      <c r="Y12" s="20">
        <v>0</v>
      </c>
      <c r="Z12" s="20">
        <v>0</v>
      </c>
      <c r="AA12" s="20">
        <v>204.95494240642199</v>
      </c>
      <c r="AB12" s="20">
        <v>0</v>
      </c>
      <c r="AC12" s="20">
        <v>0</v>
      </c>
      <c r="AD12" s="20">
        <v>1.87812190620177E-12</v>
      </c>
      <c r="AE12" s="20">
        <v>0</v>
      </c>
      <c r="AF12" s="20">
        <v>4.4756408653554498</v>
      </c>
    </row>
    <row r="13" spans="1:32" ht="11.25" customHeight="1" x14ac:dyDescent="0.25">
      <c r="A13" s="117"/>
      <c r="B13" s="117" t="s">
        <v>86</v>
      </c>
      <c r="C13" s="117" t="s">
        <v>24</v>
      </c>
      <c r="D13" s="23" t="s">
        <v>24</v>
      </c>
      <c r="E13" s="23" t="s">
        <v>25</v>
      </c>
      <c r="F13" s="23" t="s">
        <v>25</v>
      </c>
      <c r="G13" s="22" t="s">
        <v>84</v>
      </c>
      <c r="H13" s="22" t="s">
        <v>78</v>
      </c>
      <c r="I13" s="22">
        <f>'MERCADO TE'!$U$10</f>
        <v>216529.64400000003</v>
      </c>
      <c r="J13" s="15"/>
      <c r="L13" s="20">
        <f>('TE BE'!$L$13+'TE BF'!$L$13+'TE CVA'!$L$13)*1</f>
        <v>2.5213258337079196</v>
      </c>
      <c r="M13" s="20">
        <f>('TE BE'!$M$13+'TE BF'!$M$13+'TE CVA'!$M$13)*1</f>
        <v>21.359217492980051</v>
      </c>
      <c r="N13" s="20">
        <f>('TE BE'!$N$13+'TE BF'!$N$13+'TE CVA'!$N$13)*1</f>
        <v>0</v>
      </c>
      <c r="O13" s="20">
        <f>('TE BE'!$O$13+'TE BF'!$O$13+'TE CVA'!$O$13)*1</f>
        <v>8.3144157692497398</v>
      </c>
      <c r="P13" s="20">
        <f>('TE BE'!$Q$13+'TE BF'!$Q$13+'TE CVA'!$Q$13)*1</f>
        <v>233.73052483623587</v>
      </c>
      <c r="Q13" s="20">
        <f>('TE BE'!$S$13+'TE BF'!$S$13+'TE CVA'!$S$13)*1</f>
        <v>0</v>
      </c>
      <c r="R13" s="20">
        <f>('TE BE'!$T$13+'TE BF'!$T$13+'TE CVA'!$T$13)*1</f>
        <v>0</v>
      </c>
      <c r="S13" s="20">
        <f>('TE BE'!$U$13+'TE BF'!$U$13+'TE CVA'!$U$13)*1</f>
        <v>1.8513197508430369E-12</v>
      </c>
      <c r="T13" s="20">
        <f>('TE BE'!$W$13+'TE BF'!$W$13+'TE CVA'!$W$13)*1</f>
        <v>-19.794233700276838</v>
      </c>
      <c r="U13" s="20">
        <f>('TE BE'!$Y$13+'TE BF'!$Y$13+'TE CVA'!$Y$13)*1</f>
        <v>4.6624276249915297</v>
      </c>
      <c r="W13" s="20">
        <v>2.3256699544547099</v>
      </c>
      <c r="X13" s="20">
        <v>6.3399065838333897</v>
      </c>
      <c r="Y13" s="20">
        <v>0</v>
      </c>
      <c r="Z13" s="20">
        <v>0</v>
      </c>
      <c r="AA13" s="20">
        <v>217.252238950807</v>
      </c>
      <c r="AB13" s="20">
        <v>0</v>
      </c>
      <c r="AC13" s="20">
        <v>0</v>
      </c>
      <c r="AD13" s="20">
        <v>1.87812190620177E-12</v>
      </c>
      <c r="AE13" s="20">
        <v>0</v>
      </c>
      <c r="AF13" s="20">
        <v>4.4756408653554498</v>
      </c>
    </row>
    <row r="14" spans="1:32" ht="11.25" customHeight="1" x14ac:dyDescent="0.25">
      <c r="A14" s="117"/>
      <c r="B14" s="117"/>
      <c r="C14" s="117"/>
      <c r="D14" s="23" t="s">
        <v>29</v>
      </c>
      <c r="E14" s="23" t="s">
        <v>25</v>
      </c>
      <c r="F14" s="23" t="s">
        <v>25</v>
      </c>
      <c r="G14" s="22" t="s">
        <v>84</v>
      </c>
      <c r="H14" s="22" t="s">
        <v>78</v>
      </c>
      <c r="I14" s="22">
        <f>'MERCADO TE'!$U$11</f>
        <v>20401.981000000003</v>
      </c>
      <c r="J14" s="15"/>
      <c r="L14" s="20">
        <f>('TE BE'!$L$14+'TE BF'!$L$14+'TE CVA'!$L$14)*(1 - 0.65)</f>
        <v>0.88246404179777183</v>
      </c>
      <c r="M14" s="20">
        <f>('TE BE'!$M$14+'TE BF'!$M$14+'TE CVA'!$M$14)*(1 - 0.65)</f>
        <v>7.4757261225430174</v>
      </c>
      <c r="N14" s="20">
        <f>('TE BE'!$N$14+'TE BF'!$N$14+'TE CVA'!$N$14)*(1 - 0.65)</f>
        <v>0</v>
      </c>
      <c r="O14" s="20">
        <f>('TE BE'!$O$14+'TE BF'!$O$14+'TE CVA'!$O$14)*(1 - 0.65)</f>
        <v>2.9100455192374088</v>
      </c>
      <c r="P14" s="20">
        <f>('TE BE'!$Q$14+'TE BF'!$Q$14+'TE CVA'!$Q$14)*(1 - 0.65)</f>
        <v>81.80568369268255</v>
      </c>
      <c r="Q14" s="20">
        <f>('TE BE'!$S$14+'TE BF'!$S$14+'TE CVA'!$S$14)*(1 - 0.65)</f>
        <v>0</v>
      </c>
      <c r="R14" s="20">
        <f>('TE BE'!$T$14+'TE BF'!$T$14+'TE CVA'!$T$14)*(1 - 0.65)</f>
        <v>0</v>
      </c>
      <c r="S14" s="20">
        <f>('TE BE'!$U$14+'TE BF'!$U$14+'TE CVA'!$U$14)*(1 - 0.65)</f>
        <v>6.4796191279506285E-13</v>
      </c>
      <c r="T14" s="20">
        <f>('TE BE'!$W$14+'TE BF'!$W$14+'TE CVA'!$W$14)*(1 - 0.65)</f>
        <v>-6.9279817950968932</v>
      </c>
      <c r="U14" s="20">
        <f>('TE BE'!$Y$14+'TE BF'!$Y$14+'TE CVA'!$Y$14)*(1 - 0.65)</f>
        <v>1.6318496687470354</v>
      </c>
      <c r="W14" s="20">
        <v>0.81398448405914903</v>
      </c>
      <c r="X14" s="20">
        <v>2.2189673043416902</v>
      </c>
      <c r="Y14" s="20">
        <v>0</v>
      </c>
      <c r="Z14" s="20">
        <v>0</v>
      </c>
      <c r="AA14" s="20">
        <v>76.038283632782495</v>
      </c>
      <c r="AB14" s="20">
        <v>0</v>
      </c>
      <c r="AC14" s="20">
        <v>0</v>
      </c>
      <c r="AD14" s="20">
        <v>6.5734266717062002E-13</v>
      </c>
      <c r="AE14" s="20">
        <v>0</v>
      </c>
      <c r="AF14" s="20">
        <v>1.5664743028744099</v>
      </c>
    </row>
    <row r="15" spans="1:32" ht="11.25" customHeight="1" x14ac:dyDescent="0.25">
      <c r="A15" s="117"/>
      <c r="B15" s="117"/>
      <c r="C15" s="117"/>
      <c r="D15" s="23" t="s">
        <v>30</v>
      </c>
      <c r="E15" s="23" t="s">
        <v>25</v>
      </c>
      <c r="F15" s="23" t="s">
        <v>25</v>
      </c>
      <c r="G15" s="22" t="s">
        <v>84</v>
      </c>
      <c r="H15" s="22" t="s">
        <v>78</v>
      </c>
      <c r="I15" s="22">
        <f>'MERCADO TE'!$U$12</f>
        <v>32706.754000000004</v>
      </c>
      <c r="J15" s="15"/>
      <c r="L15" s="20">
        <f>('TE BE'!$L$15+'TE BF'!$L$15+'TE CVA'!$L$15)*(1 - 0.4)</f>
        <v>1.5127955002247517</v>
      </c>
      <c r="M15" s="20">
        <f>('TE BE'!$M$15+'TE BF'!$M$15+'TE CVA'!$M$15)*(1 - 0.4)</f>
        <v>12.81553049578803</v>
      </c>
      <c r="N15" s="20">
        <f>('TE BE'!$N$15+'TE BF'!$N$15+'TE CVA'!$N$15)*(1 - 0.4)</f>
        <v>0</v>
      </c>
      <c r="O15" s="20">
        <f>('TE BE'!$O$15+'TE BF'!$O$15+'TE CVA'!$O$15)*(1 - 0.4)</f>
        <v>4.9886494615498433</v>
      </c>
      <c r="P15" s="20">
        <f>('TE BE'!$Q$15+'TE BF'!$Q$15+'TE CVA'!$Q$15)*(1 - 0.4)</f>
        <v>140.23831490174152</v>
      </c>
      <c r="Q15" s="20">
        <f>('TE BE'!$S$15+'TE BF'!$S$15+'TE CVA'!$S$15)*(1 - 0.4)</f>
        <v>0</v>
      </c>
      <c r="R15" s="20">
        <f>('TE BE'!$T$15+'TE BF'!$T$15+'TE CVA'!$T$15)*(1 - 0.4)</f>
        <v>0</v>
      </c>
      <c r="S15" s="20">
        <f>('TE BE'!$U$15+'TE BF'!$U$15+'TE CVA'!$U$15)*(1 - 0.4)</f>
        <v>1.1107918505058222E-12</v>
      </c>
      <c r="T15" s="20">
        <f>('TE BE'!$W$15+'TE BF'!$W$15+'TE CVA'!$W$15)*(1 - 0.4)</f>
        <v>-11.876540220166103</v>
      </c>
      <c r="U15" s="20">
        <f>('TE BE'!$Y$15+'TE BF'!$Y$15+'TE CVA'!$Y$15)*(1 - 0.4)</f>
        <v>2.7974565749949178</v>
      </c>
      <c r="W15" s="20">
        <v>1.3954019726728299</v>
      </c>
      <c r="X15" s="20">
        <v>3.8039439503000398</v>
      </c>
      <c r="Y15" s="20">
        <v>0</v>
      </c>
      <c r="Z15" s="20">
        <v>0</v>
      </c>
      <c r="AA15" s="20">
        <v>130.35134337048399</v>
      </c>
      <c r="AB15" s="20">
        <v>0</v>
      </c>
      <c r="AC15" s="20">
        <v>0</v>
      </c>
      <c r="AD15" s="20">
        <v>1.12687314372106E-12</v>
      </c>
      <c r="AE15" s="20">
        <v>0</v>
      </c>
      <c r="AF15" s="20">
        <v>2.6853845192132701</v>
      </c>
    </row>
    <row r="16" spans="1:32" ht="11.25" customHeight="1" x14ac:dyDescent="0.25">
      <c r="A16" s="117"/>
      <c r="B16" s="117"/>
      <c r="C16" s="117"/>
      <c r="D16" s="23" t="s">
        <v>31</v>
      </c>
      <c r="E16" s="23" t="s">
        <v>25</v>
      </c>
      <c r="F16" s="23" t="s">
        <v>25</v>
      </c>
      <c r="G16" s="22" t="s">
        <v>84</v>
      </c>
      <c r="H16" s="22" t="s">
        <v>78</v>
      </c>
      <c r="I16" s="22">
        <f>'MERCADO TE'!$U$13</f>
        <v>13213.162</v>
      </c>
      <c r="J16" s="15"/>
      <c r="L16" s="20">
        <f>('TE BE'!$L$16+'TE BF'!$L$16+'TE CVA'!$L$16)*(1 - 0.1)</f>
        <v>2.2691932503371279</v>
      </c>
      <c r="M16" s="20">
        <f>('TE BE'!$M$16+'TE BF'!$M$16+'TE CVA'!$M$16)*(1 - 0.1)</f>
        <v>19.223295743682048</v>
      </c>
      <c r="N16" s="20">
        <f>('TE BE'!$N$16+'TE BF'!$N$16+'TE CVA'!$N$16)*(1 - 0.1)</f>
        <v>0</v>
      </c>
      <c r="O16" s="20">
        <f>('TE BE'!$O$16+'TE BF'!$O$16+'TE CVA'!$O$16)*(1 - 0.1)</f>
        <v>7.4829741923247663</v>
      </c>
      <c r="P16" s="20">
        <f>('TE BE'!$Q$16+'TE BF'!$Q$16+'TE CVA'!$Q$16)*(1 - 0.1)</f>
        <v>210.35747235261229</v>
      </c>
      <c r="Q16" s="20">
        <f>('TE BE'!$S$16+'TE BF'!$S$16+'TE CVA'!$S$16)*(1 - 0.1)</f>
        <v>0</v>
      </c>
      <c r="R16" s="20">
        <f>('TE BE'!$T$16+'TE BF'!$T$16+'TE CVA'!$T$16)*(1 - 0.1)</f>
        <v>0</v>
      </c>
      <c r="S16" s="20">
        <f>('TE BE'!$U$16+'TE BF'!$U$16+'TE CVA'!$U$16)*(1 - 0.1)</f>
        <v>1.6661877757587332E-12</v>
      </c>
      <c r="T16" s="20">
        <f>('TE BE'!$W$16+'TE BF'!$W$16+'TE CVA'!$W$16)*(1 - 0.1)</f>
        <v>-17.814810330249156</v>
      </c>
      <c r="U16" s="20">
        <f>('TE BE'!$Y$16+'TE BF'!$Y$16+'TE CVA'!$Y$16)*(1 - 0.1)</f>
        <v>4.1961848624923768</v>
      </c>
      <c r="W16" s="20">
        <v>2.09310295900924</v>
      </c>
      <c r="X16" s="20">
        <v>5.70591592545005</v>
      </c>
      <c r="Y16" s="20">
        <v>0</v>
      </c>
      <c r="Z16" s="20">
        <v>0</v>
      </c>
      <c r="AA16" s="20">
        <v>195.527015055726</v>
      </c>
      <c r="AB16" s="20">
        <v>0</v>
      </c>
      <c r="AC16" s="20">
        <v>0</v>
      </c>
      <c r="AD16" s="20">
        <v>1.69030971558159E-12</v>
      </c>
      <c r="AE16" s="20">
        <v>0</v>
      </c>
      <c r="AF16" s="20">
        <v>4.0280767788199103</v>
      </c>
    </row>
    <row r="17" spans="1:32" ht="11.25" customHeight="1" x14ac:dyDescent="0.25">
      <c r="A17" s="117"/>
      <c r="B17" s="117"/>
      <c r="C17" s="117"/>
      <c r="D17" s="23" t="s">
        <v>32</v>
      </c>
      <c r="E17" s="23" t="s">
        <v>25</v>
      </c>
      <c r="F17" s="23" t="s">
        <v>25</v>
      </c>
      <c r="G17" s="22" t="s">
        <v>84</v>
      </c>
      <c r="H17" s="22" t="s">
        <v>78</v>
      </c>
      <c r="I17" s="22">
        <f>'MERCADO TE'!$U$14</f>
        <v>2931.0630000000001</v>
      </c>
      <c r="J17" s="15"/>
      <c r="L17" s="20">
        <f>('TE BE'!$L$17+'TE BF'!$L$17+'TE CVA'!$L$17)*1</f>
        <v>2.5213258337079196</v>
      </c>
      <c r="M17" s="20">
        <f>('TE BE'!$M$17+'TE BF'!$M$17+'TE CVA'!$M$17)*1</f>
        <v>21.359217492980051</v>
      </c>
      <c r="N17" s="20">
        <f>('TE BE'!$N$17+'TE BF'!$N$17+'TE CVA'!$N$17)*1</f>
        <v>0</v>
      </c>
      <c r="O17" s="20">
        <f>('TE BE'!$O$17+'TE BF'!$O$17+'TE CVA'!$O$17)*1</f>
        <v>8.3144157692497398</v>
      </c>
      <c r="P17" s="20">
        <f>('TE BE'!$Q$17+'TE BF'!$Q$17+'TE CVA'!$Q$17)*1</f>
        <v>233.73052483623587</v>
      </c>
      <c r="Q17" s="20">
        <f>('TE BE'!$S$17+'TE BF'!$S$17+'TE CVA'!$S$17)*1</f>
        <v>0</v>
      </c>
      <c r="R17" s="20">
        <f>('TE BE'!$T$17+'TE BF'!$T$17+'TE CVA'!$T$17)*1</f>
        <v>0</v>
      </c>
      <c r="S17" s="20">
        <f>('TE BE'!$U$17+'TE BF'!$U$17+'TE CVA'!$U$17)*1</f>
        <v>1.8513197508430369E-12</v>
      </c>
      <c r="T17" s="20">
        <f>('TE BE'!$W$17+'TE BF'!$W$17+'TE CVA'!$W$17)*1</f>
        <v>-19.794233700276838</v>
      </c>
      <c r="U17" s="20">
        <f>('TE BE'!$Y$17+'TE BF'!$Y$17+'TE CVA'!$Y$17)*1</f>
        <v>4.6624276249915297</v>
      </c>
      <c r="W17" s="20">
        <v>2.3256699544547099</v>
      </c>
      <c r="X17" s="20">
        <v>6.3399065838333897</v>
      </c>
      <c r="Y17" s="20">
        <v>0</v>
      </c>
      <c r="Z17" s="20">
        <v>0</v>
      </c>
      <c r="AA17" s="20">
        <v>217.252238950807</v>
      </c>
      <c r="AB17" s="20">
        <v>0</v>
      </c>
      <c r="AC17" s="20">
        <v>0</v>
      </c>
      <c r="AD17" s="20">
        <v>1.87812190620177E-12</v>
      </c>
      <c r="AE17" s="20">
        <v>0</v>
      </c>
      <c r="AF17" s="20">
        <v>4.4756408653554498</v>
      </c>
    </row>
    <row r="18" spans="1:32" ht="11.25" customHeight="1" x14ac:dyDescent="0.25">
      <c r="A18" s="117"/>
      <c r="B18" s="117" t="s">
        <v>92</v>
      </c>
      <c r="C18" s="117" t="s">
        <v>24</v>
      </c>
      <c r="D18" s="23" t="s">
        <v>24</v>
      </c>
      <c r="E18" s="23" t="s">
        <v>25</v>
      </c>
      <c r="F18" s="23" t="s">
        <v>25</v>
      </c>
      <c r="G18" s="22" t="s">
        <v>84</v>
      </c>
      <c r="H18" s="22" t="s">
        <v>78</v>
      </c>
      <c r="I18" s="22">
        <f>'MERCADO TE'!$U$15</f>
        <v>0</v>
      </c>
      <c r="J18" s="15"/>
      <c r="L18" s="20">
        <f>('TE BE'!$L$18+'TE BF'!$L$18+'TE CVA'!$L$18)*1</f>
        <v>2.5213258337079196</v>
      </c>
      <c r="M18" s="20">
        <f>('TE BE'!$M$18+'TE BF'!$M$18+'TE CVA'!$M$18)*1</f>
        <v>21.359217492980051</v>
      </c>
      <c r="N18" s="20">
        <f>('TE BE'!$N$18+'TE BF'!$N$18+'TE CVA'!$N$18)*1</f>
        <v>0</v>
      </c>
      <c r="O18" s="20">
        <f>('TE BE'!$O$18+'TE BF'!$O$18+'TE CVA'!$O$18)*1</f>
        <v>8.3144157692497398</v>
      </c>
      <c r="P18" s="20">
        <f>('TE BE'!$Q$18+'TE BF'!$Q$18+'TE CVA'!$Q$18)*1</f>
        <v>233.73052483623587</v>
      </c>
      <c r="Q18" s="20">
        <f>('TE BE'!$S$18+'TE BF'!$S$18+'TE CVA'!$S$18)*1</f>
        <v>0</v>
      </c>
      <c r="R18" s="20">
        <f>('TE BE'!$T$18+'TE BF'!$T$18+'TE CVA'!$T$18)*1</f>
        <v>0</v>
      </c>
      <c r="S18" s="20">
        <f>('TE BE'!$U$18+'TE BF'!$U$18+'TE CVA'!$U$18)*1</f>
        <v>1.8513197508430369E-12</v>
      </c>
      <c r="T18" s="20">
        <f>('TE BE'!$W$18+'TE BF'!$W$18+'TE CVA'!$W$18)*1</f>
        <v>-19.794233700276838</v>
      </c>
      <c r="U18" s="20">
        <f>('TE BE'!$Y$18+'TE BF'!$Y$18+'TE CVA'!$Y$18)*1</f>
        <v>4.6624276249915297</v>
      </c>
      <c r="W18" s="20">
        <v>2.3256699544547099</v>
      </c>
      <c r="X18" s="20">
        <v>6.3399065838333897</v>
      </c>
      <c r="Y18" s="20">
        <v>0</v>
      </c>
      <c r="Z18" s="20">
        <v>0</v>
      </c>
      <c r="AA18" s="20">
        <v>217.252238950807</v>
      </c>
      <c r="AB18" s="20">
        <v>0</v>
      </c>
      <c r="AC18" s="20">
        <v>0</v>
      </c>
      <c r="AD18" s="20">
        <v>1.87812190620177E-12</v>
      </c>
      <c r="AE18" s="20">
        <v>0</v>
      </c>
      <c r="AF18" s="20">
        <v>4.4756408653554498</v>
      </c>
    </row>
    <row r="19" spans="1:32" ht="11.25" customHeight="1" x14ac:dyDescent="0.25">
      <c r="A19" s="117"/>
      <c r="B19" s="117"/>
      <c r="C19" s="117"/>
      <c r="D19" s="23" t="s">
        <v>29</v>
      </c>
      <c r="E19" s="23" t="s">
        <v>25</v>
      </c>
      <c r="F19" s="23" t="s">
        <v>25</v>
      </c>
      <c r="G19" s="22" t="s">
        <v>84</v>
      </c>
      <c r="H19" s="22" t="s">
        <v>78</v>
      </c>
      <c r="I19" s="22">
        <f>'MERCADO TE'!$U$16</f>
        <v>0</v>
      </c>
      <c r="J19" s="15"/>
      <c r="L19" s="20">
        <f>('TE BE'!$L$19+'TE BF'!$L$19+'TE CVA'!$L$19)*(1 - 0.65)</f>
        <v>0.88246404179777183</v>
      </c>
      <c r="M19" s="20">
        <f>('TE BE'!$M$19+'TE BF'!$M$19+'TE CVA'!$M$19)*(1 - 0.65)</f>
        <v>7.4757261225430174</v>
      </c>
      <c r="N19" s="20">
        <f>('TE BE'!$N$19+'TE BF'!$N$19+'TE CVA'!$N$19)*(1 - 0.65)</f>
        <v>0</v>
      </c>
      <c r="O19" s="20">
        <f>('TE BE'!$O$19+'TE BF'!$O$19+'TE CVA'!$O$19)*(1 - 0.65)</f>
        <v>2.9100455192374088</v>
      </c>
      <c r="P19" s="20">
        <f>('TE BE'!$Q$19+'TE BF'!$Q$19+'TE CVA'!$Q$19)*(1 - 0.65)</f>
        <v>81.80568369268255</v>
      </c>
      <c r="Q19" s="20">
        <f>('TE BE'!$S$19+'TE BF'!$S$19+'TE CVA'!$S$19)*(1 - 0.65)</f>
        <v>0</v>
      </c>
      <c r="R19" s="20">
        <f>('TE BE'!$T$19+'TE BF'!$T$19+'TE CVA'!$T$19)*(1 - 0.65)</f>
        <v>0</v>
      </c>
      <c r="S19" s="20">
        <f>('TE BE'!$U$19+'TE BF'!$U$19+'TE CVA'!$U$19)*(1 - 0.65)</f>
        <v>6.4796191279506285E-13</v>
      </c>
      <c r="T19" s="20">
        <f>('TE BE'!$W$19+'TE BF'!$W$19+'TE CVA'!$W$19)*(1 - 0.65)</f>
        <v>-6.9279817950968932</v>
      </c>
      <c r="U19" s="20">
        <f>('TE BE'!$Y$19+'TE BF'!$Y$19+'TE CVA'!$Y$19)*(1 - 0.65)</f>
        <v>1.6318496687470354</v>
      </c>
      <c r="W19" s="20">
        <v>0.81398448405914903</v>
      </c>
      <c r="X19" s="20">
        <v>2.2189673043416902</v>
      </c>
      <c r="Y19" s="20">
        <v>0</v>
      </c>
      <c r="Z19" s="20">
        <v>0</v>
      </c>
      <c r="AA19" s="20">
        <v>76.038283632782495</v>
      </c>
      <c r="AB19" s="20">
        <v>0</v>
      </c>
      <c r="AC19" s="20">
        <v>0</v>
      </c>
      <c r="AD19" s="20">
        <v>6.5734266717062002E-13</v>
      </c>
      <c r="AE19" s="20">
        <v>0</v>
      </c>
      <c r="AF19" s="20">
        <v>1.5664743028744099</v>
      </c>
    </row>
    <row r="20" spans="1:32" ht="11.25" customHeight="1" x14ac:dyDescent="0.25">
      <c r="A20" s="117"/>
      <c r="B20" s="117"/>
      <c r="C20" s="117"/>
      <c r="D20" s="23" t="s">
        <v>30</v>
      </c>
      <c r="E20" s="23" t="s">
        <v>25</v>
      </c>
      <c r="F20" s="23" t="s">
        <v>25</v>
      </c>
      <c r="G20" s="22" t="s">
        <v>84</v>
      </c>
      <c r="H20" s="22" t="s">
        <v>78</v>
      </c>
      <c r="I20" s="22">
        <f>'MERCADO TE'!$U$17</f>
        <v>0</v>
      </c>
      <c r="J20" s="15"/>
      <c r="L20" s="20">
        <f>('TE BE'!$L$20+'TE BF'!$L$20+'TE CVA'!$L$20)*(1 - 0.4)</f>
        <v>1.5127955002247517</v>
      </c>
      <c r="M20" s="20">
        <f>('TE BE'!$M$20+'TE BF'!$M$20+'TE CVA'!$M$20)*(1 - 0.4)</f>
        <v>12.81553049578803</v>
      </c>
      <c r="N20" s="20">
        <f>('TE BE'!$N$20+'TE BF'!$N$20+'TE CVA'!$N$20)*(1 - 0.4)</f>
        <v>0</v>
      </c>
      <c r="O20" s="20">
        <f>('TE BE'!$O$20+'TE BF'!$O$20+'TE CVA'!$O$20)*(1 - 0.4)</f>
        <v>4.9886494615498433</v>
      </c>
      <c r="P20" s="20">
        <f>('TE BE'!$Q$20+'TE BF'!$Q$20+'TE CVA'!$Q$20)*(1 - 0.4)</f>
        <v>140.23831490174152</v>
      </c>
      <c r="Q20" s="20">
        <f>('TE BE'!$S$20+'TE BF'!$S$20+'TE CVA'!$S$20)*(1 - 0.4)</f>
        <v>0</v>
      </c>
      <c r="R20" s="20">
        <f>('TE BE'!$T$20+'TE BF'!$T$20+'TE CVA'!$T$20)*(1 - 0.4)</f>
        <v>0</v>
      </c>
      <c r="S20" s="20">
        <f>('TE BE'!$U$20+'TE BF'!$U$20+'TE CVA'!$U$20)*(1 - 0.4)</f>
        <v>1.1107918505058222E-12</v>
      </c>
      <c r="T20" s="20">
        <f>('TE BE'!$W$20+'TE BF'!$W$20+'TE CVA'!$W$20)*(1 - 0.4)</f>
        <v>-11.876540220166103</v>
      </c>
      <c r="U20" s="20">
        <f>('TE BE'!$Y$20+'TE BF'!$Y$20+'TE CVA'!$Y$20)*(1 - 0.4)</f>
        <v>2.7974565749949178</v>
      </c>
      <c r="W20" s="20">
        <v>1.3954019726728299</v>
      </c>
      <c r="X20" s="20">
        <v>3.8039439503000398</v>
      </c>
      <c r="Y20" s="20">
        <v>0</v>
      </c>
      <c r="Z20" s="20">
        <v>0</v>
      </c>
      <c r="AA20" s="20">
        <v>130.35134337048399</v>
      </c>
      <c r="AB20" s="20">
        <v>0</v>
      </c>
      <c r="AC20" s="20">
        <v>0</v>
      </c>
      <c r="AD20" s="20">
        <v>1.12687314372106E-12</v>
      </c>
      <c r="AE20" s="20">
        <v>0</v>
      </c>
      <c r="AF20" s="20">
        <v>2.6853845192132701</v>
      </c>
    </row>
    <row r="21" spans="1:32" ht="11.25" customHeight="1" x14ac:dyDescent="0.25">
      <c r="A21" s="117"/>
      <c r="B21" s="117"/>
      <c r="C21" s="117"/>
      <c r="D21" s="23" t="s">
        <v>31</v>
      </c>
      <c r="E21" s="23" t="s">
        <v>25</v>
      </c>
      <c r="F21" s="23" t="s">
        <v>25</v>
      </c>
      <c r="G21" s="22" t="s">
        <v>84</v>
      </c>
      <c r="H21" s="22" t="s">
        <v>78</v>
      </c>
      <c r="I21" s="22">
        <f>'MERCADO TE'!$U$18</f>
        <v>0</v>
      </c>
      <c r="J21" s="15"/>
      <c r="L21" s="20">
        <f>('TE BE'!$L$21+'TE BF'!$L$21+'TE CVA'!$L$21)*(1 - 0.1)</f>
        <v>2.2691932503371279</v>
      </c>
      <c r="M21" s="20">
        <f>('TE BE'!$M$21+'TE BF'!$M$21+'TE CVA'!$M$21)*(1 - 0.1)</f>
        <v>19.223295743682048</v>
      </c>
      <c r="N21" s="20">
        <f>('TE BE'!$N$21+'TE BF'!$N$21+'TE CVA'!$N$21)*(1 - 0.1)</f>
        <v>0</v>
      </c>
      <c r="O21" s="20">
        <f>('TE BE'!$O$21+'TE BF'!$O$21+'TE CVA'!$O$21)*(1 - 0.1)</f>
        <v>7.4829741923247663</v>
      </c>
      <c r="P21" s="20">
        <f>('TE BE'!$Q$21+'TE BF'!$Q$21+'TE CVA'!$Q$21)*(1 - 0.1)</f>
        <v>210.35747235261229</v>
      </c>
      <c r="Q21" s="20">
        <f>('TE BE'!$S$21+'TE BF'!$S$21+'TE CVA'!$S$21)*(1 - 0.1)</f>
        <v>0</v>
      </c>
      <c r="R21" s="20">
        <f>('TE BE'!$T$21+'TE BF'!$T$21+'TE CVA'!$T$21)*(1 - 0.1)</f>
        <v>0</v>
      </c>
      <c r="S21" s="20">
        <f>('TE BE'!$U$21+'TE BF'!$U$21+'TE CVA'!$U$21)*(1 - 0.1)</f>
        <v>1.6661877757587332E-12</v>
      </c>
      <c r="T21" s="20">
        <f>('TE BE'!$W$21+'TE BF'!$W$21+'TE CVA'!$W$21)*(1 - 0.1)</f>
        <v>-17.814810330249156</v>
      </c>
      <c r="U21" s="20">
        <f>('TE BE'!$Y$21+'TE BF'!$Y$21+'TE CVA'!$Y$21)*(1 - 0.1)</f>
        <v>4.1961848624923768</v>
      </c>
      <c r="W21" s="20">
        <v>2.09310295900924</v>
      </c>
      <c r="X21" s="20">
        <v>5.70591592545005</v>
      </c>
      <c r="Y21" s="20">
        <v>0</v>
      </c>
      <c r="Z21" s="20">
        <v>0</v>
      </c>
      <c r="AA21" s="20">
        <v>195.527015055726</v>
      </c>
      <c r="AB21" s="20">
        <v>0</v>
      </c>
      <c r="AC21" s="20">
        <v>0</v>
      </c>
      <c r="AD21" s="20">
        <v>1.69030971558159E-12</v>
      </c>
      <c r="AE21" s="20">
        <v>0</v>
      </c>
      <c r="AF21" s="20">
        <v>4.0280767788199103</v>
      </c>
    </row>
    <row r="22" spans="1:32" ht="11.25" customHeight="1" x14ac:dyDescent="0.25">
      <c r="A22" s="117"/>
      <c r="B22" s="117"/>
      <c r="C22" s="117"/>
      <c r="D22" s="23" t="s">
        <v>32</v>
      </c>
      <c r="E22" s="23" t="s">
        <v>25</v>
      </c>
      <c r="F22" s="23" t="s">
        <v>25</v>
      </c>
      <c r="G22" s="22" t="s">
        <v>84</v>
      </c>
      <c r="H22" s="22" t="s">
        <v>78</v>
      </c>
      <c r="I22" s="22">
        <f>'MERCADO TE'!$U$19</f>
        <v>0</v>
      </c>
      <c r="J22" s="15"/>
      <c r="L22" s="20">
        <f>('TE BE'!$L$22+'TE BF'!$L$22+'TE CVA'!$L$22)*1</f>
        <v>2.5213258337079196</v>
      </c>
      <c r="M22" s="20">
        <f>('TE BE'!$M$22+'TE BF'!$M$22+'TE CVA'!$M$22)*1</f>
        <v>21.359217492980051</v>
      </c>
      <c r="N22" s="20">
        <f>('TE BE'!$N$22+'TE BF'!$N$22+'TE CVA'!$N$22)*1</f>
        <v>0</v>
      </c>
      <c r="O22" s="20">
        <f>('TE BE'!$O$22+'TE BF'!$O$22+'TE CVA'!$O$22)*1</f>
        <v>8.3144157692497398</v>
      </c>
      <c r="P22" s="20">
        <f>('TE BE'!$Q$22+'TE BF'!$Q$22+'TE CVA'!$Q$22)*1</f>
        <v>233.73052483623587</v>
      </c>
      <c r="Q22" s="20">
        <f>('TE BE'!$S$22+'TE BF'!$S$22+'TE CVA'!$S$22)*1</f>
        <v>0</v>
      </c>
      <c r="R22" s="20">
        <f>('TE BE'!$T$22+'TE BF'!$T$22+'TE CVA'!$T$22)*1</f>
        <v>0</v>
      </c>
      <c r="S22" s="20">
        <f>('TE BE'!$U$22+'TE BF'!$U$22+'TE CVA'!$U$22)*1</f>
        <v>1.8513197508430369E-12</v>
      </c>
      <c r="T22" s="20">
        <f>('TE BE'!$W$22+'TE BF'!$W$22+'TE CVA'!$W$22)*1</f>
        <v>-19.794233700276838</v>
      </c>
      <c r="U22" s="20">
        <f>('TE BE'!$Y$22+'TE BF'!$Y$22+'TE CVA'!$Y$22)*1</f>
        <v>4.6624276249915297</v>
      </c>
      <c r="W22" s="20">
        <v>2.3256699544547099</v>
      </c>
      <c r="X22" s="20">
        <v>6.3399065838333897</v>
      </c>
      <c r="Y22" s="20">
        <v>0</v>
      </c>
      <c r="Z22" s="20">
        <v>0</v>
      </c>
      <c r="AA22" s="20">
        <v>217.252238950807</v>
      </c>
      <c r="AB22" s="20">
        <v>0</v>
      </c>
      <c r="AC22" s="20">
        <v>0</v>
      </c>
      <c r="AD22" s="20">
        <v>1.87812190620177E-12</v>
      </c>
      <c r="AE22" s="20">
        <v>0</v>
      </c>
      <c r="AF22" s="20">
        <v>4.4756408653554498</v>
      </c>
    </row>
    <row r="23" spans="1:32" ht="11.25" customHeight="1" x14ac:dyDescent="0.25">
      <c r="A23" s="117" t="s">
        <v>43</v>
      </c>
      <c r="B23" s="117" t="s">
        <v>77</v>
      </c>
      <c r="C23" s="117" t="s">
        <v>44</v>
      </c>
      <c r="D23" s="117" t="s">
        <v>25</v>
      </c>
      <c r="E23" s="117" t="s">
        <v>25</v>
      </c>
      <c r="F23" s="117" t="s">
        <v>25</v>
      </c>
      <c r="G23" s="22" t="s">
        <v>79</v>
      </c>
      <c r="H23" s="22" t="s">
        <v>78</v>
      </c>
      <c r="I23" s="22">
        <f>'MERCADO TE'!$U$20</f>
        <v>0.16600000000000004</v>
      </c>
      <c r="J23" s="15"/>
      <c r="L23" s="20">
        <f>('TE BE'!$L$23+'TE BF'!$L$23+'TE CVA'!$L$23)*(1 - CUSTOS!$M$38)</f>
        <v>2.3700462836854443</v>
      </c>
      <c r="M23" s="20">
        <f>('TE BE'!$M$23+'TE BF'!$M$23+'TE CVA'!$M$23)*(1 - CUSTOS!$M$38)</f>
        <v>20.077664443401247</v>
      </c>
      <c r="N23" s="20">
        <f>('TE BE'!$N$23+'TE BF'!$N$23+'TE CVA'!$N$23)*(1 - CUSTOS!$M$38)</f>
        <v>0</v>
      </c>
      <c r="O23" s="20">
        <f>('TE BE'!$O$23+'TE BF'!$O$23+'TE CVA'!$O$23)*(1 - CUSTOS!$M$38)</f>
        <v>7.815550823094755</v>
      </c>
      <c r="P23" s="20">
        <f>('TE BE'!$Q$23+'TE BF'!$Q$23+'TE CVA'!$Q$23)*(1 - CUSTOS!$M$38)</f>
        <v>356.50520052379824</v>
      </c>
      <c r="Q23" s="20">
        <f>('TE BE'!$S$23+'TE BF'!$S$23+'TE CVA'!$S$23)*(1 - CUSTOS!$M$38)</f>
        <v>0</v>
      </c>
      <c r="R23" s="20">
        <f>('TE BE'!$T$23+'TE BF'!$T$23+'TE CVA'!$T$23)*(1 - CUSTOS!$M$38)</f>
        <v>0</v>
      </c>
      <c r="S23" s="20">
        <f>('TE BE'!$U$23+'TE BF'!$U$23+'TE CVA'!$U$23)*(1 - CUSTOS!$M$38)</f>
        <v>1.7402405657924545E-12</v>
      </c>
      <c r="T23" s="20">
        <f>('TE BE'!$W$23+'TE BF'!$W$23+'TE CVA'!$W$23)*(1 - CUSTOS!$M$38)</f>
        <v>-28.813511679227386</v>
      </c>
      <c r="U23" s="20">
        <f>('TE BE'!$Y$23+'TE BF'!$Y$23+'TE CVA'!$Y$23)*(1 - CUSTOS!$M$38)</f>
        <v>4.3826819674920374</v>
      </c>
      <c r="W23" s="20">
        <v>2.0465895599201498</v>
      </c>
      <c r="X23" s="20">
        <v>5.5791177937733902</v>
      </c>
      <c r="Y23" s="20">
        <v>0</v>
      </c>
      <c r="Z23" s="20">
        <v>0</v>
      </c>
      <c r="AA23" s="20">
        <v>310.21980082635997</v>
      </c>
      <c r="AB23" s="20">
        <v>0</v>
      </c>
      <c r="AC23" s="20">
        <v>0</v>
      </c>
      <c r="AD23" s="20">
        <v>1.6527472774575599E-12</v>
      </c>
      <c r="AE23" s="20">
        <v>0</v>
      </c>
      <c r="AF23" s="20">
        <v>3.9385639615127999</v>
      </c>
    </row>
    <row r="24" spans="1:32" ht="11.25" customHeight="1" x14ac:dyDescent="0.25">
      <c r="A24" s="117"/>
      <c r="B24" s="117"/>
      <c r="C24" s="117"/>
      <c r="D24" s="117"/>
      <c r="E24" s="117"/>
      <c r="F24" s="117"/>
      <c r="G24" s="22" t="s">
        <v>91</v>
      </c>
      <c r="H24" s="22" t="s">
        <v>78</v>
      </c>
      <c r="I24" s="22">
        <f>'MERCADO TE'!$U$21</f>
        <v>0.14499999999999999</v>
      </c>
      <c r="J24" s="15"/>
      <c r="L24" s="20">
        <f>('TE BE'!$L$24+'TE BF'!$L$24+'TE CVA'!$L$24)*(1 - CUSTOS!$M$38)</f>
        <v>2.3700462836854443</v>
      </c>
      <c r="M24" s="20">
        <f>('TE BE'!$M$24+'TE BF'!$M$24+'TE CVA'!$M$24)*(1 - CUSTOS!$M$38)</f>
        <v>20.077664443401247</v>
      </c>
      <c r="N24" s="20">
        <f>('TE BE'!$N$24+'TE BF'!$N$24+'TE CVA'!$N$24)*(1 - CUSTOS!$M$38)</f>
        <v>0</v>
      </c>
      <c r="O24" s="20">
        <f>('TE BE'!$O$24+'TE BF'!$O$24+'TE CVA'!$O$24)*(1 - CUSTOS!$M$38)</f>
        <v>7.815550823094755</v>
      </c>
      <c r="P24" s="20">
        <f>('TE BE'!$Q$24+'TE BF'!$Q$24+'TE CVA'!$Q$24)*(1 - CUSTOS!$M$38)</f>
        <v>207.27046542081291</v>
      </c>
      <c r="Q24" s="20">
        <f>('TE BE'!$S$24+'TE BF'!$S$24+'TE CVA'!$S$24)*(1 - CUSTOS!$M$38)</f>
        <v>0</v>
      </c>
      <c r="R24" s="20">
        <f>('TE BE'!$T$24+'TE BF'!$T$24+'TE CVA'!$T$24)*(1 - CUSTOS!$M$38)</f>
        <v>0</v>
      </c>
      <c r="S24" s="20">
        <f>('TE BE'!$U$24+'TE BF'!$U$24+'TE CVA'!$U$24)*(1 - CUSTOS!$M$38)</f>
        <v>1.7402405657924545E-12</v>
      </c>
      <c r="T24" s="20">
        <f>('TE BE'!$W$24+'TE BF'!$W$24+'TE CVA'!$W$24)*(1 - CUSTOS!$M$38)</f>
        <v>-17.678676769081395</v>
      </c>
      <c r="U24" s="20">
        <f>('TE BE'!$Y$24+'TE BF'!$Y$24+'TE CVA'!$Y$24)*(1 - CUSTOS!$M$38)</f>
        <v>4.3826819674920374</v>
      </c>
      <c r="W24" s="20">
        <v>2.0465895599201498</v>
      </c>
      <c r="X24" s="20">
        <v>5.5791177937733902</v>
      </c>
      <c r="Y24" s="20">
        <v>0</v>
      </c>
      <c r="Z24" s="20">
        <v>0</v>
      </c>
      <c r="AA24" s="20">
        <v>180.36034931765101</v>
      </c>
      <c r="AB24" s="20">
        <v>0</v>
      </c>
      <c r="AC24" s="20">
        <v>0</v>
      </c>
      <c r="AD24" s="20">
        <v>1.6527472774575599E-12</v>
      </c>
      <c r="AE24" s="20">
        <v>0</v>
      </c>
      <c r="AF24" s="20">
        <v>3.9385639615127999</v>
      </c>
    </row>
    <row r="25" spans="1:32" ht="11.25" customHeight="1" x14ac:dyDescent="0.25">
      <c r="A25" s="117"/>
      <c r="B25" s="117"/>
      <c r="C25" s="117"/>
      <c r="D25" s="117"/>
      <c r="E25" s="117"/>
      <c r="F25" s="117"/>
      <c r="G25" s="22" t="s">
        <v>80</v>
      </c>
      <c r="H25" s="22" t="s">
        <v>78</v>
      </c>
      <c r="I25" s="22">
        <f>'MERCADO TE'!$U$22</f>
        <v>3.37</v>
      </c>
      <c r="J25" s="15"/>
      <c r="L25" s="20">
        <f>('TE BE'!$L$25+'TE BF'!$L$25+'TE CVA'!$L$25)*(1 - CUSTOS!$M$38)</f>
        <v>2.3700462836854443</v>
      </c>
      <c r="M25" s="20">
        <f>('TE BE'!$M$25+'TE BF'!$M$25+'TE CVA'!$M$25)*(1 - CUSTOS!$M$38)</f>
        <v>20.077664443401247</v>
      </c>
      <c r="N25" s="20">
        <f>('TE BE'!$N$25+'TE BF'!$N$25+'TE CVA'!$N$25)*(1 - CUSTOS!$M$38)</f>
        <v>0</v>
      </c>
      <c r="O25" s="20">
        <f>('TE BE'!$O$25+'TE BF'!$O$25+'TE CVA'!$O$25)*(1 - CUSTOS!$M$38)</f>
        <v>7.815550823094755</v>
      </c>
      <c r="P25" s="20">
        <f>('TE BE'!$Q$25+'TE BF'!$Q$25+'TE CVA'!$Q$25)*(1 - CUSTOS!$M$38)</f>
        <v>207.27046542081291</v>
      </c>
      <c r="Q25" s="20">
        <f>('TE BE'!$S$25+'TE BF'!$S$25+'TE CVA'!$S$25)*(1 - CUSTOS!$M$38)</f>
        <v>0</v>
      </c>
      <c r="R25" s="20">
        <f>('TE BE'!$T$25+'TE BF'!$T$25+'TE CVA'!$T$25)*(1 - CUSTOS!$M$38)</f>
        <v>0</v>
      </c>
      <c r="S25" s="20">
        <f>('TE BE'!$U$25+'TE BF'!$U$25+'TE CVA'!$U$25)*(1 - CUSTOS!$M$38)</f>
        <v>1.7402405657924545E-12</v>
      </c>
      <c r="T25" s="20">
        <f>('TE BE'!$W$25+'TE BF'!$W$25+'TE CVA'!$W$25)*(1 - CUSTOS!$M$38)</f>
        <v>-17.678676769081395</v>
      </c>
      <c r="U25" s="20">
        <f>('TE BE'!$Y$25+'TE BF'!$Y$25+'TE CVA'!$Y$25)*(1 - CUSTOS!$M$38)</f>
        <v>4.3826819674920374</v>
      </c>
      <c r="W25" s="20">
        <v>2.0465895599201498</v>
      </c>
      <c r="X25" s="20">
        <v>5.5791177937733902</v>
      </c>
      <c r="Y25" s="20">
        <v>0</v>
      </c>
      <c r="Z25" s="20">
        <v>0</v>
      </c>
      <c r="AA25" s="20">
        <v>180.36034931765101</v>
      </c>
      <c r="AB25" s="20">
        <v>0</v>
      </c>
      <c r="AC25" s="20">
        <v>0</v>
      </c>
      <c r="AD25" s="20">
        <v>1.6527472774575599E-12</v>
      </c>
      <c r="AE25" s="20">
        <v>0</v>
      </c>
      <c r="AF25" s="20">
        <v>3.9385639615127999</v>
      </c>
    </row>
    <row r="26" spans="1:32" ht="11.25" customHeight="1" x14ac:dyDescent="0.25">
      <c r="A26" s="117"/>
      <c r="B26" s="23" t="s">
        <v>86</v>
      </c>
      <c r="C26" s="23" t="s">
        <v>44</v>
      </c>
      <c r="D26" s="23" t="s">
        <v>25</v>
      </c>
      <c r="E26" s="23" t="s">
        <v>25</v>
      </c>
      <c r="F26" s="23" t="s">
        <v>25</v>
      </c>
      <c r="G26" s="22" t="s">
        <v>84</v>
      </c>
      <c r="H26" s="22" t="s">
        <v>78</v>
      </c>
      <c r="I26" s="22">
        <f>'MERCADO TE'!$U$23</f>
        <v>23741.584000000003</v>
      </c>
      <c r="J26" s="15"/>
      <c r="L26" s="20">
        <f>('TE BE'!$L$26+'TE BF'!$L$26+'TE CVA'!$L$26)*(1 - CUSTOS!$M$38)</f>
        <v>2.3700462836854443</v>
      </c>
      <c r="M26" s="20">
        <f>('TE BE'!$M$26+'TE BF'!$M$26+'TE CVA'!$M$26)*(1 - CUSTOS!$M$38)</f>
        <v>20.077664443401247</v>
      </c>
      <c r="N26" s="20">
        <f>('TE BE'!$N$26+'TE BF'!$N$26+'TE CVA'!$N$26)*(1 - CUSTOS!$M$38)</f>
        <v>0</v>
      </c>
      <c r="O26" s="20">
        <f>('TE BE'!$O$26+'TE BF'!$O$26+'TE CVA'!$O$26)*(1 - CUSTOS!$M$38)</f>
        <v>7.815550823094755</v>
      </c>
      <c r="P26" s="20">
        <f>('TE BE'!$Q$26+'TE BF'!$Q$26+'TE CVA'!$Q$26)*(1 - CUSTOS!$M$38)</f>
        <v>219.70669334606171</v>
      </c>
      <c r="Q26" s="20">
        <f>('TE BE'!$S$26+'TE BF'!$S$26+'TE CVA'!$S$26)*(1 - CUSTOS!$M$38)</f>
        <v>0</v>
      </c>
      <c r="R26" s="20">
        <f>('TE BE'!$T$26+'TE BF'!$T$26+'TE CVA'!$T$26)*(1 - CUSTOS!$M$38)</f>
        <v>0</v>
      </c>
      <c r="S26" s="20">
        <f>('TE BE'!$U$26+'TE BF'!$U$26+'TE CVA'!$U$26)*(1 - CUSTOS!$M$38)</f>
        <v>1.7402405657924545E-12</v>
      </c>
      <c r="T26" s="20">
        <f>('TE BE'!$W$26+'TE BF'!$W$26+'TE CVA'!$W$26)*(1 - CUSTOS!$M$38)</f>
        <v>-18.606579678260225</v>
      </c>
      <c r="U26" s="20">
        <f>('TE BE'!$Y$26+'TE BF'!$Y$26+'TE CVA'!$Y$26)*(1 - CUSTOS!$M$38)</f>
        <v>4.3826819674920374</v>
      </c>
      <c r="W26" s="20">
        <v>2.0465895599201498</v>
      </c>
      <c r="X26" s="20">
        <v>5.5791177937733902</v>
      </c>
      <c r="Y26" s="20">
        <v>0</v>
      </c>
      <c r="Z26" s="20">
        <v>0</v>
      </c>
      <c r="AA26" s="20">
        <v>191.18197027670999</v>
      </c>
      <c r="AB26" s="20">
        <v>0</v>
      </c>
      <c r="AC26" s="20">
        <v>0</v>
      </c>
      <c r="AD26" s="20">
        <v>1.6527472774575599E-12</v>
      </c>
      <c r="AE26" s="20">
        <v>0</v>
      </c>
      <c r="AF26" s="20">
        <v>3.9385639615127999</v>
      </c>
    </row>
    <row r="27" spans="1:32" ht="11.25" customHeight="1" x14ac:dyDescent="0.25">
      <c r="A27" s="117"/>
      <c r="B27" s="117" t="s">
        <v>77</v>
      </c>
      <c r="C27" s="117" t="s">
        <v>44</v>
      </c>
      <c r="D27" s="117" t="s">
        <v>94</v>
      </c>
      <c r="E27" s="117" t="s">
        <v>25</v>
      </c>
      <c r="F27" s="117" t="s">
        <v>25</v>
      </c>
      <c r="G27" s="22" t="s">
        <v>79</v>
      </c>
      <c r="H27" s="22" t="s">
        <v>78</v>
      </c>
      <c r="I27" s="22">
        <f>'MERCADO TE'!$U$24</f>
        <v>0</v>
      </c>
      <c r="J27" s="15"/>
      <c r="L27" s="20">
        <f>('TE BE'!$L$27+'TE BF'!$L$27+'TE CVA'!$L$27)*(1 - CUSTOS!$M$39)</f>
        <v>2.3700462836854443</v>
      </c>
      <c r="M27" s="20">
        <f>('TE BE'!$M$27+'TE BF'!$M$27+'TE CVA'!$M$27)*(1 - CUSTOS!$M$39)</f>
        <v>20.077664443401247</v>
      </c>
      <c r="N27" s="20">
        <f>('TE BE'!$N$27+'TE BF'!$N$27+'TE CVA'!$N$27)*(1 - CUSTOS!$M$39)</f>
        <v>0</v>
      </c>
      <c r="O27" s="20">
        <f>('TE BE'!$O$27+'TE BF'!$O$27+'TE CVA'!$O$27)*(1 - CUSTOS!$M$39)</f>
        <v>7.815550823094755</v>
      </c>
      <c r="P27" s="20">
        <f>('TE BE'!$Q$27+'TE BF'!$Q$27+'TE CVA'!$Q$27)*(1 - CUSTOS!$M$39)</f>
        <v>356.50520052379824</v>
      </c>
      <c r="Q27" s="20">
        <f>('TE BE'!$S$27+'TE BF'!$S$27+'TE CVA'!$S$27)*(1 - CUSTOS!$M$39)</f>
        <v>0</v>
      </c>
      <c r="R27" s="20">
        <f>('TE BE'!$T$27+'TE BF'!$T$27+'TE CVA'!$T$27)*(1 - CUSTOS!$M$39)</f>
        <v>0</v>
      </c>
      <c r="S27" s="20">
        <f>('TE BE'!$U$27+'TE BF'!$U$27+'TE CVA'!$U$27)*(1 - CUSTOS!$M$39)</f>
        <v>1.7402405657924545E-12</v>
      </c>
      <c r="T27" s="20">
        <f>('TE BE'!$W$27+'TE BF'!$W$27+'TE CVA'!$W$27)*(1 - CUSTOS!$M$39)</f>
        <v>-28.813511679227386</v>
      </c>
      <c r="U27" s="20">
        <f>('TE BE'!$Y$27+'TE BF'!$Y$27+'TE CVA'!$Y$27)*(1 - CUSTOS!$M$39)</f>
        <v>4.3826819674920374</v>
      </c>
      <c r="W27" s="20">
        <v>2.0465895599201498</v>
      </c>
      <c r="X27" s="20">
        <v>5.5791177937733902</v>
      </c>
      <c r="Y27" s="20">
        <v>0</v>
      </c>
      <c r="Z27" s="20">
        <v>0</v>
      </c>
      <c r="AA27" s="20">
        <v>310.21980082635997</v>
      </c>
      <c r="AB27" s="20">
        <v>0</v>
      </c>
      <c r="AC27" s="20">
        <v>0</v>
      </c>
      <c r="AD27" s="20">
        <v>1.6527472774575599E-12</v>
      </c>
      <c r="AE27" s="20">
        <v>0</v>
      </c>
      <c r="AF27" s="20">
        <v>3.9385639615127999</v>
      </c>
    </row>
    <row r="28" spans="1:32" ht="11.25" customHeight="1" x14ac:dyDescent="0.25">
      <c r="A28" s="117"/>
      <c r="B28" s="117"/>
      <c r="C28" s="117"/>
      <c r="D28" s="117"/>
      <c r="E28" s="117"/>
      <c r="F28" s="117"/>
      <c r="G28" s="22" t="s">
        <v>91</v>
      </c>
      <c r="H28" s="22" t="s">
        <v>78</v>
      </c>
      <c r="I28" s="22">
        <f>'MERCADO TE'!$U$25</f>
        <v>0</v>
      </c>
      <c r="J28" s="15"/>
      <c r="L28" s="20">
        <f>('TE BE'!$L$28+'TE BF'!$L$28+'TE CVA'!$L$28)*(1 - CUSTOS!$M$39)</f>
        <v>2.3700462836854443</v>
      </c>
      <c r="M28" s="20">
        <f>('TE BE'!$M$28+'TE BF'!$M$28+'TE CVA'!$M$28)*(1 - CUSTOS!$M$39)</f>
        <v>20.077664443401247</v>
      </c>
      <c r="N28" s="20">
        <f>('TE BE'!$N$28+'TE BF'!$N$28+'TE CVA'!$N$28)*(1 - CUSTOS!$M$39)</f>
        <v>0</v>
      </c>
      <c r="O28" s="20">
        <f>('TE BE'!$O$28+'TE BF'!$O$28+'TE CVA'!$O$28)*(1 - CUSTOS!$M$39)</f>
        <v>7.815550823094755</v>
      </c>
      <c r="P28" s="20">
        <f>('TE BE'!$Q$28+'TE BF'!$Q$28+'TE CVA'!$Q$28)*(1 - CUSTOS!$M$39)</f>
        <v>207.27046542081291</v>
      </c>
      <c r="Q28" s="20">
        <f>('TE BE'!$S$28+'TE BF'!$S$28+'TE CVA'!$S$28)*(1 - CUSTOS!$M$39)</f>
        <v>0</v>
      </c>
      <c r="R28" s="20">
        <f>('TE BE'!$T$28+'TE BF'!$T$28+'TE CVA'!$T$28)*(1 - CUSTOS!$M$39)</f>
        <v>0</v>
      </c>
      <c r="S28" s="20">
        <f>('TE BE'!$U$28+'TE BF'!$U$28+'TE CVA'!$U$28)*(1 - CUSTOS!$M$39)</f>
        <v>1.7402405657924545E-12</v>
      </c>
      <c r="T28" s="20">
        <f>('TE BE'!$W$28+'TE BF'!$W$28+'TE CVA'!$W$28)*(1 - CUSTOS!$M$39)</f>
        <v>-17.678676769081395</v>
      </c>
      <c r="U28" s="20">
        <f>('TE BE'!$Y$28+'TE BF'!$Y$28+'TE CVA'!$Y$28)*(1 - CUSTOS!$M$39)</f>
        <v>4.3826819674920374</v>
      </c>
      <c r="W28" s="20">
        <v>2.0465895599201498</v>
      </c>
      <c r="X28" s="20">
        <v>5.5791177937733902</v>
      </c>
      <c r="Y28" s="20">
        <v>0</v>
      </c>
      <c r="Z28" s="20">
        <v>0</v>
      </c>
      <c r="AA28" s="20">
        <v>180.36034931765101</v>
      </c>
      <c r="AB28" s="20">
        <v>0</v>
      </c>
      <c r="AC28" s="20">
        <v>0</v>
      </c>
      <c r="AD28" s="20">
        <v>1.6527472774575599E-12</v>
      </c>
      <c r="AE28" s="20">
        <v>0</v>
      </c>
      <c r="AF28" s="20">
        <v>3.9385639615127999</v>
      </c>
    </row>
    <row r="29" spans="1:32" ht="11.25" customHeight="1" x14ac:dyDescent="0.25">
      <c r="A29" s="117"/>
      <c r="B29" s="117"/>
      <c r="C29" s="117"/>
      <c r="D29" s="117"/>
      <c r="E29" s="117"/>
      <c r="F29" s="117"/>
      <c r="G29" s="22" t="s">
        <v>80</v>
      </c>
      <c r="H29" s="22" t="s">
        <v>78</v>
      </c>
      <c r="I29" s="22">
        <f>'MERCADO TE'!$U$26</f>
        <v>0</v>
      </c>
      <c r="J29" s="15"/>
      <c r="L29" s="20">
        <f>('TE BE'!$L$29+'TE BF'!$L$29+'TE CVA'!$L$29)*(1 - CUSTOS!$M$39)</f>
        <v>2.3700462836854443</v>
      </c>
      <c r="M29" s="20">
        <f>('TE BE'!$M$29+'TE BF'!$M$29+'TE CVA'!$M$29)*(1 - CUSTOS!$M$39)</f>
        <v>20.077664443401247</v>
      </c>
      <c r="N29" s="20">
        <f>('TE BE'!$N$29+'TE BF'!$N$29+'TE CVA'!$N$29)*(1 - CUSTOS!$M$39)</f>
        <v>0</v>
      </c>
      <c r="O29" s="20">
        <f>('TE BE'!$O$29+'TE BF'!$O$29+'TE CVA'!$O$29)*(1 - CUSTOS!$M$39)</f>
        <v>7.815550823094755</v>
      </c>
      <c r="P29" s="20">
        <f>('TE BE'!$Q$29+'TE BF'!$Q$29+'TE CVA'!$Q$29)*(1 - CUSTOS!$M$39)</f>
        <v>207.27046542081291</v>
      </c>
      <c r="Q29" s="20">
        <f>('TE BE'!$S$29+'TE BF'!$S$29+'TE CVA'!$S$29)*(1 - CUSTOS!$M$39)</f>
        <v>0</v>
      </c>
      <c r="R29" s="20">
        <f>('TE BE'!$T$29+'TE BF'!$T$29+'TE CVA'!$T$29)*(1 - CUSTOS!$M$39)</f>
        <v>0</v>
      </c>
      <c r="S29" s="20">
        <f>('TE BE'!$U$29+'TE BF'!$U$29+'TE CVA'!$U$29)*(1 - CUSTOS!$M$39)</f>
        <v>1.7402405657924545E-12</v>
      </c>
      <c r="T29" s="20">
        <f>('TE BE'!$W$29+'TE BF'!$W$29+'TE CVA'!$W$29)*(1 - CUSTOS!$M$39)</f>
        <v>-17.678676769081395</v>
      </c>
      <c r="U29" s="20">
        <f>('TE BE'!$Y$29+'TE BF'!$Y$29+'TE CVA'!$Y$29)*(1 - CUSTOS!$M$39)</f>
        <v>4.3826819674920374</v>
      </c>
      <c r="W29" s="20">
        <v>2.0465895599201498</v>
      </c>
      <c r="X29" s="20">
        <v>5.5791177937733902</v>
      </c>
      <c r="Y29" s="20">
        <v>0</v>
      </c>
      <c r="Z29" s="20">
        <v>0</v>
      </c>
      <c r="AA29" s="20">
        <v>180.36034931765101</v>
      </c>
      <c r="AB29" s="20">
        <v>0</v>
      </c>
      <c r="AC29" s="20">
        <v>0</v>
      </c>
      <c r="AD29" s="20">
        <v>1.6527472774575599E-12</v>
      </c>
      <c r="AE29" s="20">
        <v>0</v>
      </c>
      <c r="AF29" s="20">
        <v>3.9385639615127999</v>
      </c>
    </row>
    <row r="30" spans="1:32" ht="11.25" customHeight="1" x14ac:dyDescent="0.25">
      <c r="A30" s="117"/>
      <c r="B30" s="23" t="s">
        <v>86</v>
      </c>
      <c r="C30" s="23" t="s">
        <v>44</v>
      </c>
      <c r="D30" s="23" t="s">
        <v>94</v>
      </c>
      <c r="E30" s="23" t="s">
        <v>25</v>
      </c>
      <c r="F30" s="23" t="s">
        <v>25</v>
      </c>
      <c r="G30" s="22" t="s">
        <v>84</v>
      </c>
      <c r="H30" s="22" t="s">
        <v>78</v>
      </c>
      <c r="I30" s="22">
        <f>'MERCADO TE'!$U$27</f>
        <v>0</v>
      </c>
      <c r="J30" s="15"/>
      <c r="L30" s="20">
        <f>('TE BE'!$L$30+'TE BF'!$L$30+'TE CVA'!$L$30)*(1 - CUSTOS!$M$39)</f>
        <v>2.3700462836854443</v>
      </c>
      <c r="M30" s="20">
        <f>('TE BE'!$M$30+'TE BF'!$M$30+'TE CVA'!$M$30)*(1 - CUSTOS!$M$39)</f>
        <v>20.077664443401247</v>
      </c>
      <c r="N30" s="20">
        <f>('TE BE'!$N$30+'TE BF'!$N$30+'TE CVA'!$N$30)*(1 - CUSTOS!$M$39)</f>
        <v>0</v>
      </c>
      <c r="O30" s="20">
        <f>('TE BE'!$O$30+'TE BF'!$O$30+'TE CVA'!$O$30)*(1 - CUSTOS!$M$39)</f>
        <v>7.815550823094755</v>
      </c>
      <c r="P30" s="20">
        <f>('TE BE'!$Q$30+'TE BF'!$Q$30+'TE CVA'!$Q$30)*(1 - CUSTOS!$M$39)</f>
        <v>219.70669334606171</v>
      </c>
      <c r="Q30" s="20">
        <f>('TE BE'!$S$30+'TE BF'!$S$30+'TE CVA'!$S$30)*(1 - CUSTOS!$M$39)</f>
        <v>0</v>
      </c>
      <c r="R30" s="20">
        <f>('TE BE'!$T$30+'TE BF'!$T$30+'TE CVA'!$T$30)*(1 - CUSTOS!$M$39)</f>
        <v>0</v>
      </c>
      <c r="S30" s="20">
        <f>('TE BE'!$U$30+'TE BF'!$U$30+'TE CVA'!$U$30)*(1 - CUSTOS!$M$39)</f>
        <v>1.7402405657924545E-12</v>
      </c>
      <c r="T30" s="20">
        <f>('TE BE'!$W$30+'TE BF'!$W$30+'TE CVA'!$W$30)*(1 - CUSTOS!$M$39)</f>
        <v>-18.606579678260225</v>
      </c>
      <c r="U30" s="20">
        <f>('TE BE'!$Y$30+'TE BF'!$Y$30+'TE CVA'!$Y$30)*(1 - CUSTOS!$M$39)</f>
        <v>4.3826819674920374</v>
      </c>
      <c r="W30" s="20">
        <v>2.0465895599201498</v>
      </c>
      <c r="X30" s="20">
        <v>5.5791177937733902</v>
      </c>
      <c r="Y30" s="20">
        <v>0</v>
      </c>
      <c r="Z30" s="20">
        <v>0</v>
      </c>
      <c r="AA30" s="20">
        <v>191.18197027670999</v>
      </c>
      <c r="AB30" s="20">
        <v>0</v>
      </c>
      <c r="AC30" s="20">
        <v>0</v>
      </c>
      <c r="AD30" s="20">
        <v>1.6527472774575599E-12</v>
      </c>
      <c r="AE30" s="20">
        <v>0</v>
      </c>
      <c r="AF30" s="20">
        <v>3.9385639615127999</v>
      </c>
    </row>
    <row r="31" spans="1:32" ht="11.25" customHeight="1" x14ac:dyDescent="0.25">
      <c r="A31" s="117"/>
      <c r="B31" s="117" t="s">
        <v>77</v>
      </c>
      <c r="C31" s="117" t="s">
        <v>44</v>
      </c>
      <c r="D31" s="117" t="s">
        <v>95</v>
      </c>
      <c r="E31" s="117" t="s">
        <v>25</v>
      </c>
      <c r="F31" s="117" t="s">
        <v>25</v>
      </c>
      <c r="G31" s="22" t="s">
        <v>79</v>
      </c>
      <c r="H31" s="22" t="s">
        <v>78</v>
      </c>
      <c r="I31" s="22">
        <f>'MERCADO TE'!$U$28</f>
        <v>0</v>
      </c>
      <c r="J31" s="15"/>
      <c r="L31" s="20">
        <f>('TE BE'!$L$31+'TE BF'!$L$31+'TE CVA'!$L$31)*(1 - CUSTOS!$M$40)</f>
        <v>2.3196197670112864</v>
      </c>
      <c r="M31" s="20">
        <f>('TE BE'!$M$31+'TE BF'!$M$31+'TE CVA'!$M$31)*(1 - CUSTOS!$M$40)</f>
        <v>19.650480093541649</v>
      </c>
      <c r="N31" s="20">
        <f>('TE BE'!$N$31+'TE BF'!$N$31+'TE CVA'!$N$31)*(1 - CUSTOS!$M$40)</f>
        <v>0</v>
      </c>
      <c r="O31" s="20">
        <f>('TE BE'!$O$31+'TE BF'!$O$31+'TE CVA'!$O$31)*(1 - CUSTOS!$M$40)</f>
        <v>7.6492625077097607</v>
      </c>
      <c r="P31" s="20">
        <f>('TE BE'!$Q$31+'TE BF'!$Q$31+'TE CVA'!$Q$31)*(1 - CUSTOS!$M$40)</f>
        <v>348.91998349137702</v>
      </c>
      <c r="Q31" s="20">
        <f>('TE BE'!$S$31+'TE BF'!$S$31+'TE CVA'!$S$31)*(1 - CUSTOS!$M$40)</f>
        <v>0</v>
      </c>
      <c r="R31" s="20">
        <f>('TE BE'!$T$31+'TE BF'!$T$31+'TE CVA'!$T$31)*(1 - CUSTOS!$M$40)</f>
        <v>0</v>
      </c>
      <c r="S31" s="20">
        <f>('TE BE'!$U$31+'TE BF'!$U$31+'TE CVA'!$U$31)*(1 - CUSTOS!$M$40)</f>
        <v>1.703214170775594E-12</v>
      </c>
      <c r="T31" s="20">
        <f>('TE BE'!$W$31+'TE BF'!$W$31+'TE CVA'!$W$31)*(1 - CUSTOS!$M$40)</f>
        <v>-28.200458239243826</v>
      </c>
      <c r="U31" s="20">
        <f>('TE BE'!$Y$31+'TE BF'!$Y$31+'TE CVA'!$Y$31)*(1 - CUSTOS!$M$40)</f>
        <v>4.2894334149922075</v>
      </c>
      <c r="W31" s="20">
        <v>1.95356276174196</v>
      </c>
      <c r="X31" s="20">
        <v>5.3255215304200503</v>
      </c>
      <c r="Y31" s="20">
        <v>0</v>
      </c>
      <c r="Z31" s="20">
        <v>0</v>
      </c>
      <c r="AA31" s="20">
        <v>296.11890078879799</v>
      </c>
      <c r="AB31" s="20">
        <v>0</v>
      </c>
      <c r="AC31" s="20">
        <v>0</v>
      </c>
      <c r="AD31" s="20">
        <v>1.57762240120949E-12</v>
      </c>
      <c r="AE31" s="20">
        <v>0</v>
      </c>
      <c r="AF31" s="20">
        <v>3.7595383268985798</v>
      </c>
    </row>
    <row r="32" spans="1:32" ht="11.25" customHeight="1" x14ac:dyDescent="0.25">
      <c r="A32" s="117"/>
      <c r="B32" s="117"/>
      <c r="C32" s="117"/>
      <c r="D32" s="117"/>
      <c r="E32" s="117"/>
      <c r="F32" s="117"/>
      <c r="G32" s="22" t="s">
        <v>91</v>
      </c>
      <c r="H32" s="22" t="s">
        <v>78</v>
      </c>
      <c r="I32" s="22">
        <f>'MERCADO TE'!$U$29</f>
        <v>0</v>
      </c>
      <c r="J32" s="15"/>
      <c r="L32" s="20">
        <f>('TE BE'!$L$32+'TE BF'!$L$32+'TE CVA'!$L$32)*(1 - CUSTOS!$M$40)</f>
        <v>2.3196197670112864</v>
      </c>
      <c r="M32" s="20">
        <f>('TE BE'!$M$32+'TE BF'!$M$32+'TE CVA'!$M$32)*(1 - CUSTOS!$M$40)</f>
        <v>19.650480093541649</v>
      </c>
      <c r="N32" s="20">
        <f>('TE BE'!$N$32+'TE BF'!$N$32+'TE CVA'!$N$32)*(1 - CUSTOS!$M$40)</f>
        <v>0</v>
      </c>
      <c r="O32" s="20">
        <f>('TE BE'!$O$32+'TE BF'!$O$32+'TE CVA'!$O$32)*(1 - CUSTOS!$M$40)</f>
        <v>7.6492625077097607</v>
      </c>
      <c r="P32" s="20">
        <f>('TE BE'!$Q$32+'TE BF'!$Q$32+'TE CVA'!$Q$32)*(1 - CUSTOS!$M$40)</f>
        <v>202.86045551824245</v>
      </c>
      <c r="Q32" s="20">
        <f>('TE BE'!$S$32+'TE BF'!$S$32+'TE CVA'!$S$32)*(1 - CUSTOS!$M$40)</f>
        <v>0</v>
      </c>
      <c r="R32" s="20">
        <f>('TE BE'!$T$32+'TE BF'!$T$32+'TE CVA'!$T$32)*(1 - CUSTOS!$M$40)</f>
        <v>0</v>
      </c>
      <c r="S32" s="20">
        <f>('TE BE'!$U$32+'TE BF'!$U$32+'TE CVA'!$U$32)*(1 - CUSTOS!$M$40)</f>
        <v>1.703214170775594E-12</v>
      </c>
      <c r="T32" s="20">
        <f>('TE BE'!$W$32+'TE BF'!$W$32+'TE CVA'!$W$32)*(1 - CUSTOS!$M$40)</f>
        <v>-17.302534710164771</v>
      </c>
      <c r="U32" s="20">
        <f>('TE BE'!$Y$32+'TE BF'!$Y$32+'TE CVA'!$Y$32)*(1 - CUSTOS!$M$40)</f>
        <v>4.2894334149922075</v>
      </c>
      <c r="W32" s="20">
        <v>1.95356276174196</v>
      </c>
      <c r="X32" s="20">
        <v>5.3255215304200503</v>
      </c>
      <c r="Y32" s="20">
        <v>0</v>
      </c>
      <c r="Z32" s="20">
        <v>0</v>
      </c>
      <c r="AA32" s="20">
        <v>172.162151621394</v>
      </c>
      <c r="AB32" s="20">
        <v>0</v>
      </c>
      <c r="AC32" s="20">
        <v>0</v>
      </c>
      <c r="AD32" s="20">
        <v>1.57762240120949E-12</v>
      </c>
      <c r="AE32" s="20">
        <v>0</v>
      </c>
      <c r="AF32" s="20">
        <v>3.7595383268985798</v>
      </c>
    </row>
    <row r="33" spans="1:32" ht="11.25" customHeight="1" x14ac:dyDescent="0.25">
      <c r="A33" s="117"/>
      <c r="B33" s="117"/>
      <c r="C33" s="117"/>
      <c r="D33" s="117"/>
      <c r="E33" s="117"/>
      <c r="F33" s="117"/>
      <c r="G33" s="22" t="s">
        <v>80</v>
      </c>
      <c r="H33" s="22" t="s">
        <v>78</v>
      </c>
      <c r="I33" s="22">
        <f>'MERCADO TE'!$U$30</f>
        <v>0</v>
      </c>
      <c r="J33" s="15"/>
      <c r="L33" s="20">
        <f>('TE BE'!$L$33+'TE BF'!$L$33+'TE CVA'!$L$33)*(1 - CUSTOS!$M$40)</f>
        <v>2.3196197670112864</v>
      </c>
      <c r="M33" s="20">
        <f>('TE BE'!$M$33+'TE BF'!$M$33+'TE CVA'!$M$33)*(1 - CUSTOS!$M$40)</f>
        <v>19.650480093541649</v>
      </c>
      <c r="N33" s="20">
        <f>('TE BE'!$N$33+'TE BF'!$N$33+'TE CVA'!$N$33)*(1 - CUSTOS!$M$40)</f>
        <v>0</v>
      </c>
      <c r="O33" s="20">
        <f>('TE BE'!$O$33+'TE BF'!$O$33+'TE CVA'!$O$33)*(1 - CUSTOS!$M$40)</f>
        <v>7.6492625077097607</v>
      </c>
      <c r="P33" s="20">
        <f>('TE BE'!$Q$33+'TE BF'!$Q$33+'TE CVA'!$Q$33)*(1 - CUSTOS!$M$40)</f>
        <v>202.86045551824245</v>
      </c>
      <c r="Q33" s="20">
        <f>('TE BE'!$S$33+'TE BF'!$S$33+'TE CVA'!$S$33)*(1 - CUSTOS!$M$40)</f>
        <v>0</v>
      </c>
      <c r="R33" s="20">
        <f>('TE BE'!$T$33+'TE BF'!$T$33+'TE CVA'!$T$33)*(1 - CUSTOS!$M$40)</f>
        <v>0</v>
      </c>
      <c r="S33" s="20">
        <f>('TE BE'!$U$33+'TE BF'!$U$33+'TE CVA'!$U$33)*(1 - CUSTOS!$M$40)</f>
        <v>1.703214170775594E-12</v>
      </c>
      <c r="T33" s="20">
        <f>('TE BE'!$W$33+'TE BF'!$W$33+'TE CVA'!$W$33)*(1 - CUSTOS!$M$40)</f>
        <v>-17.302534710164771</v>
      </c>
      <c r="U33" s="20">
        <f>('TE BE'!$Y$33+'TE BF'!$Y$33+'TE CVA'!$Y$33)*(1 - CUSTOS!$M$40)</f>
        <v>4.2894334149922075</v>
      </c>
      <c r="W33" s="20">
        <v>1.95356276174196</v>
      </c>
      <c r="X33" s="20">
        <v>5.3255215304200503</v>
      </c>
      <c r="Y33" s="20">
        <v>0</v>
      </c>
      <c r="Z33" s="20">
        <v>0</v>
      </c>
      <c r="AA33" s="20">
        <v>172.162151621394</v>
      </c>
      <c r="AB33" s="20">
        <v>0</v>
      </c>
      <c r="AC33" s="20">
        <v>0</v>
      </c>
      <c r="AD33" s="20">
        <v>1.57762240120949E-12</v>
      </c>
      <c r="AE33" s="20">
        <v>0</v>
      </c>
      <c r="AF33" s="20">
        <v>3.7595383268985798</v>
      </c>
    </row>
    <row r="34" spans="1:32" ht="11.25" customHeight="1" x14ac:dyDescent="0.25">
      <c r="A34" s="117"/>
      <c r="B34" s="23" t="s">
        <v>86</v>
      </c>
      <c r="C34" s="23" t="s">
        <v>44</v>
      </c>
      <c r="D34" s="23" t="s">
        <v>95</v>
      </c>
      <c r="E34" s="23" t="s">
        <v>25</v>
      </c>
      <c r="F34" s="23" t="s">
        <v>25</v>
      </c>
      <c r="G34" s="22" t="s">
        <v>84</v>
      </c>
      <c r="H34" s="22" t="s">
        <v>78</v>
      </c>
      <c r="I34" s="22">
        <f>'MERCADO TE'!$U$31</f>
        <v>0</v>
      </c>
      <c r="J34" s="15"/>
      <c r="L34" s="20">
        <f>('TE BE'!$L$34+'TE BF'!$L$34+'TE CVA'!$L$34)*(1 - CUSTOS!$M$40)</f>
        <v>2.3196197670112864</v>
      </c>
      <c r="M34" s="20">
        <f>('TE BE'!$M$34+'TE BF'!$M$34+'TE CVA'!$M$34)*(1 - CUSTOS!$M$40)</f>
        <v>19.650480093541649</v>
      </c>
      <c r="N34" s="20">
        <f>('TE BE'!$N$34+'TE BF'!$N$34+'TE CVA'!$N$34)*(1 - CUSTOS!$M$40)</f>
        <v>0</v>
      </c>
      <c r="O34" s="20">
        <f>('TE BE'!$O$34+'TE BF'!$O$34+'TE CVA'!$O$34)*(1 - CUSTOS!$M$40)</f>
        <v>7.6492625077097607</v>
      </c>
      <c r="P34" s="20">
        <f>('TE BE'!$Q$34+'TE BF'!$Q$34+'TE CVA'!$Q$34)*(1 - CUSTOS!$M$40)</f>
        <v>215.032082849337</v>
      </c>
      <c r="Q34" s="20">
        <f>('TE BE'!$S$34+'TE BF'!$S$34+'TE CVA'!$S$34)*(1 - CUSTOS!$M$40)</f>
        <v>0</v>
      </c>
      <c r="R34" s="20">
        <f>('TE BE'!$T$34+'TE BF'!$T$34+'TE CVA'!$T$34)*(1 - CUSTOS!$M$40)</f>
        <v>0</v>
      </c>
      <c r="S34" s="20">
        <f>('TE BE'!$U$34+'TE BF'!$U$34+'TE CVA'!$U$34)*(1 - CUSTOS!$M$40)</f>
        <v>1.703214170775594E-12</v>
      </c>
      <c r="T34" s="20">
        <f>('TE BE'!$W$34+'TE BF'!$W$34+'TE CVA'!$W$34)*(1 - CUSTOS!$M$40)</f>
        <v>-18.210695004254692</v>
      </c>
      <c r="U34" s="20">
        <f>('TE BE'!$Y$34+'TE BF'!$Y$34+'TE CVA'!$Y$34)*(1 - CUSTOS!$M$40)</f>
        <v>4.2894334149922075</v>
      </c>
      <c r="W34" s="20">
        <v>1.95356276174196</v>
      </c>
      <c r="X34" s="20">
        <v>5.3255215304200503</v>
      </c>
      <c r="Y34" s="20">
        <v>0</v>
      </c>
      <c r="Z34" s="20">
        <v>0</v>
      </c>
      <c r="AA34" s="20">
        <v>182.491880718678</v>
      </c>
      <c r="AB34" s="20">
        <v>0</v>
      </c>
      <c r="AC34" s="20">
        <v>0</v>
      </c>
      <c r="AD34" s="20">
        <v>1.57762240120949E-12</v>
      </c>
      <c r="AE34" s="20">
        <v>0</v>
      </c>
      <c r="AF34" s="20">
        <v>3.7595383268985798</v>
      </c>
    </row>
    <row r="35" spans="1:32" ht="11.25" customHeight="1" x14ac:dyDescent="0.25">
      <c r="A35" s="117"/>
      <c r="B35" s="117" t="s">
        <v>92</v>
      </c>
      <c r="C35" s="117" t="s">
        <v>44</v>
      </c>
      <c r="D35" s="23" t="s">
        <v>25</v>
      </c>
      <c r="E35" s="23" t="s">
        <v>25</v>
      </c>
      <c r="F35" s="23" t="s">
        <v>25</v>
      </c>
      <c r="G35" s="22" t="s">
        <v>84</v>
      </c>
      <c r="H35" s="22" t="s">
        <v>78</v>
      </c>
      <c r="I35" s="22">
        <f>'MERCADO TE'!$U$32</f>
        <v>0</v>
      </c>
      <c r="J35" s="15"/>
      <c r="L35" s="20">
        <f>('TE BE'!$L$35+'TE BF'!$L$35+'TE CVA'!$L$35)*(1 - CUSTOS!$M$38)</f>
        <v>2.3700462836854443</v>
      </c>
      <c r="M35" s="20">
        <f>('TE BE'!$M$35+'TE BF'!$M$35+'TE CVA'!$M$35)*(1 - CUSTOS!$M$38)</f>
        <v>20.077664443401247</v>
      </c>
      <c r="N35" s="20">
        <f>('TE BE'!$N$35+'TE BF'!$N$35+'TE CVA'!$N$35)*(1 - CUSTOS!$M$38)</f>
        <v>0</v>
      </c>
      <c r="O35" s="20">
        <f>('TE BE'!$O$35+'TE BF'!$O$35+'TE CVA'!$O$35)*(1 - CUSTOS!$M$38)</f>
        <v>7.815550823094755</v>
      </c>
      <c r="P35" s="20">
        <f>('TE BE'!$Q$35+'TE BF'!$Q$35+'TE CVA'!$Q$35)*(1 - CUSTOS!$M$38)</f>
        <v>219.70669334606171</v>
      </c>
      <c r="Q35" s="20">
        <f>('TE BE'!$S$35+'TE BF'!$S$35+'TE CVA'!$S$35)*(1 - CUSTOS!$M$38)</f>
        <v>0</v>
      </c>
      <c r="R35" s="20">
        <f>('TE BE'!$T$35+'TE BF'!$T$35+'TE CVA'!$T$35)*(1 - CUSTOS!$M$38)</f>
        <v>0</v>
      </c>
      <c r="S35" s="20">
        <f>('TE BE'!$U$35+'TE BF'!$U$35+'TE CVA'!$U$35)*(1 - CUSTOS!$M$38)</f>
        <v>1.7402405657924545E-12</v>
      </c>
      <c r="T35" s="20">
        <f>('TE BE'!$W$35+'TE BF'!$W$35+'TE CVA'!$W$35)*(1 - CUSTOS!$M$38)</f>
        <v>-18.606579678260225</v>
      </c>
      <c r="U35" s="20">
        <f>('TE BE'!$Y$35+'TE BF'!$Y$35+'TE CVA'!$Y$35)*(1 - CUSTOS!$M$38)</f>
        <v>4.3826819674920374</v>
      </c>
      <c r="W35" s="20">
        <v>2.0465895599201498</v>
      </c>
      <c r="X35" s="20">
        <v>5.5791177937733902</v>
      </c>
      <c r="Y35" s="20">
        <v>0</v>
      </c>
      <c r="Z35" s="20">
        <v>0</v>
      </c>
      <c r="AA35" s="20">
        <v>191.18197027670999</v>
      </c>
      <c r="AB35" s="20">
        <v>0</v>
      </c>
      <c r="AC35" s="20">
        <v>0</v>
      </c>
      <c r="AD35" s="20">
        <v>1.6527472774575599E-12</v>
      </c>
      <c r="AE35" s="20">
        <v>0</v>
      </c>
      <c r="AF35" s="20">
        <v>3.9385639615127999</v>
      </c>
    </row>
    <row r="36" spans="1:32" ht="11.25" customHeight="1" x14ac:dyDescent="0.25">
      <c r="A36" s="117"/>
      <c r="B36" s="117"/>
      <c r="C36" s="117"/>
      <c r="D36" s="23" t="s">
        <v>94</v>
      </c>
      <c r="E36" s="23" t="s">
        <v>25</v>
      </c>
      <c r="F36" s="23" t="s">
        <v>25</v>
      </c>
      <c r="G36" s="22" t="s">
        <v>84</v>
      </c>
      <c r="H36" s="22" t="s">
        <v>78</v>
      </c>
      <c r="I36" s="22">
        <f>'MERCADO TE'!$U$33</f>
        <v>0</v>
      </c>
      <c r="J36" s="15"/>
      <c r="L36" s="20">
        <f>('TE BE'!$L$36+'TE BF'!$L$36+'TE CVA'!$L$36)*(1 - CUSTOS!$M$39)</f>
        <v>2.3700462836854443</v>
      </c>
      <c r="M36" s="20">
        <f>('TE BE'!$M$36+'TE BF'!$M$36+'TE CVA'!$M$36)*(1 - CUSTOS!$M$39)</f>
        <v>20.077664443401247</v>
      </c>
      <c r="N36" s="20">
        <f>('TE BE'!$N$36+'TE BF'!$N$36+'TE CVA'!$N$36)*(1 - CUSTOS!$M$39)</f>
        <v>0</v>
      </c>
      <c r="O36" s="20">
        <f>('TE BE'!$O$36+'TE BF'!$O$36+'TE CVA'!$O$36)*(1 - CUSTOS!$M$39)</f>
        <v>7.815550823094755</v>
      </c>
      <c r="P36" s="20">
        <f>('TE BE'!$Q$36+'TE BF'!$Q$36+'TE CVA'!$Q$36)*(1 - CUSTOS!$M$39)</f>
        <v>219.70669334606171</v>
      </c>
      <c r="Q36" s="20">
        <f>('TE BE'!$S$36+'TE BF'!$S$36+'TE CVA'!$S$36)*(1 - CUSTOS!$M$39)</f>
        <v>0</v>
      </c>
      <c r="R36" s="20">
        <f>('TE BE'!$T$36+'TE BF'!$T$36+'TE CVA'!$T$36)*(1 - CUSTOS!$M$39)</f>
        <v>0</v>
      </c>
      <c r="S36" s="20">
        <f>('TE BE'!$U$36+'TE BF'!$U$36+'TE CVA'!$U$36)*(1 - CUSTOS!$M$39)</f>
        <v>1.7402405657924545E-12</v>
      </c>
      <c r="T36" s="20">
        <f>('TE BE'!$W$36+'TE BF'!$W$36+'TE CVA'!$W$36)*(1 - CUSTOS!$M$39)</f>
        <v>-18.606579678260225</v>
      </c>
      <c r="U36" s="20">
        <f>('TE BE'!$Y$36+'TE BF'!$Y$36+'TE CVA'!$Y$36)*(1 - CUSTOS!$M$39)</f>
        <v>4.3826819674920374</v>
      </c>
      <c r="W36" s="20">
        <v>2.0465895599201498</v>
      </c>
      <c r="X36" s="20">
        <v>5.5791177937733902</v>
      </c>
      <c r="Y36" s="20">
        <v>0</v>
      </c>
      <c r="Z36" s="20">
        <v>0</v>
      </c>
      <c r="AA36" s="20">
        <v>191.18197027670999</v>
      </c>
      <c r="AB36" s="20">
        <v>0</v>
      </c>
      <c r="AC36" s="20">
        <v>0</v>
      </c>
      <c r="AD36" s="20">
        <v>1.6527472774575599E-12</v>
      </c>
      <c r="AE36" s="20">
        <v>0</v>
      </c>
      <c r="AF36" s="20">
        <v>3.9385639615127999</v>
      </c>
    </row>
    <row r="37" spans="1:32" ht="11.25" customHeight="1" x14ac:dyDescent="0.25">
      <c r="A37" s="117"/>
      <c r="B37" s="117"/>
      <c r="C37" s="117"/>
      <c r="D37" s="23" t="s">
        <v>95</v>
      </c>
      <c r="E37" s="23" t="s">
        <v>25</v>
      </c>
      <c r="F37" s="23" t="s">
        <v>25</v>
      </c>
      <c r="G37" s="22" t="s">
        <v>84</v>
      </c>
      <c r="H37" s="22" t="s">
        <v>78</v>
      </c>
      <c r="I37" s="22">
        <f>'MERCADO TE'!$U$34</f>
        <v>0</v>
      </c>
      <c r="J37" s="15"/>
      <c r="L37" s="20">
        <f>('TE BE'!$L$37+'TE BF'!$L$37+'TE CVA'!$L$37)*(1 - CUSTOS!$M$40)</f>
        <v>2.3196197670112864</v>
      </c>
      <c r="M37" s="20">
        <f>('TE BE'!$M$37+'TE BF'!$M$37+'TE CVA'!$M$37)*(1 - CUSTOS!$M$40)</f>
        <v>19.650480093541649</v>
      </c>
      <c r="N37" s="20">
        <f>('TE BE'!$N$37+'TE BF'!$N$37+'TE CVA'!$N$37)*(1 - CUSTOS!$M$40)</f>
        <v>0</v>
      </c>
      <c r="O37" s="20">
        <f>('TE BE'!$O$37+'TE BF'!$O$37+'TE CVA'!$O$37)*(1 - CUSTOS!$M$40)</f>
        <v>7.6492625077097607</v>
      </c>
      <c r="P37" s="20">
        <f>('TE BE'!$Q$37+'TE BF'!$Q$37+'TE CVA'!$Q$37)*(1 - CUSTOS!$M$40)</f>
        <v>215.032082849337</v>
      </c>
      <c r="Q37" s="20">
        <f>('TE BE'!$S$37+'TE BF'!$S$37+'TE CVA'!$S$37)*(1 - CUSTOS!$M$40)</f>
        <v>0</v>
      </c>
      <c r="R37" s="20">
        <f>('TE BE'!$T$37+'TE BF'!$T$37+'TE CVA'!$T$37)*(1 - CUSTOS!$M$40)</f>
        <v>0</v>
      </c>
      <c r="S37" s="20">
        <f>('TE BE'!$U$37+'TE BF'!$U$37+'TE CVA'!$U$37)*(1 - CUSTOS!$M$40)</f>
        <v>1.703214170775594E-12</v>
      </c>
      <c r="T37" s="20">
        <f>('TE BE'!$W$37+'TE BF'!$W$37+'TE CVA'!$W$37)*(1 - CUSTOS!$M$40)</f>
        <v>-18.210695004254692</v>
      </c>
      <c r="U37" s="20">
        <f>('TE BE'!$Y$37+'TE BF'!$Y$37+'TE CVA'!$Y$37)*(1 - CUSTOS!$M$40)</f>
        <v>4.2894334149922075</v>
      </c>
      <c r="W37" s="20">
        <v>1.95356276174196</v>
      </c>
      <c r="X37" s="20">
        <v>5.3255215304200503</v>
      </c>
      <c r="Y37" s="20">
        <v>0</v>
      </c>
      <c r="Z37" s="20">
        <v>0</v>
      </c>
      <c r="AA37" s="20">
        <v>182.491880718678</v>
      </c>
      <c r="AB37" s="20">
        <v>0</v>
      </c>
      <c r="AC37" s="20">
        <v>0</v>
      </c>
      <c r="AD37" s="20">
        <v>1.57762240120949E-12</v>
      </c>
      <c r="AE37" s="20">
        <v>0</v>
      </c>
      <c r="AF37" s="20">
        <v>3.7595383268985798</v>
      </c>
    </row>
    <row r="38" spans="1:32" ht="11.25" customHeight="1" x14ac:dyDescent="0.25">
      <c r="A38" s="117" t="s">
        <v>37</v>
      </c>
      <c r="B38" s="117" t="s">
        <v>77</v>
      </c>
      <c r="C38" s="117" t="s">
        <v>25</v>
      </c>
      <c r="D38" s="117" t="s">
        <v>25</v>
      </c>
      <c r="E38" s="117" t="s">
        <v>25</v>
      </c>
      <c r="F38" s="117" t="s">
        <v>25</v>
      </c>
      <c r="G38" s="22" t="s">
        <v>79</v>
      </c>
      <c r="H38" s="22" t="s">
        <v>78</v>
      </c>
      <c r="I38" s="22">
        <f>'MERCADO TE'!$U$35</f>
        <v>8.0860000000000003</v>
      </c>
      <c r="J38" s="15"/>
      <c r="L38" s="20">
        <f>('TE BE'!$L$38+'TE BF'!$L$38+'TE CVA'!$L$38)*1</f>
        <v>2.5213258337079196</v>
      </c>
      <c r="M38" s="20">
        <f>('TE BE'!$M$38+'TE BF'!$M$38+'TE CVA'!$M$38)*1</f>
        <v>21.359217492980051</v>
      </c>
      <c r="N38" s="20">
        <f>('TE BE'!$N$38+'TE BF'!$N$38+'TE CVA'!$N$38)*1</f>
        <v>0</v>
      </c>
      <c r="O38" s="20">
        <f>('TE BE'!$O$38+'TE BF'!$O$38+'TE CVA'!$O$38)*1</f>
        <v>8.3144157692497398</v>
      </c>
      <c r="P38" s="20">
        <f>('TE BE'!$Q$38+'TE BF'!$Q$38+'TE CVA'!$Q$38)*1</f>
        <v>379.26085162106199</v>
      </c>
      <c r="Q38" s="20">
        <f>('TE BE'!$S$38+'TE BF'!$S$38+'TE CVA'!$S$38)*1</f>
        <v>0</v>
      </c>
      <c r="R38" s="20">
        <f>('TE BE'!$T$38+'TE BF'!$T$38+'TE CVA'!$T$38)*1</f>
        <v>0</v>
      </c>
      <c r="S38" s="20">
        <f>('TE BE'!$U$38+'TE BF'!$U$38+'TE CVA'!$U$38)*1</f>
        <v>1.8513197508430369E-12</v>
      </c>
      <c r="T38" s="20">
        <f>('TE BE'!$W$38+'TE BF'!$W$38+'TE CVA'!$W$38)*1</f>
        <v>-30.652671999178072</v>
      </c>
      <c r="U38" s="20">
        <f>('TE BE'!$Y$38+'TE BF'!$Y$38+'TE CVA'!$Y$38)*1</f>
        <v>4.6624276249915297</v>
      </c>
      <c r="W38" s="20">
        <v>2.3256699544547099</v>
      </c>
      <c r="X38" s="20">
        <v>6.3399065838333897</v>
      </c>
      <c r="Y38" s="20">
        <v>0</v>
      </c>
      <c r="Z38" s="20">
        <v>0</v>
      </c>
      <c r="AA38" s="20">
        <v>352.52250093904502</v>
      </c>
      <c r="AB38" s="20">
        <v>0</v>
      </c>
      <c r="AC38" s="20">
        <v>0</v>
      </c>
      <c r="AD38" s="20">
        <v>1.87812190620177E-12</v>
      </c>
      <c r="AE38" s="20">
        <v>0</v>
      </c>
      <c r="AF38" s="20">
        <v>4.4756408653554498</v>
      </c>
    </row>
    <row r="39" spans="1:32" ht="11.25" customHeight="1" x14ac:dyDescent="0.25">
      <c r="A39" s="117"/>
      <c r="B39" s="117"/>
      <c r="C39" s="117"/>
      <c r="D39" s="117"/>
      <c r="E39" s="117"/>
      <c r="F39" s="117"/>
      <c r="G39" s="22" t="s">
        <v>91</v>
      </c>
      <c r="H39" s="22" t="s">
        <v>78</v>
      </c>
      <c r="I39" s="22">
        <f>'MERCADO TE'!$U$36</f>
        <v>8.0350000000000001</v>
      </c>
      <c r="J39" s="15"/>
      <c r="L39" s="20">
        <f>('TE BE'!$L$39+'TE BF'!$L$39+'TE CVA'!$L$39)*1</f>
        <v>2.5213258337079196</v>
      </c>
      <c r="M39" s="20">
        <f>('TE BE'!$M$39+'TE BF'!$M$39+'TE CVA'!$M$39)*1</f>
        <v>21.359217492980051</v>
      </c>
      <c r="N39" s="20">
        <f>('TE BE'!$N$39+'TE BF'!$N$39+'TE CVA'!$N$39)*1</f>
        <v>0</v>
      </c>
      <c r="O39" s="20">
        <f>('TE BE'!$O$39+'TE BF'!$O$39+'TE CVA'!$O$39)*1</f>
        <v>8.3144157692497398</v>
      </c>
      <c r="P39" s="20">
        <f>('TE BE'!$Q$39+'TE BF'!$Q$39+'TE CVA'!$Q$39)*1</f>
        <v>220.50049512852439</v>
      </c>
      <c r="Q39" s="20">
        <f>('TE BE'!$S$39+'TE BF'!$S$39+'TE CVA'!$S$39)*1</f>
        <v>0</v>
      </c>
      <c r="R39" s="20">
        <f>('TE BE'!$T$39+'TE BF'!$T$39+'TE CVA'!$T$39)*1</f>
        <v>0</v>
      </c>
      <c r="S39" s="20">
        <f>('TE BE'!$U$39+'TE BF'!$U$39+'TE CVA'!$U$39)*1</f>
        <v>1.8513197508430369E-12</v>
      </c>
      <c r="T39" s="20">
        <f>('TE BE'!$W$39+'TE BF'!$W$39+'TE CVA'!$W$39)*1</f>
        <v>-18.807102945831272</v>
      </c>
      <c r="U39" s="20">
        <f>('TE BE'!$Y$39+'TE BF'!$Y$39+'TE CVA'!$Y$39)*1</f>
        <v>4.6624276249915297</v>
      </c>
      <c r="W39" s="20">
        <v>2.3256699544547099</v>
      </c>
      <c r="X39" s="20">
        <v>6.3399065838333897</v>
      </c>
      <c r="Y39" s="20">
        <v>0</v>
      </c>
      <c r="Z39" s="20">
        <v>0</v>
      </c>
      <c r="AA39" s="20">
        <v>204.95494240642199</v>
      </c>
      <c r="AB39" s="20">
        <v>0</v>
      </c>
      <c r="AC39" s="20">
        <v>0</v>
      </c>
      <c r="AD39" s="20">
        <v>1.87812190620177E-12</v>
      </c>
      <c r="AE39" s="20">
        <v>0</v>
      </c>
      <c r="AF39" s="20">
        <v>4.4756408653554498</v>
      </c>
    </row>
    <row r="40" spans="1:32" ht="11.25" customHeight="1" x14ac:dyDescent="0.25">
      <c r="A40" s="117"/>
      <c r="B40" s="117"/>
      <c r="C40" s="117"/>
      <c r="D40" s="117"/>
      <c r="E40" s="117"/>
      <c r="F40" s="117"/>
      <c r="G40" s="22" t="s">
        <v>80</v>
      </c>
      <c r="H40" s="22" t="s">
        <v>78</v>
      </c>
      <c r="I40" s="22">
        <f>'MERCADO TE'!$U$37</f>
        <v>133.73599999999999</v>
      </c>
      <c r="J40" s="15"/>
      <c r="L40" s="20">
        <f>('TE BE'!$L$40+'TE BF'!$L$40+'TE CVA'!$L$40)*1</f>
        <v>2.5213258337079196</v>
      </c>
      <c r="M40" s="20">
        <f>('TE BE'!$M$40+'TE BF'!$M$40+'TE CVA'!$M$40)*1</f>
        <v>21.359217492980051</v>
      </c>
      <c r="N40" s="20">
        <f>('TE BE'!$N$40+'TE BF'!$N$40+'TE CVA'!$N$40)*1</f>
        <v>0</v>
      </c>
      <c r="O40" s="20">
        <f>('TE BE'!$O$40+'TE BF'!$O$40+'TE CVA'!$O$40)*1</f>
        <v>8.3144157692497398</v>
      </c>
      <c r="P40" s="20">
        <f>('TE BE'!$Q$40+'TE BF'!$Q$40+'TE CVA'!$Q$40)*1</f>
        <v>220.50049512852439</v>
      </c>
      <c r="Q40" s="20">
        <f>('TE BE'!$S$40+'TE BF'!$S$40+'TE CVA'!$S$40)*1</f>
        <v>0</v>
      </c>
      <c r="R40" s="20">
        <f>('TE BE'!$T$40+'TE BF'!$T$40+'TE CVA'!$T$40)*1</f>
        <v>0</v>
      </c>
      <c r="S40" s="20">
        <f>('TE BE'!$U$40+'TE BF'!$U$40+'TE CVA'!$U$40)*1</f>
        <v>1.8513197508430369E-12</v>
      </c>
      <c r="T40" s="20">
        <f>('TE BE'!$W$40+'TE BF'!$W$40+'TE CVA'!$W$40)*1</f>
        <v>-18.807102945831272</v>
      </c>
      <c r="U40" s="20">
        <f>('TE BE'!$Y$40+'TE BF'!$Y$40+'TE CVA'!$Y$40)*1</f>
        <v>4.6624276249915297</v>
      </c>
      <c r="W40" s="20">
        <v>2.3256699544547099</v>
      </c>
      <c r="X40" s="20">
        <v>6.3399065838333897</v>
      </c>
      <c r="Y40" s="20">
        <v>0</v>
      </c>
      <c r="Z40" s="20">
        <v>0</v>
      </c>
      <c r="AA40" s="20">
        <v>204.95494240642199</v>
      </c>
      <c r="AB40" s="20">
        <v>0</v>
      </c>
      <c r="AC40" s="20">
        <v>0</v>
      </c>
      <c r="AD40" s="20">
        <v>1.87812190620177E-12</v>
      </c>
      <c r="AE40" s="20">
        <v>0</v>
      </c>
      <c r="AF40" s="20">
        <v>4.4756408653554498</v>
      </c>
    </row>
    <row r="41" spans="1:32" ht="11.25" customHeight="1" x14ac:dyDescent="0.25">
      <c r="A41" s="117"/>
      <c r="B41" s="23" t="s">
        <v>86</v>
      </c>
      <c r="C41" s="23" t="s">
        <v>25</v>
      </c>
      <c r="D41" s="23" t="s">
        <v>25</v>
      </c>
      <c r="E41" s="23" t="s">
        <v>25</v>
      </c>
      <c r="F41" s="23" t="s">
        <v>25</v>
      </c>
      <c r="G41" s="22" t="s">
        <v>84</v>
      </c>
      <c r="H41" s="22" t="s">
        <v>78</v>
      </c>
      <c r="I41" s="22">
        <f>'MERCADO TE'!$U$38</f>
        <v>94039.850999999995</v>
      </c>
      <c r="J41" s="15"/>
      <c r="L41" s="20">
        <f>('TE BE'!$L$41+'TE BF'!$L$41+'TE CVA'!$L$41)*1</f>
        <v>2.5213258337079196</v>
      </c>
      <c r="M41" s="20">
        <f>('TE BE'!$M$41+'TE BF'!$M$41+'TE CVA'!$M$41)*1</f>
        <v>21.359217492980051</v>
      </c>
      <c r="N41" s="20">
        <f>('TE BE'!$N$41+'TE BF'!$N$41+'TE CVA'!$N$41)*1</f>
        <v>0</v>
      </c>
      <c r="O41" s="20">
        <f>('TE BE'!$O$41+'TE BF'!$O$41+'TE CVA'!$O$41)*1</f>
        <v>8.3144157692497398</v>
      </c>
      <c r="P41" s="20">
        <f>('TE BE'!$Q$41+'TE BF'!$Q$41+'TE CVA'!$Q$41)*1</f>
        <v>233.73052483623587</v>
      </c>
      <c r="Q41" s="20">
        <f>('TE BE'!$S$41+'TE BF'!$S$41+'TE CVA'!$S$41)*1</f>
        <v>0</v>
      </c>
      <c r="R41" s="20">
        <f>('TE BE'!$T$41+'TE BF'!$T$41+'TE CVA'!$T$41)*1</f>
        <v>0</v>
      </c>
      <c r="S41" s="20">
        <f>('TE BE'!$U$41+'TE BF'!$U$41+'TE CVA'!$U$41)*1</f>
        <v>1.8513197508430369E-12</v>
      </c>
      <c r="T41" s="20">
        <f>('TE BE'!$W$41+'TE BF'!$W$41+'TE CVA'!$W$41)*1</f>
        <v>-19.794233700276838</v>
      </c>
      <c r="U41" s="20">
        <f>('TE BE'!$Y$41+'TE BF'!$Y$41+'TE CVA'!$Y$41)*1</f>
        <v>4.6624276249915297</v>
      </c>
      <c r="W41" s="20">
        <v>2.3256699544547099</v>
      </c>
      <c r="X41" s="20">
        <v>6.3399065838333897</v>
      </c>
      <c r="Y41" s="20">
        <v>0</v>
      </c>
      <c r="Z41" s="20">
        <v>0</v>
      </c>
      <c r="AA41" s="20">
        <v>217.252238950807</v>
      </c>
      <c r="AB41" s="20">
        <v>0</v>
      </c>
      <c r="AC41" s="20">
        <v>0</v>
      </c>
      <c r="AD41" s="20">
        <v>1.87812190620177E-12</v>
      </c>
      <c r="AE41" s="20">
        <v>0</v>
      </c>
      <c r="AF41" s="20">
        <v>4.4756408653554498</v>
      </c>
    </row>
    <row r="42" spans="1:32" ht="11.25" customHeight="1" x14ac:dyDescent="0.25">
      <c r="A42" s="117"/>
      <c r="B42" s="23" t="s">
        <v>92</v>
      </c>
      <c r="C42" s="23" t="s">
        <v>25</v>
      </c>
      <c r="D42" s="23" t="s">
        <v>25</v>
      </c>
      <c r="E42" s="23" t="s">
        <v>25</v>
      </c>
      <c r="F42" s="23" t="s">
        <v>25</v>
      </c>
      <c r="G42" s="22" t="s">
        <v>84</v>
      </c>
      <c r="H42" s="22" t="s">
        <v>78</v>
      </c>
      <c r="I42" s="22">
        <f>'MERCADO TE'!$U$39</f>
        <v>0</v>
      </c>
      <c r="J42" s="15"/>
      <c r="L42" s="20">
        <f>('TE BE'!$L$42+'TE BF'!$L$42+'TE CVA'!$L$42)*1</f>
        <v>2.5213258337079196</v>
      </c>
      <c r="M42" s="20">
        <f>('TE BE'!$M$42+'TE BF'!$M$42+'TE CVA'!$M$42)*1</f>
        <v>21.359217492980051</v>
      </c>
      <c r="N42" s="20">
        <f>('TE BE'!$N$42+'TE BF'!$N$42+'TE CVA'!$N$42)*1</f>
        <v>0</v>
      </c>
      <c r="O42" s="20">
        <f>('TE BE'!$O$42+'TE BF'!$O$42+'TE CVA'!$O$42)*1</f>
        <v>8.3144157692497398</v>
      </c>
      <c r="P42" s="20">
        <f>('TE BE'!$Q$42+'TE BF'!$Q$42+'TE CVA'!$Q$42)*1</f>
        <v>233.73052483623587</v>
      </c>
      <c r="Q42" s="20">
        <f>('TE BE'!$S$42+'TE BF'!$S$42+'TE CVA'!$S$42)*1</f>
        <v>0</v>
      </c>
      <c r="R42" s="20">
        <f>('TE BE'!$T$42+'TE BF'!$T$42+'TE CVA'!$T$42)*1</f>
        <v>0</v>
      </c>
      <c r="S42" s="20">
        <f>('TE BE'!$U$42+'TE BF'!$U$42+'TE CVA'!$U$42)*1</f>
        <v>1.8513197508430369E-12</v>
      </c>
      <c r="T42" s="20">
        <f>('TE BE'!$W$42+'TE BF'!$W$42+'TE CVA'!$W$42)*1</f>
        <v>-19.794233700276838</v>
      </c>
      <c r="U42" s="20">
        <f>('TE BE'!$Y$42+'TE BF'!$Y$42+'TE CVA'!$Y$42)*1</f>
        <v>4.6624276249915297</v>
      </c>
      <c r="W42" s="20">
        <v>2.3256699544547099</v>
      </c>
      <c r="X42" s="20">
        <v>6.3399065838333897</v>
      </c>
      <c r="Y42" s="20">
        <v>0</v>
      </c>
      <c r="Z42" s="20">
        <v>0</v>
      </c>
      <c r="AA42" s="20">
        <v>217.252238950807</v>
      </c>
      <c r="AB42" s="20">
        <v>0</v>
      </c>
      <c r="AC42" s="20">
        <v>0</v>
      </c>
      <c r="AD42" s="20">
        <v>1.87812190620177E-12</v>
      </c>
      <c r="AE42" s="20">
        <v>0</v>
      </c>
      <c r="AF42" s="20">
        <v>4.4756408653554498</v>
      </c>
    </row>
    <row r="43" spans="1:32" ht="11.25" customHeight="1" x14ac:dyDescent="0.25">
      <c r="A43" s="117" t="s">
        <v>46</v>
      </c>
      <c r="B43" s="117" t="s">
        <v>86</v>
      </c>
      <c r="C43" s="117" t="s">
        <v>47</v>
      </c>
      <c r="D43" s="23" t="s">
        <v>48</v>
      </c>
      <c r="E43" s="23" t="s">
        <v>25</v>
      </c>
      <c r="F43" s="23" t="s">
        <v>25</v>
      </c>
      <c r="G43" s="22" t="s">
        <v>84</v>
      </c>
      <c r="H43" s="22" t="s">
        <v>78</v>
      </c>
      <c r="I43" s="22">
        <f>'MERCADO TE'!$U$40</f>
        <v>35555.334999999999</v>
      </c>
      <c r="J43" s="15"/>
      <c r="L43" s="20">
        <f>('TE BE'!$L$43+'TE BF'!$L$43+'TE CVA'!$L$43)*1</f>
        <v>1.3867292085393559</v>
      </c>
      <c r="M43" s="20">
        <f>('TE BE'!$M$43+'TE BF'!$M$43+'TE CVA'!$M$43)*1</f>
        <v>11.74756962113903</v>
      </c>
      <c r="N43" s="20">
        <f>('TE BE'!$N$43+'TE BF'!$N$43+'TE CVA'!$N$43)*1</f>
        <v>0</v>
      </c>
      <c r="O43" s="20">
        <f>('TE BE'!$O$43+'TE BF'!$O$43+'TE CVA'!$O$43)*1</f>
        <v>4.5729286730873557</v>
      </c>
      <c r="P43" s="20">
        <f>('TE BE'!$Q$43+'TE BF'!$Q$43+'TE CVA'!$Q$43)*1</f>
        <v>128.55178865992974</v>
      </c>
      <c r="Q43" s="20">
        <f>('TE BE'!$S$43+'TE BF'!$S$43+'TE CVA'!$S$43)*1</f>
        <v>0</v>
      </c>
      <c r="R43" s="20">
        <f>('TE BE'!$T$43+'TE BF'!$T$43+'TE CVA'!$T$43)*1</f>
        <v>0</v>
      </c>
      <c r="S43" s="20">
        <f>('TE BE'!$U$43+'TE BF'!$U$43+'TE CVA'!$U$43)*1</f>
        <v>1.0182258629636703E-12</v>
      </c>
      <c r="T43" s="20">
        <f>('TE BE'!$W$43+'TE BF'!$W$43+'TE CVA'!$W$43)*1</f>
        <v>-10.886828535152263</v>
      </c>
      <c r="U43" s="20">
        <f>('TE BE'!$Y$43+'TE BF'!$Y$43+'TE CVA'!$Y$43)*1</f>
        <v>2.5643351937453422</v>
      </c>
      <c r="W43" s="20">
        <v>1.2791184749500899</v>
      </c>
      <c r="X43" s="20">
        <v>3.48694862110837</v>
      </c>
      <c r="Y43" s="20">
        <v>0</v>
      </c>
      <c r="Z43" s="20">
        <v>0</v>
      </c>
      <c r="AA43" s="20">
        <v>119.488731422944</v>
      </c>
      <c r="AB43" s="20">
        <v>0</v>
      </c>
      <c r="AC43" s="20">
        <v>0</v>
      </c>
      <c r="AD43" s="20">
        <v>1.03296704841097E-12</v>
      </c>
      <c r="AE43" s="20">
        <v>0</v>
      </c>
      <c r="AF43" s="20">
        <v>2.4616024759455</v>
      </c>
    </row>
    <row r="44" spans="1:32" ht="11.25" customHeight="1" x14ac:dyDescent="0.25">
      <c r="A44" s="117"/>
      <c r="B44" s="117"/>
      <c r="C44" s="117"/>
      <c r="D44" s="22" t="s">
        <v>96</v>
      </c>
      <c r="E44" s="22" t="s">
        <v>25</v>
      </c>
      <c r="F44" s="22" t="s">
        <v>25</v>
      </c>
      <c r="G44" s="22" t="s">
        <v>84</v>
      </c>
      <c r="H44" s="22" t="s">
        <v>78</v>
      </c>
      <c r="I44" s="22">
        <f>'MERCADO TE'!$U$41</f>
        <v>0</v>
      </c>
      <c r="J44" s="15"/>
      <c r="L44" s="20">
        <f>('TE BE'!$L$44+'TE BF'!$L$44+'TE CVA'!$L$44)*1</f>
        <v>1.5127955002247517</v>
      </c>
      <c r="M44" s="20">
        <f>('TE BE'!$M$44+'TE BF'!$M$44+'TE CVA'!$M$44)*1</f>
        <v>12.81553049578803</v>
      </c>
      <c r="N44" s="20">
        <f>('TE BE'!$N$44+'TE BF'!$N$44+'TE CVA'!$N$44)*1</f>
        <v>0</v>
      </c>
      <c r="O44" s="20">
        <f>('TE BE'!$O$44+'TE BF'!$O$44+'TE CVA'!$O$44)*1</f>
        <v>4.9886494615498433</v>
      </c>
      <c r="P44" s="20">
        <f>('TE BE'!$Q$44+'TE BF'!$Q$44+'TE CVA'!$Q$44)*1</f>
        <v>140.23831490174152</v>
      </c>
      <c r="Q44" s="20">
        <f>('TE BE'!$S$44+'TE BF'!$S$44+'TE CVA'!$S$44)*1</f>
        <v>0</v>
      </c>
      <c r="R44" s="20">
        <f>('TE BE'!$T$44+'TE BF'!$T$44+'TE CVA'!$T$44)*1</f>
        <v>0</v>
      </c>
      <c r="S44" s="20">
        <f>('TE BE'!$U$44+'TE BF'!$U$44+'TE CVA'!$U$44)*1</f>
        <v>1.1107918505058222E-12</v>
      </c>
      <c r="T44" s="20">
        <f>('TE BE'!$W$44+'TE BF'!$W$44+'TE CVA'!$W$44)*1</f>
        <v>-11.876540220166103</v>
      </c>
      <c r="U44" s="20">
        <f>('TE BE'!$Y$44+'TE BF'!$Y$44+'TE CVA'!$Y$44)*1</f>
        <v>2.7974565749949178</v>
      </c>
      <c r="W44" s="20">
        <v>1.3954019726728299</v>
      </c>
      <c r="X44" s="20">
        <v>3.8039439503000398</v>
      </c>
      <c r="Y44" s="20">
        <v>0</v>
      </c>
      <c r="Z44" s="20">
        <v>0</v>
      </c>
      <c r="AA44" s="20">
        <v>130.35134337048399</v>
      </c>
      <c r="AB44" s="20">
        <v>0</v>
      </c>
      <c r="AC44" s="20">
        <v>0</v>
      </c>
      <c r="AD44" s="20">
        <v>1.12687314372106E-12</v>
      </c>
      <c r="AE44" s="20">
        <v>0</v>
      </c>
      <c r="AF44" s="20">
        <v>2.6853845192132701</v>
      </c>
    </row>
    <row r="46" spans="1:32" ht="11.25" customHeight="1" x14ac:dyDescent="0.25">
      <c r="L46" s="114" t="s">
        <v>1210</v>
      </c>
      <c r="M46" s="114"/>
      <c r="N46" s="114"/>
      <c r="O46" s="114"/>
      <c r="P46" s="114"/>
      <c r="Q46" s="114"/>
      <c r="R46" s="114"/>
      <c r="S46" s="114"/>
      <c r="T46" s="114"/>
      <c r="U46" s="114"/>
      <c r="W46" s="114" t="s">
        <v>1211</v>
      </c>
      <c r="X46" s="114"/>
      <c r="Y46" s="114"/>
      <c r="Z46" s="114"/>
      <c r="AA46" s="114"/>
      <c r="AB46" s="114"/>
      <c r="AC46" s="114"/>
      <c r="AD46" s="114"/>
      <c r="AE46" s="114"/>
      <c r="AF46" s="114"/>
    </row>
    <row r="47" spans="1:32" ht="11.25" customHeight="1" x14ac:dyDescent="0.25">
      <c r="L47" s="114" t="s">
        <v>744</v>
      </c>
      <c r="M47" s="114"/>
      <c r="N47" s="114"/>
      <c r="O47" s="114"/>
      <c r="P47" s="114"/>
      <c r="Q47" s="114"/>
      <c r="R47" s="114"/>
      <c r="S47" s="114"/>
      <c r="T47" s="114"/>
      <c r="U47" s="114"/>
      <c r="W47" s="114" t="s">
        <v>744</v>
      </c>
      <c r="X47" s="114"/>
      <c r="Y47" s="114"/>
      <c r="Z47" s="114"/>
      <c r="AA47" s="114"/>
      <c r="AB47" s="114"/>
      <c r="AC47" s="114"/>
      <c r="AD47" s="114"/>
      <c r="AE47" s="114"/>
      <c r="AF47" s="114"/>
    </row>
    <row r="48" spans="1:32" ht="11.25" customHeight="1" x14ac:dyDescent="0.25">
      <c r="L48" s="114" t="s">
        <v>717</v>
      </c>
      <c r="M48" s="114"/>
      <c r="N48" s="114"/>
      <c r="O48" s="114"/>
      <c r="P48" s="24" t="s">
        <v>747</v>
      </c>
      <c r="Q48" s="114" t="s">
        <v>726</v>
      </c>
      <c r="R48" s="114"/>
      <c r="S48" s="114"/>
      <c r="T48" s="24" t="s">
        <v>736</v>
      </c>
      <c r="U48" s="24" t="s">
        <v>739</v>
      </c>
      <c r="W48" s="114" t="s">
        <v>717</v>
      </c>
      <c r="X48" s="114"/>
      <c r="Y48" s="114"/>
      <c r="Z48" s="114"/>
      <c r="AA48" s="24" t="s">
        <v>747</v>
      </c>
      <c r="AB48" s="114" t="s">
        <v>726</v>
      </c>
      <c r="AC48" s="114"/>
      <c r="AD48" s="114"/>
      <c r="AE48" s="24" t="s">
        <v>736</v>
      </c>
      <c r="AF48" s="24" t="s">
        <v>739</v>
      </c>
    </row>
    <row r="49" spans="1:32" ht="11.25" customHeight="1" x14ac:dyDescent="0.25">
      <c r="L49" s="24" t="s">
        <v>719</v>
      </c>
      <c r="M49" s="24" t="s">
        <v>745</v>
      </c>
      <c r="N49" s="24" t="s">
        <v>746</v>
      </c>
      <c r="O49" s="24" t="s">
        <v>804</v>
      </c>
      <c r="P49" s="24" t="s">
        <v>748</v>
      </c>
      <c r="Q49" s="24" t="s">
        <v>749</v>
      </c>
      <c r="R49" s="24" t="s">
        <v>750</v>
      </c>
      <c r="S49" s="24" t="s">
        <v>751</v>
      </c>
      <c r="T49" s="24" t="s">
        <v>737</v>
      </c>
      <c r="U49" s="24" t="s">
        <v>752</v>
      </c>
      <c r="W49" s="24" t="s">
        <v>719</v>
      </c>
      <c r="X49" s="24" t="s">
        <v>745</v>
      </c>
      <c r="Y49" s="24" t="s">
        <v>746</v>
      </c>
      <c r="Z49" s="24" t="s">
        <v>804</v>
      </c>
      <c r="AA49" s="24" t="s">
        <v>748</v>
      </c>
      <c r="AB49" s="24" t="s">
        <v>749</v>
      </c>
      <c r="AC49" s="24" t="s">
        <v>750</v>
      </c>
      <c r="AD49" s="24" t="s">
        <v>751</v>
      </c>
      <c r="AE49" s="24" t="s">
        <v>737</v>
      </c>
      <c r="AF49" s="24" t="s">
        <v>752</v>
      </c>
    </row>
    <row r="50" spans="1:32" ht="11.25" customHeight="1" x14ac:dyDescent="0.25">
      <c r="A50" s="9" t="s">
        <v>56</v>
      </c>
      <c r="B50" s="9" t="s">
        <v>1212</v>
      </c>
      <c r="C50" s="9" t="s">
        <v>1213</v>
      </c>
      <c r="D50" s="9" t="s">
        <v>1214</v>
      </c>
      <c r="E50" s="9" t="s">
        <v>1215</v>
      </c>
      <c r="F50" s="9" t="s">
        <v>1216</v>
      </c>
      <c r="G50" s="9" t="s">
        <v>1217</v>
      </c>
      <c r="L50" s="20">
        <f>$I$5*$L$5</f>
        <v>0</v>
      </c>
      <c r="M50" s="20">
        <f>$I$5*$M$5</f>
        <v>0</v>
      </c>
      <c r="N50" s="20">
        <f>$I$5*$N$5</f>
        <v>0</v>
      </c>
      <c r="O50" s="20">
        <f>$I$5*$O$5</f>
        <v>0</v>
      </c>
      <c r="P50" s="20">
        <f>$I$5*$P$5</f>
        <v>0</v>
      </c>
      <c r="Q50" s="20">
        <f>$I$5*$Q$5</f>
        <v>0</v>
      </c>
      <c r="R50" s="20">
        <f>$I$5*$R$5</f>
        <v>0</v>
      </c>
      <c r="S50" s="20">
        <f>$I$5*$S$5</f>
        <v>0</v>
      </c>
      <c r="T50" s="20">
        <f>$I$5*$T$5</f>
        <v>0</v>
      </c>
      <c r="U50" s="20">
        <f>$I$5*$U$5</f>
        <v>0</v>
      </c>
      <c r="W50" s="20">
        <f>$I$5*$W$5</f>
        <v>0</v>
      </c>
      <c r="X50" s="20">
        <f>$I$5*$X$5</f>
        <v>0</v>
      </c>
      <c r="Y50" s="20">
        <f>$I$5*$Y$5</f>
        <v>0</v>
      </c>
      <c r="Z50" s="20">
        <f>$I$5*$Z$5</f>
        <v>0</v>
      </c>
      <c r="AA50" s="20">
        <f>$I$5*$AA$5</f>
        <v>0</v>
      </c>
      <c r="AB50" s="20">
        <f>$I$5*$AB$5</f>
        <v>0</v>
      </c>
      <c r="AC50" s="20">
        <f>$I$5*$AC$5</f>
        <v>0</v>
      </c>
      <c r="AD50" s="20">
        <f>$I$5*$AD$5</f>
        <v>0</v>
      </c>
      <c r="AE50" s="20">
        <f>$I$5*$AE$5</f>
        <v>0</v>
      </c>
      <c r="AF50" s="20">
        <f>$I$5*$AF$5</f>
        <v>0</v>
      </c>
    </row>
    <row r="51" spans="1:32" ht="11.25" customHeight="1" x14ac:dyDescent="0.25">
      <c r="A51" s="9" t="s">
        <v>56</v>
      </c>
      <c r="B51" s="9" t="s">
        <v>1212</v>
      </c>
      <c r="C51" s="9" t="s">
        <v>1213</v>
      </c>
      <c r="D51" s="9" t="s">
        <v>1214</v>
      </c>
      <c r="E51" s="9" t="s">
        <v>1215</v>
      </c>
      <c r="F51" s="9" t="s">
        <v>1216</v>
      </c>
      <c r="G51" s="9" t="s">
        <v>1218</v>
      </c>
      <c r="L51" s="20">
        <f>$I$6*$L$6</f>
        <v>0</v>
      </c>
      <c r="M51" s="20">
        <f>$I$6*$M$6</f>
        <v>0</v>
      </c>
      <c r="N51" s="20">
        <f>$I$6*$N$6</f>
        <v>0</v>
      </c>
      <c r="O51" s="20">
        <f>$I$6*$O$6</f>
        <v>0</v>
      </c>
      <c r="P51" s="20">
        <f>$I$6*$P$6</f>
        <v>0</v>
      </c>
      <c r="Q51" s="20">
        <f>$I$6*$Q$6</f>
        <v>0</v>
      </c>
      <c r="R51" s="20">
        <f>$I$6*$R$6</f>
        <v>0</v>
      </c>
      <c r="S51" s="20">
        <f>$I$6*$S$6</f>
        <v>0</v>
      </c>
      <c r="T51" s="20">
        <f>$I$6*$T$6</f>
        <v>0</v>
      </c>
      <c r="U51" s="20">
        <f>$I$6*$U$6</f>
        <v>0</v>
      </c>
      <c r="W51" s="20">
        <f>$I$6*$W$6</f>
        <v>0</v>
      </c>
      <c r="X51" s="20">
        <f>$I$6*$X$6</f>
        <v>0</v>
      </c>
      <c r="Y51" s="20">
        <f>$I$6*$Y$6</f>
        <v>0</v>
      </c>
      <c r="Z51" s="20">
        <f>$I$6*$Z$6</f>
        <v>0</v>
      </c>
      <c r="AA51" s="20">
        <f>$I$6*$AA$6</f>
        <v>0</v>
      </c>
      <c r="AB51" s="20">
        <f>$I$6*$AB$6</f>
        <v>0</v>
      </c>
      <c r="AC51" s="20">
        <f>$I$6*$AC$6</f>
        <v>0</v>
      </c>
      <c r="AD51" s="20">
        <f>$I$6*$AD$6</f>
        <v>0</v>
      </c>
      <c r="AE51" s="20">
        <f>$I$6*$AE$6</f>
        <v>0</v>
      </c>
      <c r="AF51" s="20">
        <f>$I$6*$AF$6</f>
        <v>0</v>
      </c>
    </row>
    <row r="52" spans="1:32" ht="11.25" customHeight="1" x14ac:dyDescent="0.25">
      <c r="A52" s="9" t="s">
        <v>39</v>
      </c>
      <c r="B52" s="9" t="s">
        <v>1219</v>
      </c>
      <c r="C52" s="9" t="s">
        <v>1220</v>
      </c>
      <c r="D52" s="9" t="s">
        <v>1221</v>
      </c>
      <c r="E52" s="9" t="s">
        <v>1222</v>
      </c>
      <c r="F52" s="9" t="s">
        <v>1223</v>
      </c>
      <c r="G52" s="9" t="s">
        <v>1224</v>
      </c>
      <c r="L52" s="20">
        <f>$I$7*$L$7</f>
        <v>20460.896998201486</v>
      </c>
      <c r="M52" s="20">
        <f>$I$7*$M$7</f>
        <v>173332.91209067716</v>
      </c>
      <c r="N52" s="20">
        <f>$I$7*$N$7</f>
        <v>0</v>
      </c>
      <c r="O52" s="20">
        <f>$I$7*$O$7</f>
        <v>67472.59809917472</v>
      </c>
      <c r="P52" s="20">
        <f>$I$7*$P$7</f>
        <v>3077752.6318590352</v>
      </c>
      <c r="Q52" s="20">
        <f>$I$7*$Q$7</f>
        <v>0</v>
      </c>
      <c r="R52" s="20">
        <f>$I$7*$R$7</f>
        <v>0</v>
      </c>
      <c r="S52" s="20">
        <f>$I$7*$S$7</f>
        <v>1.5023707854937858E-8</v>
      </c>
      <c r="T52" s="20">
        <f>$I$7*$T$7</f>
        <v>-248750.54073137793</v>
      </c>
      <c r="U52" s="20">
        <f>$I$7*$U$7</f>
        <v>37836.224942108012</v>
      </c>
      <c r="W52" s="20">
        <f>$I$7*$W$7</f>
        <v>18873.123320173869</v>
      </c>
      <c r="X52" s="20">
        <f>$I$7*$X$7</f>
        <v>51449.191475290194</v>
      </c>
      <c r="Y52" s="20">
        <f>$I$7*$Y$7</f>
        <v>0</v>
      </c>
      <c r="Z52" s="20">
        <f>$I$7*$Z$7</f>
        <v>0</v>
      </c>
      <c r="AA52" s="20">
        <f>$I$7*$AA$7</f>
        <v>2860767.3331354763</v>
      </c>
      <c r="AB52" s="20">
        <f>$I$7*$AB$7</f>
        <v>0</v>
      </c>
      <c r="AC52" s="20">
        <f>$I$7*$AC$7</f>
        <v>0</v>
      </c>
      <c r="AD52" s="20">
        <f>$I$7*$AD$7</f>
        <v>1.5241210937162796E-8</v>
      </c>
      <c r="AE52" s="20">
        <f>$I$7*$AE$7</f>
        <v>0</v>
      </c>
      <c r="AF52" s="20">
        <f>$I$7*$AF$7</f>
        <v>36320.425358235436</v>
      </c>
    </row>
    <row r="53" spans="1:32" ht="11.25" customHeight="1" x14ac:dyDescent="0.25">
      <c r="A53" s="9" t="s">
        <v>39</v>
      </c>
      <c r="B53" s="9" t="s">
        <v>1219</v>
      </c>
      <c r="C53" s="9" t="s">
        <v>1220</v>
      </c>
      <c r="D53" s="9" t="s">
        <v>1221</v>
      </c>
      <c r="E53" s="9" t="s">
        <v>1222</v>
      </c>
      <c r="F53" s="9" t="s">
        <v>1223</v>
      </c>
      <c r="G53" s="9" t="s">
        <v>1225</v>
      </c>
      <c r="L53" s="20">
        <f>$I$8*$L$8</f>
        <v>274023.69740551256</v>
      </c>
      <c r="M53" s="20">
        <f>$I$8*$M$8</f>
        <v>2321370.63479314</v>
      </c>
      <c r="N53" s="20">
        <f>$I$8*$N$8</f>
        <v>0</v>
      </c>
      <c r="O53" s="20">
        <f>$I$8*$O$8</f>
        <v>903630.51074042392</v>
      </c>
      <c r="P53" s="20">
        <f>$I$8*$P$8</f>
        <v>23964519.042747423</v>
      </c>
      <c r="Q53" s="20">
        <f>$I$8*$Q$8</f>
        <v>0</v>
      </c>
      <c r="R53" s="20">
        <f>$I$8*$R$8</f>
        <v>0</v>
      </c>
      <c r="S53" s="20">
        <f>$I$8*$S$8</f>
        <v>2.0120584036526772E-7</v>
      </c>
      <c r="T53" s="20">
        <f>$I$8*$T$8</f>
        <v>-2044000.7466721593</v>
      </c>
      <c r="U53" s="20">
        <f>$I$8*$U$8</f>
        <v>506723.74018668209</v>
      </c>
      <c r="W53" s="20">
        <f>$I$8*$W$8</f>
        <v>252759.35039596935</v>
      </c>
      <c r="X53" s="20">
        <f>$I$8*$X$8</f>
        <v>689036.14918849536</v>
      </c>
      <c r="Y53" s="20">
        <f>$I$8*$Y$8</f>
        <v>0</v>
      </c>
      <c r="Z53" s="20">
        <f>$I$8*$Z$8</f>
        <v>0</v>
      </c>
      <c r="AA53" s="20">
        <f>$I$8*$AA$8</f>
        <v>22274991.343402751</v>
      </c>
      <c r="AB53" s="20">
        <f>$I$8*$AB$8</f>
        <v>0</v>
      </c>
      <c r="AC53" s="20">
        <f>$I$8*$AC$8</f>
        <v>0</v>
      </c>
      <c r="AD53" s="20">
        <f>$I$8*$AD$8</f>
        <v>2.041187624523889E-7</v>
      </c>
      <c r="AE53" s="20">
        <f>$I$8*$AE$8</f>
        <v>0</v>
      </c>
      <c r="AF53" s="20">
        <f>$I$8*$AF$8</f>
        <v>486423.31022337149</v>
      </c>
    </row>
    <row r="54" spans="1:32" ht="11.25" customHeight="1" x14ac:dyDescent="0.25">
      <c r="A54" s="9" t="s">
        <v>39</v>
      </c>
      <c r="B54" s="9" t="s">
        <v>1226</v>
      </c>
      <c r="C54" s="9" t="s">
        <v>1227</v>
      </c>
      <c r="D54" s="9" t="s">
        <v>1228</v>
      </c>
      <c r="E54" s="9" t="s">
        <v>1229</v>
      </c>
      <c r="F54" s="9" t="s">
        <v>1230</v>
      </c>
      <c r="G54" s="9" t="s">
        <v>1231</v>
      </c>
      <c r="L54" s="20">
        <f>$I$9*$L$9</f>
        <v>0</v>
      </c>
      <c r="M54" s="20">
        <f>$I$9*$M$9</f>
        <v>0</v>
      </c>
      <c r="N54" s="20">
        <f>$I$9*$N$9</f>
        <v>0</v>
      </c>
      <c r="O54" s="20">
        <f>$I$9*$O$9</f>
        <v>0</v>
      </c>
      <c r="P54" s="20">
        <f>$I$9*$P$9</f>
        <v>0</v>
      </c>
      <c r="Q54" s="20">
        <f>$I$9*$Q$9</f>
        <v>0</v>
      </c>
      <c r="R54" s="20">
        <f>$I$9*$R$9</f>
        <v>0</v>
      </c>
      <c r="S54" s="20">
        <f>$I$9*$S$9</f>
        <v>0</v>
      </c>
      <c r="T54" s="20">
        <f>$I$9*$T$9</f>
        <v>0</v>
      </c>
      <c r="U54" s="20">
        <f>$I$9*$U$9</f>
        <v>0</v>
      </c>
      <c r="W54" s="20">
        <f>$I$9*$W$9</f>
        <v>0</v>
      </c>
      <c r="X54" s="20">
        <f>$I$9*$X$9</f>
        <v>0</v>
      </c>
      <c r="Y54" s="20">
        <f>$I$9*$Y$9</f>
        <v>0</v>
      </c>
      <c r="Z54" s="20">
        <f>$I$9*$Z$9</f>
        <v>0</v>
      </c>
      <c r="AA54" s="20">
        <f>$I$9*$AA$9</f>
        <v>0</v>
      </c>
      <c r="AB54" s="20">
        <f>$I$9*$AB$9</f>
        <v>0</v>
      </c>
      <c r="AC54" s="20">
        <f>$I$9*$AC$9</f>
        <v>0</v>
      </c>
      <c r="AD54" s="20">
        <f>$I$9*$AD$9</f>
        <v>0</v>
      </c>
      <c r="AE54" s="20">
        <f>$I$9*$AE$9</f>
        <v>0</v>
      </c>
      <c r="AF54" s="20">
        <f>$I$9*$AF$9</f>
        <v>0</v>
      </c>
    </row>
    <row r="55" spans="1:32" ht="11.25" customHeight="1" x14ac:dyDescent="0.25">
      <c r="A55" s="9" t="s">
        <v>22</v>
      </c>
      <c r="B55" s="9" t="s">
        <v>1232</v>
      </c>
      <c r="C55" s="9" t="s">
        <v>1233</v>
      </c>
      <c r="D55" s="9" t="s">
        <v>1234</v>
      </c>
      <c r="E55" s="9" t="s">
        <v>1235</v>
      </c>
      <c r="F55" s="9" t="s">
        <v>1236</v>
      </c>
      <c r="G55" s="9" t="s">
        <v>1237</v>
      </c>
      <c r="L55" s="20">
        <f>$I$10*$L$10</f>
        <v>17.46270272426105</v>
      </c>
      <c r="M55" s="20">
        <f>$I$10*$M$10</f>
        <v>147.93394035637982</v>
      </c>
      <c r="N55" s="20">
        <f>$I$10*$N$10</f>
        <v>0</v>
      </c>
      <c r="O55" s="20">
        <f>$I$10*$O$10</f>
        <v>57.585643617823692</v>
      </c>
      <c r="P55" s="20">
        <f>$I$10*$P$10</f>
        <v>2626.7606583274751</v>
      </c>
      <c r="Q55" s="20">
        <f>$I$10*$Q$10</f>
        <v>0</v>
      </c>
      <c r="R55" s="20">
        <f>$I$10*$R$10</f>
        <v>0</v>
      </c>
      <c r="S55" s="20">
        <f>$I$10*$S$10</f>
        <v>1.2822240594338873E-11</v>
      </c>
      <c r="T55" s="20">
        <f>$I$10*$T$10</f>
        <v>-212.30040626630731</v>
      </c>
      <c r="U55" s="20">
        <f>$I$10*$U$10</f>
        <v>32.291973730691332</v>
      </c>
      <c r="W55" s="20">
        <f>$I$10*$W$10</f>
        <v>16.107590104553321</v>
      </c>
      <c r="X55" s="20">
        <f>$I$10*$X$10</f>
        <v>43.910192999630056</v>
      </c>
      <c r="Y55" s="20">
        <f>$I$10*$Y$10</f>
        <v>0</v>
      </c>
      <c r="Z55" s="20">
        <f>$I$10*$Z$10</f>
        <v>0</v>
      </c>
      <c r="AA55" s="20">
        <f>$I$10*$AA$10</f>
        <v>2441.5708415038257</v>
      </c>
      <c r="AB55" s="20">
        <f>$I$10*$AB$10</f>
        <v>0</v>
      </c>
      <c r="AC55" s="20">
        <f>$I$10*$AC$10</f>
        <v>0</v>
      </c>
      <c r="AD55" s="20">
        <f>$I$10*$AD$10</f>
        <v>1.3007872322353458E-11</v>
      </c>
      <c r="AE55" s="20">
        <f>$I$10*$AE$10</f>
        <v>0</v>
      </c>
      <c r="AF55" s="20">
        <f>$I$10*$AF$10</f>
        <v>30.998288633451843</v>
      </c>
    </row>
    <row r="56" spans="1:32" ht="11.25" customHeight="1" x14ac:dyDescent="0.25">
      <c r="A56" s="9" t="s">
        <v>22</v>
      </c>
      <c r="B56" s="9" t="s">
        <v>1232</v>
      </c>
      <c r="C56" s="9" t="s">
        <v>1233</v>
      </c>
      <c r="D56" s="9" t="s">
        <v>1234</v>
      </c>
      <c r="E56" s="9" t="s">
        <v>1235</v>
      </c>
      <c r="F56" s="9" t="s">
        <v>1236</v>
      </c>
      <c r="G56" s="9" t="s">
        <v>1238</v>
      </c>
      <c r="L56" s="20">
        <f>$I$11*$L$11</f>
        <v>11.623312093393508</v>
      </c>
      <c r="M56" s="20">
        <f>$I$11*$M$11</f>
        <v>98.465992642638028</v>
      </c>
      <c r="N56" s="20">
        <f>$I$11*$N$11</f>
        <v>0</v>
      </c>
      <c r="O56" s="20">
        <f>$I$11*$O$11</f>
        <v>38.329456696241294</v>
      </c>
      <c r="P56" s="20">
        <f>$I$11*$P$11</f>
        <v>1016.5072825424974</v>
      </c>
      <c r="Q56" s="20">
        <f>$I$11*$Q$11</f>
        <v>0</v>
      </c>
      <c r="R56" s="20">
        <f>$I$11*$R$11</f>
        <v>0</v>
      </c>
      <c r="S56" s="20">
        <f>$I$11*$S$11</f>
        <v>8.5345840513863984E-12</v>
      </c>
      <c r="T56" s="20">
        <f>$I$11*$T$11</f>
        <v>-86.700744580282148</v>
      </c>
      <c r="U56" s="20">
        <f>$I$11*$U$11</f>
        <v>21.493791351210948</v>
      </c>
      <c r="W56" s="20">
        <f>$I$11*$W$11</f>
        <v>10.721338490036212</v>
      </c>
      <c r="X56" s="20">
        <f>$I$11*$X$11</f>
        <v>29.226969351471922</v>
      </c>
      <c r="Y56" s="20">
        <f>$I$11*$Y$11</f>
        <v>0</v>
      </c>
      <c r="Z56" s="20">
        <f>$I$11*$Z$11</f>
        <v>0</v>
      </c>
      <c r="AA56" s="20">
        <f>$I$11*$AA$11</f>
        <v>944.84228449360523</v>
      </c>
      <c r="AB56" s="20">
        <f>$I$11*$AB$11</f>
        <v>0</v>
      </c>
      <c r="AC56" s="20">
        <f>$I$11*$AC$11</f>
        <v>0</v>
      </c>
      <c r="AD56" s="20">
        <f>$I$11*$AD$11</f>
        <v>8.6581419875901591E-12</v>
      </c>
      <c r="AE56" s="20">
        <f>$I$11*$AE$11</f>
        <v>0</v>
      </c>
      <c r="AF56" s="20">
        <f>$I$11*$AF$11</f>
        <v>20.632704389288619</v>
      </c>
    </row>
    <row r="57" spans="1:32" ht="11.25" customHeight="1" x14ac:dyDescent="0.25">
      <c r="A57" s="9" t="s">
        <v>22</v>
      </c>
      <c r="B57" s="9" t="s">
        <v>1232</v>
      </c>
      <c r="C57" s="9" t="s">
        <v>1233</v>
      </c>
      <c r="D57" s="9" t="s">
        <v>1234</v>
      </c>
      <c r="E57" s="9" t="s">
        <v>1235</v>
      </c>
      <c r="F57" s="9" t="s">
        <v>1236</v>
      </c>
      <c r="G57" s="9" t="s">
        <v>1239</v>
      </c>
      <c r="L57" s="20">
        <f>$I$12*$L$12</f>
        <v>184.41481412906469</v>
      </c>
      <c r="M57" s="20">
        <f>$I$12*$M$12</f>
        <v>1562.255885871547</v>
      </c>
      <c r="N57" s="20">
        <f>$I$12*$N$12</f>
        <v>0</v>
      </c>
      <c r="O57" s="20">
        <f>$I$12*$O$12</f>
        <v>608.13299819446456</v>
      </c>
      <c r="P57" s="20">
        <f>$I$12*$P$12</f>
        <v>16127.847214690533</v>
      </c>
      <c r="Q57" s="20">
        <f>$I$12*$Q$12</f>
        <v>0</v>
      </c>
      <c r="R57" s="20">
        <f>$I$12*$R$12</f>
        <v>0</v>
      </c>
      <c r="S57" s="20">
        <f>$I$12*$S$12</f>
        <v>1.3540922921616141E-10</v>
      </c>
      <c r="T57" s="20">
        <f>$I$12*$T$12</f>
        <v>-1375.5891236639911</v>
      </c>
      <c r="U57" s="20">
        <f>$I$12*$U$12</f>
        <v>341.01928134713052</v>
      </c>
      <c r="W57" s="20">
        <f>$I$12*$W$12</f>
        <v>170.10415180872641</v>
      </c>
      <c r="X57" s="20">
        <f>$I$12*$X$12</f>
        <v>463.71344735474185</v>
      </c>
      <c r="Y57" s="20">
        <f>$I$12*$Y$12</f>
        <v>0</v>
      </c>
      <c r="Z57" s="20">
        <f>$I$12*$Z$12</f>
        <v>0</v>
      </c>
      <c r="AA57" s="20">
        <f>$I$12*$AA$12</f>
        <v>14990.81439749052</v>
      </c>
      <c r="AB57" s="20">
        <f>$I$12*$AB$12</f>
        <v>0</v>
      </c>
      <c r="AC57" s="20">
        <f>$I$12*$AC$12</f>
        <v>0</v>
      </c>
      <c r="AD57" s="20">
        <f>$I$12*$AD$12</f>
        <v>1.3736959246340988E-10</v>
      </c>
      <c r="AE57" s="20">
        <f>$I$12*$AE$12</f>
        <v>0</v>
      </c>
      <c r="AF57" s="20">
        <f>$I$12*$AF$12</f>
        <v>327.35732417382837</v>
      </c>
    </row>
    <row r="58" spans="1:32" ht="11.25" customHeight="1" x14ac:dyDescent="0.25">
      <c r="A58" s="9" t="s">
        <v>22</v>
      </c>
      <c r="B58" s="9" t="s">
        <v>1240</v>
      </c>
      <c r="C58" s="9" t="s">
        <v>1241</v>
      </c>
      <c r="D58" s="9" t="s">
        <v>1242</v>
      </c>
      <c r="E58" s="9" t="s">
        <v>1243</v>
      </c>
      <c r="F58" s="9" t="s">
        <v>1244</v>
      </c>
      <c r="G58" s="9" t="s">
        <v>1245</v>
      </c>
      <c r="L58" s="20">
        <f>$I$13*$L$13</f>
        <v>545941.78518077906</v>
      </c>
      <c r="M58" s="20">
        <f>$I$13*$M$13</f>
        <v>4624903.7598735439</v>
      </c>
      <c r="N58" s="20">
        <f>$I$13*$N$13</f>
        <v>0</v>
      </c>
      <c r="O58" s="20">
        <f>$I$13*$O$13</f>
        <v>1800317.4865836326</v>
      </c>
      <c r="P58" s="20">
        <f>$I$13*$P$13</f>
        <v>50609587.334723316</v>
      </c>
      <c r="Q58" s="20">
        <f>$I$13*$Q$13</f>
        <v>0</v>
      </c>
      <c r="R58" s="20">
        <f>$I$13*$R$13</f>
        <v>0</v>
      </c>
      <c r="S58" s="20">
        <f>$I$13*$S$13</f>
        <v>4.0086560658021154E-7</v>
      </c>
      <c r="T58" s="20">
        <f>$I$13*$T$13</f>
        <v>-4286038.3763737474</v>
      </c>
      <c r="U58" s="20">
        <f>$I$13*$U$13</f>
        <v>1009553.7938151816</v>
      </c>
      <c r="W58" s="20">
        <f>$I$13*$W$13</f>
        <v>503576.4872995746</v>
      </c>
      <c r="X58" s="20">
        <f>$I$13*$X$13</f>
        <v>1372777.7155907003</v>
      </c>
      <c r="Y58" s="20">
        <f>$I$13*$Y$13</f>
        <v>0</v>
      </c>
      <c r="Z58" s="20">
        <f>$I$13*$Z$13</f>
        <v>0</v>
      </c>
      <c r="AA58" s="20">
        <f>$I$13*$AA$13</f>
        <v>47041549.958221182</v>
      </c>
      <c r="AB58" s="20">
        <f>$I$13*$AB$13</f>
        <v>0</v>
      </c>
      <c r="AC58" s="20">
        <f>$I$13*$AC$13</f>
        <v>0</v>
      </c>
      <c r="AD58" s="20">
        <f>$I$13*$AD$13</f>
        <v>4.0666906773847072E-7</v>
      </c>
      <c r="AE58" s="20">
        <f>$I$13*$AE$13</f>
        <v>0</v>
      </c>
      <c r="AF58" s="20">
        <f>$I$13*$AF$13</f>
        <v>969108.92324726761</v>
      </c>
    </row>
    <row r="59" spans="1:32" ht="11.25" customHeight="1" x14ac:dyDescent="0.25">
      <c r="A59" s="9" t="s">
        <v>22</v>
      </c>
      <c r="B59" s="9" t="s">
        <v>1240</v>
      </c>
      <c r="C59" s="9" t="s">
        <v>1241</v>
      </c>
      <c r="D59" s="9" t="s">
        <v>1246</v>
      </c>
      <c r="E59" s="9" t="s">
        <v>1247</v>
      </c>
      <c r="F59" s="9" t="s">
        <v>1248</v>
      </c>
      <c r="G59" s="9" t="s">
        <v>1249</v>
      </c>
      <c r="L59" s="20">
        <f>$I$14*$L$14</f>
        <v>18004.014613941348</v>
      </c>
      <c r="M59" s="20">
        <f>$I$14*$M$14</f>
        <v>152519.62231332634</v>
      </c>
      <c r="N59" s="20">
        <f>$I$14*$N$14</f>
        <v>0</v>
      </c>
      <c r="O59" s="20">
        <f>$I$14*$O$14</f>
        <v>59370.693392616762</v>
      </c>
      <c r="P59" s="20">
        <f>$I$14*$P$14</f>
        <v>1668998.0043901196</v>
      </c>
      <c r="Q59" s="20">
        <f>$I$14*$Q$14</f>
        <v>0</v>
      </c>
      <c r="R59" s="20">
        <f>$I$14*$R$14</f>
        <v>0</v>
      </c>
      <c r="S59" s="20">
        <f>$I$14*$S$14</f>
        <v>1.3219706633568532E-8</v>
      </c>
      <c r="T59" s="20">
        <f>$I$14*$T$14</f>
        <v>-141344.55295191274</v>
      </c>
      <c r="U59" s="20">
        <f>$I$14*$U$14</f>
        <v>33292.965936633314</v>
      </c>
      <c r="W59" s="20">
        <f>$I$14*$W$14</f>
        <v>16606.895978069566</v>
      </c>
      <c r="X59" s="20">
        <f>$I$14*$X$14</f>
        <v>45271.328782800389</v>
      </c>
      <c r="Y59" s="20">
        <f>$I$14*$Y$14</f>
        <v>0</v>
      </c>
      <c r="Z59" s="20">
        <f>$I$14*$Z$14</f>
        <v>0</v>
      </c>
      <c r="AA59" s="20">
        <f>$I$14*$AA$14</f>
        <v>1551331.6179486397</v>
      </c>
      <c r="AB59" s="20">
        <f>$I$14*$AB$14</f>
        <v>0</v>
      </c>
      <c r="AC59" s="20">
        <f>$I$14*$AC$14</f>
        <v>0</v>
      </c>
      <c r="AD59" s="20">
        <f>$I$14*$AD$14</f>
        <v>1.3411092606104316E-8</v>
      </c>
      <c r="AE59" s="20">
        <f>$I$14*$AE$14</f>
        <v>0</v>
      </c>
      <c r="AF59" s="20">
        <f>$I$14*$AF$14</f>
        <v>31959.178964231964</v>
      </c>
    </row>
    <row r="60" spans="1:32" ht="11.25" customHeight="1" x14ac:dyDescent="0.25">
      <c r="A60" s="9" t="s">
        <v>22</v>
      </c>
      <c r="B60" s="9" t="s">
        <v>1240</v>
      </c>
      <c r="C60" s="9" t="s">
        <v>1241</v>
      </c>
      <c r="D60" s="9" t="s">
        <v>1250</v>
      </c>
      <c r="E60" s="9" t="s">
        <v>1251</v>
      </c>
      <c r="F60" s="9" t="s">
        <v>1252</v>
      </c>
      <c r="G60" s="9" t="s">
        <v>1253</v>
      </c>
      <c r="L60" s="20">
        <f>$I$15*$L$15</f>
        <v>49478.630278157907</v>
      </c>
      <c r="M60" s="20">
        <f>$I$15*$M$15</f>
        <v>419154.40330523718</v>
      </c>
      <c r="N60" s="20">
        <f>$I$15*$N$15</f>
        <v>0</v>
      </c>
      <c r="O60" s="20">
        <f>$I$15*$O$15</f>
        <v>163162.5307311432</v>
      </c>
      <c r="P60" s="20">
        <f>$I$15*$P$15</f>
        <v>4586740.0668657944</v>
      </c>
      <c r="Q60" s="20">
        <f>$I$15*$Q$15</f>
        <v>0</v>
      </c>
      <c r="R60" s="20">
        <f>$I$15*$R$15</f>
        <v>0</v>
      </c>
      <c r="S60" s="20">
        <f>$I$15*$S$15</f>
        <v>3.6330395799698707E-8</v>
      </c>
      <c r="T60" s="20">
        <f>$I$15*$T$15</f>
        <v>-388443.07935207861</v>
      </c>
      <c r="U60" s="20">
        <f>$I$15*$U$15</f>
        <v>91495.724024041338</v>
      </c>
      <c r="W60" s="20">
        <f>$I$15*$W$15</f>
        <v>45639.069051324979</v>
      </c>
      <c r="X60" s="20">
        <f>$I$15*$X$15</f>
        <v>124414.65901225165</v>
      </c>
      <c r="Y60" s="20">
        <f>$I$15*$Y$15</f>
        <v>0</v>
      </c>
      <c r="Z60" s="20">
        <f>$I$15*$Z$15</f>
        <v>0</v>
      </c>
      <c r="AA60" s="20">
        <f>$I$15*$AA$15</f>
        <v>4263369.3211879516</v>
      </c>
      <c r="AB60" s="20">
        <f>$I$15*$AB$15</f>
        <v>0</v>
      </c>
      <c r="AC60" s="20">
        <f>$I$15*$AC$15</f>
        <v>0</v>
      </c>
      <c r="AD60" s="20">
        <f>$I$15*$AD$15</f>
        <v>3.6856362700891361E-8</v>
      </c>
      <c r="AE60" s="20">
        <f>$I$15*$AE$15</f>
        <v>0</v>
      </c>
      <c r="AF60" s="20">
        <f>$I$15*$AF$15</f>
        <v>87830.210865316709</v>
      </c>
    </row>
    <row r="61" spans="1:32" ht="11.25" customHeight="1" x14ac:dyDescent="0.25">
      <c r="A61" s="9" t="s">
        <v>22</v>
      </c>
      <c r="B61" s="9" t="s">
        <v>1240</v>
      </c>
      <c r="C61" s="9" t="s">
        <v>1241</v>
      </c>
      <c r="D61" s="9" t="s">
        <v>1254</v>
      </c>
      <c r="E61" s="9" t="s">
        <v>1255</v>
      </c>
      <c r="F61" s="9" t="s">
        <v>1256</v>
      </c>
      <c r="G61" s="9" t="s">
        <v>1257</v>
      </c>
      <c r="L61" s="20">
        <f>$I$16*$L$16</f>
        <v>29983.218026011025</v>
      </c>
      <c r="M61" s="20">
        <f>$I$16*$M$16</f>
        <v>254000.52083518138</v>
      </c>
      <c r="N61" s="20">
        <f>$I$16*$N$16</f>
        <v>0</v>
      </c>
      <c r="O61" s="20">
        <f>$I$16*$O$16</f>
        <v>98873.750245006289</v>
      </c>
      <c r="P61" s="20">
        <f>$I$16*$P$16</f>
        <v>2779487.3601055872</v>
      </c>
      <c r="Q61" s="20">
        <f>$I$16*$Q$16</f>
        <v>0</v>
      </c>
      <c r="R61" s="20">
        <f>$I$16*$R$16</f>
        <v>0</v>
      </c>
      <c r="S61" s="20">
        <f>$I$16*$S$16</f>
        <v>2.2015609003519813E-8</v>
      </c>
      <c r="T61" s="20">
        <f>$I$16*$T$16</f>
        <v>-235389.97489285559</v>
      </c>
      <c r="U61" s="20">
        <f>$I$16*$U$16</f>
        <v>55444.8703700595</v>
      </c>
      <c r="W61" s="20">
        <f>$I$16*$W$16</f>
        <v>27656.508480068449</v>
      </c>
      <c r="X61" s="20">
        <f>$I$16*$X$16</f>
        <v>75393.19148135143</v>
      </c>
      <c r="Y61" s="20">
        <f>$I$16*$Y$16</f>
        <v>0</v>
      </c>
      <c r="Z61" s="20">
        <f>$I$16*$Z$16</f>
        <v>0</v>
      </c>
      <c r="AA61" s="20">
        <f>$I$16*$AA$16</f>
        <v>2583530.1253077467</v>
      </c>
      <c r="AB61" s="20">
        <f>$I$16*$AB$16</f>
        <v>0</v>
      </c>
      <c r="AC61" s="20">
        <f>$I$16*$AC$16</f>
        <v>0</v>
      </c>
      <c r="AD61" s="20">
        <f>$I$16*$AD$16</f>
        <v>2.2334336102153475E-8</v>
      </c>
      <c r="AE61" s="20">
        <f>$I$16*$AE$16</f>
        <v>0</v>
      </c>
      <c r="AF61" s="20">
        <f>$I$16*$AF$16</f>
        <v>53223.631026985648</v>
      </c>
    </row>
    <row r="62" spans="1:32" ht="11.25" customHeight="1" x14ac:dyDescent="0.25">
      <c r="A62" s="9" t="s">
        <v>22</v>
      </c>
      <c r="B62" s="9" t="s">
        <v>1240</v>
      </c>
      <c r="C62" s="9" t="s">
        <v>1241</v>
      </c>
      <c r="D62" s="9" t="s">
        <v>1258</v>
      </c>
      <c r="E62" s="9" t="s">
        <v>1259</v>
      </c>
      <c r="F62" s="9" t="s">
        <v>1260</v>
      </c>
      <c r="G62" s="9" t="s">
        <v>1261</v>
      </c>
      <c r="L62" s="20">
        <f>$I$17*$L$17</f>
        <v>7390.1648621254362</v>
      </c>
      <c r="M62" s="20">
        <f>$I$17*$M$17</f>
        <v>62605.212102626589</v>
      </c>
      <c r="N62" s="20">
        <f>$I$17*$N$17</f>
        <v>0</v>
      </c>
      <c r="O62" s="20">
        <f>$I$17*$O$17</f>
        <v>24370.076427864449</v>
      </c>
      <c r="P62" s="20">
        <f>$I$17*$P$17</f>
        <v>685078.89331807208</v>
      </c>
      <c r="Q62" s="20">
        <f>$I$17*$Q$17</f>
        <v>0</v>
      </c>
      <c r="R62" s="20">
        <f>$I$17*$R$17</f>
        <v>0</v>
      </c>
      <c r="S62" s="20">
        <f>$I$17*$S$17</f>
        <v>5.4263348228652442E-9</v>
      </c>
      <c r="T62" s="20">
        <f>$I$17*$T$17</f>
        <v>-58018.146012234531</v>
      </c>
      <c r="U62" s="20">
        <f>$I$17*$U$17</f>
        <v>13665.869101790549</v>
      </c>
      <c r="W62" s="20">
        <f>$I$17*$W$17</f>
        <v>6816.6851537138855</v>
      </c>
      <c r="X62" s="20">
        <f>$I$17*$X$17</f>
        <v>18582.665611330449</v>
      </c>
      <c r="Y62" s="20">
        <f>$I$17*$Y$17</f>
        <v>0</v>
      </c>
      <c r="Z62" s="20">
        <f>$I$17*$Z$17</f>
        <v>0</v>
      </c>
      <c r="AA62" s="20">
        <f>$I$17*$AA$17</f>
        <v>636779.99925586919</v>
      </c>
      <c r="AB62" s="20">
        <f>$I$17*$AB$17</f>
        <v>0</v>
      </c>
      <c r="AC62" s="20">
        <f>$I$17*$AC$17</f>
        <v>0</v>
      </c>
      <c r="AD62" s="20">
        <f>$I$17*$AD$17</f>
        <v>5.5048936287574786E-9</v>
      </c>
      <c r="AE62" s="20">
        <f>$I$17*$AE$17</f>
        <v>0</v>
      </c>
      <c r="AF62" s="20">
        <f>$I$17*$AF$17</f>
        <v>13118.385341731342</v>
      </c>
    </row>
    <row r="63" spans="1:32" ht="11.25" customHeight="1" x14ac:dyDescent="0.25">
      <c r="A63" s="9" t="s">
        <v>22</v>
      </c>
      <c r="B63" s="9" t="s">
        <v>1262</v>
      </c>
      <c r="C63" s="9" t="s">
        <v>1263</v>
      </c>
      <c r="D63" s="9" t="s">
        <v>1264</v>
      </c>
      <c r="E63" s="9" t="s">
        <v>1265</v>
      </c>
      <c r="F63" s="9" t="s">
        <v>1266</v>
      </c>
      <c r="G63" s="9" t="s">
        <v>1267</v>
      </c>
      <c r="L63" s="20">
        <f>$I$18*$L$18</f>
        <v>0</v>
      </c>
      <c r="M63" s="20">
        <f>$I$18*$M$18</f>
        <v>0</v>
      </c>
      <c r="N63" s="20">
        <f>$I$18*$N$18</f>
        <v>0</v>
      </c>
      <c r="O63" s="20">
        <f>$I$18*$O$18</f>
        <v>0</v>
      </c>
      <c r="P63" s="20">
        <f>$I$18*$P$18</f>
        <v>0</v>
      </c>
      <c r="Q63" s="20">
        <f>$I$18*$Q$18</f>
        <v>0</v>
      </c>
      <c r="R63" s="20">
        <f>$I$18*$R$18</f>
        <v>0</v>
      </c>
      <c r="S63" s="20">
        <f>$I$18*$S$18</f>
        <v>0</v>
      </c>
      <c r="T63" s="20">
        <f>$I$18*$T$18</f>
        <v>0</v>
      </c>
      <c r="U63" s="20">
        <f>$I$18*$U$18</f>
        <v>0</v>
      </c>
      <c r="W63" s="20">
        <f>$I$18*$W$18</f>
        <v>0</v>
      </c>
      <c r="X63" s="20">
        <f>$I$18*$X$18</f>
        <v>0</v>
      </c>
      <c r="Y63" s="20">
        <f>$I$18*$Y$18</f>
        <v>0</v>
      </c>
      <c r="Z63" s="20">
        <f>$I$18*$Z$18</f>
        <v>0</v>
      </c>
      <c r="AA63" s="20">
        <f>$I$18*$AA$18</f>
        <v>0</v>
      </c>
      <c r="AB63" s="20">
        <f>$I$18*$AB$18</f>
        <v>0</v>
      </c>
      <c r="AC63" s="20">
        <f>$I$18*$AC$18</f>
        <v>0</v>
      </c>
      <c r="AD63" s="20">
        <f>$I$18*$AD$18</f>
        <v>0</v>
      </c>
      <c r="AE63" s="20">
        <f>$I$18*$AE$18</f>
        <v>0</v>
      </c>
      <c r="AF63" s="20">
        <f>$I$18*$AF$18</f>
        <v>0</v>
      </c>
    </row>
    <row r="64" spans="1:32" ht="11.25" customHeight="1" x14ac:dyDescent="0.25">
      <c r="A64" s="9" t="s">
        <v>22</v>
      </c>
      <c r="B64" s="9" t="s">
        <v>1262</v>
      </c>
      <c r="C64" s="9" t="s">
        <v>1263</v>
      </c>
      <c r="D64" s="9" t="s">
        <v>1268</v>
      </c>
      <c r="E64" s="9" t="s">
        <v>1269</v>
      </c>
      <c r="F64" s="9" t="s">
        <v>1270</v>
      </c>
      <c r="G64" s="9" t="s">
        <v>1271</v>
      </c>
      <c r="L64" s="20">
        <f>$I$19*$L$19</f>
        <v>0</v>
      </c>
      <c r="M64" s="20">
        <f>$I$19*$M$19</f>
        <v>0</v>
      </c>
      <c r="N64" s="20">
        <f>$I$19*$N$19</f>
        <v>0</v>
      </c>
      <c r="O64" s="20">
        <f>$I$19*$O$19</f>
        <v>0</v>
      </c>
      <c r="P64" s="20">
        <f>$I$19*$P$19</f>
        <v>0</v>
      </c>
      <c r="Q64" s="20">
        <f>$I$19*$Q$19</f>
        <v>0</v>
      </c>
      <c r="R64" s="20">
        <f>$I$19*$R$19</f>
        <v>0</v>
      </c>
      <c r="S64" s="20">
        <f>$I$19*$S$19</f>
        <v>0</v>
      </c>
      <c r="T64" s="20">
        <f>$I$19*$T$19</f>
        <v>0</v>
      </c>
      <c r="U64" s="20">
        <f>$I$19*$U$19</f>
        <v>0</v>
      </c>
      <c r="W64" s="20">
        <f>$I$19*$W$19</f>
        <v>0</v>
      </c>
      <c r="X64" s="20">
        <f>$I$19*$X$19</f>
        <v>0</v>
      </c>
      <c r="Y64" s="20">
        <f>$I$19*$Y$19</f>
        <v>0</v>
      </c>
      <c r="Z64" s="20">
        <f>$I$19*$Z$19</f>
        <v>0</v>
      </c>
      <c r="AA64" s="20">
        <f>$I$19*$AA$19</f>
        <v>0</v>
      </c>
      <c r="AB64" s="20">
        <f>$I$19*$AB$19</f>
        <v>0</v>
      </c>
      <c r="AC64" s="20">
        <f>$I$19*$AC$19</f>
        <v>0</v>
      </c>
      <c r="AD64" s="20">
        <f>$I$19*$AD$19</f>
        <v>0</v>
      </c>
      <c r="AE64" s="20">
        <f>$I$19*$AE$19</f>
        <v>0</v>
      </c>
      <c r="AF64" s="20">
        <f>$I$19*$AF$19</f>
        <v>0</v>
      </c>
    </row>
    <row r="65" spans="1:32" ht="11.25" customHeight="1" x14ac:dyDescent="0.25">
      <c r="A65" s="9" t="s">
        <v>22</v>
      </c>
      <c r="B65" s="9" t="s">
        <v>1262</v>
      </c>
      <c r="C65" s="9" t="s">
        <v>1263</v>
      </c>
      <c r="D65" s="9" t="s">
        <v>1272</v>
      </c>
      <c r="E65" s="9" t="s">
        <v>1273</v>
      </c>
      <c r="F65" s="9" t="s">
        <v>1274</v>
      </c>
      <c r="G65" s="9" t="s">
        <v>1275</v>
      </c>
      <c r="L65" s="20">
        <f>$I$20*$L$20</f>
        <v>0</v>
      </c>
      <c r="M65" s="20">
        <f>$I$20*$M$20</f>
        <v>0</v>
      </c>
      <c r="N65" s="20">
        <f>$I$20*$N$20</f>
        <v>0</v>
      </c>
      <c r="O65" s="20">
        <f>$I$20*$O$20</f>
        <v>0</v>
      </c>
      <c r="P65" s="20">
        <f>$I$20*$P$20</f>
        <v>0</v>
      </c>
      <c r="Q65" s="20">
        <f>$I$20*$Q$20</f>
        <v>0</v>
      </c>
      <c r="R65" s="20">
        <f>$I$20*$R$20</f>
        <v>0</v>
      </c>
      <c r="S65" s="20">
        <f>$I$20*$S$20</f>
        <v>0</v>
      </c>
      <c r="T65" s="20">
        <f>$I$20*$T$20</f>
        <v>0</v>
      </c>
      <c r="U65" s="20">
        <f>$I$20*$U$20</f>
        <v>0</v>
      </c>
      <c r="W65" s="20">
        <f>$I$20*$W$20</f>
        <v>0</v>
      </c>
      <c r="X65" s="20">
        <f>$I$20*$X$20</f>
        <v>0</v>
      </c>
      <c r="Y65" s="20">
        <f>$I$20*$Y$20</f>
        <v>0</v>
      </c>
      <c r="Z65" s="20">
        <f>$I$20*$Z$20</f>
        <v>0</v>
      </c>
      <c r="AA65" s="20">
        <f>$I$20*$AA$20</f>
        <v>0</v>
      </c>
      <c r="AB65" s="20">
        <f>$I$20*$AB$20</f>
        <v>0</v>
      </c>
      <c r="AC65" s="20">
        <f>$I$20*$AC$20</f>
        <v>0</v>
      </c>
      <c r="AD65" s="20">
        <f>$I$20*$AD$20</f>
        <v>0</v>
      </c>
      <c r="AE65" s="20">
        <f>$I$20*$AE$20</f>
        <v>0</v>
      </c>
      <c r="AF65" s="20">
        <f>$I$20*$AF$20</f>
        <v>0</v>
      </c>
    </row>
    <row r="66" spans="1:32" ht="11.25" customHeight="1" x14ac:dyDescent="0.25">
      <c r="A66" s="9" t="s">
        <v>22</v>
      </c>
      <c r="B66" s="9" t="s">
        <v>1262</v>
      </c>
      <c r="C66" s="9" t="s">
        <v>1263</v>
      </c>
      <c r="D66" s="9" t="s">
        <v>1276</v>
      </c>
      <c r="E66" s="9" t="s">
        <v>1277</v>
      </c>
      <c r="F66" s="9" t="s">
        <v>1278</v>
      </c>
      <c r="G66" s="9" t="s">
        <v>1279</v>
      </c>
      <c r="L66" s="20">
        <f>$I$21*$L$21</f>
        <v>0</v>
      </c>
      <c r="M66" s="20">
        <f>$I$21*$M$21</f>
        <v>0</v>
      </c>
      <c r="N66" s="20">
        <f>$I$21*$N$21</f>
        <v>0</v>
      </c>
      <c r="O66" s="20">
        <f>$I$21*$O$21</f>
        <v>0</v>
      </c>
      <c r="P66" s="20">
        <f>$I$21*$P$21</f>
        <v>0</v>
      </c>
      <c r="Q66" s="20">
        <f>$I$21*$Q$21</f>
        <v>0</v>
      </c>
      <c r="R66" s="20">
        <f>$I$21*$R$21</f>
        <v>0</v>
      </c>
      <c r="S66" s="20">
        <f>$I$21*$S$21</f>
        <v>0</v>
      </c>
      <c r="T66" s="20">
        <f>$I$21*$T$21</f>
        <v>0</v>
      </c>
      <c r="U66" s="20">
        <f>$I$21*$U$21</f>
        <v>0</v>
      </c>
      <c r="W66" s="20">
        <f>$I$21*$W$21</f>
        <v>0</v>
      </c>
      <c r="X66" s="20">
        <f>$I$21*$X$21</f>
        <v>0</v>
      </c>
      <c r="Y66" s="20">
        <f>$I$21*$Y$21</f>
        <v>0</v>
      </c>
      <c r="Z66" s="20">
        <f>$I$21*$Z$21</f>
        <v>0</v>
      </c>
      <c r="AA66" s="20">
        <f>$I$21*$AA$21</f>
        <v>0</v>
      </c>
      <c r="AB66" s="20">
        <f>$I$21*$AB$21</f>
        <v>0</v>
      </c>
      <c r="AC66" s="20">
        <f>$I$21*$AC$21</f>
        <v>0</v>
      </c>
      <c r="AD66" s="20">
        <f>$I$21*$AD$21</f>
        <v>0</v>
      </c>
      <c r="AE66" s="20">
        <f>$I$21*$AE$21</f>
        <v>0</v>
      </c>
      <c r="AF66" s="20">
        <f>$I$21*$AF$21</f>
        <v>0</v>
      </c>
    </row>
    <row r="67" spans="1:32" ht="11.25" customHeight="1" x14ac:dyDescent="0.25">
      <c r="A67" s="9" t="s">
        <v>22</v>
      </c>
      <c r="B67" s="9" t="s">
        <v>1262</v>
      </c>
      <c r="C67" s="9" t="s">
        <v>1263</v>
      </c>
      <c r="D67" s="9" t="s">
        <v>1280</v>
      </c>
      <c r="E67" s="9" t="s">
        <v>1281</v>
      </c>
      <c r="F67" s="9" t="s">
        <v>1282</v>
      </c>
      <c r="G67" s="9" t="s">
        <v>1283</v>
      </c>
      <c r="L67" s="20">
        <f>$I$22*$L$22</f>
        <v>0</v>
      </c>
      <c r="M67" s="20">
        <f>$I$22*$M$22</f>
        <v>0</v>
      </c>
      <c r="N67" s="20">
        <f>$I$22*$N$22</f>
        <v>0</v>
      </c>
      <c r="O67" s="20">
        <f>$I$22*$O$22</f>
        <v>0</v>
      </c>
      <c r="P67" s="20">
        <f>$I$22*$P$22</f>
        <v>0</v>
      </c>
      <c r="Q67" s="20">
        <f>$I$22*$Q$22</f>
        <v>0</v>
      </c>
      <c r="R67" s="20">
        <f>$I$22*$R$22</f>
        <v>0</v>
      </c>
      <c r="S67" s="20">
        <f>$I$22*$S$22</f>
        <v>0</v>
      </c>
      <c r="T67" s="20">
        <f>$I$22*$T$22</f>
        <v>0</v>
      </c>
      <c r="U67" s="20">
        <f>$I$22*$U$22</f>
        <v>0</v>
      </c>
      <c r="W67" s="20">
        <f>$I$22*$W$22</f>
        <v>0</v>
      </c>
      <c r="X67" s="20">
        <f>$I$22*$X$22</f>
        <v>0</v>
      </c>
      <c r="Y67" s="20">
        <f>$I$22*$Y$22</f>
        <v>0</v>
      </c>
      <c r="Z67" s="20">
        <f>$I$22*$Z$22</f>
        <v>0</v>
      </c>
      <c r="AA67" s="20">
        <f>$I$22*$AA$22</f>
        <v>0</v>
      </c>
      <c r="AB67" s="20">
        <f>$I$22*$AB$22</f>
        <v>0</v>
      </c>
      <c r="AC67" s="20">
        <f>$I$22*$AC$22</f>
        <v>0</v>
      </c>
      <c r="AD67" s="20">
        <f>$I$22*$AD$22</f>
        <v>0</v>
      </c>
      <c r="AE67" s="20">
        <f>$I$22*$AE$22</f>
        <v>0</v>
      </c>
      <c r="AF67" s="20">
        <f>$I$22*$AF$22</f>
        <v>0</v>
      </c>
    </row>
    <row r="68" spans="1:32" ht="11.25" customHeight="1" x14ac:dyDescent="0.25">
      <c r="A68" s="9" t="s">
        <v>43</v>
      </c>
      <c r="B68" s="9" t="s">
        <v>1284</v>
      </c>
      <c r="C68" s="9" t="s">
        <v>1285</v>
      </c>
      <c r="D68" s="9" t="s">
        <v>1286</v>
      </c>
      <c r="E68" s="9" t="s">
        <v>1287</v>
      </c>
      <c r="F68" s="9" t="s">
        <v>1288</v>
      </c>
      <c r="G68" s="9" t="s">
        <v>1289</v>
      </c>
      <c r="L68" s="20">
        <f>$I$23*$L$23</f>
        <v>0.39342768309178383</v>
      </c>
      <c r="M68" s="20">
        <f>$I$23*$M$23</f>
        <v>3.3328922976046078</v>
      </c>
      <c r="N68" s="20">
        <f>$I$23*$N$23</f>
        <v>0</v>
      </c>
      <c r="O68" s="20">
        <f>$I$23*$O$23</f>
        <v>1.2973814366337295</v>
      </c>
      <c r="P68" s="20">
        <f>$I$23*$P$23</f>
        <v>59.179863286950521</v>
      </c>
      <c r="Q68" s="20">
        <f>$I$23*$Q$23</f>
        <v>0</v>
      </c>
      <c r="R68" s="20">
        <f>$I$23*$R$23</f>
        <v>0</v>
      </c>
      <c r="S68" s="20">
        <f>$I$23*$S$23</f>
        <v>2.8887993392154749E-13</v>
      </c>
      <c r="T68" s="20">
        <f>$I$23*$T$23</f>
        <v>-4.7830429387517475</v>
      </c>
      <c r="U68" s="20">
        <f>$I$23*$U$23</f>
        <v>0.72752520660367836</v>
      </c>
      <c r="W68" s="20">
        <f>$I$23*$W$23</f>
        <v>0.33973386694674496</v>
      </c>
      <c r="X68" s="20">
        <f>$I$23*$X$23</f>
        <v>0.92613355376638296</v>
      </c>
      <c r="Y68" s="20">
        <f>$I$23*$Y$23</f>
        <v>0</v>
      </c>
      <c r="Z68" s="20">
        <f>$I$23*$Z$23</f>
        <v>0</v>
      </c>
      <c r="AA68" s="20">
        <f>$I$23*$AA$23</f>
        <v>51.496486937175767</v>
      </c>
      <c r="AB68" s="20">
        <f>$I$23*$AB$23</f>
        <v>0</v>
      </c>
      <c r="AC68" s="20">
        <f>$I$23*$AC$23</f>
        <v>0</v>
      </c>
      <c r="AD68" s="20">
        <f>$I$23*$AD$23</f>
        <v>2.7435604805795501E-13</v>
      </c>
      <c r="AE68" s="20">
        <f>$I$23*$AE$23</f>
        <v>0</v>
      </c>
      <c r="AF68" s="20">
        <f>$I$23*$AF$23</f>
        <v>0.65380161761112487</v>
      </c>
    </row>
    <row r="69" spans="1:32" ht="11.25" customHeight="1" x14ac:dyDescent="0.25">
      <c r="A69" s="9" t="s">
        <v>43</v>
      </c>
      <c r="B69" s="9" t="s">
        <v>1284</v>
      </c>
      <c r="C69" s="9" t="s">
        <v>1285</v>
      </c>
      <c r="D69" s="9" t="s">
        <v>1286</v>
      </c>
      <c r="E69" s="9" t="s">
        <v>1287</v>
      </c>
      <c r="F69" s="9" t="s">
        <v>1288</v>
      </c>
      <c r="G69" s="9" t="s">
        <v>1290</v>
      </c>
      <c r="L69" s="20">
        <f>$I$24*$L$24</f>
        <v>0.34365671113438939</v>
      </c>
      <c r="M69" s="20">
        <f>$I$24*$M$24</f>
        <v>2.9112613442931807</v>
      </c>
      <c r="N69" s="20">
        <f>$I$24*$N$24</f>
        <v>0</v>
      </c>
      <c r="O69" s="20">
        <f>$I$24*$O$24</f>
        <v>1.1332548693487394</v>
      </c>
      <c r="P69" s="20">
        <f>$I$24*$P$24</f>
        <v>30.054217486017869</v>
      </c>
      <c r="Q69" s="20">
        <f>$I$24*$Q$24</f>
        <v>0</v>
      </c>
      <c r="R69" s="20">
        <f>$I$24*$R$24</f>
        <v>0</v>
      </c>
      <c r="S69" s="20">
        <f>$I$24*$S$24</f>
        <v>2.5233488203990587E-13</v>
      </c>
      <c r="T69" s="20">
        <f>$I$24*$T$24</f>
        <v>-2.5634081315168022</v>
      </c>
      <c r="U69" s="20">
        <f>$I$24*$U$24</f>
        <v>0.6354888852863454</v>
      </c>
      <c r="W69" s="20">
        <f>$I$24*$W$24</f>
        <v>0.29675548618842168</v>
      </c>
      <c r="X69" s="20">
        <f>$I$24*$X$24</f>
        <v>0.8089720800971415</v>
      </c>
      <c r="Y69" s="20">
        <f>$I$24*$Y$24</f>
        <v>0</v>
      </c>
      <c r="Z69" s="20">
        <f>$I$24*$Z$24</f>
        <v>0</v>
      </c>
      <c r="AA69" s="20">
        <f>$I$24*$AA$24</f>
        <v>26.152250651059394</v>
      </c>
      <c r="AB69" s="20">
        <f>$I$24*$AB$24</f>
        <v>0</v>
      </c>
      <c r="AC69" s="20">
        <f>$I$24*$AC$24</f>
        <v>0</v>
      </c>
      <c r="AD69" s="20">
        <f>$I$24*$AD$24</f>
        <v>2.3964835523134616E-13</v>
      </c>
      <c r="AE69" s="20">
        <f>$I$24*$AE$24</f>
        <v>0</v>
      </c>
      <c r="AF69" s="20">
        <f>$I$24*$AF$24</f>
        <v>0.57109177441935599</v>
      </c>
    </row>
    <row r="70" spans="1:32" ht="11.25" customHeight="1" x14ac:dyDescent="0.25">
      <c r="A70" s="9" t="s">
        <v>43</v>
      </c>
      <c r="B70" s="9" t="s">
        <v>1284</v>
      </c>
      <c r="C70" s="9" t="s">
        <v>1285</v>
      </c>
      <c r="D70" s="9" t="s">
        <v>1286</v>
      </c>
      <c r="E70" s="9" t="s">
        <v>1287</v>
      </c>
      <c r="F70" s="9" t="s">
        <v>1288</v>
      </c>
      <c r="G70" s="9" t="s">
        <v>1291</v>
      </c>
      <c r="L70" s="20">
        <f>$I$25*$L$25</f>
        <v>7.9870559760199473</v>
      </c>
      <c r="M70" s="20">
        <f>$I$25*$M$25</f>
        <v>67.661729174262206</v>
      </c>
      <c r="N70" s="20">
        <f>$I$25*$N$25</f>
        <v>0</v>
      </c>
      <c r="O70" s="20">
        <f>$I$25*$O$25</f>
        <v>26.338406273829325</v>
      </c>
      <c r="P70" s="20">
        <f>$I$25*$P$25</f>
        <v>698.50146846813948</v>
      </c>
      <c r="Q70" s="20">
        <f>$I$25*$Q$25</f>
        <v>0</v>
      </c>
      <c r="R70" s="20">
        <f>$I$25*$R$25</f>
        <v>0</v>
      </c>
      <c r="S70" s="20">
        <f>$I$25*$S$25</f>
        <v>5.8646107067205715E-12</v>
      </c>
      <c r="T70" s="20">
        <f>$I$25*$T$25</f>
        <v>-59.577140711804304</v>
      </c>
      <c r="U70" s="20">
        <f>$I$25*$U$25</f>
        <v>14.769638230448166</v>
      </c>
      <c r="W70" s="20">
        <f>$I$25*$W$25</f>
        <v>6.8970068169309053</v>
      </c>
      <c r="X70" s="20">
        <f>$I$25*$X$25</f>
        <v>18.801626965016325</v>
      </c>
      <c r="Y70" s="20">
        <f>$I$25*$Y$25</f>
        <v>0</v>
      </c>
      <c r="Z70" s="20">
        <f>$I$25*$Z$25</f>
        <v>0</v>
      </c>
      <c r="AA70" s="20">
        <f>$I$25*$AA$25</f>
        <v>607.81437720048393</v>
      </c>
      <c r="AB70" s="20">
        <f>$I$25*$AB$25</f>
        <v>0</v>
      </c>
      <c r="AC70" s="20">
        <f>$I$25*$AC$25</f>
        <v>0</v>
      </c>
      <c r="AD70" s="20">
        <f>$I$25*$AD$25</f>
        <v>5.5697583250319774E-12</v>
      </c>
      <c r="AE70" s="20">
        <f>$I$25*$AE$25</f>
        <v>0</v>
      </c>
      <c r="AF70" s="20">
        <f>$I$25*$AF$25</f>
        <v>13.272960550298135</v>
      </c>
    </row>
    <row r="71" spans="1:32" ht="11.25" customHeight="1" x14ac:dyDescent="0.25">
      <c r="A71" s="9" t="s">
        <v>43</v>
      </c>
      <c r="B71" s="9" t="s">
        <v>1292</v>
      </c>
      <c r="C71" s="9" t="s">
        <v>1293</v>
      </c>
      <c r="D71" s="9" t="s">
        <v>1294</v>
      </c>
      <c r="E71" s="9" t="s">
        <v>1295</v>
      </c>
      <c r="F71" s="9" t="s">
        <v>1296</v>
      </c>
      <c r="G71" s="9" t="s">
        <v>1297</v>
      </c>
      <c r="L71" s="20">
        <f>$I$26*$L$26</f>
        <v>56268.652928005809</v>
      </c>
      <c r="M71" s="20">
        <f>$I$26*$M$26</f>
        <v>476675.556906824</v>
      </c>
      <c r="N71" s="20">
        <f>$I$26*$N$26</f>
        <v>0</v>
      </c>
      <c r="O71" s="20">
        <f>$I$26*$O$26</f>
        <v>185553.55637277328</v>
      </c>
      <c r="P71" s="20">
        <f>$I$26*$P$26</f>
        <v>5216184.9154377654</v>
      </c>
      <c r="Q71" s="20">
        <f>$I$26*$Q$26</f>
        <v>0</v>
      </c>
      <c r="R71" s="20">
        <f>$I$26*$R$26</f>
        <v>0</v>
      </c>
      <c r="S71" s="20">
        <f>$I$26*$S$26</f>
        <v>4.1316067572969087E-8</v>
      </c>
      <c r="T71" s="20">
        <f>$I$26*$T$26</f>
        <v>-441749.67438410816</v>
      </c>
      <c r="U71" s="20">
        <f>$I$26*$U$26</f>
        <v>104051.81207649749</v>
      </c>
      <c r="W71" s="20">
        <f>$I$26*$W$26</f>
        <v>48589.277950367272</v>
      </c>
      <c r="X71" s="20">
        <f>$I$26*$X$26</f>
        <v>132457.09374676563</v>
      </c>
      <c r="Y71" s="20">
        <f>$I$26*$Y$26</f>
        <v>0</v>
      </c>
      <c r="Z71" s="20">
        <f>$I$26*$Z$26</f>
        <v>0</v>
      </c>
      <c r="AA71" s="20">
        <f>$I$26*$AA$26</f>
        <v>4538962.8066100143</v>
      </c>
      <c r="AB71" s="20">
        <f>$I$26*$AB$26</f>
        <v>0</v>
      </c>
      <c r="AC71" s="20">
        <f>$I$26*$AC$26</f>
        <v>0</v>
      </c>
      <c r="AD71" s="20">
        <f>$I$26*$AD$26</f>
        <v>3.9238838318529969E-8</v>
      </c>
      <c r="AE71" s="20">
        <f>$I$26*$AE$26</f>
        <v>0</v>
      </c>
      <c r="AF71" s="20">
        <f>$I$26*$AF$26</f>
        <v>93507.747131628916</v>
      </c>
    </row>
    <row r="72" spans="1:32" ht="11.25" customHeight="1" x14ac:dyDescent="0.25">
      <c r="A72" s="9" t="s">
        <v>43</v>
      </c>
      <c r="B72" s="9" t="s">
        <v>1284</v>
      </c>
      <c r="C72" s="9" t="s">
        <v>1285</v>
      </c>
      <c r="D72" s="9" t="s">
        <v>1298</v>
      </c>
      <c r="E72" s="9" t="s">
        <v>1299</v>
      </c>
      <c r="F72" s="9" t="s">
        <v>1300</v>
      </c>
      <c r="G72" s="9" t="s">
        <v>1301</v>
      </c>
      <c r="L72" s="20">
        <f>$I$27*$L$27</f>
        <v>0</v>
      </c>
      <c r="M72" s="20">
        <f>$I$27*$M$27</f>
        <v>0</v>
      </c>
      <c r="N72" s="20">
        <f>$I$27*$N$27</f>
        <v>0</v>
      </c>
      <c r="O72" s="20">
        <f>$I$27*$O$27</f>
        <v>0</v>
      </c>
      <c r="P72" s="20">
        <f>$I$27*$P$27</f>
        <v>0</v>
      </c>
      <c r="Q72" s="20">
        <f>$I$27*$Q$27</f>
        <v>0</v>
      </c>
      <c r="R72" s="20">
        <f>$I$27*$R$27</f>
        <v>0</v>
      </c>
      <c r="S72" s="20">
        <f>$I$27*$S$27</f>
        <v>0</v>
      </c>
      <c r="T72" s="20">
        <f>$I$27*$T$27</f>
        <v>0</v>
      </c>
      <c r="U72" s="20">
        <f>$I$27*$U$27</f>
        <v>0</v>
      </c>
      <c r="W72" s="20">
        <f>$I$27*$W$27</f>
        <v>0</v>
      </c>
      <c r="X72" s="20">
        <f>$I$27*$X$27</f>
        <v>0</v>
      </c>
      <c r="Y72" s="20">
        <f>$I$27*$Y$27</f>
        <v>0</v>
      </c>
      <c r="Z72" s="20">
        <f>$I$27*$Z$27</f>
        <v>0</v>
      </c>
      <c r="AA72" s="20">
        <f>$I$27*$AA$27</f>
        <v>0</v>
      </c>
      <c r="AB72" s="20">
        <f>$I$27*$AB$27</f>
        <v>0</v>
      </c>
      <c r="AC72" s="20">
        <f>$I$27*$AC$27</f>
        <v>0</v>
      </c>
      <c r="AD72" s="20">
        <f>$I$27*$AD$27</f>
        <v>0</v>
      </c>
      <c r="AE72" s="20">
        <f>$I$27*$AE$27</f>
        <v>0</v>
      </c>
      <c r="AF72" s="20">
        <f>$I$27*$AF$27</f>
        <v>0</v>
      </c>
    </row>
    <row r="73" spans="1:32" ht="11.25" customHeight="1" x14ac:dyDescent="0.25">
      <c r="A73" s="9" t="s">
        <v>43</v>
      </c>
      <c r="B73" s="9" t="s">
        <v>1284</v>
      </c>
      <c r="C73" s="9" t="s">
        <v>1285</v>
      </c>
      <c r="D73" s="9" t="s">
        <v>1298</v>
      </c>
      <c r="E73" s="9" t="s">
        <v>1299</v>
      </c>
      <c r="F73" s="9" t="s">
        <v>1300</v>
      </c>
      <c r="G73" s="9" t="s">
        <v>1302</v>
      </c>
      <c r="L73" s="20">
        <f>$I$28*$L$28</f>
        <v>0</v>
      </c>
      <c r="M73" s="20">
        <f>$I$28*$M$28</f>
        <v>0</v>
      </c>
      <c r="N73" s="20">
        <f>$I$28*$N$28</f>
        <v>0</v>
      </c>
      <c r="O73" s="20">
        <f>$I$28*$O$28</f>
        <v>0</v>
      </c>
      <c r="P73" s="20">
        <f>$I$28*$P$28</f>
        <v>0</v>
      </c>
      <c r="Q73" s="20">
        <f>$I$28*$Q$28</f>
        <v>0</v>
      </c>
      <c r="R73" s="20">
        <f>$I$28*$R$28</f>
        <v>0</v>
      </c>
      <c r="S73" s="20">
        <f>$I$28*$S$28</f>
        <v>0</v>
      </c>
      <c r="T73" s="20">
        <f>$I$28*$T$28</f>
        <v>0</v>
      </c>
      <c r="U73" s="20">
        <f>$I$28*$U$28</f>
        <v>0</v>
      </c>
      <c r="W73" s="20">
        <f>$I$28*$W$28</f>
        <v>0</v>
      </c>
      <c r="X73" s="20">
        <f>$I$28*$X$28</f>
        <v>0</v>
      </c>
      <c r="Y73" s="20">
        <f>$I$28*$Y$28</f>
        <v>0</v>
      </c>
      <c r="Z73" s="20">
        <f>$I$28*$Z$28</f>
        <v>0</v>
      </c>
      <c r="AA73" s="20">
        <f>$I$28*$AA$28</f>
        <v>0</v>
      </c>
      <c r="AB73" s="20">
        <f>$I$28*$AB$28</f>
        <v>0</v>
      </c>
      <c r="AC73" s="20">
        <f>$I$28*$AC$28</f>
        <v>0</v>
      </c>
      <c r="AD73" s="20">
        <f>$I$28*$AD$28</f>
        <v>0</v>
      </c>
      <c r="AE73" s="20">
        <f>$I$28*$AE$28</f>
        <v>0</v>
      </c>
      <c r="AF73" s="20">
        <f>$I$28*$AF$28</f>
        <v>0</v>
      </c>
    </row>
    <row r="74" spans="1:32" ht="11.25" customHeight="1" x14ac:dyDescent="0.25">
      <c r="A74" s="9" t="s">
        <v>43</v>
      </c>
      <c r="B74" s="9" t="s">
        <v>1284</v>
      </c>
      <c r="C74" s="9" t="s">
        <v>1285</v>
      </c>
      <c r="D74" s="9" t="s">
        <v>1298</v>
      </c>
      <c r="E74" s="9" t="s">
        <v>1299</v>
      </c>
      <c r="F74" s="9" t="s">
        <v>1300</v>
      </c>
      <c r="G74" s="9" t="s">
        <v>1303</v>
      </c>
      <c r="L74" s="20">
        <f>$I$29*$L$29</f>
        <v>0</v>
      </c>
      <c r="M74" s="20">
        <f>$I$29*$M$29</f>
        <v>0</v>
      </c>
      <c r="N74" s="20">
        <f>$I$29*$N$29</f>
        <v>0</v>
      </c>
      <c r="O74" s="20">
        <f>$I$29*$O$29</f>
        <v>0</v>
      </c>
      <c r="P74" s="20">
        <f>$I$29*$P$29</f>
        <v>0</v>
      </c>
      <c r="Q74" s="20">
        <f>$I$29*$Q$29</f>
        <v>0</v>
      </c>
      <c r="R74" s="20">
        <f>$I$29*$R$29</f>
        <v>0</v>
      </c>
      <c r="S74" s="20">
        <f>$I$29*$S$29</f>
        <v>0</v>
      </c>
      <c r="T74" s="20">
        <f>$I$29*$T$29</f>
        <v>0</v>
      </c>
      <c r="U74" s="20">
        <f>$I$29*$U$29</f>
        <v>0</v>
      </c>
      <c r="W74" s="20">
        <f>$I$29*$W$29</f>
        <v>0</v>
      </c>
      <c r="X74" s="20">
        <f>$I$29*$X$29</f>
        <v>0</v>
      </c>
      <c r="Y74" s="20">
        <f>$I$29*$Y$29</f>
        <v>0</v>
      </c>
      <c r="Z74" s="20">
        <f>$I$29*$Z$29</f>
        <v>0</v>
      </c>
      <c r="AA74" s="20">
        <f>$I$29*$AA$29</f>
        <v>0</v>
      </c>
      <c r="AB74" s="20">
        <f>$I$29*$AB$29</f>
        <v>0</v>
      </c>
      <c r="AC74" s="20">
        <f>$I$29*$AC$29</f>
        <v>0</v>
      </c>
      <c r="AD74" s="20">
        <f>$I$29*$AD$29</f>
        <v>0</v>
      </c>
      <c r="AE74" s="20">
        <f>$I$29*$AE$29</f>
        <v>0</v>
      </c>
      <c r="AF74" s="20">
        <f>$I$29*$AF$29</f>
        <v>0</v>
      </c>
    </row>
    <row r="75" spans="1:32" ht="11.25" customHeight="1" x14ac:dyDescent="0.25">
      <c r="A75" s="9" t="s">
        <v>43</v>
      </c>
      <c r="B75" s="9" t="s">
        <v>1292</v>
      </c>
      <c r="C75" s="9" t="s">
        <v>1293</v>
      </c>
      <c r="D75" s="9" t="s">
        <v>1304</v>
      </c>
      <c r="E75" s="9" t="s">
        <v>1305</v>
      </c>
      <c r="F75" s="9" t="s">
        <v>1306</v>
      </c>
      <c r="G75" s="9" t="s">
        <v>1307</v>
      </c>
      <c r="L75" s="20">
        <f>$I$30*$L$30</f>
        <v>0</v>
      </c>
      <c r="M75" s="20">
        <f>$I$30*$M$30</f>
        <v>0</v>
      </c>
      <c r="N75" s="20">
        <f>$I$30*$N$30</f>
        <v>0</v>
      </c>
      <c r="O75" s="20">
        <f>$I$30*$O$30</f>
        <v>0</v>
      </c>
      <c r="P75" s="20">
        <f>$I$30*$P$30</f>
        <v>0</v>
      </c>
      <c r="Q75" s="20">
        <f>$I$30*$Q$30</f>
        <v>0</v>
      </c>
      <c r="R75" s="20">
        <f>$I$30*$R$30</f>
        <v>0</v>
      </c>
      <c r="S75" s="20">
        <f>$I$30*$S$30</f>
        <v>0</v>
      </c>
      <c r="T75" s="20">
        <f>$I$30*$T$30</f>
        <v>0</v>
      </c>
      <c r="U75" s="20">
        <f>$I$30*$U$30</f>
        <v>0</v>
      </c>
      <c r="W75" s="20">
        <f>$I$30*$W$30</f>
        <v>0</v>
      </c>
      <c r="X75" s="20">
        <f>$I$30*$X$30</f>
        <v>0</v>
      </c>
      <c r="Y75" s="20">
        <f>$I$30*$Y$30</f>
        <v>0</v>
      </c>
      <c r="Z75" s="20">
        <f>$I$30*$Z$30</f>
        <v>0</v>
      </c>
      <c r="AA75" s="20">
        <f>$I$30*$AA$30</f>
        <v>0</v>
      </c>
      <c r="AB75" s="20">
        <f>$I$30*$AB$30</f>
        <v>0</v>
      </c>
      <c r="AC75" s="20">
        <f>$I$30*$AC$30</f>
        <v>0</v>
      </c>
      <c r="AD75" s="20">
        <f>$I$30*$AD$30</f>
        <v>0</v>
      </c>
      <c r="AE75" s="20">
        <f>$I$30*$AE$30</f>
        <v>0</v>
      </c>
      <c r="AF75" s="20">
        <f>$I$30*$AF$30</f>
        <v>0</v>
      </c>
    </row>
    <row r="76" spans="1:32" ht="11.25" customHeight="1" x14ac:dyDescent="0.25">
      <c r="A76" s="9" t="s">
        <v>43</v>
      </c>
      <c r="B76" s="9" t="s">
        <v>1284</v>
      </c>
      <c r="C76" s="9" t="s">
        <v>1285</v>
      </c>
      <c r="D76" s="9" t="s">
        <v>1308</v>
      </c>
      <c r="E76" s="9" t="s">
        <v>1309</v>
      </c>
      <c r="F76" s="9" t="s">
        <v>1310</v>
      </c>
      <c r="G76" s="9" t="s">
        <v>1311</v>
      </c>
      <c r="L76" s="20">
        <f>$I$31*$L$31</f>
        <v>0</v>
      </c>
      <c r="M76" s="20">
        <f>$I$31*$M$31</f>
        <v>0</v>
      </c>
      <c r="N76" s="20">
        <f>$I$31*$N$31</f>
        <v>0</v>
      </c>
      <c r="O76" s="20">
        <f>$I$31*$O$31</f>
        <v>0</v>
      </c>
      <c r="P76" s="20">
        <f>$I$31*$P$31</f>
        <v>0</v>
      </c>
      <c r="Q76" s="20">
        <f>$I$31*$Q$31</f>
        <v>0</v>
      </c>
      <c r="R76" s="20">
        <f>$I$31*$R$31</f>
        <v>0</v>
      </c>
      <c r="S76" s="20">
        <f>$I$31*$S$31</f>
        <v>0</v>
      </c>
      <c r="T76" s="20">
        <f>$I$31*$T$31</f>
        <v>0</v>
      </c>
      <c r="U76" s="20">
        <f>$I$31*$U$31</f>
        <v>0</v>
      </c>
      <c r="W76" s="20">
        <f>$I$31*$W$31</f>
        <v>0</v>
      </c>
      <c r="X76" s="20">
        <f>$I$31*$X$31</f>
        <v>0</v>
      </c>
      <c r="Y76" s="20">
        <f>$I$31*$Y$31</f>
        <v>0</v>
      </c>
      <c r="Z76" s="20">
        <f>$I$31*$Z$31</f>
        <v>0</v>
      </c>
      <c r="AA76" s="20">
        <f>$I$31*$AA$31</f>
        <v>0</v>
      </c>
      <c r="AB76" s="20">
        <f>$I$31*$AB$31</f>
        <v>0</v>
      </c>
      <c r="AC76" s="20">
        <f>$I$31*$AC$31</f>
        <v>0</v>
      </c>
      <c r="AD76" s="20">
        <f>$I$31*$AD$31</f>
        <v>0</v>
      </c>
      <c r="AE76" s="20">
        <f>$I$31*$AE$31</f>
        <v>0</v>
      </c>
      <c r="AF76" s="20">
        <f>$I$31*$AF$31</f>
        <v>0</v>
      </c>
    </row>
    <row r="77" spans="1:32" ht="11.25" customHeight="1" x14ac:dyDescent="0.25">
      <c r="A77" s="9" t="s">
        <v>43</v>
      </c>
      <c r="B77" s="9" t="s">
        <v>1284</v>
      </c>
      <c r="C77" s="9" t="s">
        <v>1285</v>
      </c>
      <c r="D77" s="9" t="s">
        <v>1308</v>
      </c>
      <c r="E77" s="9" t="s">
        <v>1309</v>
      </c>
      <c r="F77" s="9" t="s">
        <v>1310</v>
      </c>
      <c r="G77" s="9" t="s">
        <v>1312</v>
      </c>
      <c r="L77" s="20">
        <f>$I$32*$L$32</f>
        <v>0</v>
      </c>
      <c r="M77" s="20">
        <f>$I$32*$M$32</f>
        <v>0</v>
      </c>
      <c r="N77" s="20">
        <f>$I$32*$N$32</f>
        <v>0</v>
      </c>
      <c r="O77" s="20">
        <f>$I$32*$O$32</f>
        <v>0</v>
      </c>
      <c r="P77" s="20">
        <f>$I$32*$P$32</f>
        <v>0</v>
      </c>
      <c r="Q77" s="20">
        <f>$I$32*$Q$32</f>
        <v>0</v>
      </c>
      <c r="R77" s="20">
        <f>$I$32*$R$32</f>
        <v>0</v>
      </c>
      <c r="S77" s="20">
        <f>$I$32*$S$32</f>
        <v>0</v>
      </c>
      <c r="T77" s="20">
        <f>$I$32*$T$32</f>
        <v>0</v>
      </c>
      <c r="U77" s="20">
        <f>$I$32*$U$32</f>
        <v>0</v>
      </c>
      <c r="W77" s="20">
        <f>$I$32*$W$32</f>
        <v>0</v>
      </c>
      <c r="X77" s="20">
        <f>$I$32*$X$32</f>
        <v>0</v>
      </c>
      <c r="Y77" s="20">
        <f>$I$32*$Y$32</f>
        <v>0</v>
      </c>
      <c r="Z77" s="20">
        <f>$I$32*$Z$32</f>
        <v>0</v>
      </c>
      <c r="AA77" s="20">
        <f>$I$32*$AA$32</f>
        <v>0</v>
      </c>
      <c r="AB77" s="20">
        <f>$I$32*$AB$32</f>
        <v>0</v>
      </c>
      <c r="AC77" s="20">
        <f>$I$32*$AC$32</f>
        <v>0</v>
      </c>
      <c r="AD77" s="20">
        <f>$I$32*$AD$32</f>
        <v>0</v>
      </c>
      <c r="AE77" s="20">
        <f>$I$32*$AE$32</f>
        <v>0</v>
      </c>
      <c r="AF77" s="20">
        <f>$I$32*$AF$32</f>
        <v>0</v>
      </c>
    </row>
    <row r="78" spans="1:32" ht="11.25" customHeight="1" x14ac:dyDescent="0.25">
      <c r="A78" s="9" t="s">
        <v>43</v>
      </c>
      <c r="B78" s="9" t="s">
        <v>1284</v>
      </c>
      <c r="C78" s="9" t="s">
        <v>1285</v>
      </c>
      <c r="D78" s="9" t="s">
        <v>1308</v>
      </c>
      <c r="E78" s="9" t="s">
        <v>1309</v>
      </c>
      <c r="F78" s="9" t="s">
        <v>1310</v>
      </c>
      <c r="G78" s="9" t="s">
        <v>1313</v>
      </c>
      <c r="L78" s="20">
        <f>$I$33*$L$33</f>
        <v>0</v>
      </c>
      <c r="M78" s="20">
        <f>$I$33*$M$33</f>
        <v>0</v>
      </c>
      <c r="N78" s="20">
        <f>$I$33*$N$33</f>
        <v>0</v>
      </c>
      <c r="O78" s="20">
        <f>$I$33*$O$33</f>
        <v>0</v>
      </c>
      <c r="P78" s="20">
        <f>$I$33*$P$33</f>
        <v>0</v>
      </c>
      <c r="Q78" s="20">
        <f>$I$33*$Q$33</f>
        <v>0</v>
      </c>
      <c r="R78" s="20">
        <f>$I$33*$R$33</f>
        <v>0</v>
      </c>
      <c r="S78" s="20">
        <f>$I$33*$S$33</f>
        <v>0</v>
      </c>
      <c r="T78" s="20">
        <f>$I$33*$T$33</f>
        <v>0</v>
      </c>
      <c r="U78" s="20">
        <f>$I$33*$U$33</f>
        <v>0</v>
      </c>
      <c r="W78" s="20">
        <f>$I$33*$W$33</f>
        <v>0</v>
      </c>
      <c r="X78" s="20">
        <f>$I$33*$X$33</f>
        <v>0</v>
      </c>
      <c r="Y78" s="20">
        <f>$I$33*$Y$33</f>
        <v>0</v>
      </c>
      <c r="Z78" s="20">
        <f>$I$33*$Z$33</f>
        <v>0</v>
      </c>
      <c r="AA78" s="20">
        <f>$I$33*$AA$33</f>
        <v>0</v>
      </c>
      <c r="AB78" s="20">
        <f>$I$33*$AB$33</f>
        <v>0</v>
      </c>
      <c r="AC78" s="20">
        <f>$I$33*$AC$33</f>
        <v>0</v>
      </c>
      <c r="AD78" s="20">
        <f>$I$33*$AD$33</f>
        <v>0</v>
      </c>
      <c r="AE78" s="20">
        <f>$I$33*$AE$33</f>
        <v>0</v>
      </c>
      <c r="AF78" s="20">
        <f>$I$33*$AF$33</f>
        <v>0</v>
      </c>
    </row>
    <row r="79" spans="1:32" ht="11.25" customHeight="1" x14ac:dyDescent="0.25">
      <c r="A79" s="9" t="s">
        <v>43</v>
      </c>
      <c r="B79" s="9" t="s">
        <v>1292</v>
      </c>
      <c r="C79" s="9" t="s">
        <v>1293</v>
      </c>
      <c r="D79" s="9" t="s">
        <v>1314</v>
      </c>
      <c r="E79" s="9" t="s">
        <v>1315</v>
      </c>
      <c r="F79" s="9" t="s">
        <v>1316</v>
      </c>
      <c r="G79" s="9" t="s">
        <v>1317</v>
      </c>
      <c r="L79" s="20">
        <f>$I$34*$L$34</f>
        <v>0</v>
      </c>
      <c r="M79" s="20">
        <f>$I$34*$M$34</f>
        <v>0</v>
      </c>
      <c r="N79" s="20">
        <f>$I$34*$N$34</f>
        <v>0</v>
      </c>
      <c r="O79" s="20">
        <f>$I$34*$O$34</f>
        <v>0</v>
      </c>
      <c r="P79" s="20">
        <f>$I$34*$P$34</f>
        <v>0</v>
      </c>
      <c r="Q79" s="20">
        <f>$I$34*$Q$34</f>
        <v>0</v>
      </c>
      <c r="R79" s="20">
        <f>$I$34*$R$34</f>
        <v>0</v>
      </c>
      <c r="S79" s="20">
        <f>$I$34*$S$34</f>
        <v>0</v>
      </c>
      <c r="T79" s="20">
        <f>$I$34*$T$34</f>
        <v>0</v>
      </c>
      <c r="U79" s="20">
        <f>$I$34*$U$34</f>
        <v>0</v>
      </c>
      <c r="W79" s="20">
        <f>$I$34*$W$34</f>
        <v>0</v>
      </c>
      <c r="X79" s="20">
        <f>$I$34*$X$34</f>
        <v>0</v>
      </c>
      <c r="Y79" s="20">
        <f>$I$34*$Y$34</f>
        <v>0</v>
      </c>
      <c r="Z79" s="20">
        <f>$I$34*$Z$34</f>
        <v>0</v>
      </c>
      <c r="AA79" s="20">
        <f>$I$34*$AA$34</f>
        <v>0</v>
      </c>
      <c r="AB79" s="20">
        <f>$I$34*$AB$34</f>
        <v>0</v>
      </c>
      <c r="AC79" s="20">
        <f>$I$34*$AC$34</f>
        <v>0</v>
      </c>
      <c r="AD79" s="20">
        <f>$I$34*$AD$34</f>
        <v>0</v>
      </c>
      <c r="AE79" s="20">
        <f>$I$34*$AE$34</f>
        <v>0</v>
      </c>
      <c r="AF79" s="20">
        <f>$I$34*$AF$34</f>
        <v>0</v>
      </c>
    </row>
    <row r="80" spans="1:32" ht="11.25" customHeight="1" x14ac:dyDescent="0.25">
      <c r="A80" s="9" t="s">
        <v>43</v>
      </c>
      <c r="B80" s="9" t="s">
        <v>1318</v>
      </c>
      <c r="C80" s="9" t="s">
        <v>1319</v>
      </c>
      <c r="D80" s="9" t="s">
        <v>1320</v>
      </c>
      <c r="E80" s="9" t="s">
        <v>1321</v>
      </c>
      <c r="F80" s="9" t="s">
        <v>1322</v>
      </c>
      <c r="G80" s="9" t="s">
        <v>1323</v>
      </c>
      <c r="L80" s="20">
        <f>$I$35*$L$35</f>
        <v>0</v>
      </c>
      <c r="M80" s="20">
        <f>$I$35*$M$35</f>
        <v>0</v>
      </c>
      <c r="N80" s="20">
        <f>$I$35*$N$35</f>
        <v>0</v>
      </c>
      <c r="O80" s="20">
        <f>$I$35*$O$35</f>
        <v>0</v>
      </c>
      <c r="P80" s="20">
        <f>$I$35*$P$35</f>
        <v>0</v>
      </c>
      <c r="Q80" s="20">
        <f>$I$35*$Q$35</f>
        <v>0</v>
      </c>
      <c r="R80" s="20">
        <f>$I$35*$R$35</f>
        <v>0</v>
      </c>
      <c r="S80" s="20">
        <f>$I$35*$S$35</f>
        <v>0</v>
      </c>
      <c r="T80" s="20">
        <f>$I$35*$T$35</f>
        <v>0</v>
      </c>
      <c r="U80" s="20">
        <f>$I$35*$U$35</f>
        <v>0</v>
      </c>
      <c r="W80" s="20">
        <f>$I$35*$W$35</f>
        <v>0</v>
      </c>
      <c r="X80" s="20">
        <f>$I$35*$X$35</f>
        <v>0</v>
      </c>
      <c r="Y80" s="20">
        <f>$I$35*$Y$35</f>
        <v>0</v>
      </c>
      <c r="Z80" s="20">
        <f>$I$35*$Z$35</f>
        <v>0</v>
      </c>
      <c r="AA80" s="20">
        <f>$I$35*$AA$35</f>
        <v>0</v>
      </c>
      <c r="AB80" s="20">
        <f>$I$35*$AB$35</f>
        <v>0</v>
      </c>
      <c r="AC80" s="20">
        <f>$I$35*$AC$35</f>
        <v>0</v>
      </c>
      <c r="AD80" s="20">
        <f>$I$35*$AD$35</f>
        <v>0</v>
      </c>
      <c r="AE80" s="20">
        <f>$I$35*$AE$35</f>
        <v>0</v>
      </c>
      <c r="AF80" s="20">
        <f>$I$35*$AF$35</f>
        <v>0</v>
      </c>
    </row>
    <row r="81" spans="1:32" ht="11.25" customHeight="1" x14ac:dyDescent="0.25">
      <c r="A81" s="9" t="s">
        <v>43</v>
      </c>
      <c r="B81" s="9" t="s">
        <v>1318</v>
      </c>
      <c r="C81" s="9" t="s">
        <v>1319</v>
      </c>
      <c r="D81" s="9" t="s">
        <v>1324</v>
      </c>
      <c r="E81" s="9" t="s">
        <v>1325</v>
      </c>
      <c r="F81" s="9" t="s">
        <v>1326</v>
      </c>
      <c r="G81" s="9" t="s">
        <v>1327</v>
      </c>
      <c r="L81" s="20">
        <f>$I$36*$L$36</f>
        <v>0</v>
      </c>
      <c r="M81" s="20">
        <f>$I$36*$M$36</f>
        <v>0</v>
      </c>
      <c r="N81" s="20">
        <f>$I$36*$N$36</f>
        <v>0</v>
      </c>
      <c r="O81" s="20">
        <f>$I$36*$O$36</f>
        <v>0</v>
      </c>
      <c r="P81" s="20">
        <f>$I$36*$P$36</f>
        <v>0</v>
      </c>
      <c r="Q81" s="20">
        <f>$I$36*$Q$36</f>
        <v>0</v>
      </c>
      <c r="R81" s="20">
        <f>$I$36*$R$36</f>
        <v>0</v>
      </c>
      <c r="S81" s="20">
        <f>$I$36*$S$36</f>
        <v>0</v>
      </c>
      <c r="T81" s="20">
        <f>$I$36*$T$36</f>
        <v>0</v>
      </c>
      <c r="U81" s="20">
        <f>$I$36*$U$36</f>
        <v>0</v>
      </c>
      <c r="W81" s="20">
        <f>$I$36*$W$36</f>
        <v>0</v>
      </c>
      <c r="X81" s="20">
        <f>$I$36*$X$36</f>
        <v>0</v>
      </c>
      <c r="Y81" s="20">
        <f>$I$36*$Y$36</f>
        <v>0</v>
      </c>
      <c r="Z81" s="20">
        <f>$I$36*$Z$36</f>
        <v>0</v>
      </c>
      <c r="AA81" s="20">
        <f>$I$36*$AA$36</f>
        <v>0</v>
      </c>
      <c r="AB81" s="20">
        <f>$I$36*$AB$36</f>
        <v>0</v>
      </c>
      <c r="AC81" s="20">
        <f>$I$36*$AC$36</f>
        <v>0</v>
      </c>
      <c r="AD81" s="20">
        <f>$I$36*$AD$36</f>
        <v>0</v>
      </c>
      <c r="AE81" s="20">
        <f>$I$36*$AE$36</f>
        <v>0</v>
      </c>
      <c r="AF81" s="20">
        <f>$I$36*$AF$36</f>
        <v>0</v>
      </c>
    </row>
    <row r="82" spans="1:32" ht="11.25" customHeight="1" x14ac:dyDescent="0.25">
      <c r="A82" s="9" t="s">
        <v>43</v>
      </c>
      <c r="B82" s="9" t="s">
        <v>1318</v>
      </c>
      <c r="C82" s="9" t="s">
        <v>1319</v>
      </c>
      <c r="D82" s="9" t="s">
        <v>1328</v>
      </c>
      <c r="E82" s="9" t="s">
        <v>1329</v>
      </c>
      <c r="F82" s="9" t="s">
        <v>1330</v>
      </c>
      <c r="G82" s="9" t="s">
        <v>1331</v>
      </c>
      <c r="L82" s="20">
        <f>$I$37*$L$37</f>
        <v>0</v>
      </c>
      <c r="M82" s="20">
        <f>$I$37*$M$37</f>
        <v>0</v>
      </c>
      <c r="N82" s="20">
        <f>$I$37*$N$37</f>
        <v>0</v>
      </c>
      <c r="O82" s="20">
        <f>$I$37*$O$37</f>
        <v>0</v>
      </c>
      <c r="P82" s="20">
        <f>$I$37*$P$37</f>
        <v>0</v>
      </c>
      <c r="Q82" s="20">
        <f>$I$37*$Q$37</f>
        <v>0</v>
      </c>
      <c r="R82" s="20">
        <f>$I$37*$R$37</f>
        <v>0</v>
      </c>
      <c r="S82" s="20">
        <f>$I$37*$S$37</f>
        <v>0</v>
      </c>
      <c r="T82" s="20">
        <f>$I$37*$T$37</f>
        <v>0</v>
      </c>
      <c r="U82" s="20">
        <f>$I$37*$U$37</f>
        <v>0</v>
      </c>
      <c r="W82" s="20">
        <f>$I$37*$W$37</f>
        <v>0</v>
      </c>
      <c r="X82" s="20">
        <f>$I$37*$X$37</f>
        <v>0</v>
      </c>
      <c r="Y82" s="20">
        <f>$I$37*$Y$37</f>
        <v>0</v>
      </c>
      <c r="Z82" s="20">
        <f>$I$37*$Z$37</f>
        <v>0</v>
      </c>
      <c r="AA82" s="20">
        <f>$I$37*$AA$37</f>
        <v>0</v>
      </c>
      <c r="AB82" s="20">
        <f>$I$37*$AB$37</f>
        <v>0</v>
      </c>
      <c r="AC82" s="20">
        <f>$I$37*$AC$37</f>
        <v>0</v>
      </c>
      <c r="AD82" s="20">
        <f>$I$37*$AD$37</f>
        <v>0</v>
      </c>
      <c r="AE82" s="20">
        <f>$I$37*$AE$37</f>
        <v>0</v>
      </c>
      <c r="AF82" s="20">
        <f>$I$37*$AF$37</f>
        <v>0</v>
      </c>
    </row>
    <row r="83" spans="1:32" ht="11.25" customHeight="1" x14ac:dyDescent="0.25">
      <c r="A83" s="9" t="s">
        <v>37</v>
      </c>
      <c r="B83" s="9" t="s">
        <v>1332</v>
      </c>
      <c r="C83" s="9" t="s">
        <v>1333</v>
      </c>
      <c r="D83" s="9" t="s">
        <v>1334</v>
      </c>
      <c r="E83" s="9" t="s">
        <v>1335</v>
      </c>
      <c r="F83" s="9" t="s">
        <v>1336</v>
      </c>
      <c r="G83" s="9" t="s">
        <v>1337</v>
      </c>
      <c r="L83" s="20">
        <f>$I$38*$L$38</f>
        <v>20.38744069136224</v>
      </c>
      <c r="M83" s="20">
        <f>$I$38*$M$38</f>
        <v>172.7106326482367</v>
      </c>
      <c r="N83" s="20">
        <f>$I$38*$N$38</f>
        <v>0</v>
      </c>
      <c r="O83" s="20">
        <f>$I$38*$O$38</f>
        <v>67.230365910153395</v>
      </c>
      <c r="P83" s="20">
        <f>$I$38*$P$38</f>
        <v>3066.7032462079073</v>
      </c>
      <c r="Q83" s="20">
        <f>$I$38*$Q$38</f>
        <v>0</v>
      </c>
      <c r="R83" s="20">
        <f>$I$38*$R$38</f>
        <v>0</v>
      </c>
      <c r="S83" s="20">
        <f>$I$38*$S$38</f>
        <v>1.4969771505316795E-11</v>
      </c>
      <c r="T83" s="20">
        <f>$I$38*$T$38</f>
        <v>-247.85750578535391</v>
      </c>
      <c r="U83" s="20">
        <f>$I$38*$U$38</f>
        <v>37.700389775681508</v>
      </c>
      <c r="W83" s="20">
        <f>$I$38*$W$38</f>
        <v>18.805367251720785</v>
      </c>
      <c r="X83" s="20">
        <f>$I$38*$X$38</f>
        <v>51.264484636876794</v>
      </c>
      <c r="Y83" s="20">
        <f>$I$38*$Y$38</f>
        <v>0</v>
      </c>
      <c r="Z83" s="20">
        <f>$I$38*$Z$38</f>
        <v>0</v>
      </c>
      <c r="AA83" s="20">
        <f>$I$38*$AA$38</f>
        <v>2850.4969425931181</v>
      </c>
      <c r="AB83" s="20">
        <f>$I$38*$AB$38</f>
        <v>0</v>
      </c>
      <c r="AC83" s="20">
        <f>$I$38*$AC$38</f>
        <v>0</v>
      </c>
      <c r="AD83" s="20">
        <f>$I$38*$AD$38</f>
        <v>1.5186493733547512E-11</v>
      </c>
      <c r="AE83" s="20">
        <f>$I$38*$AE$38</f>
        <v>0</v>
      </c>
      <c r="AF83" s="20">
        <f>$I$38*$AF$38</f>
        <v>36.190032037264167</v>
      </c>
    </row>
    <row r="84" spans="1:32" ht="11.25" customHeight="1" x14ac:dyDescent="0.25">
      <c r="A84" s="9" t="s">
        <v>37</v>
      </c>
      <c r="B84" s="9" t="s">
        <v>1332</v>
      </c>
      <c r="C84" s="9" t="s">
        <v>1333</v>
      </c>
      <c r="D84" s="9" t="s">
        <v>1334</v>
      </c>
      <c r="E84" s="9" t="s">
        <v>1335</v>
      </c>
      <c r="F84" s="9" t="s">
        <v>1336</v>
      </c>
      <c r="G84" s="9" t="s">
        <v>1338</v>
      </c>
      <c r="L84" s="20">
        <f>$I$39*$L$39</f>
        <v>20.258853073843134</v>
      </c>
      <c r="M84" s="20">
        <f>$I$39*$M$39</f>
        <v>171.62131255609472</v>
      </c>
      <c r="N84" s="20">
        <f>$I$39*$N$39</f>
        <v>0</v>
      </c>
      <c r="O84" s="20">
        <f>$I$39*$O$39</f>
        <v>66.806330705921667</v>
      </c>
      <c r="P84" s="20">
        <f>$I$39*$P$39</f>
        <v>1771.7214783576935</v>
      </c>
      <c r="Q84" s="20">
        <f>$I$39*$Q$39</f>
        <v>0</v>
      </c>
      <c r="R84" s="20">
        <f>$I$39*$R$39</f>
        <v>0</v>
      </c>
      <c r="S84" s="20">
        <f>$I$39*$S$39</f>
        <v>1.4875354198023802E-11</v>
      </c>
      <c r="T84" s="20">
        <f>$I$39*$T$39</f>
        <v>-151.11507216975426</v>
      </c>
      <c r="U84" s="20">
        <f>$I$39*$U$39</f>
        <v>37.46260596680694</v>
      </c>
      <c r="W84" s="20">
        <f>$I$39*$W$39</f>
        <v>18.686758084043596</v>
      </c>
      <c r="X84" s="20">
        <f>$I$39*$X$39</f>
        <v>50.941149401101285</v>
      </c>
      <c r="Y84" s="20">
        <f>$I$39*$Y$39</f>
        <v>0</v>
      </c>
      <c r="Z84" s="20">
        <f>$I$39*$Z$39</f>
        <v>0</v>
      </c>
      <c r="AA84" s="20">
        <f>$I$39*$AA$39</f>
        <v>1646.8129622356007</v>
      </c>
      <c r="AB84" s="20">
        <f>$I$39*$AB$39</f>
        <v>0</v>
      </c>
      <c r="AC84" s="20">
        <f>$I$39*$AC$39</f>
        <v>0</v>
      </c>
      <c r="AD84" s="20">
        <f>$I$39*$AD$39</f>
        <v>1.5090709516331223E-11</v>
      </c>
      <c r="AE84" s="20">
        <f>$I$39*$AE$39</f>
        <v>0</v>
      </c>
      <c r="AF84" s="20">
        <f>$I$39*$AF$39</f>
        <v>35.961774353131041</v>
      </c>
    </row>
    <row r="85" spans="1:32" ht="11.25" customHeight="1" x14ac:dyDescent="0.25">
      <c r="A85" s="9" t="s">
        <v>37</v>
      </c>
      <c r="B85" s="9" t="s">
        <v>1332</v>
      </c>
      <c r="C85" s="9" t="s">
        <v>1333</v>
      </c>
      <c r="D85" s="9" t="s">
        <v>1334</v>
      </c>
      <c r="E85" s="9" t="s">
        <v>1335</v>
      </c>
      <c r="F85" s="9" t="s">
        <v>1336</v>
      </c>
      <c r="G85" s="9" t="s">
        <v>1339</v>
      </c>
      <c r="L85" s="20">
        <f>$I$40*$L$40</f>
        <v>337.19203169676234</v>
      </c>
      <c r="M85" s="20">
        <f>$I$40*$M$40</f>
        <v>2856.4963106411797</v>
      </c>
      <c r="N85" s="20">
        <f>$I$40*$N$40</f>
        <v>0</v>
      </c>
      <c r="O85" s="20">
        <f>$I$40*$O$40</f>
        <v>1111.936707316383</v>
      </c>
      <c r="P85" s="20">
        <f>$I$40*$P$40</f>
        <v>29488.854216508335</v>
      </c>
      <c r="Q85" s="20">
        <f>$I$40*$Q$40</f>
        <v>0</v>
      </c>
      <c r="R85" s="20">
        <f>$I$40*$R$40</f>
        <v>0</v>
      </c>
      <c r="S85" s="20">
        <f>$I$40*$S$40</f>
        <v>2.4758809819874435E-10</v>
      </c>
      <c r="T85" s="20">
        <f>$I$40*$T$40</f>
        <v>-2515.1867195636905</v>
      </c>
      <c r="U85" s="20">
        <f>$I$40*$U$40</f>
        <v>623.53442085586721</v>
      </c>
      <c r="W85" s="20">
        <f>$I$40*$W$40</f>
        <v>311.02579702895508</v>
      </c>
      <c r="X85" s="20">
        <f>$I$40*$X$40</f>
        <v>847.87374689554213</v>
      </c>
      <c r="Y85" s="20">
        <f>$I$40*$Y$40</f>
        <v>0</v>
      </c>
      <c r="Z85" s="20">
        <f>$I$40*$Z$40</f>
        <v>0</v>
      </c>
      <c r="AA85" s="20">
        <f>$I$40*$AA$40</f>
        <v>27409.854177665249</v>
      </c>
      <c r="AB85" s="20">
        <f>$I$40*$AB$40</f>
        <v>0</v>
      </c>
      <c r="AC85" s="20">
        <f>$I$40*$AC$40</f>
        <v>0</v>
      </c>
      <c r="AD85" s="20">
        <f>$I$40*$AD$40</f>
        <v>2.5117251124779992E-10</v>
      </c>
      <c r="AE85" s="20">
        <f>$I$40*$AE$40</f>
        <v>0</v>
      </c>
      <c r="AF85" s="20">
        <f>$I$40*$AF$40</f>
        <v>598.55430676917638</v>
      </c>
    </row>
    <row r="86" spans="1:32" ht="11.25" customHeight="1" x14ac:dyDescent="0.25">
      <c r="A86" s="9" t="s">
        <v>37</v>
      </c>
      <c r="B86" s="9" t="s">
        <v>1340</v>
      </c>
      <c r="C86" s="9" t="s">
        <v>1341</v>
      </c>
      <c r="D86" s="9" t="s">
        <v>1342</v>
      </c>
      <c r="E86" s="9" t="s">
        <v>1343</v>
      </c>
      <c r="F86" s="9" t="s">
        <v>1344</v>
      </c>
      <c r="G86" s="9" t="s">
        <v>1345</v>
      </c>
      <c r="L86" s="20">
        <f>$I$41*$L$41</f>
        <v>237105.10572434354</v>
      </c>
      <c r="M86" s="20">
        <f>$I$41*$M$41</f>
        <v>2008617.6305164373</v>
      </c>
      <c r="N86" s="20">
        <f>$I$41*$N$41</f>
        <v>0</v>
      </c>
      <c r="O86" s="20">
        <f>$I$41*$O$41</f>
        <v>781886.42009229586</v>
      </c>
      <c r="P86" s="20">
        <f>$I$41*$P$41</f>
        <v>21979983.729751419</v>
      </c>
      <c r="Q86" s="20">
        <f>$I$41*$Q$41</f>
        <v>0</v>
      </c>
      <c r="R86" s="20">
        <f>$I$41*$R$41</f>
        <v>0</v>
      </c>
      <c r="S86" s="20">
        <f>$I$41*$S$41</f>
        <v>1.740978335226363E-7</v>
      </c>
      <c r="T86" s="20">
        <f>$I$41*$T$41</f>
        <v>-1861446.7878332124</v>
      </c>
      <c r="U86" s="20">
        <f>$I$41*$U$41</f>
        <v>438453.99915248732</v>
      </c>
      <c r="W86" s="20">
        <f>$I$41*$W$41</f>
        <v>218705.65599209769</v>
      </c>
      <c r="X86" s="20">
        <f>$I$41*$X$41</f>
        <v>596203.87049761089</v>
      </c>
      <c r="Y86" s="20">
        <f>$I$41*$Y$41</f>
        <v>0</v>
      </c>
      <c r="Z86" s="20">
        <f>$I$41*$Z$41</f>
        <v>0</v>
      </c>
      <c r="AA86" s="20">
        <f>$I$41*$AA$41</f>
        <v>20430368.180350285</v>
      </c>
      <c r="AB86" s="20">
        <f>$I$41*$AB$41</f>
        <v>0</v>
      </c>
      <c r="AC86" s="20">
        <f>$I$41*$AC$41</f>
        <v>0</v>
      </c>
      <c r="AD86" s="20">
        <f>$I$41*$AD$41</f>
        <v>1.7661830421905041E-7</v>
      </c>
      <c r="AE86" s="20">
        <f>$I$41*$AE$41</f>
        <v>0</v>
      </c>
      <c r="AF86" s="20">
        <f>$I$41*$AF$41</f>
        <v>420888.60010753752</v>
      </c>
    </row>
    <row r="87" spans="1:32" ht="11.25" customHeight="1" x14ac:dyDescent="0.25">
      <c r="A87" s="9" t="s">
        <v>37</v>
      </c>
      <c r="B87" s="9" t="s">
        <v>1346</v>
      </c>
      <c r="C87" s="9" t="s">
        <v>1347</v>
      </c>
      <c r="D87" s="9" t="s">
        <v>1348</v>
      </c>
      <c r="E87" s="9" t="s">
        <v>1349</v>
      </c>
      <c r="F87" s="9" t="s">
        <v>1350</v>
      </c>
      <c r="G87" s="9" t="s">
        <v>1351</v>
      </c>
      <c r="L87" s="20">
        <f>$I$42*$L$42</f>
        <v>0</v>
      </c>
      <c r="M87" s="20">
        <f>$I$42*$M$42</f>
        <v>0</v>
      </c>
      <c r="N87" s="20">
        <f>$I$42*$N$42</f>
        <v>0</v>
      </c>
      <c r="O87" s="20">
        <f>$I$42*$O$42</f>
        <v>0</v>
      </c>
      <c r="P87" s="20">
        <f>$I$42*$P$42</f>
        <v>0</v>
      </c>
      <c r="Q87" s="20">
        <f>$I$42*$Q$42</f>
        <v>0</v>
      </c>
      <c r="R87" s="20">
        <f>$I$42*$R$42</f>
        <v>0</v>
      </c>
      <c r="S87" s="20">
        <f>$I$42*$S$42</f>
        <v>0</v>
      </c>
      <c r="T87" s="20">
        <f>$I$42*$T$42</f>
        <v>0</v>
      </c>
      <c r="U87" s="20">
        <f>$I$42*$U$42</f>
        <v>0</v>
      </c>
      <c r="W87" s="20">
        <f>$I$42*$W$42</f>
        <v>0</v>
      </c>
      <c r="X87" s="20">
        <f>$I$42*$X$42</f>
        <v>0</v>
      </c>
      <c r="Y87" s="20">
        <f>$I$42*$Y$42</f>
        <v>0</v>
      </c>
      <c r="Z87" s="20">
        <f>$I$42*$Z$42</f>
        <v>0</v>
      </c>
      <c r="AA87" s="20">
        <f>$I$42*$AA$42</f>
        <v>0</v>
      </c>
      <c r="AB87" s="20">
        <f>$I$42*$AB$42</f>
        <v>0</v>
      </c>
      <c r="AC87" s="20">
        <f>$I$42*$AC$42</f>
        <v>0</v>
      </c>
      <c r="AD87" s="20">
        <f>$I$42*$AD$42</f>
        <v>0</v>
      </c>
      <c r="AE87" s="20">
        <f>$I$42*$AE$42</f>
        <v>0</v>
      </c>
      <c r="AF87" s="20">
        <f>$I$42*$AF$42</f>
        <v>0</v>
      </c>
    </row>
    <row r="88" spans="1:32" ht="11.25" customHeight="1" x14ac:dyDescent="0.25">
      <c r="A88" s="9" t="s">
        <v>46</v>
      </c>
      <c r="B88" s="9" t="s">
        <v>1352</v>
      </c>
      <c r="C88" s="9" t="s">
        <v>1353</v>
      </c>
      <c r="D88" s="9" t="s">
        <v>1354</v>
      </c>
      <c r="E88" s="9" t="s">
        <v>1355</v>
      </c>
      <c r="F88" s="9" t="s">
        <v>1356</v>
      </c>
      <c r="G88" s="9" t="s">
        <v>1357</v>
      </c>
      <c r="L88" s="20">
        <f>$I$43*$L$43</f>
        <v>49305.621563901659</v>
      </c>
      <c r="M88" s="20">
        <f>$I$43*$M$43</f>
        <v>417688.77331542131</v>
      </c>
      <c r="N88" s="20">
        <f>$I$43*$N$43</f>
        <v>0</v>
      </c>
      <c r="O88" s="20">
        <f>$I$43*$O$43</f>
        <v>162592.01090272641</v>
      </c>
      <c r="P88" s="20">
        <f>$I$43*$P$43</f>
        <v>4570701.9106530026</v>
      </c>
      <c r="Q88" s="20">
        <f>$I$43*$Q$43</f>
        <v>0</v>
      </c>
      <c r="R88" s="20">
        <f>$I$43*$R$43</f>
        <v>0</v>
      </c>
      <c r="S88" s="20">
        <f>$I$43*$S$43</f>
        <v>3.6203361663337391E-8</v>
      </c>
      <c r="T88" s="20">
        <f>$I$43*$T$43</f>
        <v>-387084.83565489796</v>
      </c>
      <c r="U88" s="20">
        <f>$I$43*$U$43</f>
        <v>91175.796865905548</v>
      </c>
      <c r="W88" s="20">
        <f>$I$43*$W$43</f>
        <v>45479.485881539556</v>
      </c>
      <c r="X88" s="20">
        <f>$I$43*$X$43</f>
        <v>123979.62635129616</v>
      </c>
      <c r="Y88" s="20">
        <f>$I$43*$Y$43</f>
        <v>0</v>
      </c>
      <c r="Z88" s="20">
        <f>$I$43*$Z$43</f>
        <v>0</v>
      </c>
      <c r="AA88" s="20">
        <f>$I$43*$AA$43</f>
        <v>4248461.8744678004</v>
      </c>
      <c r="AB88" s="20">
        <f>$I$43*$AB$43</f>
        <v>0</v>
      </c>
      <c r="AC88" s="20">
        <f>$I$43*$AC$43</f>
        <v>0</v>
      </c>
      <c r="AD88" s="20">
        <f>$I$43*$AD$43</f>
        <v>3.6727489450213254E-8</v>
      </c>
      <c r="AE88" s="20">
        <f>$I$43*$AE$43</f>
        <v>0</v>
      </c>
      <c r="AF88" s="20">
        <f>$I$43*$AF$43</f>
        <v>87523.100669071689</v>
      </c>
    </row>
    <row r="89" spans="1:32" ht="11.25" customHeight="1" x14ac:dyDescent="0.25">
      <c r="A89" s="9" t="s">
        <v>46</v>
      </c>
      <c r="B89" s="9" t="s">
        <v>1352</v>
      </c>
      <c r="C89" s="9" t="s">
        <v>1353</v>
      </c>
      <c r="D89" s="9" t="s">
        <v>1358</v>
      </c>
      <c r="E89" s="9" t="s">
        <v>1359</v>
      </c>
      <c r="F89" s="9" t="s">
        <v>1360</v>
      </c>
      <c r="G89" s="9" t="s">
        <v>1361</v>
      </c>
      <c r="L89" s="20">
        <f>$I$44*$L$44</f>
        <v>0</v>
      </c>
      <c r="M89" s="20">
        <f>$I$44*$M$44</f>
        <v>0</v>
      </c>
      <c r="N89" s="20">
        <f>$I$44*$N$44</f>
        <v>0</v>
      </c>
      <c r="O89" s="20">
        <f>$I$44*$O$44</f>
        <v>0</v>
      </c>
      <c r="P89" s="20">
        <f>$I$44*$P$44</f>
        <v>0</v>
      </c>
      <c r="Q89" s="20">
        <f>$I$44*$Q$44</f>
        <v>0</v>
      </c>
      <c r="R89" s="20">
        <f>$I$44*$R$44</f>
        <v>0</v>
      </c>
      <c r="S89" s="20">
        <f>$I$44*$S$44</f>
        <v>0</v>
      </c>
      <c r="T89" s="20">
        <f>$I$44*$T$44</f>
        <v>0</v>
      </c>
      <c r="U89" s="20">
        <f>$I$44*$U$44</f>
        <v>0</v>
      </c>
      <c r="W89" s="20">
        <f>$I$44*$W$44</f>
        <v>0</v>
      </c>
      <c r="X89" s="20">
        <f>$I$44*$X$44</f>
        <v>0</v>
      </c>
      <c r="Y89" s="20">
        <f>$I$44*$Y$44</f>
        <v>0</v>
      </c>
      <c r="Z89" s="20">
        <f>$I$44*$Z$44</f>
        <v>0</v>
      </c>
      <c r="AA89" s="20">
        <f>$I$44*$AA$44</f>
        <v>0</v>
      </c>
      <c r="AB89" s="20">
        <f>$I$44*$AB$44</f>
        <v>0</v>
      </c>
      <c r="AC89" s="20">
        <f>$I$44*$AC$44</f>
        <v>0</v>
      </c>
      <c r="AD89" s="20">
        <f>$I$44*$AD$44</f>
        <v>0</v>
      </c>
      <c r="AE89" s="20">
        <f>$I$44*$AE$44</f>
        <v>0</v>
      </c>
      <c r="AF89" s="20">
        <f>$I$44*$AF$44</f>
        <v>0</v>
      </c>
    </row>
  </sheetData>
  <mergeCells count="75">
    <mergeCell ref="L46:U46"/>
    <mergeCell ref="W46:AF46"/>
    <mergeCell ref="L47:U47"/>
    <mergeCell ref="W47:AF47"/>
    <mergeCell ref="L48:O48"/>
    <mergeCell ref="Q48:S48"/>
    <mergeCell ref="W48:Z48"/>
    <mergeCell ref="AB48:AD48"/>
    <mergeCell ref="E38:E40"/>
    <mergeCell ref="F38:F40"/>
    <mergeCell ref="A43:A44"/>
    <mergeCell ref="B43:B44"/>
    <mergeCell ref="C43:C44"/>
    <mergeCell ref="A38:A42"/>
    <mergeCell ref="B38:B40"/>
    <mergeCell ref="C38:C40"/>
    <mergeCell ref="D38:D40"/>
    <mergeCell ref="W1:AF1"/>
    <mergeCell ref="W2:AF2"/>
    <mergeCell ref="W3:Z3"/>
    <mergeCell ref="AB3:AD3"/>
    <mergeCell ref="B35:B37"/>
    <mergeCell ref="C35:C37"/>
    <mergeCell ref="F27:F29"/>
    <mergeCell ref="B31:B33"/>
    <mergeCell ref="C31:C33"/>
    <mergeCell ref="D31:D33"/>
    <mergeCell ref="E31:E33"/>
    <mergeCell ref="F31:F33"/>
    <mergeCell ref="F23:F25"/>
    <mergeCell ref="F10:F12"/>
    <mergeCell ref="F7:F8"/>
    <mergeCell ref="F5:F6"/>
    <mergeCell ref="A23:A37"/>
    <mergeCell ref="B23:B25"/>
    <mergeCell ref="C23:C25"/>
    <mergeCell ref="D23:D25"/>
    <mergeCell ref="E23:E25"/>
    <mergeCell ref="B27:B29"/>
    <mergeCell ref="C27:C29"/>
    <mergeCell ref="D27:D29"/>
    <mergeCell ref="E27:E29"/>
    <mergeCell ref="A10:A22"/>
    <mergeCell ref="B10:B12"/>
    <mergeCell ref="C10:C12"/>
    <mergeCell ref="D10:D12"/>
    <mergeCell ref="E10:E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A5:A6"/>
    <mergeCell ref="B5:B6"/>
    <mergeCell ref="C5:C6"/>
    <mergeCell ref="D5:D6"/>
    <mergeCell ref="E5:E6"/>
    <mergeCell ref="G1:G4"/>
    <mergeCell ref="H1:H4"/>
    <mergeCell ref="I1:I4"/>
    <mergeCell ref="J1:J4"/>
    <mergeCell ref="L1:U1"/>
    <mergeCell ref="L2:U2"/>
    <mergeCell ref="L3:O3"/>
    <mergeCell ref="Q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1F12D-34E8-446D-A768-B8C9095FE3A6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2.42578125" style="14" bestFit="1" customWidth="1"/>
    <col min="3" max="6" width="10.28515625" style="14" bestFit="1" customWidth="1"/>
    <col min="7" max="7" width="10.85546875" style="14" bestFit="1" customWidth="1"/>
    <col min="8" max="8" width="10" style="14" bestFit="1" customWidth="1"/>
    <col min="9" max="9" width="8" style="14" bestFit="1" customWidth="1"/>
    <col min="10" max="10" width="10.85546875" style="14" bestFit="1" customWidth="1"/>
    <col min="11" max="11" width="10" style="14" bestFit="1" customWidth="1"/>
    <col min="12" max="12" width="9.5703125" style="14" bestFit="1" customWidth="1"/>
    <col min="13" max="13" width="9.7109375" style="14" bestFit="1" customWidth="1"/>
    <col min="14" max="14" width="10.85546875" style="14" bestFit="1" customWidth="1"/>
    <col min="15" max="15" width="7.42578125" style="14" bestFit="1" customWidth="1"/>
    <col min="16" max="16" width="9.7109375" style="14" bestFit="1" customWidth="1"/>
    <col min="17" max="17" width="11.7109375" style="14" bestFit="1" customWidth="1"/>
    <col min="18" max="18" width="7.7109375" style="14" bestFit="1" customWidth="1"/>
    <col min="19" max="19" width="7.140625" style="14" bestFit="1" customWidth="1"/>
    <col min="20" max="20" width="14.5703125" style="14" bestFit="1" customWidth="1"/>
    <col min="21" max="21" width="17.7109375" style="14" bestFit="1" customWidth="1"/>
    <col min="22" max="22" width="18.42578125" style="14" bestFit="1" customWidth="1"/>
    <col min="23" max="23" width="6" style="14" bestFit="1" customWidth="1"/>
    <col min="24" max="24" width="11.7109375" style="14" bestFit="1" customWidth="1"/>
    <col min="25" max="26" width="9.140625" style="14"/>
    <col min="27" max="27" width="3" style="14" bestFit="1" customWidth="1"/>
    <col min="28" max="28" width="21.57031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68</v>
      </c>
      <c r="B1" s="14" t="s">
        <v>69</v>
      </c>
      <c r="C1" s="14" t="s">
        <v>70</v>
      </c>
      <c r="D1" s="14" t="s">
        <v>71</v>
      </c>
      <c r="E1" s="14" t="s">
        <v>72</v>
      </c>
      <c r="F1" s="14" t="s">
        <v>15</v>
      </c>
      <c r="G1" s="14" t="s">
        <v>74</v>
      </c>
      <c r="I1" s="14" t="s">
        <v>1369</v>
      </c>
      <c r="AA1" s="14" t="s">
        <v>56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56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39</v>
      </c>
      <c r="AB2" s="14" t="s">
        <v>40</v>
      </c>
      <c r="AC2" s="14" t="s">
        <v>24</v>
      </c>
      <c r="AD2" s="14" t="s">
        <v>24</v>
      </c>
      <c r="AE2" s="14" t="s">
        <v>85</v>
      </c>
      <c r="AF2" s="14" t="s">
        <v>60</v>
      </c>
      <c r="AG2" s="14" t="s">
        <v>82</v>
      </c>
    </row>
    <row r="3" spans="1:33" x14ac:dyDescent="0.2">
      <c r="AA3" s="14" t="s">
        <v>88</v>
      </c>
      <c r="AB3" s="14" t="s">
        <v>59</v>
      </c>
      <c r="AC3" s="14" t="s">
        <v>44</v>
      </c>
      <c r="AD3" s="14" t="s">
        <v>29</v>
      </c>
      <c r="AE3" s="14" t="s">
        <v>89</v>
      </c>
      <c r="AG3" s="14" t="s">
        <v>83</v>
      </c>
    </row>
    <row r="4" spans="1:33" x14ac:dyDescent="0.2">
      <c r="AA4" s="14" t="s">
        <v>22</v>
      </c>
      <c r="AB4" s="14" t="s">
        <v>87</v>
      </c>
      <c r="AC4" s="14" t="s">
        <v>47</v>
      </c>
      <c r="AD4" s="14" t="s">
        <v>30</v>
      </c>
      <c r="AE4" s="14" t="s">
        <v>90</v>
      </c>
      <c r="AG4" s="14" t="s">
        <v>84</v>
      </c>
    </row>
    <row r="5" spans="1:33" x14ac:dyDescent="0.2">
      <c r="A5" s="14" t="s">
        <v>1362</v>
      </c>
      <c r="B5" s="14" t="str">
        <f>TUSD!$AI$4</f>
        <v>CDE Covid TUSD</v>
      </c>
      <c r="C5" s="14" t="str">
        <f>TUSD!$AJ$4</f>
        <v>TFSEE</v>
      </c>
      <c r="D5" s="14" t="str">
        <f>TUSD!$AK$4</f>
        <v>P&amp;D</v>
      </c>
      <c r="E5" s="14" t="str">
        <f>TUSD!$AL$4</f>
        <v>ONS</v>
      </c>
      <c r="F5" s="14" t="str">
        <f>TUSD!$AM$4</f>
        <v>CCC</v>
      </c>
      <c r="G5" s="14" t="str">
        <f>TUSD!$AN$4</f>
        <v>CDE</v>
      </c>
      <c r="H5" s="14" t="str">
        <f>TUSD!$AO$4</f>
        <v>PROINFA</v>
      </c>
      <c r="I5" s="14" t="str">
        <f>TUSD!$AP$4</f>
        <v>LIMINAR 1</v>
      </c>
      <c r="J5" s="14" t="str">
        <f>TUSD!$AQ$4</f>
        <v>TUSD RB</v>
      </c>
      <c r="K5" s="14" t="str">
        <f>TUSD!$AR$4</f>
        <v>TUSD FR</v>
      </c>
      <c r="L5" s="14" t="str">
        <f>TUSD!$AS$4</f>
        <v>CONEXAO T</v>
      </c>
      <c r="M5" s="14" t="str">
        <f>TUSD!$AT$4</f>
        <v>CONEXAO D</v>
      </c>
      <c r="N5" s="14" t="str">
        <f>TUSD!$AU$4</f>
        <v>CUSD</v>
      </c>
      <c r="O5" s="14" t="str">
        <f>TUSD!$AV$4</f>
        <v>TUSDG-T</v>
      </c>
      <c r="P5" s="14" t="str">
        <f>TUSD!$AW$4</f>
        <v>TUSDG-ONS</v>
      </c>
      <c r="Q5" s="14" t="str">
        <f>TUSD!$AX$4</f>
        <v>DISTRIBUICAO</v>
      </c>
      <c r="R5" s="14" t="str">
        <f>TUSD!$AY$4</f>
        <v>SUBSIDIO</v>
      </c>
      <c r="S5" s="14" t="str">
        <f>TUSD!$AZ$4</f>
        <v>OUTROS</v>
      </c>
      <c r="T5" s="14" t="str">
        <f>TUSD!$BA$4</f>
        <v>PERDAS TECNICAS</v>
      </c>
      <c r="U5" s="14" t="str">
        <f>TUSD!$BB$4</f>
        <v>PERDAS RB/ PERDAS D</v>
      </c>
      <c r="V5" s="14" t="str">
        <f>TUSD!$BC$4</f>
        <v>PERDAS NAO TECNICAS</v>
      </c>
      <c r="W5" s="14" t="str">
        <f>TUSD!$BD$4</f>
        <v>RI</v>
      </c>
      <c r="X5" s="14" t="s">
        <v>753</v>
      </c>
      <c r="AA5" s="14" t="s">
        <v>43</v>
      </c>
      <c r="AB5" s="14" t="s">
        <v>41</v>
      </c>
      <c r="AD5" s="14" t="s">
        <v>31</v>
      </c>
      <c r="AG5" s="14" t="s">
        <v>9</v>
      </c>
    </row>
    <row r="6" spans="1:33" x14ac:dyDescent="0.2">
      <c r="A6" s="14" t="s">
        <v>1363</v>
      </c>
      <c r="B6" s="38">
        <f>SUM(TUSD!$AI$67:'TUSD'!$AI$123)</f>
        <v>0</v>
      </c>
      <c r="C6" s="38">
        <f>SUM(TUSD!$AJ$67:'TUSD'!$AJ$123)</f>
        <v>363971.17845298239</v>
      </c>
      <c r="D6" s="38">
        <f>SUM(TUSD!$AK$67:'TUSD'!$AK$123)</f>
        <v>1352544.3800278008</v>
      </c>
      <c r="E6" s="38">
        <f>SUM(TUSD!$AL$67:'TUSD'!$AL$123)</f>
        <v>30702.654213405614</v>
      </c>
      <c r="F6" s="38">
        <f>SUM(TUSD!$AM$67:'TUSD'!$AM$123)</f>
        <v>0</v>
      </c>
      <c r="G6" s="38">
        <f>SUM(TUSD!$AN$67:'TUSD'!$AN$123)</f>
        <v>16042389.10146999</v>
      </c>
      <c r="H6" s="38">
        <f>SUM(TUSD!$AO$67:'TUSD'!$AO$123)</f>
        <v>5941048.8451835373</v>
      </c>
      <c r="I6" s="38">
        <f>SUM(TUSD!$AP$67:'TUSD'!$AP$123)</f>
        <v>0</v>
      </c>
      <c r="J6" s="38">
        <f>SUM(TUSD!$AQ$67:'TUSD'!$AQ$123)</f>
        <v>15452166.206319237</v>
      </c>
      <c r="K6" s="38">
        <f>SUM(TUSD!$AR$67:'TUSD'!$AR$123)</f>
        <v>5692275.2463595569</v>
      </c>
      <c r="L6" s="38">
        <f>SUM(TUSD!$AS$67:'TUSD'!$AS$123)</f>
        <v>463872.16258738108</v>
      </c>
      <c r="M6" s="38">
        <f>SUM(TUSD!$AT$67:'TUSD'!$AT$123)</f>
        <v>0</v>
      </c>
      <c r="N6" s="38">
        <f>SUM(TUSD!$AU$67:'TUSD'!$AU$123)</f>
        <v>15429615.908131601</v>
      </c>
      <c r="O6" s="38">
        <f>SUM(TUSD!$AV$67:'TUSD'!$AV$123)</f>
        <v>0</v>
      </c>
      <c r="P6" s="38">
        <f>SUM(TUSD!$AW$67:'TUSD'!$AW$123)</f>
        <v>0</v>
      </c>
      <c r="Q6" s="38">
        <f>SUM(TUSD!$AX$67:'TUSD'!$AX$123)</f>
        <v>85916170.884572148</v>
      </c>
      <c r="R6" s="38">
        <f>SUM(TUSD!$AY$67:'TUSD'!$AY$123)</f>
        <v>0</v>
      </c>
      <c r="S6" s="38">
        <f>SUM(TUSD!$AZ$67:'TUSD'!$AZ$123)</f>
        <v>0</v>
      </c>
      <c r="T6" s="38">
        <f>SUM(TUSD!$BA$67:'TUSD'!$BA$123)</f>
        <v>8099441.4736319426</v>
      </c>
      <c r="U6" s="38">
        <f>SUM(TUSD!$BB$67:'TUSD'!$BB$123)</f>
        <v>197996.15602584375</v>
      </c>
      <c r="V6" s="38">
        <f>SUM(TUSD!$BC$67:'TUSD'!$BC$123)</f>
        <v>1502873.7230761282</v>
      </c>
      <c r="W6" s="38">
        <f>SUM(TUSD!$BD$67:'TUSD'!$BD$123)</f>
        <v>0</v>
      </c>
      <c r="X6" s="38">
        <f t="shared" ref="X6:X11" si="0">SUM(B6:W6)</f>
        <v>156485067.92005157</v>
      </c>
      <c r="AA6" s="14" t="s">
        <v>37</v>
      </c>
      <c r="AB6" s="14" t="s">
        <v>33</v>
      </c>
      <c r="AD6" s="14" t="s">
        <v>32</v>
      </c>
      <c r="AG6" s="14" t="s">
        <v>79</v>
      </c>
    </row>
    <row r="7" spans="1:33" x14ac:dyDescent="0.2">
      <c r="A7" s="14" t="s">
        <v>1364</v>
      </c>
      <c r="B7" s="38">
        <f>SUM(TUSD!$L$67:'TUSD'!$L$123)</f>
        <v>1102878.1680384856</v>
      </c>
      <c r="C7" s="38">
        <f>SUM(TUSD!$M$67:'TUSD'!$M$123)</f>
        <v>393071.52869573527</v>
      </c>
      <c r="D7" s="38">
        <f ca="1">SUM(TUSD!$N$67:'TUSD'!$N$123)</f>
        <v>1268966.6432791895</v>
      </c>
      <c r="E7" s="38">
        <f>SUM(TUSD!$O$67:'TUSD'!$O$123)</f>
        <v>24968.311208795076</v>
      </c>
      <c r="F7" s="38">
        <f>SUM(TUSD!$P$67:'TUSD'!$P$123)</f>
        <v>0</v>
      </c>
      <c r="G7" s="38">
        <f>SUM(TUSD!$Q$67:'TUSD'!$Q$123)</f>
        <v>19712787.819079537</v>
      </c>
      <c r="H7" s="38">
        <f>SUM(TUSD!$R$67:'TUSD'!$R$123)</f>
        <v>8976755.0258411057</v>
      </c>
      <c r="I7" s="38">
        <f>SUM(TUSD!$S$67:'TUSD'!$S$123)</f>
        <v>0</v>
      </c>
      <c r="J7" s="38">
        <f>SUM(TUSD!$T$67:'TUSD'!$T$123)</f>
        <v>14827795.506963778</v>
      </c>
      <c r="K7" s="38">
        <f>SUM(TUSD!$U$67:'TUSD'!$U$123)</f>
        <v>4046685.5930924206</v>
      </c>
      <c r="L7" s="38">
        <f>SUM(TUSD!$V$67:'TUSD'!$V$123)</f>
        <v>340879.18474192108</v>
      </c>
      <c r="M7" s="38">
        <f>SUM(TUSD!$W$67:'TUSD'!$W$123)</f>
        <v>0</v>
      </c>
      <c r="N7" s="38">
        <f>SUM(TUSD!$X$67:'TUSD'!$X$123)</f>
        <v>13178507.370795855</v>
      </c>
      <c r="O7" s="38">
        <f>SUM(TUSD!$Y$67:'TUSD'!$Y$123)</f>
        <v>0</v>
      </c>
      <c r="P7" s="38">
        <f>SUM(TUSD!$Z$67:'TUSD'!$Z$123)</f>
        <v>0</v>
      </c>
      <c r="Q7" s="38">
        <f>SUM(TUSD!$AA$67:'TUSD'!$AA$123)</f>
        <v>97169523.712845236</v>
      </c>
      <c r="R7" s="38">
        <f ca="1">SUM(TUSD!$AB$67:'TUSD'!$AB$123)</f>
        <v>-14139137.453012474</v>
      </c>
      <c r="S7" s="38">
        <f ca="1">SUM(TUSD!$AC$67:'TUSD'!$AC$123)</f>
        <v>0</v>
      </c>
      <c r="T7" s="38">
        <f>SUM(TUSD!$AD$67:'TUSD'!$AD$123)</f>
        <v>8858749.533136351</v>
      </c>
      <c r="U7" s="38">
        <f>SUM(TUSD!$AE$67:'TUSD'!$AE$123)</f>
        <v>208865.13165589311</v>
      </c>
      <c r="V7" s="38">
        <f ca="1">SUM(TUSD!$AF$67:'TUSD'!$AF$123)</f>
        <v>1602663.8701650675</v>
      </c>
      <c r="W7" s="38">
        <f ca="1">SUM(TUSD!$AG$67:'TUSD'!$AG$123)</f>
        <v>0</v>
      </c>
      <c r="X7" s="38">
        <f t="shared" ca="1" si="0"/>
        <v>157573959.94652691</v>
      </c>
      <c r="AA7" s="14" t="s">
        <v>46</v>
      </c>
      <c r="AB7" s="14" t="s">
        <v>23</v>
      </c>
      <c r="AD7" s="14" t="s">
        <v>94</v>
      </c>
      <c r="AG7" s="14" t="s">
        <v>80</v>
      </c>
    </row>
    <row r="8" spans="1:33" x14ac:dyDescent="0.2">
      <c r="A8" s="14" t="s">
        <v>1367</v>
      </c>
      <c r="B8" s="38">
        <f>IF($G$2&lt;&gt;"Não se aplica",SUMIF(TUSD!$G$67:'TUSD'!$G$123,$I$2,TUSD!$AI$67:'TUSD'!$AI$123),IF($F$2&lt;&gt;"Não se aplica",SUMIF(TUSD!$F$67:'TUSD'!$F$123,$I$2,TUSD!$AI$67:'TUSD'!$AI$123),IF($E$2&lt;&gt;"Não se aplica",SUMIF(TUSD!$E$67:'TUSD'!$E$123,$I$2,TUSD!$AI$67:'TUSD'!$AI$123),IF($D$2&lt;&gt;"Não se aplica",SUMIF(TUSD!$D$67:'TUSD'!$D$123,$I$2,TUSD!$AI$67:'TUSD'!$AI$123),IF($C$2&lt;&gt;"Não se aplica",SUMIF(TUSD!$C$67:'TUSD'!$C$123,$I$2,TUSD!$AI$67:'TUSD'!$AI$123),IF($B$2&lt;&gt;"Não se aplica",SUMIF(TUSD!$B$67:'TUSD'!$B$123,$I$2,TUSD!$AI$67:'TUSD'!$AI$123),SUMIF(TUSD!$A$67:'TUSD'!$A$123,$I$2,TUSD!$AI$67:'TUSD'!$AI$123)))))))</f>
        <v>0</v>
      </c>
      <c r="C8" s="38">
        <f>IF($G$2&lt;&gt;"Não se aplica",SUMIF(TUSD!$G$67:'TUSD'!$G$123,$I$2,TUSD!$AJ$67:'TUSD'!$AJ$123),IF($F$2&lt;&gt;"Não se aplica",SUMIF(TUSD!$F$67:'TUSD'!$F$123,$I$2,TUSD!$AJ$67:'TUSD'!$AJ$123),IF($E$2&lt;&gt;"Não se aplica",SUMIF(TUSD!$E$67:'TUSD'!$E$123,$I$2,TUSD!$AJ$67:'TUSD'!$AJ$123),IF($D$2&lt;&gt;"Não se aplica",SUMIF(TUSD!$D$67:'TUSD'!$D$123,$I$2,TUSD!$AJ$67:'TUSD'!$AJ$123),IF($C$2&lt;&gt;"Não se aplica",SUMIF(TUSD!$C$67:'TUSD'!$C$123,$I$2,TUSD!$AJ$67:'TUSD'!$AJ$123),IF($B$2&lt;&gt;"Não se aplica",SUMIF(TUSD!$B$67:'TUSD'!$B$123,$I$2,TUSD!$AJ$67:'TUSD'!$AJ$123),SUMIF(TUSD!$A$67:'TUSD'!$A$123,$I$2,TUSD!$AJ$67:'TUSD'!$AJ$123)))))))</f>
        <v>3960.6657661593681</v>
      </c>
      <c r="D8" s="38">
        <f>IF($G$2&lt;&gt;"Não se aplica",SUMIF(TUSD!$G$67:'TUSD'!$G$123,$I$2,TUSD!$AK$67:'TUSD'!$AK$123),IF($F$2&lt;&gt;"Não se aplica",SUMIF(TUSD!$F$67:'TUSD'!$F$123,$I$2,TUSD!$AK$67:'TUSD'!$AK$123),IF($E$2&lt;&gt;"Não se aplica",SUMIF(TUSD!$E$67:'TUSD'!$E$123,$I$2,TUSD!$AK$67:'TUSD'!$AK$123),IF($D$2&lt;&gt;"Não se aplica",SUMIF(TUSD!$D$67:'TUSD'!$D$123,$I$2,TUSD!$AK$67:'TUSD'!$AK$123),IF($C$2&lt;&gt;"Não se aplica",SUMIF(TUSD!$C$67:'TUSD'!$C$123,$I$2,TUSD!$AK$67:'TUSD'!$AK$123),IF($B$2&lt;&gt;"Não se aplica",SUMIF(TUSD!$B$67:'TUSD'!$B$123,$I$2,TUSD!$AK$67:'TUSD'!$AK$123),SUMIF(TUSD!$A$67:'TUSD'!$A$123,$I$2,TUSD!$AK$67:'TUSD'!$AK$123)))))))</f>
        <v>7532.2075744460981</v>
      </c>
      <c r="E8" s="38">
        <f>IF($G$2&lt;&gt;"Não se aplica",SUMIF(TUSD!$G$67:'TUSD'!$G$123,$I$2,TUSD!$AL$67:'TUSD'!$AL$123),IF($F$2&lt;&gt;"Não se aplica",SUMIF(TUSD!$F$67:'TUSD'!$F$123,$I$2,TUSD!$AL$67:'TUSD'!$AL$123),IF($E$2&lt;&gt;"Não se aplica",SUMIF(TUSD!$E$67:'TUSD'!$E$123,$I$2,TUSD!$AL$67:'TUSD'!$AL$123),IF($D$2&lt;&gt;"Não se aplica",SUMIF(TUSD!$D$67:'TUSD'!$D$123,$I$2,TUSD!$AL$67:'TUSD'!$AL$123),IF($C$2&lt;&gt;"Não se aplica",SUMIF(TUSD!$C$67:'TUSD'!$C$123,$I$2,TUSD!$AL$67:'TUSD'!$AL$123),IF($B$2&lt;&gt;"Não se aplica",SUMIF(TUSD!$B$67:'TUSD'!$B$123,$I$2,TUSD!$AL$67:'TUSD'!$AL$123),SUMIF(TUSD!$A$67:'TUSD'!$A$123,$I$2,TUSD!$AL$67:'TUSD'!$AL$123)))))))</f>
        <v>3213.4489694443446</v>
      </c>
      <c r="F8" s="38">
        <f>IF($G$2&lt;&gt;"Não se aplica",SUMIF(TUSD!$G$67:'TUSD'!$G$123,$I$2,TUSD!$AM$67:'TUSD'!$AM$123),IF($F$2&lt;&gt;"Não se aplica",SUMIF(TUSD!$F$67:'TUSD'!$F$123,$I$2,TUSD!$AM$67:'TUSD'!$AM$123),IF($E$2&lt;&gt;"Não se aplica",SUMIF(TUSD!$E$67:'TUSD'!$E$123,$I$2,TUSD!$AM$67:'TUSD'!$AM$123),IF($D$2&lt;&gt;"Não se aplica",SUMIF(TUSD!$D$67:'TUSD'!$D$123,$I$2,TUSD!$AM$67:'TUSD'!$AM$123),IF($C$2&lt;&gt;"Não se aplica",SUMIF(TUSD!$C$67:'TUSD'!$C$123,$I$2,TUSD!$AM$67:'TUSD'!$AM$123),IF($B$2&lt;&gt;"Não se aplica",SUMIF(TUSD!$B$67:'TUSD'!$B$123,$I$2,TUSD!$AM$67:'TUSD'!$AM$123),SUMIF(TUSD!$A$67:'TUSD'!$A$123,$I$2,TUSD!$AM$67:'TUSD'!$AM$123)))))))</f>
        <v>0</v>
      </c>
      <c r="G8" s="38">
        <f>IF($G$2&lt;&gt;"Não se aplica",SUMIF(TUSD!$G$67:'TUSD'!$G$123,$I$2,TUSD!$AN$67:'TUSD'!$AN$123),IF($F$2&lt;&gt;"Não se aplica",SUMIF(TUSD!$F$67:'TUSD'!$F$123,$I$2,TUSD!$AN$67:'TUSD'!$AN$123),IF($E$2&lt;&gt;"Não se aplica",SUMIF(TUSD!$E$67:'TUSD'!$E$123,$I$2,TUSD!$AN$67:'TUSD'!$AN$123),IF($D$2&lt;&gt;"Não se aplica",SUMIF(TUSD!$D$67:'TUSD'!$D$123,$I$2,TUSD!$AN$67:'TUSD'!$AN$123),IF($C$2&lt;&gt;"Não se aplica",SUMIF(TUSD!$C$67:'TUSD'!$C$123,$I$2,TUSD!$AN$67:'TUSD'!$AN$123),IF($B$2&lt;&gt;"Não se aplica",SUMIF(TUSD!$B$67:'TUSD'!$B$123,$I$2,TUSD!$AN$67:'TUSD'!$AN$123),SUMIF(TUSD!$A$67:'TUSD'!$A$123,$I$2,TUSD!$AN$67:'TUSD'!$AN$123)))))))</f>
        <v>1302974.7753836194</v>
      </c>
      <c r="H8" s="38">
        <f>IF($G$2&lt;&gt;"Não se aplica",SUMIF(TUSD!$G$67:'TUSD'!$G$123,$I$2,TUSD!$AO$67:'TUSD'!$AO$123),IF($F$2&lt;&gt;"Não se aplica",SUMIF(TUSD!$F$67:'TUSD'!$F$123,$I$2,TUSD!$AO$67:'TUSD'!$AO$123),IF($E$2&lt;&gt;"Não se aplica",SUMIF(TUSD!$E$67:'TUSD'!$E$123,$I$2,TUSD!$AO$67:'TUSD'!$AO$123),IF($D$2&lt;&gt;"Não se aplica",SUMIF(TUSD!$D$67:'TUSD'!$D$123,$I$2,TUSD!$AO$67:'TUSD'!$AO$123),IF($C$2&lt;&gt;"Não se aplica",SUMIF(TUSD!$C$67:'TUSD'!$C$123,$I$2,TUSD!$AO$67:'TUSD'!$AO$123),IF($B$2&lt;&gt;"Não se aplica",SUMIF(TUSD!$B$67:'TUSD'!$B$123,$I$2,TUSD!$AO$67:'TUSD'!$AO$123),SUMIF(TUSD!$A$67:'TUSD'!$A$123,$I$2,TUSD!$AO$67:'TUSD'!$AO$123)))))))</f>
        <v>663468.58314273413</v>
      </c>
      <c r="I8" s="38">
        <f>IF($G$2&lt;&gt;"Não se aplica",SUMIF(TUSD!$G$67:'TUSD'!$G$123,$I$2,TUSD!$AP$67:'TUSD'!$AP$123),IF($F$2&lt;&gt;"Não se aplica",SUMIF(TUSD!$F$67:'TUSD'!$F$123,$I$2,TUSD!$AP$67:'TUSD'!$AP$123),IF($E$2&lt;&gt;"Não se aplica",SUMIF(TUSD!$E$67:'TUSD'!$E$123,$I$2,TUSD!$AP$67:'TUSD'!$AP$123),IF($D$2&lt;&gt;"Não se aplica",SUMIF(TUSD!$D$67:'TUSD'!$D$123,$I$2,TUSD!$AP$67:'TUSD'!$AP$123),IF($C$2&lt;&gt;"Não se aplica",SUMIF(TUSD!$C$67:'TUSD'!$C$123,$I$2,TUSD!$AP$67:'TUSD'!$AP$123),IF($B$2&lt;&gt;"Não se aplica",SUMIF(TUSD!$B$67:'TUSD'!$B$123,$I$2,TUSD!$AP$67:'TUSD'!$AP$123),SUMIF(TUSD!$A$67:'TUSD'!$A$123,$I$2,TUSD!$AP$67:'TUSD'!$AP$123)))))))</f>
        <v>0</v>
      </c>
      <c r="J8" s="38">
        <f>IF($G$2&lt;&gt;"Não se aplica",SUMIF(TUSD!$G$67:'TUSD'!$G$123,$I$2,TUSD!$AQ$67:'TUSD'!$AQ$123),IF($F$2&lt;&gt;"Não se aplica",SUMIF(TUSD!$F$67:'TUSD'!$F$123,$I$2,TUSD!$AQ$67:'TUSD'!$AQ$123),IF($E$2&lt;&gt;"Não se aplica",SUMIF(TUSD!$E$67:'TUSD'!$E$123,$I$2,TUSD!$AQ$67:'TUSD'!$AQ$123),IF($D$2&lt;&gt;"Não se aplica",SUMIF(TUSD!$D$67:'TUSD'!$D$123,$I$2,TUSD!$AQ$67:'TUSD'!$AQ$123),IF($C$2&lt;&gt;"Não se aplica",SUMIF(TUSD!$C$67:'TUSD'!$C$123,$I$2,TUSD!$AQ$67:'TUSD'!$AQ$123),IF($B$2&lt;&gt;"Não se aplica",SUMIF(TUSD!$B$67:'TUSD'!$B$123,$I$2,TUSD!$AQ$67:'TUSD'!$AQ$123),SUMIF(TUSD!$A$67:'TUSD'!$A$123,$I$2,TUSD!$AQ$67:'TUSD'!$AQ$123)))))))</f>
        <v>2553209.7920608539</v>
      </c>
      <c r="K8" s="38">
        <f>IF($G$2&lt;&gt;"Não se aplica",SUMIF(TUSD!$G$67:'TUSD'!$G$123,$I$2,TUSD!$AR$67:'TUSD'!$AR$123),IF($F$2&lt;&gt;"Não se aplica",SUMIF(TUSD!$F$67:'TUSD'!$F$123,$I$2,TUSD!$AR$67:'TUSD'!$AR$123),IF($E$2&lt;&gt;"Não se aplica",SUMIF(TUSD!$E$67:'TUSD'!$E$123,$I$2,TUSD!$AR$67:'TUSD'!$AR$123),IF($D$2&lt;&gt;"Não se aplica",SUMIF(TUSD!$D$67:'TUSD'!$D$123,$I$2,TUSD!$AR$67:'TUSD'!$AR$123),IF($C$2&lt;&gt;"Não se aplica",SUMIF(TUSD!$C$67:'TUSD'!$C$123,$I$2,TUSD!$AR$67:'TUSD'!$AR$123),IF($B$2&lt;&gt;"Não se aplica",SUMIF(TUSD!$B$67:'TUSD'!$B$123,$I$2,TUSD!$AR$67:'TUSD'!$AR$123),SUMIF(TUSD!$A$67:'TUSD'!$A$123,$I$2,TUSD!$AR$67:'TUSD'!$AR$123)))))))</f>
        <v>939799.48280820251</v>
      </c>
      <c r="L8" s="38">
        <f>IF($G$2&lt;&gt;"Não se aplica",SUMIF(TUSD!$G$67:'TUSD'!$G$123,$I$2,TUSD!$AS$67:'TUSD'!$AS$123),IF($F$2&lt;&gt;"Não se aplica",SUMIF(TUSD!$F$67:'TUSD'!$F$123,$I$2,TUSD!$AS$67:'TUSD'!$AS$123),IF($E$2&lt;&gt;"Não se aplica",SUMIF(TUSD!$E$67:'TUSD'!$E$123,$I$2,TUSD!$AS$67:'TUSD'!$AS$123),IF($D$2&lt;&gt;"Não se aplica",SUMIF(TUSD!$D$67:'TUSD'!$D$123,$I$2,TUSD!$AS$67:'TUSD'!$AS$123),IF($C$2&lt;&gt;"Não se aplica",SUMIF(TUSD!$C$67:'TUSD'!$C$123,$I$2,TUSD!$AS$67:'TUSD'!$AS$123),IF($B$2&lt;&gt;"Não se aplica",SUMIF(TUSD!$B$67:'TUSD'!$B$123,$I$2,TUSD!$AS$67:'TUSD'!$AS$123),SUMIF(TUSD!$A$67:'TUSD'!$A$123,$I$2,TUSD!$AS$67:'TUSD'!$AS$123)))))))</f>
        <v>76687.013394300826</v>
      </c>
      <c r="M8" s="38">
        <f>IF($G$2&lt;&gt;"Não se aplica",SUMIF(TUSD!$G$67:'TUSD'!$G$123,$I$2,TUSD!$AT$67:'TUSD'!$AT$123),IF($F$2&lt;&gt;"Não se aplica",SUMIF(TUSD!$F$67:'TUSD'!$F$123,$I$2,TUSD!$AT$67:'TUSD'!$AT$123),IF($E$2&lt;&gt;"Não se aplica",SUMIF(TUSD!$E$67:'TUSD'!$E$123,$I$2,TUSD!$AT$67:'TUSD'!$AT$123),IF($D$2&lt;&gt;"Não se aplica",SUMIF(TUSD!$D$67:'TUSD'!$D$123,$I$2,TUSD!$AT$67:'TUSD'!$AT$123),IF($C$2&lt;&gt;"Não se aplica",SUMIF(TUSD!$C$67:'TUSD'!$C$123,$I$2,TUSD!$AT$67:'TUSD'!$AT$123),IF($B$2&lt;&gt;"Não se aplica",SUMIF(TUSD!$B$67:'TUSD'!$B$123,$I$2,TUSD!$AT$67:'TUSD'!$AT$123),SUMIF(TUSD!$A$67:'TUSD'!$A$123,$I$2,TUSD!$AT$67:'TUSD'!$AT$123)))))))</f>
        <v>0</v>
      </c>
      <c r="N8" s="38">
        <f>IF($G$2&lt;&gt;"Não se aplica",SUMIF(TUSD!$G$67:'TUSD'!$G$123,$I$2,TUSD!$AU$67:'TUSD'!$AU$123),IF($F$2&lt;&gt;"Não se aplica",SUMIF(TUSD!$F$67:'TUSD'!$F$123,$I$2,TUSD!$AU$67:'TUSD'!$AU$123),IF($E$2&lt;&gt;"Não se aplica",SUMIF(TUSD!$E$67:'TUSD'!$E$123,$I$2,TUSD!$AU$67:'TUSD'!$AU$123),IF($D$2&lt;&gt;"Não se aplica",SUMIF(TUSD!$D$67:'TUSD'!$D$123,$I$2,TUSD!$AU$67:'TUSD'!$AU$123),IF($C$2&lt;&gt;"Não se aplica",SUMIF(TUSD!$C$67:'TUSD'!$C$123,$I$2,TUSD!$AU$67:'TUSD'!$AU$123),IF($B$2&lt;&gt;"Não se aplica",SUMIF(TUSD!$B$67:'TUSD'!$B$123,$I$2,TUSD!$AU$67:'TUSD'!$AU$123),SUMIF(TUSD!$A$67:'TUSD'!$A$123,$I$2,TUSD!$AU$67:'TUSD'!$AU$123)))))))</f>
        <v>2398862.9049732396</v>
      </c>
      <c r="O8" s="38">
        <f>IF($G$2&lt;&gt;"Não se aplica",SUMIF(TUSD!$G$67:'TUSD'!$G$123,$I$2,TUSD!$AV$67:'TUSD'!$AV$123),IF($F$2&lt;&gt;"Não se aplica",SUMIF(TUSD!$F$67:'TUSD'!$F$123,$I$2,TUSD!$AV$67:'TUSD'!$AV$123),IF($E$2&lt;&gt;"Não se aplica",SUMIF(TUSD!$E$67:'TUSD'!$E$123,$I$2,TUSD!$AV$67:'TUSD'!$AV$123),IF($D$2&lt;&gt;"Não se aplica",SUMIF(TUSD!$D$67:'TUSD'!$D$123,$I$2,TUSD!$AV$67:'TUSD'!$AV$123),IF($C$2&lt;&gt;"Não se aplica",SUMIF(TUSD!$C$67:'TUSD'!$C$123,$I$2,TUSD!$AV$67:'TUSD'!$AV$123),IF($B$2&lt;&gt;"Não se aplica",SUMIF(TUSD!$B$67:'TUSD'!$B$123,$I$2,TUSD!$AV$67:'TUSD'!$AV$123),SUMIF(TUSD!$A$67:'TUSD'!$A$123,$I$2,TUSD!$AV$67:'TUSD'!$AV$123)))))))</f>
        <v>0</v>
      </c>
      <c r="P8" s="38">
        <f>IF($G$2&lt;&gt;"Não se aplica",SUMIF(TUSD!$G$67:'TUSD'!$G$123,$I$2,TUSD!$AW$67:'TUSD'!$AW$123),IF($F$2&lt;&gt;"Não se aplica",SUMIF(TUSD!$F$67:'TUSD'!$F$123,$I$2,TUSD!$AW$67:'TUSD'!$AW$123),IF($E$2&lt;&gt;"Não se aplica",SUMIF(TUSD!$E$67:'TUSD'!$E$123,$I$2,TUSD!$AW$67:'TUSD'!$AW$123),IF($D$2&lt;&gt;"Não se aplica",SUMIF(TUSD!$D$67:'TUSD'!$D$123,$I$2,TUSD!$AW$67:'TUSD'!$AW$123),IF($C$2&lt;&gt;"Não se aplica",SUMIF(TUSD!$C$67:'TUSD'!$C$123,$I$2,TUSD!$AW$67:'TUSD'!$AW$123),IF($B$2&lt;&gt;"Não se aplica",SUMIF(TUSD!$B$67:'TUSD'!$B$123,$I$2,TUSD!$AW$67:'TUSD'!$AW$123),SUMIF(TUSD!$A$67:'TUSD'!$A$123,$I$2,TUSD!$AW$67:'TUSD'!$AW$123)))))))</f>
        <v>0</v>
      </c>
      <c r="Q8" s="38">
        <f>IF($G$2&lt;&gt;"Não se aplica",SUMIF(TUSD!$G$67:'TUSD'!$G$123,$I$2,TUSD!$AX$67:'TUSD'!$AX$123),IF($F$2&lt;&gt;"Não se aplica",SUMIF(TUSD!$F$67:'TUSD'!$F$123,$I$2,TUSD!$AX$67:'TUSD'!$AX$123),IF($E$2&lt;&gt;"Não se aplica",SUMIF(TUSD!$E$67:'TUSD'!$E$123,$I$2,TUSD!$AX$67:'TUSD'!$AX$123),IF($D$2&lt;&gt;"Não se aplica",SUMIF(TUSD!$D$67:'TUSD'!$D$123,$I$2,TUSD!$AX$67:'TUSD'!$AX$123),IF($C$2&lt;&gt;"Não se aplica",SUMIF(TUSD!$C$67:'TUSD'!$C$123,$I$2,TUSD!$AX$67:'TUSD'!$AX$123),IF($B$2&lt;&gt;"Não se aplica",SUMIF(TUSD!$B$67:'TUSD'!$B$123,$I$2,TUSD!$AX$67:'TUSD'!$AX$123),SUMIF(TUSD!$A$67:'TUSD'!$A$123,$I$2,TUSD!$AX$67:'TUSD'!$AX$123)))))))</f>
        <v>795742.53656378132</v>
      </c>
      <c r="R8" s="38">
        <f>IF($G$2&lt;&gt;"Não se aplica",SUMIF(TUSD!$G$67:'TUSD'!$G$123,$I$2,TUSD!$AY$67:'TUSD'!$AY$123),IF($F$2&lt;&gt;"Não se aplica",SUMIF(TUSD!$F$67:'TUSD'!$F$123,$I$2,TUSD!$AY$67:'TUSD'!$AY$123),IF($E$2&lt;&gt;"Não se aplica",SUMIF(TUSD!$E$67:'TUSD'!$E$123,$I$2,TUSD!$AY$67:'TUSD'!$AY$123),IF($D$2&lt;&gt;"Não se aplica",SUMIF(TUSD!$D$67:'TUSD'!$D$123,$I$2,TUSD!$AY$67:'TUSD'!$AY$123),IF($C$2&lt;&gt;"Não se aplica",SUMIF(TUSD!$C$67:'TUSD'!$C$123,$I$2,TUSD!$AY$67:'TUSD'!$AY$123),IF($B$2&lt;&gt;"Não se aplica",SUMIF(TUSD!$B$67:'TUSD'!$B$123,$I$2,TUSD!$AY$67:'TUSD'!$AY$123),SUMIF(TUSD!$A$67:'TUSD'!$A$123,$I$2,TUSD!$AY$67:'TUSD'!$AY$123)))))))</f>
        <v>0</v>
      </c>
      <c r="S8" s="38">
        <f>IF($G$2&lt;&gt;"Não se aplica",SUMIF(TUSD!$G$67:'TUSD'!$G$123,$I$2,TUSD!$AZ$67:'TUSD'!$AZ$123),IF($F$2&lt;&gt;"Não se aplica",SUMIF(TUSD!$F$67:'TUSD'!$F$123,$I$2,TUSD!$AZ$67:'TUSD'!$AZ$123),IF($E$2&lt;&gt;"Não se aplica",SUMIF(TUSD!$E$67:'TUSD'!$E$123,$I$2,TUSD!$AZ$67:'TUSD'!$AZ$123),IF($D$2&lt;&gt;"Não se aplica",SUMIF(TUSD!$D$67:'TUSD'!$D$123,$I$2,TUSD!$AZ$67:'TUSD'!$AZ$123),IF($C$2&lt;&gt;"Não se aplica",SUMIF(TUSD!$C$67:'TUSD'!$C$123,$I$2,TUSD!$AZ$67:'TUSD'!$AZ$123),IF($B$2&lt;&gt;"Não se aplica",SUMIF(TUSD!$B$67:'TUSD'!$B$123,$I$2,TUSD!$AZ$67:'TUSD'!$AZ$123),SUMIF(TUSD!$A$67:'TUSD'!$A$123,$I$2,TUSD!$AZ$67:'TUSD'!$AZ$123)))))))</f>
        <v>0</v>
      </c>
      <c r="T8" s="38">
        <f>IF($G$2&lt;&gt;"Não se aplica",SUMIF(TUSD!$G$67:'TUSD'!$G$123,$I$2,TUSD!$BA$67:'TUSD'!$BA$123),IF($F$2&lt;&gt;"Não se aplica",SUMIF(TUSD!$F$67:'TUSD'!$F$123,$I$2,TUSD!$BA$67:'TUSD'!$BA$123),IF($E$2&lt;&gt;"Não se aplica",SUMIF(TUSD!$E$67:'TUSD'!$E$123,$I$2,TUSD!$BA$67:'TUSD'!$BA$123),IF($D$2&lt;&gt;"Não se aplica",SUMIF(TUSD!$D$67:'TUSD'!$D$123,$I$2,TUSD!$BA$67:'TUSD'!$BA$123),IF($C$2&lt;&gt;"Não se aplica",SUMIF(TUSD!$C$67:'TUSD'!$C$123,$I$2,TUSD!$BA$67:'TUSD'!$BA$123),IF($B$2&lt;&gt;"Não se aplica",SUMIF(TUSD!$B$67:'TUSD'!$B$123,$I$2,TUSD!$BA$67:'TUSD'!$BA$123),SUMIF(TUSD!$A$67:'TUSD'!$A$123,$I$2,TUSD!$BA$67:'TUSD'!$BA$123)))))))</f>
        <v>311205.19956696103</v>
      </c>
      <c r="U8" s="38">
        <f>IF($G$2&lt;&gt;"Não se aplica",SUMIF(TUSD!$G$67:'TUSD'!$G$123,$I$2,TUSD!$BB$67:'TUSD'!$BB$123),IF($F$2&lt;&gt;"Não se aplica",SUMIF(TUSD!$F$67:'TUSD'!$F$123,$I$2,TUSD!$BB$67:'TUSD'!$BB$123),IF($E$2&lt;&gt;"Não se aplica",SUMIF(TUSD!$E$67:'TUSD'!$E$123,$I$2,TUSD!$BB$67:'TUSD'!$BB$123),IF($D$2&lt;&gt;"Não se aplica",SUMIF(TUSD!$D$67:'TUSD'!$D$123,$I$2,TUSD!$BB$67:'TUSD'!$BB$123),IF($C$2&lt;&gt;"Não se aplica",SUMIF(TUSD!$C$67:'TUSD'!$C$123,$I$2,TUSD!$BB$67:'TUSD'!$BB$123),IF($B$2&lt;&gt;"Não se aplica",SUMIF(TUSD!$B$67:'TUSD'!$B$123,$I$2,TUSD!$BB$67:'TUSD'!$BB$123),SUMIF(TUSD!$A$67:'TUSD'!$A$123,$I$2,TUSD!$BB$67:'TUSD'!$BB$123)))))))</f>
        <v>7607.6150991536852</v>
      </c>
      <c r="V8" s="38">
        <f>IF($G$2&lt;&gt;"Não se aplica",SUMIF(TUSD!$G$67:'TUSD'!$G$123,$I$2,TUSD!$BC$67:'TUSD'!$BC$123),IF($F$2&lt;&gt;"Não se aplica",SUMIF(TUSD!$F$67:'TUSD'!$F$123,$I$2,TUSD!$BC$67:'TUSD'!$BC$123),IF($E$2&lt;&gt;"Não se aplica",SUMIF(TUSD!$E$67:'TUSD'!$E$123,$I$2,TUSD!$BC$67:'TUSD'!$BC$123),IF($D$2&lt;&gt;"Não se aplica",SUMIF(TUSD!$D$67:'TUSD'!$D$123,$I$2,TUSD!$BC$67:'TUSD'!$BC$123),IF($C$2&lt;&gt;"Não se aplica",SUMIF(TUSD!$C$67:'TUSD'!$C$123,$I$2,TUSD!$BC$67:'TUSD'!$BC$123),IF($B$2&lt;&gt;"Não se aplica",SUMIF(TUSD!$B$67:'TUSD'!$B$123,$I$2,TUSD!$BC$67:'TUSD'!$BC$123),SUMIF(TUSD!$A$67:'TUSD'!$A$123,$I$2,TUSD!$BC$67:'TUSD'!$BC$123)))))))</f>
        <v>50731.403718365575</v>
      </c>
      <c r="W8" s="38">
        <f>IF($G$2&lt;&gt;"Não se aplica",SUMIF(TUSD!$G$67:'TUSD'!$G$123,$I$2,TUSD!$BD$67:'TUSD'!$BD$123),IF($F$2&lt;&gt;"Não se aplica",SUMIF(TUSD!$F$67:'TUSD'!$F$123,$I$2,TUSD!$BD$67:'TUSD'!$BD$123),IF($E$2&lt;&gt;"Não se aplica",SUMIF(TUSD!$E$67:'TUSD'!$E$123,$I$2,TUSD!$BD$67:'TUSD'!$BD$123),IF($D$2&lt;&gt;"Não se aplica",SUMIF(TUSD!$D$67:'TUSD'!$D$123,$I$2,TUSD!$BD$67:'TUSD'!$BD$123),IF($C$2&lt;&gt;"Não se aplica",SUMIF(TUSD!$C$67:'TUSD'!$C$123,$I$2,TUSD!$BD$67:'TUSD'!$BD$123),IF($B$2&lt;&gt;"Não se aplica",SUMIF(TUSD!$B$67:'TUSD'!$B$123,$I$2,TUSD!$BD$67:'TUSD'!$BD$123),SUMIF(TUSD!$A$67:'TUSD'!$A$123,$I$2,TUSD!$BD$67:'TUSD'!$BD$123)))))))</f>
        <v>0</v>
      </c>
      <c r="X8" s="38">
        <f t="shared" si="0"/>
        <v>9114995.6290212628</v>
      </c>
      <c r="AB8" s="14" t="s">
        <v>93</v>
      </c>
      <c r="AD8" s="14" t="s">
        <v>95</v>
      </c>
      <c r="AG8" s="14" t="s">
        <v>91</v>
      </c>
    </row>
    <row r="9" spans="1:33" x14ac:dyDescent="0.2">
      <c r="A9" s="14" t="s">
        <v>1368</v>
      </c>
      <c r="B9" s="38">
        <f>IF($G$2&lt;&gt;"Não se aplica",SUMIF(TUSD!$G$67:'TUSD'!$G$123,$I$2,TUSD!$L$67:'TUSD'!$L$123),IF($F$2&lt;&gt;"Não se aplica",SUMIF(TUSD!$F$67:'TUSD'!$F$123,$I$2,TUSD!$L$67:'TUSD'!$L$123),IF($E$2&lt;&gt;"Não se aplica",SUMIF(TUSD!$E$67:'TUSD'!$E$123,$I$2,TUSD!$L$67:'TUSD'!$L$123),IF($D$2&lt;&gt;"Não se aplica",SUMIF(TUSD!$D$67:'TUSD'!$D$123,$I$2,TUSD!$L$67:'TUSD'!$L$123),IF($C$2&lt;&gt;"Não se aplica",SUMIF(TUSD!$C$67:'TUSD'!$C$123,$I$2,TUSD!$L$67:'TUSD'!$L$123),IF($B$2&lt;&gt;"Não se aplica",SUMIF(TUSD!$B$67:'TUSD'!$B$123,$I$2,TUSD!$L$67:'TUSD'!$L$123),SUMIF(TUSD!$A$67:'TUSD'!$A$123,$I$2,TUSD!$L$67:'TUSD'!$L$123)))))))</f>
        <v>84074.856436308371</v>
      </c>
      <c r="C9" s="38">
        <f>IF($G$2&lt;&gt;"Não se aplica",SUMIF(TUSD!$G$67:'TUSD'!$G$123,$I$2,TUSD!$M$67:'TUSD'!$M$123),IF($F$2&lt;&gt;"Não se aplica",SUMIF(TUSD!$F$67:'TUSD'!$F$123,$I$2,TUSD!$M$67:'TUSD'!$M$123),IF($E$2&lt;&gt;"Não se aplica",SUMIF(TUSD!$E$67:'TUSD'!$E$123,$I$2,TUSD!$M$67:'TUSD'!$M$123),IF($D$2&lt;&gt;"Não se aplica",SUMIF(TUSD!$D$67:'TUSD'!$D$123,$I$2,TUSD!$M$67:'TUSD'!$M$123),IF($C$2&lt;&gt;"Não se aplica",SUMIF(TUSD!$C$67:'TUSD'!$C$123,$I$2,TUSD!$M$67:'TUSD'!$M$123),IF($B$2&lt;&gt;"Não se aplica",SUMIF(TUSD!$B$67:'TUSD'!$B$123,$I$2,TUSD!$M$67:'TUSD'!$M$123),SUMIF(TUSD!$A$67:'TUSD'!$A$123,$I$2,TUSD!$M$67:'TUSD'!$M$123)))))))</f>
        <v>3826.3850420564199</v>
      </c>
      <c r="D9" s="38">
        <f ca="1">IF($G$2&lt;&gt;"Não se aplica",SUMIF(TUSD!$G$67:'TUSD'!$G$123,$I$2,TUSD!$N$67:'TUSD'!$N$123),IF($F$2&lt;&gt;"Não se aplica",SUMIF(TUSD!$F$67:'TUSD'!$F$123,$I$2,TUSD!$N$67:'TUSD'!$N$123),IF($E$2&lt;&gt;"Não se aplica",SUMIF(TUSD!$E$67:'TUSD'!$E$123,$I$2,TUSD!$N$67:'TUSD'!$N$123),IF($D$2&lt;&gt;"Não se aplica",SUMIF(TUSD!$D$67:'TUSD'!$D$123,$I$2,TUSD!$N$67:'TUSD'!$N$123),IF($C$2&lt;&gt;"Não se aplica",SUMIF(TUSD!$C$67:'TUSD'!$C$123,$I$2,TUSD!$N$67:'TUSD'!$N$123),IF($B$2&lt;&gt;"Não se aplica",SUMIF(TUSD!$B$67:'TUSD'!$B$123,$I$2,TUSD!$N$67:'TUSD'!$N$123),SUMIF(TUSD!$A$67:'TUSD'!$A$123,$I$2,TUSD!$N$67:'TUSD'!$N$123)))))))</f>
        <v>6907.5136733297022</v>
      </c>
      <c r="E9" s="38">
        <f>IF($G$2&lt;&gt;"Não se aplica",SUMIF(TUSD!$G$67:'TUSD'!$G$123,$I$2,TUSD!$O$67:'TUSD'!$O$123),IF($F$2&lt;&gt;"Não se aplica",SUMIF(TUSD!$F$67:'TUSD'!$F$123,$I$2,TUSD!$O$67:'TUSD'!$O$123),IF($E$2&lt;&gt;"Não se aplica",SUMIF(TUSD!$E$67:'TUSD'!$E$123,$I$2,TUSD!$O$67:'TUSD'!$O$123),IF($D$2&lt;&gt;"Não se aplica",SUMIF(TUSD!$D$67:'TUSD'!$D$123,$I$2,TUSD!$O$67:'TUSD'!$O$123),IF($C$2&lt;&gt;"Não se aplica",SUMIF(TUSD!$C$67:'TUSD'!$C$123,$I$2,TUSD!$O$67:'TUSD'!$O$123),IF($B$2&lt;&gt;"Não se aplica",SUMIF(TUSD!$B$67:'TUSD'!$B$123,$I$2,TUSD!$O$67:'TUSD'!$O$123),SUMIF(TUSD!$A$67:'TUSD'!$A$123,$I$2,TUSD!$O$67:'TUSD'!$O$123)))))))</f>
        <v>2607.6632326432527</v>
      </c>
      <c r="F9" s="38">
        <f>IF($G$2&lt;&gt;"Não se aplica",SUMIF(TUSD!$G$67:'TUSD'!$G$123,$I$2,TUSD!$P$67:'TUSD'!$P$123),IF($F$2&lt;&gt;"Não se aplica",SUMIF(TUSD!$F$67:'TUSD'!$F$123,$I$2,TUSD!$P$67:'TUSD'!$P$123),IF($E$2&lt;&gt;"Não se aplica",SUMIF(TUSD!$E$67:'TUSD'!$E$123,$I$2,TUSD!$P$67:'TUSD'!$P$123),IF($D$2&lt;&gt;"Não se aplica",SUMIF(TUSD!$D$67:'TUSD'!$D$123,$I$2,TUSD!$P$67:'TUSD'!$P$123),IF($C$2&lt;&gt;"Não se aplica",SUMIF(TUSD!$C$67:'TUSD'!$C$123,$I$2,TUSD!$P$67:'TUSD'!$P$123),IF($B$2&lt;&gt;"Não se aplica",SUMIF(TUSD!$B$67:'TUSD'!$B$123,$I$2,TUSD!$P$67:'TUSD'!$P$123),SUMIF(TUSD!$A$67:'TUSD'!$A$123,$I$2,TUSD!$P$67:'TUSD'!$P$123)))))))</f>
        <v>0</v>
      </c>
      <c r="G9" s="38">
        <f>IF($G$2&lt;&gt;"Não se aplica",SUMIF(TUSD!$G$67:'TUSD'!$G$123,$I$2,TUSD!$Q$67:'TUSD'!$Q$123),IF($F$2&lt;&gt;"Não se aplica",SUMIF(TUSD!$F$67:'TUSD'!$F$123,$I$2,TUSD!$Q$67:'TUSD'!$Q$123),IF($E$2&lt;&gt;"Não se aplica",SUMIF(TUSD!$E$67:'TUSD'!$E$123,$I$2,TUSD!$Q$67:'TUSD'!$Q$123),IF($D$2&lt;&gt;"Não se aplica",SUMIF(TUSD!$D$67:'TUSD'!$D$123,$I$2,TUSD!$Q$67:'TUSD'!$Q$123),IF($C$2&lt;&gt;"Não se aplica",SUMIF(TUSD!$C$67:'TUSD'!$C$123,$I$2,TUSD!$Q$67:'TUSD'!$Q$123),IF($B$2&lt;&gt;"Não se aplica",SUMIF(TUSD!$B$67:'TUSD'!$B$123,$I$2,TUSD!$Q$67:'TUSD'!$Q$123),SUMIF(TUSD!$A$67:'TUSD'!$A$123,$I$2,TUSD!$Q$67:'TUSD'!$Q$123)))))))</f>
        <v>1502749.6725193001</v>
      </c>
      <c r="H9" s="38">
        <f>IF($G$2&lt;&gt;"Não se aplica",SUMIF(TUSD!$G$67:'TUSD'!$G$123,$I$2,TUSD!$R$67:'TUSD'!$R$123),IF($F$2&lt;&gt;"Não se aplica",SUMIF(TUSD!$F$67:'TUSD'!$F$123,$I$2,TUSD!$R$67:'TUSD'!$R$123),IF($E$2&lt;&gt;"Não se aplica",SUMIF(TUSD!$E$67:'TUSD'!$E$123,$I$2,TUSD!$R$67:'TUSD'!$R$123),IF($D$2&lt;&gt;"Não se aplica",SUMIF(TUSD!$D$67:'TUSD'!$D$123,$I$2,TUSD!$R$67:'TUSD'!$R$123),IF($C$2&lt;&gt;"Não se aplica",SUMIF(TUSD!$C$67:'TUSD'!$C$123,$I$2,TUSD!$R$67:'TUSD'!$R$123),IF($B$2&lt;&gt;"Não se aplica",SUMIF(TUSD!$B$67:'TUSD'!$B$123,$I$2,TUSD!$R$67:'TUSD'!$R$123),SUMIF(TUSD!$A$67:'TUSD'!$A$123,$I$2,TUSD!$R$67:'TUSD'!$R$123)))))))</f>
        <v>1000186.5694444135</v>
      </c>
      <c r="I9" s="38">
        <f>IF($G$2&lt;&gt;"Não se aplica",SUMIF(TUSD!$G$67:'TUSD'!$G$123,$I$2,TUSD!$S$67:'TUSD'!$S$123),IF($F$2&lt;&gt;"Não se aplica",SUMIF(TUSD!$F$67:'TUSD'!$F$123,$I$2,TUSD!$S$67:'TUSD'!$S$123),IF($E$2&lt;&gt;"Não se aplica",SUMIF(TUSD!$E$67:'TUSD'!$E$123,$I$2,TUSD!$S$67:'TUSD'!$S$123),IF($D$2&lt;&gt;"Não se aplica",SUMIF(TUSD!$D$67:'TUSD'!$D$123,$I$2,TUSD!$S$67:'TUSD'!$S$123),IF($C$2&lt;&gt;"Não se aplica",SUMIF(TUSD!$C$67:'TUSD'!$C$123,$I$2,TUSD!$S$67:'TUSD'!$S$123),IF($B$2&lt;&gt;"Não se aplica",SUMIF(TUSD!$B$67:'TUSD'!$B$123,$I$2,TUSD!$S$67:'TUSD'!$S$123),SUMIF(TUSD!$A$67:'TUSD'!$A$123,$I$2,TUSD!$S$67:'TUSD'!$S$123)))))))</f>
        <v>0</v>
      </c>
      <c r="J9" s="38">
        <f>IF($G$2&lt;&gt;"Não se aplica",SUMIF(TUSD!$G$67:'TUSD'!$G$123,$I$2,TUSD!$T$67:'TUSD'!$T$123),IF($F$2&lt;&gt;"Não se aplica",SUMIF(TUSD!$F$67:'TUSD'!$F$123,$I$2,TUSD!$T$67:'TUSD'!$T$123),IF($E$2&lt;&gt;"Não se aplica",SUMIF(TUSD!$E$67:'TUSD'!$E$123,$I$2,TUSD!$T$67:'TUSD'!$T$123),IF($D$2&lt;&gt;"Não se aplica",SUMIF(TUSD!$D$67:'TUSD'!$D$123,$I$2,TUSD!$T$67:'TUSD'!$T$123),IF($C$2&lt;&gt;"Não se aplica",SUMIF(TUSD!$C$67:'TUSD'!$C$123,$I$2,TUSD!$T$67:'TUSD'!$T$123),IF($B$2&lt;&gt;"Não se aplica",SUMIF(TUSD!$B$67:'TUSD'!$B$123,$I$2,TUSD!$T$67:'TUSD'!$T$123),SUMIF(TUSD!$A$67:'TUSD'!$A$123,$I$2,TUSD!$T$67:'TUSD'!$T$123)))))))</f>
        <v>2530204.4220544798</v>
      </c>
      <c r="K9" s="38">
        <f>IF($G$2&lt;&gt;"Não se aplica",SUMIF(TUSD!$G$67:'TUSD'!$G$123,$I$2,TUSD!$U$67:'TUSD'!$U$123),IF($F$2&lt;&gt;"Não se aplica",SUMIF(TUSD!$F$67:'TUSD'!$F$123,$I$2,TUSD!$U$67:'TUSD'!$U$123),IF($E$2&lt;&gt;"Não se aplica",SUMIF(TUSD!$E$67:'TUSD'!$E$123,$I$2,TUSD!$U$67:'TUSD'!$U$123),IF($D$2&lt;&gt;"Não se aplica",SUMIF(TUSD!$D$67:'TUSD'!$D$123,$I$2,TUSD!$U$67:'TUSD'!$U$123),IF($C$2&lt;&gt;"Não se aplica",SUMIF(TUSD!$C$67:'TUSD'!$C$123,$I$2,TUSD!$U$67:'TUSD'!$U$123),IF($B$2&lt;&gt;"Não se aplica",SUMIF(TUSD!$B$67:'TUSD'!$B$123,$I$2,TUSD!$U$67:'TUSD'!$U$123),SUMIF(TUSD!$A$67:'TUSD'!$A$123,$I$2,TUSD!$U$67:'TUSD'!$U$123)))))))</f>
        <v>689956.37710117572</v>
      </c>
      <c r="L9" s="38">
        <f>IF($G$2&lt;&gt;"Não se aplica",SUMIF(TUSD!$G$67:'TUSD'!$G$123,$I$2,TUSD!$V$67:'TUSD'!$V$123),IF($F$2&lt;&gt;"Não se aplica",SUMIF(TUSD!$F$67:'TUSD'!$F$123,$I$2,TUSD!$V$67:'TUSD'!$V$123),IF($E$2&lt;&gt;"Não se aplica",SUMIF(TUSD!$E$67:'TUSD'!$E$123,$I$2,TUSD!$V$67:'TUSD'!$V$123),IF($D$2&lt;&gt;"Não se aplica",SUMIF(TUSD!$D$67:'TUSD'!$D$123,$I$2,TUSD!$V$67:'TUSD'!$V$123),IF($C$2&lt;&gt;"Não se aplica",SUMIF(TUSD!$C$67:'TUSD'!$C$123,$I$2,TUSD!$V$67:'TUSD'!$V$123),IF($B$2&lt;&gt;"Não se aplica",SUMIF(TUSD!$B$67:'TUSD'!$B$123,$I$2,TUSD!$V$67:'TUSD'!$V$123),SUMIF(TUSD!$A$67:'TUSD'!$A$123,$I$2,TUSD!$V$67:'TUSD'!$V$123)))))))</f>
        <v>58201.474789585933</v>
      </c>
      <c r="M9" s="38">
        <f>IF($G$2&lt;&gt;"Não se aplica",SUMIF(TUSD!$G$67:'TUSD'!$G$123,$I$2,TUSD!$W$67:'TUSD'!$W$123),IF($F$2&lt;&gt;"Não se aplica",SUMIF(TUSD!$F$67:'TUSD'!$F$123,$I$2,TUSD!$W$67:'TUSD'!$W$123),IF($E$2&lt;&gt;"Não se aplica",SUMIF(TUSD!$E$67:'TUSD'!$E$123,$I$2,TUSD!$W$67:'TUSD'!$W$123),IF($D$2&lt;&gt;"Não se aplica",SUMIF(TUSD!$D$67:'TUSD'!$D$123,$I$2,TUSD!$W$67:'TUSD'!$W$123),IF($C$2&lt;&gt;"Não se aplica",SUMIF(TUSD!$C$67:'TUSD'!$C$123,$I$2,TUSD!$W$67:'TUSD'!$W$123),IF($B$2&lt;&gt;"Não se aplica",SUMIF(TUSD!$B$67:'TUSD'!$B$123,$I$2,TUSD!$W$67:'TUSD'!$W$123),SUMIF(TUSD!$A$67:'TUSD'!$A$123,$I$2,TUSD!$W$67:'TUSD'!$W$123)))))))</f>
        <v>0</v>
      </c>
      <c r="N9" s="38">
        <f>IF($G$2&lt;&gt;"Não se aplica",SUMIF(TUSD!$G$67:'TUSD'!$G$123,$I$2,TUSD!$X$67:'TUSD'!$X$123),IF($F$2&lt;&gt;"Não se aplica",SUMIF(TUSD!$F$67:'TUSD'!$F$123,$I$2,TUSD!$X$67:'TUSD'!$X$123),IF($E$2&lt;&gt;"Não se aplica",SUMIF(TUSD!$E$67:'TUSD'!$E$123,$I$2,TUSD!$X$67:'TUSD'!$X$123),IF($D$2&lt;&gt;"Não se aplica",SUMIF(TUSD!$D$67:'TUSD'!$D$123,$I$2,TUSD!$X$67:'TUSD'!$X$123),IF($C$2&lt;&gt;"Não se aplica",SUMIF(TUSD!$C$67:'TUSD'!$C$123,$I$2,TUSD!$X$67:'TUSD'!$X$123),IF($B$2&lt;&gt;"Não se aplica",SUMIF(TUSD!$B$67:'TUSD'!$B$123,$I$2,TUSD!$X$67:'TUSD'!$X$123),SUMIF(TUSD!$A$67:'TUSD'!$A$123,$I$2,TUSD!$X$67:'TUSD'!$X$123)))))))</f>
        <v>2120546.9545837794</v>
      </c>
      <c r="O9" s="38">
        <f>IF($G$2&lt;&gt;"Não se aplica",SUMIF(TUSD!$G$67:'TUSD'!$G$123,$I$2,TUSD!$Y$67:'TUSD'!$Y$123),IF($F$2&lt;&gt;"Não se aplica",SUMIF(TUSD!$F$67:'TUSD'!$F$123,$I$2,TUSD!$Y$67:'TUSD'!$Y$123),IF($E$2&lt;&gt;"Não se aplica",SUMIF(TUSD!$E$67:'TUSD'!$E$123,$I$2,TUSD!$Y$67:'TUSD'!$Y$123),IF($D$2&lt;&gt;"Não se aplica",SUMIF(TUSD!$D$67:'TUSD'!$D$123,$I$2,TUSD!$Y$67:'TUSD'!$Y$123),IF($C$2&lt;&gt;"Não se aplica",SUMIF(TUSD!$C$67:'TUSD'!$C$123,$I$2,TUSD!$Y$67:'TUSD'!$Y$123),IF($B$2&lt;&gt;"Não se aplica",SUMIF(TUSD!$B$67:'TUSD'!$B$123,$I$2,TUSD!$Y$67:'TUSD'!$Y$123),SUMIF(TUSD!$A$67:'TUSD'!$A$123,$I$2,TUSD!$Y$67:'TUSD'!$Y$123)))))))</f>
        <v>0</v>
      </c>
      <c r="P9" s="38">
        <f>IF($G$2&lt;&gt;"Não se aplica",SUMIF(TUSD!$G$67:'TUSD'!$G$123,$I$2,TUSD!$Z$67:'TUSD'!$Z$123),IF($F$2&lt;&gt;"Não se aplica",SUMIF(TUSD!$F$67:'TUSD'!$F$123,$I$2,TUSD!$Z$67:'TUSD'!$Z$123),IF($E$2&lt;&gt;"Não se aplica",SUMIF(TUSD!$E$67:'TUSD'!$E$123,$I$2,TUSD!$Z$67:'TUSD'!$Z$123),IF($D$2&lt;&gt;"Não se aplica",SUMIF(TUSD!$D$67:'TUSD'!$D$123,$I$2,TUSD!$Z$67:'TUSD'!$Z$123),IF($C$2&lt;&gt;"Não se aplica",SUMIF(TUSD!$C$67:'TUSD'!$C$123,$I$2,TUSD!$Z$67:'TUSD'!$Z$123),IF($B$2&lt;&gt;"Não se aplica",SUMIF(TUSD!$B$67:'TUSD'!$B$123,$I$2,TUSD!$Z$67:'TUSD'!$Z$123),SUMIF(TUSD!$A$67:'TUSD'!$A$123,$I$2,TUSD!$Z$67:'TUSD'!$Z$123)))))))</f>
        <v>0</v>
      </c>
      <c r="Q9" s="38">
        <f>IF($G$2&lt;&gt;"Não se aplica",SUMIF(TUSD!$G$67:'TUSD'!$G$123,$I$2,TUSD!$AA$67:'TUSD'!$AA$123),IF($F$2&lt;&gt;"Não se aplica",SUMIF(TUSD!$F$67:'TUSD'!$F$123,$I$2,TUSD!$AA$67:'TUSD'!$AA$123),IF($E$2&lt;&gt;"Não se aplica",SUMIF(TUSD!$E$67:'TUSD'!$E$123,$I$2,TUSD!$AA$67:'TUSD'!$AA$123),IF($D$2&lt;&gt;"Não se aplica",SUMIF(TUSD!$D$67:'TUSD'!$D$123,$I$2,TUSD!$AA$67:'TUSD'!$AA$123),IF($C$2&lt;&gt;"Não se aplica",SUMIF(TUSD!$C$67:'TUSD'!$C$123,$I$2,TUSD!$AA$67:'TUSD'!$AA$123),IF($B$2&lt;&gt;"Não se aplica",SUMIF(TUSD!$B$67:'TUSD'!$B$123,$I$2,TUSD!$AA$67:'TUSD'!$AA$123),SUMIF(TUSD!$A$67:'TUSD'!$A$123,$I$2,TUSD!$AA$67:'TUSD'!$AA$123)))))))</f>
        <v>945909.67030660145</v>
      </c>
      <c r="R9" s="38">
        <f ca="1">IF($G$2&lt;&gt;"Não se aplica",SUMIF(TUSD!$G$67:'TUSD'!$G$123,$I$2,TUSD!$AB$67:'TUSD'!$AB$123),IF($F$2&lt;&gt;"Não se aplica",SUMIF(TUSD!$F$67:'TUSD'!$F$123,$I$2,TUSD!$AB$67:'TUSD'!$AB$123),IF($E$2&lt;&gt;"Não se aplica",SUMIF(TUSD!$E$67:'TUSD'!$E$123,$I$2,TUSD!$AB$67:'TUSD'!$AB$123),IF($D$2&lt;&gt;"Não se aplica",SUMIF(TUSD!$D$67:'TUSD'!$D$123,$I$2,TUSD!$AB$67:'TUSD'!$AB$123),IF($C$2&lt;&gt;"Não se aplica",SUMIF(TUSD!$C$67:'TUSD'!$C$123,$I$2,TUSD!$AB$67:'TUSD'!$AB$123),IF($B$2&lt;&gt;"Não se aplica",SUMIF(TUSD!$B$67:'TUSD'!$B$123,$I$2,TUSD!$AB$67:'TUSD'!$AB$123),SUMIF(TUSD!$A$67:'TUSD'!$A$123,$I$2,TUSD!$AB$67:'TUSD'!$AB$123)))))))</f>
        <v>-427777.48001359147</v>
      </c>
      <c r="S9" s="38">
        <f ca="1">IF($G$2&lt;&gt;"Não se aplica",SUMIF(TUSD!$G$67:'TUSD'!$G$123,$I$2,TUSD!$AC$67:'TUSD'!$AC$123),IF($F$2&lt;&gt;"Não se aplica",SUMIF(TUSD!$F$67:'TUSD'!$F$123,$I$2,TUSD!$AC$67:'TUSD'!$AC$123),IF($E$2&lt;&gt;"Não se aplica",SUMIF(TUSD!$E$67:'TUSD'!$E$123,$I$2,TUSD!$AC$67:'TUSD'!$AC$123),IF($D$2&lt;&gt;"Não se aplica",SUMIF(TUSD!$D$67:'TUSD'!$D$123,$I$2,TUSD!$AC$67:'TUSD'!$AC$123),IF($C$2&lt;&gt;"Não se aplica",SUMIF(TUSD!$C$67:'TUSD'!$C$123,$I$2,TUSD!$AC$67:'TUSD'!$AC$123),IF($B$2&lt;&gt;"Não se aplica",SUMIF(TUSD!$B$67:'TUSD'!$B$123,$I$2,TUSD!$AC$67:'TUSD'!$AC$123),SUMIF(TUSD!$A$67:'TUSD'!$A$123,$I$2,TUSD!$AC$67:'TUSD'!$AC$123)))))))</f>
        <v>0</v>
      </c>
      <c r="T9" s="38">
        <f>IF($G$2&lt;&gt;"Não se aplica",SUMIF(TUSD!$G$67:'TUSD'!$G$123,$I$2,TUSD!$AD$67:'TUSD'!$AD$123),IF($F$2&lt;&gt;"Não se aplica",SUMIF(TUSD!$F$67:'TUSD'!$F$123,$I$2,TUSD!$AD$67:'TUSD'!$AD$123),IF($E$2&lt;&gt;"Não se aplica",SUMIF(TUSD!$E$67:'TUSD'!$E$123,$I$2,TUSD!$AD$67:'TUSD'!$AD$123),IF($D$2&lt;&gt;"Não se aplica",SUMIF(TUSD!$D$67:'TUSD'!$D$123,$I$2,TUSD!$AD$67:'TUSD'!$AD$123),IF($C$2&lt;&gt;"Não se aplica",SUMIF(TUSD!$C$67:'TUSD'!$C$123,$I$2,TUSD!$AD$67:'TUSD'!$AD$123),IF($B$2&lt;&gt;"Não se aplica",SUMIF(TUSD!$B$67:'TUSD'!$B$123,$I$2,TUSD!$AD$67:'TUSD'!$AD$123),SUMIF(TUSD!$A$67:'TUSD'!$A$123,$I$2,TUSD!$AD$67:'TUSD'!$AD$123)))))))</f>
        <v>339368.34784640686</v>
      </c>
      <c r="U9" s="38">
        <f>IF($G$2&lt;&gt;"Não se aplica",SUMIF(TUSD!$G$67:'TUSD'!$G$123,$I$2,TUSD!$AE$67:'TUSD'!$AE$123),IF($F$2&lt;&gt;"Não se aplica",SUMIF(TUSD!$F$67:'TUSD'!$F$123,$I$2,TUSD!$AE$67:'TUSD'!$AE$123),IF($E$2&lt;&gt;"Não se aplica",SUMIF(TUSD!$E$67:'TUSD'!$E$123,$I$2,TUSD!$AE$67:'TUSD'!$AE$123),IF($D$2&lt;&gt;"Não se aplica",SUMIF(TUSD!$D$67:'TUSD'!$D$123,$I$2,TUSD!$AE$67:'TUSD'!$AE$123),IF($C$2&lt;&gt;"Não se aplica",SUMIF(TUSD!$C$67:'TUSD'!$C$123,$I$2,TUSD!$AE$67:'TUSD'!$AE$123),IF($B$2&lt;&gt;"Não se aplica",SUMIF(TUSD!$B$67:'TUSD'!$B$123,$I$2,TUSD!$AE$67:'TUSD'!$AE$123),SUMIF(TUSD!$A$67:'TUSD'!$A$123,$I$2,TUSD!$AE$67:'TUSD'!$AE$123)))))))</f>
        <v>8001.3792451910058</v>
      </c>
      <c r="V9" s="38">
        <f ca="1">IF($G$2&lt;&gt;"Não se aplica",SUMIF(TUSD!$G$67:'TUSD'!$G$123,$I$2,TUSD!$AF$67:'TUSD'!$AF$123),IF($F$2&lt;&gt;"Não se aplica",SUMIF(TUSD!$F$67:'TUSD'!$F$123,$I$2,TUSD!$AF$67:'TUSD'!$AF$123),IF($E$2&lt;&gt;"Não se aplica",SUMIF(TUSD!$E$67:'TUSD'!$E$123,$I$2,TUSD!$AF$67:'TUSD'!$AF$123),IF($D$2&lt;&gt;"Não se aplica",SUMIF(TUSD!$D$67:'TUSD'!$D$123,$I$2,TUSD!$AF$67:'TUSD'!$AF$123),IF($C$2&lt;&gt;"Não se aplica",SUMIF(TUSD!$C$67:'TUSD'!$C$123,$I$2,TUSD!$AF$67:'TUSD'!$AF$123),IF($B$2&lt;&gt;"Não se aplica",SUMIF(TUSD!$B$67:'TUSD'!$B$123,$I$2,TUSD!$AF$67:'TUSD'!$AF$123),SUMIF(TUSD!$A$67:'TUSD'!$A$123,$I$2,TUSD!$AF$67:'TUSD'!$AF$123)))))))</f>
        <v>50142.453325351576</v>
      </c>
      <c r="W9" s="38">
        <f ca="1">IF($G$2&lt;&gt;"Não se aplica",SUMIF(TUSD!$G$67:'TUSD'!$G$123,$I$2,TUSD!$AG$67:'TUSD'!$AG$123),IF($F$2&lt;&gt;"Não se aplica",SUMIF(TUSD!$F$67:'TUSD'!$F$123,$I$2,TUSD!$AG$67:'TUSD'!$AG$123),IF($E$2&lt;&gt;"Não se aplica",SUMIF(TUSD!$E$67:'TUSD'!$E$123,$I$2,TUSD!$AG$67:'TUSD'!$AG$123),IF($D$2&lt;&gt;"Não se aplica",SUMIF(TUSD!$D$67:'TUSD'!$D$123,$I$2,TUSD!$AG$67:'TUSD'!$AG$123),IF($C$2&lt;&gt;"Não se aplica",SUMIF(TUSD!$C$67:'TUSD'!$C$123,$I$2,TUSD!$AG$67:'TUSD'!$AG$123),IF($B$2&lt;&gt;"Não se aplica",SUMIF(TUSD!$B$67:'TUSD'!$B$123,$I$2,TUSD!$AG$67:'TUSD'!$AG$123),SUMIF(TUSD!$A$67:'TUSD'!$A$123,$I$2,TUSD!$AG$67:'TUSD'!$AG$123)))))))</f>
        <v>0</v>
      </c>
      <c r="X9" s="38">
        <f t="shared" ca="1" si="0"/>
        <v>8914906.2595870309</v>
      </c>
      <c r="AD9" s="14" t="s">
        <v>48</v>
      </c>
    </row>
    <row r="10" spans="1:33" x14ac:dyDescent="0.2">
      <c r="A10" s="14" t="s">
        <v>1365</v>
      </c>
      <c r="B10" s="38">
        <f>SUMIF(TUSD!$A$67:'TUSD'!$A$123,$A$2,TUSD!$AI$67:'TUSD'!$AI$123)</f>
        <v>0</v>
      </c>
      <c r="C10" s="38">
        <f>SUMIF(TUSD!$A$67:'TUSD'!$A$123,$A$2,TUSD!$AJ$67:'TUSD'!$AJ$123)</f>
        <v>3960.6657661593681</v>
      </c>
      <c r="D10" s="38">
        <f>SUMIF(TUSD!$A$67:'TUSD'!$A$123,$A$2,TUSD!$AK$67:'TUSD'!$AK$123)</f>
        <v>7532.2075744460981</v>
      </c>
      <c r="E10" s="38">
        <f>SUMIF(TUSD!$A$67:'TUSD'!$A$123,$A$2,TUSD!$AL$67:'TUSD'!$AL$123)</f>
        <v>3213.4489694443446</v>
      </c>
      <c r="F10" s="38">
        <f>SUMIF(TUSD!$A$67:'TUSD'!$A$123,$A$2,TUSD!$AM$67:'TUSD'!$AM$123)</f>
        <v>0</v>
      </c>
      <c r="G10" s="38">
        <f>SUMIF(TUSD!$A$67:'TUSD'!$A$123,$A$2,TUSD!$AN$67:'TUSD'!$AN$123)</f>
        <v>1302974.7753836194</v>
      </c>
      <c r="H10" s="38">
        <f>SUMIF(TUSD!$A$67:'TUSD'!$A$123,$A$2,TUSD!$AO$67:'TUSD'!$AO$123)</f>
        <v>663468.58314273413</v>
      </c>
      <c r="I10" s="38">
        <f>SUMIF(TUSD!$A$67:'TUSD'!$A$123,$A$2,TUSD!$AP$67:'TUSD'!$AP$123)</f>
        <v>0</v>
      </c>
      <c r="J10" s="38">
        <f>SUMIF(TUSD!$A$67:'TUSD'!$A$123,$A$2,TUSD!$AQ$67:'TUSD'!$AQ$123)</f>
        <v>2553209.7920608539</v>
      </c>
      <c r="K10" s="38">
        <f>SUMIF(TUSD!$A$67:'TUSD'!$A$123,$A$2,TUSD!$AR$67:'TUSD'!$AR$123)</f>
        <v>939799.48280820251</v>
      </c>
      <c r="L10" s="38">
        <f>SUMIF(TUSD!$A$67:'TUSD'!$A$123,$A$2,TUSD!$AS$67:'TUSD'!$AS$123)</f>
        <v>76687.013394300826</v>
      </c>
      <c r="M10" s="38">
        <f>SUMIF(TUSD!$A$67:'TUSD'!$A$123,$A$2,TUSD!$AT$67:'TUSD'!$AT$123)</f>
        <v>0</v>
      </c>
      <c r="N10" s="38">
        <f>SUMIF(TUSD!$A$67:'TUSD'!$A$123,$A$2,TUSD!$AU$67:'TUSD'!$AU$123)</f>
        <v>2398862.9049732396</v>
      </c>
      <c r="O10" s="38">
        <f>SUMIF(TUSD!$A$67:'TUSD'!$A$123,$A$2,TUSD!$AV$67:'TUSD'!$AV$123)</f>
        <v>0</v>
      </c>
      <c r="P10" s="38">
        <f>SUMIF(TUSD!$A$67:'TUSD'!$A$123,$A$2,TUSD!$AW$67:'TUSD'!$AW$123)</f>
        <v>0</v>
      </c>
      <c r="Q10" s="38">
        <f>SUMIF(TUSD!$A$67:'TUSD'!$A$123,$A$2,TUSD!$AX$67:'TUSD'!$AX$123)</f>
        <v>795742.53656378132</v>
      </c>
      <c r="R10" s="38">
        <f>SUMIF(TUSD!$A$67:'TUSD'!$A$123,$A$2,TUSD!$AY$67:'TUSD'!$AY$123)</f>
        <v>0</v>
      </c>
      <c r="S10" s="38">
        <f>SUMIF(TUSD!$A$67:'TUSD'!$A$123,$A$2,TUSD!$AZ$67:'TUSD'!$AZ$123)</f>
        <v>0</v>
      </c>
      <c r="T10" s="38">
        <f>SUMIF(TUSD!$A$67:'TUSD'!$A$123,$A$2,TUSD!$BA$67:'TUSD'!$BA$123)</f>
        <v>311205.19956696103</v>
      </c>
      <c r="U10" s="38">
        <f>SUMIF(TUSD!$A$67:'TUSD'!$A$123,$A$2,TUSD!$BB$67:'TUSD'!$BB$123)</f>
        <v>7607.6150991536852</v>
      </c>
      <c r="V10" s="38">
        <f>SUMIF(TUSD!$A$67:'TUSD'!$A$123,$A$2,TUSD!$BC$67:'TUSD'!$BC$123)</f>
        <v>50731.403718365575</v>
      </c>
      <c r="W10" s="38">
        <f>SUMIF(TUSD!$A$67:'TUSD'!$A$123,$A$2,TUSD!$BD$67:'TUSD'!$BD$123)</f>
        <v>0</v>
      </c>
      <c r="X10" s="38">
        <f t="shared" si="0"/>
        <v>9114995.6290212628</v>
      </c>
      <c r="AD10" s="14" t="s">
        <v>96</v>
      </c>
    </row>
    <row r="11" spans="1:33" x14ac:dyDescent="0.2">
      <c r="A11" s="14" t="s">
        <v>1366</v>
      </c>
      <c r="B11" s="38">
        <f>SUMIF(TUSD!$A$67:'TUSD'!$A$123,$A$2,TUSD!$L$67:'TUSD'!$L$123)</f>
        <v>84074.856436308371</v>
      </c>
      <c r="C11" s="38">
        <f>SUMIF(TUSD!$A$67:'TUSD'!$A$123,$A$2,TUSD!$M$67:'TUSD'!$M$123)</f>
        <v>3826.3850420564199</v>
      </c>
      <c r="D11" s="38">
        <f ca="1">SUMIF(TUSD!$A$67:'TUSD'!$A$123,$A$2,TUSD!$N$67:'TUSD'!$N$123)</f>
        <v>6907.5136733297022</v>
      </c>
      <c r="E11" s="38">
        <f>SUMIF(TUSD!$A$67:'TUSD'!$A$123,$A$2,TUSD!$O$67:'TUSD'!$O$123)</f>
        <v>2607.6632326432527</v>
      </c>
      <c r="F11" s="38">
        <f>SUMIF(TUSD!$A$67:'TUSD'!$A$123,$A$2,TUSD!$P$67:'TUSD'!$P$123)</f>
        <v>0</v>
      </c>
      <c r="G11" s="38">
        <f>SUMIF(TUSD!$A$67:'TUSD'!$A$123,$A$2,TUSD!$Q$67:'TUSD'!$Q$123)</f>
        <v>1502749.6725193001</v>
      </c>
      <c r="H11" s="38">
        <f>SUMIF(TUSD!$A$67:'TUSD'!$A$123,$A$2,TUSD!$R$67:'TUSD'!$R$123)</f>
        <v>1000186.5694444135</v>
      </c>
      <c r="I11" s="38">
        <f>SUMIF(TUSD!$A$67:'TUSD'!$A$123,$A$2,TUSD!$S$67:'TUSD'!$S$123)</f>
        <v>0</v>
      </c>
      <c r="J11" s="38">
        <f>SUMIF(TUSD!$A$67:'TUSD'!$A$123,$A$2,TUSD!$T$67:'TUSD'!$T$123)</f>
        <v>2530204.4220544798</v>
      </c>
      <c r="K11" s="38">
        <f>SUMIF(TUSD!$A$67:'TUSD'!$A$123,$A$2,TUSD!$U$67:'TUSD'!$U$123)</f>
        <v>689956.37710117572</v>
      </c>
      <c r="L11" s="38">
        <f>SUMIF(TUSD!$A$67:'TUSD'!$A$123,$A$2,TUSD!$V$67:'TUSD'!$V$123)</f>
        <v>58201.474789585933</v>
      </c>
      <c r="M11" s="38">
        <f>SUMIF(TUSD!$A$67:'TUSD'!$A$123,$A$2,TUSD!$W$67:'TUSD'!$W$123)</f>
        <v>0</v>
      </c>
      <c r="N11" s="38">
        <f>SUMIF(TUSD!$A$67:'TUSD'!$A$123,$A$2,TUSD!$X$67:'TUSD'!$X$123)</f>
        <v>2120546.9545837794</v>
      </c>
      <c r="O11" s="38">
        <f>SUMIF(TUSD!$A$67:'TUSD'!$A$123,$A$2,TUSD!$Y$67:'TUSD'!$Y$123)</f>
        <v>0</v>
      </c>
      <c r="P11" s="38">
        <f>SUMIF(TUSD!$A$67:'TUSD'!$A$123,$A$2,TUSD!$Z$67:'TUSD'!$Z$123)</f>
        <v>0</v>
      </c>
      <c r="Q11" s="38">
        <f>SUMIF(TUSD!$A$67:'TUSD'!$A$123,$A$2,TUSD!$AA$67:'TUSD'!$AA$123)</f>
        <v>945909.67030660145</v>
      </c>
      <c r="R11" s="38">
        <f ca="1">SUMIF(TUSD!$A$67:'TUSD'!$A$123,$A$2,TUSD!$AB$67:'TUSD'!$AB$123)</f>
        <v>-427777.48001359147</v>
      </c>
      <c r="S11" s="38">
        <f ca="1">SUMIF(TUSD!$A$67:'TUSD'!$A$123,$A$2,TUSD!$AC$67:'TUSD'!$AC$123)</f>
        <v>0</v>
      </c>
      <c r="T11" s="38">
        <f>SUMIF(TUSD!$A$67:'TUSD'!$A$123,$A$2,TUSD!$AD$67:'TUSD'!$AD$123)</f>
        <v>339368.34784640686</v>
      </c>
      <c r="U11" s="38">
        <f>SUMIF(TUSD!$A$67:'TUSD'!$A$123,$A$2,TUSD!$AE$67:'TUSD'!$AE$123)</f>
        <v>8001.3792451910058</v>
      </c>
      <c r="V11" s="38">
        <f ca="1">SUMIF(TUSD!$A$67:'TUSD'!$A$123,$A$2,TUSD!$AF$67:'TUSD'!$AF$123)</f>
        <v>50142.453325351576</v>
      </c>
      <c r="W11" s="38">
        <f ca="1">SUMIF(TUSD!$A$67:'TUSD'!$A$123,$A$2,TUSD!$AG$67:'TUSD'!$AG$123)</f>
        <v>0</v>
      </c>
      <c r="X11" s="38">
        <f t="shared" ca="1" si="0"/>
        <v>8914906.2595870309</v>
      </c>
    </row>
    <row r="13" spans="1:33" x14ac:dyDescent="0.2">
      <c r="A13" s="14" t="s">
        <v>1370</v>
      </c>
      <c r="B13" s="48">
        <f t="shared" ref="B13:X13" si="1">IF($X$6&lt;&gt;0,(B$7-B$6)/$X$6,0)</f>
        <v>7.0478172946312522E-3</v>
      </c>
      <c r="C13" s="48">
        <f t="shared" si="1"/>
        <v>1.8596247315827143E-4</v>
      </c>
      <c r="D13" s="48">
        <f t="shared" ca="1" si="1"/>
        <v>-5.3409400564219519E-4</v>
      </c>
      <c r="E13" s="48">
        <f t="shared" si="1"/>
        <v>-3.6644665723251126E-5</v>
      </c>
      <c r="F13" s="48">
        <f t="shared" si="1"/>
        <v>0</v>
      </c>
      <c r="G13" s="48">
        <f t="shared" si="1"/>
        <v>2.3455264878593774E-2</v>
      </c>
      <c r="H13" s="48">
        <f t="shared" si="1"/>
        <v>1.939933452441938E-2</v>
      </c>
      <c r="I13" s="48">
        <f t="shared" si="1"/>
        <v>0</v>
      </c>
      <c r="J13" s="48">
        <f t="shared" si="1"/>
        <v>-3.9899698268620149E-3</v>
      </c>
      <c r="K13" s="48">
        <f t="shared" si="1"/>
        <v>-1.0515953216110499E-2</v>
      </c>
      <c r="L13" s="48">
        <f t="shared" si="1"/>
        <v>-7.8597261374674593E-4</v>
      </c>
      <c r="M13" s="48">
        <f t="shared" si="1"/>
        <v>0</v>
      </c>
      <c r="N13" s="48">
        <f t="shared" si="1"/>
        <v>-1.4385452664952289E-2</v>
      </c>
      <c r="O13" s="48">
        <f t="shared" si="1"/>
        <v>0</v>
      </c>
      <c r="P13" s="48">
        <f t="shared" si="1"/>
        <v>0</v>
      </c>
      <c r="Q13" s="48">
        <f t="shared" si="1"/>
        <v>7.1913269284085563E-2</v>
      </c>
      <c r="R13" s="48">
        <f t="shared" ca="1" si="1"/>
        <v>-9.03545471842475E-2</v>
      </c>
      <c r="S13" s="48">
        <f t="shared" ca="1" si="1"/>
        <v>0</v>
      </c>
      <c r="T13" s="48">
        <f t="shared" si="1"/>
        <v>4.8522716550331814E-3</v>
      </c>
      <c r="U13" s="48">
        <f t="shared" si="1"/>
        <v>6.945695058650794E-5</v>
      </c>
      <c r="V13" s="48">
        <f t="shared" ca="1" si="1"/>
        <v>6.3769756702871001E-4</v>
      </c>
      <c r="W13" s="48">
        <f t="shared" ca="1" si="1"/>
        <v>0</v>
      </c>
      <c r="X13" s="48">
        <f t="shared" ca="1" si="1"/>
        <v>6.9584404502521383E-3</v>
      </c>
    </row>
    <row r="14" spans="1:33" x14ac:dyDescent="0.2">
      <c r="A14" s="14" t="s">
        <v>1371</v>
      </c>
      <c r="B14" s="48">
        <f t="shared" ref="B14:X14" si="2">IF($X$10&lt;&gt;0,(B$9-B$8)/$X$10,0)</f>
        <v>9.2237955845664021E-3</v>
      </c>
      <c r="C14" s="48">
        <f t="shared" si="2"/>
        <v>-1.473184733906085E-5</v>
      </c>
      <c r="D14" s="48">
        <f t="shared" ca="1" si="2"/>
        <v>-6.8534745000582443E-5</v>
      </c>
      <c r="E14" s="48">
        <f t="shared" si="2"/>
        <v>-6.6460343093564271E-5</v>
      </c>
      <c r="F14" s="48">
        <f t="shared" si="2"/>
        <v>0</v>
      </c>
      <c r="G14" s="48">
        <f t="shared" si="2"/>
        <v>2.1917168725744295E-2</v>
      </c>
      <c r="H14" s="48">
        <f t="shared" si="2"/>
        <v>3.6941102333565796E-2</v>
      </c>
      <c r="I14" s="48">
        <f t="shared" si="2"/>
        <v>0</v>
      </c>
      <c r="J14" s="48">
        <f t="shared" si="2"/>
        <v>-2.5239035697534745E-3</v>
      </c>
      <c r="K14" s="48">
        <f t="shared" si="2"/>
        <v>-2.7410117994083348E-2</v>
      </c>
      <c r="L14" s="48">
        <f t="shared" si="2"/>
        <v>-2.0280359264088651E-3</v>
      </c>
      <c r="M14" s="48">
        <f t="shared" si="2"/>
        <v>0</v>
      </c>
      <c r="N14" s="48">
        <f t="shared" si="2"/>
        <v>-3.0533854509302141E-2</v>
      </c>
      <c r="O14" s="48">
        <f t="shared" si="2"/>
        <v>0</v>
      </c>
      <c r="P14" s="48">
        <f t="shared" si="2"/>
        <v>0</v>
      </c>
      <c r="Q14" s="48">
        <f t="shared" si="2"/>
        <v>1.6474734586235294E-2</v>
      </c>
      <c r="R14" s="48">
        <f t="shared" ca="1" si="2"/>
        <v>-4.6931177745339718E-2</v>
      </c>
      <c r="S14" s="48">
        <f t="shared" ca="1" si="2"/>
        <v>0</v>
      </c>
      <c r="T14" s="48">
        <f t="shared" si="2"/>
        <v>3.0897599324981673E-3</v>
      </c>
      <c r="U14" s="48">
        <f t="shared" si="2"/>
        <v>4.3199597900366923E-5</v>
      </c>
      <c r="V14" s="48">
        <f t="shared" ca="1" si="2"/>
        <v>-6.4613348923485726E-5</v>
      </c>
      <c r="W14" s="48">
        <f t="shared" ca="1" si="2"/>
        <v>0</v>
      </c>
      <c r="X14" s="48">
        <f t="shared" ca="1" si="2"/>
        <v>-2.1951669268734122E-2</v>
      </c>
    </row>
    <row r="15" spans="1:33" x14ac:dyDescent="0.2">
      <c r="A15" s="14" t="s">
        <v>1372</v>
      </c>
      <c r="B15" s="48">
        <f t="shared" ref="B15:X15" si="3">IF($X$8&lt;&gt;0,(B$9-B$8)/$X$8,0)</f>
        <v>9.2237955845664021E-3</v>
      </c>
      <c r="C15" s="48">
        <f t="shared" si="3"/>
        <v>-1.473184733906085E-5</v>
      </c>
      <c r="D15" s="48">
        <f t="shared" ca="1" si="3"/>
        <v>-6.8534745000582443E-5</v>
      </c>
      <c r="E15" s="48">
        <f t="shared" si="3"/>
        <v>-6.6460343093564271E-5</v>
      </c>
      <c r="F15" s="48">
        <f t="shared" si="3"/>
        <v>0</v>
      </c>
      <c r="G15" s="48">
        <f t="shared" si="3"/>
        <v>2.1917168725744295E-2</v>
      </c>
      <c r="H15" s="48">
        <f t="shared" si="3"/>
        <v>3.6941102333565796E-2</v>
      </c>
      <c r="I15" s="48">
        <f t="shared" si="3"/>
        <v>0</v>
      </c>
      <c r="J15" s="48">
        <f t="shared" si="3"/>
        <v>-2.5239035697534745E-3</v>
      </c>
      <c r="K15" s="48">
        <f t="shared" si="3"/>
        <v>-2.7410117994083348E-2</v>
      </c>
      <c r="L15" s="48">
        <f t="shared" si="3"/>
        <v>-2.0280359264088651E-3</v>
      </c>
      <c r="M15" s="48">
        <f t="shared" si="3"/>
        <v>0</v>
      </c>
      <c r="N15" s="48">
        <f t="shared" si="3"/>
        <v>-3.0533854509302141E-2</v>
      </c>
      <c r="O15" s="48">
        <f t="shared" si="3"/>
        <v>0</v>
      </c>
      <c r="P15" s="48">
        <f t="shared" si="3"/>
        <v>0</v>
      </c>
      <c r="Q15" s="48">
        <f t="shared" si="3"/>
        <v>1.6474734586235294E-2</v>
      </c>
      <c r="R15" s="48">
        <f t="shared" ca="1" si="3"/>
        <v>-4.6931177745339718E-2</v>
      </c>
      <c r="S15" s="48">
        <f t="shared" ca="1" si="3"/>
        <v>0</v>
      </c>
      <c r="T15" s="48">
        <f t="shared" si="3"/>
        <v>3.0897599324981673E-3</v>
      </c>
      <c r="U15" s="48">
        <f t="shared" si="3"/>
        <v>4.3199597900366923E-5</v>
      </c>
      <c r="V15" s="48">
        <f t="shared" ca="1" si="3"/>
        <v>-6.4613348923485726E-5</v>
      </c>
      <c r="W15" s="48">
        <f t="shared" ca="1" si="3"/>
        <v>0</v>
      </c>
      <c r="X15" s="48">
        <f t="shared" ca="1" si="3"/>
        <v>-2.1951669268734122E-2</v>
      </c>
    </row>
  </sheetData>
  <dataValidations count="5">
    <dataValidation type="list" allowBlank="1" showInputMessage="1" showErrorMessage="1" error="Deve-se selecionar grupo válido" sqref="A2" xr:uid="{1742491F-2F98-472D-924D-005E863F4571}">
      <formula1>AA1:AA7</formula1>
    </dataValidation>
    <dataValidation type="list" allowBlank="1" showInputMessage="1" showErrorMessage="1" error="Deve-se selecionar grupo válido" sqref="B2 G2" xr:uid="{ED08EF1D-5607-4424-B745-2BBEC1923C41}">
      <formula1>AB1:AB8</formula1>
    </dataValidation>
    <dataValidation type="list" allowBlank="1" showInputMessage="1" showErrorMessage="1" error="Deve-se selecionar grupo válido" sqref="C2 E2" xr:uid="{87867408-1BD2-4C77-A505-FFF482BA718C}">
      <formula1>AC1:AC4</formula1>
    </dataValidation>
    <dataValidation type="list" allowBlank="1" showInputMessage="1" showErrorMessage="1" error="Deve-se selecionar grupo válido" sqref="D2" xr:uid="{523E04E5-ECE4-45D6-929D-E204AAC7CC93}">
      <formula1>AD1:AD10</formula1>
    </dataValidation>
    <dataValidation type="list" allowBlank="1" showInputMessage="1" showErrorMessage="1" error="Deve-se selecionar grupo válido" sqref="F2" xr:uid="{F4A77C4D-D3A7-429D-95C1-EA050F318B8E}">
      <formula1>AF1:AF2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D7024-08F2-421C-A266-A3687C7373FD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4" bestFit="1" customWidth="1"/>
    <col min="2" max="2" width="10.5703125" style="14" bestFit="1" customWidth="1"/>
    <col min="3" max="5" width="10.28515625" style="14" bestFit="1" customWidth="1"/>
    <col min="6" max="6" width="14.85546875" style="14" bestFit="1" customWidth="1"/>
    <col min="7" max="7" width="10.28515625" style="14" bestFit="1" customWidth="1"/>
    <col min="8" max="8" width="9.5703125" style="14" bestFit="1" customWidth="1"/>
    <col min="9" max="9" width="6.42578125" style="14" bestFit="1" customWidth="1"/>
    <col min="10" max="10" width="7.7109375" style="14" bestFit="1" customWidth="1"/>
    <col min="11" max="11" width="10.7109375" style="14" bestFit="1" customWidth="1"/>
    <col min="12" max="12" width="11.7109375" style="14" bestFit="1" customWidth="1"/>
    <col min="13" max="26" width="9.140625" style="14"/>
    <col min="27" max="27" width="3" style="14" bestFit="1" customWidth="1"/>
    <col min="28" max="28" width="27.140625" style="14" bestFit="1" customWidth="1"/>
    <col min="29" max="29" width="13.5703125" style="14" bestFit="1" customWidth="1"/>
    <col min="30" max="30" width="25.140625" style="14" bestFit="1" customWidth="1"/>
    <col min="31" max="33" width="10.28515625" style="14" bestFit="1" customWidth="1"/>
    <col min="34" max="16384" width="9.140625" style="14"/>
  </cols>
  <sheetData>
    <row r="1" spans="1:33" x14ac:dyDescent="0.2">
      <c r="A1" s="14" t="s">
        <v>68</v>
      </c>
      <c r="B1" s="14" t="s">
        <v>69</v>
      </c>
      <c r="C1" s="14" t="s">
        <v>70</v>
      </c>
      <c r="D1" s="14" t="s">
        <v>71</v>
      </c>
      <c r="E1" s="14" t="s">
        <v>72</v>
      </c>
      <c r="F1" s="14" t="s">
        <v>15</v>
      </c>
      <c r="G1" s="14" t="s">
        <v>74</v>
      </c>
      <c r="I1" s="14" t="s">
        <v>1369</v>
      </c>
      <c r="AA1" s="14" t="s">
        <v>56</v>
      </c>
      <c r="AB1" s="14" t="s">
        <v>25</v>
      </c>
      <c r="AC1" s="14" t="s">
        <v>25</v>
      </c>
      <c r="AD1" s="14" t="s">
        <v>25</v>
      </c>
      <c r="AE1" s="14" t="s">
        <v>25</v>
      </c>
      <c r="AF1" s="14" t="s">
        <v>25</v>
      </c>
      <c r="AG1" s="14" t="s">
        <v>25</v>
      </c>
    </row>
    <row r="2" spans="1:33" x14ac:dyDescent="0.2">
      <c r="A2" s="14" t="s">
        <v>56</v>
      </c>
      <c r="B2" s="14" t="s">
        <v>25</v>
      </c>
      <c r="C2" s="14" t="s">
        <v>25</v>
      </c>
      <c r="D2" s="14" t="s">
        <v>25</v>
      </c>
      <c r="E2" s="14" t="s">
        <v>25</v>
      </c>
      <c r="F2" s="14" t="s">
        <v>25</v>
      </c>
      <c r="G2" s="14" t="s">
        <v>25</v>
      </c>
      <c r="I2" s="14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4" t="s">
        <v>39</v>
      </c>
      <c r="AB2" s="14" t="s">
        <v>77</v>
      </c>
      <c r="AC2" s="14" t="s">
        <v>24</v>
      </c>
      <c r="AD2" s="14" t="s">
        <v>24</v>
      </c>
      <c r="AG2" s="14" t="s">
        <v>79</v>
      </c>
    </row>
    <row r="3" spans="1:33" x14ac:dyDescent="0.2">
      <c r="AA3" s="14" t="s">
        <v>22</v>
      </c>
      <c r="AB3" s="14" t="s">
        <v>86</v>
      </c>
      <c r="AC3" s="14" t="s">
        <v>44</v>
      </c>
      <c r="AD3" s="14" t="s">
        <v>29</v>
      </c>
      <c r="AG3" s="14" t="s">
        <v>80</v>
      </c>
    </row>
    <row r="4" spans="1:33" x14ac:dyDescent="0.2">
      <c r="AA4" s="14" t="s">
        <v>43</v>
      </c>
      <c r="AB4" s="14" t="s">
        <v>92</v>
      </c>
      <c r="AC4" s="14" t="s">
        <v>47</v>
      </c>
      <c r="AD4" s="14" t="s">
        <v>30</v>
      </c>
      <c r="AG4" s="14" t="s">
        <v>84</v>
      </c>
    </row>
    <row r="5" spans="1:33" x14ac:dyDescent="0.2">
      <c r="A5" s="14" t="s">
        <v>1362</v>
      </c>
      <c r="B5" s="14" t="str">
        <f>TE!$W$4</f>
        <v>P&amp;D</v>
      </c>
      <c r="C5" s="14" t="str">
        <f>TE!$X$4</f>
        <v>ESS/ERR</v>
      </c>
      <c r="D5" s="14" t="str">
        <f>TE!$Y$4</f>
        <v>CFURH</v>
      </c>
      <c r="E5" s="14" t="str">
        <f>TE!$Z$4</f>
        <v>CDE Covid TE</v>
      </c>
      <c r="F5" s="14" t="str">
        <f>TE!$AA$4</f>
        <v>ENERGIA REVENDA</v>
      </c>
      <c r="G5" s="14" t="str">
        <f>TE!$AB$4</f>
        <v>ITAIPU</v>
      </c>
      <c r="H5" s="14" t="str">
        <f>TE!$AC$4</f>
        <v>TUST ITAIPU</v>
      </c>
      <c r="I5" s="14" t="str">
        <f>TE!$AD$4</f>
        <v>TUST CI</v>
      </c>
      <c r="J5" s="14" t="str">
        <f>TE!$AE$4</f>
        <v>SUBSIDIO</v>
      </c>
      <c r="K5" s="14" t="str">
        <f>TE!$AF$4</f>
        <v>PERDAS RB/C</v>
      </c>
      <c r="L5" s="14" t="s">
        <v>753</v>
      </c>
      <c r="AA5" s="14" t="s">
        <v>37</v>
      </c>
      <c r="AD5" s="14" t="s">
        <v>31</v>
      </c>
      <c r="AG5" s="14" t="s">
        <v>91</v>
      </c>
    </row>
    <row r="6" spans="1:33" x14ac:dyDescent="0.2">
      <c r="A6" s="14" t="s">
        <v>1363</v>
      </c>
      <c r="B6" s="38">
        <f>SUM(TE!$W$50:'TE'!$W$89)</f>
        <v>1185255.5240018372</v>
      </c>
      <c r="C6" s="38">
        <f>SUM(TE!$X$50:'TE'!$X$89)</f>
        <v>3231072.958461131</v>
      </c>
      <c r="D6" s="38">
        <f>SUM(TE!$Y$50:'TE'!$Y$89)</f>
        <v>0</v>
      </c>
      <c r="E6" s="38">
        <f>SUM(TE!$Z$50:'TE'!$Z$89)</f>
        <v>0</v>
      </c>
      <c r="F6" s="38">
        <f>SUM(TE!$AA$50:'TE'!$AA$89)</f>
        <v>110481082.41460851</v>
      </c>
      <c r="G6" s="38">
        <f>SUM(TE!$AB$50:'TE'!$AB$89)</f>
        <v>0</v>
      </c>
      <c r="H6" s="38">
        <f>SUM(TE!$AC$50:'TE'!$AC$89)</f>
        <v>0</v>
      </c>
      <c r="I6" s="38">
        <f>SUM(TE!$AD$50:'TE'!$AD$89)</f>
        <v>9.5716692723772203E-7</v>
      </c>
      <c r="J6" s="38">
        <f>SUM(TE!$AE$50:'TE'!$AE$89)</f>
        <v>0</v>
      </c>
      <c r="K6" s="38">
        <f>SUM(TE!$AF$50:'TE'!$AF$89)</f>
        <v>2280967.7052196767</v>
      </c>
      <c r="L6" s="38">
        <f t="shared" ref="L6:L11" si="0">SUM(B6:K6)</f>
        <v>117178378.60229211</v>
      </c>
      <c r="AA6" s="14" t="s">
        <v>46</v>
      </c>
      <c r="AD6" s="14" t="s">
        <v>32</v>
      </c>
    </row>
    <row r="7" spans="1:33" x14ac:dyDescent="0.2">
      <c r="A7" s="14" t="s">
        <v>1364</v>
      </c>
      <c r="B7" s="38">
        <f>SUM(TE!$L$50:'TE'!$L$89)</f>
        <v>1288561.8508757586</v>
      </c>
      <c r="C7" s="38">
        <f>SUM(TE!$M$50:'TE'!$M$89)</f>
        <v>10915952.416009951</v>
      </c>
      <c r="D7" s="38">
        <f>SUM(TE!$N$50:'TE'!$N$89)</f>
        <v>0</v>
      </c>
      <c r="E7" s="38">
        <f>SUM(TE!$O$50:'TE'!$O$89)</f>
        <v>4249208.4241326777</v>
      </c>
      <c r="F7" s="38">
        <f>SUM(TE!$P$50:'TE'!$P$89)</f>
        <v>119193920.01949742</v>
      </c>
      <c r="G7" s="38">
        <f>SUM(TE!$Q$50:'TE'!$Q$89)</f>
        <v>0</v>
      </c>
      <c r="H7" s="38">
        <f>SUM(TE!$R$50:'TE'!$R$89)</f>
        <v>0</v>
      </c>
      <c r="I7" s="38">
        <f>SUM(TE!$S$50:'TE'!$S$89)</f>
        <v>9.4614506892229875E-7</v>
      </c>
      <c r="J7" s="38">
        <f>SUM(TE!$T$50:'TE'!$T$89)</f>
        <v>-10096922.388022395</v>
      </c>
      <c r="K7" s="38">
        <f>SUM(TE!$U$50:'TE'!$U$89)</f>
        <v>2382804.4315867363</v>
      </c>
      <c r="L7" s="38">
        <f t="shared" si="0"/>
        <v>127933524.7540811</v>
      </c>
      <c r="AD7" s="14" t="s">
        <v>94</v>
      </c>
    </row>
    <row r="8" spans="1:33" x14ac:dyDescent="0.2">
      <c r="A8" s="14" t="s">
        <v>1367</v>
      </c>
      <c r="B8" s="38">
        <f>IF($G$2&lt;&gt;"Não se aplica",SUMIF(TE!$G$50:'TE'!$G$89,$I$2,TE!$W$50:'TE'!$W$89),IF($F$2&lt;&gt;"Não se aplica",SUMIF(TE!$F$50:'TE'!$F$89,$I$2,TE!$W$50:'TE'!$W$89),IF($E$2&lt;&gt;"Não se aplica",SUMIF(TE!$E$50:'TE'!$E$89,$I$2,TE!$W$50:'TE'!$W$89),IF($D$2&lt;&gt;"Não se aplica",SUMIF(TE!$D$50:'TE'!$D$89,$I$2,TE!$W$50:'TE'!$W$89),IF($C$2&lt;&gt;"Não se aplica",SUMIF(TE!$C$50:'TE'!$C$89,$I$2,TE!$W$50:'TE'!$W$89),IF($B$2&lt;&gt;"Não se aplica",SUMIF(TE!$B$50:'TE'!$B$89,$I$2,TE!$W$50:'TE'!$W$89),SUMIF(TE!$A$50:'TE'!$A$89,$I$2,TE!$W$50:'TE'!$W$89)))))))</f>
        <v>0</v>
      </c>
      <c r="C8" s="38">
        <f>IF($G$2&lt;&gt;"Não se aplica",SUMIF(TE!$G$50:'TE'!$G$89,$I$2,TE!$X$50:'TE'!$X$89),IF($F$2&lt;&gt;"Não se aplica",SUMIF(TE!$F$50:'TE'!$F$89,$I$2,TE!$X$50:'TE'!$X$89),IF($E$2&lt;&gt;"Não se aplica",SUMIF(TE!$E$50:'TE'!$E$89,$I$2,TE!$X$50:'TE'!$X$89),IF($D$2&lt;&gt;"Não se aplica",SUMIF(TE!$D$50:'TE'!$D$89,$I$2,TE!$X$50:'TE'!$X$89),IF($C$2&lt;&gt;"Não se aplica",SUMIF(TE!$C$50:'TE'!$C$89,$I$2,TE!$X$50:'TE'!$X$89),IF($B$2&lt;&gt;"Não se aplica",SUMIF(TE!$B$50:'TE'!$B$89,$I$2,TE!$X$50:'TE'!$X$89),SUMIF(TE!$A$50:'TE'!$A$89,$I$2,TE!$X$50:'TE'!$X$89)))))))</f>
        <v>0</v>
      </c>
      <c r="D8" s="38">
        <f>IF($G$2&lt;&gt;"Não se aplica",SUMIF(TE!$G$50:'TE'!$G$89,$I$2,TE!$Y$50:'TE'!$Y$89),IF($F$2&lt;&gt;"Não se aplica",SUMIF(TE!$F$50:'TE'!$F$89,$I$2,TE!$Y$50:'TE'!$Y$89),IF($E$2&lt;&gt;"Não se aplica",SUMIF(TE!$E$50:'TE'!$E$89,$I$2,TE!$Y$50:'TE'!$Y$89),IF($D$2&lt;&gt;"Não se aplica",SUMIF(TE!$D$50:'TE'!$D$89,$I$2,TE!$Y$50:'TE'!$Y$89),IF($C$2&lt;&gt;"Não se aplica",SUMIF(TE!$C$50:'TE'!$C$89,$I$2,TE!$Y$50:'TE'!$Y$89),IF($B$2&lt;&gt;"Não se aplica",SUMIF(TE!$B$50:'TE'!$B$89,$I$2,TE!$Y$50:'TE'!$Y$89),SUMIF(TE!$A$50:'TE'!$A$89,$I$2,TE!$Y$50:'TE'!$Y$89)))))))</f>
        <v>0</v>
      </c>
      <c r="E8" s="38">
        <f>IF($G$2&lt;&gt;"Não se aplica",SUMIF(TE!$G$50:'TE'!$G$89,$I$2,TE!$Z$50:'TE'!$Z$89),IF($F$2&lt;&gt;"Não se aplica",SUMIF(TE!$F$50:'TE'!$F$89,$I$2,TE!$Z$50:'TE'!$Z$89),IF($E$2&lt;&gt;"Não se aplica",SUMIF(TE!$E$50:'TE'!$E$89,$I$2,TE!$Z$50:'TE'!$Z$89),IF($D$2&lt;&gt;"Não se aplica",SUMIF(TE!$D$50:'TE'!$D$89,$I$2,TE!$Z$50:'TE'!$Z$89),IF($C$2&lt;&gt;"Não se aplica",SUMIF(TE!$C$50:'TE'!$C$89,$I$2,TE!$Z$50:'TE'!$Z$89),IF($B$2&lt;&gt;"Não se aplica",SUMIF(TE!$B$50:'TE'!$B$89,$I$2,TE!$Z$50:'TE'!$Z$89),SUMIF(TE!$A$50:'TE'!$A$89,$I$2,TE!$Z$50:'TE'!$Z$89)))))))</f>
        <v>0</v>
      </c>
      <c r="F8" s="38">
        <f>IF($G$2&lt;&gt;"Não se aplica",SUMIF(TE!$G$50:'TE'!$G$89,$I$2,TE!$AA$50:'TE'!$AA$89),IF($F$2&lt;&gt;"Não se aplica",SUMIF(TE!$F$50:'TE'!$F$89,$I$2,TE!$AA$50:'TE'!$AA$89),IF($E$2&lt;&gt;"Não se aplica",SUMIF(TE!$E$50:'TE'!$E$89,$I$2,TE!$AA$50:'TE'!$AA$89),IF($D$2&lt;&gt;"Não se aplica",SUMIF(TE!$D$50:'TE'!$D$89,$I$2,TE!$AA$50:'TE'!$AA$89),IF($C$2&lt;&gt;"Não se aplica",SUMIF(TE!$C$50:'TE'!$C$89,$I$2,TE!$AA$50:'TE'!$AA$89),IF($B$2&lt;&gt;"Não se aplica",SUMIF(TE!$B$50:'TE'!$B$89,$I$2,TE!$AA$50:'TE'!$AA$89),SUMIF(TE!$A$50:'TE'!$A$89,$I$2,TE!$AA$50:'TE'!$AA$89)))))))</f>
        <v>0</v>
      </c>
      <c r="G8" s="38">
        <f>IF($G$2&lt;&gt;"Não se aplica",SUMIF(TE!$G$50:'TE'!$G$89,$I$2,TE!$AB$50:'TE'!$AB$89),IF($F$2&lt;&gt;"Não se aplica",SUMIF(TE!$F$50:'TE'!$F$89,$I$2,TE!$AB$50:'TE'!$AB$89),IF($E$2&lt;&gt;"Não se aplica",SUMIF(TE!$E$50:'TE'!$E$89,$I$2,TE!$AB$50:'TE'!$AB$89),IF($D$2&lt;&gt;"Não se aplica",SUMIF(TE!$D$50:'TE'!$D$89,$I$2,TE!$AB$50:'TE'!$AB$89),IF($C$2&lt;&gt;"Não se aplica",SUMIF(TE!$C$50:'TE'!$C$89,$I$2,TE!$AB$50:'TE'!$AB$89),IF($B$2&lt;&gt;"Não se aplica",SUMIF(TE!$B$50:'TE'!$B$89,$I$2,TE!$AB$50:'TE'!$AB$89),SUMIF(TE!$A$50:'TE'!$A$89,$I$2,TE!$AB$50:'TE'!$AB$89)))))))</f>
        <v>0</v>
      </c>
      <c r="H8" s="38">
        <f>IF($G$2&lt;&gt;"Não se aplica",SUMIF(TE!$G$50:'TE'!$G$89,$I$2,TE!$AC$50:'TE'!$AC$89),IF($F$2&lt;&gt;"Não se aplica",SUMIF(TE!$F$50:'TE'!$F$89,$I$2,TE!$AC$50:'TE'!$AC$89),IF($E$2&lt;&gt;"Não se aplica",SUMIF(TE!$E$50:'TE'!$E$89,$I$2,TE!$AC$50:'TE'!$AC$89),IF($D$2&lt;&gt;"Não se aplica",SUMIF(TE!$D$50:'TE'!$D$89,$I$2,TE!$AC$50:'TE'!$AC$89),IF($C$2&lt;&gt;"Não se aplica",SUMIF(TE!$C$50:'TE'!$C$89,$I$2,TE!$AC$50:'TE'!$AC$89),IF($B$2&lt;&gt;"Não se aplica",SUMIF(TE!$B$50:'TE'!$B$89,$I$2,TE!$AC$50:'TE'!$AC$89),SUMIF(TE!$A$50:'TE'!$A$89,$I$2,TE!$AC$50:'TE'!$AC$89)))))))</f>
        <v>0</v>
      </c>
      <c r="I8" s="38">
        <f>IF($G$2&lt;&gt;"Não se aplica",SUMIF(TE!$G$50:'TE'!$G$89,$I$2,TE!$AD$50:'TE'!$AD$89),IF($F$2&lt;&gt;"Não se aplica",SUMIF(TE!$F$50:'TE'!$F$89,$I$2,TE!$AD$50:'TE'!$AD$89),IF($E$2&lt;&gt;"Não se aplica",SUMIF(TE!$E$50:'TE'!$E$89,$I$2,TE!$AD$50:'TE'!$AD$89),IF($D$2&lt;&gt;"Não se aplica",SUMIF(TE!$D$50:'TE'!$D$89,$I$2,TE!$AD$50:'TE'!$AD$89),IF($C$2&lt;&gt;"Não se aplica",SUMIF(TE!$C$50:'TE'!$C$89,$I$2,TE!$AD$50:'TE'!$AD$89),IF($B$2&lt;&gt;"Não se aplica",SUMIF(TE!$B$50:'TE'!$B$89,$I$2,TE!$AD$50:'TE'!$AD$89),SUMIF(TE!$A$50:'TE'!$A$89,$I$2,TE!$AD$50:'TE'!$AD$89)))))))</f>
        <v>0</v>
      </c>
      <c r="J8" s="38">
        <f>IF($G$2&lt;&gt;"Não se aplica",SUMIF(TE!$G$50:'TE'!$G$89,$I$2,TE!$AE$50:'TE'!$AE$89),IF($F$2&lt;&gt;"Não se aplica",SUMIF(TE!$F$50:'TE'!$F$89,$I$2,TE!$AE$50:'TE'!$AE$89),IF($E$2&lt;&gt;"Não se aplica",SUMIF(TE!$E$50:'TE'!$E$89,$I$2,TE!$AE$50:'TE'!$AE$89),IF($D$2&lt;&gt;"Não se aplica",SUMIF(TE!$D$50:'TE'!$D$89,$I$2,TE!$AE$50:'TE'!$AE$89),IF($C$2&lt;&gt;"Não se aplica",SUMIF(TE!$C$50:'TE'!$C$89,$I$2,TE!$AE$50:'TE'!$AE$89),IF($B$2&lt;&gt;"Não se aplica",SUMIF(TE!$B$50:'TE'!$B$89,$I$2,TE!$AE$50:'TE'!$AE$89),SUMIF(TE!$A$50:'TE'!$A$89,$I$2,TE!$AE$50:'TE'!$AE$89)))))))</f>
        <v>0</v>
      </c>
      <c r="K8" s="38">
        <f>IF($G$2&lt;&gt;"Não se aplica",SUMIF(TE!$G$50:'TE'!$G$89,$I$2,TE!$AF$50:'TE'!$AF$89),IF($F$2&lt;&gt;"Não se aplica",SUMIF(TE!$F$50:'TE'!$F$89,$I$2,TE!$AF$50:'TE'!$AF$89),IF($E$2&lt;&gt;"Não se aplica",SUMIF(TE!$E$50:'TE'!$E$89,$I$2,TE!$AF$50:'TE'!$AF$89),IF($D$2&lt;&gt;"Não se aplica",SUMIF(TE!$D$50:'TE'!$D$89,$I$2,TE!$AF$50:'TE'!$AF$89),IF($C$2&lt;&gt;"Não se aplica",SUMIF(TE!$C$50:'TE'!$C$89,$I$2,TE!$AF$50:'TE'!$AF$89),IF($B$2&lt;&gt;"Não se aplica",SUMIF(TE!$B$50:'TE'!$B$89,$I$2,TE!$AF$50:'TE'!$AF$89),SUMIF(TE!$A$50:'TE'!$A$89,$I$2,TE!$AF$50:'TE'!$AF$89)))))))</f>
        <v>0</v>
      </c>
      <c r="L8" s="38">
        <f t="shared" si="0"/>
        <v>0</v>
      </c>
      <c r="AD8" s="14" t="s">
        <v>95</v>
      </c>
    </row>
    <row r="9" spans="1:33" x14ac:dyDescent="0.2">
      <c r="A9" s="14" t="s">
        <v>1368</v>
      </c>
      <c r="B9" s="38">
        <f>IF($G$2&lt;&gt;"Não se aplica",SUMIF(TE!$G$50:'TE'!$G$89,$I$2,TE!$L$50:'TE'!$L$89),IF($F$2&lt;&gt;"Não se aplica",SUMIF(TE!$F$50:'TE'!$F$89,$I$2,TE!$L$50:'TE'!$L$89),IF($E$2&lt;&gt;"Não se aplica",SUMIF(TE!$E$50:'TE'!$E$89,$I$2,TE!$L$50:'TE'!$L$89),IF($D$2&lt;&gt;"Não se aplica",SUMIF(TE!$D$50:'TE'!$D$89,$I$2,TE!$L$50:'TE'!$L$89),IF($C$2&lt;&gt;"Não se aplica",SUMIF(TE!$C$50:'TE'!$C$89,$I$2,TE!$L$50:'TE'!$L$89),IF($B$2&lt;&gt;"Não se aplica",SUMIF(TE!$B$50:'TE'!$B$89,$I$2,TE!$L$50:'TE'!$L$89),SUMIF(TE!$A$50:'TE'!$A$89,$I$2,TE!$L$50:'TE'!$L$89)))))))</f>
        <v>0</v>
      </c>
      <c r="C9" s="38">
        <f>IF($G$2&lt;&gt;"Não se aplica",SUMIF(TE!$G$50:'TE'!$G$89,$I$2,TE!$M$50:'TE'!$M$89),IF($F$2&lt;&gt;"Não se aplica",SUMIF(TE!$F$50:'TE'!$F$89,$I$2,TE!$M$50:'TE'!$M$89),IF($E$2&lt;&gt;"Não se aplica",SUMIF(TE!$E$50:'TE'!$E$89,$I$2,TE!$M$50:'TE'!$M$89),IF($D$2&lt;&gt;"Não se aplica",SUMIF(TE!$D$50:'TE'!$D$89,$I$2,TE!$M$50:'TE'!$M$89),IF($C$2&lt;&gt;"Não se aplica",SUMIF(TE!$C$50:'TE'!$C$89,$I$2,TE!$M$50:'TE'!$M$89),IF($B$2&lt;&gt;"Não se aplica",SUMIF(TE!$B$50:'TE'!$B$89,$I$2,TE!$M$50:'TE'!$M$89),SUMIF(TE!$A$50:'TE'!$A$89,$I$2,TE!$M$50:'TE'!$M$89)))))))</f>
        <v>0</v>
      </c>
      <c r="D9" s="38">
        <f>IF($G$2&lt;&gt;"Não se aplica",SUMIF(TE!$G$50:'TE'!$G$89,$I$2,TE!$N$50:'TE'!$N$89),IF($F$2&lt;&gt;"Não se aplica",SUMIF(TE!$F$50:'TE'!$F$89,$I$2,TE!$N$50:'TE'!$N$89),IF($E$2&lt;&gt;"Não se aplica",SUMIF(TE!$E$50:'TE'!$E$89,$I$2,TE!$N$50:'TE'!$N$89),IF($D$2&lt;&gt;"Não se aplica",SUMIF(TE!$D$50:'TE'!$D$89,$I$2,TE!$N$50:'TE'!$N$89),IF($C$2&lt;&gt;"Não se aplica",SUMIF(TE!$C$50:'TE'!$C$89,$I$2,TE!$N$50:'TE'!$N$89),IF($B$2&lt;&gt;"Não se aplica",SUMIF(TE!$B$50:'TE'!$B$89,$I$2,TE!$N$50:'TE'!$N$89),SUMIF(TE!$A$50:'TE'!$A$89,$I$2,TE!$N$50:'TE'!$N$89)))))))</f>
        <v>0</v>
      </c>
      <c r="E9" s="38">
        <f>IF($G$2&lt;&gt;"Não se aplica",SUMIF(TE!$G$50:'TE'!$G$89,$I$2,TE!$O$50:'TE'!$O$89),IF($F$2&lt;&gt;"Não se aplica",SUMIF(TE!$F$50:'TE'!$F$89,$I$2,TE!$O$50:'TE'!$O$89),IF($E$2&lt;&gt;"Não se aplica",SUMIF(TE!$E$50:'TE'!$E$89,$I$2,TE!$O$50:'TE'!$O$89),IF($D$2&lt;&gt;"Não se aplica",SUMIF(TE!$D$50:'TE'!$D$89,$I$2,TE!$O$50:'TE'!$O$89),IF($C$2&lt;&gt;"Não se aplica",SUMIF(TE!$C$50:'TE'!$C$89,$I$2,TE!$O$50:'TE'!$O$89),IF($B$2&lt;&gt;"Não se aplica",SUMIF(TE!$B$50:'TE'!$B$89,$I$2,TE!$O$50:'TE'!$O$89),SUMIF(TE!$A$50:'TE'!$A$89,$I$2,TE!$O$50:'TE'!$O$89)))))))</f>
        <v>0</v>
      </c>
      <c r="F9" s="38">
        <f>IF($G$2&lt;&gt;"Não se aplica",SUMIF(TE!$G$50:'TE'!$G$89,$I$2,TE!$P$50:'TE'!$P$89),IF($F$2&lt;&gt;"Não se aplica",SUMIF(TE!$F$50:'TE'!$F$89,$I$2,TE!$P$50:'TE'!$P$89),IF($E$2&lt;&gt;"Não se aplica",SUMIF(TE!$E$50:'TE'!$E$89,$I$2,TE!$P$50:'TE'!$P$89),IF($D$2&lt;&gt;"Não se aplica",SUMIF(TE!$D$50:'TE'!$D$89,$I$2,TE!$P$50:'TE'!$P$89),IF($C$2&lt;&gt;"Não se aplica",SUMIF(TE!$C$50:'TE'!$C$89,$I$2,TE!$P$50:'TE'!$P$89),IF($B$2&lt;&gt;"Não se aplica",SUMIF(TE!$B$50:'TE'!$B$89,$I$2,TE!$P$50:'TE'!$P$89),SUMIF(TE!$A$50:'TE'!$A$89,$I$2,TE!$P$50:'TE'!$P$89)))))))</f>
        <v>0</v>
      </c>
      <c r="G9" s="38">
        <f>IF($G$2&lt;&gt;"Não se aplica",SUMIF(TE!$G$50:'TE'!$G$89,$I$2,TE!$Q$50:'TE'!$Q$89),IF($F$2&lt;&gt;"Não se aplica",SUMIF(TE!$F$50:'TE'!$F$89,$I$2,TE!$Q$50:'TE'!$Q$89),IF($E$2&lt;&gt;"Não se aplica",SUMIF(TE!$E$50:'TE'!$E$89,$I$2,TE!$Q$50:'TE'!$Q$89),IF($D$2&lt;&gt;"Não se aplica",SUMIF(TE!$D$50:'TE'!$D$89,$I$2,TE!$Q$50:'TE'!$Q$89),IF($C$2&lt;&gt;"Não se aplica",SUMIF(TE!$C$50:'TE'!$C$89,$I$2,TE!$Q$50:'TE'!$Q$89),IF($B$2&lt;&gt;"Não se aplica",SUMIF(TE!$B$50:'TE'!$B$89,$I$2,TE!$Q$50:'TE'!$Q$89),SUMIF(TE!$A$50:'TE'!$A$89,$I$2,TE!$Q$50:'TE'!$Q$89)))))))</f>
        <v>0</v>
      </c>
      <c r="H9" s="38">
        <f>IF($G$2&lt;&gt;"Não se aplica",SUMIF(TE!$G$50:'TE'!$G$89,$I$2,TE!$R$50:'TE'!$R$89),IF($F$2&lt;&gt;"Não se aplica",SUMIF(TE!$F$50:'TE'!$F$89,$I$2,TE!$R$50:'TE'!$R$89),IF($E$2&lt;&gt;"Não se aplica",SUMIF(TE!$E$50:'TE'!$E$89,$I$2,TE!$R$50:'TE'!$R$89),IF($D$2&lt;&gt;"Não se aplica",SUMIF(TE!$D$50:'TE'!$D$89,$I$2,TE!$R$50:'TE'!$R$89),IF($C$2&lt;&gt;"Não se aplica",SUMIF(TE!$C$50:'TE'!$C$89,$I$2,TE!$R$50:'TE'!$R$89),IF($B$2&lt;&gt;"Não se aplica",SUMIF(TE!$B$50:'TE'!$B$89,$I$2,TE!$R$50:'TE'!$R$89),SUMIF(TE!$A$50:'TE'!$A$89,$I$2,TE!$R$50:'TE'!$R$89)))))))</f>
        <v>0</v>
      </c>
      <c r="I9" s="38">
        <f>IF($G$2&lt;&gt;"Não se aplica",SUMIF(TE!$G$50:'TE'!$G$89,$I$2,TE!$S$50:'TE'!$S$89),IF($F$2&lt;&gt;"Não se aplica",SUMIF(TE!$F$50:'TE'!$F$89,$I$2,TE!$S$50:'TE'!$S$89),IF($E$2&lt;&gt;"Não se aplica",SUMIF(TE!$E$50:'TE'!$E$89,$I$2,TE!$S$50:'TE'!$S$89),IF($D$2&lt;&gt;"Não se aplica",SUMIF(TE!$D$50:'TE'!$D$89,$I$2,TE!$S$50:'TE'!$S$89),IF($C$2&lt;&gt;"Não se aplica",SUMIF(TE!$C$50:'TE'!$C$89,$I$2,TE!$S$50:'TE'!$S$89),IF($B$2&lt;&gt;"Não se aplica",SUMIF(TE!$B$50:'TE'!$B$89,$I$2,TE!$S$50:'TE'!$S$89),SUMIF(TE!$A$50:'TE'!$A$89,$I$2,TE!$S$50:'TE'!$S$89)))))))</f>
        <v>0</v>
      </c>
      <c r="J9" s="38">
        <f>IF($G$2&lt;&gt;"Não se aplica",SUMIF(TE!$G$50:'TE'!$G$89,$I$2,TE!$T$50:'TE'!$T$89),IF($F$2&lt;&gt;"Não se aplica",SUMIF(TE!$F$50:'TE'!$F$89,$I$2,TE!$T$50:'TE'!$T$89),IF($E$2&lt;&gt;"Não se aplica",SUMIF(TE!$E$50:'TE'!$E$89,$I$2,TE!$T$50:'TE'!$T$89),IF($D$2&lt;&gt;"Não se aplica",SUMIF(TE!$D$50:'TE'!$D$89,$I$2,TE!$T$50:'TE'!$T$89),IF($C$2&lt;&gt;"Não se aplica",SUMIF(TE!$C$50:'TE'!$C$89,$I$2,TE!$T$50:'TE'!$T$89),IF($B$2&lt;&gt;"Não se aplica",SUMIF(TE!$B$50:'TE'!$B$89,$I$2,TE!$T$50:'TE'!$T$89),SUMIF(TE!$A$50:'TE'!$A$89,$I$2,TE!$T$50:'TE'!$T$89)))))))</f>
        <v>0</v>
      </c>
      <c r="K9" s="38">
        <f>IF($G$2&lt;&gt;"Não se aplica",SUMIF(TE!$G$50:'TE'!$G$89,$I$2,TE!$U$50:'TE'!$U$89),IF($F$2&lt;&gt;"Não se aplica",SUMIF(TE!$F$50:'TE'!$F$89,$I$2,TE!$U$50:'TE'!$U$89),IF($E$2&lt;&gt;"Não se aplica",SUMIF(TE!$E$50:'TE'!$E$89,$I$2,TE!$U$50:'TE'!$U$89),IF($D$2&lt;&gt;"Não se aplica",SUMIF(TE!$D$50:'TE'!$D$89,$I$2,TE!$U$50:'TE'!$U$89),IF($C$2&lt;&gt;"Não se aplica",SUMIF(TE!$C$50:'TE'!$C$89,$I$2,TE!$U$50:'TE'!$U$89),IF($B$2&lt;&gt;"Não se aplica",SUMIF(TE!$B$50:'TE'!$B$89,$I$2,TE!$U$50:'TE'!$U$89),SUMIF(TE!$A$50:'TE'!$A$89,$I$2,TE!$U$50:'TE'!$U$89)))))))</f>
        <v>0</v>
      </c>
      <c r="L9" s="38">
        <f t="shared" si="0"/>
        <v>0</v>
      </c>
      <c r="AD9" s="14" t="s">
        <v>48</v>
      </c>
    </row>
    <row r="10" spans="1:33" x14ac:dyDescent="0.2">
      <c r="A10" s="14" t="s">
        <v>1365</v>
      </c>
      <c r="B10" s="38">
        <f>SUMIF(TE!$A$50:'TE'!$A$89,$A$2,TE!$W$50:'TE'!$W$89)</f>
        <v>0</v>
      </c>
      <c r="C10" s="38">
        <f>SUMIF(TE!$A$50:'TE'!$A$89,$A$2,TE!$X$50:'TE'!$X$89)</f>
        <v>0</v>
      </c>
      <c r="D10" s="38">
        <f>SUMIF(TE!$A$50:'TE'!$A$89,$A$2,TE!$Y$50:'TE'!$Y$89)</f>
        <v>0</v>
      </c>
      <c r="E10" s="38">
        <f>SUMIF(TE!$A$50:'TE'!$A$89,$A$2,TE!$Z$50:'TE'!$Z$89)</f>
        <v>0</v>
      </c>
      <c r="F10" s="38">
        <f>SUMIF(TE!$A$50:'TE'!$A$89,$A$2,TE!$AA$50:'TE'!$AA$89)</f>
        <v>0</v>
      </c>
      <c r="G10" s="38">
        <f>SUMIF(TE!$A$50:'TE'!$A$89,$A$2,TE!$AB$50:'TE'!$AB$89)</f>
        <v>0</v>
      </c>
      <c r="H10" s="38">
        <f>SUMIF(TE!$A$50:'TE'!$A$89,$A$2,TE!$AC$50:'TE'!$AC$89)</f>
        <v>0</v>
      </c>
      <c r="I10" s="38">
        <f>SUMIF(TE!$A$50:'TE'!$A$89,$A$2,TE!$AD$50:'TE'!$AD$89)</f>
        <v>0</v>
      </c>
      <c r="J10" s="38">
        <f>SUMIF(TE!$A$50:'TE'!$A$89,$A$2,TE!$AE$50:'TE'!$AE$89)</f>
        <v>0</v>
      </c>
      <c r="K10" s="38">
        <f>SUMIF(TE!$A$50:'TE'!$A$89,$A$2,TE!$AF$50:'TE'!$AF$89)</f>
        <v>0</v>
      </c>
      <c r="L10" s="38">
        <f t="shared" si="0"/>
        <v>0</v>
      </c>
      <c r="AD10" s="14" t="s">
        <v>96</v>
      </c>
    </row>
    <row r="11" spans="1:33" x14ac:dyDescent="0.2">
      <c r="A11" s="14" t="s">
        <v>1366</v>
      </c>
      <c r="B11" s="38">
        <f>SUMIF(TE!$A$50:'TE'!$A$89,$A$2,TE!$L$50:'TE'!$L$89)</f>
        <v>0</v>
      </c>
      <c r="C11" s="38">
        <f>SUMIF(TE!$A$50:'TE'!$A$89,$A$2,TE!$M$50:'TE'!$M$89)</f>
        <v>0</v>
      </c>
      <c r="D11" s="38">
        <f>SUMIF(TE!$A$50:'TE'!$A$89,$A$2,TE!$N$50:'TE'!$N$89)</f>
        <v>0</v>
      </c>
      <c r="E11" s="38">
        <f>SUMIF(TE!$A$50:'TE'!$A$89,$A$2,TE!$O$50:'TE'!$O$89)</f>
        <v>0</v>
      </c>
      <c r="F11" s="38">
        <f>SUMIF(TE!$A$50:'TE'!$A$89,$A$2,TE!$P$50:'TE'!$P$89)</f>
        <v>0</v>
      </c>
      <c r="G11" s="38">
        <f>SUMIF(TE!$A$50:'TE'!$A$89,$A$2,TE!$Q$50:'TE'!$Q$89)</f>
        <v>0</v>
      </c>
      <c r="H11" s="38">
        <f>SUMIF(TE!$A$50:'TE'!$A$89,$A$2,TE!$R$50:'TE'!$R$89)</f>
        <v>0</v>
      </c>
      <c r="I11" s="38">
        <f>SUMIF(TE!$A$50:'TE'!$A$89,$A$2,TE!$S$50:'TE'!$S$89)</f>
        <v>0</v>
      </c>
      <c r="J11" s="38">
        <f>SUMIF(TE!$A$50:'TE'!$A$89,$A$2,TE!$T$50:'TE'!$T$89)</f>
        <v>0</v>
      </c>
      <c r="K11" s="38">
        <f>SUMIF(TE!$A$50:'TE'!$A$89,$A$2,TE!$U$50:'TE'!$U$89)</f>
        <v>0</v>
      </c>
      <c r="L11" s="38">
        <f t="shared" si="0"/>
        <v>0</v>
      </c>
    </row>
    <row r="13" spans="1:33" x14ac:dyDescent="0.2">
      <c r="A13" s="14" t="s">
        <v>1370</v>
      </c>
      <c r="B13" s="48">
        <f t="shared" ref="B13:L13" si="1">IF($L$6&lt;&gt;0,(B$7-B$6)/$L$6,0)</f>
        <v>8.8161594405181988E-4</v>
      </c>
      <c r="C13" s="48">
        <f t="shared" si="1"/>
        <v>6.5582742731332674E-2</v>
      </c>
      <c r="D13" s="48">
        <f t="shared" si="1"/>
        <v>0</v>
      </c>
      <c r="E13" s="48">
        <f t="shared" si="1"/>
        <v>3.6262734429485952E-2</v>
      </c>
      <c r="F13" s="48">
        <f t="shared" si="1"/>
        <v>7.4355335078159931E-2</v>
      </c>
      <c r="G13" s="48">
        <f t="shared" si="1"/>
        <v>0</v>
      </c>
      <c r="H13" s="48">
        <f t="shared" si="1"/>
        <v>0</v>
      </c>
      <c r="I13" s="48">
        <f t="shared" si="1"/>
        <v>-9.4060512245453494E-17</v>
      </c>
      <c r="J13" s="48">
        <f t="shared" si="1"/>
        <v>-8.616711127478334E-2</v>
      </c>
      <c r="K13" s="48">
        <f t="shared" si="1"/>
        <v>8.6907437687542481E-4</v>
      </c>
      <c r="L13" s="48">
        <f t="shared" si="1"/>
        <v>9.1784391285122419E-2</v>
      </c>
    </row>
    <row r="14" spans="1:33" x14ac:dyDescent="0.2">
      <c r="A14" s="14" t="s">
        <v>1371</v>
      </c>
      <c r="B14" s="48">
        <f t="shared" ref="B14:L14" si="2">IF($L$10&lt;&gt;0,(B$9-B$8)/$L$10,0)</f>
        <v>0</v>
      </c>
      <c r="C14" s="48">
        <f t="shared" si="2"/>
        <v>0</v>
      </c>
      <c r="D14" s="48">
        <f t="shared" si="2"/>
        <v>0</v>
      </c>
      <c r="E14" s="48">
        <f t="shared" si="2"/>
        <v>0</v>
      </c>
      <c r="F14" s="48">
        <f t="shared" si="2"/>
        <v>0</v>
      </c>
      <c r="G14" s="48">
        <f t="shared" si="2"/>
        <v>0</v>
      </c>
      <c r="H14" s="48">
        <f t="shared" si="2"/>
        <v>0</v>
      </c>
      <c r="I14" s="48">
        <f t="shared" si="2"/>
        <v>0</v>
      </c>
      <c r="J14" s="48">
        <f t="shared" si="2"/>
        <v>0</v>
      </c>
      <c r="K14" s="48">
        <f t="shared" si="2"/>
        <v>0</v>
      </c>
      <c r="L14" s="48">
        <f t="shared" si="2"/>
        <v>0</v>
      </c>
    </row>
    <row r="15" spans="1:33" x14ac:dyDescent="0.2">
      <c r="A15" s="14" t="s">
        <v>1372</v>
      </c>
      <c r="B15" s="48">
        <f t="shared" ref="B15:L15" si="3">IF($L$8&lt;&gt;0,(B$9-B$8)/$L$8,0)</f>
        <v>0</v>
      </c>
      <c r="C15" s="48">
        <f t="shared" si="3"/>
        <v>0</v>
      </c>
      <c r="D15" s="48">
        <f t="shared" si="3"/>
        <v>0</v>
      </c>
      <c r="E15" s="48">
        <f t="shared" si="3"/>
        <v>0</v>
      </c>
      <c r="F15" s="48">
        <f t="shared" si="3"/>
        <v>0</v>
      </c>
      <c r="G15" s="48">
        <f t="shared" si="3"/>
        <v>0</v>
      </c>
      <c r="H15" s="48">
        <f t="shared" si="3"/>
        <v>0</v>
      </c>
      <c r="I15" s="48">
        <f t="shared" si="3"/>
        <v>0</v>
      </c>
      <c r="J15" s="48">
        <f t="shared" si="3"/>
        <v>0</v>
      </c>
      <c r="K15" s="48">
        <f t="shared" si="3"/>
        <v>0</v>
      </c>
      <c r="L15" s="48">
        <f t="shared" si="3"/>
        <v>0</v>
      </c>
    </row>
  </sheetData>
  <dataValidations count="5">
    <dataValidation type="list" allowBlank="1" showInputMessage="1" showErrorMessage="1" sqref="A2" xr:uid="{F137A53A-E3A8-4843-99F6-88E66E80102C}">
      <formula1>AA1:AA6</formula1>
    </dataValidation>
    <dataValidation type="list" allowBlank="1" showInputMessage="1" showErrorMessage="1" sqref="B2 C2" xr:uid="{8C7D96B8-A031-43C7-80F1-20CD9B78559B}">
      <formula1>AB1:AB4</formula1>
    </dataValidation>
    <dataValidation type="list" allowBlank="1" showInputMessage="1" showErrorMessage="1" sqref="D2" xr:uid="{58766B65-0E25-40E4-A4D7-590F3645683F}">
      <formula1>AD1:AD10</formula1>
    </dataValidation>
    <dataValidation type="list" allowBlank="1" showInputMessage="1" showErrorMessage="1" sqref="E2 F2" xr:uid="{4A1BC379-37FD-4669-BE45-B088BA3F7435}">
      <formula1>AE1:AE1</formula1>
    </dataValidation>
    <dataValidation type="list" allowBlank="1" showInputMessage="1" showErrorMessage="1" sqref="G2" xr:uid="{7B920C21-A342-453C-A202-99CEA147F498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FCA76-A2E6-4C65-976E-1FC49D5EBC17}">
  <dimension ref="B1:U15"/>
  <sheetViews>
    <sheetView showGridLines="0" workbookViewId="0">
      <selection activeCell="F23" sqref="F23"/>
    </sheetView>
  </sheetViews>
  <sheetFormatPr defaultRowHeight="15" x14ac:dyDescent="0.25"/>
  <sheetData>
    <row r="1" spans="2:21" x14ac:dyDescent="0.25">
      <c r="B1" s="41" t="s">
        <v>944</v>
      </c>
      <c r="C1" s="41" t="s">
        <v>945</v>
      </c>
      <c r="D1" s="41" t="s">
        <v>946</v>
      </c>
      <c r="E1" s="41" t="s">
        <v>2</v>
      </c>
      <c r="F1" s="41" t="s">
        <v>947</v>
      </c>
      <c r="G1" s="41" t="s">
        <v>857</v>
      </c>
      <c r="H1" s="41" t="s">
        <v>3</v>
      </c>
      <c r="I1" s="41" t="s">
        <v>948</v>
      </c>
      <c r="J1" s="41" t="s">
        <v>5</v>
      </c>
      <c r="K1" s="41" t="s">
        <v>1</v>
      </c>
      <c r="L1" s="41" t="s">
        <v>949</v>
      </c>
      <c r="M1" s="41" t="s">
        <v>950</v>
      </c>
      <c r="N1" s="41" t="s">
        <v>951</v>
      </c>
      <c r="O1" s="41" t="s">
        <v>952</v>
      </c>
      <c r="P1" s="41" t="s">
        <v>953</v>
      </c>
      <c r="Q1" s="41" t="s">
        <v>954</v>
      </c>
      <c r="R1" s="41" t="s">
        <v>955</v>
      </c>
      <c r="S1" s="41" t="s">
        <v>956</v>
      </c>
      <c r="T1" s="41" t="s">
        <v>957</v>
      </c>
      <c r="U1" s="41" t="s">
        <v>958</v>
      </c>
    </row>
    <row r="2" spans="2:21" x14ac:dyDescent="0.25">
      <c r="B2" s="40" t="s">
        <v>929</v>
      </c>
      <c r="C2" s="40">
        <v>6365</v>
      </c>
      <c r="D2" s="40">
        <v>6611</v>
      </c>
      <c r="E2" s="40" t="s">
        <v>41</v>
      </c>
      <c r="F2" s="40">
        <v>1</v>
      </c>
      <c r="G2" s="40" t="s">
        <v>930</v>
      </c>
      <c r="H2" s="40" t="s">
        <v>49</v>
      </c>
      <c r="I2" s="40" t="s">
        <v>50</v>
      </c>
      <c r="J2" s="40" t="s">
        <v>881</v>
      </c>
      <c r="K2" s="40" t="s">
        <v>39</v>
      </c>
      <c r="L2" s="40">
        <v>0.15</v>
      </c>
      <c r="M2" s="40">
        <v>0.12</v>
      </c>
      <c r="N2" s="40">
        <v>0.09</v>
      </c>
      <c r="O2" s="40">
        <v>0.06</v>
      </c>
      <c r="P2" s="40">
        <v>0.03</v>
      </c>
      <c r="Q2" s="40">
        <v>0</v>
      </c>
      <c r="R2" s="40"/>
      <c r="S2" s="40"/>
      <c r="T2" s="40"/>
      <c r="U2" s="40">
        <v>3</v>
      </c>
    </row>
    <row r="3" spans="2:21" x14ac:dyDescent="0.25">
      <c r="B3" s="40" t="s">
        <v>931</v>
      </c>
      <c r="C3" s="40">
        <v>6366</v>
      </c>
      <c r="D3" s="40">
        <v>6611</v>
      </c>
      <c r="E3" s="40" t="s">
        <v>23</v>
      </c>
      <c r="F3" s="40">
        <v>1</v>
      </c>
      <c r="G3" s="40" t="s">
        <v>930</v>
      </c>
      <c r="H3" s="40" t="s">
        <v>49</v>
      </c>
      <c r="I3" s="40" t="s">
        <v>50</v>
      </c>
      <c r="J3" s="40" t="s">
        <v>881</v>
      </c>
      <c r="K3" s="40" t="s">
        <v>37</v>
      </c>
      <c r="L3" s="40">
        <v>0.15</v>
      </c>
      <c r="M3" s="40">
        <v>0.12</v>
      </c>
      <c r="N3" s="40">
        <v>0.09</v>
      </c>
      <c r="O3" s="40">
        <v>0.06</v>
      </c>
      <c r="P3" s="40">
        <v>0.03</v>
      </c>
      <c r="Q3" s="40">
        <v>0</v>
      </c>
      <c r="R3" s="40"/>
      <c r="S3" s="40"/>
      <c r="T3" s="40"/>
      <c r="U3" s="40">
        <v>3</v>
      </c>
    </row>
    <row r="4" spans="2:21" x14ac:dyDescent="0.25">
      <c r="B4" s="40" t="s">
        <v>932</v>
      </c>
      <c r="C4" s="40">
        <v>6367</v>
      </c>
      <c r="D4" s="40">
        <v>6611</v>
      </c>
      <c r="E4" s="40" t="s">
        <v>40</v>
      </c>
      <c r="F4" s="40">
        <v>1</v>
      </c>
      <c r="G4" s="40" t="s">
        <v>930</v>
      </c>
      <c r="H4" s="40" t="s">
        <v>49</v>
      </c>
      <c r="I4" s="40" t="s">
        <v>50</v>
      </c>
      <c r="J4" s="40" t="s">
        <v>881</v>
      </c>
      <c r="K4" s="40" t="s">
        <v>39</v>
      </c>
      <c r="L4" s="40">
        <v>0.15</v>
      </c>
      <c r="M4" s="40">
        <v>0.12</v>
      </c>
      <c r="N4" s="40">
        <v>0.09</v>
      </c>
      <c r="O4" s="40">
        <v>0.06</v>
      </c>
      <c r="P4" s="40">
        <v>0.03</v>
      </c>
      <c r="Q4" s="40">
        <v>0</v>
      </c>
      <c r="R4" s="40"/>
      <c r="S4" s="40"/>
      <c r="T4" s="40"/>
      <c r="U4" s="40">
        <v>3</v>
      </c>
    </row>
    <row r="5" spans="2:21" x14ac:dyDescent="0.25">
      <c r="B5" s="40" t="s">
        <v>933</v>
      </c>
      <c r="C5" s="40">
        <v>6368</v>
      </c>
      <c r="D5" s="40">
        <v>6611</v>
      </c>
      <c r="E5" s="40" t="s">
        <v>33</v>
      </c>
      <c r="F5" s="40">
        <v>1</v>
      </c>
      <c r="G5" s="40" t="s">
        <v>930</v>
      </c>
      <c r="H5" s="40" t="s">
        <v>49</v>
      </c>
      <c r="I5" s="40" t="s">
        <v>50</v>
      </c>
      <c r="J5" s="40" t="s">
        <v>881</v>
      </c>
      <c r="K5" s="40" t="s">
        <v>37</v>
      </c>
      <c r="L5" s="40">
        <v>0.15</v>
      </c>
      <c r="M5" s="40">
        <v>0.12</v>
      </c>
      <c r="N5" s="40">
        <v>0.09</v>
      </c>
      <c r="O5" s="40">
        <v>0.06</v>
      </c>
      <c r="P5" s="40">
        <v>0.03</v>
      </c>
      <c r="Q5" s="40">
        <v>0</v>
      </c>
      <c r="R5" s="40"/>
      <c r="S5" s="40"/>
      <c r="T5" s="40"/>
      <c r="U5" s="40">
        <v>3</v>
      </c>
    </row>
    <row r="6" spans="2:21" x14ac:dyDescent="0.25">
      <c r="B6" s="40" t="s">
        <v>934</v>
      </c>
      <c r="C6" s="40">
        <v>6369</v>
      </c>
      <c r="D6" s="40">
        <v>6611</v>
      </c>
      <c r="E6" s="40" t="s">
        <v>41</v>
      </c>
      <c r="F6" s="40">
        <v>1</v>
      </c>
      <c r="G6" s="40" t="s">
        <v>930</v>
      </c>
      <c r="H6" s="40" t="s">
        <v>44</v>
      </c>
      <c r="I6" s="40" t="s">
        <v>94</v>
      </c>
      <c r="J6" s="40" t="s">
        <v>881</v>
      </c>
      <c r="K6" s="40" t="s">
        <v>39</v>
      </c>
      <c r="L6" s="40">
        <v>0.3</v>
      </c>
      <c r="M6" s="40">
        <v>0.24</v>
      </c>
      <c r="N6" s="40">
        <v>0.18</v>
      </c>
      <c r="O6" s="40">
        <v>0.12</v>
      </c>
      <c r="P6" s="40">
        <v>0.06</v>
      </c>
      <c r="Q6" s="40">
        <v>0</v>
      </c>
      <c r="R6" s="40"/>
      <c r="S6" s="40"/>
      <c r="T6" s="40"/>
      <c r="U6" s="40">
        <v>3</v>
      </c>
    </row>
    <row r="7" spans="2:21" x14ac:dyDescent="0.25">
      <c r="B7" s="40" t="s">
        <v>935</v>
      </c>
      <c r="C7" s="40">
        <v>6370</v>
      </c>
      <c r="D7" s="40">
        <v>6611</v>
      </c>
      <c r="E7" s="40" t="s">
        <v>40</v>
      </c>
      <c r="F7" s="40">
        <v>1</v>
      </c>
      <c r="G7" s="40" t="s">
        <v>930</v>
      </c>
      <c r="H7" s="40" t="s">
        <v>44</v>
      </c>
      <c r="I7" s="40" t="s">
        <v>94</v>
      </c>
      <c r="J7" s="40" t="s">
        <v>881</v>
      </c>
      <c r="K7" s="40" t="s">
        <v>39</v>
      </c>
      <c r="L7" s="40">
        <v>0.3</v>
      </c>
      <c r="M7" s="40">
        <v>0.24</v>
      </c>
      <c r="N7" s="40">
        <v>0.18</v>
      </c>
      <c r="O7" s="40">
        <v>0.12</v>
      </c>
      <c r="P7" s="40">
        <v>0.06</v>
      </c>
      <c r="Q7" s="40">
        <v>0</v>
      </c>
      <c r="R7" s="40"/>
      <c r="S7" s="40"/>
      <c r="T7" s="40"/>
      <c r="U7" s="40">
        <v>3</v>
      </c>
    </row>
    <row r="8" spans="2:21" x14ac:dyDescent="0.25">
      <c r="B8" s="40" t="s">
        <v>936</v>
      </c>
      <c r="C8" s="40">
        <v>6371</v>
      </c>
      <c r="D8" s="40">
        <v>6611</v>
      </c>
      <c r="E8" s="40" t="s">
        <v>23</v>
      </c>
      <c r="F8" s="40">
        <v>1</v>
      </c>
      <c r="G8" s="40" t="s">
        <v>930</v>
      </c>
      <c r="H8" s="40" t="s">
        <v>44</v>
      </c>
      <c r="I8" s="40" t="s">
        <v>94</v>
      </c>
      <c r="J8" s="40" t="s">
        <v>881</v>
      </c>
      <c r="K8" s="40" t="s">
        <v>43</v>
      </c>
      <c r="L8" s="40">
        <v>0.3</v>
      </c>
      <c r="M8" s="40">
        <v>0.24</v>
      </c>
      <c r="N8" s="40">
        <v>0.18</v>
      </c>
      <c r="O8" s="40">
        <v>0.12</v>
      </c>
      <c r="P8" s="40">
        <v>0.06</v>
      </c>
      <c r="Q8" s="40">
        <v>0</v>
      </c>
      <c r="R8" s="40"/>
      <c r="S8" s="40"/>
      <c r="T8" s="40"/>
      <c r="U8" s="40">
        <v>3</v>
      </c>
    </row>
    <row r="9" spans="2:21" x14ac:dyDescent="0.25">
      <c r="B9" s="40" t="s">
        <v>937</v>
      </c>
      <c r="C9" s="40">
        <v>6372</v>
      </c>
      <c r="D9" s="40">
        <v>6611</v>
      </c>
      <c r="E9" s="40" t="s">
        <v>33</v>
      </c>
      <c r="F9" s="40">
        <v>1</v>
      </c>
      <c r="G9" s="40" t="s">
        <v>930</v>
      </c>
      <c r="H9" s="40" t="s">
        <v>44</v>
      </c>
      <c r="I9" s="40" t="s">
        <v>94</v>
      </c>
      <c r="J9" s="40" t="s">
        <v>881</v>
      </c>
      <c r="K9" s="40" t="s">
        <v>43</v>
      </c>
      <c r="L9" s="40">
        <v>0.3</v>
      </c>
      <c r="M9" s="40">
        <v>0.24</v>
      </c>
      <c r="N9" s="40">
        <v>0.18</v>
      </c>
      <c r="O9" s="40">
        <v>0.12</v>
      </c>
      <c r="P9" s="40">
        <v>0.06</v>
      </c>
      <c r="Q9" s="40">
        <v>0</v>
      </c>
      <c r="R9" s="40"/>
      <c r="S9" s="40"/>
      <c r="T9" s="40"/>
      <c r="U9" s="40">
        <v>3</v>
      </c>
    </row>
    <row r="10" spans="2:21" x14ac:dyDescent="0.25">
      <c r="B10" s="40" t="s">
        <v>938</v>
      </c>
      <c r="C10" s="40">
        <v>6373</v>
      </c>
      <c r="D10" s="40">
        <v>6611</v>
      </c>
      <c r="E10" s="40" t="s">
        <v>23</v>
      </c>
      <c r="F10" s="40">
        <v>1</v>
      </c>
      <c r="G10" s="40" t="s">
        <v>930</v>
      </c>
      <c r="H10" s="40" t="s">
        <v>44</v>
      </c>
      <c r="I10" s="40" t="s">
        <v>25</v>
      </c>
      <c r="J10" s="40" t="s">
        <v>44</v>
      </c>
      <c r="K10" s="40" t="s">
        <v>43</v>
      </c>
      <c r="L10" s="40">
        <v>0.3</v>
      </c>
      <c r="M10" s="40">
        <v>0.24</v>
      </c>
      <c r="N10" s="40">
        <v>0.18</v>
      </c>
      <c r="O10" s="40">
        <v>0.12</v>
      </c>
      <c r="P10" s="40">
        <v>0.06</v>
      </c>
      <c r="Q10" s="40">
        <v>0</v>
      </c>
      <c r="R10" s="40"/>
      <c r="S10" s="40"/>
      <c r="T10" s="40"/>
      <c r="U10" s="40">
        <v>3</v>
      </c>
    </row>
    <row r="11" spans="2:21" x14ac:dyDescent="0.25">
      <c r="B11" s="40" t="s">
        <v>939</v>
      </c>
      <c r="C11" s="40">
        <v>6374</v>
      </c>
      <c r="D11" s="40">
        <v>6611</v>
      </c>
      <c r="E11" s="40" t="s">
        <v>41</v>
      </c>
      <c r="F11" s="40">
        <v>1</v>
      </c>
      <c r="G11" s="40" t="s">
        <v>930</v>
      </c>
      <c r="H11" s="40" t="s">
        <v>44</v>
      </c>
      <c r="I11" s="40" t="s">
        <v>25</v>
      </c>
      <c r="J11" s="40" t="s">
        <v>881</v>
      </c>
      <c r="K11" s="40" t="s">
        <v>39</v>
      </c>
      <c r="L11" s="40">
        <v>0.1</v>
      </c>
      <c r="M11" s="40">
        <v>0.08</v>
      </c>
      <c r="N11" s="40">
        <v>0.06</v>
      </c>
      <c r="O11" s="40">
        <v>0.04</v>
      </c>
      <c r="P11" s="40">
        <v>0.02</v>
      </c>
      <c r="Q11" s="40">
        <v>0</v>
      </c>
      <c r="R11" s="40"/>
      <c r="S11" s="40"/>
      <c r="T11" s="40"/>
      <c r="U11" s="40">
        <v>3</v>
      </c>
    </row>
    <row r="12" spans="2:21" x14ac:dyDescent="0.25">
      <c r="B12" s="40" t="s">
        <v>940</v>
      </c>
      <c r="C12" s="40">
        <v>6375</v>
      </c>
      <c r="D12" s="40">
        <v>6611</v>
      </c>
      <c r="E12" s="40" t="s">
        <v>40</v>
      </c>
      <c r="F12" s="40">
        <v>1</v>
      </c>
      <c r="G12" s="40" t="s">
        <v>930</v>
      </c>
      <c r="H12" s="40" t="s">
        <v>44</v>
      </c>
      <c r="I12" s="40" t="s">
        <v>25</v>
      </c>
      <c r="J12" s="40" t="s">
        <v>881</v>
      </c>
      <c r="K12" s="40" t="s">
        <v>39</v>
      </c>
      <c r="L12" s="40">
        <v>0.1</v>
      </c>
      <c r="M12" s="40">
        <v>0.08</v>
      </c>
      <c r="N12" s="40">
        <v>0.06</v>
      </c>
      <c r="O12" s="40">
        <v>0.04</v>
      </c>
      <c r="P12" s="40">
        <v>0.02</v>
      </c>
      <c r="Q12" s="40">
        <v>0</v>
      </c>
      <c r="R12" s="40"/>
      <c r="S12" s="40"/>
      <c r="T12" s="40"/>
      <c r="U12" s="40">
        <v>3</v>
      </c>
    </row>
    <row r="13" spans="2:21" x14ac:dyDescent="0.25">
      <c r="B13" s="40" t="s">
        <v>941</v>
      </c>
      <c r="C13" s="40">
        <v>6376</v>
      </c>
      <c r="D13" s="40">
        <v>6611</v>
      </c>
      <c r="E13" s="40" t="s">
        <v>33</v>
      </c>
      <c r="F13" s="40">
        <v>1</v>
      </c>
      <c r="G13" s="40" t="s">
        <v>930</v>
      </c>
      <c r="H13" s="40" t="s">
        <v>44</v>
      </c>
      <c r="I13" s="40" t="s">
        <v>25</v>
      </c>
      <c r="J13" s="40" t="s">
        <v>44</v>
      </c>
      <c r="K13" s="40" t="s">
        <v>43</v>
      </c>
      <c r="L13" s="40">
        <v>0.3</v>
      </c>
      <c r="M13" s="40">
        <v>0.24</v>
      </c>
      <c r="N13" s="40">
        <v>0.18</v>
      </c>
      <c r="O13" s="40">
        <v>0.12</v>
      </c>
      <c r="P13" s="40">
        <v>0.06</v>
      </c>
      <c r="Q13" s="40">
        <v>0</v>
      </c>
      <c r="R13" s="40"/>
      <c r="S13" s="40"/>
      <c r="T13" s="40"/>
      <c r="U13" s="40">
        <v>3</v>
      </c>
    </row>
    <row r="14" spans="2:21" x14ac:dyDescent="0.25">
      <c r="B14" s="40" t="s">
        <v>942</v>
      </c>
      <c r="C14" s="40">
        <v>6377</v>
      </c>
      <c r="D14" s="40">
        <v>6611</v>
      </c>
      <c r="E14" s="40" t="s">
        <v>23</v>
      </c>
      <c r="F14" s="40">
        <v>1</v>
      </c>
      <c r="G14" s="40" t="s">
        <v>930</v>
      </c>
      <c r="H14" s="40" t="s">
        <v>44</v>
      </c>
      <c r="I14" s="40" t="s">
        <v>95</v>
      </c>
      <c r="J14" s="40" t="s">
        <v>881</v>
      </c>
      <c r="K14" s="40" t="s">
        <v>43</v>
      </c>
      <c r="L14" s="40">
        <v>0.4</v>
      </c>
      <c r="M14" s="40">
        <v>0.32</v>
      </c>
      <c r="N14" s="40">
        <v>0.24</v>
      </c>
      <c r="O14" s="40">
        <v>0.16</v>
      </c>
      <c r="P14" s="40">
        <v>0.08</v>
      </c>
      <c r="Q14" s="40">
        <v>0</v>
      </c>
      <c r="R14" s="40"/>
      <c r="S14" s="40"/>
      <c r="T14" s="40"/>
      <c r="U14" s="40">
        <v>3</v>
      </c>
    </row>
    <row r="15" spans="2:21" x14ac:dyDescent="0.25">
      <c r="B15" s="40" t="s">
        <v>943</v>
      </c>
      <c r="C15" s="40">
        <v>6378</v>
      </c>
      <c r="D15" s="40">
        <v>6611</v>
      </c>
      <c r="E15" s="40" t="s">
        <v>33</v>
      </c>
      <c r="F15" s="40">
        <v>1</v>
      </c>
      <c r="G15" s="40" t="s">
        <v>930</v>
      </c>
      <c r="H15" s="40" t="s">
        <v>44</v>
      </c>
      <c r="I15" s="40" t="s">
        <v>95</v>
      </c>
      <c r="J15" s="40" t="s">
        <v>881</v>
      </c>
      <c r="K15" s="40" t="s">
        <v>43</v>
      </c>
      <c r="L15" s="40">
        <v>0.4</v>
      </c>
      <c r="M15" s="40">
        <v>0.32</v>
      </c>
      <c r="N15" s="40">
        <v>0.24</v>
      </c>
      <c r="O15" s="40">
        <v>0.16</v>
      </c>
      <c r="P15" s="40">
        <v>0.08</v>
      </c>
      <c r="Q15" s="40">
        <v>0</v>
      </c>
      <c r="R15" s="40"/>
      <c r="S15" s="40"/>
      <c r="T15" s="40"/>
      <c r="U15" s="40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C0605-A60D-4C16-8E69-F3545701F83C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4" bestFit="1" customWidth="1"/>
    <col min="2" max="2" width="18.42578125" style="14" customWidth="1"/>
    <col min="3" max="12" width="11" style="14" customWidth="1"/>
    <col min="13" max="16384" width="9.140625" style="14"/>
  </cols>
  <sheetData>
    <row r="1" spans="1:12" ht="12" thickBot="1" x14ac:dyDescent="0.25">
      <c r="A1" s="88" t="s">
        <v>1392</v>
      </c>
      <c r="B1" s="88" t="s">
        <v>22</v>
      </c>
      <c r="C1" s="88" t="s">
        <v>1391</v>
      </c>
      <c r="D1" s="88" t="s">
        <v>1390</v>
      </c>
      <c r="E1" s="88" t="s">
        <v>37</v>
      </c>
      <c r="F1" s="88" t="s">
        <v>1389</v>
      </c>
      <c r="G1" s="88" t="s">
        <v>1388</v>
      </c>
      <c r="H1" s="88" t="s">
        <v>850</v>
      </c>
      <c r="I1" s="88" t="s">
        <v>39</v>
      </c>
      <c r="J1" s="88" t="s">
        <v>849</v>
      </c>
      <c r="K1" s="88" t="s">
        <v>56</v>
      </c>
      <c r="L1" s="88" t="s">
        <v>848</v>
      </c>
    </row>
    <row r="2" spans="1:12" x14ac:dyDescent="0.2">
      <c r="A2" s="84" t="s">
        <v>1387</v>
      </c>
      <c r="B2" s="90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455.06667090926209</v>
      </c>
      <c r="C2" s="90">
        <f t="shared" si="0"/>
        <v>427.92786339609091</v>
      </c>
      <c r="D2" s="90">
        <f t="shared" si="0"/>
        <v>418.88159422503384</v>
      </c>
      <c r="E2" s="90">
        <f t="shared" si="0"/>
        <v>455.06667090926209</v>
      </c>
      <c r="F2" s="90">
        <f t="shared" si="0"/>
        <v>250.14900838227373</v>
      </c>
      <c r="G2" s="90">
        <f t="shared" si="0"/>
        <v>272.96133933537413</v>
      </c>
      <c r="H2" s="90">
        <f t="shared" si="0"/>
        <v>0</v>
      </c>
      <c r="I2" s="90">
        <f t="shared" si="0"/>
        <v>477.69539651652013</v>
      </c>
      <c r="J2" s="90">
        <f t="shared" si="0"/>
        <v>0</v>
      </c>
      <c r="K2" s="90">
        <f t="shared" si="0"/>
        <v>12.634877920607265</v>
      </c>
      <c r="L2" s="90">
        <f t="shared" si="0"/>
        <v>0</v>
      </c>
    </row>
    <row r="3" spans="1:12" ht="12" thickBot="1" x14ac:dyDescent="0.25">
      <c r="A3" s="82" t="s">
        <v>1386</v>
      </c>
      <c r="B3" s="89">
        <v>11.57</v>
      </c>
      <c r="C3" s="89">
        <v>10.88</v>
      </c>
      <c r="D3" s="89">
        <v>10.65</v>
      </c>
      <c r="E3" s="89">
        <v>11.57</v>
      </c>
      <c r="F3" s="89">
        <v>6.36</v>
      </c>
      <c r="G3" s="89">
        <v>6.94</v>
      </c>
      <c r="H3" s="89">
        <v>0</v>
      </c>
      <c r="I3" s="89">
        <f>'TUSD BE'!$AC$13</f>
        <v>12.145331862368316</v>
      </c>
      <c r="J3" s="89">
        <v>0</v>
      </c>
      <c r="K3" s="89">
        <f>'TUSD BE'!$AC$6</f>
        <v>0.32123982459391032</v>
      </c>
      <c r="L3" s="89">
        <v>0</v>
      </c>
    </row>
    <row r="5" spans="1:12" ht="12" thickBot="1" x14ac:dyDescent="0.25">
      <c r="A5" s="88" t="s">
        <v>1385</v>
      </c>
      <c r="B5" s="88" t="s">
        <v>1384</v>
      </c>
    </row>
    <row r="6" spans="1:12" x14ac:dyDescent="0.2">
      <c r="A6" s="84" t="s">
        <v>1383</v>
      </c>
      <c r="B6" s="87">
        <v>0.11083669854816336</v>
      </c>
    </row>
    <row r="7" spans="1:12" x14ac:dyDescent="0.2">
      <c r="A7" s="86" t="s">
        <v>1382</v>
      </c>
      <c r="B7" s="85">
        <v>0.34</v>
      </c>
    </row>
    <row r="8" spans="1:12" x14ac:dyDescent="0.2">
      <c r="A8" s="84" t="s">
        <v>1381</v>
      </c>
      <c r="B8" s="83">
        <v>92344713.614063069</v>
      </c>
    </row>
    <row r="9" spans="1:12" x14ac:dyDescent="0.2">
      <c r="A9" s="86" t="s">
        <v>1380</v>
      </c>
      <c r="B9" s="85">
        <v>3.9199999999999999E-2</v>
      </c>
    </row>
    <row r="10" spans="1:12" x14ac:dyDescent="0.2">
      <c r="A10" s="84" t="s">
        <v>1379</v>
      </c>
      <c r="B10" s="83">
        <v>56332006.982137159</v>
      </c>
    </row>
    <row r="11" spans="1:12" ht="12" thickBot="1" x14ac:dyDescent="0.25">
      <c r="A11" s="82" t="s">
        <v>1378</v>
      </c>
      <c r="B11" s="81">
        <f>(1+$B$6)^(1/IF($B$9&lt;&gt;0,$B$9,1))*$B$6/IF((1+$B$6)^(1/IF($B$9&lt;&gt;0,$B$9,1))-1&lt;&gt;0,(1+$B$6)^(1/IF($B$9&lt;&gt;0,$B$9,1))-1,1)</f>
        <v>0.11898255769818752</v>
      </c>
    </row>
    <row r="18" spans="2:2" x14ac:dyDescent="0.2">
      <c r="B18" s="80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67FE-3BB1-42B5-9D51-5F7E0AE84490}">
  <dimension ref="B1:AR64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3" bestFit="1" customWidth="1"/>
    <col min="11" max="11" width="10.28515625" bestFit="1" customWidth="1"/>
    <col min="12" max="12" width="19.42578125" bestFit="1" customWidth="1"/>
    <col min="13" max="13" width="14.140625" bestFit="1" customWidth="1"/>
    <col min="14" max="14" width="12.7109375" bestFit="1" customWidth="1"/>
    <col min="15" max="15" width="13" bestFit="1" customWidth="1"/>
    <col min="16" max="17" width="12.5703125" bestFit="1" customWidth="1"/>
    <col min="18" max="18" width="17.28515625" bestFit="1" customWidth="1"/>
    <col min="19" max="19" width="11" bestFit="1" customWidth="1"/>
    <col min="20" max="21" width="12.140625" bestFit="1" customWidth="1"/>
    <col min="22" max="22" width="12.42578125" bestFit="1" customWidth="1"/>
    <col min="23" max="23" width="12.7109375" bestFit="1" customWidth="1"/>
    <col min="24" max="24" width="14" bestFit="1" customWidth="1"/>
    <col min="25" max="25" width="11.5703125" bestFit="1" customWidth="1"/>
    <col min="26" max="26" width="14.42578125" bestFit="1" customWidth="1"/>
    <col min="27" max="27" width="13" bestFit="1" customWidth="1"/>
    <col min="28" max="28" width="16.28515625" bestFit="1" customWidth="1"/>
    <col min="29" max="29" width="14.5703125" bestFit="1" customWidth="1"/>
    <col min="30" max="30" width="12.140625" bestFit="1" customWidth="1"/>
    <col min="31" max="31" width="17.85546875" bestFit="1" customWidth="1"/>
    <col min="32" max="32" width="12.7109375" bestFit="1" customWidth="1"/>
    <col min="33" max="33" width="10.85546875" bestFit="1" customWidth="1"/>
    <col min="34" max="34" width="16.7109375" bestFit="1" customWidth="1"/>
    <col min="35" max="35" width="14.7109375" bestFit="1" customWidth="1"/>
    <col min="36" max="36" width="12.140625" bestFit="1" customWidth="1"/>
    <col min="37" max="37" width="12.7109375" bestFit="1" customWidth="1"/>
    <col min="38" max="38" width="12.42578125" bestFit="1" customWidth="1"/>
    <col min="39" max="39" width="14.28515625" bestFit="1" customWidth="1"/>
    <col min="40" max="40" width="25.42578125" bestFit="1" customWidth="1"/>
    <col min="41" max="41" width="18" bestFit="1" customWidth="1"/>
    <col min="42" max="42" width="14.140625" bestFit="1" customWidth="1"/>
    <col min="43" max="43" width="13.42578125" bestFit="1" customWidth="1"/>
    <col min="44" max="44" width="12.7109375" bestFit="1" customWidth="1"/>
  </cols>
  <sheetData>
    <row r="1" spans="2:44" ht="12" customHeight="1" x14ac:dyDescent="0.25">
      <c r="L1" s="134" t="s">
        <v>1430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5"/>
      <c r="AH1" s="134" t="s">
        <v>1431</v>
      </c>
      <c r="AI1" s="134"/>
      <c r="AJ1" s="134"/>
      <c r="AK1" s="134"/>
      <c r="AL1" s="134"/>
      <c r="AM1" s="134"/>
      <c r="AN1" s="134"/>
      <c r="AO1" s="134"/>
      <c r="AP1" s="134"/>
      <c r="AQ1" s="134"/>
      <c r="AR1" s="134"/>
    </row>
    <row r="2" spans="2:44" ht="12" customHeight="1" x14ac:dyDescent="0.25">
      <c r="L2" s="136" t="s">
        <v>717</v>
      </c>
      <c r="M2" s="136"/>
      <c r="N2" s="136"/>
      <c r="O2" s="136"/>
      <c r="P2" s="136"/>
      <c r="Q2" s="136"/>
      <c r="R2" s="136"/>
      <c r="S2" s="137"/>
      <c r="T2" s="136" t="s">
        <v>726</v>
      </c>
      <c r="U2" s="136"/>
      <c r="V2" s="136"/>
      <c r="W2" s="136"/>
      <c r="X2" s="136"/>
      <c r="Y2" s="136"/>
      <c r="Z2" s="137"/>
      <c r="AA2" s="138" t="s">
        <v>734</v>
      </c>
      <c r="AB2" s="136" t="s">
        <v>25</v>
      </c>
      <c r="AC2" s="137"/>
      <c r="AD2" s="136" t="s">
        <v>1429</v>
      </c>
      <c r="AE2" s="136"/>
      <c r="AF2" s="136"/>
      <c r="AG2" s="137"/>
      <c r="AH2" s="136" t="s">
        <v>717</v>
      </c>
      <c r="AI2" s="136"/>
      <c r="AJ2" s="136"/>
      <c r="AK2" s="136"/>
      <c r="AL2" s="137"/>
      <c r="AM2" s="138" t="s">
        <v>747</v>
      </c>
      <c r="AN2" s="136" t="s">
        <v>726</v>
      </c>
      <c r="AO2" s="136"/>
      <c r="AP2" s="136"/>
      <c r="AQ2" s="137"/>
      <c r="AR2" s="139" t="s">
        <v>1429</v>
      </c>
    </row>
    <row r="3" spans="2:44" ht="12" customHeight="1" x14ac:dyDescent="0.25">
      <c r="B3" s="125" t="s">
        <v>68</v>
      </c>
      <c r="C3" s="126" t="s">
        <v>69</v>
      </c>
      <c r="D3" s="126" t="s">
        <v>70</v>
      </c>
      <c r="E3" s="126" t="s">
        <v>71</v>
      </c>
      <c r="F3" s="126" t="s">
        <v>72</v>
      </c>
      <c r="G3" s="126" t="s">
        <v>74</v>
      </c>
      <c r="H3" s="126" t="s">
        <v>75</v>
      </c>
      <c r="I3" s="126" t="s">
        <v>989</v>
      </c>
      <c r="J3" s="126" t="s">
        <v>1393</v>
      </c>
      <c r="K3" s="126" t="s">
        <v>1394</v>
      </c>
      <c r="L3" s="126" t="s">
        <v>1395</v>
      </c>
      <c r="M3" s="126" t="s">
        <v>1396</v>
      </c>
      <c r="N3" s="126" t="s">
        <v>1397</v>
      </c>
      <c r="O3" s="126" t="s">
        <v>1398</v>
      </c>
      <c r="P3" s="126" t="s">
        <v>1399</v>
      </c>
      <c r="Q3" s="126" t="s">
        <v>1400</v>
      </c>
      <c r="R3" s="126" t="s">
        <v>1401</v>
      </c>
      <c r="S3" s="126" t="s">
        <v>1402</v>
      </c>
      <c r="T3" s="126" t="s">
        <v>1403</v>
      </c>
      <c r="U3" s="126" t="s">
        <v>1404</v>
      </c>
      <c r="V3" s="126" t="s">
        <v>1405</v>
      </c>
      <c r="W3" s="126" t="s">
        <v>1406</v>
      </c>
      <c r="X3" s="126" t="s">
        <v>1407</v>
      </c>
      <c r="Y3" s="126" t="s">
        <v>1408</v>
      </c>
      <c r="Z3" s="126" t="s">
        <v>1409</v>
      </c>
      <c r="AA3" s="126" t="s">
        <v>1410</v>
      </c>
      <c r="AB3" s="126" t="s">
        <v>1411</v>
      </c>
      <c r="AC3" s="126" t="s">
        <v>1412</v>
      </c>
      <c r="AD3" s="126" t="s">
        <v>1413</v>
      </c>
      <c r="AE3" s="126" t="s">
        <v>1414</v>
      </c>
      <c r="AF3" s="126" t="s">
        <v>1415</v>
      </c>
      <c r="AG3" s="126" t="s">
        <v>1416</v>
      </c>
      <c r="AH3" s="126" t="s">
        <v>1417</v>
      </c>
      <c r="AI3" s="126" t="s">
        <v>1418</v>
      </c>
      <c r="AJ3" s="126" t="s">
        <v>1419</v>
      </c>
      <c r="AK3" s="126" t="s">
        <v>1420</v>
      </c>
      <c r="AL3" s="126" t="s">
        <v>1421</v>
      </c>
      <c r="AM3" s="126" t="s">
        <v>1422</v>
      </c>
      <c r="AN3" s="126" t="s">
        <v>1423</v>
      </c>
      <c r="AO3" s="126" t="s">
        <v>1424</v>
      </c>
      <c r="AP3" s="126" t="s">
        <v>1425</v>
      </c>
      <c r="AQ3" s="126" t="s">
        <v>1426</v>
      </c>
      <c r="AR3" s="127" t="s">
        <v>1427</v>
      </c>
    </row>
    <row r="4" spans="2:44" ht="12" customHeight="1" x14ac:dyDescent="0.25">
      <c r="B4" s="128" t="s">
        <v>56</v>
      </c>
      <c r="C4" s="129" t="s">
        <v>40</v>
      </c>
      <c r="D4" s="129" t="s">
        <v>25</v>
      </c>
      <c r="E4" s="129" t="s">
        <v>25</v>
      </c>
      <c r="F4" s="129" t="s">
        <v>85</v>
      </c>
      <c r="G4" s="129" t="s">
        <v>34</v>
      </c>
      <c r="H4" s="129" t="s">
        <v>78</v>
      </c>
      <c r="I4" s="129" t="s">
        <v>25</v>
      </c>
      <c r="J4" s="129">
        <v>3.7199999999999998</v>
      </c>
      <c r="K4" s="129">
        <v>0</v>
      </c>
      <c r="L4" s="129">
        <v>0</v>
      </c>
      <c r="M4" s="129">
        <v>5.5194950658593998E-2</v>
      </c>
      <c r="N4" s="129">
        <v>8.7927837715222903E-2</v>
      </c>
      <c r="O4" s="129">
        <v>3.7615096723936002E-2</v>
      </c>
      <c r="P4" s="129">
        <v>0</v>
      </c>
      <c r="Q4" s="129">
        <v>0</v>
      </c>
      <c r="R4" s="129">
        <v>0</v>
      </c>
      <c r="S4" s="129">
        <v>0</v>
      </c>
      <c r="T4" s="129">
        <v>0</v>
      </c>
      <c r="U4" s="129">
        <v>0</v>
      </c>
      <c r="V4" s="129">
        <v>0</v>
      </c>
      <c r="W4" s="129">
        <v>0</v>
      </c>
      <c r="X4" s="129">
        <v>0</v>
      </c>
      <c r="Y4" s="129">
        <v>0</v>
      </c>
      <c r="Z4" s="129">
        <v>0</v>
      </c>
      <c r="AA4" s="129">
        <v>0</v>
      </c>
      <c r="AB4" s="129">
        <v>-0.30948188022039602</v>
      </c>
      <c r="AC4" s="129">
        <v>0</v>
      </c>
      <c r="AD4" s="129">
        <v>3.0492304534580699</v>
      </c>
      <c r="AE4" s="129">
        <v>7.1892530399287405E-2</v>
      </c>
      <c r="AF4" s="129">
        <v>0.72329632453984105</v>
      </c>
      <c r="AG4" s="129">
        <v>0</v>
      </c>
      <c r="AH4" s="129">
        <v>0</v>
      </c>
      <c r="AI4" s="129">
        <v>0</v>
      </c>
      <c r="AJ4" s="129">
        <v>0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  <c r="AQ4" s="129">
        <v>0</v>
      </c>
      <c r="AR4" s="130">
        <v>0</v>
      </c>
    </row>
    <row r="5" spans="2:44" ht="12" customHeight="1" x14ac:dyDescent="0.25">
      <c r="B5" s="128" t="s">
        <v>56</v>
      </c>
      <c r="C5" s="129" t="s">
        <v>40</v>
      </c>
      <c r="D5" s="129" t="s">
        <v>25</v>
      </c>
      <c r="E5" s="129" t="s">
        <v>25</v>
      </c>
      <c r="F5" s="129" t="s">
        <v>85</v>
      </c>
      <c r="G5" s="129" t="s">
        <v>34</v>
      </c>
      <c r="H5" s="129" t="s">
        <v>81</v>
      </c>
      <c r="I5" s="129" t="s">
        <v>25</v>
      </c>
      <c r="J5" s="129">
        <v>11.73</v>
      </c>
      <c r="K5" s="129">
        <v>0</v>
      </c>
      <c r="L5" s="129">
        <v>0</v>
      </c>
      <c r="M5" s="129">
        <v>0</v>
      </c>
      <c r="N5" s="129">
        <v>0</v>
      </c>
      <c r="O5" s="129">
        <v>0</v>
      </c>
      <c r="P5" s="129">
        <v>0</v>
      </c>
      <c r="Q5" s="129">
        <v>0</v>
      </c>
      <c r="R5" s="129">
        <v>0</v>
      </c>
      <c r="S5" s="129">
        <v>0</v>
      </c>
      <c r="T5" s="129">
        <v>4.2789621253010699</v>
      </c>
      <c r="U5" s="129">
        <v>1.16120845738992</v>
      </c>
      <c r="V5" s="129">
        <v>9.9582492867066497E-2</v>
      </c>
      <c r="W5" s="129">
        <v>0</v>
      </c>
      <c r="X5" s="129">
        <v>4.7443078672455101</v>
      </c>
      <c r="Y5" s="129">
        <v>0</v>
      </c>
      <c r="Z5" s="129">
        <v>0</v>
      </c>
      <c r="AA5" s="129">
        <v>2.5201745790518602</v>
      </c>
      <c r="AB5" s="129">
        <v>-1.0704901634889601</v>
      </c>
      <c r="AC5" s="129">
        <v>0</v>
      </c>
      <c r="AD5" s="129">
        <v>0</v>
      </c>
      <c r="AE5" s="129">
        <v>0</v>
      </c>
      <c r="AF5" s="129">
        <v>0</v>
      </c>
      <c r="AG5" s="129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30">
        <v>0</v>
      </c>
    </row>
    <row r="6" spans="2:44" ht="12" customHeight="1" x14ac:dyDescent="0.25">
      <c r="B6" s="128" t="s">
        <v>56</v>
      </c>
      <c r="C6" s="129" t="s">
        <v>40</v>
      </c>
      <c r="D6" s="129" t="s">
        <v>25</v>
      </c>
      <c r="E6" s="129" t="s">
        <v>25</v>
      </c>
      <c r="F6" s="129" t="s">
        <v>85</v>
      </c>
      <c r="G6" s="129" t="s">
        <v>35</v>
      </c>
      <c r="H6" s="129" t="s">
        <v>78</v>
      </c>
      <c r="I6" s="129" t="s">
        <v>25</v>
      </c>
      <c r="J6" s="129">
        <v>3.7199999999999998</v>
      </c>
      <c r="K6" s="129">
        <v>0</v>
      </c>
      <c r="L6" s="129">
        <v>0</v>
      </c>
      <c r="M6" s="129">
        <v>5.5194950658593998E-2</v>
      </c>
      <c r="N6" s="129">
        <v>8.7927837715222903E-2</v>
      </c>
      <c r="O6" s="129">
        <v>3.7615096723936002E-2</v>
      </c>
      <c r="P6" s="129">
        <v>0</v>
      </c>
      <c r="Q6" s="129">
        <v>0</v>
      </c>
      <c r="R6" s="129">
        <v>0</v>
      </c>
      <c r="S6" s="129">
        <v>0</v>
      </c>
      <c r="T6" s="129">
        <v>0</v>
      </c>
      <c r="U6" s="129">
        <v>0</v>
      </c>
      <c r="V6" s="129">
        <v>0</v>
      </c>
      <c r="W6" s="129">
        <v>0</v>
      </c>
      <c r="X6" s="129">
        <v>0</v>
      </c>
      <c r="Y6" s="129">
        <v>0</v>
      </c>
      <c r="Z6" s="129">
        <v>0</v>
      </c>
      <c r="AA6" s="129">
        <v>0</v>
      </c>
      <c r="AB6" s="129">
        <v>-0.30948188022039602</v>
      </c>
      <c r="AC6" s="129">
        <v>0</v>
      </c>
      <c r="AD6" s="129">
        <v>3.0492304534580699</v>
      </c>
      <c r="AE6" s="129">
        <v>7.1892530399287405E-2</v>
      </c>
      <c r="AF6" s="129">
        <v>0.72329632453984105</v>
      </c>
      <c r="AG6" s="129">
        <v>0</v>
      </c>
      <c r="AH6" s="129">
        <v>0</v>
      </c>
      <c r="AI6" s="129">
        <v>0</v>
      </c>
      <c r="AJ6" s="129">
        <v>0</v>
      </c>
      <c r="AK6" s="129">
        <v>0</v>
      </c>
      <c r="AL6" s="129">
        <v>0</v>
      </c>
      <c r="AM6" s="129">
        <v>0</v>
      </c>
      <c r="AN6" s="129">
        <v>0</v>
      </c>
      <c r="AO6" s="129">
        <v>0</v>
      </c>
      <c r="AP6" s="129">
        <v>0</v>
      </c>
      <c r="AQ6" s="129">
        <v>0</v>
      </c>
      <c r="AR6" s="130">
        <v>0</v>
      </c>
    </row>
    <row r="7" spans="2:44" ht="12" customHeight="1" x14ac:dyDescent="0.25">
      <c r="B7" s="128" t="s">
        <v>56</v>
      </c>
      <c r="C7" s="129" t="s">
        <v>40</v>
      </c>
      <c r="D7" s="129" t="s">
        <v>25</v>
      </c>
      <c r="E7" s="129" t="s">
        <v>25</v>
      </c>
      <c r="F7" s="129" t="s">
        <v>85</v>
      </c>
      <c r="G7" s="129" t="s">
        <v>35</v>
      </c>
      <c r="H7" s="129" t="s">
        <v>81</v>
      </c>
      <c r="I7" s="129" t="s">
        <v>25</v>
      </c>
      <c r="J7" s="129">
        <v>5.67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29">
        <v>0</v>
      </c>
      <c r="T7" s="129">
        <v>3.2781075952954</v>
      </c>
      <c r="U7" s="129">
        <v>0.89942702033529998</v>
      </c>
      <c r="V7" s="129">
        <v>7.4268185171880802E-2</v>
      </c>
      <c r="W7" s="129">
        <v>0</v>
      </c>
      <c r="X7" s="129">
        <v>1.6071152910848701</v>
      </c>
      <c r="Y7" s="129">
        <v>0</v>
      </c>
      <c r="Z7" s="129">
        <v>0</v>
      </c>
      <c r="AA7" s="129">
        <v>0.31923727001220797</v>
      </c>
      <c r="AB7" s="129">
        <v>-0.50773578028934696</v>
      </c>
      <c r="AC7" s="129">
        <v>0</v>
      </c>
      <c r="AD7" s="129">
        <v>0</v>
      </c>
      <c r="AE7" s="129">
        <v>0</v>
      </c>
      <c r="AF7" s="129">
        <v>0</v>
      </c>
      <c r="AG7" s="129">
        <v>0</v>
      </c>
      <c r="AH7" s="129">
        <v>0</v>
      </c>
      <c r="AI7" s="129">
        <v>0</v>
      </c>
      <c r="AJ7" s="129">
        <v>0</v>
      </c>
      <c r="AK7" s="129">
        <v>0</v>
      </c>
      <c r="AL7" s="129">
        <v>0</v>
      </c>
      <c r="AM7" s="129">
        <v>0</v>
      </c>
      <c r="AN7" s="129">
        <v>0</v>
      </c>
      <c r="AO7" s="129">
        <v>0</v>
      </c>
      <c r="AP7" s="129">
        <v>0</v>
      </c>
      <c r="AQ7" s="129">
        <v>0</v>
      </c>
      <c r="AR7" s="130">
        <v>0</v>
      </c>
    </row>
    <row r="8" spans="2:44" ht="12" customHeight="1" x14ac:dyDescent="0.25">
      <c r="B8" s="128" t="s">
        <v>56</v>
      </c>
      <c r="C8" s="129" t="s">
        <v>40</v>
      </c>
      <c r="D8" s="129" t="s">
        <v>25</v>
      </c>
      <c r="E8" s="129" t="s">
        <v>25</v>
      </c>
      <c r="F8" s="129" t="s">
        <v>25</v>
      </c>
      <c r="G8" s="129" t="s">
        <v>34</v>
      </c>
      <c r="H8" s="129" t="s">
        <v>78</v>
      </c>
      <c r="I8" s="129" t="s">
        <v>25</v>
      </c>
      <c r="J8" s="129">
        <v>37.840000000000003</v>
      </c>
      <c r="K8" s="129">
        <v>385.47</v>
      </c>
      <c r="L8" s="129">
        <v>1.2127654435259001</v>
      </c>
      <c r="M8" s="129">
        <v>5.5194950658593998E-2</v>
      </c>
      <c r="N8" s="129">
        <v>9.9639704886598401E-2</v>
      </c>
      <c r="O8" s="129">
        <v>3.7615096723936002E-2</v>
      </c>
      <c r="P8" s="129">
        <v>0</v>
      </c>
      <c r="Q8" s="129">
        <v>21.676907346037599</v>
      </c>
      <c r="R8" s="129">
        <v>14.4275204254415</v>
      </c>
      <c r="S8" s="129">
        <v>0</v>
      </c>
      <c r="T8" s="129">
        <v>0</v>
      </c>
      <c r="U8" s="129">
        <v>0</v>
      </c>
      <c r="V8" s="129">
        <v>0</v>
      </c>
      <c r="W8" s="129">
        <v>0</v>
      </c>
      <c r="X8" s="129">
        <v>0</v>
      </c>
      <c r="Y8" s="129">
        <v>0</v>
      </c>
      <c r="Z8" s="129">
        <v>0</v>
      </c>
      <c r="AA8" s="129">
        <v>0</v>
      </c>
      <c r="AB8" s="129">
        <v>-3.5174262477682001</v>
      </c>
      <c r="AC8" s="129">
        <v>0</v>
      </c>
      <c r="AD8" s="129">
        <v>3.0492304534580699</v>
      </c>
      <c r="AE8" s="129">
        <v>7.1892530399287405E-2</v>
      </c>
      <c r="AF8" s="129">
        <v>0.72329632453984105</v>
      </c>
      <c r="AG8" s="129">
        <v>0</v>
      </c>
      <c r="AH8" s="129">
        <v>8.3144157692497398</v>
      </c>
      <c r="AI8" s="129">
        <v>0</v>
      </c>
      <c r="AJ8" s="129">
        <v>2.5213258337079201</v>
      </c>
      <c r="AK8" s="129">
        <v>21.3592174929801</v>
      </c>
      <c r="AL8" s="129">
        <v>0</v>
      </c>
      <c r="AM8" s="129">
        <v>379.26085162106199</v>
      </c>
      <c r="AN8" s="129">
        <v>0</v>
      </c>
      <c r="AO8" s="129">
        <v>0</v>
      </c>
      <c r="AP8" s="129">
        <v>1.8513197508430401E-12</v>
      </c>
      <c r="AQ8" s="129">
        <v>-30.6526719991781</v>
      </c>
      <c r="AR8" s="130">
        <v>4.6624276249915297</v>
      </c>
    </row>
    <row r="9" spans="2:44" ht="12" customHeight="1" x14ac:dyDescent="0.25">
      <c r="B9" s="128" t="s">
        <v>56</v>
      </c>
      <c r="C9" s="129" t="s">
        <v>40</v>
      </c>
      <c r="D9" s="129" t="s">
        <v>25</v>
      </c>
      <c r="E9" s="129" t="s">
        <v>25</v>
      </c>
      <c r="F9" s="129" t="s">
        <v>25</v>
      </c>
      <c r="G9" s="129" t="s">
        <v>34</v>
      </c>
      <c r="H9" s="129" t="s">
        <v>81</v>
      </c>
      <c r="I9" s="129" t="s">
        <v>25</v>
      </c>
      <c r="J9" s="129">
        <v>11.73</v>
      </c>
      <c r="K9" s="129">
        <v>0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0</v>
      </c>
      <c r="S9" s="129">
        <v>0</v>
      </c>
      <c r="T9" s="129">
        <v>4.2789621253010699</v>
      </c>
      <c r="U9" s="129">
        <v>1.16120845738992</v>
      </c>
      <c r="V9" s="129">
        <v>9.9582492867066497E-2</v>
      </c>
      <c r="W9" s="129">
        <v>0</v>
      </c>
      <c r="X9" s="129">
        <v>4.7443078672455101</v>
      </c>
      <c r="Y9" s="129">
        <v>0</v>
      </c>
      <c r="Z9" s="129">
        <v>0</v>
      </c>
      <c r="AA9" s="129">
        <v>2.5201745790518602</v>
      </c>
      <c r="AB9" s="129">
        <v>-1.0704901634889601</v>
      </c>
      <c r="AC9" s="129">
        <v>0</v>
      </c>
      <c r="AD9" s="129">
        <v>0</v>
      </c>
      <c r="AE9" s="129">
        <v>0</v>
      </c>
      <c r="AF9" s="129">
        <v>0</v>
      </c>
      <c r="AG9" s="129">
        <v>0</v>
      </c>
      <c r="AH9" s="129">
        <v>0</v>
      </c>
      <c r="AI9" s="129">
        <v>0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30">
        <v>0</v>
      </c>
    </row>
    <row r="10" spans="2:44" ht="12" customHeight="1" x14ac:dyDescent="0.25">
      <c r="B10" s="128" t="s">
        <v>56</v>
      </c>
      <c r="C10" s="129" t="s">
        <v>40</v>
      </c>
      <c r="D10" s="129" t="s">
        <v>25</v>
      </c>
      <c r="E10" s="129" t="s">
        <v>25</v>
      </c>
      <c r="F10" s="129" t="s">
        <v>25</v>
      </c>
      <c r="G10" s="129" t="s">
        <v>35</v>
      </c>
      <c r="H10" s="129" t="s">
        <v>78</v>
      </c>
      <c r="I10" s="129" t="s">
        <v>25</v>
      </c>
      <c r="J10" s="129">
        <v>37.840000000000003</v>
      </c>
      <c r="K10" s="129">
        <v>238.55</v>
      </c>
      <c r="L10" s="129">
        <v>1.2127654435259001</v>
      </c>
      <c r="M10" s="129">
        <v>5.5194950658593998E-2</v>
      </c>
      <c r="N10" s="129">
        <v>9.9639704886598401E-2</v>
      </c>
      <c r="O10" s="129">
        <v>3.7615096723936002E-2</v>
      </c>
      <c r="P10" s="129">
        <v>0</v>
      </c>
      <c r="Q10" s="129">
        <v>21.676907346037599</v>
      </c>
      <c r="R10" s="129">
        <v>14.4275204254415</v>
      </c>
      <c r="S10" s="129">
        <v>0</v>
      </c>
      <c r="T10" s="129">
        <v>0</v>
      </c>
      <c r="U10" s="129">
        <v>0</v>
      </c>
      <c r="V10" s="129">
        <v>0</v>
      </c>
      <c r="W10" s="129">
        <v>0</v>
      </c>
      <c r="X10" s="129">
        <v>0</v>
      </c>
      <c r="Y10" s="129">
        <v>0</v>
      </c>
      <c r="Z10" s="129">
        <v>0</v>
      </c>
      <c r="AA10" s="129">
        <v>0</v>
      </c>
      <c r="AB10" s="129">
        <v>-3.5174262477682001</v>
      </c>
      <c r="AC10" s="129">
        <v>0</v>
      </c>
      <c r="AD10" s="129">
        <v>3.0492304534580699</v>
      </c>
      <c r="AE10" s="129">
        <v>7.1892530399287405E-2</v>
      </c>
      <c r="AF10" s="129">
        <v>0.72329632453984105</v>
      </c>
      <c r="AG10" s="129">
        <v>0</v>
      </c>
      <c r="AH10" s="129">
        <v>8.3144157692497398</v>
      </c>
      <c r="AI10" s="129">
        <v>0</v>
      </c>
      <c r="AJ10" s="129">
        <v>2.5213258337079201</v>
      </c>
      <c r="AK10" s="129">
        <v>21.3592174929801</v>
      </c>
      <c r="AL10" s="129">
        <v>0</v>
      </c>
      <c r="AM10" s="129">
        <v>220.50049512852399</v>
      </c>
      <c r="AN10" s="129">
        <v>0</v>
      </c>
      <c r="AO10" s="129">
        <v>0</v>
      </c>
      <c r="AP10" s="129">
        <v>1.8513197508430401E-12</v>
      </c>
      <c r="AQ10" s="129">
        <v>-18.8071029458313</v>
      </c>
      <c r="AR10" s="130">
        <v>4.6624276249915297</v>
      </c>
    </row>
    <row r="11" spans="2:44" ht="12" customHeight="1" x14ac:dyDescent="0.25">
      <c r="B11" s="128" t="s">
        <v>56</v>
      </c>
      <c r="C11" s="129" t="s">
        <v>40</v>
      </c>
      <c r="D11" s="129" t="s">
        <v>25</v>
      </c>
      <c r="E11" s="129" t="s">
        <v>25</v>
      </c>
      <c r="F11" s="129" t="s">
        <v>25</v>
      </c>
      <c r="G11" s="129" t="s">
        <v>35</v>
      </c>
      <c r="H11" s="129" t="s">
        <v>81</v>
      </c>
      <c r="I11" s="129" t="s">
        <v>25</v>
      </c>
      <c r="J11" s="129">
        <v>5.67</v>
      </c>
      <c r="K11" s="129">
        <v>0</v>
      </c>
      <c r="L11" s="129">
        <v>0</v>
      </c>
      <c r="M11" s="129">
        <v>0</v>
      </c>
      <c r="N11" s="129">
        <v>0</v>
      </c>
      <c r="O11" s="129">
        <v>0</v>
      </c>
      <c r="P11" s="129">
        <v>0</v>
      </c>
      <c r="Q11" s="129">
        <v>0</v>
      </c>
      <c r="R11" s="129">
        <v>0</v>
      </c>
      <c r="S11" s="129">
        <v>0</v>
      </c>
      <c r="T11" s="129">
        <v>3.2781075952954</v>
      </c>
      <c r="U11" s="129">
        <v>0.89942702033529998</v>
      </c>
      <c r="V11" s="129">
        <v>7.4268185171880802E-2</v>
      </c>
      <c r="W11" s="129">
        <v>0</v>
      </c>
      <c r="X11" s="129">
        <v>1.6071152910848701</v>
      </c>
      <c r="Y11" s="129">
        <v>0</v>
      </c>
      <c r="Z11" s="129">
        <v>0</v>
      </c>
      <c r="AA11" s="129">
        <v>0.31923727001220797</v>
      </c>
      <c r="AB11" s="129">
        <v>-0.50773578028934696</v>
      </c>
      <c r="AC11" s="129">
        <v>0</v>
      </c>
      <c r="AD11" s="129">
        <v>0</v>
      </c>
      <c r="AE11" s="129">
        <v>0</v>
      </c>
      <c r="AF11" s="129">
        <v>0</v>
      </c>
      <c r="AG11" s="129">
        <v>0</v>
      </c>
      <c r="AH11" s="129">
        <v>0</v>
      </c>
      <c r="AI11" s="129">
        <v>0</v>
      </c>
      <c r="AJ11" s="129">
        <v>0</v>
      </c>
      <c r="AK11" s="129">
        <v>0</v>
      </c>
      <c r="AL11" s="129">
        <v>0</v>
      </c>
      <c r="AM11" s="129">
        <v>0</v>
      </c>
      <c r="AN11" s="129">
        <v>0</v>
      </c>
      <c r="AO11" s="129">
        <v>0</v>
      </c>
      <c r="AP11" s="129">
        <v>0</v>
      </c>
      <c r="AQ11" s="129">
        <v>0</v>
      </c>
      <c r="AR11" s="130">
        <v>0</v>
      </c>
    </row>
    <row r="12" spans="2:44" ht="12" customHeight="1" x14ac:dyDescent="0.25">
      <c r="B12" s="128" t="s">
        <v>56</v>
      </c>
      <c r="C12" s="129" t="s">
        <v>59</v>
      </c>
      <c r="D12" s="129" t="s">
        <v>25</v>
      </c>
      <c r="E12" s="129" t="s">
        <v>25</v>
      </c>
      <c r="F12" s="129" t="s">
        <v>25</v>
      </c>
      <c r="G12" s="129" t="s">
        <v>34</v>
      </c>
      <c r="H12" s="129" t="s">
        <v>81</v>
      </c>
      <c r="I12" s="129" t="s">
        <v>60</v>
      </c>
      <c r="J12" s="129">
        <v>12.8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4.2789621253010699</v>
      </c>
      <c r="U12" s="129">
        <v>1.16120845738992</v>
      </c>
      <c r="V12" s="129">
        <v>9.9582492867066497E-2</v>
      </c>
      <c r="W12" s="129">
        <v>0</v>
      </c>
      <c r="X12" s="129">
        <v>4.7443078672455101</v>
      </c>
      <c r="Y12" s="129">
        <v>0</v>
      </c>
      <c r="Z12" s="129">
        <v>0</v>
      </c>
      <c r="AA12" s="129">
        <v>2.5201745790518602</v>
      </c>
      <c r="AB12" s="129">
        <v>0</v>
      </c>
      <c r="AC12" s="129">
        <v>0</v>
      </c>
      <c r="AD12" s="129">
        <v>0</v>
      </c>
      <c r="AE12" s="129">
        <v>0</v>
      </c>
      <c r="AF12" s="129">
        <v>0</v>
      </c>
      <c r="AG12" s="129">
        <v>0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30">
        <v>0</v>
      </c>
    </row>
    <row r="13" spans="2:44" ht="12" customHeight="1" x14ac:dyDescent="0.25">
      <c r="B13" s="128" t="s">
        <v>56</v>
      </c>
      <c r="C13" s="129" t="s">
        <v>59</v>
      </c>
      <c r="D13" s="129" t="s">
        <v>25</v>
      </c>
      <c r="E13" s="129" t="s">
        <v>25</v>
      </c>
      <c r="F13" s="129" t="s">
        <v>25</v>
      </c>
      <c r="G13" s="129" t="s">
        <v>25</v>
      </c>
      <c r="H13" s="129" t="s">
        <v>78</v>
      </c>
      <c r="I13" s="129" t="s">
        <v>60</v>
      </c>
      <c r="J13" s="129">
        <v>3.12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129">
        <v>0</v>
      </c>
      <c r="R13" s="129">
        <v>0</v>
      </c>
      <c r="S13" s="129">
        <v>0</v>
      </c>
      <c r="T13" s="129">
        <v>0</v>
      </c>
      <c r="U13" s="129">
        <v>0</v>
      </c>
      <c r="V13" s="129">
        <v>0</v>
      </c>
      <c r="W13" s="129">
        <v>0</v>
      </c>
      <c r="X13" s="129">
        <v>0</v>
      </c>
      <c r="Y13" s="129">
        <v>0</v>
      </c>
      <c r="Z13" s="129">
        <v>0</v>
      </c>
      <c r="AA13" s="129">
        <v>0</v>
      </c>
      <c r="AB13" s="129">
        <v>0</v>
      </c>
      <c r="AC13" s="129">
        <v>0</v>
      </c>
      <c r="AD13" s="129">
        <v>3.0492304534580699</v>
      </c>
      <c r="AE13" s="129">
        <v>7.1892530399287405E-2</v>
      </c>
      <c r="AF13" s="129">
        <v>0</v>
      </c>
      <c r="AG13" s="129">
        <v>0</v>
      </c>
      <c r="AH13" s="129">
        <v>0</v>
      </c>
      <c r="AI13" s="129">
        <v>0</v>
      </c>
      <c r="AJ13" s="129">
        <v>0</v>
      </c>
      <c r="AK13" s="129">
        <v>0</v>
      </c>
      <c r="AL13" s="129">
        <v>0</v>
      </c>
      <c r="AM13" s="129">
        <v>0</v>
      </c>
      <c r="AN13" s="129">
        <v>0</v>
      </c>
      <c r="AO13" s="129">
        <v>0</v>
      </c>
      <c r="AP13" s="129">
        <v>0</v>
      </c>
      <c r="AQ13" s="129">
        <v>0</v>
      </c>
      <c r="AR13" s="130">
        <v>0</v>
      </c>
    </row>
    <row r="14" spans="2:44" ht="12" customHeight="1" x14ac:dyDescent="0.25">
      <c r="B14" s="128" t="s">
        <v>56</v>
      </c>
      <c r="C14" s="129" t="s">
        <v>59</v>
      </c>
      <c r="D14" s="129" t="s">
        <v>25</v>
      </c>
      <c r="E14" s="129" t="s">
        <v>25</v>
      </c>
      <c r="F14" s="129" t="s">
        <v>25</v>
      </c>
      <c r="G14" s="129" t="s">
        <v>35</v>
      </c>
      <c r="H14" s="129" t="s">
        <v>81</v>
      </c>
      <c r="I14" s="129" t="s">
        <v>60</v>
      </c>
      <c r="J14" s="129">
        <v>6.18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3.2781075952954</v>
      </c>
      <c r="U14" s="129">
        <v>0.89942702033529998</v>
      </c>
      <c r="V14" s="129">
        <v>7.4268185171880802E-2</v>
      </c>
      <c r="W14" s="129">
        <v>0</v>
      </c>
      <c r="X14" s="129">
        <v>1.6071152910848701</v>
      </c>
      <c r="Y14" s="129">
        <v>0</v>
      </c>
      <c r="Z14" s="129">
        <v>0</v>
      </c>
      <c r="AA14" s="129">
        <v>0.31923727001220797</v>
      </c>
      <c r="AB14" s="129">
        <v>0</v>
      </c>
      <c r="AC14" s="129">
        <v>0</v>
      </c>
      <c r="AD14" s="129">
        <v>0</v>
      </c>
      <c r="AE14" s="129">
        <v>0</v>
      </c>
      <c r="AF14" s="129">
        <v>0</v>
      </c>
      <c r="AG14" s="129">
        <v>0</v>
      </c>
      <c r="AH14" s="129">
        <v>0</v>
      </c>
      <c r="AI14" s="129">
        <v>0</v>
      </c>
      <c r="AJ14" s="129">
        <v>0</v>
      </c>
      <c r="AK14" s="129">
        <v>0</v>
      </c>
      <c r="AL14" s="129">
        <v>0</v>
      </c>
      <c r="AM14" s="129">
        <v>0</v>
      </c>
      <c r="AN14" s="129">
        <v>0</v>
      </c>
      <c r="AO14" s="129">
        <v>0</v>
      </c>
      <c r="AP14" s="129">
        <v>0</v>
      </c>
      <c r="AQ14" s="129">
        <v>0</v>
      </c>
      <c r="AR14" s="130">
        <v>0</v>
      </c>
    </row>
    <row r="15" spans="2:44" ht="12" customHeight="1" x14ac:dyDescent="0.25">
      <c r="B15" s="128" t="s">
        <v>39</v>
      </c>
      <c r="C15" s="129" t="s">
        <v>40</v>
      </c>
      <c r="D15" s="129" t="s">
        <v>25</v>
      </c>
      <c r="E15" s="129" t="s">
        <v>25</v>
      </c>
      <c r="F15" s="129" t="s">
        <v>85</v>
      </c>
      <c r="G15" s="129" t="s">
        <v>34</v>
      </c>
      <c r="H15" s="129" t="s">
        <v>78</v>
      </c>
      <c r="I15" s="129" t="s">
        <v>25</v>
      </c>
      <c r="J15" s="129">
        <v>8.25</v>
      </c>
      <c r="K15" s="129">
        <v>0</v>
      </c>
      <c r="L15" s="129">
        <v>0</v>
      </c>
      <c r="M15" s="129">
        <v>0.39528505121616297</v>
      </c>
      <c r="N15" s="129">
        <v>0.18054723184064</v>
      </c>
      <c r="O15" s="129">
        <v>3.7615096723936002E-2</v>
      </c>
      <c r="P15" s="129">
        <v>0</v>
      </c>
      <c r="Q15" s="129">
        <v>0</v>
      </c>
      <c r="R15" s="129">
        <v>0</v>
      </c>
      <c r="S15" s="129">
        <v>0</v>
      </c>
      <c r="T15" s="129">
        <v>0</v>
      </c>
      <c r="U15" s="129">
        <v>0</v>
      </c>
      <c r="V15" s="129">
        <v>0</v>
      </c>
      <c r="W15" s="129">
        <v>0</v>
      </c>
      <c r="X15" s="129">
        <v>0</v>
      </c>
      <c r="Y15" s="129">
        <v>0</v>
      </c>
      <c r="Z15" s="129">
        <v>0</v>
      </c>
      <c r="AA15" s="129">
        <v>0</v>
      </c>
      <c r="AB15" s="129">
        <v>-0.68963577531382902</v>
      </c>
      <c r="AC15" s="129">
        <v>0</v>
      </c>
      <c r="AD15" s="129">
        <v>6.13293742628262</v>
      </c>
      <c r="AE15" s="129">
        <v>0.14459792301232</v>
      </c>
      <c r="AF15" s="129">
        <v>2.0483212452394399</v>
      </c>
      <c r="AG15" s="129">
        <v>0</v>
      </c>
      <c r="AH15" s="129">
        <v>0</v>
      </c>
      <c r="AI15" s="129">
        <v>0</v>
      </c>
      <c r="AJ15" s="129">
        <v>0</v>
      </c>
      <c r="AK15" s="129">
        <v>0</v>
      </c>
      <c r="AL15" s="129">
        <v>0</v>
      </c>
      <c r="AM15" s="129">
        <v>0</v>
      </c>
      <c r="AN15" s="129">
        <v>0</v>
      </c>
      <c r="AO15" s="129">
        <v>0</v>
      </c>
      <c r="AP15" s="129">
        <v>0</v>
      </c>
      <c r="AQ15" s="129">
        <v>0</v>
      </c>
      <c r="AR15" s="130">
        <v>0</v>
      </c>
    </row>
    <row r="16" spans="2:44" ht="12" customHeight="1" x14ac:dyDescent="0.25">
      <c r="B16" s="128" t="s">
        <v>39</v>
      </c>
      <c r="C16" s="129" t="s">
        <v>40</v>
      </c>
      <c r="D16" s="129" t="s">
        <v>25</v>
      </c>
      <c r="E16" s="129" t="s">
        <v>25</v>
      </c>
      <c r="F16" s="129" t="s">
        <v>85</v>
      </c>
      <c r="G16" s="129" t="s">
        <v>34</v>
      </c>
      <c r="H16" s="129" t="s">
        <v>81</v>
      </c>
      <c r="I16" s="129" t="s">
        <v>25</v>
      </c>
      <c r="J16" s="129">
        <v>36.18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5.2171844182204596</v>
      </c>
      <c r="U16" s="129">
        <v>1.41579355185615</v>
      </c>
      <c r="V16" s="129">
        <v>0.121595634482409</v>
      </c>
      <c r="W16" s="129">
        <v>0</v>
      </c>
      <c r="X16" s="129">
        <v>6.2814093335343397</v>
      </c>
      <c r="Y16" s="129">
        <v>0</v>
      </c>
      <c r="Z16" s="129">
        <v>0</v>
      </c>
      <c r="AA16" s="129">
        <v>26.486663961172699</v>
      </c>
      <c r="AB16" s="129">
        <v>-3.34535166664757</v>
      </c>
      <c r="AC16" s="129">
        <v>0</v>
      </c>
      <c r="AD16" s="129">
        <v>0</v>
      </c>
      <c r="AE16" s="129">
        <v>0</v>
      </c>
      <c r="AF16" s="129">
        <v>0</v>
      </c>
      <c r="AG16" s="129">
        <v>0</v>
      </c>
      <c r="AH16" s="129">
        <v>0</v>
      </c>
      <c r="AI16" s="129">
        <v>0</v>
      </c>
      <c r="AJ16" s="129">
        <v>0</v>
      </c>
      <c r="AK16" s="129">
        <v>0</v>
      </c>
      <c r="AL16" s="129">
        <v>0</v>
      </c>
      <c r="AM16" s="129">
        <v>0</v>
      </c>
      <c r="AN16" s="129">
        <v>0</v>
      </c>
      <c r="AO16" s="129">
        <v>0</v>
      </c>
      <c r="AP16" s="129">
        <v>0</v>
      </c>
      <c r="AQ16" s="129">
        <v>0</v>
      </c>
      <c r="AR16" s="130">
        <v>0</v>
      </c>
    </row>
    <row r="17" spans="2:44" ht="12" customHeight="1" x14ac:dyDescent="0.25">
      <c r="B17" s="128" t="s">
        <v>39</v>
      </c>
      <c r="C17" s="129" t="s">
        <v>40</v>
      </c>
      <c r="D17" s="129" t="s">
        <v>25</v>
      </c>
      <c r="E17" s="129" t="s">
        <v>25</v>
      </c>
      <c r="F17" s="129" t="s">
        <v>85</v>
      </c>
      <c r="G17" s="129" t="s">
        <v>35</v>
      </c>
      <c r="H17" s="129" t="s">
        <v>78</v>
      </c>
      <c r="I17" s="129" t="s">
        <v>25</v>
      </c>
      <c r="J17" s="129">
        <v>8.25</v>
      </c>
      <c r="K17" s="129">
        <v>0</v>
      </c>
      <c r="L17" s="129">
        <v>0</v>
      </c>
      <c r="M17" s="129">
        <v>0.39528505121616297</v>
      </c>
      <c r="N17" s="129">
        <v>0.18054723184064</v>
      </c>
      <c r="O17" s="129">
        <v>3.7615096723936002E-2</v>
      </c>
      <c r="P17" s="129">
        <v>0</v>
      </c>
      <c r="Q17" s="129">
        <v>0</v>
      </c>
      <c r="R17" s="129">
        <v>0</v>
      </c>
      <c r="S17" s="129">
        <v>0</v>
      </c>
      <c r="T17" s="129">
        <v>0</v>
      </c>
      <c r="U17" s="129">
        <v>0</v>
      </c>
      <c r="V17" s="129">
        <v>0</v>
      </c>
      <c r="W17" s="129">
        <v>0</v>
      </c>
      <c r="X17" s="129">
        <v>0</v>
      </c>
      <c r="Y17" s="129">
        <v>0</v>
      </c>
      <c r="Z17" s="129">
        <v>0</v>
      </c>
      <c r="AA17" s="129">
        <v>0</v>
      </c>
      <c r="AB17" s="129">
        <v>-0.68963577531382902</v>
      </c>
      <c r="AC17" s="129">
        <v>0</v>
      </c>
      <c r="AD17" s="129">
        <v>6.13293742628262</v>
      </c>
      <c r="AE17" s="129">
        <v>0.14459792301232</v>
      </c>
      <c r="AF17" s="129">
        <v>2.0483212452394399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0</v>
      </c>
      <c r="AO17" s="129">
        <v>0</v>
      </c>
      <c r="AP17" s="129">
        <v>0</v>
      </c>
      <c r="AQ17" s="129">
        <v>0</v>
      </c>
      <c r="AR17" s="130">
        <v>0</v>
      </c>
    </row>
    <row r="18" spans="2:44" ht="12" customHeight="1" x14ac:dyDescent="0.25">
      <c r="B18" s="128" t="s">
        <v>39</v>
      </c>
      <c r="C18" s="129" t="s">
        <v>40</v>
      </c>
      <c r="D18" s="129" t="s">
        <v>25</v>
      </c>
      <c r="E18" s="129" t="s">
        <v>25</v>
      </c>
      <c r="F18" s="129" t="s">
        <v>85</v>
      </c>
      <c r="G18" s="129" t="s">
        <v>35</v>
      </c>
      <c r="H18" s="129" t="s">
        <v>81</v>
      </c>
      <c r="I18" s="129" t="s">
        <v>25</v>
      </c>
      <c r="J18" s="129">
        <v>17.86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29">
        <v>0</v>
      </c>
      <c r="T18" s="129">
        <v>3.9061011401297701</v>
      </c>
      <c r="U18" s="129">
        <v>1.0717835611564299</v>
      </c>
      <c r="V18" s="129">
        <v>8.8624231806904999E-2</v>
      </c>
      <c r="W18" s="129">
        <v>0</v>
      </c>
      <c r="X18" s="129">
        <v>2.3614276723576801</v>
      </c>
      <c r="Y18" s="129">
        <v>0</v>
      </c>
      <c r="Z18" s="129">
        <v>0</v>
      </c>
      <c r="AA18" s="129">
        <v>12.0696199234827</v>
      </c>
      <c r="AB18" s="129">
        <v>-1.6407139614850299</v>
      </c>
      <c r="AC18" s="129">
        <v>0</v>
      </c>
      <c r="AD18" s="129">
        <v>0</v>
      </c>
      <c r="AE18" s="129">
        <v>0</v>
      </c>
      <c r="AF18" s="129">
        <v>0</v>
      </c>
      <c r="AG18" s="129">
        <v>0</v>
      </c>
      <c r="AH18" s="129">
        <v>0</v>
      </c>
      <c r="AI18" s="129">
        <v>0</v>
      </c>
      <c r="AJ18" s="129">
        <v>0</v>
      </c>
      <c r="AK18" s="129">
        <v>0</v>
      </c>
      <c r="AL18" s="129">
        <v>0</v>
      </c>
      <c r="AM18" s="129">
        <v>0</v>
      </c>
      <c r="AN18" s="129">
        <v>0</v>
      </c>
      <c r="AO18" s="129">
        <v>0</v>
      </c>
      <c r="AP18" s="129">
        <v>0</v>
      </c>
      <c r="AQ18" s="129">
        <v>0</v>
      </c>
      <c r="AR18" s="130">
        <v>0</v>
      </c>
    </row>
    <row r="19" spans="2:44" ht="12" customHeight="1" x14ac:dyDescent="0.25">
      <c r="B19" s="128" t="s">
        <v>39</v>
      </c>
      <c r="C19" s="129" t="s">
        <v>40</v>
      </c>
      <c r="D19" s="129" t="s">
        <v>25</v>
      </c>
      <c r="E19" s="129" t="s">
        <v>25</v>
      </c>
      <c r="F19" s="129" t="s">
        <v>25</v>
      </c>
      <c r="G19" s="129" t="s">
        <v>34</v>
      </c>
      <c r="H19" s="129" t="s">
        <v>78</v>
      </c>
      <c r="I19" s="129" t="s">
        <v>25</v>
      </c>
      <c r="J19" s="129">
        <v>49.79</v>
      </c>
      <c r="K19" s="129">
        <v>385.47</v>
      </c>
      <c r="L19" s="129">
        <v>1.64310156864799</v>
      </c>
      <c r="M19" s="129">
        <v>0.39528505121616297</v>
      </c>
      <c r="N19" s="129">
        <v>0.19225909901201499</v>
      </c>
      <c r="O19" s="129">
        <v>3.7615096723936002E-2</v>
      </c>
      <c r="P19" s="129">
        <v>0</v>
      </c>
      <c r="Q19" s="129">
        <v>29.3687131785025</v>
      </c>
      <c r="R19" s="129">
        <v>14.4275204254415</v>
      </c>
      <c r="S19" s="129">
        <v>0</v>
      </c>
      <c r="T19" s="129">
        <v>0</v>
      </c>
      <c r="U19" s="129">
        <v>0</v>
      </c>
      <c r="V19" s="129">
        <v>0</v>
      </c>
      <c r="W19" s="129">
        <v>0</v>
      </c>
      <c r="X19" s="129">
        <v>0</v>
      </c>
      <c r="Y19" s="129">
        <v>0</v>
      </c>
      <c r="Z19" s="129">
        <v>0</v>
      </c>
      <c r="AA19" s="129">
        <v>0</v>
      </c>
      <c r="AB19" s="129">
        <v>-4.60330999222169</v>
      </c>
      <c r="AC19" s="129">
        <v>0</v>
      </c>
      <c r="AD19" s="129">
        <v>6.13293742628262</v>
      </c>
      <c r="AE19" s="129">
        <v>0.14459792301232</v>
      </c>
      <c r="AF19" s="129">
        <v>2.0483212452394399</v>
      </c>
      <c r="AG19" s="129">
        <v>0</v>
      </c>
      <c r="AH19" s="129">
        <v>8.3144157692497398</v>
      </c>
      <c r="AI19" s="129">
        <v>0</v>
      </c>
      <c r="AJ19" s="129">
        <v>2.5213258337079201</v>
      </c>
      <c r="AK19" s="129">
        <v>21.3592174929801</v>
      </c>
      <c r="AL19" s="129">
        <v>0</v>
      </c>
      <c r="AM19" s="129">
        <v>379.26085162106199</v>
      </c>
      <c r="AN19" s="129">
        <v>0</v>
      </c>
      <c r="AO19" s="129">
        <v>0</v>
      </c>
      <c r="AP19" s="129">
        <v>1.8513197508430401E-12</v>
      </c>
      <c r="AQ19" s="129">
        <v>-30.6526719991781</v>
      </c>
      <c r="AR19" s="130">
        <v>4.6624276249915297</v>
      </c>
    </row>
    <row r="20" spans="2:44" ht="12" customHeight="1" x14ac:dyDescent="0.25">
      <c r="B20" s="128" t="s">
        <v>39</v>
      </c>
      <c r="C20" s="129" t="s">
        <v>40</v>
      </c>
      <c r="D20" s="129" t="s">
        <v>25</v>
      </c>
      <c r="E20" s="129" t="s">
        <v>25</v>
      </c>
      <c r="F20" s="129" t="s">
        <v>25</v>
      </c>
      <c r="G20" s="129" t="s">
        <v>34</v>
      </c>
      <c r="H20" s="129" t="s">
        <v>81</v>
      </c>
      <c r="I20" s="129" t="s">
        <v>25</v>
      </c>
      <c r="J20" s="129">
        <v>36.18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  <c r="T20" s="129">
        <v>5.2171844182204596</v>
      </c>
      <c r="U20" s="129">
        <v>1.41579355185615</v>
      </c>
      <c r="V20" s="129">
        <v>0.121595634482409</v>
      </c>
      <c r="W20" s="129">
        <v>0</v>
      </c>
      <c r="X20" s="129">
        <v>6.2814093335343397</v>
      </c>
      <c r="Y20" s="129">
        <v>0</v>
      </c>
      <c r="Z20" s="129">
        <v>0</v>
      </c>
      <c r="AA20" s="129">
        <v>26.486663961172699</v>
      </c>
      <c r="AB20" s="129">
        <v>-3.34535166664757</v>
      </c>
      <c r="AC20" s="129">
        <v>0</v>
      </c>
      <c r="AD20" s="129">
        <v>0</v>
      </c>
      <c r="AE20" s="129">
        <v>0</v>
      </c>
      <c r="AF20" s="129">
        <v>0</v>
      </c>
      <c r="AG20" s="129">
        <v>0</v>
      </c>
      <c r="AH20" s="129">
        <v>0</v>
      </c>
      <c r="AI20" s="129">
        <v>0</v>
      </c>
      <c r="AJ20" s="129">
        <v>0</v>
      </c>
      <c r="AK20" s="129">
        <v>0</v>
      </c>
      <c r="AL20" s="129">
        <v>0</v>
      </c>
      <c r="AM20" s="129">
        <v>0</v>
      </c>
      <c r="AN20" s="129">
        <v>0</v>
      </c>
      <c r="AO20" s="129">
        <v>0</v>
      </c>
      <c r="AP20" s="129">
        <v>0</v>
      </c>
      <c r="AQ20" s="129">
        <v>0</v>
      </c>
      <c r="AR20" s="130">
        <v>0</v>
      </c>
    </row>
    <row r="21" spans="2:44" ht="12" customHeight="1" x14ac:dyDescent="0.25">
      <c r="B21" s="128" t="s">
        <v>39</v>
      </c>
      <c r="C21" s="129" t="s">
        <v>40</v>
      </c>
      <c r="D21" s="129" t="s">
        <v>25</v>
      </c>
      <c r="E21" s="129" t="s">
        <v>25</v>
      </c>
      <c r="F21" s="129" t="s">
        <v>25</v>
      </c>
      <c r="G21" s="129" t="s">
        <v>35</v>
      </c>
      <c r="H21" s="129" t="s">
        <v>78</v>
      </c>
      <c r="I21" s="129" t="s">
        <v>25</v>
      </c>
      <c r="J21" s="129">
        <v>49.79</v>
      </c>
      <c r="K21" s="129">
        <v>238.55</v>
      </c>
      <c r="L21" s="129">
        <v>1.64310156864799</v>
      </c>
      <c r="M21" s="129">
        <v>0.39528505121616297</v>
      </c>
      <c r="N21" s="129">
        <v>0.19225909901201499</v>
      </c>
      <c r="O21" s="129">
        <v>3.7615096723936002E-2</v>
      </c>
      <c r="P21" s="129">
        <v>0</v>
      </c>
      <c r="Q21" s="129">
        <v>29.3687131785025</v>
      </c>
      <c r="R21" s="129">
        <v>14.4275204254415</v>
      </c>
      <c r="S21" s="129">
        <v>0</v>
      </c>
      <c r="T21" s="129">
        <v>0</v>
      </c>
      <c r="U21" s="129">
        <v>0</v>
      </c>
      <c r="V21" s="129">
        <v>0</v>
      </c>
      <c r="W21" s="129">
        <v>0</v>
      </c>
      <c r="X21" s="129">
        <v>0</v>
      </c>
      <c r="Y21" s="129">
        <v>0</v>
      </c>
      <c r="Z21" s="129">
        <v>0</v>
      </c>
      <c r="AA21" s="129">
        <v>0</v>
      </c>
      <c r="AB21" s="129">
        <v>-4.60330999222169</v>
      </c>
      <c r="AC21" s="129">
        <v>0</v>
      </c>
      <c r="AD21" s="129">
        <v>6.13293742628262</v>
      </c>
      <c r="AE21" s="129">
        <v>0.14459792301232</v>
      </c>
      <c r="AF21" s="129">
        <v>2.0483212452394399</v>
      </c>
      <c r="AG21" s="129">
        <v>0</v>
      </c>
      <c r="AH21" s="129">
        <v>8.3144157692497398</v>
      </c>
      <c r="AI21" s="129">
        <v>0</v>
      </c>
      <c r="AJ21" s="129">
        <v>2.5213258337079201</v>
      </c>
      <c r="AK21" s="129">
        <v>21.3592174929801</v>
      </c>
      <c r="AL21" s="129">
        <v>0</v>
      </c>
      <c r="AM21" s="129">
        <v>220.50049512852399</v>
      </c>
      <c r="AN21" s="129">
        <v>0</v>
      </c>
      <c r="AO21" s="129">
        <v>0</v>
      </c>
      <c r="AP21" s="129">
        <v>1.8513197508430401E-12</v>
      </c>
      <c r="AQ21" s="129">
        <v>-18.8071029458313</v>
      </c>
      <c r="AR21" s="130">
        <v>4.6624276249915297</v>
      </c>
    </row>
    <row r="22" spans="2:44" ht="12" customHeight="1" x14ac:dyDescent="0.25">
      <c r="B22" s="128" t="s">
        <v>39</v>
      </c>
      <c r="C22" s="129" t="s">
        <v>40</v>
      </c>
      <c r="D22" s="129" t="s">
        <v>25</v>
      </c>
      <c r="E22" s="129" t="s">
        <v>25</v>
      </c>
      <c r="F22" s="129" t="s">
        <v>25</v>
      </c>
      <c r="G22" s="129" t="s">
        <v>35</v>
      </c>
      <c r="H22" s="129" t="s">
        <v>81</v>
      </c>
      <c r="I22" s="129" t="s">
        <v>25</v>
      </c>
      <c r="J22" s="129">
        <v>17.86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129">
        <v>0</v>
      </c>
      <c r="R22" s="129">
        <v>0</v>
      </c>
      <c r="S22" s="129">
        <v>0</v>
      </c>
      <c r="T22" s="129">
        <v>3.9061011401297701</v>
      </c>
      <c r="U22" s="129">
        <v>1.0717835611564299</v>
      </c>
      <c r="V22" s="129">
        <v>8.8624231806904999E-2</v>
      </c>
      <c r="W22" s="129">
        <v>0</v>
      </c>
      <c r="X22" s="129">
        <v>2.3614276723576801</v>
      </c>
      <c r="Y22" s="129">
        <v>0</v>
      </c>
      <c r="Z22" s="129">
        <v>0</v>
      </c>
      <c r="AA22" s="129">
        <v>12.0696199234827</v>
      </c>
      <c r="AB22" s="129">
        <v>-1.6407139614850299</v>
      </c>
      <c r="AC22" s="129">
        <v>0</v>
      </c>
      <c r="AD22" s="129">
        <v>0</v>
      </c>
      <c r="AE22" s="129">
        <v>0</v>
      </c>
      <c r="AF22" s="129">
        <v>0</v>
      </c>
      <c r="AG22" s="129">
        <v>0</v>
      </c>
      <c r="AH22" s="129">
        <v>0</v>
      </c>
      <c r="AI22" s="129">
        <v>0</v>
      </c>
      <c r="AJ22" s="129">
        <v>0</v>
      </c>
      <c r="AK22" s="129">
        <v>0</v>
      </c>
      <c r="AL22" s="129">
        <v>0</v>
      </c>
      <c r="AM22" s="129">
        <v>0</v>
      </c>
      <c r="AN22" s="129">
        <v>0</v>
      </c>
      <c r="AO22" s="129">
        <v>0</v>
      </c>
      <c r="AP22" s="129">
        <v>0</v>
      </c>
      <c r="AQ22" s="129">
        <v>0</v>
      </c>
      <c r="AR22" s="130">
        <v>0</v>
      </c>
    </row>
    <row r="23" spans="2:44" ht="12" customHeight="1" x14ac:dyDescent="0.25">
      <c r="B23" s="128" t="s">
        <v>39</v>
      </c>
      <c r="C23" s="129" t="s">
        <v>23</v>
      </c>
      <c r="D23" s="129" t="s">
        <v>25</v>
      </c>
      <c r="E23" s="129" t="s">
        <v>25</v>
      </c>
      <c r="F23" s="129" t="s">
        <v>25</v>
      </c>
      <c r="G23" s="129" t="s">
        <v>25</v>
      </c>
      <c r="H23" s="129" t="s">
        <v>78</v>
      </c>
      <c r="I23" s="129" t="s">
        <v>25</v>
      </c>
      <c r="J23" s="129">
        <v>0</v>
      </c>
      <c r="K23" s="129">
        <v>250.79</v>
      </c>
      <c r="L23" s="129">
        <v>0</v>
      </c>
      <c r="M23" s="129">
        <v>0</v>
      </c>
      <c r="N23" s="129">
        <v>0</v>
      </c>
      <c r="O23" s="129">
        <v>0</v>
      </c>
      <c r="P23" s="129">
        <v>0</v>
      </c>
      <c r="Q23" s="129">
        <v>0</v>
      </c>
      <c r="R23" s="129">
        <v>0</v>
      </c>
      <c r="S23" s="129">
        <v>0</v>
      </c>
      <c r="T23" s="129">
        <v>0</v>
      </c>
      <c r="U23" s="129">
        <v>0</v>
      </c>
      <c r="V23" s="129">
        <v>0</v>
      </c>
      <c r="W23" s="129">
        <v>0</v>
      </c>
      <c r="X23" s="129">
        <v>0</v>
      </c>
      <c r="Y23" s="129">
        <v>0</v>
      </c>
      <c r="Z23" s="129">
        <v>0</v>
      </c>
      <c r="AA23" s="129">
        <v>0</v>
      </c>
      <c r="AB23" s="129">
        <v>0</v>
      </c>
      <c r="AC23" s="129">
        <v>0</v>
      </c>
      <c r="AD23" s="129">
        <v>0</v>
      </c>
      <c r="AE23" s="129">
        <v>0</v>
      </c>
      <c r="AF23" s="129">
        <v>0</v>
      </c>
      <c r="AG23" s="129">
        <v>0</v>
      </c>
      <c r="AH23" s="129">
        <v>8.3144157692497398</v>
      </c>
      <c r="AI23" s="129">
        <v>0</v>
      </c>
      <c r="AJ23" s="129">
        <v>2.5213258337079201</v>
      </c>
      <c r="AK23" s="129">
        <v>21.3592174929801</v>
      </c>
      <c r="AL23" s="129">
        <v>0</v>
      </c>
      <c r="AM23" s="129">
        <v>233.73052483623599</v>
      </c>
      <c r="AN23" s="129">
        <v>0</v>
      </c>
      <c r="AO23" s="129">
        <v>0</v>
      </c>
      <c r="AP23" s="129">
        <v>1.8513197508430401E-12</v>
      </c>
      <c r="AQ23" s="129">
        <v>-19.794233700276799</v>
      </c>
      <c r="AR23" s="130">
        <v>4.6624276249915297</v>
      </c>
    </row>
    <row r="24" spans="2:44" ht="12" customHeight="1" x14ac:dyDescent="0.25">
      <c r="B24" s="128" t="s">
        <v>39</v>
      </c>
      <c r="C24" s="129" t="s">
        <v>59</v>
      </c>
      <c r="D24" s="129" t="s">
        <v>25</v>
      </c>
      <c r="E24" s="129" t="s">
        <v>25</v>
      </c>
      <c r="F24" s="129" t="s">
        <v>25</v>
      </c>
      <c r="G24" s="129" t="s">
        <v>34</v>
      </c>
      <c r="H24" s="129" t="s">
        <v>81</v>
      </c>
      <c r="I24" s="129" t="s">
        <v>60</v>
      </c>
      <c r="J24" s="129">
        <v>22.27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29">
        <v>0</v>
      </c>
      <c r="Q24" s="129">
        <v>0</v>
      </c>
      <c r="R24" s="129">
        <v>0</v>
      </c>
      <c r="S24" s="129">
        <v>0</v>
      </c>
      <c r="T24" s="129">
        <v>5.2171844182204596</v>
      </c>
      <c r="U24" s="129">
        <v>1.41579355185615</v>
      </c>
      <c r="V24" s="129">
        <v>0.121595634482409</v>
      </c>
      <c r="W24" s="129">
        <v>0</v>
      </c>
      <c r="X24" s="129">
        <v>6.2814093335343397</v>
      </c>
      <c r="Y24" s="129">
        <v>0</v>
      </c>
      <c r="Z24" s="129">
        <v>0</v>
      </c>
      <c r="AA24" s="129">
        <v>9.2368746390705905</v>
      </c>
      <c r="AB24" s="129">
        <v>0</v>
      </c>
      <c r="AC24" s="129">
        <v>0</v>
      </c>
      <c r="AD24" s="129">
        <v>0</v>
      </c>
      <c r="AE24" s="129">
        <v>0</v>
      </c>
      <c r="AF24" s="129">
        <v>0</v>
      </c>
      <c r="AG24" s="129">
        <v>0</v>
      </c>
      <c r="AH24" s="129">
        <v>0</v>
      </c>
      <c r="AI24" s="129">
        <v>0</v>
      </c>
      <c r="AJ24" s="129">
        <v>0</v>
      </c>
      <c r="AK24" s="129">
        <v>0</v>
      </c>
      <c r="AL24" s="129">
        <v>0</v>
      </c>
      <c r="AM24" s="129">
        <v>0</v>
      </c>
      <c r="AN24" s="129">
        <v>0</v>
      </c>
      <c r="AO24" s="129">
        <v>0</v>
      </c>
      <c r="AP24" s="129">
        <v>0</v>
      </c>
      <c r="AQ24" s="129">
        <v>0</v>
      </c>
      <c r="AR24" s="130">
        <v>0</v>
      </c>
    </row>
    <row r="25" spans="2:44" ht="12" customHeight="1" x14ac:dyDescent="0.25">
      <c r="B25" s="128" t="s">
        <v>39</v>
      </c>
      <c r="C25" s="129" t="s">
        <v>59</v>
      </c>
      <c r="D25" s="129" t="s">
        <v>25</v>
      </c>
      <c r="E25" s="129" t="s">
        <v>25</v>
      </c>
      <c r="F25" s="129" t="s">
        <v>25</v>
      </c>
      <c r="G25" s="129" t="s">
        <v>25</v>
      </c>
      <c r="H25" s="129" t="s">
        <v>78</v>
      </c>
      <c r="I25" s="129" t="s">
        <v>60</v>
      </c>
      <c r="J25" s="129">
        <v>6.28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129">
        <v>0</v>
      </c>
      <c r="S25" s="129">
        <v>0</v>
      </c>
      <c r="T25" s="129">
        <v>0</v>
      </c>
      <c r="U25" s="129">
        <v>0</v>
      </c>
      <c r="V25" s="129">
        <v>0</v>
      </c>
      <c r="W25" s="129">
        <v>0</v>
      </c>
      <c r="X25" s="129">
        <v>0</v>
      </c>
      <c r="Y25" s="129">
        <v>0</v>
      </c>
      <c r="Z25" s="129">
        <v>0</v>
      </c>
      <c r="AA25" s="129">
        <v>0</v>
      </c>
      <c r="AB25" s="129">
        <v>0</v>
      </c>
      <c r="AC25" s="129">
        <v>0</v>
      </c>
      <c r="AD25" s="129">
        <v>6.13293742628262</v>
      </c>
      <c r="AE25" s="129">
        <v>0.14459792301232</v>
      </c>
      <c r="AF25" s="129">
        <v>0</v>
      </c>
      <c r="AG25" s="129">
        <v>0</v>
      </c>
      <c r="AH25" s="129">
        <v>0</v>
      </c>
      <c r="AI25" s="129">
        <v>0</v>
      </c>
      <c r="AJ25" s="129">
        <v>0</v>
      </c>
      <c r="AK25" s="129">
        <v>0</v>
      </c>
      <c r="AL25" s="129">
        <v>0</v>
      </c>
      <c r="AM25" s="129">
        <v>0</v>
      </c>
      <c r="AN25" s="129">
        <v>0</v>
      </c>
      <c r="AO25" s="129">
        <v>0</v>
      </c>
      <c r="AP25" s="129">
        <v>0</v>
      </c>
      <c r="AQ25" s="129">
        <v>0</v>
      </c>
      <c r="AR25" s="130">
        <v>0</v>
      </c>
    </row>
    <row r="26" spans="2:44" ht="12" customHeight="1" x14ac:dyDescent="0.25">
      <c r="B26" s="128" t="s">
        <v>39</v>
      </c>
      <c r="C26" s="129" t="s">
        <v>59</v>
      </c>
      <c r="D26" s="129" t="s">
        <v>25</v>
      </c>
      <c r="E26" s="129" t="s">
        <v>25</v>
      </c>
      <c r="F26" s="129" t="s">
        <v>25</v>
      </c>
      <c r="G26" s="129" t="s">
        <v>35</v>
      </c>
      <c r="H26" s="129" t="s">
        <v>81</v>
      </c>
      <c r="I26" s="129" t="s">
        <v>60</v>
      </c>
      <c r="J26" s="129">
        <v>11.64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29">
        <v>0</v>
      </c>
      <c r="Q26" s="129">
        <v>0</v>
      </c>
      <c r="R26" s="129">
        <v>0</v>
      </c>
      <c r="S26" s="129">
        <v>0</v>
      </c>
      <c r="T26" s="129">
        <v>3.9061011401297701</v>
      </c>
      <c r="U26" s="129">
        <v>1.0717835611564299</v>
      </c>
      <c r="V26" s="129">
        <v>8.8624231806904999E-2</v>
      </c>
      <c r="W26" s="129">
        <v>0</v>
      </c>
      <c r="X26" s="129">
        <v>2.3614276723576801</v>
      </c>
      <c r="Y26" s="129">
        <v>0</v>
      </c>
      <c r="Z26" s="129">
        <v>0</v>
      </c>
      <c r="AA26" s="129">
        <v>4.2091007769888504</v>
      </c>
      <c r="AB26" s="129">
        <v>0</v>
      </c>
      <c r="AC26" s="129">
        <v>0</v>
      </c>
      <c r="AD26" s="129">
        <v>0</v>
      </c>
      <c r="AE26" s="129">
        <v>0</v>
      </c>
      <c r="AF26" s="129">
        <v>0</v>
      </c>
      <c r="AG26" s="129">
        <v>0</v>
      </c>
      <c r="AH26" s="129">
        <v>0</v>
      </c>
      <c r="AI26" s="129">
        <v>0</v>
      </c>
      <c r="AJ26" s="129">
        <v>0</v>
      </c>
      <c r="AK26" s="129">
        <v>0</v>
      </c>
      <c r="AL26" s="129">
        <v>0</v>
      </c>
      <c r="AM26" s="129">
        <v>0</v>
      </c>
      <c r="AN26" s="129">
        <v>0</v>
      </c>
      <c r="AO26" s="129">
        <v>0</v>
      </c>
      <c r="AP26" s="129">
        <v>0</v>
      </c>
      <c r="AQ26" s="129">
        <v>0</v>
      </c>
      <c r="AR26" s="130">
        <v>0</v>
      </c>
    </row>
    <row r="27" spans="2:44" ht="12" customHeight="1" x14ac:dyDescent="0.25">
      <c r="B27" s="128" t="s">
        <v>39</v>
      </c>
      <c r="C27" s="129" t="s">
        <v>87</v>
      </c>
      <c r="D27" s="129" t="s">
        <v>25</v>
      </c>
      <c r="E27" s="129" t="s">
        <v>25</v>
      </c>
      <c r="F27" s="129" t="s">
        <v>25</v>
      </c>
      <c r="G27" s="129" t="s">
        <v>25</v>
      </c>
      <c r="H27" s="129" t="s">
        <v>81</v>
      </c>
      <c r="I27" s="129" t="s">
        <v>25</v>
      </c>
      <c r="J27" s="129">
        <v>9.06</v>
      </c>
      <c r="K27" s="129">
        <v>0</v>
      </c>
      <c r="L27" s="129">
        <v>0</v>
      </c>
      <c r="M27" s="129">
        <v>3.2878642355397197E-2</v>
      </c>
      <c r="N27" s="129">
        <v>9.7091378850703E-2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29">
        <v>0</v>
      </c>
      <c r="X27" s="129">
        <v>0</v>
      </c>
      <c r="Y27" s="129">
        <v>0</v>
      </c>
      <c r="Z27" s="129">
        <v>0</v>
      </c>
      <c r="AA27" s="129">
        <v>9.7769966284747696</v>
      </c>
      <c r="AB27" s="129">
        <v>-0.84505094323006602</v>
      </c>
      <c r="AC27" s="129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29">
        <v>0</v>
      </c>
      <c r="AL27" s="129">
        <v>0</v>
      </c>
      <c r="AM27" s="129">
        <v>0</v>
      </c>
      <c r="AN27" s="129">
        <v>0</v>
      </c>
      <c r="AO27" s="129">
        <v>0</v>
      </c>
      <c r="AP27" s="129">
        <v>0</v>
      </c>
      <c r="AQ27" s="129">
        <v>0</v>
      </c>
      <c r="AR27" s="130">
        <v>0</v>
      </c>
    </row>
    <row r="28" spans="2:44" ht="12" customHeight="1" x14ac:dyDescent="0.25">
      <c r="B28" s="128" t="s">
        <v>39</v>
      </c>
      <c r="C28" s="129" t="s">
        <v>41</v>
      </c>
      <c r="D28" s="129" t="s">
        <v>25</v>
      </c>
      <c r="E28" s="129" t="s">
        <v>25</v>
      </c>
      <c r="F28" s="129" t="s">
        <v>85</v>
      </c>
      <c r="G28" s="129" t="s">
        <v>34</v>
      </c>
      <c r="H28" s="129" t="s">
        <v>78</v>
      </c>
      <c r="I28" s="129" t="s">
        <v>25</v>
      </c>
      <c r="J28" s="129">
        <v>887.33</v>
      </c>
      <c r="K28" s="129">
        <v>0</v>
      </c>
      <c r="L28" s="129">
        <v>0</v>
      </c>
      <c r="M28" s="129">
        <v>0.39528505121616297</v>
      </c>
      <c r="N28" s="129">
        <v>10.033562125788499</v>
      </c>
      <c r="O28" s="129">
        <v>3.7615096723936002E-2</v>
      </c>
      <c r="P28" s="129">
        <v>0</v>
      </c>
      <c r="Q28" s="129">
        <v>0</v>
      </c>
      <c r="R28" s="129">
        <v>0</v>
      </c>
      <c r="S28" s="129">
        <v>0</v>
      </c>
      <c r="T28" s="129">
        <v>125.473129176859</v>
      </c>
      <c r="U28" s="129">
        <v>34.050289036172799</v>
      </c>
      <c r="V28" s="129">
        <v>2.9237300741726902</v>
      </c>
      <c r="W28" s="129">
        <v>0</v>
      </c>
      <c r="X28" s="129">
        <v>151.069032779693</v>
      </c>
      <c r="Y28" s="129">
        <v>0</v>
      </c>
      <c r="Z28" s="129">
        <v>0</v>
      </c>
      <c r="AA28" s="129">
        <v>637.00588280632905</v>
      </c>
      <c r="AB28" s="129">
        <v>-81.980733134960005</v>
      </c>
      <c r="AC28" s="129">
        <v>0</v>
      </c>
      <c r="AD28" s="129">
        <v>6.13293742628262</v>
      </c>
      <c r="AE28" s="129">
        <v>0.14459792301232</v>
      </c>
      <c r="AF28" s="129">
        <v>2.0483212452394399</v>
      </c>
      <c r="AG28" s="129">
        <v>0</v>
      </c>
      <c r="AH28" s="129">
        <v>0</v>
      </c>
      <c r="AI28" s="129">
        <v>0</v>
      </c>
      <c r="AJ28" s="129">
        <v>0</v>
      </c>
      <c r="AK28" s="129">
        <v>0</v>
      </c>
      <c r="AL28" s="129">
        <v>0</v>
      </c>
      <c r="AM28" s="129">
        <v>0</v>
      </c>
      <c r="AN28" s="129">
        <v>0</v>
      </c>
      <c r="AO28" s="129">
        <v>0</v>
      </c>
      <c r="AP28" s="129">
        <v>0</v>
      </c>
      <c r="AQ28" s="129">
        <v>0</v>
      </c>
      <c r="AR28" s="130">
        <v>0</v>
      </c>
    </row>
    <row r="29" spans="2:44" ht="12" customHeight="1" x14ac:dyDescent="0.25">
      <c r="B29" s="128" t="s">
        <v>39</v>
      </c>
      <c r="C29" s="129" t="s">
        <v>41</v>
      </c>
      <c r="D29" s="129" t="s">
        <v>25</v>
      </c>
      <c r="E29" s="129" t="s">
        <v>25</v>
      </c>
      <c r="F29" s="129" t="s">
        <v>85</v>
      </c>
      <c r="G29" s="129" t="s">
        <v>25</v>
      </c>
      <c r="H29" s="129" t="s">
        <v>81</v>
      </c>
      <c r="I29" s="129" t="s">
        <v>25</v>
      </c>
      <c r="J29" s="129">
        <v>17.86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29">
        <v>0</v>
      </c>
      <c r="Q29" s="129">
        <v>0</v>
      </c>
      <c r="R29" s="129">
        <v>0</v>
      </c>
      <c r="S29" s="129">
        <v>0</v>
      </c>
      <c r="T29" s="129">
        <v>3.9061011401297701</v>
      </c>
      <c r="U29" s="129">
        <v>1.0717835611564299</v>
      </c>
      <c r="V29" s="129">
        <v>8.8624231806904999E-2</v>
      </c>
      <c r="W29" s="129">
        <v>0</v>
      </c>
      <c r="X29" s="129">
        <v>2.3614276723576801</v>
      </c>
      <c r="Y29" s="129">
        <v>0</v>
      </c>
      <c r="Z29" s="129">
        <v>0</v>
      </c>
      <c r="AA29" s="129">
        <v>12.0696199234827</v>
      </c>
      <c r="AB29" s="129">
        <v>-1.6407139614850299</v>
      </c>
      <c r="AC29" s="129">
        <v>0</v>
      </c>
      <c r="AD29" s="129">
        <v>0</v>
      </c>
      <c r="AE29" s="129">
        <v>0</v>
      </c>
      <c r="AF29" s="129">
        <v>0</v>
      </c>
      <c r="AG29" s="129">
        <v>0</v>
      </c>
      <c r="AH29" s="129">
        <v>0</v>
      </c>
      <c r="AI29" s="129">
        <v>0</v>
      </c>
      <c r="AJ29" s="129">
        <v>0</v>
      </c>
      <c r="AK29" s="129">
        <v>0</v>
      </c>
      <c r="AL29" s="129">
        <v>0</v>
      </c>
      <c r="AM29" s="129">
        <v>0</v>
      </c>
      <c r="AN29" s="129">
        <v>0</v>
      </c>
      <c r="AO29" s="129">
        <v>0</v>
      </c>
      <c r="AP29" s="129">
        <v>0</v>
      </c>
      <c r="AQ29" s="129">
        <v>0</v>
      </c>
      <c r="AR29" s="130">
        <v>0</v>
      </c>
    </row>
    <row r="30" spans="2:44" ht="12" customHeight="1" x14ac:dyDescent="0.25">
      <c r="B30" s="128" t="s">
        <v>39</v>
      </c>
      <c r="C30" s="129" t="s">
        <v>41</v>
      </c>
      <c r="D30" s="129" t="s">
        <v>25</v>
      </c>
      <c r="E30" s="129" t="s">
        <v>25</v>
      </c>
      <c r="F30" s="129" t="s">
        <v>85</v>
      </c>
      <c r="G30" s="129" t="s">
        <v>35</v>
      </c>
      <c r="H30" s="129" t="s">
        <v>78</v>
      </c>
      <c r="I30" s="129" t="s">
        <v>25</v>
      </c>
      <c r="J30" s="129">
        <v>8.25</v>
      </c>
      <c r="K30" s="129">
        <v>0</v>
      </c>
      <c r="L30" s="129">
        <v>0</v>
      </c>
      <c r="M30" s="129">
        <v>0.39528505121616297</v>
      </c>
      <c r="N30" s="129">
        <v>0.18054723184064</v>
      </c>
      <c r="O30" s="129">
        <v>3.7615096723936002E-2</v>
      </c>
      <c r="P30" s="129">
        <v>0</v>
      </c>
      <c r="Q30" s="129">
        <v>0</v>
      </c>
      <c r="R30" s="129">
        <v>0</v>
      </c>
      <c r="S30" s="129">
        <v>0</v>
      </c>
      <c r="T30" s="129">
        <v>0</v>
      </c>
      <c r="U30" s="129">
        <v>0</v>
      </c>
      <c r="V30" s="129">
        <v>0</v>
      </c>
      <c r="W30" s="129">
        <v>0</v>
      </c>
      <c r="X30" s="129">
        <v>0</v>
      </c>
      <c r="Y30" s="129">
        <v>0</v>
      </c>
      <c r="Z30" s="129">
        <v>0</v>
      </c>
      <c r="AA30" s="129">
        <v>0</v>
      </c>
      <c r="AB30" s="129">
        <v>-0.68963577531382902</v>
      </c>
      <c r="AC30" s="129">
        <v>0</v>
      </c>
      <c r="AD30" s="129">
        <v>6.13293742628262</v>
      </c>
      <c r="AE30" s="129">
        <v>0.14459792301232</v>
      </c>
      <c r="AF30" s="129">
        <v>2.0483212452394399</v>
      </c>
      <c r="AG30" s="129">
        <v>0</v>
      </c>
      <c r="AH30" s="129">
        <v>0</v>
      </c>
      <c r="AI30" s="129">
        <v>0</v>
      </c>
      <c r="AJ30" s="129">
        <v>0</v>
      </c>
      <c r="AK30" s="129">
        <v>0</v>
      </c>
      <c r="AL30" s="129">
        <v>0</v>
      </c>
      <c r="AM30" s="129">
        <v>0</v>
      </c>
      <c r="AN30" s="129">
        <v>0</v>
      </c>
      <c r="AO30" s="129">
        <v>0</v>
      </c>
      <c r="AP30" s="129">
        <v>0</v>
      </c>
      <c r="AQ30" s="129">
        <v>0</v>
      </c>
      <c r="AR30" s="130">
        <v>0</v>
      </c>
    </row>
    <row r="31" spans="2:44" ht="12" customHeight="1" x14ac:dyDescent="0.25">
      <c r="B31" s="128" t="s">
        <v>39</v>
      </c>
      <c r="C31" s="129" t="s">
        <v>41</v>
      </c>
      <c r="D31" s="129" t="s">
        <v>25</v>
      </c>
      <c r="E31" s="129" t="s">
        <v>25</v>
      </c>
      <c r="F31" s="129" t="s">
        <v>25</v>
      </c>
      <c r="G31" s="129" t="s">
        <v>34</v>
      </c>
      <c r="H31" s="129" t="s">
        <v>78</v>
      </c>
      <c r="I31" s="129" t="s">
        <v>25</v>
      </c>
      <c r="J31" s="129">
        <v>928.87</v>
      </c>
      <c r="K31" s="129">
        <v>385.47</v>
      </c>
      <c r="L31" s="129">
        <v>1.64310156864799</v>
      </c>
      <c r="M31" s="129">
        <v>0.39528505121616297</v>
      </c>
      <c r="N31" s="129">
        <v>10.045273992959901</v>
      </c>
      <c r="O31" s="129">
        <v>3.7615096723936002E-2</v>
      </c>
      <c r="P31" s="129">
        <v>0</v>
      </c>
      <c r="Q31" s="129">
        <v>29.3687131785025</v>
      </c>
      <c r="R31" s="129">
        <v>14.4275204254415</v>
      </c>
      <c r="S31" s="129">
        <v>0</v>
      </c>
      <c r="T31" s="129">
        <v>125.473129176859</v>
      </c>
      <c r="U31" s="129">
        <v>34.050289036172799</v>
      </c>
      <c r="V31" s="129">
        <v>2.9237300741726902</v>
      </c>
      <c r="W31" s="129">
        <v>0</v>
      </c>
      <c r="X31" s="129">
        <v>151.069032779693</v>
      </c>
      <c r="Y31" s="129">
        <v>0</v>
      </c>
      <c r="Z31" s="129">
        <v>0</v>
      </c>
      <c r="AA31" s="129">
        <v>637.00588280632905</v>
      </c>
      <c r="AB31" s="129">
        <v>-85.894407351867898</v>
      </c>
      <c r="AC31" s="129">
        <v>0</v>
      </c>
      <c r="AD31" s="129">
        <v>6.13293742628262</v>
      </c>
      <c r="AE31" s="129">
        <v>0.14459792301232</v>
      </c>
      <c r="AF31" s="129">
        <v>2.0483212452394399</v>
      </c>
      <c r="AG31" s="129">
        <v>0</v>
      </c>
      <c r="AH31" s="129">
        <v>8.3144157692497398</v>
      </c>
      <c r="AI31" s="129">
        <v>0</v>
      </c>
      <c r="AJ31" s="129">
        <v>2.5213258337079201</v>
      </c>
      <c r="AK31" s="129">
        <v>21.3592174929801</v>
      </c>
      <c r="AL31" s="129">
        <v>0</v>
      </c>
      <c r="AM31" s="129">
        <v>379.26085162106199</v>
      </c>
      <c r="AN31" s="129">
        <v>0</v>
      </c>
      <c r="AO31" s="129">
        <v>0</v>
      </c>
      <c r="AP31" s="129">
        <v>1.8513197508430401E-12</v>
      </c>
      <c r="AQ31" s="129">
        <v>-30.6526719991781</v>
      </c>
      <c r="AR31" s="130">
        <v>4.6624276249915297</v>
      </c>
    </row>
    <row r="32" spans="2:44" ht="12" customHeight="1" x14ac:dyDescent="0.25">
      <c r="B32" s="128" t="s">
        <v>39</v>
      </c>
      <c r="C32" s="129" t="s">
        <v>41</v>
      </c>
      <c r="D32" s="129" t="s">
        <v>25</v>
      </c>
      <c r="E32" s="129" t="s">
        <v>25</v>
      </c>
      <c r="F32" s="129" t="s">
        <v>25</v>
      </c>
      <c r="G32" s="129" t="s">
        <v>25</v>
      </c>
      <c r="H32" s="129" t="s">
        <v>81</v>
      </c>
      <c r="I32" s="129" t="s">
        <v>25</v>
      </c>
      <c r="J32" s="129">
        <v>17.86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29">
        <v>0</v>
      </c>
      <c r="Q32" s="129">
        <v>0</v>
      </c>
      <c r="R32" s="129">
        <v>0</v>
      </c>
      <c r="S32" s="129">
        <v>0</v>
      </c>
      <c r="T32" s="129">
        <v>3.9061011401297701</v>
      </c>
      <c r="U32" s="129">
        <v>1.0717835611564299</v>
      </c>
      <c r="V32" s="129">
        <v>8.8624231806904999E-2</v>
      </c>
      <c r="W32" s="129">
        <v>0</v>
      </c>
      <c r="X32" s="129">
        <v>2.3614276723576801</v>
      </c>
      <c r="Y32" s="129">
        <v>0</v>
      </c>
      <c r="Z32" s="129">
        <v>0</v>
      </c>
      <c r="AA32" s="129">
        <v>12.0696199234827</v>
      </c>
      <c r="AB32" s="129">
        <v>-1.6407139614850299</v>
      </c>
      <c r="AC32" s="129">
        <v>0</v>
      </c>
      <c r="AD32" s="129">
        <v>0</v>
      </c>
      <c r="AE32" s="129">
        <v>0</v>
      </c>
      <c r="AF32" s="129">
        <v>0</v>
      </c>
      <c r="AG32" s="129">
        <v>0</v>
      </c>
      <c r="AH32" s="129">
        <v>0</v>
      </c>
      <c r="AI32" s="129">
        <v>0</v>
      </c>
      <c r="AJ32" s="129">
        <v>0</v>
      </c>
      <c r="AK32" s="129">
        <v>0</v>
      </c>
      <c r="AL32" s="129">
        <v>0</v>
      </c>
      <c r="AM32" s="129">
        <v>0</v>
      </c>
      <c r="AN32" s="129">
        <v>0</v>
      </c>
      <c r="AO32" s="129">
        <v>0</v>
      </c>
      <c r="AP32" s="129">
        <v>0</v>
      </c>
      <c r="AQ32" s="129">
        <v>0</v>
      </c>
      <c r="AR32" s="130">
        <v>0</v>
      </c>
    </row>
    <row r="33" spans="2:44" ht="12" customHeight="1" x14ac:dyDescent="0.25">
      <c r="B33" s="128" t="s">
        <v>39</v>
      </c>
      <c r="C33" s="129" t="s">
        <v>41</v>
      </c>
      <c r="D33" s="129" t="s">
        <v>25</v>
      </c>
      <c r="E33" s="129" t="s">
        <v>25</v>
      </c>
      <c r="F33" s="129" t="s">
        <v>25</v>
      </c>
      <c r="G33" s="129" t="s">
        <v>35</v>
      </c>
      <c r="H33" s="129" t="s">
        <v>78</v>
      </c>
      <c r="I33" s="129" t="s">
        <v>25</v>
      </c>
      <c r="J33" s="129">
        <v>49.79</v>
      </c>
      <c r="K33" s="129">
        <v>238.55</v>
      </c>
      <c r="L33" s="129">
        <v>1.64310156864799</v>
      </c>
      <c r="M33" s="129">
        <v>0.39528505121616297</v>
      </c>
      <c r="N33" s="129">
        <v>0.19225909901201499</v>
      </c>
      <c r="O33" s="129">
        <v>3.7615096723936002E-2</v>
      </c>
      <c r="P33" s="129">
        <v>0</v>
      </c>
      <c r="Q33" s="129">
        <v>29.3687131785025</v>
      </c>
      <c r="R33" s="129">
        <v>14.4275204254415</v>
      </c>
      <c r="S33" s="129">
        <v>0</v>
      </c>
      <c r="T33" s="129">
        <v>0</v>
      </c>
      <c r="U33" s="129">
        <v>0</v>
      </c>
      <c r="V33" s="129">
        <v>0</v>
      </c>
      <c r="W33" s="129">
        <v>0</v>
      </c>
      <c r="X33" s="129">
        <v>0</v>
      </c>
      <c r="Y33" s="129">
        <v>0</v>
      </c>
      <c r="Z33" s="129">
        <v>0</v>
      </c>
      <c r="AA33" s="129">
        <v>0</v>
      </c>
      <c r="AB33" s="129">
        <v>-4.60330999222169</v>
      </c>
      <c r="AC33" s="129">
        <v>0</v>
      </c>
      <c r="AD33" s="129">
        <v>6.13293742628262</v>
      </c>
      <c r="AE33" s="129">
        <v>0.14459792301232</v>
      </c>
      <c r="AF33" s="129">
        <v>2.0483212452394399</v>
      </c>
      <c r="AG33" s="129">
        <v>0</v>
      </c>
      <c r="AH33" s="129">
        <v>8.3144157692497398</v>
      </c>
      <c r="AI33" s="129">
        <v>0</v>
      </c>
      <c r="AJ33" s="129">
        <v>2.5213258337079201</v>
      </c>
      <c r="AK33" s="129">
        <v>21.3592174929801</v>
      </c>
      <c r="AL33" s="129">
        <v>0</v>
      </c>
      <c r="AM33" s="129">
        <v>220.50049512852399</v>
      </c>
      <c r="AN33" s="129">
        <v>0</v>
      </c>
      <c r="AO33" s="129">
        <v>0</v>
      </c>
      <c r="AP33" s="129">
        <v>1.8513197508430401E-12</v>
      </c>
      <c r="AQ33" s="129">
        <v>-18.8071029458313</v>
      </c>
      <c r="AR33" s="130">
        <v>4.6624276249915297</v>
      </c>
    </row>
    <row r="34" spans="2:44" ht="12" customHeight="1" x14ac:dyDescent="0.25">
      <c r="B34" s="128" t="s">
        <v>88</v>
      </c>
      <c r="C34" s="129" t="s">
        <v>87</v>
      </c>
      <c r="D34" s="129" t="s">
        <v>25</v>
      </c>
      <c r="E34" s="129" t="s">
        <v>25</v>
      </c>
      <c r="F34" s="129" t="s">
        <v>89</v>
      </c>
      <c r="G34" s="129" t="s">
        <v>25</v>
      </c>
      <c r="H34" s="129" t="s">
        <v>81</v>
      </c>
      <c r="I34" s="129" t="s">
        <v>25</v>
      </c>
      <c r="J34" s="129">
        <v>9.64</v>
      </c>
      <c r="K34" s="129">
        <v>0</v>
      </c>
      <c r="L34" s="129">
        <v>0</v>
      </c>
      <c r="M34" s="129">
        <v>3.49709195961952E-2</v>
      </c>
      <c r="N34" s="129">
        <v>0.103298668451532</v>
      </c>
      <c r="O34" s="129">
        <v>0</v>
      </c>
      <c r="P34" s="129">
        <v>0</v>
      </c>
      <c r="Q34" s="129">
        <v>0</v>
      </c>
      <c r="R34" s="129">
        <v>0</v>
      </c>
      <c r="S34" s="129">
        <v>0</v>
      </c>
      <c r="T34" s="129">
        <v>0</v>
      </c>
      <c r="U34" s="129">
        <v>0</v>
      </c>
      <c r="V34" s="129">
        <v>0</v>
      </c>
      <c r="W34" s="129">
        <v>0</v>
      </c>
      <c r="X34" s="129">
        <v>0</v>
      </c>
      <c r="Y34" s="129">
        <v>0</v>
      </c>
      <c r="Z34" s="129">
        <v>0</v>
      </c>
      <c r="AA34" s="129">
        <v>10.3994856227085</v>
      </c>
      <c r="AB34" s="129">
        <v>-0.89885634371447098</v>
      </c>
      <c r="AC34" s="129">
        <v>0</v>
      </c>
      <c r="AD34" s="129">
        <v>0</v>
      </c>
      <c r="AE34" s="129">
        <v>0</v>
      </c>
      <c r="AF34" s="129">
        <v>0</v>
      </c>
      <c r="AG34" s="129">
        <v>0</v>
      </c>
      <c r="AH34" s="129">
        <v>0</v>
      </c>
      <c r="AI34" s="129">
        <v>0</v>
      </c>
      <c r="AJ34" s="129">
        <v>0</v>
      </c>
      <c r="AK34" s="129">
        <v>0</v>
      </c>
      <c r="AL34" s="129">
        <v>0</v>
      </c>
      <c r="AM34" s="129">
        <v>0</v>
      </c>
      <c r="AN34" s="129">
        <v>0</v>
      </c>
      <c r="AO34" s="129">
        <v>0</v>
      </c>
      <c r="AP34" s="129">
        <v>0</v>
      </c>
      <c r="AQ34" s="129">
        <v>0</v>
      </c>
      <c r="AR34" s="130">
        <v>0</v>
      </c>
    </row>
    <row r="35" spans="2:44" ht="12" customHeight="1" x14ac:dyDescent="0.25">
      <c r="B35" s="128" t="s">
        <v>88</v>
      </c>
      <c r="C35" s="129" t="s">
        <v>87</v>
      </c>
      <c r="D35" s="129" t="s">
        <v>25</v>
      </c>
      <c r="E35" s="129" t="s">
        <v>25</v>
      </c>
      <c r="F35" s="129" t="s">
        <v>90</v>
      </c>
      <c r="G35" s="129" t="s">
        <v>25</v>
      </c>
      <c r="H35" s="129" t="s">
        <v>81</v>
      </c>
      <c r="I35" s="129" t="s">
        <v>25</v>
      </c>
      <c r="J35" s="129">
        <v>16.61</v>
      </c>
      <c r="K35" s="129">
        <v>0</v>
      </c>
      <c r="L35" s="129">
        <v>0</v>
      </c>
      <c r="M35" s="129">
        <v>3.49709195961952E-2</v>
      </c>
      <c r="N35" s="129">
        <v>0.103298668451532</v>
      </c>
      <c r="O35" s="129">
        <v>0</v>
      </c>
      <c r="P35" s="129">
        <v>0</v>
      </c>
      <c r="Q35" s="129">
        <v>0</v>
      </c>
      <c r="R35" s="129">
        <v>0</v>
      </c>
      <c r="S35" s="129">
        <v>0</v>
      </c>
      <c r="T35" s="129">
        <v>0</v>
      </c>
      <c r="U35" s="129">
        <v>0</v>
      </c>
      <c r="V35" s="129">
        <v>0</v>
      </c>
      <c r="W35" s="129">
        <v>0</v>
      </c>
      <c r="X35" s="129">
        <v>0</v>
      </c>
      <c r="Y35" s="129">
        <v>0</v>
      </c>
      <c r="Z35" s="129">
        <v>0</v>
      </c>
      <c r="AA35" s="129">
        <v>18.020683386998499</v>
      </c>
      <c r="AB35" s="129">
        <v>-1.5489144175054099</v>
      </c>
      <c r="AC35" s="129">
        <v>0</v>
      </c>
      <c r="AD35" s="129">
        <v>0</v>
      </c>
      <c r="AE35" s="129">
        <v>0</v>
      </c>
      <c r="AF35" s="129">
        <v>0</v>
      </c>
      <c r="AG35" s="129">
        <v>0</v>
      </c>
      <c r="AH35" s="129">
        <v>0</v>
      </c>
      <c r="AI35" s="129">
        <v>0</v>
      </c>
      <c r="AJ35" s="129">
        <v>0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0</v>
      </c>
      <c r="AQ35" s="129">
        <v>0</v>
      </c>
      <c r="AR35" s="130">
        <v>0</v>
      </c>
    </row>
    <row r="36" spans="2:44" ht="12" customHeight="1" x14ac:dyDescent="0.25">
      <c r="B36" s="128" t="s">
        <v>22</v>
      </c>
      <c r="C36" s="129" t="s">
        <v>33</v>
      </c>
      <c r="D36" s="129" t="s">
        <v>24</v>
      </c>
      <c r="E36" s="129" t="s">
        <v>24</v>
      </c>
      <c r="F36" s="129" t="s">
        <v>25</v>
      </c>
      <c r="G36" s="129" t="s">
        <v>34</v>
      </c>
      <c r="H36" s="129" t="s">
        <v>78</v>
      </c>
      <c r="I36" s="129" t="s">
        <v>25</v>
      </c>
      <c r="J36" s="129">
        <v>763.93</v>
      </c>
      <c r="K36" s="129">
        <v>385.47</v>
      </c>
      <c r="L36" s="129">
        <v>1.95607329600951</v>
      </c>
      <c r="M36" s="129">
        <v>0.78655281242721797</v>
      </c>
      <c r="N36" s="129">
        <v>8.0993464530991996</v>
      </c>
      <c r="O36" s="129">
        <v>3.7615096723936002E-2</v>
      </c>
      <c r="P36" s="129">
        <v>0</v>
      </c>
      <c r="Q36" s="129">
        <v>34.962753783931497</v>
      </c>
      <c r="R36" s="129">
        <v>14.4275204254415</v>
      </c>
      <c r="S36" s="129">
        <v>0</v>
      </c>
      <c r="T36" s="129">
        <v>57.729075716795599</v>
      </c>
      <c r="U36" s="129">
        <v>15.741627187497301</v>
      </c>
      <c r="V36" s="129">
        <v>1.3304504464225499</v>
      </c>
      <c r="W36" s="129">
        <v>0</v>
      </c>
      <c r="X36" s="129">
        <v>55.532503564999601</v>
      </c>
      <c r="Y36" s="129">
        <v>0</v>
      </c>
      <c r="Z36" s="129">
        <v>0</v>
      </c>
      <c r="AA36" s="129">
        <v>622.25323703619495</v>
      </c>
      <c r="AB36" s="129">
        <v>-70.741346575960307</v>
      </c>
      <c r="AC36" s="129">
        <v>0</v>
      </c>
      <c r="AD36" s="129">
        <v>18.482709064883</v>
      </c>
      <c r="AE36" s="129">
        <v>0.43577182623286498</v>
      </c>
      <c r="AF36" s="129">
        <v>2.8976873425982301</v>
      </c>
      <c r="AG36" s="129">
        <v>0</v>
      </c>
      <c r="AH36" s="129">
        <v>8.3144157692497398</v>
      </c>
      <c r="AI36" s="129">
        <v>0</v>
      </c>
      <c r="AJ36" s="129">
        <v>2.5213258337079201</v>
      </c>
      <c r="AK36" s="129">
        <v>21.3592174929801</v>
      </c>
      <c r="AL36" s="129">
        <v>0</v>
      </c>
      <c r="AM36" s="129">
        <v>379.26085162106199</v>
      </c>
      <c r="AN36" s="129">
        <v>0</v>
      </c>
      <c r="AO36" s="129">
        <v>0</v>
      </c>
      <c r="AP36" s="129">
        <v>1.8513197508430401E-12</v>
      </c>
      <c r="AQ36" s="129">
        <v>-30.6526719991781</v>
      </c>
      <c r="AR36" s="130">
        <v>4.6624276249915297</v>
      </c>
    </row>
    <row r="37" spans="2:44" ht="12" customHeight="1" x14ac:dyDescent="0.25">
      <c r="B37" s="128" t="s">
        <v>22</v>
      </c>
      <c r="C37" s="129" t="s">
        <v>33</v>
      </c>
      <c r="D37" s="129" t="s">
        <v>24</v>
      </c>
      <c r="E37" s="129" t="s">
        <v>24</v>
      </c>
      <c r="F37" s="129" t="s">
        <v>25</v>
      </c>
      <c r="G37" s="129" t="s">
        <v>36</v>
      </c>
      <c r="H37" s="129" t="s">
        <v>78</v>
      </c>
      <c r="I37" s="129" t="s">
        <v>25</v>
      </c>
      <c r="J37" s="129">
        <v>485.66</v>
      </c>
      <c r="K37" s="129">
        <v>238.55</v>
      </c>
      <c r="L37" s="129">
        <v>1.95607329600951</v>
      </c>
      <c r="M37" s="129">
        <v>0.78655281242721797</v>
      </c>
      <c r="N37" s="129">
        <v>5.0436711182452099</v>
      </c>
      <c r="O37" s="129">
        <v>3.7615096723936002E-2</v>
      </c>
      <c r="P37" s="129">
        <v>0</v>
      </c>
      <c r="Q37" s="129">
        <v>34.962753783931497</v>
      </c>
      <c r="R37" s="129">
        <v>14.4275204254415</v>
      </c>
      <c r="S37" s="129">
        <v>0</v>
      </c>
      <c r="T37" s="129">
        <v>34.637445430077399</v>
      </c>
      <c r="U37" s="129">
        <v>9.4449928558146592</v>
      </c>
      <c r="V37" s="129">
        <v>0.79823806135518904</v>
      </c>
      <c r="W37" s="129">
        <v>0</v>
      </c>
      <c r="X37" s="129">
        <v>33.319480425920297</v>
      </c>
      <c r="Y37" s="129">
        <v>0</v>
      </c>
      <c r="Z37" s="129">
        <v>0</v>
      </c>
      <c r="AA37" s="129">
        <v>373.35189485713698</v>
      </c>
      <c r="AB37" s="129">
        <v>-44.926627924340302</v>
      </c>
      <c r="AC37" s="129">
        <v>0</v>
      </c>
      <c r="AD37" s="129">
        <v>18.482709064883</v>
      </c>
      <c r="AE37" s="129">
        <v>0.43577182623286498</v>
      </c>
      <c r="AF37" s="129">
        <v>2.8976873425982301</v>
      </c>
      <c r="AG37" s="129">
        <v>0</v>
      </c>
      <c r="AH37" s="129">
        <v>8.3144157692497398</v>
      </c>
      <c r="AI37" s="129">
        <v>0</v>
      </c>
      <c r="AJ37" s="129">
        <v>2.5213258337079201</v>
      </c>
      <c r="AK37" s="129">
        <v>21.3592174929801</v>
      </c>
      <c r="AL37" s="129">
        <v>0</v>
      </c>
      <c r="AM37" s="129">
        <v>220.50049512852399</v>
      </c>
      <c r="AN37" s="129">
        <v>0</v>
      </c>
      <c r="AO37" s="129">
        <v>0</v>
      </c>
      <c r="AP37" s="129">
        <v>1.8513197508430401E-12</v>
      </c>
      <c r="AQ37" s="129">
        <v>-18.8071029458313</v>
      </c>
      <c r="AR37" s="130">
        <v>4.6624276249915297</v>
      </c>
    </row>
    <row r="38" spans="2:44" ht="12" customHeight="1" x14ac:dyDescent="0.25">
      <c r="B38" s="128" t="s">
        <v>22</v>
      </c>
      <c r="C38" s="129" t="s">
        <v>33</v>
      </c>
      <c r="D38" s="129" t="s">
        <v>24</v>
      </c>
      <c r="E38" s="129" t="s">
        <v>24</v>
      </c>
      <c r="F38" s="129" t="s">
        <v>25</v>
      </c>
      <c r="G38" s="129" t="s">
        <v>35</v>
      </c>
      <c r="H38" s="129" t="s">
        <v>78</v>
      </c>
      <c r="I38" s="129" t="s">
        <v>25</v>
      </c>
      <c r="J38" s="129">
        <v>207.38</v>
      </c>
      <c r="K38" s="129">
        <v>238.55</v>
      </c>
      <c r="L38" s="129">
        <v>1.95607329600951</v>
      </c>
      <c r="M38" s="129">
        <v>0.78655281242721797</v>
      </c>
      <c r="N38" s="129">
        <v>1.98799812576465</v>
      </c>
      <c r="O38" s="129">
        <v>3.7615096723936002E-2</v>
      </c>
      <c r="P38" s="129">
        <v>0</v>
      </c>
      <c r="Q38" s="129">
        <v>34.962753783931497</v>
      </c>
      <c r="R38" s="129">
        <v>14.4275204254415</v>
      </c>
      <c r="S38" s="129">
        <v>0</v>
      </c>
      <c r="T38" s="129">
        <v>11.5458151433591</v>
      </c>
      <c r="U38" s="129">
        <v>3.14835852413204</v>
      </c>
      <c r="V38" s="129">
        <v>0.26610619253368001</v>
      </c>
      <c r="W38" s="129">
        <v>0</v>
      </c>
      <c r="X38" s="129">
        <v>11.106457286841</v>
      </c>
      <c r="Y38" s="129">
        <v>0</v>
      </c>
      <c r="Z38" s="129">
        <v>0</v>
      </c>
      <c r="AA38" s="129">
        <v>124.450671089529</v>
      </c>
      <c r="AB38" s="129">
        <v>-19.111926396204801</v>
      </c>
      <c r="AC38" s="129">
        <v>0</v>
      </c>
      <c r="AD38" s="129">
        <v>18.482709064883</v>
      </c>
      <c r="AE38" s="129">
        <v>0.43577182623286498</v>
      </c>
      <c r="AF38" s="129">
        <v>2.8976873425982301</v>
      </c>
      <c r="AG38" s="129">
        <v>0</v>
      </c>
      <c r="AH38" s="129">
        <v>8.3144157692497398</v>
      </c>
      <c r="AI38" s="129">
        <v>0</v>
      </c>
      <c r="AJ38" s="129">
        <v>2.5213258337079201</v>
      </c>
      <c r="AK38" s="129">
        <v>21.3592174929801</v>
      </c>
      <c r="AL38" s="129">
        <v>0</v>
      </c>
      <c r="AM38" s="129">
        <v>220.50049512852399</v>
      </c>
      <c r="AN38" s="129">
        <v>0</v>
      </c>
      <c r="AO38" s="129">
        <v>0</v>
      </c>
      <c r="AP38" s="129">
        <v>1.8513197508430401E-12</v>
      </c>
      <c r="AQ38" s="129">
        <v>-18.8071029458313</v>
      </c>
      <c r="AR38" s="130">
        <v>4.6624276249915297</v>
      </c>
    </row>
    <row r="39" spans="2:44" ht="12" customHeight="1" x14ac:dyDescent="0.25">
      <c r="B39" s="128" t="s">
        <v>22</v>
      </c>
      <c r="C39" s="129" t="s">
        <v>23</v>
      </c>
      <c r="D39" s="129" t="s">
        <v>24</v>
      </c>
      <c r="E39" s="129" t="s">
        <v>1428</v>
      </c>
      <c r="F39" s="129" t="s">
        <v>25</v>
      </c>
      <c r="G39" s="129" t="s">
        <v>25</v>
      </c>
      <c r="H39" s="129" t="s">
        <v>78</v>
      </c>
      <c r="I39" s="129" t="s">
        <v>25</v>
      </c>
      <c r="J39" s="129">
        <v>238.71</v>
      </c>
      <c r="K39" s="129">
        <v>250.79</v>
      </c>
      <c r="L39" s="129">
        <v>0</v>
      </c>
      <c r="M39" s="129">
        <v>0.78655281242721797</v>
      </c>
      <c r="N39" s="129">
        <v>2.8356925309483598</v>
      </c>
      <c r="O39" s="129">
        <v>3.7615096723936002E-2</v>
      </c>
      <c r="P39" s="129">
        <v>0</v>
      </c>
      <c r="Q39" s="129">
        <v>0</v>
      </c>
      <c r="R39" s="129">
        <v>0</v>
      </c>
      <c r="S39" s="129">
        <v>0</v>
      </c>
      <c r="T39" s="129">
        <v>18.040270470697902</v>
      </c>
      <c r="U39" s="129">
        <v>4.9192378169475299</v>
      </c>
      <c r="V39" s="129">
        <v>0.41578589356850898</v>
      </c>
      <c r="W39" s="129">
        <v>0</v>
      </c>
      <c r="X39" s="129">
        <v>17.353853081363699</v>
      </c>
      <c r="Y39" s="129">
        <v>0</v>
      </c>
      <c r="Z39" s="129">
        <v>0</v>
      </c>
      <c r="AA39" s="129">
        <v>194.45409957023301</v>
      </c>
      <c r="AB39" s="129">
        <v>-21.9453661027495</v>
      </c>
      <c r="AC39" s="129">
        <v>0</v>
      </c>
      <c r="AD39" s="129">
        <v>18.482709064883</v>
      </c>
      <c r="AE39" s="129">
        <v>0.43577182623286498</v>
      </c>
      <c r="AF39" s="129">
        <v>2.8976873425982301</v>
      </c>
      <c r="AG39" s="129">
        <v>0</v>
      </c>
      <c r="AH39" s="129">
        <v>8.3144157692497398</v>
      </c>
      <c r="AI39" s="129">
        <v>0</v>
      </c>
      <c r="AJ39" s="129">
        <v>2.5213258337079201</v>
      </c>
      <c r="AK39" s="129">
        <v>21.3592174929801</v>
      </c>
      <c r="AL39" s="129">
        <v>0</v>
      </c>
      <c r="AM39" s="129">
        <v>233.73052483623599</v>
      </c>
      <c r="AN39" s="129">
        <v>0</v>
      </c>
      <c r="AO39" s="129">
        <v>0</v>
      </c>
      <c r="AP39" s="129">
        <v>1.8513197508430401E-12</v>
      </c>
      <c r="AQ39" s="129">
        <v>-19.794233700276799</v>
      </c>
      <c r="AR39" s="130">
        <v>4.6624276249915297</v>
      </c>
    </row>
    <row r="40" spans="2:44" ht="12" customHeight="1" x14ac:dyDescent="0.25">
      <c r="B40" s="128" t="s">
        <v>22</v>
      </c>
      <c r="C40" s="129" t="s">
        <v>23</v>
      </c>
      <c r="D40" s="129" t="s">
        <v>24</v>
      </c>
      <c r="E40" s="129" t="s">
        <v>24</v>
      </c>
      <c r="F40" s="129" t="s">
        <v>25</v>
      </c>
      <c r="G40" s="129" t="s">
        <v>25</v>
      </c>
      <c r="H40" s="129" t="s">
        <v>78</v>
      </c>
      <c r="I40" s="129" t="s">
        <v>25</v>
      </c>
      <c r="J40" s="129">
        <v>285.64999999999998</v>
      </c>
      <c r="K40" s="129">
        <v>250.79</v>
      </c>
      <c r="L40" s="129">
        <v>1.95607329600951</v>
      </c>
      <c r="M40" s="129">
        <v>0.78655281242721797</v>
      </c>
      <c r="N40" s="129">
        <v>2.8474043981197301</v>
      </c>
      <c r="O40" s="129">
        <v>3.7615096723936002E-2</v>
      </c>
      <c r="P40" s="129">
        <v>0</v>
      </c>
      <c r="Q40" s="129">
        <v>34.962753783931497</v>
      </c>
      <c r="R40" s="129">
        <v>14.4275204254415</v>
      </c>
      <c r="S40" s="129">
        <v>0</v>
      </c>
      <c r="T40" s="129">
        <v>18.040270470697902</v>
      </c>
      <c r="U40" s="129">
        <v>4.9192378169475299</v>
      </c>
      <c r="V40" s="129">
        <v>0.41578589356850898</v>
      </c>
      <c r="W40" s="129">
        <v>0</v>
      </c>
      <c r="X40" s="129">
        <v>17.353853081363699</v>
      </c>
      <c r="Y40" s="129">
        <v>0</v>
      </c>
      <c r="Z40" s="129">
        <v>0</v>
      </c>
      <c r="AA40" s="129">
        <v>194.45409957023301</v>
      </c>
      <c r="AB40" s="129">
        <v>-26.372298391919198</v>
      </c>
      <c r="AC40" s="129">
        <v>0</v>
      </c>
      <c r="AD40" s="129">
        <v>18.482709064883</v>
      </c>
      <c r="AE40" s="129">
        <v>0.43577182623286498</v>
      </c>
      <c r="AF40" s="129">
        <v>2.8976873425982301</v>
      </c>
      <c r="AG40" s="129">
        <v>0</v>
      </c>
      <c r="AH40" s="129">
        <v>8.3144157692497398</v>
      </c>
      <c r="AI40" s="129">
        <v>0</v>
      </c>
      <c r="AJ40" s="129">
        <v>2.5213258337079201</v>
      </c>
      <c r="AK40" s="129">
        <v>21.3592174929801</v>
      </c>
      <c r="AL40" s="129">
        <v>0</v>
      </c>
      <c r="AM40" s="129">
        <v>233.73052483623599</v>
      </c>
      <c r="AN40" s="129">
        <v>0</v>
      </c>
      <c r="AO40" s="129">
        <v>0</v>
      </c>
      <c r="AP40" s="129">
        <v>1.8513197508430401E-12</v>
      </c>
      <c r="AQ40" s="129">
        <v>-19.794233700276799</v>
      </c>
      <c r="AR40" s="130">
        <v>4.6624276249915297</v>
      </c>
    </row>
    <row r="41" spans="2:44" ht="12" customHeight="1" x14ac:dyDescent="0.25">
      <c r="B41" s="128" t="s">
        <v>22</v>
      </c>
      <c r="C41" s="129" t="s">
        <v>93</v>
      </c>
      <c r="D41" s="129" t="s">
        <v>24</v>
      </c>
      <c r="E41" s="129" t="s">
        <v>1428</v>
      </c>
      <c r="F41" s="129" t="s">
        <v>25</v>
      </c>
      <c r="G41" s="129" t="s">
        <v>25</v>
      </c>
      <c r="H41" s="129" t="s">
        <v>78</v>
      </c>
      <c r="I41" s="129" t="s">
        <v>25</v>
      </c>
      <c r="J41" s="129">
        <v>238.71</v>
      </c>
      <c r="K41" s="129">
        <v>250.79</v>
      </c>
      <c r="L41" s="129">
        <v>0</v>
      </c>
      <c r="M41" s="129">
        <v>0.78655281242721797</v>
      </c>
      <c r="N41" s="129">
        <v>2.8356925309483598</v>
      </c>
      <c r="O41" s="129">
        <v>3.7615096723936002E-2</v>
      </c>
      <c r="P41" s="129">
        <v>0</v>
      </c>
      <c r="Q41" s="129">
        <v>0</v>
      </c>
      <c r="R41" s="129">
        <v>0</v>
      </c>
      <c r="S41" s="129">
        <v>0</v>
      </c>
      <c r="T41" s="129">
        <v>18.040270470697902</v>
      </c>
      <c r="U41" s="129">
        <v>4.9192378169475299</v>
      </c>
      <c r="V41" s="129">
        <v>0.41578589356850898</v>
      </c>
      <c r="W41" s="129">
        <v>0</v>
      </c>
      <c r="X41" s="129">
        <v>17.353853081363699</v>
      </c>
      <c r="Y41" s="129">
        <v>0</v>
      </c>
      <c r="Z41" s="129">
        <v>0</v>
      </c>
      <c r="AA41" s="129">
        <v>194.45409957023301</v>
      </c>
      <c r="AB41" s="129">
        <v>-21.9453661027495</v>
      </c>
      <c r="AC41" s="129">
        <v>0</v>
      </c>
      <c r="AD41" s="129">
        <v>18.482709064883</v>
      </c>
      <c r="AE41" s="129">
        <v>0.43577182623286498</v>
      </c>
      <c r="AF41" s="129">
        <v>2.8976873425982301</v>
      </c>
      <c r="AG41" s="129">
        <v>0</v>
      </c>
      <c r="AH41" s="129">
        <v>8.3144157692497398</v>
      </c>
      <c r="AI41" s="129">
        <v>0</v>
      </c>
      <c r="AJ41" s="129">
        <v>2.5213258337079201</v>
      </c>
      <c r="AK41" s="129">
        <v>21.3592174929801</v>
      </c>
      <c r="AL41" s="129">
        <v>0</v>
      </c>
      <c r="AM41" s="129">
        <v>233.73052483623599</v>
      </c>
      <c r="AN41" s="129">
        <v>0</v>
      </c>
      <c r="AO41" s="129">
        <v>0</v>
      </c>
      <c r="AP41" s="129">
        <v>1.8513197508430401E-12</v>
      </c>
      <c r="AQ41" s="129">
        <v>-19.794233700276799</v>
      </c>
      <c r="AR41" s="130">
        <v>4.6624276249915297</v>
      </c>
    </row>
    <row r="42" spans="2:44" ht="12" customHeight="1" x14ac:dyDescent="0.25">
      <c r="B42" s="128" t="s">
        <v>22</v>
      </c>
      <c r="C42" s="129" t="s">
        <v>93</v>
      </c>
      <c r="D42" s="129" t="s">
        <v>24</v>
      </c>
      <c r="E42" s="129" t="s">
        <v>24</v>
      </c>
      <c r="F42" s="129" t="s">
        <v>25</v>
      </c>
      <c r="G42" s="129" t="s">
        <v>25</v>
      </c>
      <c r="H42" s="129" t="s">
        <v>78</v>
      </c>
      <c r="I42" s="129" t="s">
        <v>25</v>
      </c>
      <c r="J42" s="129">
        <v>285.64999999999998</v>
      </c>
      <c r="K42" s="129">
        <v>250.79</v>
      </c>
      <c r="L42" s="129">
        <v>1.95607329600951</v>
      </c>
      <c r="M42" s="129">
        <v>0.78655281242721797</v>
      </c>
      <c r="N42" s="129">
        <v>2.8474043981197301</v>
      </c>
      <c r="O42" s="129">
        <v>3.7615096723936002E-2</v>
      </c>
      <c r="P42" s="129">
        <v>0</v>
      </c>
      <c r="Q42" s="129">
        <v>34.962753783931497</v>
      </c>
      <c r="R42" s="129">
        <v>14.4275204254415</v>
      </c>
      <c r="S42" s="129">
        <v>0</v>
      </c>
      <c r="T42" s="129">
        <v>18.040270470697902</v>
      </c>
      <c r="U42" s="129">
        <v>4.9192378169475299</v>
      </c>
      <c r="V42" s="129">
        <v>0.41578589356850898</v>
      </c>
      <c r="W42" s="129">
        <v>0</v>
      </c>
      <c r="X42" s="129">
        <v>17.353853081363699</v>
      </c>
      <c r="Y42" s="129">
        <v>0</v>
      </c>
      <c r="Z42" s="129">
        <v>0</v>
      </c>
      <c r="AA42" s="129">
        <v>194.45409957023301</v>
      </c>
      <c r="AB42" s="129">
        <v>-26.372298391919198</v>
      </c>
      <c r="AC42" s="129">
        <v>0</v>
      </c>
      <c r="AD42" s="129">
        <v>18.482709064883</v>
      </c>
      <c r="AE42" s="129">
        <v>0.43577182623286498</v>
      </c>
      <c r="AF42" s="129">
        <v>2.8976873425982301</v>
      </c>
      <c r="AG42" s="129">
        <v>0</v>
      </c>
      <c r="AH42" s="129">
        <v>8.3144157692497398</v>
      </c>
      <c r="AI42" s="129">
        <v>0</v>
      </c>
      <c r="AJ42" s="129">
        <v>2.5213258337079201</v>
      </c>
      <c r="AK42" s="129">
        <v>21.3592174929801</v>
      </c>
      <c r="AL42" s="129">
        <v>0</v>
      </c>
      <c r="AM42" s="129">
        <v>233.73052483623599</v>
      </c>
      <c r="AN42" s="129">
        <v>0</v>
      </c>
      <c r="AO42" s="129">
        <v>0</v>
      </c>
      <c r="AP42" s="129">
        <v>1.8513197508430401E-12</v>
      </c>
      <c r="AQ42" s="129">
        <v>-19.794233700276799</v>
      </c>
      <c r="AR42" s="130">
        <v>4.6624276249915297</v>
      </c>
    </row>
    <row r="43" spans="2:44" ht="12" customHeight="1" x14ac:dyDescent="0.25">
      <c r="B43" s="128" t="s">
        <v>43</v>
      </c>
      <c r="C43" s="129" t="s">
        <v>33</v>
      </c>
      <c r="D43" s="129" t="s">
        <v>44</v>
      </c>
      <c r="E43" s="129" t="s">
        <v>94</v>
      </c>
      <c r="F43" s="129" t="s">
        <v>25</v>
      </c>
      <c r="G43" s="129" t="s">
        <v>34</v>
      </c>
      <c r="H43" s="129" t="s">
        <v>78</v>
      </c>
      <c r="I43" s="129" t="s">
        <v>25</v>
      </c>
      <c r="J43" s="129">
        <v>718.1</v>
      </c>
      <c r="K43" s="129">
        <v>362.34</v>
      </c>
      <c r="L43" s="129">
        <v>1.8387088982489399</v>
      </c>
      <c r="M43" s="129">
        <v>0.73935964368158502</v>
      </c>
      <c r="N43" s="129">
        <v>7.6133856659132499</v>
      </c>
      <c r="O43" s="129">
        <v>3.5358190920499799E-2</v>
      </c>
      <c r="P43" s="129">
        <v>0</v>
      </c>
      <c r="Q43" s="129">
        <v>32.864988556895703</v>
      </c>
      <c r="R43" s="129">
        <v>13.561869199915</v>
      </c>
      <c r="S43" s="129">
        <v>0</v>
      </c>
      <c r="T43" s="129">
        <v>54.265331173787899</v>
      </c>
      <c r="U43" s="129">
        <v>14.7971295562474</v>
      </c>
      <c r="V43" s="129">
        <v>1.2506234196371899</v>
      </c>
      <c r="W43" s="129">
        <v>0</v>
      </c>
      <c r="X43" s="129">
        <v>52.2005533510997</v>
      </c>
      <c r="Y43" s="129">
        <v>0</v>
      </c>
      <c r="Z43" s="129">
        <v>0</v>
      </c>
      <c r="AA43" s="129">
        <v>584.91804281402403</v>
      </c>
      <c r="AB43" s="129">
        <v>-66.496865781402704</v>
      </c>
      <c r="AC43" s="129">
        <v>0</v>
      </c>
      <c r="AD43" s="129">
        <v>17.3737465209901</v>
      </c>
      <c r="AE43" s="129">
        <v>0.40962551665889302</v>
      </c>
      <c r="AF43" s="129">
        <v>2.72382610204233</v>
      </c>
      <c r="AG43" s="129">
        <v>0</v>
      </c>
      <c r="AH43" s="129">
        <v>7.8155508230947603</v>
      </c>
      <c r="AI43" s="129">
        <v>0</v>
      </c>
      <c r="AJ43" s="129">
        <v>2.3700462836854399</v>
      </c>
      <c r="AK43" s="129">
        <v>20.077664443401201</v>
      </c>
      <c r="AL43" s="129">
        <v>0</v>
      </c>
      <c r="AM43" s="129">
        <v>356.50520052379801</v>
      </c>
      <c r="AN43" s="129">
        <v>0</v>
      </c>
      <c r="AO43" s="129">
        <v>0</v>
      </c>
      <c r="AP43" s="129">
        <v>1.74024056579245E-12</v>
      </c>
      <c r="AQ43" s="129">
        <v>-28.8135116792274</v>
      </c>
      <c r="AR43" s="130">
        <v>4.3826819674920401</v>
      </c>
    </row>
    <row r="44" spans="2:44" ht="12" customHeight="1" x14ac:dyDescent="0.25">
      <c r="B44" s="128" t="s">
        <v>43</v>
      </c>
      <c r="C44" s="129" t="s">
        <v>33</v>
      </c>
      <c r="D44" s="129" t="s">
        <v>44</v>
      </c>
      <c r="E44" s="129" t="s">
        <v>94</v>
      </c>
      <c r="F44" s="129" t="s">
        <v>25</v>
      </c>
      <c r="G44" s="129" t="s">
        <v>36</v>
      </c>
      <c r="H44" s="129" t="s">
        <v>78</v>
      </c>
      <c r="I44" s="129" t="s">
        <v>25</v>
      </c>
      <c r="J44" s="129">
        <v>456.52</v>
      </c>
      <c r="K44" s="129">
        <v>224.24</v>
      </c>
      <c r="L44" s="129">
        <v>1.8387088982489399</v>
      </c>
      <c r="M44" s="129">
        <v>0.73935964368158502</v>
      </c>
      <c r="N44" s="129">
        <v>4.7410508511504998</v>
      </c>
      <c r="O44" s="129">
        <v>3.5358190920499799E-2</v>
      </c>
      <c r="P44" s="129">
        <v>0</v>
      </c>
      <c r="Q44" s="129">
        <v>32.864988556895703</v>
      </c>
      <c r="R44" s="129">
        <v>13.561869199915</v>
      </c>
      <c r="S44" s="129">
        <v>0</v>
      </c>
      <c r="T44" s="129">
        <v>32.559198704272703</v>
      </c>
      <c r="U44" s="129">
        <v>8.87829328446578</v>
      </c>
      <c r="V44" s="129">
        <v>0.75034377767387705</v>
      </c>
      <c r="W44" s="129">
        <v>0</v>
      </c>
      <c r="X44" s="129">
        <v>31.320311600365098</v>
      </c>
      <c r="Y44" s="129">
        <v>0</v>
      </c>
      <c r="Z44" s="129">
        <v>0</v>
      </c>
      <c r="AA44" s="129">
        <v>350.95078116570897</v>
      </c>
      <c r="AB44" s="129">
        <v>-42.231030248879897</v>
      </c>
      <c r="AC44" s="129">
        <v>0</v>
      </c>
      <c r="AD44" s="129">
        <v>17.3737465209901</v>
      </c>
      <c r="AE44" s="129">
        <v>0.40962551665889302</v>
      </c>
      <c r="AF44" s="129">
        <v>2.72382610204233</v>
      </c>
      <c r="AG44" s="129">
        <v>0</v>
      </c>
      <c r="AH44" s="129">
        <v>7.8155508230947603</v>
      </c>
      <c r="AI44" s="129">
        <v>0</v>
      </c>
      <c r="AJ44" s="129">
        <v>2.3700462836854399</v>
      </c>
      <c r="AK44" s="129">
        <v>20.077664443401201</v>
      </c>
      <c r="AL44" s="129">
        <v>0</v>
      </c>
      <c r="AM44" s="129">
        <v>207.270465420813</v>
      </c>
      <c r="AN44" s="129">
        <v>0</v>
      </c>
      <c r="AO44" s="129">
        <v>0</v>
      </c>
      <c r="AP44" s="129">
        <v>1.74024056579245E-12</v>
      </c>
      <c r="AQ44" s="129">
        <v>-17.678676769081399</v>
      </c>
      <c r="AR44" s="130">
        <v>4.3826819674920401</v>
      </c>
    </row>
    <row r="45" spans="2:44" ht="12" customHeight="1" x14ac:dyDescent="0.25">
      <c r="B45" s="128" t="s">
        <v>43</v>
      </c>
      <c r="C45" s="129" t="s">
        <v>33</v>
      </c>
      <c r="D45" s="129" t="s">
        <v>44</v>
      </c>
      <c r="E45" s="129" t="s">
        <v>94</v>
      </c>
      <c r="F45" s="129" t="s">
        <v>25</v>
      </c>
      <c r="G45" s="129" t="s">
        <v>35</v>
      </c>
      <c r="H45" s="129" t="s">
        <v>78</v>
      </c>
      <c r="I45" s="129" t="s">
        <v>25</v>
      </c>
      <c r="J45" s="129">
        <v>194.94</v>
      </c>
      <c r="K45" s="129">
        <v>224.24</v>
      </c>
      <c r="L45" s="129">
        <v>1.8387088982489399</v>
      </c>
      <c r="M45" s="129">
        <v>0.73935964368158502</v>
      </c>
      <c r="N45" s="129">
        <v>1.8687182382187699</v>
      </c>
      <c r="O45" s="129">
        <v>3.5358190920499799E-2</v>
      </c>
      <c r="P45" s="129">
        <v>0</v>
      </c>
      <c r="Q45" s="129">
        <v>32.864988556895703</v>
      </c>
      <c r="R45" s="129">
        <v>13.561869199915</v>
      </c>
      <c r="S45" s="129">
        <v>0</v>
      </c>
      <c r="T45" s="129">
        <v>10.8530662347576</v>
      </c>
      <c r="U45" s="129">
        <v>2.95945701268412</v>
      </c>
      <c r="V45" s="129">
        <v>0.25013982098165899</v>
      </c>
      <c r="W45" s="129">
        <v>0</v>
      </c>
      <c r="X45" s="129">
        <v>10.4400698496305</v>
      </c>
      <c r="Y45" s="129">
        <v>0</v>
      </c>
      <c r="Z45" s="129">
        <v>0</v>
      </c>
      <c r="AA45" s="129">
        <v>116.983630824157</v>
      </c>
      <c r="AB45" s="129">
        <v>-17.965210812432499</v>
      </c>
      <c r="AC45" s="129">
        <v>0</v>
      </c>
      <c r="AD45" s="129">
        <v>17.3737465209901</v>
      </c>
      <c r="AE45" s="129">
        <v>0.40962551665889302</v>
      </c>
      <c r="AF45" s="129">
        <v>2.72382610204233</v>
      </c>
      <c r="AG45" s="129">
        <v>0</v>
      </c>
      <c r="AH45" s="129">
        <v>7.8155508230947603</v>
      </c>
      <c r="AI45" s="129">
        <v>0</v>
      </c>
      <c r="AJ45" s="129">
        <v>2.3700462836854399</v>
      </c>
      <c r="AK45" s="129">
        <v>20.077664443401201</v>
      </c>
      <c r="AL45" s="129">
        <v>0</v>
      </c>
      <c r="AM45" s="129">
        <v>207.270465420813</v>
      </c>
      <c r="AN45" s="129">
        <v>0</v>
      </c>
      <c r="AO45" s="129">
        <v>0</v>
      </c>
      <c r="AP45" s="129">
        <v>1.74024056579245E-12</v>
      </c>
      <c r="AQ45" s="129">
        <v>-17.678676769081399</v>
      </c>
      <c r="AR45" s="130">
        <v>4.3826819674920401</v>
      </c>
    </row>
    <row r="46" spans="2:44" ht="12" customHeight="1" x14ac:dyDescent="0.25">
      <c r="B46" s="128" t="s">
        <v>43</v>
      </c>
      <c r="C46" s="129" t="s">
        <v>33</v>
      </c>
      <c r="D46" s="129" t="s">
        <v>44</v>
      </c>
      <c r="E46" s="129" t="s">
        <v>25</v>
      </c>
      <c r="F46" s="129" t="s">
        <v>25</v>
      </c>
      <c r="G46" s="129" t="s">
        <v>34</v>
      </c>
      <c r="H46" s="129" t="s">
        <v>78</v>
      </c>
      <c r="I46" s="129" t="s">
        <v>25</v>
      </c>
      <c r="J46" s="129">
        <v>718.1</v>
      </c>
      <c r="K46" s="129">
        <v>362.34</v>
      </c>
      <c r="L46" s="129">
        <v>1.8387088982489399</v>
      </c>
      <c r="M46" s="129">
        <v>0.73935964368158502</v>
      </c>
      <c r="N46" s="129">
        <v>7.6133856659132499</v>
      </c>
      <c r="O46" s="129">
        <v>3.5358190920499799E-2</v>
      </c>
      <c r="P46" s="129">
        <v>0</v>
      </c>
      <c r="Q46" s="129">
        <v>32.864988556895703</v>
      </c>
      <c r="R46" s="129">
        <v>13.561869199915</v>
      </c>
      <c r="S46" s="129">
        <v>0</v>
      </c>
      <c r="T46" s="129">
        <v>54.265331173787899</v>
      </c>
      <c r="U46" s="129">
        <v>14.7971295562474</v>
      </c>
      <c r="V46" s="129">
        <v>1.2506234196371899</v>
      </c>
      <c r="W46" s="129">
        <v>0</v>
      </c>
      <c r="X46" s="129">
        <v>52.2005533510997</v>
      </c>
      <c r="Y46" s="129">
        <v>0</v>
      </c>
      <c r="Z46" s="129">
        <v>0</v>
      </c>
      <c r="AA46" s="129">
        <v>584.91804281402403</v>
      </c>
      <c r="AB46" s="129">
        <v>-66.496865781402704</v>
      </c>
      <c r="AC46" s="129">
        <v>0</v>
      </c>
      <c r="AD46" s="129">
        <v>17.3737465209901</v>
      </c>
      <c r="AE46" s="129">
        <v>0.40962551665889302</v>
      </c>
      <c r="AF46" s="129">
        <v>2.72382610204233</v>
      </c>
      <c r="AG46" s="129">
        <v>0</v>
      </c>
      <c r="AH46" s="129">
        <v>7.8155508230947603</v>
      </c>
      <c r="AI46" s="129">
        <v>0</v>
      </c>
      <c r="AJ46" s="129">
        <v>2.3700462836854399</v>
      </c>
      <c r="AK46" s="129">
        <v>20.077664443401201</v>
      </c>
      <c r="AL46" s="129">
        <v>0</v>
      </c>
      <c r="AM46" s="129">
        <v>356.50520052379801</v>
      </c>
      <c r="AN46" s="129">
        <v>0</v>
      </c>
      <c r="AO46" s="129">
        <v>0</v>
      </c>
      <c r="AP46" s="129">
        <v>1.74024056579245E-12</v>
      </c>
      <c r="AQ46" s="129">
        <v>-28.8135116792274</v>
      </c>
      <c r="AR46" s="130">
        <v>4.3826819674920401</v>
      </c>
    </row>
    <row r="47" spans="2:44" ht="12" customHeight="1" x14ac:dyDescent="0.25">
      <c r="B47" s="128" t="s">
        <v>43</v>
      </c>
      <c r="C47" s="129" t="s">
        <v>33</v>
      </c>
      <c r="D47" s="129" t="s">
        <v>44</v>
      </c>
      <c r="E47" s="129" t="s">
        <v>25</v>
      </c>
      <c r="F47" s="129" t="s">
        <v>25</v>
      </c>
      <c r="G47" s="129" t="s">
        <v>36</v>
      </c>
      <c r="H47" s="129" t="s">
        <v>78</v>
      </c>
      <c r="I47" s="129" t="s">
        <v>25</v>
      </c>
      <c r="J47" s="129">
        <v>456.52</v>
      </c>
      <c r="K47" s="129">
        <v>224.24</v>
      </c>
      <c r="L47" s="129">
        <v>1.8387088982489399</v>
      </c>
      <c r="M47" s="129">
        <v>0.73935964368158502</v>
      </c>
      <c r="N47" s="129">
        <v>4.7410508511504998</v>
      </c>
      <c r="O47" s="129">
        <v>3.5358190920499799E-2</v>
      </c>
      <c r="P47" s="129">
        <v>0</v>
      </c>
      <c r="Q47" s="129">
        <v>32.864988556895703</v>
      </c>
      <c r="R47" s="129">
        <v>13.561869199915</v>
      </c>
      <c r="S47" s="129">
        <v>0</v>
      </c>
      <c r="T47" s="129">
        <v>32.559198704272703</v>
      </c>
      <c r="U47" s="129">
        <v>8.87829328446578</v>
      </c>
      <c r="V47" s="129">
        <v>0.75034377767387705</v>
      </c>
      <c r="W47" s="129">
        <v>0</v>
      </c>
      <c r="X47" s="129">
        <v>31.320311600365098</v>
      </c>
      <c r="Y47" s="129">
        <v>0</v>
      </c>
      <c r="Z47" s="129">
        <v>0</v>
      </c>
      <c r="AA47" s="129">
        <v>350.95078116570897</v>
      </c>
      <c r="AB47" s="129">
        <v>-42.231030248879897</v>
      </c>
      <c r="AC47" s="129">
        <v>0</v>
      </c>
      <c r="AD47" s="129">
        <v>17.3737465209901</v>
      </c>
      <c r="AE47" s="129">
        <v>0.40962551665889302</v>
      </c>
      <c r="AF47" s="129">
        <v>2.72382610204233</v>
      </c>
      <c r="AG47" s="129">
        <v>0</v>
      </c>
      <c r="AH47" s="129">
        <v>7.8155508230947603</v>
      </c>
      <c r="AI47" s="129">
        <v>0</v>
      </c>
      <c r="AJ47" s="129">
        <v>2.3700462836854399</v>
      </c>
      <c r="AK47" s="129">
        <v>20.077664443401201</v>
      </c>
      <c r="AL47" s="129">
        <v>0</v>
      </c>
      <c r="AM47" s="129">
        <v>207.270465420813</v>
      </c>
      <c r="AN47" s="129">
        <v>0</v>
      </c>
      <c r="AO47" s="129">
        <v>0</v>
      </c>
      <c r="AP47" s="129">
        <v>1.74024056579245E-12</v>
      </c>
      <c r="AQ47" s="129">
        <v>-17.678676769081399</v>
      </c>
      <c r="AR47" s="130">
        <v>4.3826819674920401</v>
      </c>
    </row>
    <row r="48" spans="2:44" ht="12" customHeight="1" x14ac:dyDescent="0.25">
      <c r="B48" s="128" t="s">
        <v>43</v>
      </c>
      <c r="C48" s="129" t="s">
        <v>33</v>
      </c>
      <c r="D48" s="129" t="s">
        <v>44</v>
      </c>
      <c r="E48" s="129" t="s">
        <v>25</v>
      </c>
      <c r="F48" s="129" t="s">
        <v>25</v>
      </c>
      <c r="G48" s="129" t="s">
        <v>35</v>
      </c>
      <c r="H48" s="129" t="s">
        <v>78</v>
      </c>
      <c r="I48" s="129" t="s">
        <v>25</v>
      </c>
      <c r="J48" s="129">
        <v>194.94</v>
      </c>
      <c r="K48" s="129">
        <v>224.24</v>
      </c>
      <c r="L48" s="129">
        <v>1.8387088982489399</v>
      </c>
      <c r="M48" s="129">
        <v>0.73935964368158502</v>
      </c>
      <c r="N48" s="129">
        <v>1.8687182382187699</v>
      </c>
      <c r="O48" s="129">
        <v>3.5358190920499799E-2</v>
      </c>
      <c r="P48" s="129">
        <v>0</v>
      </c>
      <c r="Q48" s="129">
        <v>32.864988556895703</v>
      </c>
      <c r="R48" s="129">
        <v>13.561869199915</v>
      </c>
      <c r="S48" s="129">
        <v>0</v>
      </c>
      <c r="T48" s="129">
        <v>10.8530662347576</v>
      </c>
      <c r="U48" s="129">
        <v>2.95945701268412</v>
      </c>
      <c r="V48" s="129">
        <v>0.25013982098165899</v>
      </c>
      <c r="W48" s="129">
        <v>0</v>
      </c>
      <c r="X48" s="129">
        <v>10.4400698496305</v>
      </c>
      <c r="Y48" s="129">
        <v>0</v>
      </c>
      <c r="Z48" s="129">
        <v>0</v>
      </c>
      <c r="AA48" s="129">
        <v>116.983630824157</v>
      </c>
      <c r="AB48" s="129">
        <v>-17.965210812432499</v>
      </c>
      <c r="AC48" s="129">
        <v>0</v>
      </c>
      <c r="AD48" s="129">
        <v>17.3737465209901</v>
      </c>
      <c r="AE48" s="129">
        <v>0.40962551665889302</v>
      </c>
      <c r="AF48" s="129">
        <v>2.72382610204233</v>
      </c>
      <c r="AG48" s="129">
        <v>0</v>
      </c>
      <c r="AH48" s="129">
        <v>7.8155508230947603</v>
      </c>
      <c r="AI48" s="129">
        <v>0</v>
      </c>
      <c r="AJ48" s="129">
        <v>2.3700462836854399</v>
      </c>
      <c r="AK48" s="129">
        <v>20.077664443401201</v>
      </c>
      <c r="AL48" s="129">
        <v>0</v>
      </c>
      <c r="AM48" s="129">
        <v>207.270465420813</v>
      </c>
      <c r="AN48" s="129">
        <v>0</v>
      </c>
      <c r="AO48" s="129">
        <v>0</v>
      </c>
      <c r="AP48" s="129">
        <v>1.74024056579245E-12</v>
      </c>
      <c r="AQ48" s="129">
        <v>-17.678676769081399</v>
      </c>
      <c r="AR48" s="130">
        <v>4.3826819674920401</v>
      </c>
    </row>
    <row r="49" spans="2:44" ht="12" customHeight="1" x14ac:dyDescent="0.25">
      <c r="B49" s="128" t="s">
        <v>43</v>
      </c>
      <c r="C49" s="129" t="s">
        <v>33</v>
      </c>
      <c r="D49" s="129" t="s">
        <v>44</v>
      </c>
      <c r="E49" s="129" t="s">
        <v>95</v>
      </c>
      <c r="F49" s="129" t="s">
        <v>25</v>
      </c>
      <c r="G49" s="129" t="s">
        <v>34</v>
      </c>
      <c r="H49" s="129" t="s">
        <v>78</v>
      </c>
      <c r="I49" s="129" t="s">
        <v>25</v>
      </c>
      <c r="J49" s="129">
        <v>702.82</v>
      </c>
      <c r="K49" s="129">
        <v>354.63</v>
      </c>
      <c r="L49" s="129">
        <v>1.79958743232875</v>
      </c>
      <c r="M49" s="129">
        <v>0.72362858743304104</v>
      </c>
      <c r="N49" s="129">
        <v>7.4513987368512602</v>
      </c>
      <c r="O49" s="129">
        <v>3.4605888986021099E-2</v>
      </c>
      <c r="P49" s="129">
        <v>0</v>
      </c>
      <c r="Q49" s="129">
        <v>32.165733481217003</v>
      </c>
      <c r="R49" s="129">
        <v>13.273318791406201</v>
      </c>
      <c r="S49" s="129">
        <v>0</v>
      </c>
      <c r="T49" s="129">
        <v>53.110749659451997</v>
      </c>
      <c r="U49" s="129">
        <v>14.482297012497501</v>
      </c>
      <c r="V49" s="129">
        <v>1.2240144107087401</v>
      </c>
      <c r="W49" s="129">
        <v>0</v>
      </c>
      <c r="X49" s="129">
        <v>51.089903279799699</v>
      </c>
      <c r="Y49" s="129">
        <v>0</v>
      </c>
      <c r="Z49" s="129">
        <v>0</v>
      </c>
      <c r="AA49" s="129">
        <v>572.47297807330006</v>
      </c>
      <c r="AB49" s="129">
        <v>-65.082038849883503</v>
      </c>
      <c r="AC49" s="129">
        <v>0</v>
      </c>
      <c r="AD49" s="129">
        <v>17.004092339692399</v>
      </c>
      <c r="AE49" s="129">
        <v>0.40091008013423601</v>
      </c>
      <c r="AF49" s="129">
        <v>2.6658723551903698</v>
      </c>
      <c r="AG49" s="129">
        <v>0</v>
      </c>
      <c r="AH49" s="129">
        <v>7.6492625077097598</v>
      </c>
      <c r="AI49" s="129">
        <v>0</v>
      </c>
      <c r="AJ49" s="129">
        <v>2.3196197670112899</v>
      </c>
      <c r="AK49" s="129">
        <v>19.650480093541599</v>
      </c>
      <c r="AL49" s="129">
        <v>0</v>
      </c>
      <c r="AM49" s="129">
        <v>348.91998349137702</v>
      </c>
      <c r="AN49" s="129">
        <v>0</v>
      </c>
      <c r="AO49" s="129">
        <v>0</v>
      </c>
      <c r="AP49" s="129">
        <v>1.70321417077559E-12</v>
      </c>
      <c r="AQ49" s="129">
        <v>-28.200458239243801</v>
      </c>
      <c r="AR49" s="130">
        <v>4.2894334149922102</v>
      </c>
    </row>
    <row r="50" spans="2:44" ht="12" customHeight="1" x14ac:dyDescent="0.25">
      <c r="B50" s="128" t="s">
        <v>43</v>
      </c>
      <c r="C50" s="129" t="s">
        <v>33</v>
      </c>
      <c r="D50" s="129" t="s">
        <v>44</v>
      </c>
      <c r="E50" s="129" t="s">
        <v>95</v>
      </c>
      <c r="F50" s="129" t="s">
        <v>25</v>
      </c>
      <c r="G50" s="129" t="s">
        <v>36</v>
      </c>
      <c r="H50" s="129" t="s">
        <v>78</v>
      </c>
      <c r="I50" s="129" t="s">
        <v>25</v>
      </c>
      <c r="J50" s="129">
        <v>446.8</v>
      </c>
      <c r="K50" s="129">
        <v>219.47</v>
      </c>
      <c r="L50" s="129">
        <v>1.79958743232875</v>
      </c>
      <c r="M50" s="129">
        <v>0.72362858743304104</v>
      </c>
      <c r="N50" s="129">
        <v>4.6401774287855897</v>
      </c>
      <c r="O50" s="129">
        <v>3.4605888986021099E-2</v>
      </c>
      <c r="P50" s="129">
        <v>0</v>
      </c>
      <c r="Q50" s="129">
        <v>32.165733481217003</v>
      </c>
      <c r="R50" s="129">
        <v>13.273318791406201</v>
      </c>
      <c r="S50" s="129">
        <v>0</v>
      </c>
      <c r="T50" s="129">
        <v>31.866449795671201</v>
      </c>
      <c r="U50" s="129">
        <v>8.6893934273494899</v>
      </c>
      <c r="V50" s="129">
        <v>0.73437901644677395</v>
      </c>
      <c r="W50" s="129">
        <v>0</v>
      </c>
      <c r="X50" s="129">
        <v>30.653921991846701</v>
      </c>
      <c r="Y50" s="129">
        <v>0</v>
      </c>
      <c r="Z50" s="129">
        <v>0</v>
      </c>
      <c r="AA50" s="129">
        <v>343.483743268566</v>
      </c>
      <c r="AB50" s="129">
        <v>-41.332497690393097</v>
      </c>
      <c r="AC50" s="129">
        <v>0</v>
      </c>
      <c r="AD50" s="129">
        <v>17.004092339692399</v>
      </c>
      <c r="AE50" s="129">
        <v>0.40091008013423601</v>
      </c>
      <c r="AF50" s="129">
        <v>2.6658723551903698</v>
      </c>
      <c r="AG50" s="129">
        <v>0</v>
      </c>
      <c r="AH50" s="129">
        <v>7.6492625077097598</v>
      </c>
      <c r="AI50" s="129">
        <v>0</v>
      </c>
      <c r="AJ50" s="129">
        <v>2.3196197670112899</v>
      </c>
      <c r="AK50" s="129">
        <v>19.650480093541599</v>
      </c>
      <c r="AL50" s="129">
        <v>0</v>
      </c>
      <c r="AM50" s="129">
        <v>202.86045551824199</v>
      </c>
      <c r="AN50" s="129">
        <v>0</v>
      </c>
      <c r="AO50" s="129">
        <v>0</v>
      </c>
      <c r="AP50" s="129">
        <v>1.70321417077559E-12</v>
      </c>
      <c r="AQ50" s="129">
        <v>-17.302534710164799</v>
      </c>
      <c r="AR50" s="130">
        <v>4.2894334149922102</v>
      </c>
    </row>
    <row r="51" spans="2:44" ht="12" customHeight="1" x14ac:dyDescent="0.25">
      <c r="B51" s="128" t="s">
        <v>43</v>
      </c>
      <c r="C51" s="129" t="s">
        <v>33</v>
      </c>
      <c r="D51" s="129" t="s">
        <v>44</v>
      </c>
      <c r="E51" s="129" t="s">
        <v>95</v>
      </c>
      <c r="F51" s="129" t="s">
        <v>25</v>
      </c>
      <c r="G51" s="129" t="s">
        <v>35</v>
      </c>
      <c r="H51" s="129" t="s">
        <v>78</v>
      </c>
      <c r="I51" s="129" t="s">
        <v>25</v>
      </c>
      <c r="J51" s="129">
        <v>190.79</v>
      </c>
      <c r="K51" s="129">
        <v>219.47</v>
      </c>
      <c r="L51" s="129">
        <v>1.79958743232875</v>
      </c>
      <c r="M51" s="129">
        <v>0.72362858743304104</v>
      </c>
      <c r="N51" s="129">
        <v>1.8289582757034799</v>
      </c>
      <c r="O51" s="129">
        <v>3.4605888986021099E-2</v>
      </c>
      <c r="P51" s="129">
        <v>0</v>
      </c>
      <c r="Q51" s="129">
        <v>32.165733481217003</v>
      </c>
      <c r="R51" s="129">
        <v>13.273318791406201</v>
      </c>
      <c r="S51" s="129">
        <v>0</v>
      </c>
      <c r="T51" s="129">
        <v>10.6221499318904</v>
      </c>
      <c r="U51" s="129">
        <v>2.89648984220148</v>
      </c>
      <c r="V51" s="129">
        <v>0.244817697130985</v>
      </c>
      <c r="W51" s="129">
        <v>0</v>
      </c>
      <c r="X51" s="129">
        <v>10.217940703893699</v>
      </c>
      <c r="Y51" s="129">
        <v>0</v>
      </c>
      <c r="Z51" s="129">
        <v>0</v>
      </c>
      <c r="AA51" s="129">
        <v>114.494617402367</v>
      </c>
      <c r="AB51" s="129">
        <v>-17.582972284508401</v>
      </c>
      <c r="AC51" s="129">
        <v>0</v>
      </c>
      <c r="AD51" s="129">
        <v>17.004092339692399</v>
      </c>
      <c r="AE51" s="129">
        <v>0.40091008013423601</v>
      </c>
      <c r="AF51" s="129">
        <v>2.6658723551903698</v>
      </c>
      <c r="AG51" s="129">
        <v>0</v>
      </c>
      <c r="AH51" s="129">
        <v>7.6492625077097598</v>
      </c>
      <c r="AI51" s="129">
        <v>0</v>
      </c>
      <c r="AJ51" s="129">
        <v>2.3196197670112899</v>
      </c>
      <c r="AK51" s="129">
        <v>19.650480093541599</v>
      </c>
      <c r="AL51" s="129">
        <v>0</v>
      </c>
      <c r="AM51" s="129">
        <v>202.86045551824199</v>
      </c>
      <c r="AN51" s="129">
        <v>0</v>
      </c>
      <c r="AO51" s="129">
        <v>0</v>
      </c>
      <c r="AP51" s="129">
        <v>1.70321417077559E-12</v>
      </c>
      <c r="AQ51" s="129">
        <v>-17.302534710164799</v>
      </c>
      <c r="AR51" s="130">
        <v>4.2894334149922102</v>
      </c>
    </row>
    <row r="52" spans="2:44" ht="12" customHeight="1" x14ac:dyDescent="0.25">
      <c r="B52" s="128" t="s">
        <v>43</v>
      </c>
      <c r="C52" s="129" t="s">
        <v>23</v>
      </c>
      <c r="D52" s="129" t="s">
        <v>44</v>
      </c>
      <c r="E52" s="129" t="s">
        <v>94</v>
      </c>
      <c r="F52" s="129" t="s">
        <v>25</v>
      </c>
      <c r="G52" s="129" t="s">
        <v>25</v>
      </c>
      <c r="H52" s="129" t="s">
        <v>78</v>
      </c>
      <c r="I52" s="129" t="s">
        <v>25</v>
      </c>
      <c r="J52" s="129">
        <v>268.51</v>
      </c>
      <c r="K52" s="129">
        <v>235.75</v>
      </c>
      <c r="L52" s="129">
        <v>1.8387088982489399</v>
      </c>
      <c r="M52" s="129">
        <v>0.73935964368158502</v>
      </c>
      <c r="N52" s="129">
        <v>2.6765601342325498</v>
      </c>
      <c r="O52" s="129">
        <v>3.5358190920499799E-2</v>
      </c>
      <c r="P52" s="129">
        <v>0</v>
      </c>
      <c r="Q52" s="129">
        <v>32.864988556895703</v>
      </c>
      <c r="R52" s="129">
        <v>13.561869199915</v>
      </c>
      <c r="S52" s="129">
        <v>0</v>
      </c>
      <c r="T52" s="129">
        <v>16.957854242456001</v>
      </c>
      <c r="U52" s="129">
        <v>4.6240835479306801</v>
      </c>
      <c r="V52" s="129">
        <v>0.390838739954398</v>
      </c>
      <c r="W52" s="129">
        <v>0</v>
      </c>
      <c r="X52" s="129">
        <v>16.3126218964819</v>
      </c>
      <c r="Y52" s="129">
        <v>0</v>
      </c>
      <c r="Z52" s="129">
        <v>0</v>
      </c>
      <c r="AA52" s="129">
        <v>182.786853596019</v>
      </c>
      <c r="AB52" s="129">
        <v>-24.789960488404098</v>
      </c>
      <c r="AC52" s="129">
        <v>0</v>
      </c>
      <c r="AD52" s="129">
        <v>17.3737465209901</v>
      </c>
      <c r="AE52" s="129">
        <v>0.40962551665889302</v>
      </c>
      <c r="AF52" s="129">
        <v>2.72382610204233</v>
      </c>
      <c r="AG52" s="129">
        <v>0</v>
      </c>
      <c r="AH52" s="129">
        <v>7.8155508230947603</v>
      </c>
      <c r="AI52" s="129">
        <v>0</v>
      </c>
      <c r="AJ52" s="129">
        <v>2.3700462836854399</v>
      </c>
      <c r="AK52" s="129">
        <v>20.077664443401201</v>
      </c>
      <c r="AL52" s="129">
        <v>0</v>
      </c>
      <c r="AM52" s="129">
        <v>219.706693346062</v>
      </c>
      <c r="AN52" s="129">
        <v>0</v>
      </c>
      <c r="AO52" s="129">
        <v>0</v>
      </c>
      <c r="AP52" s="129">
        <v>1.74024056579245E-12</v>
      </c>
      <c r="AQ52" s="129">
        <v>-18.6065796782602</v>
      </c>
      <c r="AR52" s="130">
        <v>4.3826819674920401</v>
      </c>
    </row>
    <row r="53" spans="2:44" ht="12" customHeight="1" x14ac:dyDescent="0.25">
      <c r="B53" s="128" t="s">
        <v>43</v>
      </c>
      <c r="C53" s="129" t="s">
        <v>23</v>
      </c>
      <c r="D53" s="129" t="s">
        <v>44</v>
      </c>
      <c r="E53" s="129" t="s">
        <v>25</v>
      </c>
      <c r="F53" s="129" t="s">
        <v>25</v>
      </c>
      <c r="G53" s="129" t="s">
        <v>25</v>
      </c>
      <c r="H53" s="129" t="s">
        <v>78</v>
      </c>
      <c r="I53" s="129" t="s">
        <v>25</v>
      </c>
      <c r="J53" s="129">
        <v>268.51</v>
      </c>
      <c r="K53" s="129">
        <v>235.75</v>
      </c>
      <c r="L53" s="129">
        <v>1.8387088982489399</v>
      </c>
      <c r="M53" s="129">
        <v>0.73935964368158502</v>
      </c>
      <c r="N53" s="129">
        <v>2.6765601342325498</v>
      </c>
      <c r="O53" s="129">
        <v>3.5358190920499799E-2</v>
      </c>
      <c r="P53" s="129">
        <v>0</v>
      </c>
      <c r="Q53" s="129">
        <v>32.864988556895703</v>
      </c>
      <c r="R53" s="129">
        <v>13.561869199915</v>
      </c>
      <c r="S53" s="129">
        <v>0</v>
      </c>
      <c r="T53" s="129">
        <v>16.957854242456001</v>
      </c>
      <c r="U53" s="129">
        <v>4.6240835479306801</v>
      </c>
      <c r="V53" s="129">
        <v>0.390838739954398</v>
      </c>
      <c r="W53" s="129">
        <v>0</v>
      </c>
      <c r="X53" s="129">
        <v>16.3126218964819</v>
      </c>
      <c r="Y53" s="129">
        <v>0</v>
      </c>
      <c r="Z53" s="129">
        <v>0</v>
      </c>
      <c r="AA53" s="129">
        <v>182.786853596019</v>
      </c>
      <c r="AB53" s="129">
        <v>-24.789960488404098</v>
      </c>
      <c r="AC53" s="129">
        <v>0</v>
      </c>
      <c r="AD53" s="129">
        <v>17.3737465209901</v>
      </c>
      <c r="AE53" s="129">
        <v>0.40962551665889302</v>
      </c>
      <c r="AF53" s="129">
        <v>2.72382610204233</v>
      </c>
      <c r="AG53" s="129">
        <v>0</v>
      </c>
      <c r="AH53" s="129">
        <v>7.8155508230947603</v>
      </c>
      <c r="AI53" s="129">
        <v>0</v>
      </c>
      <c r="AJ53" s="129">
        <v>2.3700462836854399</v>
      </c>
      <c r="AK53" s="129">
        <v>20.077664443401201</v>
      </c>
      <c r="AL53" s="129">
        <v>0</v>
      </c>
      <c r="AM53" s="129">
        <v>219.706693346062</v>
      </c>
      <c r="AN53" s="129">
        <v>0</v>
      </c>
      <c r="AO53" s="129">
        <v>0</v>
      </c>
      <c r="AP53" s="129">
        <v>1.74024056579245E-12</v>
      </c>
      <c r="AQ53" s="129">
        <v>-18.6065796782602</v>
      </c>
      <c r="AR53" s="130">
        <v>4.3826819674920401</v>
      </c>
    </row>
    <row r="54" spans="2:44" ht="12" customHeight="1" x14ac:dyDescent="0.25">
      <c r="B54" s="128" t="s">
        <v>43</v>
      </c>
      <c r="C54" s="129" t="s">
        <v>23</v>
      </c>
      <c r="D54" s="129" t="s">
        <v>44</v>
      </c>
      <c r="E54" s="129" t="s">
        <v>95</v>
      </c>
      <c r="F54" s="129" t="s">
        <v>25</v>
      </c>
      <c r="G54" s="129" t="s">
        <v>25</v>
      </c>
      <c r="H54" s="129" t="s">
        <v>78</v>
      </c>
      <c r="I54" s="129" t="s">
        <v>25</v>
      </c>
      <c r="J54" s="129">
        <v>262.79000000000002</v>
      </c>
      <c r="K54" s="129">
        <v>230.73</v>
      </c>
      <c r="L54" s="129">
        <v>1.79958743232875</v>
      </c>
      <c r="M54" s="129">
        <v>0.72362858743304104</v>
      </c>
      <c r="N54" s="129">
        <v>2.61961204627015</v>
      </c>
      <c r="O54" s="129">
        <v>3.4605888986021099E-2</v>
      </c>
      <c r="P54" s="129">
        <v>0</v>
      </c>
      <c r="Q54" s="129">
        <v>32.165733481217003</v>
      </c>
      <c r="R54" s="129">
        <v>13.273318791406201</v>
      </c>
      <c r="S54" s="129">
        <v>0</v>
      </c>
      <c r="T54" s="129">
        <v>16.597048833041999</v>
      </c>
      <c r="U54" s="129">
        <v>4.5256987915917302</v>
      </c>
      <c r="V54" s="129">
        <v>0.38252302208302802</v>
      </c>
      <c r="W54" s="129">
        <v>0</v>
      </c>
      <c r="X54" s="129">
        <v>15.965544834854599</v>
      </c>
      <c r="Y54" s="129">
        <v>0</v>
      </c>
      <c r="Z54" s="129">
        <v>0</v>
      </c>
      <c r="AA54" s="129">
        <v>178.89777160461401</v>
      </c>
      <c r="AB54" s="129">
        <v>-24.262514520565698</v>
      </c>
      <c r="AC54" s="129">
        <v>0</v>
      </c>
      <c r="AD54" s="129">
        <v>17.004092339692399</v>
      </c>
      <c r="AE54" s="129">
        <v>0.40091008013423601</v>
      </c>
      <c r="AF54" s="129">
        <v>2.6658723551903698</v>
      </c>
      <c r="AG54" s="129">
        <v>0</v>
      </c>
      <c r="AH54" s="129">
        <v>7.6492625077097598</v>
      </c>
      <c r="AI54" s="129">
        <v>0</v>
      </c>
      <c r="AJ54" s="129">
        <v>2.3196197670112899</v>
      </c>
      <c r="AK54" s="129">
        <v>19.650480093541599</v>
      </c>
      <c r="AL54" s="129">
        <v>0</v>
      </c>
      <c r="AM54" s="129">
        <v>215.032082849337</v>
      </c>
      <c r="AN54" s="129">
        <v>0</v>
      </c>
      <c r="AO54" s="129">
        <v>0</v>
      </c>
      <c r="AP54" s="129">
        <v>1.70321417077559E-12</v>
      </c>
      <c r="AQ54" s="129">
        <v>-18.210695004254699</v>
      </c>
      <c r="AR54" s="130">
        <v>4.2894334149922102</v>
      </c>
    </row>
    <row r="55" spans="2:44" ht="12" customHeight="1" x14ac:dyDescent="0.25">
      <c r="B55" s="128" t="s">
        <v>43</v>
      </c>
      <c r="C55" s="129" t="s">
        <v>93</v>
      </c>
      <c r="D55" s="129" t="s">
        <v>44</v>
      </c>
      <c r="E55" s="129" t="s">
        <v>94</v>
      </c>
      <c r="F55" s="129" t="s">
        <v>25</v>
      </c>
      <c r="G55" s="129" t="s">
        <v>25</v>
      </c>
      <c r="H55" s="129" t="s">
        <v>78</v>
      </c>
      <c r="I55" s="129" t="s">
        <v>25</v>
      </c>
      <c r="J55" s="129">
        <v>268.51</v>
      </c>
      <c r="K55" s="129">
        <v>235.75</v>
      </c>
      <c r="L55" s="129">
        <v>1.8387088982489399</v>
      </c>
      <c r="M55" s="129">
        <v>0.73935964368158502</v>
      </c>
      <c r="N55" s="129">
        <v>2.6765601342325498</v>
      </c>
      <c r="O55" s="129">
        <v>3.5358190920499799E-2</v>
      </c>
      <c r="P55" s="129">
        <v>0</v>
      </c>
      <c r="Q55" s="129">
        <v>32.864988556895703</v>
      </c>
      <c r="R55" s="129">
        <v>13.561869199915</v>
      </c>
      <c r="S55" s="129">
        <v>0</v>
      </c>
      <c r="T55" s="129">
        <v>16.957854242456001</v>
      </c>
      <c r="U55" s="129">
        <v>4.6240835479306801</v>
      </c>
      <c r="V55" s="129">
        <v>0.390838739954398</v>
      </c>
      <c r="W55" s="129">
        <v>0</v>
      </c>
      <c r="X55" s="129">
        <v>16.3126218964819</v>
      </c>
      <c r="Y55" s="129">
        <v>0</v>
      </c>
      <c r="Z55" s="129">
        <v>0</v>
      </c>
      <c r="AA55" s="129">
        <v>182.786853596019</v>
      </c>
      <c r="AB55" s="129">
        <v>-24.789960488404098</v>
      </c>
      <c r="AC55" s="129">
        <v>0</v>
      </c>
      <c r="AD55" s="129">
        <v>17.3737465209901</v>
      </c>
      <c r="AE55" s="129">
        <v>0.40962551665889302</v>
      </c>
      <c r="AF55" s="129">
        <v>2.72382610204233</v>
      </c>
      <c r="AG55" s="129">
        <v>0</v>
      </c>
      <c r="AH55" s="129">
        <v>7.8155508230947603</v>
      </c>
      <c r="AI55" s="129">
        <v>0</v>
      </c>
      <c r="AJ55" s="129">
        <v>2.3700462836854399</v>
      </c>
      <c r="AK55" s="129">
        <v>20.077664443401201</v>
      </c>
      <c r="AL55" s="129">
        <v>0</v>
      </c>
      <c r="AM55" s="129">
        <v>219.706693346062</v>
      </c>
      <c r="AN55" s="129">
        <v>0</v>
      </c>
      <c r="AO55" s="129">
        <v>0</v>
      </c>
      <c r="AP55" s="129">
        <v>1.74024056579245E-12</v>
      </c>
      <c r="AQ55" s="129">
        <v>-18.6065796782602</v>
      </c>
      <c r="AR55" s="130">
        <v>4.3826819674920401</v>
      </c>
    </row>
    <row r="56" spans="2:44" ht="12" customHeight="1" x14ac:dyDescent="0.25">
      <c r="B56" s="128" t="s">
        <v>43</v>
      </c>
      <c r="C56" s="129" t="s">
        <v>93</v>
      </c>
      <c r="D56" s="129" t="s">
        <v>44</v>
      </c>
      <c r="E56" s="129" t="s">
        <v>25</v>
      </c>
      <c r="F56" s="129" t="s">
        <v>25</v>
      </c>
      <c r="G56" s="129" t="s">
        <v>25</v>
      </c>
      <c r="H56" s="129" t="s">
        <v>78</v>
      </c>
      <c r="I56" s="129" t="s">
        <v>25</v>
      </c>
      <c r="J56" s="129">
        <v>268.51</v>
      </c>
      <c r="K56" s="129">
        <v>235.75</v>
      </c>
      <c r="L56" s="129">
        <v>1.8387088982489399</v>
      </c>
      <c r="M56" s="129">
        <v>0.73935964368158502</v>
      </c>
      <c r="N56" s="129">
        <v>2.6765601342325498</v>
      </c>
      <c r="O56" s="129">
        <v>3.5358190920499799E-2</v>
      </c>
      <c r="P56" s="129">
        <v>0</v>
      </c>
      <c r="Q56" s="129">
        <v>32.864988556895703</v>
      </c>
      <c r="R56" s="129">
        <v>13.561869199915</v>
      </c>
      <c r="S56" s="129">
        <v>0</v>
      </c>
      <c r="T56" s="129">
        <v>16.957854242456001</v>
      </c>
      <c r="U56" s="129">
        <v>4.6240835479306801</v>
      </c>
      <c r="V56" s="129">
        <v>0.390838739954398</v>
      </c>
      <c r="W56" s="129">
        <v>0</v>
      </c>
      <c r="X56" s="129">
        <v>16.3126218964819</v>
      </c>
      <c r="Y56" s="129">
        <v>0</v>
      </c>
      <c r="Z56" s="129">
        <v>0</v>
      </c>
      <c r="AA56" s="129">
        <v>182.786853596019</v>
      </c>
      <c r="AB56" s="129">
        <v>-24.789960488404098</v>
      </c>
      <c r="AC56" s="129">
        <v>0</v>
      </c>
      <c r="AD56" s="129">
        <v>17.3737465209901</v>
      </c>
      <c r="AE56" s="129">
        <v>0.40962551665889302</v>
      </c>
      <c r="AF56" s="129">
        <v>2.72382610204233</v>
      </c>
      <c r="AG56" s="129">
        <v>0</v>
      </c>
      <c r="AH56" s="129">
        <v>7.8155508230947603</v>
      </c>
      <c r="AI56" s="129">
        <v>0</v>
      </c>
      <c r="AJ56" s="129">
        <v>2.3700462836854399</v>
      </c>
      <c r="AK56" s="129">
        <v>20.077664443401201</v>
      </c>
      <c r="AL56" s="129">
        <v>0</v>
      </c>
      <c r="AM56" s="129">
        <v>219.706693346062</v>
      </c>
      <c r="AN56" s="129">
        <v>0</v>
      </c>
      <c r="AO56" s="129">
        <v>0</v>
      </c>
      <c r="AP56" s="129">
        <v>1.74024056579245E-12</v>
      </c>
      <c r="AQ56" s="129">
        <v>-18.6065796782602</v>
      </c>
      <c r="AR56" s="130">
        <v>4.3826819674920401</v>
      </c>
    </row>
    <row r="57" spans="2:44" ht="12" customHeight="1" x14ac:dyDescent="0.25">
      <c r="B57" s="128" t="s">
        <v>43</v>
      </c>
      <c r="C57" s="129" t="s">
        <v>93</v>
      </c>
      <c r="D57" s="129" t="s">
        <v>44</v>
      </c>
      <c r="E57" s="129" t="s">
        <v>95</v>
      </c>
      <c r="F57" s="129" t="s">
        <v>25</v>
      </c>
      <c r="G57" s="129" t="s">
        <v>25</v>
      </c>
      <c r="H57" s="129" t="s">
        <v>78</v>
      </c>
      <c r="I57" s="129" t="s">
        <v>25</v>
      </c>
      <c r="J57" s="129">
        <v>262.79000000000002</v>
      </c>
      <c r="K57" s="129">
        <v>230.73</v>
      </c>
      <c r="L57" s="129">
        <v>1.79958743232875</v>
      </c>
      <c r="M57" s="129">
        <v>0.72362858743304104</v>
      </c>
      <c r="N57" s="129">
        <v>2.61961204627015</v>
      </c>
      <c r="O57" s="129">
        <v>3.4605888986021099E-2</v>
      </c>
      <c r="P57" s="129">
        <v>0</v>
      </c>
      <c r="Q57" s="129">
        <v>32.165733481217003</v>
      </c>
      <c r="R57" s="129">
        <v>13.273318791406201</v>
      </c>
      <c r="S57" s="129">
        <v>0</v>
      </c>
      <c r="T57" s="129">
        <v>16.597048833041999</v>
      </c>
      <c r="U57" s="129">
        <v>4.5256987915917302</v>
      </c>
      <c r="V57" s="129">
        <v>0.38252302208302802</v>
      </c>
      <c r="W57" s="129">
        <v>0</v>
      </c>
      <c r="X57" s="129">
        <v>15.965544834854599</v>
      </c>
      <c r="Y57" s="129">
        <v>0</v>
      </c>
      <c r="Z57" s="129">
        <v>0</v>
      </c>
      <c r="AA57" s="129">
        <v>178.89777160461401</v>
      </c>
      <c r="AB57" s="129">
        <v>-24.262514520565698</v>
      </c>
      <c r="AC57" s="129">
        <v>0</v>
      </c>
      <c r="AD57" s="129">
        <v>17.004092339692399</v>
      </c>
      <c r="AE57" s="129">
        <v>0.40091008013423601</v>
      </c>
      <c r="AF57" s="129">
        <v>2.6658723551903698</v>
      </c>
      <c r="AG57" s="129">
        <v>0</v>
      </c>
      <c r="AH57" s="129">
        <v>7.6492625077097598</v>
      </c>
      <c r="AI57" s="129">
        <v>0</v>
      </c>
      <c r="AJ57" s="129">
        <v>2.3196197670112899</v>
      </c>
      <c r="AK57" s="129">
        <v>19.650480093541599</v>
      </c>
      <c r="AL57" s="129">
        <v>0</v>
      </c>
      <c r="AM57" s="129">
        <v>215.032082849337</v>
      </c>
      <c r="AN57" s="129">
        <v>0</v>
      </c>
      <c r="AO57" s="129">
        <v>0</v>
      </c>
      <c r="AP57" s="129">
        <v>1.70321417077559E-12</v>
      </c>
      <c r="AQ57" s="129">
        <v>-18.210695004254699</v>
      </c>
      <c r="AR57" s="130">
        <v>4.2894334149922102</v>
      </c>
    </row>
    <row r="58" spans="2:44" ht="12" customHeight="1" x14ac:dyDescent="0.25">
      <c r="B58" s="128" t="s">
        <v>37</v>
      </c>
      <c r="C58" s="129" t="s">
        <v>33</v>
      </c>
      <c r="D58" s="129" t="s">
        <v>25</v>
      </c>
      <c r="E58" s="129" t="s">
        <v>25</v>
      </c>
      <c r="F58" s="129" t="s">
        <v>25</v>
      </c>
      <c r="G58" s="129" t="s">
        <v>34</v>
      </c>
      <c r="H58" s="129" t="s">
        <v>78</v>
      </c>
      <c r="I58" s="129" t="s">
        <v>25</v>
      </c>
      <c r="J58" s="129">
        <v>774.8</v>
      </c>
      <c r="K58" s="129">
        <v>385.47</v>
      </c>
      <c r="L58" s="129">
        <v>1.95607329600951</v>
      </c>
      <c r="M58" s="129">
        <v>0.78655281242721797</v>
      </c>
      <c r="N58" s="129">
        <v>8.2187079473762807</v>
      </c>
      <c r="O58" s="129">
        <v>3.7615096723936002E-2</v>
      </c>
      <c r="P58" s="129">
        <v>0</v>
      </c>
      <c r="Q58" s="129">
        <v>34.962753783931497</v>
      </c>
      <c r="R58" s="129">
        <v>14.4275204254415</v>
      </c>
      <c r="S58" s="129">
        <v>0</v>
      </c>
      <c r="T58" s="129">
        <v>58.631089240330503</v>
      </c>
      <c r="U58" s="129">
        <v>15.9876263008063</v>
      </c>
      <c r="V58" s="129">
        <v>1.3512236378518001</v>
      </c>
      <c r="W58" s="129">
        <v>0</v>
      </c>
      <c r="X58" s="129">
        <v>56.4001582211787</v>
      </c>
      <c r="Y58" s="129">
        <v>0</v>
      </c>
      <c r="Z58" s="129">
        <v>0</v>
      </c>
      <c r="AA58" s="129">
        <v>631.97588280898196</v>
      </c>
      <c r="AB58" s="129">
        <v>-71.7497262997517</v>
      </c>
      <c r="AC58" s="129">
        <v>0</v>
      </c>
      <c r="AD58" s="129">
        <v>18.482709064883</v>
      </c>
      <c r="AE58" s="129">
        <v>0.43577182623286498</v>
      </c>
      <c r="AF58" s="129">
        <v>2.8976873425982301</v>
      </c>
      <c r="AG58" s="129">
        <v>0</v>
      </c>
      <c r="AH58" s="129">
        <v>8.3144157692497398</v>
      </c>
      <c r="AI58" s="129">
        <v>0</v>
      </c>
      <c r="AJ58" s="129">
        <v>2.5213258337079201</v>
      </c>
      <c r="AK58" s="129">
        <v>21.3592174929801</v>
      </c>
      <c r="AL58" s="129">
        <v>0</v>
      </c>
      <c r="AM58" s="129">
        <v>379.26085162106199</v>
      </c>
      <c r="AN58" s="129">
        <v>0</v>
      </c>
      <c r="AO58" s="129">
        <v>0</v>
      </c>
      <c r="AP58" s="129">
        <v>1.8513197508430401E-12</v>
      </c>
      <c r="AQ58" s="129">
        <v>-30.6526719991781</v>
      </c>
      <c r="AR58" s="130">
        <v>4.6624276249915297</v>
      </c>
    </row>
    <row r="59" spans="2:44" ht="12" customHeight="1" x14ac:dyDescent="0.25">
      <c r="B59" s="128" t="s">
        <v>37</v>
      </c>
      <c r="C59" s="129" t="s">
        <v>33</v>
      </c>
      <c r="D59" s="129" t="s">
        <v>25</v>
      </c>
      <c r="E59" s="129" t="s">
        <v>25</v>
      </c>
      <c r="F59" s="129" t="s">
        <v>25</v>
      </c>
      <c r="G59" s="129" t="s">
        <v>36</v>
      </c>
      <c r="H59" s="129" t="s">
        <v>78</v>
      </c>
      <c r="I59" s="129" t="s">
        <v>25</v>
      </c>
      <c r="J59" s="129">
        <v>492.18</v>
      </c>
      <c r="K59" s="129">
        <v>238.55</v>
      </c>
      <c r="L59" s="129">
        <v>1.95607329600951</v>
      </c>
      <c r="M59" s="129">
        <v>0.78655281242721797</v>
      </c>
      <c r="N59" s="129">
        <v>5.1152891859981704</v>
      </c>
      <c r="O59" s="129">
        <v>3.7615096723936002E-2</v>
      </c>
      <c r="P59" s="129">
        <v>0</v>
      </c>
      <c r="Q59" s="129">
        <v>34.962753783931497</v>
      </c>
      <c r="R59" s="129">
        <v>14.4275204254415</v>
      </c>
      <c r="S59" s="129">
        <v>0</v>
      </c>
      <c r="T59" s="129">
        <v>35.178632523142099</v>
      </c>
      <c r="U59" s="129">
        <v>9.5925592371674906</v>
      </c>
      <c r="V59" s="129">
        <v>0.81071807946191199</v>
      </c>
      <c r="W59" s="129">
        <v>0</v>
      </c>
      <c r="X59" s="129">
        <v>33.840160071945697</v>
      </c>
      <c r="Y59" s="129">
        <v>0</v>
      </c>
      <c r="Z59" s="129">
        <v>0</v>
      </c>
      <c r="AA59" s="129">
        <v>379.18555336767901</v>
      </c>
      <c r="AB59" s="129">
        <v>-45.531666458462098</v>
      </c>
      <c r="AC59" s="129">
        <v>0</v>
      </c>
      <c r="AD59" s="129">
        <v>18.482709064883</v>
      </c>
      <c r="AE59" s="129">
        <v>0.43577182623286498</v>
      </c>
      <c r="AF59" s="129">
        <v>2.8976873425982301</v>
      </c>
      <c r="AG59" s="129">
        <v>0</v>
      </c>
      <c r="AH59" s="129">
        <v>8.3144157692497398</v>
      </c>
      <c r="AI59" s="129">
        <v>0</v>
      </c>
      <c r="AJ59" s="129">
        <v>2.5213258337079201</v>
      </c>
      <c r="AK59" s="129">
        <v>21.3592174929801</v>
      </c>
      <c r="AL59" s="129">
        <v>0</v>
      </c>
      <c r="AM59" s="129">
        <v>220.50049512852399</v>
      </c>
      <c r="AN59" s="129">
        <v>0</v>
      </c>
      <c r="AO59" s="129">
        <v>0</v>
      </c>
      <c r="AP59" s="129">
        <v>1.8513197508430401E-12</v>
      </c>
      <c r="AQ59" s="129">
        <v>-18.8071029458313</v>
      </c>
      <c r="AR59" s="130">
        <v>4.6624276249915297</v>
      </c>
    </row>
    <row r="60" spans="2:44" ht="12" customHeight="1" x14ac:dyDescent="0.25">
      <c r="B60" s="128" t="s">
        <v>37</v>
      </c>
      <c r="C60" s="129" t="s">
        <v>33</v>
      </c>
      <c r="D60" s="129" t="s">
        <v>25</v>
      </c>
      <c r="E60" s="129" t="s">
        <v>25</v>
      </c>
      <c r="F60" s="129" t="s">
        <v>25</v>
      </c>
      <c r="G60" s="129" t="s">
        <v>35</v>
      </c>
      <c r="H60" s="129" t="s">
        <v>78</v>
      </c>
      <c r="I60" s="129" t="s">
        <v>25</v>
      </c>
      <c r="J60" s="129">
        <v>209.55</v>
      </c>
      <c r="K60" s="129">
        <v>238.55</v>
      </c>
      <c r="L60" s="129">
        <v>1.95607329600951</v>
      </c>
      <c r="M60" s="129">
        <v>0.78655281242721797</v>
      </c>
      <c r="N60" s="129">
        <v>2.0118692534333502</v>
      </c>
      <c r="O60" s="129">
        <v>3.7615096723936002E-2</v>
      </c>
      <c r="P60" s="129">
        <v>0</v>
      </c>
      <c r="Q60" s="129">
        <v>34.962753783931497</v>
      </c>
      <c r="R60" s="129">
        <v>14.4275204254415</v>
      </c>
      <c r="S60" s="129">
        <v>0</v>
      </c>
      <c r="T60" s="129">
        <v>11.7261758059536</v>
      </c>
      <c r="U60" s="129">
        <v>3.1974921735286701</v>
      </c>
      <c r="V60" s="129">
        <v>0.27021252107202098</v>
      </c>
      <c r="W60" s="129">
        <v>0</v>
      </c>
      <c r="X60" s="129">
        <v>11.2800533573152</v>
      </c>
      <c r="Y60" s="129">
        <v>0</v>
      </c>
      <c r="Z60" s="129">
        <v>0</v>
      </c>
      <c r="AA60" s="129">
        <v>126.395223926376</v>
      </c>
      <c r="AB60" s="129">
        <v>-19.3135971187547</v>
      </c>
      <c r="AC60" s="129">
        <v>0</v>
      </c>
      <c r="AD60" s="129">
        <v>18.482709064883</v>
      </c>
      <c r="AE60" s="129">
        <v>0.43577182623286498</v>
      </c>
      <c r="AF60" s="129">
        <v>2.8976873425982301</v>
      </c>
      <c r="AG60" s="129">
        <v>0</v>
      </c>
      <c r="AH60" s="129">
        <v>8.3144157692497398</v>
      </c>
      <c r="AI60" s="129">
        <v>0</v>
      </c>
      <c r="AJ60" s="129">
        <v>2.5213258337079201</v>
      </c>
      <c r="AK60" s="129">
        <v>21.3592174929801</v>
      </c>
      <c r="AL60" s="129">
        <v>0</v>
      </c>
      <c r="AM60" s="129">
        <v>220.50049512852399</v>
      </c>
      <c r="AN60" s="129">
        <v>0</v>
      </c>
      <c r="AO60" s="129">
        <v>0</v>
      </c>
      <c r="AP60" s="129">
        <v>1.8513197508430401E-12</v>
      </c>
      <c r="AQ60" s="129">
        <v>-18.8071029458313</v>
      </c>
      <c r="AR60" s="130">
        <v>4.6624276249915297</v>
      </c>
    </row>
    <row r="61" spans="2:44" ht="12" customHeight="1" x14ac:dyDescent="0.25">
      <c r="B61" s="128" t="s">
        <v>37</v>
      </c>
      <c r="C61" s="129" t="s">
        <v>23</v>
      </c>
      <c r="D61" s="129" t="s">
        <v>25</v>
      </c>
      <c r="E61" s="129" t="s">
        <v>25</v>
      </c>
      <c r="F61" s="129" t="s">
        <v>25</v>
      </c>
      <c r="G61" s="129" t="s">
        <v>25</v>
      </c>
      <c r="H61" s="129" t="s">
        <v>78</v>
      </c>
      <c r="I61" s="129" t="s">
        <v>25</v>
      </c>
      <c r="J61" s="129">
        <v>285.64999999999998</v>
      </c>
      <c r="K61" s="129">
        <v>250.79</v>
      </c>
      <c r="L61" s="129">
        <v>1.95607329600951</v>
      </c>
      <c r="M61" s="129">
        <v>0.78655281242721797</v>
      </c>
      <c r="N61" s="129">
        <v>2.8474043981197301</v>
      </c>
      <c r="O61" s="129">
        <v>3.7615096723936002E-2</v>
      </c>
      <c r="P61" s="129">
        <v>0</v>
      </c>
      <c r="Q61" s="129">
        <v>34.962753783931497</v>
      </c>
      <c r="R61" s="129">
        <v>14.4275204254415</v>
      </c>
      <c r="S61" s="129">
        <v>0</v>
      </c>
      <c r="T61" s="129">
        <v>18.040270470697902</v>
      </c>
      <c r="U61" s="129">
        <v>4.9192378169475299</v>
      </c>
      <c r="V61" s="129">
        <v>0.41578589356850898</v>
      </c>
      <c r="W61" s="129">
        <v>0</v>
      </c>
      <c r="X61" s="129">
        <v>17.353853081363699</v>
      </c>
      <c r="Y61" s="129">
        <v>0</v>
      </c>
      <c r="Z61" s="129">
        <v>0</v>
      </c>
      <c r="AA61" s="129">
        <v>194.45409957023301</v>
      </c>
      <c r="AB61" s="129">
        <v>-26.372298391919198</v>
      </c>
      <c r="AC61" s="129">
        <v>0</v>
      </c>
      <c r="AD61" s="129">
        <v>18.482709064883</v>
      </c>
      <c r="AE61" s="129">
        <v>0.43577182623286498</v>
      </c>
      <c r="AF61" s="129">
        <v>2.8976873425982301</v>
      </c>
      <c r="AG61" s="129">
        <v>0</v>
      </c>
      <c r="AH61" s="129">
        <v>8.3144157692497398</v>
      </c>
      <c r="AI61" s="129">
        <v>0</v>
      </c>
      <c r="AJ61" s="129">
        <v>2.5213258337079201</v>
      </c>
      <c r="AK61" s="129">
        <v>21.3592174929801</v>
      </c>
      <c r="AL61" s="129">
        <v>0</v>
      </c>
      <c r="AM61" s="129">
        <v>233.73052483623599</v>
      </c>
      <c r="AN61" s="129">
        <v>0</v>
      </c>
      <c r="AO61" s="129">
        <v>0</v>
      </c>
      <c r="AP61" s="129">
        <v>1.8513197508430401E-12</v>
      </c>
      <c r="AQ61" s="129">
        <v>-19.794233700276799</v>
      </c>
      <c r="AR61" s="130">
        <v>4.6624276249915297</v>
      </c>
    </row>
    <row r="62" spans="2:44" ht="12" customHeight="1" x14ac:dyDescent="0.25">
      <c r="B62" s="128" t="s">
        <v>37</v>
      </c>
      <c r="C62" s="129" t="s">
        <v>93</v>
      </c>
      <c r="D62" s="129" t="s">
        <v>25</v>
      </c>
      <c r="E62" s="129" t="s">
        <v>25</v>
      </c>
      <c r="F62" s="129" t="s">
        <v>25</v>
      </c>
      <c r="G62" s="129" t="s">
        <v>25</v>
      </c>
      <c r="H62" s="129" t="s">
        <v>78</v>
      </c>
      <c r="I62" s="129" t="s">
        <v>25</v>
      </c>
      <c r="J62" s="129">
        <v>285.64999999999998</v>
      </c>
      <c r="K62" s="129">
        <v>250.79</v>
      </c>
      <c r="L62" s="129">
        <v>1.95607329600951</v>
      </c>
      <c r="M62" s="129">
        <v>0.78655281242721797</v>
      </c>
      <c r="N62" s="129">
        <v>2.8474043981197301</v>
      </c>
      <c r="O62" s="129">
        <v>3.7615096723936002E-2</v>
      </c>
      <c r="P62" s="129">
        <v>0</v>
      </c>
      <c r="Q62" s="129">
        <v>34.962753783931497</v>
      </c>
      <c r="R62" s="129">
        <v>14.4275204254415</v>
      </c>
      <c r="S62" s="129">
        <v>0</v>
      </c>
      <c r="T62" s="129">
        <v>18.040270470697902</v>
      </c>
      <c r="U62" s="129">
        <v>4.9192378169475299</v>
      </c>
      <c r="V62" s="129">
        <v>0.41578589356850898</v>
      </c>
      <c r="W62" s="129">
        <v>0</v>
      </c>
      <c r="X62" s="129">
        <v>17.353853081363699</v>
      </c>
      <c r="Y62" s="129">
        <v>0</v>
      </c>
      <c r="Z62" s="129">
        <v>0</v>
      </c>
      <c r="AA62" s="129">
        <v>194.45409957023301</v>
      </c>
      <c r="AB62" s="129">
        <v>-26.372298391919198</v>
      </c>
      <c r="AC62" s="129">
        <v>0</v>
      </c>
      <c r="AD62" s="129">
        <v>18.482709064883</v>
      </c>
      <c r="AE62" s="129">
        <v>0.43577182623286498</v>
      </c>
      <c r="AF62" s="129">
        <v>2.8976873425982301</v>
      </c>
      <c r="AG62" s="129">
        <v>0</v>
      </c>
      <c r="AH62" s="129">
        <v>8.3144157692497398</v>
      </c>
      <c r="AI62" s="129">
        <v>0</v>
      </c>
      <c r="AJ62" s="129">
        <v>2.5213258337079201</v>
      </c>
      <c r="AK62" s="129">
        <v>21.3592174929801</v>
      </c>
      <c r="AL62" s="129">
        <v>0</v>
      </c>
      <c r="AM62" s="129">
        <v>233.73052483623599</v>
      </c>
      <c r="AN62" s="129">
        <v>0</v>
      </c>
      <c r="AO62" s="129">
        <v>0</v>
      </c>
      <c r="AP62" s="129">
        <v>1.8513197508430401E-12</v>
      </c>
      <c r="AQ62" s="129">
        <v>-19.794233700276799</v>
      </c>
      <c r="AR62" s="130">
        <v>4.6624276249915297</v>
      </c>
    </row>
    <row r="63" spans="2:44" ht="12" customHeight="1" x14ac:dyDescent="0.25">
      <c r="B63" s="128" t="s">
        <v>46</v>
      </c>
      <c r="C63" s="129" t="s">
        <v>23</v>
      </c>
      <c r="D63" s="129" t="s">
        <v>47</v>
      </c>
      <c r="E63" s="129" t="s">
        <v>48</v>
      </c>
      <c r="F63" s="129" t="s">
        <v>25</v>
      </c>
      <c r="G63" s="129" t="s">
        <v>25</v>
      </c>
      <c r="H63" s="129" t="s">
        <v>78</v>
      </c>
      <c r="I63" s="129" t="s">
        <v>25</v>
      </c>
      <c r="J63" s="129">
        <v>157.1</v>
      </c>
      <c r="K63" s="129">
        <v>137.94</v>
      </c>
      <c r="L63" s="129">
        <v>1.0758403128052301</v>
      </c>
      <c r="M63" s="129">
        <v>0.43260404683497</v>
      </c>
      <c r="N63" s="129">
        <v>1.5660724189658499</v>
      </c>
      <c r="O63" s="129">
        <v>2.0688303198164799E-2</v>
      </c>
      <c r="P63" s="129">
        <v>0</v>
      </c>
      <c r="Q63" s="129">
        <v>19.229514581162402</v>
      </c>
      <c r="R63" s="129">
        <v>7.9351362339928198</v>
      </c>
      <c r="S63" s="129">
        <v>0</v>
      </c>
      <c r="T63" s="129">
        <v>9.9221487588838304</v>
      </c>
      <c r="U63" s="129">
        <v>2.7055807993211398</v>
      </c>
      <c r="V63" s="129">
        <v>0.22868224146268001</v>
      </c>
      <c r="W63" s="129">
        <v>0</v>
      </c>
      <c r="X63" s="129">
        <v>9.5446191947500196</v>
      </c>
      <c r="Y63" s="129">
        <v>0</v>
      </c>
      <c r="Z63" s="129">
        <v>0</v>
      </c>
      <c r="AA63" s="129">
        <v>106.94975476362799</v>
      </c>
      <c r="AB63" s="129">
        <v>-14.5047641155556</v>
      </c>
      <c r="AC63" s="129">
        <v>0</v>
      </c>
      <c r="AD63" s="129">
        <v>10.165489985685699</v>
      </c>
      <c r="AE63" s="129">
        <v>0.239674504428076</v>
      </c>
      <c r="AF63" s="129">
        <v>1.59372803842902</v>
      </c>
      <c r="AG63" s="129">
        <v>0</v>
      </c>
      <c r="AH63" s="129">
        <v>4.5729286730873602</v>
      </c>
      <c r="AI63" s="129">
        <v>0</v>
      </c>
      <c r="AJ63" s="129">
        <v>1.3867292085393601</v>
      </c>
      <c r="AK63" s="129">
        <v>11.747569621139</v>
      </c>
      <c r="AL63" s="129">
        <v>0</v>
      </c>
      <c r="AM63" s="129">
        <v>128.55178865993</v>
      </c>
      <c r="AN63" s="129">
        <v>0</v>
      </c>
      <c r="AO63" s="129">
        <v>0</v>
      </c>
      <c r="AP63" s="129">
        <v>1.0182258629636699E-12</v>
      </c>
      <c r="AQ63" s="129">
        <v>-10.886828535152301</v>
      </c>
      <c r="AR63" s="130">
        <v>2.56433519374534</v>
      </c>
    </row>
    <row r="64" spans="2:44" ht="12" customHeight="1" x14ac:dyDescent="0.25">
      <c r="B64" s="131" t="s">
        <v>46</v>
      </c>
      <c r="C64" s="132" t="s">
        <v>23</v>
      </c>
      <c r="D64" s="132" t="s">
        <v>47</v>
      </c>
      <c r="E64" s="132" t="s">
        <v>96</v>
      </c>
      <c r="F64" s="132" t="s">
        <v>25</v>
      </c>
      <c r="G64" s="132" t="s">
        <v>25</v>
      </c>
      <c r="H64" s="132" t="s">
        <v>78</v>
      </c>
      <c r="I64" s="132" t="s">
        <v>25</v>
      </c>
      <c r="J64" s="132">
        <v>171.39</v>
      </c>
      <c r="K64" s="132">
        <v>150.47999999999999</v>
      </c>
      <c r="L64" s="132">
        <v>1.1736439776057099</v>
      </c>
      <c r="M64" s="132">
        <v>0.47193168745633102</v>
      </c>
      <c r="N64" s="132">
        <v>1.7084426388718399</v>
      </c>
      <c r="O64" s="132">
        <v>2.25690580343616E-2</v>
      </c>
      <c r="P64" s="132">
        <v>0</v>
      </c>
      <c r="Q64" s="132">
        <v>20.977652270358899</v>
      </c>
      <c r="R64" s="132">
        <v>8.6565122552648894</v>
      </c>
      <c r="S64" s="132">
        <v>0</v>
      </c>
      <c r="T64" s="132">
        <v>10.824162282418699</v>
      </c>
      <c r="U64" s="132">
        <v>2.95154269016852</v>
      </c>
      <c r="V64" s="132">
        <v>0.24947153614110501</v>
      </c>
      <c r="W64" s="132">
        <v>0</v>
      </c>
      <c r="X64" s="132">
        <v>10.4123118488182</v>
      </c>
      <c r="Y64" s="132">
        <v>0</v>
      </c>
      <c r="Z64" s="132">
        <v>0</v>
      </c>
      <c r="AA64" s="132">
        <v>116.67245974214001</v>
      </c>
      <c r="AB64" s="132">
        <v>-15.8233790351515</v>
      </c>
      <c r="AC64" s="132">
        <v>0</v>
      </c>
      <c r="AD64" s="132">
        <v>11.089625438929801</v>
      </c>
      <c r="AE64" s="132">
        <v>0.26146309573971899</v>
      </c>
      <c r="AF64" s="132">
        <v>1.73861240555894</v>
      </c>
      <c r="AG64" s="132">
        <v>0</v>
      </c>
      <c r="AH64" s="132">
        <v>4.9886494615498398</v>
      </c>
      <c r="AI64" s="132">
        <v>0</v>
      </c>
      <c r="AJ64" s="132">
        <v>1.51279550022475</v>
      </c>
      <c r="AK64" s="132">
        <v>12.815530495788</v>
      </c>
      <c r="AL64" s="132">
        <v>0</v>
      </c>
      <c r="AM64" s="132">
        <v>140.238314901742</v>
      </c>
      <c r="AN64" s="132">
        <v>0</v>
      </c>
      <c r="AO64" s="132">
        <v>0</v>
      </c>
      <c r="AP64" s="132">
        <v>1.1107918505058199E-12</v>
      </c>
      <c r="AQ64" s="132">
        <v>-11.876540220166101</v>
      </c>
      <c r="AR64" s="133">
        <v>2.7974565749949201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CF878-E74E-4F56-A2B0-2DDC4A023EAF}">
  <dimension ref="B1:AR64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3" bestFit="1" customWidth="1"/>
    <col min="11" max="11" width="10.28515625" bestFit="1" customWidth="1"/>
    <col min="12" max="12" width="19.42578125" bestFit="1" customWidth="1"/>
    <col min="13" max="13" width="14.140625" bestFit="1" customWidth="1"/>
    <col min="14" max="14" width="12.7109375" bestFit="1" customWidth="1"/>
    <col min="15" max="15" width="13" bestFit="1" customWidth="1"/>
    <col min="16" max="17" width="12.5703125" bestFit="1" customWidth="1"/>
    <col min="18" max="18" width="17.28515625" bestFit="1" customWidth="1"/>
    <col min="19" max="19" width="11" bestFit="1" customWidth="1"/>
    <col min="20" max="21" width="12.140625" bestFit="1" customWidth="1"/>
    <col min="22" max="22" width="12.42578125" bestFit="1" customWidth="1"/>
    <col min="23" max="23" width="12.7109375" bestFit="1" customWidth="1"/>
    <col min="24" max="24" width="14" bestFit="1" customWidth="1"/>
    <col min="25" max="25" width="11.5703125" bestFit="1" customWidth="1"/>
    <col min="26" max="26" width="14.42578125" bestFit="1" customWidth="1"/>
    <col min="27" max="27" width="13" bestFit="1" customWidth="1"/>
    <col min="28" max="28" width="16.28515625" bestFit="1" customWidth="1"/>
    <col min="29" max="29" width="14.5703125" bestFit="1" customWidth="1"/>
    <col min="30" max="30" width="12.140625" bestFit="1" customWidth="1"/>
    <col min="31" max="31" width="17.85546875" bestFit="1" customWidth="1"/>
    <col min="32" max="32" width="12.7109375" bestFit="1" customWidth="1"/>
    <col min="33" max="33" width="10.85546875" bestFit="1" customWidth="1"/>
    <col min="34" max="34" width="16.7109375" bestFit="1" customWidth="1"/>
    <col min="35" max="35" width="14.7109375" bestFit="1" customWidth="1"/>
    <col min="36" max="36" width="12.140625" bestFit="1" customWidth="1"/>
    <col min="37" max="37" width="12.7109375" bestFit="1" customWidth="1"/>
    <col min="38" max="38" width="12.42578125" bestFit="1" customWidth="1"/>
    <col min="39" max="39" width="14.28515625" bestFit="1" customWidth="1"/>
    <col min="40" max="40" width="25.42578125" bestFit="1" customWidth="1"/>
    <col min="41" max="41" width="18" bestFit="1" customWidth="1"/>
    <col min="42" max="42" width="14.140625" bestFit="1" customWidth="1"/>
    <col min="43" max="43" width="13.42578125" bestFit="1" customWidth="1"/>
    <col min="44" max="44" width="12.7109375" bestFit="1" customWidth="1"/>
  </cols>
  <sheetData>
    <row r="1" spans="2:44" ht="12" customHeight="1" x14ac:dyDescent="0.25">
      <c r="L1" s="134" t="s">
        <v>1430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5"/>
      <c r="AH1" s="134" t="s">
        <v>1431</v>
      </c>
      <c r="AI1" s="134"/>
      <c r="AJ1" s="134"/>
      <c r="AK1" s="134"/>
      <c r="AL1" s="134"/>
      <c r="AM1" s="134"/>
      <c r="AN1" s="134"/>
      <c r="AO1" s="134"/>
      <c r="AP1" s="134"/>
      <c r="AQ1" s="134"/>
      <c r="AR1" s="134"/>
    </row>
    <row r="2" spans="2:44" ht="12" customHeight="1" x14ac:dyDescent="0.25">
      <c r="L2" s="136" t="s">
        <v>717</v>
      </c>
      <c r="M2" s="136"/>
      <c r="N2" s="136"/>
      <c r="O2" s="136"/>
      <c r="P2" s="136"/>
      <c r="Q2" s="136"/>
      <c r="R2" s="136"/>
      <c r="S2" s="137"/>
      <c r="T2" s="136" t="s">
        <v>726</v>
      </c>
      <c r="U2" s="136"/>
      <c r="V2" s="136"/>
      <c r="W2" s="136"/>
      <c r="X2" s="136"/>
      <c r="Y2" s="136"/>
      <c r="Z2" s="137"/>
      <c r="AA2" s="138" t="s">
        <v>734</v>
      </c>
      <c r="AB2" s="136" t="s">
        <v>25</v>
      </c>
      <c r="AC2" s="137"/>
      <c r="AD2" s="136" t="s">
        <v>1429</v>
      </c>
      <c r="AE2" s="136"/>
      <c r="AF2" s="136"/>
      <c r="AG2" s="137"/>
      <c r="AH2" s="136" t="s">
        <v>717</v>
      </c>
      <c r="AI2" s="136"/>
      <c r="AJ2" s="136"/>
      <c r="AK2" s="136"/>
      <c r="AL2" s="137"/>
      <c r="AM2" s="138" t="s">
        <v>747</v>
      </c>
      <c r="AN2" s="136" t="s">
        <v>726</v>
      </c>
      <c r="AO2" s="136"/>
      <c r="AP2" s="136"/>
      <c r="AQ2" s="137"/>
      <c r="AR2" s="139" t="s">
        <v>1429</v>
      </c>
    </row>
    <row r="3" spans="2:44" ht="12" customHeight="1" x14ac:dyDescent="0.25">
      <c r="B3" s="125" t="s">
        <v>68</v>
      </c>
      <c r="C3" s="126" t="s">
        <v>69</v>
      </c>
      <c r="D3" s="126" t="s">
        <v>70</v>
      </c>
      <c r="E3" s="126" t="s">
        <v>71</v>
      </c>
      <c r="F3" s="126" t="s">
        <v>72</v>
      </c>
      <c r="G3" s="126" t="s">
        <v>74</v>
      </c>
      <c r="H3" s="126" t="s">
        <v>75</v>
      </c>
      <c r="I3" s="126" t="s">
        <v>989</v>
      </c>
      <c r="J3" s="126" t="s">
        <v>1393</v>
      </c>
      <c r="K3" s="126" t="s">
        <v>1394</v>
      </c>
      <c r="L3" s="126" t="s">
        <v>1395</v>
      </c>
      <c r="M3" s="126" t="s">
        <v>1396</v>
      </c>
      <c r="N3" s="126" t="s">
        <v>1397</v>
      </c>
      <c r="O3" s="126" t="s">
        <v>1398</v>
      </c>
      <c r="P3" s="126" t="s">
        <v>1399</v>
      </c>
      <c r="Q3" s="126" t="s">
        <v>1400</v>
      </c>
      <c r="R3" s="126" t="s">
        <v>1401</v>
      </c>
      <c r="S3" s="126" t="s">
        <v>1402</v>
      </c>
      <c r="T3" s="126" t="s">
        <v>1403</v>
      </c>
      <c r="U3" s="126" t="s">
        <v>1404</v>
      </c>
      <c r="V3" s="126" t="s">
        <v>1405</v>
      </c>
      <c r="W3" s="126" t="s">
        <v>1406</v>
      </c>
      <c r="X3" s="126" t="s">
        <v>1407</v>
      </c>
      <c r="Y3" s="126" t="s">
        <v>1408</v>
      </c>
      <c r="Z3" s="126" t="s">
        <v>1409</v>
      </c>
      <c r="AA3" s="126" t="s">
        <v>1410</v>
      </c>
      <c r="AB3" s="126" t="s">
        <v>1411</v>
      </c>
      <c r="AC3" s="126" t="s">
        <v>1412</v>
      </c>
      <c r="AD3" s="126" t="s">
        <v>1413</v>
      </c>
      <c r="AE3" s="126" t="s">
        <v>1414</v>
      </c>
      <c r="AF3" s="126" t="s">
        <v>1415</v>
      </c>
      <c r="AG3" s="126" t="s">
        <v>1416</v>
      </c>
      <c r="AH3" s="126" t="s">
        <v>1417</v>
      </c>
      <c r="AI3" s="126" t="s">
        <v>1418</v>
      </c>
      <c r="AJ3" s="126" t="s">
        <v>1419</v>
      </c>
      <c r="AK3" s="126" t="s">
        <v>1420</v>
      </c>
      <c r="AL3" s="126" t="s">
        <v>1421</v>
      </c>
      <c r="AM3" s="126" t="s">
        <v>1422</v>
      </c>
      <c r="AN3" s="126" t="s">
        <v>1423</v>
      </c>
      <c r="AO3" s="126" t="s">
        <v>1424</v>
      </c>
      <c r="AP3" s="126" t="s">
        <v>1425</v>
      </c>
      <c r="AQ3" s="126" t="s">
        <v>1426</v>
      </c>
      <c r="AR3" s="127" t="s">
        <v>1427</v>
      </c>
    </row>
    <row r="4" spans="2:44" ht="12" customHeight="1" x14ac:dyDescent="0.25">
      <c r="B4" s="128" t="s">
        <v>56</v>
      </c>
      <c r="C4" s="129" t="s">
        <v>40</v>
      </c>
      <c r="D4" s="129" t="s">
        <v>25</v>
      </c>
      <c r="E4" s="129" t="s">
        <v>25</v>
      </c>
      <c r="F4" s="129" t="s">
        <v>85</v>
      </c>
      <c r="G4" s="129" t="s">
        <v>34</v>
      </c>
      <c r="H4" s="129" t="s">
        <v>78</v>
      </c>
      <c r="I4" s="129" t="s">
        <v>25</v>
      </c>
      <c r="J4" s="129">
        <v>3.65</v>
      </c>
      <c r="K4" s="129">
        <v>0</v>
      </c>
      <c r="L4" s="129">
        <v>0</v>
      </c>
      <c r="M4" s="129">
        <v>5.7074783652823202E-2</v>
      </c>
      <c r="N4" s="129">
        <v>8.7927837715222903E-2</v>
      </c>
      <c r="O4" s="129">
        <v>3.9888958600875997E-2</v>
      </c>
      <c r="P4" s="129">
        <v>0</v>
      </c>
      <c r="Q4" s="129">
        <v>0</v>
      </c>
      <c r="R4" s="129">
        <v>0</v>
      </c>
      <c r="S4" s="129">
        <v>0</v>
      </c>
      <c r="T4" s="129">
        <v>0</v>
      </c>
      <c r="U4" s="129">
        <v>0</v>
      </c>
      <c r="V4" s="129">
        <v>0</v>
      </c>
      <c r="W4" s="129">
        <v>0</v>
      </c>
      <c r="X4" s="129">
        <v>0</v>
      </c>
      <c r="Y4" s="129">
        <v>0</v>
      </c>
      <c r="Z4" s="129">
        <v>0</v>
      </c>
      <c r="AA4" s="129">
        <v>0</v>
      </c>
      <c r="AB4" s="129">
        <v>0</v>
      </c>
      <c r="AC4" s="129">
        <v>0</v>
      </c>
      <c r="AD4" s="129">
        <v>2.7492387065841899</v>
      </c>
      <c r="AE4" s="129">
        <v>6.48195439160235E-2</v>
      </c>
      <c r="AF4" s="129">
        <v>0.652136426585888</v>
      </c>
      <c r="AG4" s="129">
        <v>0</v>
      </c>
      <c r="AH4" s="129">
        <v>0</v>
      </c>
      <c r="AI4" s="129">
        <v>0</v>
      </c>
      <c r="AJ4" s="129">
        <v>0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  <c r="AQ4" s="129">
        <v>0</v>
      </c>
      <c r="AR4" s="130">
        <v>0</v>
      </c>
    </row>
    <row r="5" spans="2:44" ht="12" customHeight="1" x14ac:dyDescent="0.25">
      <c r="B5" s="128" t="s">
        <v>56</v>
      </c>
      <c r="C5" s="129" t="s">
        <v>40</v>
      </c>
      <c r="D5" s="129" t="s">
        <v>25</v>
      </c>
      <c r="E5" s="129" t="s">
        <v>25</v>
      </c>
      <c r="F5" s="129" t="s">
        <v>85</v>
      </c>
      <c r="G5" s="129" t="s">
        <v>34</v>
      </c>
      <c r="H5" s="129" t="s">
        <v>81</v>
      </c>
      <c r="I5" s="129" t="s">
        <v>25</v>
      </c>
      <c r="J5" s="129">
        <v>12.63</v>
      </c>
      <c r="K5" s="129">
        <v>0</v>
      </c>
      <c r="L5" s="129">
        <v>0</v>
      </c>
      <c r="M5" s="129">
        <v>0</v>
      </c>
      <c r="N5" s="129">
        <v>0</v>
      </c>
      <c r="O5" s="129">
        <v>0</v>
      </c>
      <c r="P5" s="129">
        <v>0</v>
      </c>
      <c r="Q5" s="129">
        <v>0</v>
      </c>
      <c r="R5" s="129">
        <v>0</v>
      </c>
      <c r="S5" s="129">
        <v>0</v>
      </c>
      <c r="T5" s="129">
        <v>4.0470247607757504</v>
      </c>
      <c r="U5" s="129">
        <v>1.10072588568464</v>
      </c>
      <c r="V5" s="129">
        <v>9.9582492867066497E-2</v>
      </c>
      <c r="W5" s="129">
        <v>0</v>
      </c>
      <c r="X5" s="129">
        <v>4.8457003834632602</v>
      </c>
      <c r="Y5" s="129">
        <v>0</v>
      </c>
      <c r="Z5" s="129">
        <v>0</v>
      </c>
      <c r="AA5" s="129">
        <v>2.5359834698802302</v>
      </c>
      <c r="AB5" s="129">
        <v>0</v>
      </c>
      <c r="AC5" s="129">
        <v>0</v>
      </c>
      <c r="AD5" s="129">
        <v>0</v>
      </c>
      <c r="AE5" s="129">
        <v>0</v>
      </c>
      <c r="AF5" s="129">
        <v>0</v>
      </c>
      <c r="AG5" s="129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30">
        <v>0</v>
      </c>
    </row>
    <row r="6" spans="2:44" ht="12" customHeight="1" x14ac:dyDescent="0.25">
      <c r="B6" s="128" t="s">
        <v>56</v>
      </c>
      <c r="C6" s="129" t="s">
        <v>40</v>
      </c>
      <c r="D6" s="129" t="s">
        <v>25</v>
      </c>
      <c r="E6" s="129" t="s">
        <v>25</v>
      </c>
      <c r="F6" s="129" t="s">
        <v>85</v>
      </c>
      <c r="G6" s="129" t="s">
        <v>35</v>
      </c>
      <c r="H6" s="129" t="s">
        <v>78</v>
      </c>
      <c r="I6" s="129" t="s">
        <v>25</v>
      </c>
      <c r="J6" s="129">
        <v>3.65</v>
      </c>
      <c r="K6" s="129">
        <v>0</v>
      </c>
      <c r="L6" s="129">
        <v>0</v>
      </c>
      <c r="M6" s="129">
        <v>5.7074783652823202E-2</v>
      </c>
      <c r="N6" s="129">
        <v>8.7927837715222903E-2</v>
      </c>
      <c r="O6" s="129">
        <v>3.9888958600875997E-2</v>
      </c>
      <c r="P6" s="129">
        <v>0</v>
      </c>
      <c r="Q6" s="129">
        <v>0</v>
      </c>
      <c r="R6" s="129">
        <v>0</v>
      </c>
      <c r="S6" s="129">
        <v>0</v>
      </c>
      <c r="T6" s="129">
        <v>0</v>
      </c>
      <c r="U6" s="129">
        <v>0</v>
      </c>
      <c r="V6" s="129">
        <v>0</v>
      </c>
      <c r="W6" s="129">
        <v>0</v>
      </c>
      <c r="X6" s="129">
        <v>0</v>
      </c>
      <c r="Y6" s="129">
        <v>0</v>
      </c>
      <c r="Z6" s="129">
        <v>0</v>
      </c>
      <c r="AA6" s="129">
        <v>0</v>
      </c>
      <c r="AB6" s="129">
        <v>0</v>
      </c>
      <c r="AC6" s="129">
        <v>0</v>
      </c>
      <c r="AD6" s="129">
        <v>2.7492387065841899</v>
      </c>
      <c r="AE6" s="129">
        <v>6.48195439160235E-2</v>
      </c>
      <c r="AF6" s="129">
        <v>0.652136426585888</v>
      </c>
      <c r="AG6" s="129">
        <v>0</v>
      </c>
      <c r="AH6" s="129">
        <v>0</v>
      </c>
      <c r="AI6" s="129">
        <v>0</v>
      </c>
      <c r="AJ6" s="129">
        <v>0</v>
      </c>
      <c r="AK6" s="129">
        <v>0</v>
      </c>
      <c r="AL6" s="129">
        <v>0</v>
      </c>
      <c r="AM6" s="129">
        <v>0</v>
      </c>
      <c r="AN6" s="129">
        <v>0</v>
      </c>
      <c r="AO6" s="129">
        <v>0</v>
      </c>
      <c r="AP6" s="129">
        <v>0</v>
      </c>
      <c r="AQ6" s="129">
        <v>0</v>
      </c>
      <c r="AR6" s="130">
        <v>0</v>
      </c>
    </row>
    <row r="7" spans="2:44" ht="12" customHeight="1" x14ac:dyDescent="0.25">
      <c r="B7" s="128" t="s">
        <v>56</v>
      </c>
      <c r="C7" s="129" t="s">
        <v>40</v>
      </c>
      <c r="D7" s="129" t="s">
        <v>25</v>
      </c>
      <c r="E7" s="129" t="s">
        <v>25</v>
      </c>
      <c r="F7" s="129" t="s">
        <v>85</v>
      </c>
      <c r="G7" s="129" t="s">
        <v>35</v>
      </c>
      <c r="H7" s="129" t="s">
        <v>81</v>
      </c>
      <c r="I7" s="129" t="s">
        <v>25</v>
      </c>
      <c r="J7" s="129">
        <v>5.99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29">
        <v>0</v>
      </c>
      <c r="T7" s="129">
        <v>3.1004206670125898</v>
      </c>
      <c r="U7" s="129">
        <v>0.85257956680109503</v>
      </c>
      <c r="V7" s="129">
        <v>7.4268185171880802E-2</v>
      </c>
      <c r="W7" s="129">
        <v>0</v>
      </c>
      <c r="X7" s="129">
        <v>1.6414615999195299</v>
      </c>
      <c r="Y7" s="129">
        <v>0</v>
      </c>
      <c r="Z7" s="129">
        <v>0</v>
      </c>
      <c r="AA7" s="129">
        <v>0.32123982459390998</v>
      </c>
      <c r="AB7" s="129">
        <v>0</v>
      </c>
      <c r="AC7" s="129">
        <v>0</v>
      </c>
      <c r="AD7" s="129">
        <v>0</v>
      </c>
      <c r="AE7" s="129">
        <v>0</v>
      </c>
      <c r="AF7" s="129">
        <v>0</v>
      </c>
      <c r="AG7" s="129">
        <v>0</v>
      </c>
      <c r="AH7" s="129">
        <v>0</v>
      </c>
      <c r="AI7" s="129">
        <v>0</v>
      </c>
      <c r="AJ7" s="129">
        <v>0</v>
      </c>
      <c r="AK7" s="129">
        <v>0</v>
      </c>
      <c r="AL7" s="129">
        <v>0</v>
      </c>
      <c r="AM7" s="129">
        <v>0</v>
      </c>
      <c r="AN7" s="129">
        <v>0</v>
      </c>
      <c r="AO7" s="129">
        <v>0</v>
      </c>
      <c r="AP7" s="129">
        <v>0</v>
      </c>
      <c r="AQ7" s="129">
        <v>0</v>
      </c>
      <c r="AR7" s="130">
        <v>0</v>
      </c>
    </row>
    <row r="8" spans="2:44" ht="12" customHeight="1" x14ac:dyDescent="0.25">
      <c r="B8" s="128" t="s">
        <v>56</v>
      </c>
      <c r="C8" s="129" t="s">
        <v>40</v>
      </c>
      <c r="D8" s="129" t="s">
        <v>25</v>
      </c>
      <c r="E8" s="129" t="s">
        <v>25</v>
      </c>
      <c r="F8" s="129" t="s">
        <v>25</v>
      </c>
      <c r="G8" s="129" t="s">
        <v>34</v>
      </c>
      <c r="H8" s="129" t="s">
        <v>78</v>
      </c>
      <c r="I8" s="129" t="s">
        <v>25</v>
      </c>
      <c r="J8" s="129">
        <v>41.5</v>
      </c>
      <c r="K8" s="129">
        <v>370.4</v>
      </c>
      <c r="L8" s="129">
        <v>1.1330329805261901</v>
      </c>
      <c r="M8" s="129">
        <v>5.7074783652823202E-2</v>
      </c>
      <c r="N8" s="129">
        <v>9.9639704886598401E-2</v>
      </c>
      <c r="O8" s="129">
        <v>3.9888958600875997E-2</v>
      </c>
      <c r="P8" s="129">
        <v>0</v>
      </c>
      <c r="Q8" s="129">
        <v>22.3305516529757</v>
      </c>
      <c r="R8" s="129">
        <v>14.370155340998</v>
      </c>
      <c r="S8" s="129">
        <v>0</v>
      </c>
      <c r="T8" s="129">
        <v>0</v>
      </c>
      <c r="U8" s="129">
        <v>0</v>
      </c>
      <c r="V8" s="129">
        <v>0</v>
      </c>
      <c r="W8" s="129">
        <v>0</v>
      </c>
      <c r="X8" s="129">
        <v>0</v>
      </c>
      <c r="Y8" s="129">
        <v>0</v>
      </c>
      <c r="Z8" s="129">
        <v>0</v>
      </c>
      <c r="AA8" s="129">
        <v>0</v>
      </c>
      <c r="AB8" s="129">
        <v>0</v>
      </c>
      <c r="AC8" s="129">
        <v>0</v>
      </c>
      <c r="AD8" s="129">
        <v>2.7492387065841899</v>
      </c>
      <c r="AE8" s="129">
        <v>6.48195439160235E-2</v>
      </c>
      <c r="AF8" s="129">
        <v>0.652136426585888</v>
      </c>
      <c r="AG8" s="129">
        <v>0</v>
      </c>
      <c r="AH8" s="129">
        <v>7.6605309289669696</v>
      </c>
      <c r="AI8" s="129">
        <v>0</v>
      </c>
      <c r="AJ8" s="129">
        <v>2.5213258337079201</v>
      </c>
      <c r="AK8" s="129">
        <v>14.0711603556282</v>
      </c>
      <c r="AL8" s="129">
        <v>0</v>
      </c>
      <c r="AM8" s="129">
        <v>341.94811742950702</v>
      </c>
      <c r="AN8" s="129">
        <v>0</v>
      </c>
      <c r="AO8" s="129">
        <v>0</v>
      </c>
      <c r="AP8" s="129">
        <v>1.8513197508430401E-12</v>
      </c>
      <c r="AQ8" s="129">
        <v>0</v>
      </c>
      <c r="AR8" s="130">
        <v>4.20372506733211</v>
      </c>
    </row>
    <row r="9" spans="2:44" ht="12" customHeight="1" x14ac:dyDescent="0.25">
      <c r="B9" s="128" t="s">
        <v>56</v>
      </c>
      <c r="C9" s="129" t="s">
        <v>40</v>
      </c>
      <c r="D9" s="129" t="s">
        <v>25</v>
      </c>
      <c r="E9" s="129" t="s">
        <v>25</v>
      </c>
      <c r="F9" s="129" t="s">
        <v>25</v>
      </c>
      <c r="G9" s="129" t="s">
        <v>34</v>
      </c>
      <c r="H9" s="129" t="s">
        <v>81</v>
      </c>
      <c r="I9" s="129" t="s">
        <v>25</v>
      </c>
      <c r="J9" s="129">
        <v>12.63</v>
      </c>
      <c r="K9" s="129">
        <v>0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0</v>
      </c>
      <c r="S9" s="129">
        <v>0</v>
      </c>
      <c r="T9" s="129">
        <v>4.0470247607757504</v>
      </c>
      <c r="U9" s="129">
        <v>1.10072588568464</v>
      </c>
      <c r="V9" s="129">
        <v>9.9582492867066497E-2</v>
      </c>
      <c r="W9" s="129">
        <v>0</v>
      </c>
      <c r="X9" s="129">
        <v>4.8457003834632602</v>
      </c>
      <c r="Y9" s="129">
        <v>0</v>
      </c>
      <c r="Z9" s="129">
        <v>0</v>
      </c>
      <c r="AA9" s="129">
        <v>2.5359834698802302</v>
      </c>
      <c r="AB9" s="129">
        <v>0</v>
      </c>
      <c r="AC9" s="129">
        <v>0</v>
      </c>
      <c r="AD9" s="129">
        <v>0</v>
      </c>
      <c r="AE9" s="129">
        <v>0</v>
      </c>
      <c r="AF9" s="129">
        <v>0</v>
      </c>
      <c r="AG9" s="129">
        <v>0</v>
      </c>
      <c r="AH9" s="129">
        <v>0</v>
      </c>
      <c r="AI9" s="129">
        <v>0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30">
        <v>0</v>
      </c>
    </row>
    <row r="10" spans="2:44" ht="12" customHeight="1" x14ac:dyDescent="0.25">
      <c r="B10" s="128" t="s">
        <v>56</v>
      </c>
      <c r="C10" s="129" t="s">
        <v>40</v>
      </c>
      <c r="D10" s="129" t="s">
        <v>25</v>
      </c>
      <c r="E10" s="129" t="s">
        <v>25</v>
      </c>
      <c r="F10" s="129" t="s">
        <v>25</v>
      </c>
      <c r="G10" s="129" t="s">
        <v>35</v>
      </c>
      <c r="H10" s="129" t="s">
        <v>78</v>
      </c>
      <c r="I10" s="129" t="s">
        <v>25</v>
      </c>
      <c r="J10" s="129">
        <v>41.5</v>
      </c>
      <c r="K10" s="129">
        <v>227.26</v>
      </c>
      <c r="L10" s="129">
        <v>1.1330329805261901</v>
      </c>
      <c r="M10" s="129">
        <v>5.7074783652823202E-2</v>
      </c>
      <c r="N10" s="129">
        <v>9.9639704886598401E-2</v>
      </c>
      <c r="O10" s="129">
        <v>3.9888958600875997E-2</v>
      </c>
      <c r="P10" s="129">
        <v>0</v>
      </c>
      <c r="Q10" s="129">
        <v>22.3305516529757</v>
      </c>
      <c r="R10" s="129">
        <v>14.370155340998</v>
      </c>
      <c r="S10" s="129">
        <v>0</v>
      </c>
      <c r="T10" s="129">
        <v>0</v>
      </c>
      <c r="U10" s="129">
        <v>0</v>
      </c>
      <c r="V10" s="129">
        <v>0</v>
      </c>
      <c r="W10" s="129">
        <v>0</v>
      </c>
      <c r="X10" s="129">
        <v>0</v>
      </c>
      <c r="Y10" s="129">
        <v>0</v>
      </c>
      <c r="Z10" s="129">
        <v>0</v>
      </c>
      <c r="AA10" s="129">
        <v>0</v>
      </c>
      <c r="AB10" s="129">
        <v>0</v>
      </c>
      <c r="AC10" s="129">
        <v>0</v>
      </c>
      <c r="AD10" s="129">
        <v>2.7492387065841899</v>
      </c>
      <c r="AE10" s="129">
        <v>6.48195439160235E-2</v>
      </c>
      <c r="AF10" s="129">
        <v>0.652136426585888</v>
      </c>
      <c r="AG10" s="129">
        <v>0</v>
      </c>
      <c r="AH10" s="129">
        <v>7.6605309289669696</v>
      </c>
      <c r="AI10" s="129">
        <v>0</v>
      </c>
      <c r="AJ10" s="129">
        <v>2.5213258337079201</v>
      </c>
      <c r="AK10" s="129">
        <v>14.0711603556282</v>
      </c>
      <c r="AL10" s="129">
        <v>0</v>
      </c>
      <c r="AM10" s="129">
        <v>198.80704501715499</v>
      </c>
      <c r="AN10" s="129">
        <v>0</v>
      </c>
      <c r="AO10" s="129">
        <v>0</v>
      </c>
      <c r="AP10" s="129">
        <v>1.8513197508430401E-12</v>
      </c>
      <c r="AQ10" s="129">
        <v>0</v>
      </c>
      <c r="AR10" s="130">
        <v>4.20372506733211</v>
      </c>
    </row>
    <row r="11" spans="2:44" ht="12" customHeight="1" x14ac:dyDescent="0.25">
      <c r="B11" s="128" t="s">
        <v>56</v>
      </c>
      <c r="C11" s="129" t="s">
        <v>40</v>
      </c>
      <c r="D11" s="129" t="s">
        <v>25</v>
      </c>
      <c r="E11" s="129" t="s">
        <v>25</v>
      </c>
      <c r="F11" s="129" t="s">
        <v>25</v>
      </c>
      <c r="G11" s="129" t="s">
        <v>35</v>
      </c>
      <c r="H11" s="129" t="s">
        <v>81</v>
      </c>
      <c r="I11" s="129" t="s">
        <v>25</v>
      </c>
      <c r="J11" s="129">
        <v>5.99</v>
      </c>
      <c r="K11" s="129">
        <v>0</v>
      </c>
      <c r="L11" s="129">
        <v>0</v>
      </c>
      <c r="M11" s="129">
        <v>0</v>
      </c>
      <c r="N11" s="129">
        <v>0</v>
      </c>
      <c r="O11" s="129">
        <v>0</v>
      </c>
      <c r="P11" s="129">
        <v>0</v>
      </c>
      <c r="Q11" s="129">
        <v>0</v>
      </c>
      <c r="R11" s="129">
        <v>0</v>
      </c>
      <c r="S11" s="129">
        <v>0</v>
      </c>
      <c r="T11" s="129">
        <v>3.1004206670125898</v>
      </c>
      <c r="U11" s="129">
        <v>0.85257956680109503</v>
      </c>
      <c r="V11" s="129">
        <v>7.4268185171880802E-2</v>
      </c>
      <c r="W11" s="129">
        <v>0</v>
      </c>
      <c r="X11" s="129">
        <v>1.6414615999195299</v>
      </c>
      <c r="Y11" s="129">
        <v>0</v>
      </c>
      <c r="Z11" s="129">
        <v>0</v>
      </c>
      <c r="AA11" s="129">
        <v>0.32123982459390998</v>
      </c>
      <c r="AB11" s="129">
        <v>0</v>
      </c>
      <c r="AC11" s="129">
        <v>0</v>
      </c>
      <c r="AD11" s="129">
        <v>0</v>
      </c>
      <c r="AE11" s="129">
        <v>0</v>
      </c>
      <c r="AF11" s="129">
        <v>0</v>
      </c>
      <c r="AG11" s="129">
        <v>0</v>
      </c>
      <c r="AH11" s="129">
        <v>0</v>
      </c>
      <c r="AI11" s="129">
        <v>0</v>
      </c>
      <c r="AJ11" s="129">
        <v>0</v>
      </c>
      <c r="AK11" s="129">
        <v>0</v>
      </c>
      <c r="AL11" s="129">
        <v>0</v>
      </c>
      <c r="AM11" s="129">
        <v>0</v>
      </c>
      <c r="AN11" s="129">
        <v>0</v>
      </c>
      <c r="AO11" s="129">
        <v>0</v>
      </c>
      <c r="AP11" s="129">
        <v>0</v>
      </c>
      <c r="AQ11" s="129">
        <v>0</v>
      </c>
      <c r="AR11" s="130">
        <v>0</v>
      </c>
    </row>
    <row r="12" spans="2:44" ht="12" customHeight="1" x14ac:dyDescent="0.25">
      <c r="B12" s="128" t="s">
        <v>56</v>
      </c>
      <c r="C12" s="129" t="s">
        <v>59</v>
      </c>
      <c r="D12" s="129" t="s">
        <v>25</v>
      </c>
      <c r="E12" s="129" t="s">
        <v>25</v>
      </c>
      <c r="F12" s="129" t="s">
        <v>25</v>
      </c>
      <c r="G12" s="129" t="s">
        <v>34</v>
      </c>
      <c r="H12" s="129" t="s">
        <v>81</v>
      </c>
      <c r="I12" s="129" t="s">
        <v>60</v>
      </c>
      <c r="J12" s="129">
        <v>12.63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4.0470247607757504</v>
      </c>
      <c r="U12" s="129">
        <v>1.10072588568464</v>
      </c>
      <c r="V12" s="129">
        <v>9.9582492867066497E-2</v>
      </c>
      <c r="W12" s="129">
        <v>0</v>
      </c>
      <c r="X12" s="129">
        <v>4.8457003834632602</v>
      </c>
      <c r="Y12" s="129">
        <v>0</v>
      </c>
      <c r="Z12" s="129">
        <v>0</v>
      </c>
      <c r="AA12" s="129">
        <v>2.5359834698802302</v>
      </c>
      <c r="AB12" s="129">
        <v>0</v>
      </c>
      <c r="AC12" s="129">
        <v>0</v>
      </c>
      <c r="AD12" s="129">
        <v>0</v>
      </c>
      <c r="AE12" s="129">
        <v>0</v>
      </c>
      <c r="AF12" s="129">
        <v>0</v>
      </c>
      <c r="AG12" s="129">
        <v>0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30">
        <v>0</v>
      </c>
    </row>
    <row r="13" spans="2:44" ht="12" customHeight="1" x14ac:dyDescent="0.25">
      <c r="B13" s="128" t="s">
        <v>56</v>
      </c>
      <c r="C13" s="129" t="s">
        <v>59</v>
      </c>
      <c r="D13" s="129" t="s">
        <v>25</v>
      </c>
      <c r="E13" s="129" t="s">
        <v>25</v>
      </c>
      <c r="F13" s="129" t="s">
        <v>25</v>
      </c>
      <c r="G13" s="129" t="s">
        <v>25</v>
      </c>
      <c r="H13" s="129" t="s">
        <v>78</v>
      </c>
      <c r="I13" s="129" t="s">
        <v>60</v>
      </c>
      <c r="J13" s="129">
        <v>2.81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129">
        <v>0</v>
      </c>
      <c r="R13" s="129">
        <v>0</v>
      </c>
      <c r="S13" s="129">
        <v>0</v>
      </c>
      <c r="T13" s="129">
        <v>0</v>
      </c>
      <c r="U13" s="129">
        <v>0</v>
      </c>
      <c r="V13" s="129">
        <v>0</v>
      </c>
      <c r="W13" s="129">
        <v>0</v>
      </c>
      <c r="X13" s="129">
        <v>0</v>
      </c>
      <c r="Y13" s="129">
        <v>0</v>
      </c>
      <c r="Z13" s="129">
        <v>0</v>
      </c>
      <c r="AA13" s="129">
        <v>0</v>
      </c>
      <c r="AB13" s="129">
        <v>0</v>
      </c>
      <c r="AC13" s="129">
        <v>0</v>
      </c>
      <c r="AD13" s="129">
        <v>2.7492387065841899</v>
      </c>
      <c r="AE13" s="129">
        <v>6.48195439160235E-2</v>
      </c>
      <c r="AF13" s="129">
        <v>0</v>
      </c>
      <c r="AG13" s="129">
        <v>0</v>
      </c>
      <c r="AH13" s="129">
        <v>0</v>
      </c>
      <c r="AI13" s="129">
        <v>0</v>
      </c>
      <c r="AJ13" s="129">
        <v>0</v>
      </c>
      <c r="AK13" s="129">
        <v>0</v>
      </c>
      <c r="AL13" s="129">
        <v>0</v>
      </c>
      <c r="AM13" s="129">
        <v>0</v>
      </c>
      <c r="AN13" s="129">
        <v>0</v>
      </c>
      <c r="AO13" s="129">
        <v>0</v>
      </c>
      <c r="AP13" s="129">
        <v>0</v>
      </c>
      <c r="AQ13" s="129">
        <v>0</v>
      </c>
      <c r="AR13" s="130">
        <v>0</v>
      </c>
    </row>
    <row r="14" spans="2:44" ht="12" customHeight="1" x14ac:dyDescent="0.25">
      <c r="B14" s="128" t="s">
        <v>56</v>
      </c>
      <c r="C14" s="129" t="s">
        <v>59</v>
      </c>
      <c r="D14" s="129" t="s">
        <v>25</v>
      </c>
      <c r="E14" s="129" t="s">
        <v>25</v>
      </c>
      <c r="F14" s="129" t="s">
        <v>25</v>
      </c>
      <c r="G14" s="129" t="s">
        <v>35</v>
      </c>
      <c r="H14" s="129" t="s">
        <v>81</v>
      </c>
      <c r="I14" s="129" t="s">
        <v>60</v>
      </c>
      <c r="J14" s="129">
        <v>5.99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3.1004206670125898</v>
      </c>
      <c r="U14" s="129">
        <v>0.85257956680109503</v>
      </c>
      <c r="V14" s="129">
        <v>7.4268185171880802E-2</v>
      </c>
      <c r="W14" s="129">
        <v>0</v>
      </c>
      <c r="X14" s="129">
        <v>1.6414615999195299</v>
      </c>
      <c r="Y14" s="129">
        <v>0</v>
      </c>
      <c r="Z14" s="129">
        <v>0</v>
      </c>
      <c r="AA14" s="129">
        <v>0.32123982459390998</v>
      </c>
      <c r="AB14" s="129">
        <v>0</v>
      </c>
      <c r="AC14" s="129">
        <v>0</v>
      </c>
      <c r="AD14" s="129">
        <v>0</v>
      </c>
      <c r="AE14" s="129">
        <v>0</v>
      </c>
      <c r="AF14" s="129">
        <v>0</v>
      </c>
      <c r="AG14" s="129">
        <v>0</v>
      </c>
      <c r="AH14" s="129">
        <v>0</v>
      </c>
      <c r="AI14" s="129">
        <v>0</v>
      </c>
      <c r="AJ14" s="129">
        <v>0</v>
      </c>
      <c r="AK14" s="129">
        <v>0</v>
      </c>
      <c r="AL14" s="129">
        <v>0</v>
      </c>
      <c r="AM14" s="129">
        <v>0</v>
      </c>
      <c r="AN14" s="129">
        <v>0</v>
      </c>
      <c r="AO14" s="129">
        <v>0</v>
      </c>
      <c r="AP14" s="129">
        <v>0</v>
      </c>
      <c r="AQ14" s="129">
        <v>0</v>
      </c>
      <c r="AR14" s="130">
        <v>0</v>
      </c>
    </row>
    <row r="15" spans="2:44" ht="12" customHeight="1" x14ac:dyDescent="0.25">
      <c r="B15" s="128" t="s">
        <v>39</v>
      </c>
      <c r="C15" s="129" t="s">
        <v>40</v>
      </c>
      <c r="D15" s="129" t="s">
        <v>25</v>
      </c>
      <c r="E15" s="129" t="s">
        <v>25</v>
      </c>
      <c r="F15" s="129" t="s">
        <v>85</v>
      </c>
      <c r="G15" s="129" t="s">
        <v>34</v>
      </c>
      <c r="H15" s="129" t="s">
        <v>78</v>
      </c>
      <c r="I15" s="129" t="s">
        <v>25</v>
      </c>
      <c r="J15" s="129">
        <v>8.14</v>
      </c>
      <c r="K15" s="129">
        <v>0</v>
      </c>
      <c r="L15" s="129">
        <v>0</v>
      </c>
      <c r="M15" s="129">
        <v>0.40874769358716501</v>
      </c>
      <c r="N15" s="129">
        <v>0.18054723184064</v>
      </c>
      <c r="O15" s="129">
        <v>3.9888958600875997E-2</v>
      </c>
      <c r="P15" s="129">
        <v>0</v>
      </c>
      <c r="Q15" s="129">
        <v>0</v>
      </c>
      <c r="R15" s="129">
        <v>0</v>
      </c>
      <c r="S15" s="129">
        <v>0</v>
      </c>
      <c r="T15" s="129">
        <v>0</v>
      </c>
      <c r="U15" s="129">
        <v>0</v>
      </c>
      <c r="V15" s="129">
        <v>0</v>
      </c>
      <c r="W15" s="129">
        <v>0</v>
      </c>
      <c r="X15" s="129">
        <v>0</v>
      </c>
      <c r="Y15" s="129">
        <v>0</v>
      </c>
      <c r="Z15" s="129">
        <v>0</v>
      </c>
      <c r="AA15" s="129">
        <v>0</v>
      </c>
      <c r="AB15" s="129">
        <v>0</v>
      </c>
      <c r="AC15" s="129">
        <v>0</v>
      </c>
      <c r="AD15" s="129">
        <v>5.5295620369635996</v>
      </c>
      <c r="AE15" s="129">
        <v>0.13037197840731099</v>
      </c>
      <c r="AF15" s="129">
        <v>1.8468017215768799</v>
      </c>
      <c r="AG15" s="129">
        <v>0</v>
      </c>
      <c r="AH15" s="129">
        <v>0</v>
      </c>
      <c r="AI15" s="129">
        <v>0</v>
      </c>
      <c r="AJ15" s="129">
        <v>0</v>
      </c>
      <c r="AK15" s="129">
        <v>0</v>
      </c>
      <c r="AL15" s="129">
        <v>0</v>
      </c>
      <c r="AM15" s="129">
        <v>0</v>
      </c>
      <c r="AN15" s="129">
        <v>0</v>
      </c>
      <c r="AO15" s="129">
        <v>0</v>
      </c>
      <c r="AP15" s="129">
        <v>0</v>
      </c>
      <c r="AQ15" s="129">
        <v>0</v>
      </c>
      <c r="AR15" s="130">
        <v>0</v>
      </c>
    </row>
    <row r="16" spans="2:44" ht="12" customHeight="1" x14ac:dyDescent="0.25">
      <c r="B16" s="128" t="s">
        <v>39</v>
      </c>
      <c r="C16" s="129" t="s">
        <v>40</v>
      </c>
      <c r="D16" s="129" t="s">
        <v>25</v>
      </c>
      <c r="E16" s="129" t="s">
        <v>25</v>
      </c>
      <c r="F16" s="129" t="s">
        <v>85</v>
      </c>
      <c r="G16" s="129" t="s">
        <v>34</v>
      </c>
      <c r="H16" s="129" t="s">
        <v>81</v>
      </c>
      <c r="I16" s="129" t="s">
        <v>25</v>
      </c>
      <c r="J16" s="129">
        <v>39.47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4.9343915425720297</v>
      </c>
      <c r="U16" s="129">
        <v>1.3420506898617699</v>
      </c>
      <c r="V16" s="129">
        <v>0.121595634482409</v>
      </c>
      <c r="W16" s="129">
        <v>0</v>
      </c>
      <c r="X16" s="129">
        <v>6.4156518649092096</v>
      </c>
      <c r="Y16" s="129">
        <v>0</v>
      </c>
      <c r="Z16" s="129">
        <v>0</v>
      </c>
      <c r="AA16" s="129">
        <v>26.6528130773691</v>
      </c>
      <c r="AB16" s="129">
        <v>0</v>
      </c>
      <c r="AC16" s="129">
        <v>0</v>
      </c>
      <c r="AD16" s="129">
        <v>0</v>
      </c>
      <c r="AE16" s="129">
        <v>0</v>
      </c>
      <c r="AF16" s="129">
        <v>0</v>
      </c>
      <c r="AG16" s="129">
        <v>0</v>
      </c>
      <c r="AH16" s="129">
        <v>0</v>
      </c>
      <c r="AI16" s="129">
        <v>0</v>
      </c>
      <c r="AJ16" s="129">
        <v>0</v>
      </c>
      <c r="AK16" s="129">
        <v>0</v>
      </c>
      <c r="AL16" s="129">
        <v>0</v>
      </c>
      <c r="AM16" s="129">
        <v>0</v>
      </c>
      <c r="AN16" s="129">
        <v>0</v>
      </c>
      <c r="AO16" s="129">
        <v>0</v>
      </c>
      <c r="AP16" s="129">
        <v>0</v>
      </c>
      <c r="AQ16" s="129">
        <v>0</v>
      </c>
      <c r="AR16" s="130">
        <v>0</v>
      </c>
    </row>
    <row r="17" spans="2:44" ht="12" customHeight="1" x14ac:dyDescent="0.25">
      <c r="B17" s="128" t="s">
        <v>39</v>
      </c>
      <c r="C17" s="129" t="s">
        <v>40</v>
      </c>
      <c r="D17" s="129" t="s">
        <v>25</v>
      </c>
      <c r="E17" s="129" t="s">
        <v>25</v>
      </c>
      <c r="F17" s="129" t="s">
        <v>85</v>
      </c>
      <c r="G17" s="129" t="s">
        <v>35</v>
      </c>
      <c r="H17" s="129" t="s">
        <v>78</v>
      </c>
      <c r="I17" s="129" t="s">
        <v>25</v>
      </c>
      <c r="J17" s="129">
        <v>8.14</v>
      </c>
      <c r="K17" s="129">
        <v>0</v>
      </c>
      <c r="L17" s="129">
        <v>0</v>
      </c>
      <c r="M17" s="129">
        <v>0.40874769358716501</v>
      </c>
      <c r="N17" s="129">
        <v>0.18054723184064</v>
      </c>
      <c r="O17" s="129">
        <v>3.9888958600875997E-2</v>
      </c>
      <c r="P17" s="129">
        <v>0</v>
      </c>
      <c r="Q17" s="129">
        <v>0</v>
      </c>
      <c r="R17" s="129">
        <v>0</v>
      </c>
      <c r="S17" s="129">
        <v>0</v>
      </c>
      <c r="T17" s="129">
        <v>0</v>
      </c>
      <c r="U17" s="129">
        <v>0</v>
      </c>
      <c r="V17" s="129">
        <v>0</v>
      </c>
      <c r="W17" s="129">
        <v>0</v>
      </c>
      <c r="X17" s="129">
        <v>0</v>
      </c>
      <c r="Y17" s="129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5.5295620369635996</v>
      </c>
      <c r="AE17" s="129">
        <v>0.13037197840731099</v>
      </c>
      <c r="AF17" s="129">
        <v>1.8468017215768799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0</v>
      </c>
      <c r="AO17" s="129">
        <v>0</v>
      </c>
      <c r="AP17" s="129">
        <v>0</v>
      </c>
      <c r="AQ17" s="129">
        <v>0</v>
      </c>
      <c r="AR17" s="130">
        <v>0</v>
      </c>
    </row>
    <row r="18" spans="2:44" ht="12" customHeight="1" x14ac:dyDescent="0.25">
      <c r="B18" s="128" t="s">
        <v>39</v>
      </c>
      <c r="C18" s="129" t="s">
        <v>40</v>
      </c>
      <c r="D18" s="129" t="s">
        <v>25</v>
      </c>
      <c r="E18" s="129" t="s">
        <v>25</v>
      </c>
      <c r="F18" s="129" t="s">
        <v>85</v>
      </c>
      <c r="G18" s="129" t="s">
        <v>35</v>
      </c>
      <c r="H18" s="129" t="s">
        <v>81</v>
      </c>
      <c r="I18" s="129" t="s">
        <v>25</v>
      </c>
      <c r="J18" s="129">
        <v>19.36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29">
        <v>0</v>
      </c>
      <c r="T18" s="129">
        <v>3.69437437614322</v>
      </c>
      <c r="U18" s="129">
        <v>1.0159587644305299</v>
      </c>
      <c r="V18" s="129">
        <v>8.8624231806904999E-2</v>
      </c>
      <c r="W18" s="129">
        <v>0</v>
      </c>
      <c r="X18" s="129">
        <v>2.4118946952125002</v>
      </c>
      <c r="Y18" s="129">
        <v>0</v>
      </c>
      <c r="Z18" s="129">
        <v>0</v>
      </c>
      <c r="AA18" s="129">
        <v>12.1453318623683</v>
      </c>
      <c r="AB18" s="129">
        <v>0</v>
      </c>
      <c r="AC18" s="129">
        <v>0</v>
      </c>
      <c r="AD18" s="129">
        <v>0</v>
      </c>
      <c r="AE18" s="129">
        <v>0</v>
      </c>
      <c r="AF18" s="129">
        <v>0</v>
      </c>
      <c r="AG18" s="129">
        <v>0</v>
      </c>
      <c r="AH18" s="129">
        <v>0</v>
      </c>
      <c r="AI18" s="129">
        <v>0</v>
      </c>
      <c r="AJ18" s="129">
        <v>0</v>
      </c>
      <c r="AK18" s="129">
        <v>0</v>
      </c>
      <c r="AL18" s="129">
        <v>0</v>
      </c>
      <c r="AM18" s="129">
        <v>0</v>
      </c>
      <c r="AN18" s="129">
        <v>0</v>
      </c>
      <c r="AO18" s="129">
        <v>0</v>
      </c>
      <c r="AP18" s="129">
        <v>0</v>
      </c>
      <c r="AQ18" s="129">
        <v>0</v>
      </c>
      <c r="AR18" s="130">
        <v>0</v>
      </c>
    </row>
    <row r="19" spans="2:44" ht="12" customHeight="1" x14ac:dyDescent="0.25">
      <c r="B19" s="128" t="s">
        <v>39</v>
      </c>
      <c r="C19" s="129" t="s">
        <v>40</v>
      </c>
      <c r="D19" s="129" t="s">
        <v>25</v>
      </c>
      <c r="E19" s="129" t="s">
        <v>25</v>
      </c>
      <c r="F19" s="129" t="s">
        <v>25</v>
      </c>
      <c r="G19" s="129" t="s">
        <v>34</v>
      </c>
      <c r="H19" s="129" t="s">
        <v>78</v>
      </c>
      <c r="I19" s="129" t="s">
        <v>25</v>
      </c>
      <c r="J19" s="129">
        <v>54.31</v>
      </c>
      <c r="K19" s="129">
        <v>370.4</v>
      </c>
      <c r="L19" s="129">
        <v>1.5350769413580601</v>
      </c>
      <c r="M19" s="129">
        <v>0.40874769358716501</v>
      </c>
      <c r="N19" s="129">
        <v>0.19225909901201499</v>
      </c>
      <c r="O19" s="129">
        <v>3.9888958600875997E-2</v>
      </c>
      <c r="P19" s="129">
        <v>0</v>
      </c>
      <c r="Q19" s="129">
        <v>30.2542957879025</v>
      </c>
      <c r="R19" s="129">
        <v>14.370155340998</v>
      </c>
      <c r="S19" s="129">
        <v>0</v>
      </c>
      <c r="T19" s="129">
        <v>0</v>
      </c>
      <c r="U19" s="129">
        <v>0</v>
      </c>
      <c r="V19" s="129">
        <v>0</v>
      </c>
      <c r="W19" s="129">
        <v>0</v>
      </c>
      <c r="X19" s="129">
        <v>0</v>
      </c>
      <c r="Y19" s="129">
        <v>0</v>
      </c>
      <c r="Z19" s="129">
        <v>0</v>
      </c>
      <c r="AA19" s="129">
        <v>0</v>
      </c>
      <c r="AB19" s="129">
        <v>0</v>
      </c>
      <c r="AC19" s="129">
        <v>0</v>
      </c>
      <c r="AD19" s="129">
        <v>5.5295620369635996</v>
      </c>
      <c r="AE19" s="129">
        <v>0.13037197840731099</v>
      </c>
      <c r="AF19" s="129">
        <v>1.8468017215768799</v>
      </c>
      <c r="AG19" s="129">
        <v>0</v>
      </c>
      <c r="AH19" s="129">
        <v>7.6605309289669696</v>
      </c>
      <c r="AI19" s="129">
        <v>0</v>
      </c>
      <c r="AJ19" s="129">
        <v>2.5213258337079201</v>
      </c>
      <c r="AK19" s="129">
        <v>14.0711603556282</v>
      </c>
      <c r="AL19" s="129">
        <v>0</v>
      </c>
      <c r="AM19" s="129">
        <v>341.94811742950702</v>
      </c>
      <c r="AN19" s="129">
        <v>0</v>
      </c>
      <c r="AO19" s="129">
        <v>0</v>
      </c>
      <c r="AP19" s="129">
        <v>1.8513197508430401E-12</v>
      </c>
      <c r="AQ19" s="129">
        <v>0</v>
      </c>
      <c r="AR19" s="130">
        <v>4.20372506733211</v>
      </c>
    </row>
    <row r="20" spans="2:44" ht="12" customHeight="1" x14ac:dyDescent="0.25">
      <c r="B20" s="128" t="s">
        <v>39</v>
      </c>
      <c r="C20" s="129" t="s">
        <v>40</v>
      </c>
      <c r="D20" s="129" t="s">
        <v>25</v>
      </c>
      <c r="E20" s="129" t="s">
        <v>25</v>
      </c>
      <c r="F20" s="129" t="s">
        <v>25</v>
      </c>
      <c r="G20" s="129" t="s">
        <v>34</v>
      </c>
      <c r="H20" s="129" t="s">
        <v>81</v>
      </c>
      <c r="I20" s="129" t="s">
        <v>25</v>
      </c>
      <c r="J20" s="129">
        <v>39.47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  <c r="T20" s="129">
        <v>4.9343915425720297</v>
      </c>
      <c r="U20" s="129">
        <v>1.3420506898617699</v>
      </c>
      <c r="V20" s="129">
        <v>0.121595634482409</v>
      </c>
      <c r="W20" s="129">
        <v>0</v>
      </c>
      <c r="X20" s="129">
        <v>6.4156518649092096</v>
      </c>
      <c r="Y20" s="129">
        <v>0</v>
      </c>
      <c r="Z20" s="129">
        <v>0</v>
      </c>
      <c r="AA20" s="129">
        <v>26.6528130773691</v>
      </c>
      <c r="AB20" s="129">
        <v>0</v>
      </c>
      <c r="AC20" s="129">
        <v>0</v>
      </c>
      <c r="AD20" s="129">
        <v>0</v>
      </c>
      <c r="AE20" s="129">
        <v>0</v>
      </c>
      <c r="AF20" s="129">
        <v>0</v>
      </c>
      <c r="AG20" s="129">
        <v>0</v>
      </c>
      <c r="AH20" s="129">
        <v>0</v>
      </c>
      <c r="AI20" s="129">
        <v>0</v>
      </c>
      <c r="AJ20" s="129">
        <v>0</v>
      </c>
      <c r="AK20" s="129">
        <v>0</v>
      </c>
      <c r="AL20" s="129">
        <v>0</v>
      </c>
      <c r="AM20" s="129">
        <v>0</v>
      </c>
      <c r="AN20" s="129">
        <v>0</v>
      </c>
      <c r="AO20" s="129">
        <v>0</v>
      </c>
      <c r="AP20" s="129">
        <v>0</v>
      </c>
      <c r="AQ20" s="129">
        <v>0</v>
      </c>
      <c r="AR20" s="130">
        <v>0</v>
      </c>
    </row>
    <row r="21" spans="2:44" ht="12" customHeight="1" x14ac:dyDescent="0.25">
      <c r="B21" s="128" t="s">
        <v>39</v>
      </c>
      <c r="C21" s="129" t="s">
        <v>40</v>
      </c>
      <c r="D21" s="129" t="s">
        <v>25</v>
      </c>
      <c r="E21" s="129" t="s">
        <v>25</v>
      </c>
      <c r="F21" s="129" t="s">
        <v>25</v>
      </c>
      <c r="G21" s="129" t="s">
        <v>35</v>
      </c>
      <c r="H21" s="129" t="s">
        <v>78</v>
      </c>
      <c r="I21" s="129" t="s">
        <v>25</v>
      </c>
      <c r="J21" s="129">
        <v>54.31</v>
      </c>
      <c r="K21" s="129">
        <v>227.26</v>
      </c>
      <c r="L21" s="129">
        <v>1.5350769413580601</v>
      </c>
      <c r="M21" s="129">
        <v>0.40874769358716501</v>
      </c>
      <c r="N21" s="129">
        <v>0.19225909901201499</v>
      </c>
      <c r="O21" s="129">
        <v>3.9888958600875997E-2</v>
      </c>
      <c r="P21" s="129">
        <v>0</v>
      </c>
      <c r="Q21" s="129">
        <v>30.2542957879025</v>
      </c>
      <c r="R21" s="129">
        <v>14.370155340998</v>
      </c>
      <c r="S21" s="129">
        <v>0</v>
      </c>
      <c r="T21" s="129">
        <v>0</v>
      </c>
      <c r="U21" s="129">
        <v>0</v>
      </c>
      <c r="V21" s="129">
        <v>0</v>
      </c>
      <c r="W21" s="129">
        <v>0</v>
      </c>
      <c r="X21" s="129">
        <v>0</v>
      </c>
      <c r="Y21" s="129">
        <v>0</v>
      </c>
      <c r="Z21" s="129">
        <v>0</v>
      </c>
      <c r="AA21" s="129">
        <v>0</v>
      </c>
      <c r="AB21" s="129">
        <v>0</v>
      </c>
      <c r="AC21" s="129">
        <v>0</v>
      </c>
      <c r="AD21" s="129">
        <v>5.5295620369635996</v>
      </c>
      <c r="AE21" s="129">
        <v>0.13037197840731099</v>
      </c>
      <c r="AF21" s="129">
        <v>1.8468017215768799</v>
      </c>
      <c r="AG21" s="129">
        <v>0</v>
      </c>
      <c r="AH21" s="129">
        <v>7.6605309289669696</v>
      </c>
      <c r="AI21" s="129">
        <v>0</v>
      </c>
      <c r="AJ21" s="129">
        <v>2.5213258337079201</v>
      </c>
      <c r="AK21" s="129">
        <v>14.0711603556282</v>
      </c>
      <c r="AL21" s="129">
        <v>0</v>
      </c>
      <c r="AM21" s="129">
        <v>198.80704501715499</v>
      </c>
      <c r="AN21" s="129">
        <v>0</v>
      </c>
      <c r="AO21" s="129">
        <v>0</v>
      </c>
      <c r="AP21" s="129">
        <v>1.8513197508430401E-12</v>
      </c>
      <c r="AQ21" s="129">
        <v>0</v>
      </c>
      <c r="AR21" s="130">
        <v>4.20372506733211</v>
      </c>
    </row>
    <row r="22" spans="2:44" ht="12" customHeight="1" x14ac:dyDescent="0.25">
      <c r="B22" s="128" t="s">
        <v>39</v>
      </c>
      <c r="C22" s="129" t="s">
        <v>40</v>
      </c>
      <c r="D22" s="129" t="s">
        <v>25</v>
      </c>
      <c r="E22" s="129" t="s">
        <v>25</v>
      </c>
      <c r="F22" s="129" t="s">
        <v>25</v>
      </c>
      <c r="G22" s="129" t="s">
        <v>35</v>
      </c>
      <c r="H22" s="129" t="s">
        <v>81</v>
      </c>
      <c r="I22" s="129" t="s">
        <v>25</v>
      </c>
      <c r="J22" s="129">
        <v>19.36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129">
        <v>0</v>
      </c>
      <c r="R22" s="129">
        <v>0</v>
      </c>
      <c r="S22" s="129">
        <v>0</v>
      </c>
      <c r="T22" s="129">
        <v>3.69437437614322</v>
      </c>
      <c r="U22" s="129">
        <v>1.0159587644305299</v>
      </c>
      <c r="V22" s="129">
        <v>8.8624231806904999E-2</v>
      </c>
      <c r="W22" s="129">
        <v>0</v>
      </c>
      <c r="X22" s="129">
        <v>2.4118946952125002</v>
      </c>
      <c r="Y22" s="129">
        <v>0</v>
      </c>
      <c r="Z22" s="129">
        <v>0</v>
      </c>
      <c r="AA22" s="129">
        <v>12.1453318623683</v>
      </c>
      <c r="AB22" s="129">
        <v>0</v>
      </c>
      <c r="AC22" s="129">
        <v>0</v>
      </c>
      <c r="AD22" s="129">
        <v>0</v>
      </c>
      <c r="AE22" s="129">
        <v>0</v>
      </c>
      <c r="AF22" s="129">
        <v>0</v>
      </c>
      <c r="AG22" s="129">
        <v>0</v>
      </c>
      <c r="AH22" s="129">
        <v>0</v>
      </c>
      <c r="AI22" s="129">
        <v>0</v>
      </c>
      <c r="AJ22" s="129">
        <v>0</v>
      </c>
      <c r="AK22" s="129">
        <v>0</v>
      </c>
      <c r="AL22" s="129">
        <v>0</v>
      </c>
      <c r="AM22" s="129">
        <v>0</v>
      </c>
      <c r="AN22" s="129">
        <v>0</v>
      </c>
      <c r="AO22" s="129">
        <v>0</v>
      </c>
      <c r="AP22" s="129">
        <v>0</v>
      </c>
      <c r="AQ22" s="129">
        <v>0</v>
      </c>
      <c r="AR22" s="130">
        <v>0</v>
      </c>
    </row>
    <row r="23" spans="2:44" ht="12" customHeight="1" x14ac:dyDescent="0.25">
      <c r="B23" s="128" t="s">
        <v>39</v>
      </c>
      <c r="C23" s="129" t="s">
        <v>23</v>
      </c>
      <c r="D23" s="129" t="s">
        <v>25</v>
      </c>
      <c r="E23" s="129" t="s">
        <v>25</v>
      </c>
      <c r="F23" s="129" t="s">
        <v>25</v>
      </c>
      <c r="G23" s="129" t="s">
        <v>25</v>
      </c>
      <c r="H23" s="129" t="s">
        <v>78</v>
      </c>
      <c r="I23" s="129" t="s">
        <v>25</v>
      </c>
      <c r="J23" s="129">
        <v>0</v>
      </c>
      <c r="K23" s="129">
        <v>239.19</v>
      </c>
      <c r="L23" s="129">
        <v>0</v>
      </c>
      <c r="M23" s="129">
        <v>0</v>
      </c>
      <c r="N23" s="129">
        <v>0</v>
      </c>
      <c r="O23" s="129">
        <v>0</v>
      </c>
      <c r="P23" s="129">
        <v>0</v>
      </c>
      <c r="Q23" s="129">
        <v>0</v>
      </c>
      <c r="R23" s="129">
        <v>0</v>
      </c>
      <c r="S23" s="129">
        <v>0</v>
      </c>
      <c r="T23" s="129">
        <v>0</v>
      </c>
      <c r="U23" s="129">
        <v>0</v>
      </c>
      <c r="V23" s="129">
        <v>0</v>
      </c>
      <c r="W23" s="129">
        <v>0</v>
      </c>
      <c r="X23" s="129">
        <v>0</v>
      </c>
      <c r="Y23" s="129">
        <v>0</v>
      </c>
      <c r="Z23" s="129">
        <v>0</v>
      </c>
      <c r="AA23" s="129">
        <v>0</v>
      </c>
      <c r="AB23" s="129">
        <v>0</v>
      </c>
      <c r="AC23" s="129">
        <v>0</v>
      </c>
      <c r="AD23" s="129">
        <v>0</v>
      </c>
      <c r="AE23" s="129">
        <v>0</v>
      </c>
      <c r="AF23" s="129">
        <v>0</v>
      </c>
      <c r="AG23" s="129">
        <v>0</v>
      </c>
      <c r="AH23" s="129">
        <v>7.6605309289669696</v>
      </c>
      <c r="AI23" s="129">
        <v>0</v>
      </c>
      <c r="AJ23" s="129">
        <v>2.5213258337079201</v>
      </c>
      <c r="AK23" s="129">
        <v>14.0711603556282</v>
      </c>
      <c r="AL23" s="129">
        <v>0</v>
      </c>
      <c r="AM23" s="129">
        <v>210.73546771818499</v>
      </c>
      <c r="AN23" s="129">
        <v>0</v>
      </c>
      <c r="AO23" s="129">
        <v>0</v>
      </c>
      <c r="AP23" s="129">
        <v>1.8513197508430401E-12</v>
      </c>
      <c r="AQ23" s="129">
        <v>0</v>
      </c>
      <c r="AR23" s="130">
        <v>4.20372506733211</v>
      </c>
    </row>
    <row r="24" spans="2:44" ht="12" customHeight="1" x14ac:dyDescent="0.25">
      <c r="B24" s="128" t="s">
        <v>39</v>
      </c>
      <c r="C24" s="129" t="s">
        <v>59</v>
      </c>
      <c r="D24" s="129" t="s">
        <v>25</v>
      </c>
      <c r="E24" s="129" t="s">
        <v>25</v>
      </c>
      <c r="F24" s="129" t="s">
        <v>25</v>
      </c>
      <c r="G24" s="129" t="s">
        <v>34</v>
      </c>
      <c r="H24" s="129" t="s">
        <v>81</v>
      </c>
      <c r="I24" s="129" t="s">
        <v>60</v>
      </c>
      <c r="J24" s="129">
        <v>22.11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29">
        <v>0</v>
      </c>
      <c r="Q24" s="129">
        <v>0</v>
      </c>
      <c r="R24" s="129">
        <v>0</v>
      </c>
      <c r="S24" s="129">
        <v>0</v>
      </c>
      <c r="T24" s="129">
        <v>4.9343915425720297</v>
      </c>
      <c r="U24" s="129">
        <v>1.3420506898617699</v>
      </c>
      <c r="V24" s="129">
        <v>0.121595634482409</v>
      </c>
      <c r="W24" s="129">
        <v>0</v>
      </c>
      <c r="X24" s="129">
        <v>6.4156518649092096</v>
      </c>
      <c r="Y24" s="129">
        <v>0</v>
      </c>
      <c r="Z24" s="129">
        <v>0</v>
      </c>
      <c r="AA24" s="129">
        <v>9.2948169514715602</v>
      </c>
      <c r="AB24" s="129">
        <v>0</v>
      </c>
      <c r="AC24" s="129">
        <v>0</v>
      </c>
      <c r="AD24" s="129">
        <v>0</v>
      </c>
      <c r="AE24" s="129">
        <v>0</v>
      </c>
      <c r="AF24" s="129">
        <v>0</v>
      </c>
      <c r="AG24" s="129">
        <v>0</v>
      </c>
      <c r="AH24" s="129">
        <v>0</v>
      </c>
      <c r="AI24" s="129">
        <v>0</v>
      </c>
      <c r="AJ24" s="129">
        <v>0</v>
      </c>
      <c r="AK24" s="129">
        <v>0</v>
      </c>
      <c r="AL24" s="129">
        <v>0</v>
      </c>
      <c r="AM24" s="129">
        <v>0</v>
      </c>
      <c r="AN24" s="129">
        <v>0</v>
      </c>
      <c r="AO24" s="129">
        <v>0</v>
      </c>
      <c r="AP24" s="129">
        <v>0</v>
      </c>
      <c r="AQ24" s="129">
        <v>0</v>
      </c>
      <c r="AR24" s="130">
        <v>0</v>
      </c>
    </row>
    <row r="25" spans="2:44" ht="12" customHeight="1" x14ac:dyDescent="0.25">
      <c r="B25" s="128" t="s">
        <v>39</v>
      </c>
      <c r="C25" s="129" t="s">
        <v>59</v>
      </c>
      <c r="D25" s="129" t="s">
        <v>25</v>
      </c>
      <c r="E25" s="129" t="s">
        <v>25</v>
      </c>
      <c r="F25" s="129" t="s">
        <v>25</v>
      </c>
      <c r="G25" s="129" t="s">
        <v>25</v>
      </c>
      <c r="H25" s="129" t="s">
        <v>78</v>
      </c>
      <c r="I25" s="129" t="s">
        <v>60</v>
      </c>
      <c r="J25" s="129">
        <v>5.66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129">
        <v>0</v>
      </c>
      <c r="S25" s="129">
        <v>0</v>
      </c>
      <c r="T25" s="129">
        <v>0</v>
      </c>
      <c r="U25" s="129">
        <v>0</v>
      </c>
      <c r="V25" s="129">
        <v>0</v>
      </c>
      <c r="W25" s="129">
        <v>0</v>
      </c>
      <c r="X25" s="129">
        <v>0</v>
      </c>
      <c r="Y25" s="129">
        <v>0</v>
      </c>
      <c r="Z25" s="129">
        <v>0</v>
      </c>
      <c r="AA25" s="129">
        <v>0</v>
      </c>
      <c r="AB25" s="129">
        <v>0</v>
      </c>
      <c r="AC25" s="129">
        <v>0</v>
      </c>
      <c r="AD25" s="129">
        <v>5.5295620369635996</v>
      </c>
      <c r="AE25" s="129">
        <v>0.13037197840731099</v>
      </c>
      <c r="AF25" s="129">
        <v>0</v>
      </c>
      <c r="AG25" s="129">
        <v>0</v>
      </c>
      <c r="AH25" s="129">
        <v>0</v>
      </c>
      <c r="AI25" s="129">
        <v>0</v>
      </c>
      <c r="AJ25" s="129">
        <v>0</v>
      </c>
      <c r="AK25" s="129">
        <v>0</v>
      </c>
      <c r="AL25" s="129">
        <v>0</v>
      </c>
      <c r="AM25" s="129">
        <v>0</v>
      </c>
      <c r="AN25" s="129">
        <v>0</v>
      </c>
      <c r="AO25" s="129">
        <v>0</v>
      </c>
      <c r="AP25" s="129">
        <v>0</v>
      </c>
      <c r="AQ25" s="129">
        <v>0</v>
      </c>
      <c r="AR25" s="130">
        <v>0</v>
      </c>
    </row>
    <row r="26" spans="2:44" ht="12" customHeight="1" x14ac:dyDescent="0.25">
      <c r="B26" s="128" t="s">
        <v>39</v>
      </c>
      <c r="C26" s="129" t="s">
        <v>59</v>
      </c>
      <c r="D26" s="129" t="s">
        <v>25</v>
      </c>
      <c r="E26" s="129" t="s">
        <v>25</v>
      </c>
      <c r="F26" s="129" t="s">
        <v>25</v>
      </c>
      <c r="G26" s="129" t="s">
        <v>35</v>
      </c>
      <c r="H26" s="129" t="s">
        <v>81</v>
      </c>
      <c r="I26" s="129" t="s">
        <v>60</v>
      </c>
      <c r="J26" s="129">
        <v>11.45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29">
        <v>0</v>
      </c>
      <c r="Q26" s="129">
        <v>0</v>
      </c>
      <c r="R26" s="129">
        <v>0</v>
      </c>
      <c r="S26" s="129">
        <v>0</v>
      </c>
      <c r="T26" s="129">
        <v>3.69437437614322</v>
      </c>
      <c r="U26" s="129">
        <v>1.0159587644305299</v>
      </c>
      <c r="V26" s="129">
        <v>8.8624231806904999E-2</v>
      </c>
      <c r="W26" s="129">
        <v>0</v>
      </c>
      <c r="X26" s="129">
        <v>2.4118946952125002</v>
      </c>
      <c r="Y26" s="129">
        <v>0</v>
      </c>
      <c r="Z26" s="129">
        <v>0</v>
      </c>
      <c r="AA26" s="129">
        <v>4.2355041917451697</v>
      </c>
      <c r="AB26" s="129">
        <v>0</v>
      </c>
      <c r="AC26" s="129">
        <v>0</v>
      </c>
      <c r="AD26" s="129">
        <v>0</v>
      </c>
      <c r="AE26" s="129">
        <v>0</v>
      </c>
      <c r="AF26" s="129">
        <v>0</v>
      </c>
      <c r="AG26" s="129">
        <v>0</v>
      </c>
      <c r="AH26" s="129">
        <v>0</v>
      </c>
      <c r="AI26" s="129">
        <v>0</v>
      </c>
      <c r="AJ26" s="129">
        <v>0</v>
      </c>
      <c r="AK26" s="129">
        <v>0</v>
      </c>
      <c r="AL26" s="129">
        <v>0</v>
      </c>
      <c r="AM26" s="129">
        <v>0</v>
      </c>
      <c r="AN26" s="129">
        <v>0</v>
      </c>
      <c r="AO26" s="129">
        <v>0</v>
      </c>
      <c r="AP26" s="129">
        <v>0</v>
      </c>
      <c r="AQ26" s="129">
        <v>0</v>
      </c>
      <c r="AR26" s="130">
        <v>0</v>
      </c>
    </row>
    <row r="27" spans="2:44" ht="12" customHeight="1" x14ac:dyDescent="0.25">
      <c r="B27" s="128" t="s">
        <v>39</v>
      </c>
      <c r="C27" s="129" t="s">
        <v>87</v>
      </c>
      <c r="D27" s="129" t="s">
        <v>25</v>
      </c>
      <c r="E27" s="129" t="s">
        <v>25</v>
      </c>
      <c r="F27" s="129" t="s">
        <v>25</v>
      </c>
      <c r="G27" s="129" t="s">
        <v>25</v>
      </c>
      <c r="H27" s="129" t="s">
        <v>81</v>
      </c>
      <c r="I27" s="129" t="s">
        <v>25</v>
      </c>
      <c r="J27" s="129">
        <v>9.9700000000000006</v>
      </c>
      <c r="K27" s="129">
        <v>0</v>
      </c>
      <c r="L27" s="129">
        <v>0</v>
      </c>
      <c r="M27" s="129">
        <v>3.3998425161028099E-2</v>
      </c>
      <c r="N27" s="129">
        <v>9.7091378850703E-2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29">
        <v>0</v>
      </c>
      <c r="X27" s="129">
        <v>0</v>
      </c>
      <c r="Y27" s="129">
        <v>0</v>
      </c>
      <c r="Z27" s="129">
        <v>0</v>
      </c>
      <c r="AA27" s="129">
        <v>9.8383270909013305</v>
      </c>
      <c r="AB27" s="129">
        <v>0</v>
      </c>
      <c r="AC27" s="129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29">
        <v>0</v>
      </c>
      <c r="AL27" s="129">
        <v>0</v>
      </c>
      <c r="AM27" s="129">
        <v>0</v>
      </c>
      <c r="AN27" s="129">
        <v>0</v>
      </c>
      <c r="AO27" s="129">
        <v>0</v>
      </c>
      <c r="AP27" s="129">
        <v>0</v>
      </c>
      <c r="AQ27" s="129">
        <v>0</v>
      </c>
      <c r="AR27" s="130">
        <v>0</v>
      </c>
    </row>
    <row r="28" spans="2:44" ht="12" customHeight="1" x14ac:dyDescent="0.25">
      <c r="B28" s="128" t="s">
        <v>39</v>
      </c>
      <c r="C28" s="129" t="s">
        <v>41</v>
      </c>
      <c r="D28" s="129" t="s">
        <v>25</v>
      </c>
      <c r="E28" s="129" t="s">
        <v>25</v>
      </c>
      <c r="F28" s="129" t="s">
        <v>85</v>
      </c>
      <c r="G28" s="129" t="s">
        <v>34</v>
      </c>
      <c r="H28" s="129" t="s">
        <v>78</v>
      </c>
      <c r="I28" s="129" t="s">
        <v>25</v>
      </c>
      <c r="J28" s="129">
        <v>967.16</v>
      </c>
      <c r="K28" s="129">
        <v>0</v>
      </c>
      <c r="L28" s="129">
        <v>0</v>
      </c>
      <c r="M28" s="129">
        <v>0.40874769358716501</v>
      </c>
      <c r="N28" s="129">
        <v>10.033562125788499</v>
      </c>
      <c r="O28" s="129">
        <v>3.9888958600875997E-2</v>
      </c>
      <c r="P28" s="129">
        <v>0</v>
      </c>
      <c r="Q28" s="129">
        <v>0</v>
      </c>
      <c r="R28" s="129">
        <v>0</v>
      </c>
      <c r="S28" s="129">
        <v>0</v>
      </c>
      <c r="T28" s="129">
        <v>118.671968977766</v>
      </c>
      <c r="U28" s="129">
        <v>32.276749552275902</v>
      </c>
      <c r="V28" s="129">
        <v>2.9237300741726902</v>
      </c>
      <c r="W28" s="129">
        <v>0</v>
      </c>
      <c r="X28" s="129">
        <v>154.297589986502</v>
      </c>
      <c r="Y28" s="129">
        <v>0</v>
      </c>
      <c r="Z28" s="129">
        <v>0</v>
      </c>
      <c r="AA28" s="129">
        <v>641.00177917875601</v>
      </c>
      <c r="AB28" s="129">
        <v>0</v>
      </c>
      <c r="AC28" s="129">
        <v>0</v>
      </c>
      <c r="AD28" s="129">
        <v>5.5295620369635996</v>
      </c>
      <c r="AE28" s="129">
        <v>0.13037197840731099</v>
      </c>
      <c r="AF28" s="129">
        <v>1.8468017215768799</v>
      </c>
      <c r="AG28" s="129">
        <v>0</v>
      </c>
      <c r="AH28" s="129">
        <v>0</v>
      </c>
      <c r="AI28" s="129">
        <v>0</v>
      </c>
      <c r="AJ28" s="129">
        <v>0</v>
      </c>
      <c r="AK28" s="129">
        <v>0</v>
      </c>
      <c r="AL28" s="129">
        <v>0</v>
      </c>
      <c r="AM28" s="129">
        <v>0</v>
      </c>
      <c r="AN28" s="129">
        <v>0</v>
      </c>
      <c r="AO28" s="129">
        <v>0</v>
      </c>
      <c r="AP28" s="129">
        <v>0</v>
      </c>
      <c r="AQ28" s="129">
        <v>0</v>
      </c>
      <c r="AR28" s="130">
        <v>0</v>
      </c>
    </row>
    <row r="29" spans="2:44" ht="12" customHeight="1" x14ac:dyDescent="0.25">
      <c r="B29" s="128" t="s">
        <v>39</v>
      </c>
      <c r="C29" s="129" t="s">
        <v>41</v>
      </c>
      <c r="D29" s="129" t="s">
        <v>25</v>
      </c>
      <c r="E29" s="129" t="s">
        <v>25</v>
      </c>
      <c r="F29" s="129" t="s">
        <v>85</v>
      </c>
      <c r="G29" s="129" t="s">
        <v>25</v>
      </c>
      <c r="H29" s="129" t="s">
        <v>81</v>
      </c>
      <c r="I29" s="129" t="s">
        <v>25</v>
      </c>
      <c r="J29" s="129">
        <v>19.36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29">
        <v>0</v>
      </c>
      <c r="Q29" s="129">
        <v>0</v>
      </c>
      <c r="R29" s="129">
        <v>0</v>
      </c>
      <c r="S29" s="129">
        <v>0</v>
      </c>
      <c r="T29" s="129">
        <v>3.69437437614322</v>
      </c>
      <c r="U29" s="129">
        <v>1.0159587644305299</v>
      </c>
      <c r="V29" s="129">
        <v>8.8624231806904999E-2</v>
      </c>
      <c r="W29" s="129">
        <v>0</v>
      </c>
      <c r="X29" s="129">
        <v>2.4118946952125002</v>
      </c>
      <c r="Y29" s="129">
        <v>0</v>
      </c>
      <c r="Z29" s="129">
        <v>0</v>
      </c>
      <c r="AA29" s="129">
        <v>12.1453318623683</v>
      </c>
      <c r="AB29" s="129">
        <v>0</v>
      </c>
      <c r="AC29" s="129">
        <v>0</v>
      </c>
      <c r="AD29" s="129">
        <v>0</v>
      </c>
      <c r="AE29" s="129">
        <v>0</v>
      </c>
      <c r="AF29" s="129">
        <v>0</v>
      </c>
      <c r="AG29" s="129">
        <v>0</v>
      </c>
      <c r="AH29" s="129">
        <v>0</v>
      </c>
      <c r="AI29" s="129">
        <v>0</v>
      </c>
      <c r="AJ29" s="129">
        <v>0</v>
      </c>
      <c r="AK29" s="129">
        <v>0</v>
      </c>
      <c r="AL29" s="129">
        <v>0</v>
      </c>
      <c r="AM29" s="129">
        <v>0</v>
      </c>
      <c r="AN29" s="129">
        <v>0</v>
      </c>
      <c r="AO29" s="129">
        <v>0</v>
      </c>
      <c r="AP29" s="129">
        <v>0</v>
      </c>
      <c r="AQ29" s="129">
        <v>0</v>
      </c>
      <c r="AR29" s="130">
        <v>0</v>
      </c>
    </row>
    <row r="30" spans="2:44" ht="12" customHeight="1" x14ac:dyDescent="0.25">
      <c r="B30" s="128" t="s">
        <v>39</v>
      </c>
      <c r="C30" s="129" t="s">
        <v>41</v>
      </c>
      <c r="D30" s="129" t="s">
        <v>25</v>
      </c>
      <c r="E30" s="129" t="s">
        <v>25</v>
      </c>
      <c r="F30" s="129" t="s">
        <v>85</v>
      </c>
      <c r="G30" s="129" t="s">
        <v>35</v>
      </c>
      <c r="H30" s="129" t="s">
        <v>78</v>
      </c>
      <c r="I30" s="129" t="s">
        <v>25</v>
      </c>
      <c r="J30" s="129">
        <v>8.14</v>
      </c>
      <c r="K30" s="129">
        <v>0</v>
      </c>
      <c r="L30" s="129">
        <v>0</v>
      </c>
      <c r="M30" s="129">
        <v>0.40874769358716501</v>
      </c>
      <c r="N30" s="129">
        <v>0.18054723184064</v>
      </c>
      <c r="O30" s="129">
        <v>3.9888958600875997E-2</v>
      </c>
      <c r="P30" s="129">
        <v>0</v>
      </c>
      <c r="Q30" s="129">
        <v>0</v>
      </c>
      <c r="R30" s="129">
        <v>0</v>
      </c>
      <c r="S30" s="129">
        <v>0</v>
      </c>
      <c r="T30" s="129">
        <v>0</v>
      </c>
      <c r="U30" s="129">
        <v>0</v>
      </c>
      <c r="V30" s="129">
        <v>0</v>
      </c>
      <c r="W30" s="129">
        <v>0</v>
      </c>
      <c r="X30" s="129">
        <v>0</v>
      </c>
      <c r="Y30" s="129">
        <v>0</v>
      </c>
      <c r="Z30" s="129">
        <v>0</v>
      </c>
      <c r="AA30" s="129">
        <v>0</v>
      </c>
      <c r="AB30" s="129">
        <v>0</v>
      </c>
      <c r="AC30" s="129">
        <v>0</v>
      </c>
      <c r="AD30" s="129">
        <v>5.5295620369635996</v>
      </c>
      <c r="AE30" s="129">
        <v>0.13037197840731099</v>
      </c>
      <c r="AF30" s="129">
        <v>1.8468017215768799</v>
      </c>
      <c r="AG30" s="129">
        <v>0</v>
      </c>
      <c r="AH30" s="129">
        <v>0</v>
      </c>
      <c r="AI30" s="129">
        <v>0</v>
      </c>
      <c r="AJ30" s="129">
        <v>0</v>
      </c>
      <c r="AK30" s="129">
        <v>0</v>
      </c>
      <c r="AL30" s="129">
        <v>0</v>
      </c>
      <c r="AM30" s="129">
        <v>0</v>
      </c>
      <c r="AN30" s="129">
        <v>0</v>
      </c>
      <c r="AO30" s="129">
        <v>0</v>
      </c>
      <c r="AP30" s="129">
        <v>0</v>
      </c>
      <c r="AQ30" s="129">
        <v>0</v>
      </c>
      <c r="AR30" s="130">
        <v>0</v>
      </c>
    </row>
    <row r="31" spans="2:44" ht="12" customHeight="1" x14ac:dyDescent="0.25">
      <c r="B31" s="128" t="s">
        <v>39</v>
      </c>
      <c r="C31" s="129" t="s">
        <v>41</v>
      </c>
      <c r="D31" s="129" t="s">
        <v>25</v>
      </c>
      <c r="E31" s="129" t="s">
        <v>25</v>
      </c>
      <c r="F31" s="129" t="s">
        <v>25</v>
      </c>
      <c r="G31" s="129" t="s">
        <v>34</v>
      </c>
      <c r="H31" s="129" t="s">
        <v>78</v>
      </c>
      <c r="I31" s="129" t="s">
        <v>25</v>
      </c>
      <c r="J31" s="129">
        <v>1013.33</v>
      </c>
      <c r="K31" s="129">
        <v>370.4</v>
      </c>
      <c r="L31" s="129">
        <v>1.5350769413580601</v>
      </c>
      <c r="M31" s="129">
        <v>0.40874769358716501</v>
      </c>
      <c r="N31" s="129">
        <v>10.045273992959901</v>
      </c>
      <c r="O31" s="129">
        <v>3.9888958600875997E-2</v>
      </c>
      <c r="P31" s="129">
        <v>0</v>
      </c>
      <c r="Q31" s="129">
        <v>30.2542957879025</v>
      </c>
      <c r="R31" s="129">
        <v>14.370155340998</v>
      </c>
      <c r="S31" s="129">
        <v>0</v>
      </c>
      <c r="T31" s="129">
        <v>118.671968977766</v>
      </c>
      <c r="U31" s="129">
        <v>32.276749552275902</v>
      </c>
      <c r="V31" s="129">
        <v>2.9237300741726902</v>
      </c>
      <c r="W31" s="129">
        <v>0</v>
      </c>
      <c r="X31" s="129">
        <v>154.297589986502</v>
      </c>
      <c r="Y31" s="129">
        <v>0</v>
      </c>
      <c r="Z31" s="129">
        <v>0</v>
      </c>
      <c r="AA31" s="129">
        <v>641.00177917875601</v>
      </c>
      <c r="AB31" s="129">
        <v>0</v>
      </c>
      <c r="AC31" s="129">
        <v>0</v>
      </c>
      <c r="AD31" s="129">
        <v>5.5295620369635996</v>
      </c>
      <c r="AE31" s="129">
        <v>0.13037197840731099</v>
      </c>
      <c r="AF31" s="129">
        <v>1.8468017215768799</v>
      </c>
      <c r="AG31" s="129">
        <v>0</v>
      </c>
      <c r="AH31" s="129">
        <v>7.6605309289669696</v>
      </c>
      <c r="AI31" s="129">
        <v>0</v>
      </c>
      <c r="AJ31" s="129">
        <v>2.5213258337079201</v>
      </c>
      <c r="AK31" s="129">
        <v>14.0711603556282</v>
      </c>
      <c r="AL31" s="129">
        <v>0</v>
      </c>
      <c r="AM31" s="129">
        <v>341.94811742950702</v>
      </c>
      <c r="AN31" s="129">
        <v>0</v>
      </c>
      <c r="AO31" s="129">
        <v>0</v>
      </c>
      <c r="AP31" s="129">
        <v>1.8513197508430401E-12</v>
      </c>
      <c r="AQ31" s="129">
        <v>0</v>
      </c>
      <c r="AR31" s="130">
        <v>4.20372506733211</v>
      </c>
    </row>
    <row r="32" spans="2:44" ht="12" customHeight="1" x14ac:dyDescent="0.25">
      <c r="B32" s="128" t="s">
        <v>39</v>
      </c>
      <c r="C32" s="129" t="s">
        <v>41</v>
      </c>
      <c r="D32" s="129" t="s">
        <v>25</v>
      </c>
      <c r="E32" s="129" t="s">
        <v>25</v>
      </c>
      <c r="F32" s="129" t="s">
        <v>25</v>
      </c>
      <c r="G32" s="129" t="s">
        <v>25</v>
      </c>
      <c r="H32" s="129" t="s">
        <v>81</v>
      </c>
      <c r="I32" s="129" t="s">
        <v>25</v>
      </c>
      <c r="J32" s="129">
        <v>19.36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29">
        <v>0</v>
      </c>
      <c r="Q32" s="129">
        <v>0</v>
      </c>
      <c r="R32" s="129">
        <v>0</v>
      </c>
      <c r="S32" s="129">
        <v>0</v>
      </c>
      <c r="T32" s="129">
        <v>3.69437437614322</v>
      </c>
      <c r="U32" s="129">
        <v>1.0159587644305299</v>
      </c>
      <c r="V32" s="129">
        <v>8.8624231806904999E-2</v>
      </c>
      <c r="W32" s="129">
        <v>0</v>
      </c>
      <c r="X32" s="129">
        <v>2.4118946952125002</v>
      </c>
      <c r="Y32" s="129">
        <v>0</v>
      </c>
      <c r="Z32" s="129">
        <v>0</v>
      </c>
      <c r="AA32" s="129">
        <v>12.1453318623683</v>
      </c>
      <c r="AB32" s="129">
        <v>0</v>
      </c>
      <c r="AC32" s="129">
        <v>0</v>
      </c>
      <c r="AD32" s="129">
        <v>0</v>
      </c>
      <c r="AE32" s="129">
        <v>0</v>
      </c>
      <c r="AF32" s="129">
        <v>0</v>
      </c>
      <c r="AG32" s="129">
        <v>0</v>
      </c>
      <c r="AH32" s="129">
        <v>0</v>
      </c>
      <c r="AI32" s="129">
        <v>0</v>
      </c>
      <c r="AJ32" s="129">
        <v>0</v>
      </c>
      <c r="AK32" s="129">
        <v>0</v>
      </c>
      <c r="AL32" s="129">
        <v>0</v>
      </c>
      <c r="AM32" s="129">
        <v>0</v>
      </c>
      <c r="AN32" s="129">
        <v>0</v>
      </c>
      <c r="AO32" s="129">
        <v>0</v>
      </c>
      <c r="AP32" s="129">
        <v>0</v>
      </c>
      <c r="AQ32" s="129">
        <v>0</v>
      </c>
      <c r="AR32" s="130">
        <v>0</v>
      </c>
    </row>
    <row r="33" spans="2:44" ht="12" customHeight="1" x14ac:dyDescent="0.25">
      <c r="B33" s="128" t="s">
        <v>39</v>
      </c>
      <c r="C33" s="129" t="s">
        <v>41</v>
      </c>
      <c r="D33" s="129" t="s">
        <v>25</v>
      </c>
      <c r="E33" s="129" t="s">
        <v>25</v>
      </c>
      <c r="F33" s="129" t="s">
        <v>25</v>
      </c>
      <c r="G33" s="129" t="s">
        <v>35</v>
      </c>
      <c r="H33" s="129" t="s">
        <v>78</v>
      </c>
      <c r="I33" s="129" t="s">
        <v>25</v>
      </c>
      <c r="J33" s="129">
        <v>54.31</v>
      </c>
      <c r="K33" s="129">
        <v>227.26</v>
      </c>
      <c r="L33" s="129">
        <v>1.5350769413580601</v>
      </c>
      <c r="M33" s="129">
        <v>0.40874769358716501</v>
      </c>
      <c r="N33" s="129">
        <v>0.19225909901201499</v>
      </c>
      <c r="O33" s="129">
        <v>3.9888958600875997E-2</v>
      </c>
      <c r="P33" s="129">
        <v>0</v>
      </c>
      <c r="Q33" s="129">
        <v>30.2542957879025</v>
      </c>
      <c r="R33" s="129">
        <v>14.370155340998</v>
      </c>
      <c r="S33" s="129">
        <v>0</v>
      </c>
      <c r="T33" s="129">
        <v>0</v>
      </c>
      <c r="U33" s="129">
        <v>0</v>
      </c>
      <c r="V33" s="129">
        <v>0</v>
      </c>
      <c r="W33" s="129">
        <v>0</v>
      </c>
      <c r="X33" s="129">
        <v>0</v>
      </c>
      <c r="Y33" s="129">
        <v>0</v>
      </c>
      <c r="Z33" s="129">
        <v>0</v>
      </c>
      <c r="AA33" s="129">
        <v>0</v>
      </c>
      <c r="AB33" s="129">
        <v>0</v>
      </c>
      <c r="AC33" s="129">
        <v>0</v>
      </c>
      <c r="AD33" s="129">
        <v>5.5295620369635996</v>
      </c>
      <c r="AE33" s="129">
        <v>0.13037197840731099</v>
      </c>
      <c r="AF33" s="129">
        <v>1.8468017215768799</v>
      </c>
      <c r="AG33" s="129">
        <v>0</v>
      </c>
      <c r="AH33" s="129">
        <v>7.6605309289669696</v>
      </c>
      <c r="AI33" s="129">
        <v>0</v>
      </c>
      <c r="AJ33" s="129">
        <v>2.5213258337079201</v>
      </c>
      <c r="AK33" s="129">
        <v>14.0711603556282</v>
      </c>
      <c r="AL33" s="129">
        <v>0</v>
      </c>
      <c r="AM33" s="129">
        <v>198.80704501715499</v>
      </c>
      <c r="AN33" s="129">
        <v>0</v>
      </c>
      <c r="AO33" s="129">
        <v>0</v>
      </c>
      <c r="AP33" s="129">
        <v>1.8513197508430401E-12</v>
      </c>
      <c r="AQ33" s="129">
        <v>0</v>
      </c>
      <c r="AR33" s="130">
        <v>4.20372506733211</v>
      </c>
    </row>
    <row r="34" spans="2:44" ht="12" customHeight="1" x14ac:dyDescent="0.25">
      <c r="B34" s="128" t="s">
        <v>88</v>
      </c>
      <c r="C34" s="129" t="s">
        <v>87</v>
      </c>
      <c r="D34" s="129" t="s">
        <v>25</v>
      </c>
      <c r="E34" s="129" t="s">
        <v>25</v>
      </c>
      <c r="F34" s="129" t="s">
        <v>89</v>
      </c>
      <c r="G34" s="129" t="s">
        <v>25</v>
      </c>
      <c r="H34" s="129" t="s">
        <v>81</v>
      </c>
      <c r="I34" s="129" t="s">
        <v>25</v>
      </c>
      <c r="J34" s="129">
        <v>10.6</v>
      </c>
      <c r="K34" s="129">
        <v>0</v>
      </c>
      <c r="L34" s="129">
        <v>0</v>
      </c>
      <c r="M34" s="129">
        <v>3.6161961307638997E-2</v>
      </c>
      <c r="N34" s="129">
        <v>0.103298668451532</v>
      </c>
      <c r="O34" s="129">
        <v>0</v>
      </c>
      <c r="P34" s="129">
        <v>0</v>
      </c>
      <c r="Q34" s="129">
        <v>0</v>
      </c>
      <c r="R34" s="129">
        <v>0</v>
      </c>
      <c r="S34" s="129">
        <v>0</v>
      </c>
      <c r="T34" s="129">
        <v>0</v>
      </c>
      <c r="U34" s="129">
        <v>0</v>
      </c>
      <c r="V34" s="129">
        <v>0</v>
      </c>
      <c r="W34" s="129">
        <v>0</v>
      </c>
      <c r="X34" s="129">
        <v>0</v>
      </c>
      <c r="Y34" s="129">
        <v>0</v>
      </c>
      <c r="Z34" s="129">
        <v>0</v>
      </c>
      <c r="AA34" s="129">
        <v>10.464720918011899</v>
      </c>
      <c r="AB34" s="129">
        <v>0</v>
      </c>
      <c r="AC34" s="129">
        <v>0</v>
      </c>
      <c r="AD34" s="129">
        <v>0</v>
      </c>
      <c r="AE34" s="129">
        <v>0</v>
      </c>
      <c r="AF34" s="129">
        <v>0</v>
      </c>
      <c r="AG34" s="129">
        <v>0</v>
      </c>
      <c r="AH34" s="129">
        <v>0</v>
      </c>
      <c r="AI34" s="129">
        <v>0</v>
      </c>
      <c r="AJ34" s="129">
        <v>0</v>
      </c>
      <c r="AK34" s="129">
        <v>0</v>
      </c>
      <c r="AL34" s="129">
        <v>0</v>
      </c>
      <c r="AM34" s="129">
        <v>0</v>
      </c>
      <c r="AN34" s="129">
        <v>0</v>
      </c>
      <c r="AO34" s="129">
        <v>0</v>
      </c>
      <c r="AP34" s="129">
        <v>0</v>
      </c>
      <c r="AQ34" s="129">
        <v>0</v>
      </c>
      <c r="AR34" s="130">
        <v>0</v>
      </c>
    </row>
    <row r="35" spans="2:44" ht="12" customHeight="1" x14ac:dyDescent="0.25">
      <c r="B35" s="128" t="s">
        <v>88</v>
      </c>
      <c r="C35" s="129" t="s">
        <v>87</v>
      </c>
      <c r="D35" s="129" t="s">
        <v>25</v>
      </c>
      <c r="E35" s="129" t="s">
        <v>25</v>
      </c>
      <c r="F35" s="129" t="s">
        <v>90</v>
      </c>
      <c r="G35" s="129" t="s">
        <v>25</v>
      </c>
      <c r="H35" s="129" t="s">
        <v>81</v>
      </c>
      <c r="I35" s="129" t="s">
        <v>25</v>
      </c>
      <c r="J35" s="129">
        <v>18.27</v>
      </c>
      <c r="K35" s="129">
        <v>0</v>
      </c>
      <c r="L35" s="129">
        <v>0</v>
      </c>
      <c r="M35" s="129">
        <v>3.6161961307638997E-2</v>
      </c>
      <c r="N35" s="129">
        <v>0.103298668451532</v>
      </c>
      <c r="O35" s="129">
        <v>0</v>
      </c>
      <c r="P35" s="129">
        <v>0</v>
      </c>
      <c r="Q35" s="129">
        <v>0</v>
      </c>
      <c r="R35" s="129">
        <v>0</v>
      </c>
      <c r="S35" s="129">
        <v>0</v>
      </c>
      <c r="T35" s="129">
        <v>0</v>
      </c>
      <c r="U35" s="129">
        <v>0</v>
      </c>
      <c r="V35" s="129">
        <v>0</v>
      </c>
      <c r="W35" s="129">
        <v>0</v>
      </c>
      <c r="X35" s="129">
        <v>0</v>
      </c>
      <c r="Y35" s="129">
        <v>0</v>
      </c>
      <c r="Z35" s="129">
        <v>0</v>
      </c>
      <c r="AA35" s="129">
        <v>18.133725959003499</v>
      </c>
      <c r="AB35" s="129">
        <v>0</v>
      </c>
      <c r="AC35" s="129">
        <v>0</v>
      </c>
      <c r="AD35" s="129">
        <v>0</v>
      </c>
      <c r="AE35" s="129">
        <v>0</v>
      </c>
      <c r="AF35" s="129">
        <v>0</v>
      </c>
      <c r="AG35" s="129">
        <v>0</v>
      </c>
      <c r="AH35" s="129">
        <v>0</v>
      </c>
      <c r="AI35" s="129">
        <v>0</v>
      </c>
      <c r="AJ35" s="129">
        <v>0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0</v>
      </c>
      <c r="AQ35" s="129">
        <v>0</v>
      </c>
      <c r="AR35" s="130">
        <v>0</v>
      </c>
    </row>
    <row r="36" spans="2:44" ht="12" customHeight="1" x14ac:dyDescent="0.25">
      <c r="B36" s="128" t="s">
        <v>22</v>
      </c>
      <c r="C36" s="129" t="s">
        <v>33</v>
      </c>
      <c r="D36" s="129" t="s">
        <v>24</v>
      </c>
      <c r="E36" s="129" t="s">
        <v>24</v>
      </c>
      <c r="F36" s="129" t="s">
        <v>25</v>
      </c>
      <c r="G36" s="129" t="s">
        <v>34</v>
      </c>
      <c r="H36" s="129" t="s">
        <v>78</v>
      </c>
      <c r="I36" s="129" t="s">
        <v>25</v>
      </c>
      <c r="J36" s="129">
        <v>834.57</v>
      </c>
      <c r="K36" s="129">
        <v>370.4</v>
      </c>
      <c r="L36" s="129">
        <v>1.8274725492357899</v>
      </c>
      <c r="M36" s="129">
        <v>0.813341276061333</v>
      </c>
      <c r="N36" s="129">
        <v>8.0993464530991996</v>
      </c>
      <c r="O36" s="129">
        <v>3.9888958600875997E-2</v>
      </c>
      <c r="P36" s="129">
        <v>0</v>
      </c>
      <c r="Q36" s="129">
        <v>36.017018795122098</v>
      </c>
      <c r="R36" s="129">
        <v>14.370155340998</v>
      </c>
      <c r="S36" s="129">
        <v>0</v>
      </c>
      <c r="T36" s="129">
        <v>54.5999221309144</v>
      </c>
      <c r="U36" s="129">
        <v>14.9217105833195</v>
      </c>
      <c r="V36" s="129">
        <v>1.3304504464225499</v>
      </c>
      <c r="W36" s="129">
        <v>0</v>
      </c>
      <c r="X36" s="129">
        <v>56.719311088010599</v>
      </c>
      <c r="Y36" s="129">
        <v>0</v>
      </c>
      <c r="Z36" s="129">
        <v>0</v>
      </c>
      <c r="AA36" s="129">
        <v>626.15659102352402</v>
      </c>
      <c r="AB36" s="129">
        <v>0</v>
      </c>
      <c r="AC36" s="129">
        <v>0</v>
      </c>
      <c r="AD36" s="129">
        <v>16.664328898488002</v>
      </c>
      <c r="AE36" s="129">
        <v>0.39289938566617699</v>
      </c>
      <c r="AF36" s="129">
        <v>2.6126048271673201</v>
      </c>
      <c r="AG36" s="129">
        <v>0</v>
      </c>
      <c r="AH36" s="129">
        <v>7.6605309289669696</v>
      </c>
      <c r="AI36" s="129">
        <v>0</v>
      </c>
      <c r="AJ36" s="129">
        <v>2.5213258337079201</v>
      </c>
      <c r="AK36" s="129">
        <v>14.0711603556282</v>
      </c>
      <c r="AL36" s="129">
        <v>0</v>
      </c>
      <c r="AM36" s="129">
        <v>341.94811742950702</v>
      </c>
      <c r="AN36" s="129">
        <v>0</v>
      </c>
      <c r="AO36" s="129">
        <v>0</v>
      </c>
      <c r="AP36" s="129">
        <v>1.8513197508430401E-12</v>
      </c>
      <c r="AQ36" s="129">
        <v>0</v>
      </c>
      <c r="AR36" s="130">
        <v>4.20372506733211</v>
      </c>
    </row>
    <row r="37" spans="2:44" ht="12" customHeight="1" x14ac:dyDescent="0.25">
      <c r="B37" s="128" t="s">
        <v>22</v>
      </c>
      <c r="C37" s="129" t="s">
        <v>33</v>
      </c>
      <c r="D37" s="129" t="s">
        <v>24</v>
      </c>
      <c r="E37" s="129" t="s">
        <v>24</v>
      </c>
      <c r="F37" s="129" t="s">
        <v>25</v>
      </c>
      <c r="G37" s="129" t="s">
        <v>36</v>
      </c>
      <c r="H37" s="129" t="s">
        <v>78</v>
      </c>
      <c r="I37" s="129" t="s">
        <v>25</v>
      </c>
      <c r="J37" s="129">
        <v>530.02</v>
      </c>
      <c r="K37" s="129">
        <v>227.26</v>
      </c>
      <c r="L37" s="129">
        <v>1.8274725492357899</v>
      </c>
      <c r="M37" s="129">
        <v>0.813341276061333</v>
      </c>
      <c r="N37" s="129">
        <v>5.0436711182452099</v>
      </c>
      <c r="O37" s="129">
        <v>3.9888958600875997E-2</v>
      </c>
      <c r="P37" s="129">
        <v>0</v>
      </c>
      <c r="Q37" s="129">
        <v>36.017018795122098</v>
      </c>
      <c r="R37" s="129">
        <v>14.370155340998</v>
      </c>
      <c r="S37" s="129">
        <v>0</v>
      </c>
      <c r="T37" s="129">
        <v>32.759953278548601</v>
      </c>
      <c r="U37" s="129">
        <v>8.9530420316347001</v>
      </c>
      <c r="V37" s="129">
        <v>0.79823806135518904</v>
      </c>
      <c r="W37" s="129">
        <v>0</v>
      </c>
      <c r="X37" s="129">
        <v>34.031564475687901</v>
      </c>
      <c r="Y37" s="129">
        <v>0</v>
      </c>
      <c r="Z37" s="129">
        <v>0</v>
      </c>
      <c r="AA37" s="129">
        <v>375.69390695241901</v>
      </c>
      <c r="AB37" s="129">
        <v>0</v>
      </c>
      <c r="AC37" s="129">
        <v>0</v>
      </c>
      <c r="AD37" s="129">
        <v>16.664328898488002</v>
      </c>
      <c r="AE37" s="129">
        <v>0.39289938566617699</v>
      </c>
      <c r="AF37" s="129">
        <v>2.6126048271673201</v>
      </c>
      <c r="AG37" s="129">
        <v>0</v>
      </c>
      <c r="AH37" s="129">
        <v>7.6605309289669696</v>
      </c>
      <c r="AI37" s="129">
        <v>0</v>
      </c>
      <c r="AJ37" s="129">
        <v>2.5213258337079201</v>
      </c>
      <c r="AK37" s="129">
        <v>14.0711603556282</v>
      </c>
      <c r="AL37" s="129">
        <v>0</v>
      </c>
      <c r="AM37" s="129">
        <v>198.80704501715499</v>
      </c>
      <c r="AN37" s="129">
        <v>0</v>
      </c>
      <c r="AO37" s="129">
        <v>0</v>
      </c>
      <c r="AP37" s="129">
        <v>1.8513197508430401E-12</v>
      </c>
      <c r="AQ37" s="129">
        <v>0</v>
      </c>
      <c r="AR37" s="130">
        <v>4.20372506733211</v>
      </c>
    </row>
    <row r="38" spans="2:44" ht="12" customHeight="1" x14ac:dyDescent="0.25">
      <c r="B38" s="128" t="s">
        <v>22</v>
      </c>
      <c r="C38" s="129" t="s">
        <v>33</v>
      </c>
      <c r="D38" s="129" t="s">
        <v>24</v>
      </c>
      <c r="E38" s="129" t="s">
        <v>24</v>
      </c>
      <c r="F38" s="129" t="s">
        <v>25</v>
      </c>
      <c r="G38" s="129" t="s">
        <v>35</v>
      </c>
      <c r="H38" s="129" t="s">
        <v>78</v>
      </c>
      <c r="I38" s="129" t="s">
        <v>25</v>
      </c>
      <c r="J38" s="129">
        <v>225.47</v>
      </c>
      <c r="K38" s="129">
        <v>227.26</v>
      </c>
      <c r="L38" s="129">
        <v>1.8274725492357899</v>
      </c>
      <c r="M38" s="129">
        <v>0.813341276061333</v>
      </c>
      <c r="N38" s="129">
        <v>1.98799812576465</v>
      </c>
      <c r="O38" s="129">
        <v>3.9888958600875997E-2</v>
      </c>
      <c r="P38" s="129">
        <v>0</v>
      </c>
      <c r="Q38" s="129">
        <v>36.017018795122098</v>
      </c>
      <c r="R38" s="129">
        <v>14.370155340998</v>
      </c>
      <c r="S38" s="129">
        <v>0</v>
      </c>
      <c r="T38" s="129">
        <v>10.9199844261829</v>
      </c>
      <c r="U38" s="129">
        <v>2.9843734799499102</v>
      </c>
      <c r="V38" s="129">
        <v>0.26610619253368001</v>
      </c>
      <c r="W38" s="129">
        <v>0</v>
      </c>
      <c r="X38" s="129">
        <v>11.343817863365199</v>
      </c>
      <c r="Y38" s="129">
        <v>0</v>
      </c>
      <c r="Z38" s="129">
        <v>0</v>
      </c>
      <c r="AA38" s="129">
        <v>125.231342035552</v>
      </c>
      <c r="AB38" s="129">
        <v>0</v>
      </c>
      <c r="AC38" s="129">
        <v>0</v>
      </c>
      <c r="AD38" s="129">
        <v>16.664328898488002</v>
      </c>
      <c r="AE38" s="129">
        <v>0.39289938566617699</v>
      </c>
      <c r="AF38" s="129">
        <v>2.6126048271673201</v>
      </c>
      <c r="AG38" s="129">
        <v>0</v>
      </c>
      <c r="AH38" s="129">
        <v>7.6605309289669696</v>
      </c>
      <c r="AI38" s="129">
        <v>0</v>
      </c>
      <c r="AJ38" s="129">
        <v>2.5213258337079201</v>
      </c>
      <c r="AK38" s="129">
        <v>14.0711603556282</v>
      </c>
      <c r="AL38" s="129">
        <v>0</v>
      </c>
      <c r="AM38" s="129">
        <v>198.80704501715499</v>
      </c>
      <c r="AN38" s="129">
        <v>0</v>
      </c>
      <c r="AO38" s="129">
        <v>0</v>
      </c>
      <c r="AP38" s="129">
        <v>1.8513197508430401E-12</v>
      </c>
      <c r="AQ38" s="129">
        <v>0</v>
      </c>
      <c r="AR38" s="130">
        <v>4.20372506733211</v>
      </c>
    </row>
    <row r="39" spans="2:44" ht="12" customHeight="1" x14ac:dyDescent="0.25">
      <c r="B39" s="128" t="s">
        <v>22</v>
      </c>
      <c r="C39" s="129" t="s">
        <v>23</v>
      </c>
      <c r="D39" s="129" t="s">
        <v>24</v>
      </c>
      <c r="E39" s="129" t="s">
        <v>1428</v>
      </c>
      <c r="F39" s="129" t="s">
        <v>25</v>
      </c>
      <c r="G39" s="129" t="s">
        <v>25</v>
      </c>
      <c r="H39" s="129" t="s">
        <v>78</v>
      </c>
      <c r="I39" s="129" t="s">
        <v>25</v>
      </c>
      <c r="J39" s="129">
        <v>258.89999999999998</v>
      </c>
      <c r="K39" s="129">
        <v>239.19</v>
      </c>
      <c r="L39" s="129">
        <v>0</v>
      </c>
      <c r="M39" s="129">
        <v>0.813341276061333</v>
      </c>
      <c r="N39" s="129">
        <v>2.8356925309483598</v>
      </c>
      <c r="O39" s="129">
        <v>3.9888958600875997E-2</v>
      </c>
      <c r="P39" s="129">
        <v>0</v>
      </c>
      <c r="Q39" s="129">
        <v>0</v>
      </c>
      <c r="R39" s="129">
        <v>0</v>
      </c>
      <c r="S39" s="129">
        <v>0</v>
      </c>
      <c r="T39" s="129">
        <v>17.062413535821801</v>
      </c>
      <c r="U39" s="129">
        <v>4.6630149552335904</v>
      </c>
      <c r="V39" s="129">
        <v>0.41578589356850898</v>
      </c>
      <c r="W39" s="129">
        <v>0</v>
      </c>
      <c r="X39" s="129">
        <v>17.724729272207099</v>
      </c>
      <c r="Y39" s="129">
        <v>0</v>
      </c>
      <c r="Z39" s="129">
        <v>0</v>
      </c>
      <c r="AA39" s="129">
        <v>195.67389745915199</v>
      </c>
      <c r="AB39" s="129">
        <v>0</v>
      </c>
      <c r="AC39" s="129">
        <v>0</v>
      </c>
      <c r="AD39" s="129">
        <v>16.664328898488002</v>
      </c>
      <c r="AE39" s="129">
        <v>0.39289938566617699</v>
      </c>
      <c r="AF39" s="129">
        <v>2.6126048271673201</v>
      </c>
      <c r="AG39" s="129">
        <v>0</v>
      </c>
      <c r="AH39" s="129">
        <v>7.6605309289669696</v>
      </c>
      <c r="AI39" s="129">
        <v>0</v>
      </c>
      <c r="AJ39" s="129">
        <v>2.5213258337079201</v>
      </c>
      <c r="AK39" s="129">
        <v>14.0711603556282</v>
      </c>
      <c r="AL39" s="129">
        <v>0</v>
      </c>
      <c r="AM39" s="129">
        <v>210.73546771818499</v>
      </c>
      <c r="AN39" s="129">
        <v>0</v>
      </c>
      <c r="AO39" s="129">
        <v>0</v>
      </c>
      <c r="AP39" s="129">
        <v>1.8513197508430401E-12</v>
      </c>
      <c r="AQ39" s="129">
        <v>0</v>
      </c>
      <c r="AR39" s="130">
        <v>4.20372506733211</v>
      </c>
    </row>
    <row r="40" spans="2:44" ht="12" customHeight="1" x14ac:dyDescent="0.25">
      <c r="B40" s="128" t="s">
        <v>22</v>
      </c>
      <c r="C40" s="129" t="s">
        <v>23</v>
      </c>
      <c r="D40" s="129" t="s">
        <v>24</v>
      </c>
      <c r="E40" s="129" t="s">
        <v>24</v>
      </c>
      <c r="F40" s="129" t="s">
        <v>25</v>
      </c>
      <c r="G40" s="129" t="s">
        <v>25</v>
      </c>
      <c r="H40" s="129" t="s">
        <v>78</v>
      </c>
      <c r="I40" s="129" t="s">
        <v>25</v>
      </c>
      <c r="J40" s="129">
        <v>311.12</v>
      </c>
      <c r="K40" s="129">
        <v>239.19</v>
      </c>
      <c r="L40" s="129">
        <v>1.8274725492357899</v>
      </c>
      <c r="M40" s="129">
        <v>0.813341276061333</v>
      </c>
      <c r="N40" s="129">
        <v>2.8474043981197301</v>
      </c>
      <c r="O40" s="129">
        <v>3.9888958600875997E-2</v>
      </c>
      <c r="P40" s="129">
        <v>0</v>
      </c>
      <c r="Q40" s="129">
        <v>36.017018795122098</v>
      </c>
      <c r="R40" s="129">
        <v>14.370155340998</v>
      </c>
      <c r="S40" s="129">
        <v>0</v>
      </c>
      <c r="T40" s="129">
        <v>17.062413535821801</v>
      </c>
      <c r="U40" s="129">
        <v>4.6630149552335904</v>
      </c>
      <c r="V40" s="129">
        <v>0.41578589356850898</v>
      </c>
      <c r="W40" s="129">
        <v>0</v>
      </c>
      <c r="X40" s="129">
        <v>17.724729272207099</v>
      </c>
      <c r="Y40" s="129">
        <v>0</v>
      </c>
      <c r="Z40" s="129">
        <v>0</v>
      </c>
      <c r="AA40" s="129">
        <v>195.67389745915199</v>
      </c>
      <c r="AB40" s="129">
        <v>0</v>
      </c>
      <c r="AC40" s="129">
        <v>0</v>
      </c>
      <c r="AD40" s="129">
        <v>16.664328898488002</v>
      </c>
      <c r="AE40" s="129">
        <v>0.39289938566617699</v>
      </c>
      <c r="AF40" s="129">
        <v>2.6126048271673201</v>
      </c>
      <c r="AG40" s="129">
        <v>0</v>
      </c>
      <c r="AH40" s="129">
        <v>7.6605309289669696</v>
      </c>
      <c r="AI40" s="129">
        <v>0</v>
      </c>
      <c r="AJ40" s="129">
        <v>2.5213258337079201</v>
      </c>
      <c r="AK40" s="129">
        <v>14.0711603556282</v>
      </c>
      <c r="AL40" s="129">
        <v>0</v>
      </c>
      <c r="AM40" s="129">
        <v>210.73546771818499</v>
      </c>
      <c r="AN40" s="129">
        <v>0</v>
      </c>
      <c r="AO40" s="129">
        <v>0</v>
      </c>
      <c r="AP40" s="129">
        <v>1.8513197508430401E-12</v>
      </c>
      <c r="AQ40" s="129">
        <v>0</v>
      </c>
      <c r="AR40" s="130">
        <v>4.20372506733211</v>
      </c>
    </row>
    <row r="41" spans="2:44" ht="12" customHeight="1" x14ac:dyDescent="0.25">
      <c r="B41" s="128" t="s">
        <v>22</v>
      </c>
      <c r="C41" s="129" t="s">
        <v>93</v>
      </c>
      <c r="D41" s="129" t="s">
        <v>24</v>
      </c>
      <c r="E41" s="129" t="s">
        <v>1428</v>
      </c>
      <c r="F41" s="129" t="s">
        <v>25</v>
      </c>
      <c r="G41" s="129" t="s">
        <v>25</v>
      </c>
      <c r="H41" s="129" t="s">
        <v>78</v>
      </c>
      <c r="I41" s="129" t="s">
        <v>25</v>
      </c>
      <c r="J41" s="129">
        <v>258.89999999999998</v>
      </c>
      <c r="K41" s="129">
        <v>239.19</v>
      </c>
      <c r="L41" s="129">
        <v>0</v>
      </c>
      <c r="M41" s="129">
        <v>0.813341276061333</v>
      </c>
      <c r="N41" s="129">
        <v>2.8356925309483598</v>
      </c>
      <c r="O41" s="129">
        <v>3.9888958600875997E-2</v>
      </c>
      <c r="P41" s="129">
        <v>0</v>
      </c>
      <c r="Q41" s="129">
        <v>0</v>
      </c>
      <c r="R41" s="129">
        <v>0</v>
      </c>
      <c r="S41" s="129">
        <v>0</v>
      </c>
      <c r="T41" s="129">
        <v>17.062413535821801</v>
      </c>
      <c r="U41" s="129">
        <v>4.6630149552335904</v>
      </c>
      <c r="V41" s="129">
        <v>0.41578589356850898</v>
      </c>
      <c r="W41" s="129">
        <v>0</v>
      </c>
      <c r="X41" s="129">
        <v>17.724729272207099</v>
      </c>
      <c r="Y41" s="129">
        <v>0</v>
      </c>
      <c r="Z41" s="129">
        <v>0</v>
      </c>
      <c r="AA41" s="129">
        <v>195.67389745915199</v>
      </c>
      <c r="AB41" s="129">
        <v>0</v>
      </c>
      <c r="AC41" s="129">
        <v>0</v>
      </c>
      <c r="AD41" s="129">
        <v>16.664328898488002</v>
      </c>
      <c r="AE41" s="129">
        <v>0.39289938566617699</v>
      </c>
      <c r="AF41" s="129">
        <v>2.6126048271673201</v>
      </c>
      <c r="AG41" s="129">
        <v>0</v>
      </c>
      <c r="AH41" s="129">
        <v>7.6605309289669696</v>
      </c>
      <c r="AI41" s="129">
        <v>0</v>
      </c>
      <c r="AJ41" s="129">
        <v>2.5213258337079201</v>
      </c>
      <c r="AK41" s="129">
        <v>14.0711603556282</v>
      </c>
      <c r="AL41" s="129">
        <v>0</v>
      </c>
      <c r="AM41" s="129">
        <v>210.73546771818499</v>
      </c>
      <c r="AN41" s="129">
        <v>0</v>
      </c>
      <c r="AO41" s="129">
        <v>0</v>
      </c>
      <c r="AP41" s="129">
        <v>1.8513197508430401E-12</v>
      </c>
      <c r="AQ41" s="129">
        <v>0</v>
      </c>
      <c r="AR41" s="130">
        <v>4.20372506733211</v>
      </c>
    </row>
    <row r="42" spans="2:44" ht="12" customHeight="1" x14ac:dyDescent="0.25">
      <c r="B42" s="128" t="s">
        <v>22</v>
      </c>
      <c r="C42" s="129" t="s">
        <v>93</v>
      </c>
      <c r="D42" s="129" t="s">
        <v>24</v>
      </c>
      <c r="E42" s="129" t="s">
        <v>24</v>
      </c>
      <c r="F42" s="129" t="s">
        <v>25</v>
      </c>
      <c r="G42" s="129" t="s">
        <v>25</v>
      </c>
      <c r="H42" s="129" t="s">
        <v>78</v>
      </c>
      <c r="I42" s="129" t="s">
        <v>25</v>
      </c>
      <c r="J42" s="129">
        <v>311.12</v>
      </c>
      <c r="K42" s="129">
        <v>239.19</v>
      </c>
      <c r="L42" s="129">
        <v>1.8274725492357899</v>
      </c>
      <c r="M42" s="129">
        <v>0.813341276061333</v>
      </c>
      <c r="N42" s="129">
        <v>2.8474043981197301</v>
      </c>
      <c r="O42" s="129">
        <v>3.9888958600875997E-2</v>
      </c>
      <c r="P42" s="129">
        <v>0</v>
      </c>
      <c r="Q42" s="129">
        <v>36.017018795122098</v>
      </c>
      <c r="R42" s="129">
        <v>14.370155340998</v>
      </c>
      <c r="S42" s="129">
        <v>0</v>
      </c>
      <c r="T42" s="129">
        <v>17.062413535821801</v>
      </c>
      <c r="U42" s="129">
        <v>4.6630149552335904</v>
      </c>
      <c r="V42" s="129">
        <v>0.41578589356850898</v>
      </c>
      <c r="W42" s="129">
        <v>0</v>
      </c>
      <c r="X42" s="129">
        <v>17.724729272207099</v>
      </c>
      <c r="Y42" s="129">
        <v>0</v>
      </c>
      <c r="Z42" s="129">
        <v>0</v>
      </c>
      <c r="AA42" s="129">
        <v>195.67389745915199</v>
      </c>
      <c r="AB42" s="129">
        <v>0</v>
      </c>
      <c r="AC42" s="129">
        <v>0</v>
      </c>
      <c r="AD42" s="129">
        <v>16.664328898488002</v>
      </c>
      <c r="AE42" s="129">
        <v>0.39289938566617699</v>
      </c>
      <c r="AF42" s="129">
        <v>2.6126048271673201</v>
      </c>
      <c r="AG42" s="129">
        <v>0</v>
      </c>
      <c r="AH42" s="129">
        <v>7.6605309289669696</v>
      </c>
      <c r="AI42" s="129">
        <v>0</v>
      </c>
      <c r="AJ42" s="129">
        <v>2.5213258337079201</v>
      </c>
      <c r="AK42" s="129">
        <v>14.0711603556282</v>
      </c>
      <c r="AL42" s="129">
        <v>0</v>
      </c>
      <c r="AM42" s="129">
        <v>210.73546771818499</v>
      </c>
      <c r="AN42" s="129">
        <v>0</v>
      </c>
      <c r="AO42" s="129">
        <v>0</v>
      </c>
      <c r="AP42" s="129">
        <v>1.8513197508430401E-12</v>
      </c>
      <c r="AQ42" s="129">
        <v>0</v>
      </c>
      <c r="AR42" s="130">
        <v>4.20372506733211</v>
      </c>
    </row>
    <row r="43" spans="2:44" ht="12" customHeight="1" x14ac:dyDescent="0.25">
      <c r="B43" s="128" t="s">
        <v>43</v>
      </c>
      <c r="C43" s="129" t="s">
        <v>33</v>
      </c>
      <c r="D43" s="129" t="s">
        <v>44</v>
      </c>
      <c r="E43" s="129" t="s">
        <v>94</v>
      </c>
      <c r="F43" s="129" t="s">
        <v>25</v>
      </c>
      <c r="G43" s="129" t="s">
        <v>34</v>
      </c>
      <c r="H43" s="129" t="s">
        <v>78</v>
      </c>
      <c r="I43" s="129" t="s">
        <v>25</v>
      </c>
      <c r="J43" s="129">
        <v>784.49</v>
      </c>
      <c r="K43" s="129">
        <v>348.18</v>
      </c>
      <c r="L43" s="129">
        <v>1.7178241962816401</v>
      </c>
      <c r="M43" s="129">
        <v>0.76454079949765297</v>
      </c>
      <c r="N43" s="129">
        <v>7.6133856659132499</v>
      </c>
      <c r="O43" s="129">
        <v>3.7495621084823502E-2</v>
      </c>
      <c r="P43" s="129">
        <v>0</v>
      </c>
      <c r="Q43" s="129">
        <v>33.855997667414698</v>
      </c>
      <c r="R43" s="129">
        <v>13.5079460205381</v>
      </c>
      <c r="S43" s="129">
        <v>0</v>
      </c>
      <c r="T43" s="129">
        <v>51.3239268030595</v>
      </c>
      <c r="U43" s="129">
        <v>14.026407948320299</v>
      </c>
      <c r="V43" s="129">
        <v>1.2506234196371899</v>
      </c>
      <c r="W43" s="129">
        <v>0</v>
      </c>
      <c r="X43" s="129">
        <v>53.3161524227299</v>
      </c>
      <c r="Y43" s="129">
        <v>0</v>
      </c>
      <c r="Z43" s="129">
        <v>0</v>
      </c>
      <c r="AA43" s="129">
        <v>588.58719556211202</v>
      </c>
      <c r="AB43" s="129">
        <v>0</v>
      </c>
      <c r="AC43" s="129">
        <v>0</v>
      </c>
      <c r="AD43" s="129">
        <v>15.6644691645787</v>
      </c>
      <c r="AE43" s="129">
        <v>0.36932542252620598</v>
      </c>
      <c r="AF43" s="129">
        <v>2.4558485375372801</v>
      </c>
      <c r="AG43" s="129">
        <v>0</v>
      </c>
      <c r="AH43" s="129">
        <v>7.2008990732289497</v>
      </c>
      <c r="AI43" s="129">
        <v>0</v>
      </c>
      <c r="AJ43" s="129">
        <v>2.3700462836854399</v>
      </c>
      <c r="AK43" s="129">
        <v>13.2268907342905</v>
      </c>
      <c r="AL43" s="129">
        <v>0</v>
      </c>
      <c r="AM43" s="129">
        <v>321.43123038373602</v>
      </c>
      <c r="AN43" s="129">
        <v>0</v>
      </c>
      <c r="AO43" s="129">
        <v>0</v>
      </c>
      <c r="AP43" s="129">
        <v>1.74024056579245E-12</v>
      </c>
      <c r="AQ43" s="129">
        <v>0</v>
      </c>
      <c r="AR43" s="130">
        <v>3.9515015632921799</v>
      </c>
    </row>
    <row r="44" spans="2:44" ht="12" customHeight="1" x14ac:dyDescent="0.25">
      <c r="B44" s="128" t="s">
        <v>43</v>
      </c>
      <c r="C44" s="129" t="s">
        <v>33</v>
      </c>
      <c r="D44" s="129" t="s">
        <v>44</v>
      </c>
      <c r="E44" s="129" t="s">
        <v>94</v>
      </c>
      <c r="F44" s="129" t="s">
        <v>25</v>
      </c>
      <c r="G44" s="129" t="s">
        <v>36</v>
      </c>
      <c r="H44" s="129" t="s">
        <v>78</v>
      </c>
      <c r="I44" s="129" t="s">
        <v>25</v>
      </c>
      <c r="J44" s="129">
        <v>498.22</v>
      </c>
      <c r="K44" s="129">
        <v>213.63</v>
      </c>
      <c r="L44" s="129">
        <v>1.7178241962816401</v>
      </c>
      <c r="M44" s="129">
        <v>0.76454079949765297</v>
      </c>
      <c r="N44" s="129">
        <v>4.7410508511504998</v>
      </c>
      <c r="O44" s="129">
        <v>3.7495621084823502E-2</v>
      </c>
      <c r="P44" s="129">
        <v>0</v>
      </c>
      <c r="Q44" s="129">
        <v>33.855997667414698</v>
      </c>
      <c r="R44" s="129">
        <v>13.5079460205381</v>
      </c>
      <c r="S44" s="129">
        <v>0</v>
      </c>
      <c r="T44" s="129">
        <v>30.794356081835701</v>
      </c>
      <c r="U44" s="129">
        <v>8.4158595097366202</v>
      </c>
      <c r="V44" s="129">
        <v>0.75034377767387705</v>
      </c>
      <c r="W44" s="129">
        <v>0</v>
      </c>
      <c r="X44" s="129">
        <v>31.9896706071466</v>
      </c>
      <c r="Y44" s="129">
        <v>0</v>
      </c>
      <c r="Z44" s="129">
        <v>0</v>
      </c>
      <c r="AA44" s="129">
        <v>353.15227253527399</v>
      </c>
      <c r="AB44" s="129">
        <v>0</v>
      </c>
      <c r="AC44" s="129">
        <v>0</v>
      </c>
      <c r="AD44" s="129">
        <v>15.6644691645787</v>
      </c>
      <c r="AE44" s="129">
        <v>0.36932542252620598</v>
      </c>
      <c r="AF44" s="129">
        <v>2.4558485375372801</v>
      </c>
      <c r="AG44" s="129">
        <v>0</v>
      </c>
      <c r="AH44" s="129">
        <v>7.2008990732289497</v>
      </c>
      <c r="AI44" s="129">
        <v>0</v>
      </c>
      <c r="AJ44" s="129">
        <v>2.3700462836854399</v>
      </c>
      <c r="AK44" s="129">
        <v>13.2268907342905</v>
      </c>
      <c r="AL44" s="129">
        <v>0</v>
      </c>
      <c r="AM44" s="129">
        <v>186.87862231612601</v>
      </c>
      <c r="AN44" s="129">
        <v>0</v>
      </c>
      <c r="AO44" s="129">
        <v>0</v>
      </c>
      <c r="AP44" s="129">
        <v>1.74024056579245E-12</v>
      </c>
      <c r="AQ44" s="129">
        <v>0</v>
      </c>
      <c r="AR44" s="130">
        <v>3.9515015632921799</v>
      </c>
    </row>
    <row r="45" spans="2:44" ht="12" customHeight="1" x14ac:dyDescent="0.25">
      <c r="B45" s="128" t="s">
        <v>43</v>
      </c>
      <c r="C45" s="129" t="s">
        <v>33</v>
      </c>
      <c r="D45" s="129" t="s">
        <v>44</v>
      </c>
      <c r="E45" s="129" t="s">
        <v>94</v>
      </c>
      <c r="F45" s="129" t="s">
        <v>25</v>
      </c>
      <c r="G45" s="129" t="s">
        <v>35</v>
      </c>
      <c r="H45" s="129" t="s">
        <v>78</v>
      </c>
      <c r="I45" s="129" t="s">
        <v>25</v>
      </c>
      <c r="J45" s="129">
        <v>211.94</v>
      </c>
      <c r="K45" s="129">
        <v>213.63</v>
      </c>
      <c r="L45" s="129">
        <v>1.7178241962816401</v>
      </c>
      <c r="M45" s="129">
        <v>0.76454079949765297</v>
      </c>
      <c r="N45" s="129">
        <v>1.8687182382187699</v>
      </c>
      <c r="O45" s="129">
        <v>3.7495621084823502E-2</v>
      </c>
      <c r="P45" s="129">
        <v>0</v>
      </c>
      <c r="Q45" s="129">
        <v>33.855997667414698</v>
      </c>
      <c r="R45" s="129">
        <v>13.5079460205381</v>
      </c>
      <c r="S45" s="129">
        <v>0</v>
      </c>
      <c r="T45" s="129">
        <v>10.264785360611899</v>
      </c>
      <c r="U45" s="129">
        <v>2.8053110711529099</v>
      </c>
      <c r="V45" s="129">
        <v>0.25013982098165899</v>
      </c>
      <c r="W45" s="129">
        <v>0</v>
      </c>
      <c r="X45" s="129">
        <v>10.6631887915633</v>
      </c>
      <c r="Y45" s="129">
        <v>0</v>
      </c>
      <c r="Z45" s="129">
        <v>0</v>
      </c>
      <c r="AA45" s="129">
        <v>117.717461513419</v>
      </c>
      <c r="AB45" s="129">
        <v>0</v>
      </c>
      <c r="AC45" s="129">
        <v>0</v>
      </c>
      <c r="AD45" s="129">
        <v>15.6644691645787</v>
      </c>
      <c r="AE45" s="129">
        <v>0.36932542252620598</v>
      </c>
      <c r="AF45" s="129">
        <v>2.4558485375372801</v>
      </c>
      <c r="AG45" s="129">
        <v>0</v>
      </c>
      <c r="AH45" s="129">
        <v>7.2008990732289497</v>
      </c>
      <c r="AI45" s="129">
        <v>0</v>
      </c>
      <c r="AJ45" s="129">
        <v>2.3700462836854399</v>
      </c>
      <c r="AK45" s="129">
        <v>13.2268907342905</v>
      </c>
      <c r="AL45" s="129">
        <v>0</v>
      </c>
      <c r="AM45" s="129">
        <v>186.87862231612601</v>
      </c>
      <c r="AN45" s="129">
        <v>0</v>
      </c>
      <c r="AO45" s="129">
        <v>0</v>
      </c>
      <c r="AP45" s="129">
        <v>1.74024056579245E-12</v>
      </c>
      <c r="AQ45" s="129">
        <v>0</v>
      </c>
      <c r="AR45" s="130">
        <v>3.9515015632921799</v>
      </c>
    </row>
    <row r="46" spans="2:44" ht="12" customHeight="1" x14ac:dyDescent="0.25">
      <c r="B46" s="128" t="s">
        <v>43</v>
      </c>
      <c r="C46" s="129" t="s">
        <v>33</v>
      </c>
      <c r="D46" s="129" t="s">
        <v>44</v>
      </c>
      <c r="E46" s="129" t="s">
        <v>25</v>
      </c>
      <c r="F46" s="129" t="s">
        <v>25</v>
      </c>
      <c r="G46" s="129" t="s">
        <v>34</v>
      </c>
      <c r="H46" s="129" t="s">
        <v>78</v>
      </c>
      <c r="I46" s="129" t="s">
        <v>25</v>
      </c>
      <c r="J46" s="129">
        <v>784.49</v>
      </c>
      <c r="K46" s="129">
        <v>348.18</v>
      </c>
      <c r="L46" s="129">
        <v>1.7178241962816401</v>
      </c>
      <c r="M46" s="129">
        <v>0.76454079949765297</v>
      </c>
      <c r="N46" s="129">
        <v>7.6133856659132499</v>
      </c>
      <c r="O46" s="129">
        <v>3.7495621084823502E-2</v>
      </c>
      <c r="P46" s="129">
        <v>0</v>
      </c>
      <c r="Q46" s="129">
        <v>33.855997667414698</v>
      </c>
      <c r="R46" s="129">
        <v>13.5079460205381</v>
      </c>
      <c r="S46" s="129">
        <v>0</v>
      </c>
      <c r="T46" s="129">
        <v>51.3239268030595</v>
      </c>
      <c r="U46" s="129">
        <v>14.026407948320299</v>
      </c>
      <c r="V46" s="129">
        <v>1.2506234196371899</v>
      </c>
      <c r="W46" s="129">
        <v>0</v>
      </c>
      <c r="X46" s="129">
        <v>53.3161524227299</v>
      </c>
      <c r="Y46" s="129">
        <v>0</v>
      </c>
      <c r="Z46" s="129">
        <v>0</v>
      </c>
      <c r="AA46" s="129">
        <v>588.58719556211202</v>
      </c>
      <c r="AB46" s="129">
        <v>0</v>
      </c>
      <c r="AC46" s="129">
        <v>0</v>
      </c>
      <c r="AD46" s="129">
        <v>15.6644691645787</v>
      </c>
      <c r="AE46" s="129">
        <v>0.36932542252620598</v>
      </c>
      <c r="AF46" s="129">
        <v>2.4558485375372801</v>
      </c>
      <c r="AG46" s="129">
        <v>0</v>
      </c>
      <c r="AH46" s="129">
        <v>7.2008990732289497</v>
      </c>
      <c r="AI46" s="129">
        <v>0</v>
      </c>
      <c r="AJ46" s="129">
        <v>2.3700462836854399</v>
      </c>
      <c r="AK46" s="129">
        <v>13.2268907342905</v>
      </c>
      <c r="AL46" s="129">
        <v>0</v>
      </c>
      <c r="AM46" s="129">
        <v>321.43123038373602</v>
      </c>
      <c r="AN46" s="129">
        <v>0</v>
      </c>
      <c r="AO46" s="129">
        <v>0</v>
      </c>
      <c r="AP46" s="129">
        <v>1.74024056579245E-12</v>
      </c>
      <c r="AQ46" s="129">
        <v>0</v>
      </c>
      <c r="AR46" s="130">
        <v>3.9515015632921799</v>
      </c>
    </row>
    <row r="47" spans="2:44" ht="12" customHeight="1" x14ac:dyDescent="0.25">
      <c r="B47" s="128" t="s">
        <v>43</v>
      </c>
      <c r="C47" s="129" t="s">
        <v>33</v>
      </c>
      <c r="D47" s="129" t="s">
        <v>44</v>
      </c>
      <c r="E47" s="129" t="s">
        <v>25</v>
      </c>
      <c r="F47" s="129" t="s">
        <v>25</v>
      </c>
      <c r="G47" s="129" t="s">
        <v>36</v>
      </c>
      <c r="H47" s="129" t="s">
        <v>78</v>
      </c>
      <c r="I47" s="129" t="s">
        <v>25</v>
      </c>
      <c r="J47" s="129">
        <v>498.22</v>
      </c>
      <c r="K47" s="129">
        <v>213.63</v>
      </c>
      <c r="L47" s="129">
        <v>1.7178241962816401</v>
      </c>
      <c r="M47" s="129">
        <v>0.76454079949765297</v>
      </c>
      <c r="N47" s="129">
        <v>4.7410508511504998</v>
      </c>
      <c r="O47" s="129">
        <v>3.7495621084823502E-2</v>
      </c>
      <c r="P47" s="129">
        <v>0</v>
      </c>
      <c r="Q47" s="129">
        <v>33.855997667414698</v>
      </c>
      <c r="R47" s="129">
        <v>13.5079460205381</v>
      </c>
      <c r="S47" s="129">
        <v>0</v>
      </c>
      <c r="T47" s="129">
        <v>30.794356081835701</v>
      </c>
      <c r="U47" s="129">
        <v>8.4158595097366202</v>
      </c>
      <c r="V47" s="129">
        <v>0.75034377767387705</v>
      </c>
      <c r="W47" s="129">
        <v>0</v>
      </c>
      <c r="X47" s="129">
        <v>31.9896706071466</v>
      </c>
      <c r="Y47" s="129">
        <v>0</v>
      </c>
      <c r="Z47" s="129">
        <v>0</v>
      </c>
      <c r="AA47" s="129">
        <v>353.15227253527399</v>
      </c>
      <c r="AB47" s="129">
        <v>0</v>
      </c>
      <c r="AC47" s="129">
        <v>0</v>
      </c>
      <c r="AD47" s="129">
        <v>15.6644691645787</v>
      </c>
      <c r="AE47" s="129">
        <v>0.36932542252620598</v>
      </c>
      <c r="AF47" s="129">
        <v>2.4558485375372801</v>
      </c>
      <c r="AG47" s="129">
        <v>0</v>
      </c>
      <c r="AH47" s="129">
        <v>7.2008990732289497</v>
      </c>
      <c r="AI47" s="129">
        <v>0</v>
      </c>
      <c r="AJ47" s="129">
        <v>2.3700462836854399</v>
      </c>
      <c r="AK47" s="129">
        <v>13.2268907342905</v>
      </c>
      <c r="AL47" s="129">
        <v>0</v>
      </c>
      <c r="AM47" s="129">
        <v>186.87862231612601</v>
      </c>
      <c r="AN47" s="129">
        <v>0</v>
      </c>
      <c r="AO47" s="129">
        <v>0</v>
      </c>
      <c r="AP47" s="129">
        <v>1.74024056579245E-12</v>
      </c>
      <c r="AQ47" s="129">
        <v>0</v>
      </c>
      <c r="AR47" s="130">
        <v>3.9515015632921799</v>
      </c>
    </row>
    <row r="48" spans="2:44" ht="12" customHeight="1" x14ac:dyDescent="0.25">
      <c r="B48" s="128" t="s">
        <v>43</v>
      </c>
      <c r="C48" s="129" t="s">
        <v>33</v>
      </c>
      <c r="D48" s="129" t="s">
        <v>44</v>
      </c>
      <c r="E48" s="129" t="s">
        <v>25</v>
      </c>
      <c r="F48" s="129" t="s">
        <v>25</v>
      </c>
      <c r="G48" s="129" t="s">
        <v>35</v>
      </c>
      <c r="H48" s="129" t="s">
        <v>78</v>
      </c>
      <c r="I48" s="129" t="s">
        <v>25</v>
      </c>
      <c r="J48" s="129">
        <v>211.94</v>
      </c>
      <c r="K48" s="129">
        <v>213.63</v>
      </c>
      <c r="L48" s="129">
        <v>1.7178241962816401</v>
      </c>
      <c r="M48" s="129">
        <v>0.76454079949765297</v>
      </c>
      <c r="N48" s="129">
        <v>1.8687182382187699</v>
      </c>
      <c r="O48" s="129">
        <v>3.7495621084823502E-2</v>
      </c>
      <c r="P48" s="129">
        <v>0</v>
      </c>
      <c r="Q48" s="129">
        <v>33.855997667414698</v>
      </c>
      <c r="R48" s="129">
        <v>13.5079460205381</v>
      </c>
      <c r="S48" s="129">
        <v>0</v>
      </c>
      <c r="T48" s="129">
        <v>10.264785360611899</v>
      </c>
      <c r="U48" s="129">
        <v>2.8053110711529099</v>
      </c>
      <c r="V48" s="129">
        <v>0.25013982098165899</v>
      </c>
      <c r="W48" s="129">
        <v>0</v>
      </c>
      <c r="X48" s="129">
        <v>10.6631887915633</v>
      </c>
      <c r="Y48" s="129">
        <v>0</v>
      </c>
      <c r="Z48" s="129">
        <v>0</v>
      </c>
      <c r="AA48" s="129">
        <v>117.717461513419</v>
      </c>
      <c r="AB48" s="129">
        <v>0</v>
      </c>
      <c r="AC48" s="129">
        <v>0</v>
      </c>
      <c r="AD48" s="129">
        <v>15.6644691645787</v>
      </c>
      <c r="AE48" s="129">
        <v>0.36932542252620598</v>
      </c>
      <c r="AF48" s="129">
        <v>2.4558485375372801</v>
      </c>
      <c r="AG48" s="129">
        <v>0</v>
      </c>
      <c r="AH48" s="129">
        <v>7.2008990732289497</v>
      </c>
      <c r="AI48" s="129">
        <v>0</v>
      </c>
      <c r="AJ48" s="129">
        <v>2.3700462836854399</v>
      </c>
      <c r="AK48" s="129">
        <v>13.2268907342905</v>
      </c>
      <c r="AL48" s="129">
        <v>0</v>
      </c>
      <c r="AM48" s="129">
        <v>186.87862231612601</v>
      </c>
      <c r="AN48" s="129">
        <v>0</v>
      </c>
      <c r="AO48" s="129">
        <v>0</v>
      </c>
      <c r="AP48" s="129">
        <v>1.74024056579245E-12</v>
      </c>
      <c r="AQ48" s="129">
        <v>0</v>
      </c>
      <c r="AR48" s="130">
        <v>3.9515015632921799</v>
      </c>
    </row>
    <row r="49" spans="2:44" ht="12" customHeight="1" x14ac:dyDescent="0.25">
      <c r="B49" s="128" t="s">
        <v>43</v>
      </c>
      <c r="C49" s="129" t="s">
        <v>33</v>
      </c>
      <c r="D49" s="129" t="s">
        <v>44</v>
      </c>
      <c r="E49" s="129" t="s">
        <v>95</v>
      </c>
      <c r="F49" s="129" t="s">
        <v>25</v>
      </c>
      <c r="G49" s="129" t="s">
        <v>34</v>
      </c>
      <c r="H49" s="129" t="s">
        <v>78</v>
      </c>
      <c r="I49" s="129" t="s">
        <v>25</v>
      </c>
      <c r="J49" s="129">
        <v>767.8</v>
      </c>
      <c r="K49" s="129">
        <v>340.77</v>
      </c>
      <c r="L49" s="129">
        <v>1.6812747452969301</v>
      </c>
      <c r="M49" s="129">
        <v>0.74827397397642603</v>
      </c>
      <c r="N49" s="129">
        <v>7.4513987368512602</v>
      </c>
      <c r="O49" s="129">
        <v>3.6697841912805999E-2</v>
      </c>
      <c r="P49" s="129">
        <v>0</v>
      </c>
      <c r="Q49" s="129">
        <v>33.135657291512302</v>
      </c>
      <c r="R49" s="129">
        <v>13.2205429137181</v>
      </c>
      <c r="S49" s="129">
        <v>0</v>
      </c>
      <c r="T49" s="129">
        <v>50.231928360441202</v>
      </c>
      <c r="U49" s="129">
        <v>13.727973736653899</v>
      </c>
      <c r="V49" s="129">
        <v>1.2240144107087401</v>
      </c>
      <c r="W49" s="129">
        <v>0</v>
      </c>
      <c r="X49" s="129">
        <v>52.181766200969697</v>
      </c>
      <c r="Y49" s="129">
        <v>0</v>
      </c>
      <c r="Z49" s="129">
        <v>0</v>
      </c>
      <c r="AA49" s="129">
        <v>576.06406374164203</v>
      </c>
      <c r="AB49" s="129">
        <v>0</v>
      </c>
      <c r="AC49" s="129">
        <v>0</v>
      </c>
      <c r="AD49" s="129">
        <v>15.331182586609</v>
      </c>
      <c r="AE49" s="129">
        <v>0.36146743481288302</v>
      </c>
      <c r="AF49" s="129">
        <v>2.4035964409939301</v>
      </c>
      <c r="AG49" s="129">
        <v>0</v>
      </c>
      <c r="AH49" s="129">
        <v>7.0476884546496104</v>
      </c>
      <c r="AI49" s="129">
        <v>0</v>
      </c>
      <c r="AJ49" s="129">
        <v>2.3196197670112899</v>
      </c>
      <c r="AK49" s="129">
        <v>12.9454675271779</v>
      </c>
      <c r="AL49" s="129">
        <v>0</v>
      </c>
      <c r="AM49" s="129">
        <v>314.59226803514599</v>
      </c>
      <c r="AN49" s="129">
        <v>0</v>
      </c>
      <c r="AO49" s="129">
        <v>0</v>
      </c>
      <c r="AP49" s="129">
        <v>1.70321417077559E-12</v>
      </c>
      <c r="AQ49" s="129">
        <v>0</v>
      </c>
      <c r="AR49" s="130">
        <v>3.86742706194554</v>
      </c>
    </row>
    <row r="50" spans="2:44" ht="12" customHeight="1" x14ac:dyDescent="0.25">
      <c r="B50" s="128" t="s">
        <v>43</v>
      </c>
      <c r="C50" s="129" t="s">
        <v>33</v>
      </c>
      <c r="D50" s="129" t="s">
        <v>44</v>
      </c>
      <c r="E50" s="129" t="s">
        <v>95</v>
      </c>
      <c r="F50" s="129" t="s">
        <v>25</v>
      </c>
      <c r="G50" s="129" t="s">
        <v>36</v>
      </c>
      <c r="H50" s="129" t="s">
        <v>78</v>
      </c>
      <c r="I50" s="129" t="s">
        <v>25</v>
      </c>
      <c r="J50" s="129">
        <v>487.62</v>
      </c>
      <c r="K50" s="129">
        <v>209.08</v>
      </c>
      <c r="L50" s="129">
        <v>1.6812747452969301</v>
      </c>
      <c r="M50" s="129">
        <v>0.74827397397642603</v>
      </c>
      <c r="N50" s="129">
        <v>4.6401774287855897</v>
      </c>
      <c r="O50" s="129">
        <v>3.6697841912805999E-2</v>
      </c>
      <c r="P50" s="129">
        <v>0</v>
      </c>
      <c r="Q50" s="129">
        <v>33.135657291512302</v>
      </c>
      <c r="R50" s="129">
        <v>13.2205429137181</v>
      </c>
      <c r="S50" s="129">
        <v>0</v>
      </c>
      <c r="T50" s="129">
        <v>30.139157016264701</v>
      </c>
      <c r="U50" s="129">
        <v>8.2367986691039192</v>
      </c>
      <c r="V50" s="129">
        <v>0.73437901644677395</v>
      </c>
      <c r="W50" s="129">
        <v>0</v>
      </c>
      <c r="X50" s="129">
        <v>31.309039317632799</v>
      </c>
      <c r="Y50" s="129">
        <v>0</v>
      </c>
      <c r="Z50" s="129">
        <v>0</v>
      </c>
      <c r="AA50" s="129">
        <v>345.63839439622598</v>
      </c>
      <c r="AB50" s="129">
        <v>0</v>
      </c>
      <c r="AC50" s="129">
        <v>0</v>
      </c>
      <c r="AD50" s="129">
        <v>15.331182586609</v>
      </c>
      <c r="AE50" s="129">
        <v>0.36146743481288302</v>
      </c>
      <c r="AF50" s="129">
        <v>2.4035964409939301</v>
      </c>
      <c r="AG50" s="129">
        <v>0</v>
      </c>
      <c r="AH50" s="129">
        <v>7.0476884546496104</v>
      </c>
      <c r="AI50" s="129">
        <v>0</v>
      </c>
      <c r="AJ50" s="129">
        <v>2.3196197670112899</v>
      </c>
      <c r="AK50" s="129">
        <v>12.9454675271779</v>
      </c>
      <c r="AL50" s="129">
        <v>0</v>
      </c>
      <c r="AM50" s="129">
        <v>182.902481415783</v>
      </c>
      <c r="AN50" s="129">
        <v>0</v>
      </c>
      <c r="AO50" s="129">
        <v>0</v>
      </c>
      <c r="AP50" s="129">
        <v>1.70321417077559E-12</v>
      </c>
      <c r="AQ50" s="129">
        <v>0</v>
      </c>
      <c r="AR50" s="130">
        <v>3.86742706194554</v>
      </c>
    </row>
    <row r="51" spans="2:44" ht="12" customHeight="1" x14ac:dyDescent="0.25">
      <c r="B51" s="128" t="s">
        <v>43</v>
      </c>
      <c r="C51" s="129" t="s">
        <v>33</v>
      </c>
      <c r="D51" s="129" t="s">
        <v>44</v>
      </c>
      <c r="E51" s="129" t="s">
        <v>95</v>
      </c>
      <c r="F51" s="129" t="s">
        <v>25</v>
      </c>
      <c r="G51" s="129" t="s">
        <v>35</v>
      </c>
      <c r="H51" s="129" t="s">
        <v>78</v>
      </c>
      <c r="I51" s="129" t="s">
        <v>25</v>
      </c>
      <c r="J51" s="129">
        <v>207.43</v>
      </c>
      <c r="K51" s="129">
        <v>209.08</v>
      </c>
      <c r="L51" s="129">
        <v>1.6812747452969301</v>
      </c>
      <c r="M51" s="129">
        <v>0.74827397397642603</v>
      </c>
      <c r="N51" s="129">
        <v>1.8289582757034799</v>
      </c>
      <c r="O51" s="129">
        <v>3.6697841912805999E-2</v>
      </c>
      <c r="P51" s="129">
        <v>0</v>
      </c>
      <c r="Q51" s="129">
        <v>33.135657291512302</v>
      </c>
      <c r="R51" s="129">
        <v>13.2205429137181</v>
      </c>
      <c r="S51" s="129">
        <v>0</v>
      </c>
      <c r="T51" s="129">
        <v>10.046385672088199</v>
      </c>
      <c r="U51" s="129">
        <v>2.7456236015539099</v>
      </c>
      <c r="V51" s="129">
        <v>0.244817697130985</v>
      </c>
      <c r="W51" s="129">
        <v>0</v>
      </c>
      <c r="X51" s="129">
        <v>10.436312434295999</v>
      </c>
      <c r="Y51" s="129">
        <v>0</v>
      </c>
      <c r="Z51" s="129">
        <v>0</v>
      </c>
      <c r="AA51" s="129">
        <v>115.212834672708</v>
      </c>
      <c r="AB51" s="129">
        <v>0</v>
      </c>
      <c r="AC51" s="129">
        <v>0</v>
      </c>
      <c r="AD51" s="129">
        <v>15.331182586609</v>
      </c>
      <c r="AE51" s="129">
        <v>0.36146743481288302</v>
      </c>
      <c r="AF51" s="129">
        <v>2.4035964409939301</v>
      </c>
      <c r="AG51" s="129">
        <v>0</v>
      </c>
      <c r="AH51" s="129">
        <v>7.0476884546496104</v>
      </c>
      <c r="AI51" s="129">
        <v>0</v>
      </c>
      <c r="AJ51" s="129">
        <v>2.3196197670112899</v>
      </c>
      <c r="AK51" s="129">
        <v>12.9454675271779</v>
      </c>
      <c r="AL51" s="129">
        <v>0</v>
      </c>
      <c r="AM51" s="129">
        <v>182.902481415783</v>
      </c>
      <c r="AN51" s="129">
        <v>0</v>
      </c>
      <c r="AO51" s="129">
        <v>0</v>
      </c>
      <c r="AP51" s="129">
        <v>1.70321417077559E-12</v>
      </c>
      <c r="AQ51" s="129">
        <v>0</v>
      </c>
      <c r="AR51" s="130">
        <v>3.86742706194554</v>
      </c>
    </row>
    <row r="52" spans="2:44" ht="12" customHeight="1" x14ac:dyDescent="0.25">
      <c r="B52" s="128" t="s">
        <v>43</v>
      </c>
      <c r="C52" s="129" t="s">
        <v>23</v>
      </c>
      <c r="D52" s="129" t="s">
        <v>44</v>
      </c>
      <c r="E52" s="129" t="s">
        <v>94</v>
      </c>
      <c r="F52" s="129" t="s">
        <v>25</v>
      </c>
      <c r="G52" s="129" t="s">
        <v>25</v>
      </c>
      <c r="H52" s="129" t="s">
        <v>78</v>
      </c>
      <c r="I52" s="129" t="s">
        <v>25</v>
      </c>
      <c r="J52" s="129">
        <v>292.45999999999998</v>
      </c>
      <c r="K52" s="129">
        <v>224.84</v>
      </c>
      <c r="L52" s="129">
        <v>1.7178241962816401</v>
      </c>
      <c r="M52" s="129">
        <v>0.76454079949765297</v>
      </c>
      <c r="N52" s="129">
        <v>2.6765601342325498</v>
      </c>
      <c r="O52" s="129">
        <v>3.7495621084823502E-2</v>
      </c>
      <c r="P52" s="129">
        <v>0</v>
      </c>
      <c r="Q52" s="129">
        <v>33.855997667414698</v>
      </c>
      <c r="R52" s="129">
        <v>13.5079460205381</v>
      </c>
      <c r="S52" s="129">
        <v>0</v>
      </c>
      <c r="T52" s="129">
        <v>16.038668723672501</v>
      </c>
      <c r="U52" s="129">
        <v>4.3832340579195703</v>
      </c>
      <c r="V52" s="129">
        <v>0.390838739954398</v>
      </c>
      <c r="W52" s="129">
        <v>0</v>
      </c>
      <c r="X52" s="129">
        <v>16.6612455158747</v>
      </c>
      <c r="Y52" s="129">
        <v>0</v>
      </c>
      <c r="Z52" s="129">
        <v>0</v>
      </c>
      <c r="AA52" s="129">
        <v>183.933463611603</v>
      </c>
      <c r="AB52" s="129">
        <v>0</v>
      </c>
      <c r="AC52" s="129">
        <v>0</v>
      </c>
      <c r="AD52" s="129">
        <v>15.6644691645787</v>
      </c>
      <c r="AE52" s="129">
        <v>0.36932542252620598</v>
      </c>
      <c r="AF52" s="129">
        <v>2.4558485375372801</v>
      </c>
      <c r="AG52" s="129">
        <v>0</v>
      </c>
      <c r="AH52" s="129">
        <v>7.2008990732289497</v>
      </c>
      <c r="AI52" s="129">
        <v>0</v>
      </c>
      <c r="AJ52" s="129">
        <v>2.3700462836854399</v>
      </c>
      <c r="AK52" s="129">
        <v>13.2268907342905</v>
      </c>
      <c r="AL52" s="129">
        <v>0</v>
      </c>
      <c r="AM52" s="129">
        <v>198.09133965509301</v>
      </c>
      <c r="AN52" s="129">
        <v>0</v>
      </c>
      <c r="AO52" s="129">
        <v>0</v>
      </c>
      <c r="AP52" s="129">
        <v>1.74024056579245E-12</v>
      </c>
      <c r="AQ52" s="129">
        <v>0</v>
      </c>
      <c r="AR52" s="130">
        <v>3.9515015632921799</v>
      </c>
    </row>
    <row r="53" spans="2:44" ht="12" customHeight="1" x14ac:dyDescent="0.25">
      <c r="B53" s="128" t="s">
        <v>43</v>
      </c>
      <c r="C53" s="129" t="s">
        <v>23</v>
      </c>
      <c r="D53" s="129" t="s">
        <v>44</v>
      </c>
      <c r="E53" s="129" t="s">
        <v>25</v>
      </c>
      <c r="F53" s="129" t="s">
        <v>25</v>
      </c>
      <c r="G53" s="129" t="s">
        <v>25</v>
      </c>
      <c r="H53" s="129" t="s">
        <v>78</v>
      </c>
      <c r="I53" s="129" t="s">
        <v>25</v>
      </c>
      <c r="J53" s="129">
        <v>292.45999999999998</v>
      </c>
      <c r="K53" s="129">
        <v>224.84</v>
      </c>
      <c r="L53" s="129">
        <v>1.7178241962816401</v>
      </c>
      <c r="M53" s="129">
        <v>0.76454079949765297</v>
      </c>
      <c r="N53" s="129">
        <v>2.6765601342325498</v>
      </c>
      <c r="O53" s="129">
        <v>3.7495621084823502E-2</v>
      </c>
      <c r="P53" s="129">
        <v>0</v>
      </c>
      <c r="Q53" s="129">
        <v>33.855997667414698</v>
      </c>
      <c r="R53" s="129">
        <v>13.5079460205381</v>
      </c>
      <c r="S53" s="129">
        <v>0</v>
      </c>
      <c r="T53" s="129">
        <v>16.038668723672501</v>
      </c>
      <c r="U53" s="129">
        <v>4.3832340579195703</v>
      </c>
      <c r="V53" s="129">
        <v>0.390838739954398</v>
      </c>
      <c r="W53" s="129">
        <v>0</v>
      </c>
      <c r="X53" s="129">
        <v>16.6612455158747</v>
      </c>
      <c r="Y53" s="129">
        <v>0</v>
      </c>
      <c r="Z53" s="129">
        <v>0</v>
      </c>
      <c r="AA53" s="129">
        <v>183.933463611603</v>
      </c>
      <c r="AB53" s="129">
        <v>0</v>
      </c>
      <c r="AC53" s="129">
        <v>0</v>
      </c>
      <c r="AD53" s="129">
        <v>15.6644691645787</v>
      </c>
      <c r="AE53" s="129">
        <v>0.36932542252620598</v>
      </c>
      <c r="AF53" s="129">
        <v>2.4558485375372801</v>
      </c>
      <c r="AG53" s="129">
        <v>0</v>
      </c>
      <c r="AH53" s="129">
        <v>7.2008990732289497</v>
      </c>
      <c r="AI53" s="129">
        <v>0</v>
      </c>
      <c r="AJ53" s="129">
        <v>2.3700462836854399</v>
      </c>
      <c r="AK53" s="129">
        <v>13.2268907342905</v>
      </c>
      <c r="AL53" s="129">
        <v>0</v>
      </c>
      <c r="AM53" s="129">
        <v>198.09133965509301</v>
      </c>
      <c r="AN53" s="129">
        <v>0</v>
      </c>
      <c r="AO53" s="129">
        <v>0</v>
      </c>
      <c r="AP53" s="129">
        <v>1.74024056579245E-12</v>
      </c>
      <c r="AQ53" s="129">
        <v>0</v>
      </c>
      <c r="AR53" s="130">
        <v>3.9515015632921799</v>
      </c>
    </row>
    <row r="54" spans="2:44" ht="12" customHeight="1" x14ac:dyDescent="0.25">
      <c r="B54" s="128" t="s">
        <v>43</v>
      </c>
      <c r="C54" s="129" t="s">
        <v>23</v>
      </c>
      <c r="D54" s="129" t="s">
        <v>44</v>
      </c>
      <c r="E54" s="129" t="s">
        <v>95</v>
      </c>
      <c r="F54" s="129" t="s">
        <v>25</v>
      </c>
      <c r="G54" s="129" t="s">
        <v>25</v>
      </c>
      <c r="H54" s="129" t="s">
        <v>78</v>
      </c>
      <c r="I54" s="129" t="s">
        <v>25</v>
      </c>
      <c r="J54" s="129">
        <v>286.23</v>
      </c>
      <c r="K54" s="129">
        <v>220.06</v>
      </c>
      <c r="L54" s="129">
        <v>1.6812747452969301</v>
      </c>
      <c r="M54" s="129">
        <v>0.74827397397642603</v>
      </c>
      <c r="N54" s="129">
        <v>2.61961204627015</v>
      </c>
      <c r="O54" s="129">
        <v>3.6697841912805999E-2</v>
      </c>
      <c r="P54" s="129">
        <v>0</v>
      </c>
      <c r="Q54" s="129">
        <v>33.135657291512302</v>
      </c>
      <c r="R54" s="129">
        <v>13.2205429137181</v>
      </c>
      <c r="S54" s="129">
        <v>0</v>
      </c>
      <c r="T54" s="129">
        <v>15.6974204529561</v>
      </c>
      <c r="U54" s="129">
        <v>4.2899737588148996</v>
      </c>
      <c r="V54" s="129">
        <v>0.38252302208302802</v>
      </c>
      <c r="W54" s="129">
        <v>0</v>
      </c>
      <c r="X54" s="129">
        <v>16.306750930430599</v>
      </c>
      <c r="Y54" s="129">
        <v>0</v>
      </c>
      <c r="Z54" s="129">
        <v>0</v>
      </c>
      <c r="AA54" s="129">
        <v>180.01998566242</v>
      </c>
      <c r="AB54" s="129">
        <v>0</v>
      </c>
      <c r="AC54" s="129">
        <v>0</v>
      </c>
      <c r="AD54" s="129">
        <v>15.331182586609</v>
      </c>
      <c r="AE54" s="129">
        <v>0.36146743481288302</v>
      </c>
      <c r="AF54" s="129">
        <v>2.4035964409939301</v>
      </c>
      <c r="AG54" s="129">
        <v>0</v>
      </c>
      <c r="AH54" s="129">
        <v>7.0476884546496104</v>
      </c>
      <c r="AI54" s="129">
        <v>0</v>
      </c>
      <c r="AJ54" s="129">
        <v>2.3196197670112899</v>
      </c>
      <c r="AK54" s="129">
        <v>12.9454675271779</v>
      </c>
      <c r="AL54" s="129">
        <v>0</v>
      </c>
      <c r="AM54" s="129">
        <v>193.87663030073</v>
      </c>
      <c r="AN54" s="129">
        <v>0</v>
      </c>
      <c r="AO54" s="129">
        <v>0</v>
      </c>
      <c r="AP54" s="129">
        <v>1.70321417077559E-12</v>
      </c>
      <c r="AQ54" s="129">
        <v>0</v>
      </c>
      <c r="AR54" s="130">
        <v>3.86742706194554</v>
      </c>
    </row>
    <row r="55" spans="2:44" ht="12" customHeight="1" x14ac:dyDescent="0.25">
      <c r="B55" s="128" t="s">
        <v>43</v>
      </c>
      <c r="C55" s="129" t="s">
        <v>93</v>
      </c>
      <c r="D55" s="129" t="s">
        <v>44</v>
      </c>
      <c r="E55" s="129" t="s">
        <v>94</v>
      </c>
      <c r="F55" s="129" t="s">
        <v>25</v>
      </c>
      <c r="G55" s="129" t="s">
        <v>25</v>
      </c>
      <c r="H55" s="129" t="s">
        <v>78</v>
      </c>
      <c r="I55" s="129" t="s">
        <v>25</v>
      </c>
      <c r="J55" s="129">
        <v>292.45999999999998</v>
      </c>
      <c r="K55" s="129">
        <v>224.84</v>
      </c>
      <c r="L55" s="129">
        <v>1.7178241962816401</v>
      </c>
      <c r="M55" s="129">
        <v>0.76454079949765297</v>
      </c>
      <c r="N55" s="129">
        <v>2.6765601342325498</v>
      </c>
      <c r="O55" s="129">
        <v>3.7495621084823502E-2</v>
      </c>
      <c r="P55" s="129">
        <v>0</v>
      </c>
      <c r="Q55" s="129">
        <v>33.855997667414698</v>
      </c>
      <c r="R55" s="129">
        <v>13.5079460205381</v>
      </c>
      <c r="S55" s="129">
        <v>0</v>
      </c>
      <c r="T55" s="129">
        <v>16.038668723672501</v>
      </c>
      <c r="U55" s="129">
        <v>4.3832340579195703</v>
      </c>
      <c r="V55" s="129">
        <v>0.390838739954398</v>
      </c>
      <c r="W55" s="129">
        <v>0</v>
      </c>
      <c r="X55" s="129">
        <v>16.6612455158747</v>
      </c>
      <c r="Y55" s="129">
        <v>0</v>
      </c>
      <c r="Z55" s="129">
        <v>0</v>
      </c>
      <c r="AA55" s="129">
        <v>183.933463611603</v>
      </c>
      <c r="AB55" s="129">
        <v>0</v>
      </c>
      <c r="AC55" s="129">
        <v>0</v>
      </c>
      <c r="AD55" s="129">
        <v>15.6644691645787</v>
      </c>
      <c r="AE55" s="129">
        <v>0.36932542252620598</v>
      </c>
      <c r="AF55" s="129">
        <v>2.4558485375372801</v>
      </c>
      <c r="AG55" s="129">
        <v>0</v>
      </c>
      <c r="AH55" s="129">
        <v>7.2008990732289497</v>
      </c>
      <c r="AI55" s="129">
        <v>0</v>
      </c>
      <c r="AJ55" s="129">
        <v>2.3700462836854399</v>
      </c>
      <c r="AK55" s="129">
        <v>13.2268907342905</v>
      </c>
      <c r="AL55" s="129">
        <v>0</v>
      </c>
      <c r="AM55" s="129">
        <v>198.09133965509301</v>
      </c>
      <c r="AN55" s="129">
        <v>0</v>
      </c>
      <c r="AO55" s="129">
        <v>0</v>
      </c>
      <c r="AP55" s="129">
        <v>1.74024056579245E-12</v>
      </c>
      <c r="AQ55" s="129">
        <v>0</v>
      </c>
      <c r="AR55" s="130">
        <v>3.9515015632921799</v>
      </c>
    </row>
    <row r="56" spans="2:44" ht="12" customHeight="1" x14ac:dyDescent="0.25">
      <c r="B56" s="128" t="s">
        <v>43</v>
      </c>
      <c r="C56" s="129" t="s">
        <v>93</v>
      </c>
      <c r="D56" s="129" t="s">
        <v>44</v>
      </c>
      <c r="E56" s="129" t="s">
        <v>25</v>
      </c>
      <c r="F56" s="129" t="s">
        <v>25</v>
      </c>
      <c r="G56" s="129" t="s">
        <v>25</v>
      </c>
      <c r="H56" s="129" t="s">
        <v>78</v>
      </c>
      <c r="I56" s="129" t="s">
        <v>25</v>
      </c>
      <c r="J56" s="129">
        <v>292.45999999999998</v>
      </c>
      <c r="K56" s="129">
        <v>224.84</v>
      </c>
      <c r="L56" s="129">
        <v>1.7178241962816401</v>
      </c>
      <c r="M56" s="129">
        <v>0.76454079949765297</v>
      </c>
      <c r="N56" s="129">
        <v>2.6765601342325498</v>
      </c>
      <c r="O56" s="129">
        <v>3.7495621084823502E-2</v>
      </c>
      <c r="P56" s="129">
        <v>0</v>
      </c>
      <c r="Q56" s="129">
        <v>33.855997667414698</v>
      </c>
      <c r="R56" s="129">
        <v>13.5079460205381</v>
      </c>
      <c r="S56" s="129">
        <v>0</v>
      </c>
      <c r="T56" s="129">
        <v>16.038668723672501</v>
      </c>
      <c r="U56" s="129">
        <v>4.3832340579195703</v>
      </c>
      <c r="V56" s="129">
        <v>0.390838739954398</v>
      </c>
      <c r="W56" s="129">
        <v>0</v>
      </c>
      <c r="X56" s="129">
        <v>16.6612455158747</v>
      </c>
      <c r="Y56" s="129">
        <v>0</v>
      </c>
      <c r="Z56" s="129">
        <v>0</v>
      </c>
      <c r="AA56" s="129">
        <v>183.933463611603</v>
      </c>
      <c r="AB56" s="129">
        <v>0</v>
      </c>
      <c r="AC56" s="129">
        <v>0</v>
      </c>
      <c r="AD56" s="129">
        <v>15.6644691645787</v>
      </c>
      <c r="AE56" s="129">
        <v>0.36932542252620598</v>
      </c>
      <c r="AF56" s="129">
        <v>2.4558485375372801</v>
      </c>
      <c r="AG56" s="129">
        <v>0</v>
      </c>
      <c r="AH56" s="129">
        <v>7.2008990732289497</v>
      </c>
      <c r="AI56" s="129">
        <v>0</v>
      </c>
      <c r="AJ56" s="129">
        <v>2.3700462836854399</v>
      </c>
      <c r="AK56" s="129">
        <v>13.2268907342905</v>
      </c>
      <c r="AL56" s="129">
        <v>0</v>
      </c>
      <c r="AM56" s="129">
        <v>198.09133965509301</v>
      </c>
      <c r="AN56" s="129">
        <v>0</v>
      </c>
      <c r="AO56" s="129">
        <v>0</v>
      </c>
      <c r="AP56" s="129">
        <v>1.74024056579245E-12</v>
      </c>
      <c r="AQ56" s="129">
        <v>0</v>
      </c>
      <c r="AR56" s="130">
        <v>3.9515015632921799</v>
      </c>
    </row>
    <row r="57" spans="2:44" ht="12" customHeight="1" x14ac:dyDescent="0.25">
      <c r="B57" s="128" t="s">
        <v>43</v>
      </c>
      <c r="C57" s="129" t="s">
        <v>93</v>
      </c>
      <c r="D57" s="129" t="s">
        <v>44</v>
      </c>
      <c r="E57" s="129" t="s">
        <v>95</v>
      </c>
      <c r="F57" s="129" t="s">
        <v>25</v>
      </c>
      <c r="G57" s="129" t="s">
        <v>25</v>
      </c>
      <c r="H57" s="129" t="s">
        <v>78</v>
      </c>
      <c r="I57" s="129" t="s">
        <v>25</v>
      </c>
      <c r="J57" s="129">
        <v>286.23</v>
      </c>
      <c r="K57" s="129">
        <v>220.06</v>
      </c>
      <c r="L57" s="129">
        <v>1.6812747452969301</v>
      </c>
      <c r="M57" s="129">
        <v>0.74827397397642603</v>
      </c>
      <c r="N57" s="129">
        <v>2.61961204627015</v>
      </c>
      <c r="O57" s="129">
        <v>3.6697841912805999E-2</v>
      </c>
      <c r="P57" s="129">
        <v>0</v>
      </c>
      <c r="Q57" s="129">
        <v>33.135657291512302</v>
      </c>
      <c r="R57" s="129">
        <v>13.2205429137181</v>
      </c>
      <c r="S57" s="129">
        <v>0</v>
      </c>
      <c r="T57" s="129">
        <v>15.6974204529561</v>
      </c>
      <c r="U57" s="129">
        <v>4.2899737588148996</v>
      </c>
      <c r="V57" s="129">
        <v>0.38252302208302802</v>
      </c>
      <c r="W57" s="129">
        <v>0</v>
      </c>
      <c r="X57" s="129">
        <v>16.306750930430599</v>
      </c>
      <c r="Y57" s="129">
        <v>0</v>
      </c>
      <c r="Z57" s="129">
        <v>0</v>
      </c>
      <c r="AA57" s="129">
        <v>180.01998566242</v>
      </c>
      <c r="AB57" s="129">
        <v>0</v>
      </c>
      <c r="AC57" s="129">
        <v>0</v>
      </c>
      <c r="AD57" s="129">
        <v>15.331182586609</v>
      </c>
      <c r="AE57" s="129">
        <v>0.36146743481288302</v>
      </c>
      <c r="AF57" s="129">
        <v>2.4035964409939301</v>
      </c>
      <c r="AG57" s="129">
        <v>0</v>
      </c>
      <c r="AH57" s="129">
        <v>7.0476884546496104</v>
      </c>
      <c r="AI57" s="129">
        <v>0</v>
      </c>
      <c r="AJ57" s="129">
        <v>2.3196197670112899</v>
      </c>
      <c r="AK57" s="129">
        <v>12.9454675271779</v>
      </c>
      <c r="AL57" s="129">
        <v>0</v>
      </c>
      <c r="AM57" s="129">
        <v>193.87663030073</v>
      </c>
      <c r="AN57" s="129">
        <v>0</v>
      </c>
      <c r="AO57" s="129">
        <v>0</v>
      </c>
      <c r="AP57" s="129">
        <v>1.70321417077559E-12</v>
      </c>
      <c r="AQ57" s="129">
        <v>0</v>
      </c>
      <c r="AR57" s="130">
        <v>3.86742706194554</v>
      </c>
    </row>
    <row r="58" spans="2:44" ht="12" customHeight="1" x14ac:dyDescent="0.25">
      <c r="B58" s="128" t="s">
        <v>37</v>
      </c>
      <c r="C58" s="129" t="s">
        <v>33</v>
      </c>
      <c r="D58" s="129" t="s">
        <v>25</v>
      </c>
      <c r="E58" s="129" t="s">
        <v>25</v>
      </c>
      <c r="F58" s="129" t="s">
        <v>25</v>
      </c>
      <c r="G58" s="129" t="s">
        <v>34</v>
      </c>
      <c r="H58" s="129" t="s">
        <v>78</v>
      </c>
      <c r="I58" s="129" t="s">
        <v>25</v>
      </c>
      <c r="J58" s="129">
        <v>846.46</v>
      </c>
      <c r="K58" s="129">
        <v>370.4</v>
      </c>
      <c r="L58" s="129">
        <v>1.8274725492357899</v>
      </c>
      <c r="M58" s="129">
        <v>0.813341276061333</v>
      </c>
      <c r="N58" s="129">
        <v>8.2187079473762807</v>
      </c>
      <c r="O58" s="129">
        <v>3.9888958600875997E-2</v>
      </c>
      <c r="P58" s="129">
        <v>0</v>
      </c>
      <c r="Q58" s="129">
        <v>36.017018795122098</v>
      </c>
      <c r="R58" s="129">
        <v>14.370155340998</v>
      </c>
      <c r="S58" s="129">
        <v>0</v>
      </c>
      <c r="T58" s="129">
        <v>55.453042807705501</v>
      </c>
      <c r="U58" s="129">
        <v>15.154896614777901</v>
      </c>
      <c r="V58" s="129">
        <v>1.3512236378518001</v>
      </c>
      <c r="W58" s="129">
        <v>0</v>
      </c>
      <c r="X58" s="129">
        <v>57.605508741663598</v>
      </c>
      <c r="Y58" s="129">
        <v>0</v>
      </c>
      <c r="Z58" s="129">
        <v>0</v>
      </c>
      <c r="AA58" s="129">
        <v>635.94022631936298</v>
      </c>
      <c r="AB58" s="129">
        <v>0</v>
      </c>
      <c r="AC58" s="129">
        <v>0</v>
      </c>
      <c r="AD58" s="129">
        <v>16.664328898488002</v>
      </c>
      <c r="AE58" s="129">
        <v>0.39289938566617699</v>
      </c>
      <c r="AF58" s="129">
        <v>2.6126048271673201</v>
      </c>
      <c r="AG58" s="129">
        <v>0</v>
      </c>
      <c r="AH58" s="129">
        <v>7.6605309289669696</v>
      </c>
      <c r="AI58" s="129">
        <v>0</v>
      </c>
      <c r="AJ58" s="129">
        <v>2.5213258337079201</v>
      </c>
      <c r="AK58" s="129">
        <v>14.0711603556282</v>
      </c>
      <c r="AL58" s="129">
        <v>0</v>
      </c>
      <c r="AM58" s="129">
        <v>341.94811742950702</v>
      </c>
      <c r="AN58" s="129">
        <v>0</v>
      </c>
      <c r="AO58" s="129">
        <v>0</v>
      </c>
      <c r="AP58" s="129">
        <v>1.8513197508430401E-12</v>
      </c>
      <c r="AQ58" s="129">
        <v>0</v>
      </c>
      <c r="AR58" s="130">
        <v>4.20372506733211</v>
      </c>
    </row>
    <row r="59" spans="2:44" ht="12" customHeight="1" x14ac:dyDescent="0.25">
      <c r="B59" s="128" t="s">
        <v>37</v>
      </c>
      <c r="C59" s="129" t="s">
        <v>33</v>
      </c>
      <c r="D59" s="129" t="s">
        <v>25</v>
      </c>
      <c r="E59" s="129" t="s">
        <v>25</v>
      </c>
      <c r="F59" s="129" t="s">
        <v>25</v>
      </c>
      <c r="G59" s="129" t="s">
        <v>36</v>
      </c>
      <c r="H59" s="129" t="s">
        <v>78</v>
      </c>
      <c r="I59" s="129" t="s">
        <v>25</v>
      </c>
      <c r="J59" s="129">
        <v>537.16</v>
      </c>
      <c r="K59" s="129">
        <v>227.26</v>
      </c>
      <c r="L59" s="129">
        <v>1.8274725492357899</v>
      </c>
      <c r="M59" s="129">
        <v>0.813341276061333</v>
      </c>
      <c r="N59" s="129">
        <v>5.1152891859981704</v>
      </c>
      <c r="O59" s="129">
        <v>3.9888958600875997E-2</v>
      </c>
      <c r="P59" s="129">
        <v>0</v>
      </c>
      <c r="Q59" s="129">
        <v>36.017018795122098</v>
      </c>
      <c r="R59" s="129">
        <v>14.370155340998</v>
      </c>
      <c r="S59" s="129">
        <v>0</v>
      </c>
      <c r="T59" s="129">
        <v>33.271805802994798</v>
      </c>
      <c r="U59" s="129">
        <v>9.0929222872237592</v>
      </c>
      <c r="V59" s="129">
        <v>0.81071807946191199</v>
      </c>
      <c r="W59" s="129">
        <v>0</v>
      </c>
      <c r="X59" s="129">
        <v>34.563371776353499</v>
      </c>
      <c r="Y59" s="129">
        <v>0</v>
      </c>
      <c r="Z59" s="129">
        <v>0</v>
      </c>
      <c r="AA59" s="129">
        <v>381.56415962246501</v>
      </c>
      <c r="AB59" s="129">
        <v>0</v>
      </c>
      <c r="AC59" s="129">
        <v>0</v>
      </c>
      <c r="AD59" s="129">
        <v>16.664328898488002</v>
      </c>
      <c r="AE59" s="129">
        <v>0.39289938566617699</v>
      </c>
      <c r="AF59" s="129">
        <v>2.6126048271673201</v>
      </c>
      <c r="AG59" s="129">
        <v>0</v>
      </c>
      <c r="AH59" s="129">
        <v>7.6605309289669696</v>
      </c>
      <c r="AI59" s="129">
        <v>0</v>
      </c>
      <c r="AJ59" s="129">
        <v>2.5213258337079201</v>
      </c>
      <c r="AK59" s="129">
        <v>14.0711603556282</v>
      </c>
      <c r="AL59" s="129">
        <v>0</v>
      </c>
      <c r="AM59" s="129">
        <v>198.80704501715499</v>
      </c>
      <c r="AN59" s="129">
        <v>0</v>
      </c>
      <c r="AO59" s="129">
        <v>0</v>
      </c>
      <c r="AP59" s="129">
        <v>1.8513197508430401E-12</v>
      </c>
      <c r="AQ59" s="129">
        <v>0</v>
      </c>
      <c r="AR59" s="130">
        <v>4.20372506733211</v>
      </c>
    </row>
    <row r="60" spans="2:44" ht="12" customHeight="1" x14ac:dyDescent="0.25">
      <c r="B60" s="128" t="s">
        <v>37</v>
      </c>
      <c r="C60" s="129" t="s">
        <v>33</v>
      </c>
      <c r="D60" s="129" t="s">
        <v>25</v>
      </c>
      <c r="E60" s="129" t="s">
        <v>25</v>
      </c>
      <c r="F60" s="129" t="s">
        <v>25</v>
      </c>
      <c r="G60" s="129" t="s">
        <v>35</v>
      </c>
      <c r="H60" s="129" t="s">
        <v>78</v>
      </c>
      <c r="I60" s="129" t="s">
        <v>25</v>
      </c>
      <c r="J60" s="129">
        <v>227.85</v>
      </c>
      <c r="K60" s="129">
        <v>227.26</v>
      </c>
      <c r="L60" s="129">
        <v>1.8274725492357899</v>
      </c>
      <c r="M60" s="129">
        <v>0.813341276061333</v>
      </c>
      <c r="N60" s="129">
        <v>2.0118692534333502</v>
      </c>
      <c r="O60" s="129">
        <v>3.9888958600875997E-2</v>
      </c>
      <c r="P60" s="129">
        <v>0</v>
      </c>
      <c r="Q60" s="129">
        <v>36.017018795122098</v>
      </c>
      <c r="R60" s="129">
        <v>14.370155340998</v>
      </c>
      <c r="S60" s="129">
        <v>0</v>
      </c>
      <c r="T60" s="129">
        <v>11.090568798284201</v>
      </c>
      <c r="U60" s="129">
        <v>3.0309479596695801</v>
      </c>
      <c r="V60" s="129">
        <v>0.27021252107202098</v>
      </c>
      <c r="W60" s="129">
        <v>0</v>
      </c>
      <c r="X60" s="129">
        <v>11.521123925451199</v>
      </c>
      <c r="Y60" s="129">
        <v>0</v>
      </c>
      <c r="Z60" s="129">
        <v>0</v>
      </c>
      <c r="AA60" s="129">
        <v>127.188092925568</v>
      </c>
      <c r="AB60" s="129">
        <v>0</v>
      </c>
      <c r="AC60" s="129">
        <v>0</v>
      </c>
      <c r="AD60" s="129">
        <v>16.664328898488002</v>
      </c>
      <c r="AE60" s="129">
        <v>0.39289938566617699</v>
      </c>
      <c r="AF60" s="129">
        <v>2.6126048271673201</v>
      </c>
      <c r="AG60" s="129">
        <v>0</v>
      </c>
      <c r="AH60" s="129">
        <v>7.6605309289669696</v>
      </c>
      <c r="AI60" s="129">
        <v>0</v>
      </c>
      <c r="AJ60" s="129">
        <v>2.5213258337079201</v>
      </c>
      <c r="AK60" s="129">
        <v>14.0711603556282</v>
      </c>
      <c r="AL60" s="129">
        <v>0</v>
      </c>
      <c r="AM60" s="129">
        <v>198.80704501715499</v>
      </c>
      <c r="AN60" s="129">
        <v>0</v>
      </c>
      <c r="AO60" s="129">
        <v>0</v>
      </c>
      <c r="AP60" s="129">
        <v>1.8513197508430401E-12</v>
      </c>
      <c r="AQ60" s="129">
        <v>0</v>
      </c>
      <c r="AR60" s="130">
        <v>4.20372506733211</v>
      </c>
    </row>
    <row r="61" spans="2:44" ht="12" customHeight="1" x14ac:dyDescent="0.25">
      <c r="B61" s="128" t="s">
        <v>37</v>
      </c>
      <c r="C61" s="129" t="s">
        <v>23</v>
      </c>
      <c r="D61" s="129" t="s">
        <v>25</v>
      </c>
      <c r="E61" s="129" t="s">
        <v>25</v>
      </c>
      <c r="F61" s="129" t="s">
        <v>25</v>
      </c>
      <c r="G61" s="129" t="s">
        <v>25</v>
      </c>
      <c r="H61" s="129" t="s">
        <v>78</v>
      </c>
      <c r="I61" s="129" t="s">
        <v>25</v>
      </c>
      <c r="J61" s="129">
        <v>311.12</v>
      </c>
      <c r="K61" s="129">
        <v>239.19</v>
      </c>
      <c r="L61" s="129">
        <v>1.8274725492357899</v>
      </c>
      <c r="M61" s="129">
        <v>0.813341276061333</v>
      </c>
      <c r="N61" s="129">
        <v>2.8474043981197301</v>
      </c>
      <c r="O61" s="129">
        <v>3.9888958600875997E-2</v>
      </c>
      <c r="P61" s="129">
        <v>0</v>
      </c>
      <c r="Q61" s="129">
        <v>36.017018795122098</v>
      </c>
      <c r="R61" s="129">
        <v>14.370155340998</v>
      </c>
      <c r="S61" s="129">
        <v>0</v>
      </c>
      <c r="T61" s="129">
        <v>17.062413535821801</v>
      </c>
      <c r="U61" s="129">
        <v>4.6630149552335904</v>
      </c>
      <c r="V61" s="129">
        <v>0.41578589356850898</v>
      </c>
      <c r="W61" s="129">
        <v>0</v>
      </c>
      <c r="X61" s="129">
        <v>17.724729272207099</v>
      </c>
      <c r="Y61" s="129">
        <v>0</v>
      </c>
      <c r="Z61" s="129">
        <v>0</v>
      </c>
      <c r="AA61" s="129">
        <v>195.67389745915199</v>
      </c>
      <c r="AB61" s="129">
        <v>0</v>
      </c>
      <c r="AC61" s="129">
        <v>0</v>
      </c>
      <c r="AD61" s="129">
        <v>16.664328898488002</v>
      </c>
      <c r="AE61" s="129">
        <v>0.39289938566617699</v>
      </c>
      <c r="AF61" s="129">
        <v>2.6126048271673201</v>
      </c>
      <c r="AG61" s="129">
        <v>0</v>
      </c>
      <c r="AH61" s="129">
        <v>7.6605309289669696</v>
      </c>
      <c r="AI61" s="129">
        <v>0</v>
      </c>
      <c r="AJ61" s="129">
        <v>2.5213258337079201</v>
      </c>
      <c r="AK61" s="129">
        <v>14.0711603556282</v>
      </c>
      <c r="AL61" s="129">
        <v>0</v>
      </c>
      <c r="AM61" s="129">
        <v>210.73546771818499</v>
      </c>
      <c r="AN61" s="129">
        <v>0</v>
      </c>
      <c r="AO61" s="129">
        <v>0</v>
      </c>
      <c r="AP61" s="129">
        <v>1.8513197508430401E-12</v>
      </c>
      <c r="AQ61" s="129">
        <v>0</v>
      </c>
      <c r="AR61" s="130">
        <v>4.20372506733211</v>
      </c>
    </row>
    <row r="62" spans="2:44" ht="12" customHeight="1" x14ac:dyDescent="0.25">
      <c r="B62" s="128" t="s">
        <v>37</v>
      </c>
      <c r="C62" s="129" t="s">
        <v>93</v>
      </c>
      <c r="D62" s="129" t="s">
        <v>25</v>
      </c>
      <c r="E62" s="129" t="s">
        <v>25</v>
      </c>
      <c r="F62" s="129" t="s">
        <v>25</v>
      </c>
      <c r="G62" s="129" t="s">
        <v>25</v>
      </c>
      <c r="H62" s="129" t="s">
        <v>78</v>
      </c>
      <c r="I62" s="129" t="s">
        <v>25</v>
      </c>
      <c r="J62" s="129">
        <v>311.12</v>
      </c>
      <c r="K62" s="129">
        <v>239.19</v>
      </c>
      <c r="L62" s="129">
        <v>1.8274725492357899</v>
      </c>
      <c r="M62" s="129">
        <v>0.813341276061333</v>
      </c>
      <c r="N62" s="129">
        <v>2.8474043981197301</v>
      </c>
      <c r="O62" s="129">
        <v>3.9888958600875997E-2</v>
      </c>
      <c r="P62" s="129">
        <v>0</v>
      </c>
      <c r="Q62" s="129">
        <v>36.017018795122098</v>
      </c>
      <c r="R62" s="129">
        <v>14.370155340998</v>
      </c>
      <c r="S62" s="129">
        <v>0</v>
      </c>
      <c r="T62" s="129">
        <v>17.062413535821801</v>
      </c>
      <c r="U62" s="129">
        <v>4.6630149552335904</v>
      </c>
      <c r="V62" s="129">
        <v>0.41578589356850898</v>
      </c>
      <c r="W62" s="129">
        <v>0</v>
      </c>
      <c r="X62" s="129">
        <v>17.724729272207099</v>
      </c>
      <c r="Y62" s="129">
        <v>0</v>
      </c>
      <c r="Z62" s="129">
        <v>0</v>
      </c>
      <c r="AA62" s="129">
        <v>195.67389745915199</v>
      </c>
      <c r="AB62" s="129">
        <v>0</v>
      </c>
      <c r="AC62" s="129">
        <v>0</v>
      </c>
      <c r="AD62" s="129">
        <v>16.664328898488002</v>
      </c>
      <c r="AE62" s="129">
        <v>0.39289938566617699</v>
      </c>
      <c r="AF62" s="129">
        <v>2.6126048271673201</v>
      </c>
      <c r="AG62" s="129">
        <v>0</v>
      </c>
      <c r="AH62" s="129">
        <v>7.6605309289669696</v>
      </c>
      <c r="AI62" s="129">
        <v>0</v>
      </c>
      <c r="AJ62" s="129">
        <v>2.5213258337079201</v>
      </c>
      <c r="AK62" s="129">
        <v>14.0711603556282</v>
      </c>
      <c r="AL62" s="129">
        <v>0</v>
      </c>
      <c r="AM62" s="129">
        <v>210.73546771818499</v>
      </c>
      <c r="AN62" s="129">
        <v>0</v>
      </c>
      <c r="AO62" s="129">
        <v>0</v>
      </c>
      <c r="AP62" s="129">
        <v>1.8513197508430401E-12</v>
      </c>
      <c r="AQ62" s="129">
        <v>0</v>
      </c>
      <c r="AR62" s="130">
        <v>4.20372506733211</v>
      </c>
    </row>
    <row r="63" spans="2:44" ht="12" customHeight="1" x14ac:dyDescent="0.25">
      <c r="B63" s="128" t="s">
        <v>46</v>
      </c>
      <c r="C63" s="129" t="s">
        <v>23</v>
      </c>
      <c r="D63" s="129" t="s">
        <v>47</v>
      </c>
      <c r="E63" s="129" t="s">
        <v>48</v>
      </c>
      <c r="F63" s="129" t="s">
        <v>25</v>
      </c>
      <c r="G63" s="129" t="s">
        <v>25</v>
      </c>
      <c r="H63" s="129" t="s">
        <v>78</v>
      </c>
      <c r="I63" s="129" t="s">
        <v>25</v>
      </c>
      <c r="J63" s="129">
        <v>171.12</v>
      </c>
      <c r="K63" s="129">
        <v>131.56</v>
      </c>
      <c r="L63" s="129">
        <v>1.0051099020796901</v>
      </c>
      <c r="M63" s="129">
        <v>0.447337701833733</v>
      </c>
      <c r="N63" s="129">
        <v>1.5660724189658499</v>
      </c>
      <c r="O63" s="129">
        <v>2.1938927230481801E-2</v>
      </c>
      <c r="P63" s="129">
        <v>0</v>
      </c>
      <c r="Q63" s="129">
        <v>19.809360337317099</v>
      </c>
      <c r="R63" s="129">
        <v>7.9035854375488803</v>
      </c>
      <c r="S63" s="129">
        <v>0</v>
      </c>
      <c r="T63" s="129">
        <v>9.3843274447020093</v>
      </c>
      <c r="U63" s="129">
        <v>2.5646582253784702</v>
      </c>
      <c r="V63" s="129">
        <v>0.22868224146268001</v>
      </c>
      <c r="W63" s="129">
        <v>0</v>
      </c>
      <c r="X63" s="129">
        <v>9.7486010997139303</v>
      </c>
      <c r="Y63" s="129">
        <v>0</v>
      </c>
      <c r="Z63" s="129">
        <v>0</v>
      </c>
      <c r="AA63" s="129">
        <v>107.620643602534</v>
      </c>
      <c r="AB63" s="129">
        <v>0</v>
      </c>
      <c r="AC63" s="129">
        <v>0</v>
      </c>
      <c r="AD63" s="129">
        <v>9.1653808941684094</v>
      </c>
      <c r="AE63" s="129">
        <v>0.216094662116397</v>
      </c>
      <c r="AF63" s="129">
        <v>1.43693265494202</v>
      </c>
      <c r="AG63" s="129">
        <v>0</v>
      </c>
      <c r="AH63" s="129">
        <v>4.2132920109318297</v>
      </c>
      <c r="AI63" s="129">
        <v>0</v>
      </c>
      <c r="AJ63" s="129">
        <v>1.3867292085393601</v>
      </c>
      <c r="AK63" s="129">
        <v>7.7391381955954897</v>
      </c>
      <c r="AL63" s="129">
        <v>0</v>
      </c>
      <c r="AM63" s="129">
        <v>115.904507245001</v>
      </c>
      <c r="AN63" s="129">
        <v>0</v>
      </c>
      <c r="AO63" s="129">
        <v>0</v>
      </c>
      <c r="AP63" s="129">
        <v>1.0182258629636699E-12</v>
      </c>
      <c r="AQ63" s="129">
        <v>0</v>
      </c>
      <c r="AR63" s="130">
        <v>2.3120487870326598</v>
      </c>
    </row>
    <row r="64" spans="2:44" ht="12" customHeight="1" x14ac:dyDescent="0.25">
      <c r="B64" s="131" t="s">
        <v>46</v>
      </c>
      <c r="C64" s="132" t="s">
        <v>23</v>
      </c>
      <c r="D64" s="132" t="s">
        <v>47</v>
      </c>
      <c r="E64" s="132" t="s">
        <v>96</v>
      </c>
      <c r="F64" s="132" t="s">
        <v>25</v>
      </c>
      <c r="G64" s="132" t="s">
        <v>25</v>
      </c>
      <c r="H64" s="132" t="s">
        <v>78</v>
      </c>
      <c r="I64" s="132" t="s">
        <v>25</v>
      </c>
      <c r="J64" s="132">
        <v>186.67</v>
      </c>
      <c r="K64" s="132">
        <v>143.52000000000001</v>
      </c>
      <c r="L64" s="132">
        <v>1.0964835295414701</v>
      </c>
      <c r="M64" s="132">
        <v>0.48800476563680001</v>
      </c>
      <c r="N64" s="132">
        <v>1.7084426388718399</v>
      </c>
      <c r="O64" s="132">
        <v>2.39333751605256E-2</v>
      </c>
      <c r="P64" s="132">
        <v>0</v>
      </c>
      <c r="Q64" s="132">
        <v>21.610211277073201</v>
      </c>
      <c r="R64" s="132">
        <v>8.6220932045987801</v>
      </c>
      <c r="S64" s="132">
        <v>0</v>
      </c>
      <c r="T64" s="132">
        <v>10.237448121493101</v>
      </c>
      <c r="U64" s="132">
        <v>2.7978089731401501</v>
      </c>
      <c r="V64" s="132">
        <v>0.24947153614110501</v>
      </c>
      <c r="W64" s="132">
        <v>0</v>
      </c>
      <c r="X64" s="132">
        <v>10.6348375633243</v>
      </c>
      <c r="Y64" s="132">
        <v>0</v>
      </c>
      <c r="Z64" s="132">
        <v>0</v>
      </c>
      <c r="AA64" s="132">
        <v>117.404338475491</v>
      </c>
      <c r="AB64" s="132">
        <v>0</v>
      </c>
      <c r="AC64" s="132">
        <v>0</v>
      </c>
      <c r="AD64" s="132">
        <v>9.9985973390928091</v>
      </c>
      <c r="AE64" s="132">
        <v>0.235739631399706</v>
      </c>
      <c r="AF64" s="132">
        <v>1.56756289630039</v>
      </c>
      <c r="AG64" s="132">
        <v>0</v>
      </c>
      <c r="AH64" s="132">
        <v>4.5963185573801804</v>
      </c>
      <c r="AI64" s="132">
        <v>0</v>
      </c>
      <c r="AJ64" s="132">
        <v>1.51279550022475</v>
      </c>
      <c r="AK64" s="132">
        <v>8.4426962133768999</v>
      </c>
      <c r="AL64" s="132">
        <v>0</v>
      </c>
      <c r="AM64" s="132">
        <v>126.441280630911</v>
      </c>
      <c r="AN64" s="132">
        <v>0</v>
      </c>
      <c r="AO64" s="132">
        <v>0</v>
      </c>
      <c r="AP64" s="132">
        <v>1.1107918505058199E-12</v>
      </c>
      <c r="AQ64" s="132">
        <v>0</v>
      </c>
      <c r="AR64" s="133">
        <v>2.5222350403992602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C78AF-DA7B-465B-8F95-CB63809DCBF2}">
  <dimension ref="B1:AR64"/>
  <sheetViews>
    <sheetView showGridLines="0" tabSelected="1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6" width="12.42578125" bestFit="1" customWidth="1"/>
    <col min="17" max="17" width="12.710937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14.5703125" bestFit="1" customWidth="1"/>
    <col min="36" max="36" width="9.85546875" bestFit="1" customWidth="1"/>
    <col min="37" max="37" width="12.5703125" bestFit="1" customWidth="1"/>
    <col min="38" max="38" width="12.28515625" bestFit="1" customWidth="1"/>
    <col min="39" max="39" width="14.140625" bestFit="1" customWidth="1"/>
    <col min="40" max="40" width="25.28515625" bestFit="1" customWidth="1"/>
    <col min="41" max="41" width="17.85546875" bestFit="1" customWidth="1"/>
    <col min="42" max="42" width="13.42578125" bestFit="1" customWidth="1"/>
    <col min="43" max="43" width="13.28515625" bestFit="1" customWidth="1"/>
    <col min="44" max="44" width="12.5703125" bestFit="1" customWidth="1"/>
  </cols>
  <sheetData>
    <row r="1" spans="2:44" ht="12" customHeight="1" x14ac:dyDescent="0.25">
      <c r="L1" s="134" t="s">
        <v>1430</v>
      </c>
      <c r="M1" s="134"/>
      <c r="N1" s="134"/>
      <c r="O1" s="134"/>
      <c r="P1" s="134"/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4"/>
      <c r="AE1" s="134"/>
      <c r="AF1" s="134"/>
      <c r="AG1" s="135"/>
      <c r="AH1" s="134" t="s">
        <v>1431</v>
      </c>
      <c r="AI1" s="134"/>
      <c r="AJ1" s="134"/>
      <c r="AK1" s="134"/>
      <c r="AL1" s="134"/>
      <c r="AM1" s="134"/>
      <c r="AN1" s="134"/>
      <c r="AO1" s="134"/>
      <c r="AP1" s="134"/>
      <c r="AQ1" s="134"/>
      <c r="AR1" s="134"/>
    </row>
    <row r="2" spans="2:44" ht="12" customHeight="1" x14ac:dyDescent="0.25">
      <c r="L2" s="136" t="s">
        <v>717</v>
      </c>
      <c r="M2" s="136"/>
      <c r="N2" s="136"/>
      <c r="O2" s="136"/>
      <c r="P2" s="136"/>
      <c r="Q2" s="136"/>
      <c r="R2" s="136"/>
      <c r="S2" s="137"/>
      <c r="T2" s="136" t="s">
        <v>726</v>
      </c>
      <c r="U2" s="136"/>
      <c r="V2" s="136"/>
      <c r="W2" s="136"/>
      <c r="X2" s="136"/>
      <c r="Y2" s="136"/>
      <c r="Z2" s="137"/>
      <c r="AA2" s="138" t="s">
        <v>734</v>
      </c>
      <c r="AB2" s="136" t="s">
        <v>25</v>
      </c>
      <c r="AC2" s="137"/>
      <c r="AD2" s="136" t="s">
        <v>1429</v>
      </c>
      <c r="AE2" s="136"/>
      <c r="AF2" s="136"/>
      <c r="AG2" s="137"/>
      <c r="AH2" s="136" t="s">
        <v>717</v>
      </c>
      <c r="AI2" s="136"/>
      <c r="AJ2" s="136"/>
      <c r="AK2" s="136"/>
      <c r="AL2" s="137"/>
      <c r="AM2" s="138" t="s">
        <v>747</v>
      </c>
      <c r="AN2" s="136" t="s">
        <v>726</v>
      </c>
      <c r="AO2" s="136"/>
      <c r="AP2" s="136"/>
      <c r="AQ2" s="137"/>
      <c r="AR2" s="139" t="s">
        <v>1429</v>
      </c>
    </row>
    <row r="3" spans="2:44" ht="12" customHeight="1" x14ac:dyDescent="0.25">
      <c r="B3" s="125" t="s">
        <v>68</v>
      </c>
      <c r="C3" s="126" t="s">
        <v>69</v>
      </c>
      <c r="D3" s="126" t="s">
        <v>70</v>
      </c>
      <c r="E3" s="126" t="s">
        <v>71</v>
      </c>
      <c r="F3" s="126" t="s">
        <v>72</v>
      </c>
      <c r="G3" s="126" t="s">
        <v>74</v>
      </c>
      <c r="H3" s="126" t="s">
        <v>75</v>
      </c>
      <c r="I3" s="126" t="s">
        <v>989</v>
      </c>
      <c r="J3" s="126" t="s">
        <v>1393</v>
      </c>
      <c r="K3" s="126" t="s">
        <v>1394</v>
      </c>
      <c r="L3" s="126" t="s">
        <v>1395</v>
      </c>
      <c r="M3" s="126" t="s">
        <v>1396</v>
      </c>
      <c r="N3" s="126" t="s">
        <v>1397</v>
      </c>
      <c r="O3" s="126" t="s">
        <v>1398</v>
      </c>
      <c r="P3" s="126" t="s">
        <v>1399</v>
      </c>
      <c r="Q3" s="126" t="s">
        <v>1400</v>
      </c>
      <c r="R3" s="126" t="s">
        <v>1401</v>
      </c>
      <c r="S3" s="126" t="s">
        <v>1402</v>
      </c>
      <c r="T3" s="126" t="s">
        <v>1403</v>
      </c>
      <c r="U3" s="126" t="s">
        <v>1404</v>
      </c>
      <c r="V3" s="126" t="s">
        <v>1405</v>
      </c>
      <c r="W3" s="126" t="s">
        <v>1406</v>
      </c>
      <c r="X3" s="126" t="s">
        <v>1407</v>
      </c>
      <c r="Y3" s="126" t="s">
        <v>1408</v>
      </c>
      <c r="Z3" s="126" t="s">
        <v>1409</v>
      </c>
      <c r="AA3" s="126" t="s">
        <v>1410</v>
      </c>
      <c r="AB3" s="126" t="s">
        <v>1411</v>
      </c>
      <c r="AC3" s="126" t="s">
        <v>1412</v>
      </c>
      <c r="AD3" s="126" t="s">
        <v>1413</v>
      </c>
      <c r="AE3" s="126" t="s">
        <v>1414</v>
      </c>
      <c r="AF3" s="126" t="s">
        <v>1415</v>
      </c>
      <c r="AG3" s="126" t="s">
        <v>1416</v>
      </c>
      <c r="AH3" s="126" t="s">
        <v>1417</v>
      </c>
      <c r="AI3" s="126" t="s">
        <v>1418</v>
      </c>
      <c r="AJ3" s="126" t="s">
        <v>1419</v>
      </c>
      <c r="AK3" s="126" t="s">
        <v>1420</v>
      </c>
      <c r="AL3" s="126" t="s">
        <v>1421</v>
      </c>
      <c r="AM3" s="126" t="s">
        <v>1422</v>
      </c>
      <c r="AN3" s="126" t="s">
        <v>1423</v>
      </c>
      <c r="AO3" s="126" t="s">
        <v>1424</v>
      </c>
      <c r="AP3" s="126" t="s">
        <v>1425</v>
      </c>
      <c r="AQ3" s="126" t="s">
        <v>1426</v>
      </c>
      <c r="AR3" s="127" t="s">
        <v>1427</v>
      </c>
    </row>
    <row r="4" spans="2:44" ht="12" customHeight="1" x14ac:dyDescent="0.25">
      <c r="B4" s="128" t="s">
        <v>56</v>
      </c>
      <c r="C4" s="129" t="s">
        <v>40</v>
      </c>
      <c r="D4" s="129" t="s">
        <v>25</v>
      </c>
      <c r="E4" s="129" t="s">
        <v>25</v>
      </c>
      <c r="F4" s="129" t="s">
        <v>85</v>
      </c>
      <c r="G4" s="129" t="s">
        <v>34</v>
      </c>
      <c r="H4" s="129" t="s">
        <v>78</v>
      </c>
      <c r="I4" s="129" t="s">
        <v>25</v>
      </c>
      <c r="J4" s="129">
        <v>0.57999999999999996</v>
      </c>
      <c r="K4" s="129">
        <v>0</v>
      </c>
      <c r="L4" s="129">
        <v>0</v>
      </c>
      <c r="M4" s="129">
        <v>0</v>
      </c>
      <c r="N4" s="129">
        <v>0</v>
      </c>
      <c r="O4" s="129">
        <v>0</v>
      </c>
      <c r="P4" s="129">
        <v>0</v>
      </c>
      <c r="Q4" s="129">
        <v>0</v>
      </c>
      <c r="R4" s="129">
        <v>0</v>
      </c>
      <c r="S4" s="129">
        <v>0</v>
      </c>
      <c r="T4" s="129">
        <v>0</v>
      </c>
      <c r="U4" s="129">
        <v>0</v>
      </c>
      <c r="V4" s="129">
        <v>0</v>
      </c>
      <c r="W4" s="129">
        <v>0</v>
      </c>
      <c r="X4" s="129">
        <v>0</v>
      </c>
      <c r="Y4" s="129">
        <v>0</v>
      </c>
      <c r="Z4" s="129">
        <v>0</v>
      </c>
      <c r="AA4" s="129">
        <v>0</v>
      </c>
      <c r="AB4" s="129">
        <v>0</v>
      </c>
      <c r="AC4" s="129">
        <v>0</v>
      </c>
      <c r="AD4" s="129">
        <v>0.45701509637329002</v>
      </c>
      <c r="AE4" s="129">
        <v>1.07751684270662E-2</v>
      </c>
      <c r="AF4" s="129">
        <v>0.10840680772132</v>
      </c>
      <c r="AG4" s="129">
        <v>0</v>
      </c>
      <c r="AH4" s="129">
        <v>0</v>
      </c>
      <c r="AI4" s="129">
        <v>0</v>
      </c>
      <c r="AJ4" s="129">
        <v>0</v>
      </c>
      <c r="AK4" s="129">
        <v>0</v>
      </c>
      <c r="AL4" s="129">
        <v>0</v>
      </c>
      <c r="AM4" s="129">
        <v>0</v>
      </c>
      <c r="AN4" s="129">
        <v>0</v>
      </c>
      <c r="AO4" s="129">
        <v>0</v>
      </c>
      <c r="AP4" s="129">
        <v>0</v>
      </c>
      <c r="AQ4" s="129">
        <v>0</v>
      </c>
      <c r="AR4" s="130">
        <v>0</v>
      </c>
    </row>
    <row r="5" spans="2:44" ht="12" customHeight="1" x14ac:dyDescent="0.25">
      <c r="B5" s="128" t="s">
        <v>56</v>
      </c>
      <c r="C5" s="129" t="s">
        <v>40</v>
      </c>
      <c r="D5" s="129" t="s">
        <v>25</v>
      </c>
      <c r="E5" s="129" t="s">
        <v>25</v>
      </c>
      <c r="F5" s="129" t="s">
        <v>85</v>
      </c>
      <c r="G5" s="129" t="s">
        <v>34</v>
      </c>
      <c r="H5" s="129" t="s">
        <v>81</v>
      </c>
      <c r="I5" s="129" t="s">
        <v>25</v>
      </c>
      <c r="J5" s="129">
        <v>0.28000000000000003</v>
      </c>
      <c r="K5" s="129">
        <v>0</v>
      </c>
      <c r="L5" s="129">
        <v>0</v>
      </c>
      <c r="M5" s="129">
        <v>0</v>
      </c>
      <c r="N5" s="129">
        <v>0</v>
      </c>
      <c r="O5" s="129">
        <v>0</v>
      </c>
      <c r="P5" s="129">
        <v>0</v>
      </c>
      <c r="Q5" s="129">
        <v>0</v>
      </c>
      <c r="R5" s="129">
        <v>0</v>
      </c>
      <c r="S5" s="129">
        <v>0</v>
      </c>
      <c r="T5" s="129">
        <v>0.222375496451993</v>
      </c>
      <c r="U5" s="129">
        <v>6.04825717052846E-2</v>
      </c>
      <c r="V5" s="129">
        <v>0</v>
      </c>
      <c r="W5" s="129">
        <v>0</v>
      </c>
      <c r="X5" s="129">
        <v>0</v>
      </c>
      <c r="Y5" s="129">
        <v>0</v>
      </c>
      <c r="Z5" s="129">
        <v>0</v>
      </c>
      <c r="AA5" s="129">
        <v>0</v>
      </c>
      <c r="AB5" s="129">
        <v>0</v>
      </c>
      <c r="AC5" s="129">
        <v>0</v>
      </c>
      <c r="AD5" s="129">
        <v>0</v>
      </c>
      <c r="AE5" s="129">
        <v>0</v>
      </c>
      <c r="AF5" s="129">
        <v>0</v>
      </c>
      <c r="AG5" s="129">
        <v>0</v>
      </c>
      <c r="AH5" s="129">
        <v>0</v>
      </c>
      <c r="AI5" s="129">
        <v>0</v>
      </c>
      <c r="AJ5" s="129">
        <v>0</v>
      </c>
      <c r="AK5" s="129">
        <v>0</v>
      </c>
      <c r="AL5" s="129">
        <v>0</v>
      </c>
      <c r="AM5" s="129">
        <v>0</v>
      </c>
      <c r="AN5" s="129">
        <v>0</v>
      </c>
      <c r="AO5" s="129">
        <v>0</v>
      </c>
      <c r="AP5" s="129">
        <v>0</v>
      </c>
      <c r="AQ5" s="129">
        <v>0</v>
      </c>
      <c r="AR5" s="130">
        <v>0</v>
      </c>
    </row>
    <row r="6" spans="2:44" ht="12" customHeight="1" x14ac:dyDescent="0.25">
      <c r="B6" s="128" t="s">
        <v>56</v>
      </c>
      <c r="C6" s="129" t="s">
        <v>40</v>
      </c>
      <c r="D6" s="129" t="s">
        <v>25</v>
      </c>
      <c r="E6" s="129" t="s">
        <v>25</v>
      </c>
      <c r="F6" s="129" t="s">
        <v>85</v>
      </c>
      <c r="G6" s="129" t="s">
        <v>35</v>
      </c>
      <c r="H6" s="129" t="s">
        <v>78</v>
      </c>
      <c r="I6" s="129" t="s">
        <v>25</v>
      </c>
      <c r="J6" s="129">
        <v>0.57999999999999996</v>
      </c>
      <c r="K6" s="129">
        <v>0</v>
      </c>
      <c r="L6" s="129">
        <v>0</v>
      </c>
      <c r="M6" s="129">
        <v>0</v>
      </c>
      <c r="N6" s="129">
        <v>0</v>
      </c>
      <c r="O6" s="129">
        <v>0</v>
      </c>
      <c r="P6" s="129">
        <v>0</v>
      </c>
      <c r="Q6" s="129">
        <v>0</v>
      </c>
      <c r="R6" s="129">
        <v>0</v>
      </c>
      <c r="S6" s="129">
        <v>0</v>
      </c>
      <c r="T6" s="129">
        <v>0</v>
      </c>
      <c r="U6" s="129">
        <v>0</v>
      </c>
      <c r="V6" s="129">
        <v>0</v>
      </c>
      <c r="W6" s="129">
        <v>0</v>
      </c>
      <c r="X6" s="129">
        <v>0</v>
      </c>
      <c r="Y6" s="129">
        <v>0</v>
      </c>
      <c r="Z6" s="129">
        <v>0</v>
      </c>
      <c r="AA6" s="129">
        <v>0</v>
      </c>
      <c r="AB6" s="129">
        <v>0</v>
      </c>
      <c r="AC6" s="129">
        <v>0</v>
      </c>
      <c r="AD6" s="129">
        <v>0.45701509637329002</v>
      </c>
      <c r="AE6" s="129">
        <v>1.07751684270662E-2</v>
      </c>
      <c r="AF6" s="129">
        <v>0.10840680772132</v>
      </c>
      <c r="AG6" s="129">
        <v>0</v>
      </c>
      <c r="AH6" s="129">
        <v>0</v>
      </c>
      <c r="AI6" s="129">
        <v>0</v>
      </c>
      <c r="AJ6" s="129">
        <v>0</v>
      </c>
      <c r="AK6" s="129">
        <v>0</v>
      </c>
      <c r="AL6" s="129">
        <v>0</v>
      </c>
      <c r="AM6" s="129">
        <v>0</v>
      </c>
      <c r="AN6" s="129">
        <v>0</v>
      </c>
      <c r="AO6" s="129">
        <v>0</v>
      </c>
      <c r="AP6" s="129">
        <v>0</v>
      </c>
      <c r="AQ6" s="129">
        <v>0</v>
      </c>
      <c r="AR6" s="130">
        <v>0</v>
      </c>
    </row>
    <row r="7" spans="2:44" ht="12" customHeight="1" x14ac:dyDescent="0.25">
      <c r="B7" s="128" t="s">
        <v>56</v>
      </c>
      <c r="C7" s="129" t="s">
        <v>40</v>
      </c>
      <c r="D7" s="129" t="s">
        <v>25</v>
      </c>
      <c r="E7" s="129" t="s">
        <v>25</v>
      </c>
      <c r="F7" s="129" t="s">
        <v>85</v>
      </c>
      <c r="G7" s="129" t="s">
        <v>35</v>
      </c>
      <c r="H7" s="129" t="s">
        <v>81</v>
      </c>
      <c r="I7" s="129" t="s">
        <v>25</v>
      </c>
      <c r="J7" s="129">
        <v>0.22</v>
      </c>
      <c r="K7" s="129">
        <v>0</v>
      </c>
      <c r="L7" s="129">
        <v>0</v>
      </c>
      <c r="M7" s="129">
        <v>0</v>
      </c>
      <c r="N7" s="129">
        <v>0</v>
      </c>
      <c r="O7" s="129">
        <v>0</v>
      </c>
      <c r="P7" s="129">
        <v>0</v>
      </c>
      <c r="Q7" s="129">
        <v>0</v>
      </c>
      <c r="R7" s="129">
        <v>0</v>
      </c>
      <c r="S7" s="129">
        <v>0</v>
      </c>
      <c r="T7" s="129">
        <v>0.17036159297053199</v>
      </c>
      <c r="U7" s="129">
        <v>4.6847453534204997E-2</v>
      </c>
      <c r="V7" s="129">
        <v>0</v>
      </c>
      <c r="W7" s="129">
        <v>0</v>
      </c>
      <c r="X7" s="129">
        <v>0</v>
      </c>
      <c r="Y7" s="129">
        <v>0</v>
      </c>
      <c r="Z7" s="129">
        <v>0</v>
      </c>
      <c r="AA7" s="129">
        <v>0</v>
      </c>
      <c r="AB7" s="129">
        <v>0</v>
      </c>
      <c r="AC7" s="129">
        <v>0</v>
      </c>
      <c r="AD7" s="129">
        <v>0</v>
      </c>
      <c r="AE7" s="129">
        <v>0</v>
      </c>
      <c r="AF7" s="129">
        <v>0</v>
      </c>
      <c r="AG7" s="129">
        <v>0</v>
      </c>
      <c r="AH7" s="129">
        <v>0</v>
      </c>
      <c r="AI7" s="129">
        <v>0</v>
      </c>
      <c r="AJ7" s="129">
        <v>0</v>
      </c>
      <c r="AK7" s="129">
        <v>0</v>
      </c>
      <c r="AL7" s="129">
        <v>0</v>
      </c>
      <c r="AM7" s="129">
        <v>0</v>
      </c>
      <c r="AN7" s="129">
        <v>0</v>
      </c>
      <c r="AO7" s="129">
        <v>0</v>
      </c>
      <c r="AP7" s="129">
        <v>0</v>
      </c>
      <c r="AQ7" s="129">
        <v>0</v>
      </c>
      <c r="AR7" s="130">
        <v>0</v>
      </c>
    </row>
    <row r="8" spans="2:44" ht="12" customHeight="1" x14ac:dyDescent="0.25">
      <c r="B8" s="128" t="s">
        <v>56</v>
      </c>
      <c r="C8" s="129" t="s">
        <v>40</v>
      </c>
      <c r="D8" s="129" t="s">
        <v>25</v>
      </c>
      <c r="E8" s="129" t="s">
        <v>25</v>
      </c>
      <c r="F8" s="129" t="s">
        <v>25</v>
      </c>
      <c r="G8" s="129" t="s">
        <v>34</v>
      </c>
      <c r="H8" s="129" t="s">
        <v>78</v>
      </c>
      <c r="I8" s="129" t="s">
        <v>25</v>
      </c>
      <c r="J8" s="129">
        <v>1.1599999999999999</v>
      </c>
      <c r="K8" s="129">
        <v>84.81</v>
      </c>
      <c r="L8" s="129">
        <v>0.129758684833125</v>
      </c>
      <c r="M8" s="129">
        <v>0</v>
      </c>
      <c r="N8" s="129">
        <v>0</v>
      </c>
      <c r="O8" s="129">
        <v>0</v>
      </c>
      <c r="P8" s="129">
        <v>0</v>
      </c>
      <c r="Q8" s="129">
        <v>-1.0145666088691101E-2</v>
      </c>
      <c r="R8" s="129">
        <v>0.46648905484001002</v>
      </c>
      <c r="S8" s="129">
        <v>0</v>
      </c>
      <c r="T8" s="129">
        <v>0</v>
      </c>
      <c r="U8" s="129">
        <v>0</v>
      </c>
      <c r="V8" s="129">
        <v>0</v>
      </c>
      <c r="W8" s="129">
        <v>0</v>
      </c>
      <c r="X8" s="129">
        <v>0</v>
      </c>
      <c r="Y8" s="129">
        <v>0</v>
      </c>
      <c r="Z8" s="129">
        <v>0</v>
      </c>
      <c r="AA8" s="129">
        <v>0</v>
      </c>
      <c r="AB8" s="129">
        <v>0</v>
      </c>
      <c r="AC8" s="129">
        <v>0</v>
      </c>
      <c r="AD8" s="129">
        <v>0.45701509637329002</v>
      </c>
      <c r="AE8" s="129">
        <v>1.07751684270662E-2</v>
      </c>
      <c r="AF8" s="129">
        <v>0.10840680772132</v>
      </c>
      <c r="AG8" s="129">
        <v>0</v>
      </c>
      <c r="AH8" s="129">
        <v>0.89143504345749702</v>
      </c>
      <c r="AI8" s="129">
        <v>0</v>
      </c>
      <c r="AJ8" s="129">
        <v>0</v>
      </c>
      <c r="AK8" s="129">
        <v>26.378319119723699</v>
      </c>
      <c r="AL8" s="129">
        <v>0</v>
      </c>
      <c r="AM8" s="129">
        <v>56.843173154606298</v>
      </c>
      <c r="AN8" s="129">
        <v>0</v>
      </c>
      <c r="AO8" s="129">
        <v>0</v>
      </c>
      <c r="AP8" s="129">
        <v>0</v>
      </c>
      <c r="AQ8" s="129">
        <v>0</v>
      </c>
      <c r="AR8" s="130">
        <v>0.69879920291117903</v>
      </c>
    </row>
    <row r="9" spans="2:44" ht="12" customHeight="1" x14ac:dyDescent="0.25">
      <c r="B9" s="128" t="s">
        <v>56</v>
      </c>
      <c r="C9" s="129" t="s">
        <v>40</v>
      </c>
      <c r="D9" s="129" t="s">
        <v>25</v>
      </c>
      <c r="E9" s="129" t="s">
        <v>25</v>
      </c>
      <c r="F9" s="129" t="s">
        <v>25</v>
      </c>
      <c r="G9" s="129" t="s">
        <v>34</v>
      </c>
      <c r="H9" s="129" t="s">
        <v>81</v>
      </c>
      <c r="I9" s="129" t="s">
        <v>25</v>
      </c>
      <c r="J9" s="129">
        <v>0.28000000000000003</v>
      </c>
      <c r="K9" s="129">
        <v>0</v>
      </c>
      <c r="L9" s="129">
        <v>0</v>
      </c>
      <c r="M9" s="129">
        <v>0</v>
      </c>
      <c r="N9" s="129">
        <v>0</v>
      </c>
      <c r="O9" s="129">
        <v>0</v>
      </c>
      <c r="P9" s="129">
        <v>0</v>
      </c>
      <c r="Q9" s="129">
        <v>0</v>
      </c>
      <c r="R9" s="129">
        <v>0</v>
      </c>
      <c r="S9" s="129">
        <v>0</v>
      </c>
      <c r="T9" s="129">
        <v>0.222375496451993</v>
      </c>
      <c r="U9" s="129">
        <v>6.04825717052846E-2</v>
      </c>
      <c r="V9" s="129">
        <v>0</v>
      </c>
      <c r="W9" s="129">
        <v>0</v>
      </c>
      <c r="X9" s="129">
        <v>0</v>
      </c>
      <c r="Y9" s="129">
        <v>0</v>
      </c>
      <c r="Z9" s="129">
        <v>0</v>
      </c>
      <c r="AA9" s="129">
        <v>0</v>
      </c>
      <c r="AB9" s="129">
        <v>0</v>
      </c>
      <c r="AC9" s="129">
        <v>0</v>
      </c>
      <c r="AD9" s="129">
        <v>0</v>
      </c>
      <c r="AE9" s="129">
        <v>0</v>
      </c>
      <c r="AF9" s="129">
        <v>0</v>
      </c>
      <c r="AG9" s="129">
        <v>0</v>
      </c>
      <c r="AH9" s="129">
        <v>0</v>
      </c>
      <c r="AI9" s="129">
        <v>0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0</v>
      </c>
      <c r="AR9" s="130">
        <v>0</v>
      </c>
    </row>
    <row r="10" spans="2:44" ht="12" customHeight="1" x14ac:dyDescent="0.25">
      <c r="B10" s="128" t="s">
        <v>56</v>
      </c>
      <c r="C10" s="129" t="s">
        <v>40</v>
      </c>
      <c r="D10" s="129" t="s">
        <v>25</v>
      </c>
      <c r="E10" s="129" t="s">
        <v>25</v>
      </c>
      <c r="F10" s="129" t="s">
        <v>25</v>
      </c>
      <c r="G10" s="129" t="s">
        <v>35</v>
      </c>
      <c r="H10" s="129" t="s">
        <v>78</v>
      </c>
      <c r="I10" s="129" t="s">
        <v>25</v>
      </c>
      <c r="J10" s="129">
        <v>1.1599999999999999</v>
      </c>
      <c r="K10" s="129">
        <v>61.02</v>
      </c>
      <c r="L10" s="129">
        <v>0.129758684833125</v>
      </c>
      <c r="M10" s="129">
        <v>0</v>
      </c>
      <c r="N10" s="129">
        <v>0</v>
      </c>
      <c r="O10" s="129">
        <v>0</v>
      </c>
      <c r="P10" s="129">
        <v>0</v>
      </c>
      <c r="Q10" s="129">
        <v>-1.0145666088691101E-2</v>
      </c>
      <c r="R10" s="129">
        <v>0.46648905484001002</v>
      </c>
      <c r="S10" s="129">
        <v>0</v>
      </c>
      <c r="T10" s="129">
        <v>0</v>
      </c>
      <c r="U10" s="129">
        <v>0</v>
      </c>
      <c r="V10" s="129">
        <v>0</v>
      </c>
      <c r="W10" s="129">
        <v>0</v>
      </c>
      <c r="X10" s="129">
        <v>0</v>
      </c>
      <c r="Y10" s="129">
        <v>0</v>
      </c>
      <c r="Z10" s="129">
        <v>0</v>
      </c>
      <c r="AA10" s="129">
        <v>0</v>
      </c>
      <c r="AB10" s="129">
        <v>0</v>
      </c>
      <c r="AC10" s="129">
        <v>0</v>
      </c>
      <c r="AD10" s="129">
        <v>0.45701509637329002</v>
      </c>
      <c r="AE10" s="129">
        <v>1.07751684270662E-2</v>
      </c>
      <c r="AF10" s="129">
        <v>0.10840680772132</v>
      </c>
      <c r="AG10" s="129">
        <v>0</v>
      </c>
      <c r="AH10" s="129">
        <v>0.89143504345749702</v>
      </c>
      <c r="AI10" s="129">
        <v>0</v>
      </c>
      <c r="AJ10" s="129">
        <v>0</v>
      </c>
      <c r="AK10" s="129">
        <v>26.378319119723699</v>
      </c>
      <c r="AL10" s="129">
        <v>0</v>
      </c>
      <c r="AM10" s="129">
        <v>33.048356485236198</v>
      </c>
      <c r="AN10" s="129">
        <v>0</v>
      </c>
      <c r="AO10" s="129">
        <v>0</v>
      </c>
      <c r="AP10" s="129">
        <v>0</v>
      </c>
      <c r="AQ10" s="129">
        <v>0</v>
      </c>
      <c r="AR10" s="130">
        <v>0.69879920291117903</v>
      </c>
    </row>
    <row r="11" spans="2:44" ht="12" customHeight="1" x14ac:dyDescent="0.25">
      <c r="B11" s="128" t="s">
        <v>56</v>
      </c>
      <c r="C11" s="129" t="s">
        <v>40</v>
      </c>
      <c r="D11" s="129" t="s">
        <v>25</v>
      </c>
      <c r="E11" s="129" t="s">
        <v>25</v>
      </c>
      <c r="F11" s="129" t="s">
        <v>25</v>
      </c>
      <c r="G11" s="129" t="s">
        <v>35</v>
      </c>
      <c r="H11" s="129" t="s">
        <v>81</v>
      </c>
      <c r="I11" s="129" t="s">
        <v>25</v>
      </c>
      <c r="J11" s="129">
        <v>0.22</v>
      </c>
      <c r="K11" s="129">
        <v>0</v>
      </c>
      <c r="L11" s="129">
        <v>0</v>
      </c>
      <c r="M11" s="129">
        <v>0</v>
      </c>
      <c r="N11" s="129">
        <v>0</v>
      </c>
      <c r="O11" s="129">
        <v>0</v>
      </c>
      <c r="P11" s="129">
        <v>0</v>
      </c>
      <c r="Q11" s="129">
        <v>0</v>
      </c>
      <c r="R11" s="129">
        <v>0</v>
      </c>
      <c r="S11" s="129">
        <v>0</v>
      </c>
      <c r="T11" s="129">
        <v>0.17036159297053199</v>
      </c>
      <c r="U11" s="129">
        <v>4.6847453534204997E-2</v>
      </c>
      <c r="V11" s="129">
        <v>0</v>
      </c>
      <c r="W11" s="129">
        <v>0</v>
      </c>
      <c r="X11" s="129">
        <v>0</v>
      </c>
      <c r="Y11" s="129">
        <v>0</v>
      </c>
      <c r="Z11" s="129">
        <v>0</v>
      </c>
      <c r="AA11" s="129">
        <v>0</v>
      </c>
      <c r="AB11" s="129">
        <v>0</v>
      </c>
      <c r="AC11" s="129">
        <v>0</v>
      </c>
      <c r="AD11" s="129">
        <v>0</v>
      </c>
      <c r="AE11" s="129">
        <v>0</v>
      </c>
      <c r="AF11" s="129">
        <v>0</v>
      </c>
      <c r="AG11" s="129">
        <v>0</v>
      </c>
      <c r="AH11" s="129">
        <v>0</v>
      </c>
      <c r="AI11" s="129">
        <v>0</v>
      </c>
      <c r="AJ11" s="129">
        <v>0</v>
      </c>
      <c r="AK11" s="129">
        <v>0</v>
      </c>
      <c r="AL11" s="129">
        <v>0</v>
      </c>
      <c r="AM11" s="129">
        <v>0</v>
      </c>
      <c r="AN11" s="129">
        <v>0</v>
      </c>
      <c r="AO11" s="129">
        <v>0</v>
      </c>
      <c r="AP11" s="129">
        <v>0</v>
      </c>
      <c r="AQ11" s="129">
        <v>0</v>
      </c>
      <c r="AR11" s="130">
        <v>0</v>
      </c>
    </row>
    <row r="12" spans="2:44" ht="12" customHeight="1" x14ac:dyDescent="0.25">
      <c r="B12" s="128" t="s">
        <v>56</v>
      </c>
      <c r="C12" s="129" t="s">
        <v>59</v>
      </c>
      <c r="D12" s="129" t="s">
        <v>25</v>
      </c>
      <c r="E12" s="129" t="s">
        <v>25</v>
      </c>
      <c r="F12" s="129" t="s">
        <v>25</v>
      </c>
      <c r="G12" s="129" t="s">
        <v>34</v>
      </c>
      <c r="H12" s="129" t="s">
        <v>81</v>
      </c>
      <c r="I12" s="129" t="s">
        <v>60</v>
      </c>
      <c r="J12" s="129">
        <v>0.28000000000000003</v>
      </c>
      <c r="K12" s="129">
        <v>0</v>
      </c>
      <c r="L12" s="129">
        <v>0</v>
      </c>
      <c r="M12" s="129">
        <v>0</v>
      </c>
      <c r="N12" s="129">
        <v>0</v>
      </c>
      <c r="O12" s="129">
        <v>0</v>
      </c>
      <c r="P12" s="129">
        <v>0</v>
      </c>
      <c r="Q12" s="129">
        <v>0</v>
      </c>
      <c r="R12" s="129">
        <v>0</v>
      </c>
      <c r="S12" s="129">
        <v>0</v>
      </c>
      <c r="T12" s="129">
        <v>0.222375496451993</v>
      </c>
      <c r="U12" s="129">
        <v>6.04825717052846E-2</v>
      </c>
      <c r="V12" s="129">
        <v>0</v>
      </c>
      <c r="W12" s="129">
        <v>0</v>
      </c>
      <c r="X12" s="129">
        <v>0</v>
      </c>
      <c r="Y12" s="129">
        <v>0</v>
      </c>
      <c r="Z12" s="129">
        <v>0</v>
      </c>
      <c r="AA12" s="129">
        <v>0</v>
      </c>
      <c r="AB12" s="129">
        <v>0</v>
      </c>
      <c r="AC12" s="129">
        <v>0</v>
      </c>
      <c r="AD12" s="129">
        <v>0</v>
      </c>
      <c r="AE12" s="129">
        <v>0</v>
      </c>
      <c r="AF12" s="129">
        <v>0</v>
      </c>
      <c r="AG12" s="129">
        <v>0</v>
      </c>
      <c r="AH12" s="129">
        <v>0</v>
      </c>
      <c r="AI12" s="129">
        <v>0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0</v>
      </c>
      <c r="AP12" s="129">
        <v>0</v>
      </c>
      <c r="AQ12" s="129">
        <v>0</v>
      </c>
      <c r="AR12" s="130">
        <v>0</v>
      </c>
    </row>
    <row r="13" spans="2:44" ht="12" customHeight="1" x14ac:dyDescent="0.25">
      <c r="B13" s="128" t="s">
        <v>56</v>
      </c>
      <c r="C13" s="129" t="s">
        <v>59</v>
      </c>
      <c r="D13" s="129" t="s">
        <v>25</v>
      </c>
      <c r="E13" s="129" t="s">
        <v>25</v>
      </c>
      <c r="F13" s="129" t="s">
        <v>25</v>
      </c>
      <c r="G13" s="129" t="s">
        <v>25</v>
      </c>
      <c r="H13" s="129" t="s">
        <v>78</v>
      </c>
      <c r="I13" s="129" t="s">
        <v>60</v>
      </c>
      <c r="J13" s="129">
        <v>0.47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129">
        <v>0</v>
      </c>
      <c r="R13" s="129">
        <v>0</v>
      </c>
      <c r="S13" s="129">
        <v>0</v>
      </c>
      <c r="T13" s="129">
        <v>0</v>
      </c>
      <c r="U13" s="129">
        <v>0</v>
      </c>
      <c r="V13" s="129">
        <v>0</v>
      </c>
      <c r="W13" s="129">
        <v>0</v>
      </c>
      <c r="X13" s="129">
        <v>0</v>
      </c>
      <c r="Y13" s="129">
        <v>0</v>
      </c>
      <c r="Z13" s="129">
        <v>0</v>
      </c>
      <c r="AA13" s="129">
        <v>0</v>
      </c>
      <c r="AB13" s="129">
        <v>0</v>
      </c>
      <c r="AC13" s="129">
        <v>0</v>
      </c>
      <c r="AD13" s="129">
        <v>0.45701509637329002</v>
      </c>
      <c r="AE13" s="129">
        <v>1.07751684270662E-2</v>
      </c>
      <c r="AF13" s="129">
        <v>0</v>
      </c>
      <c r="AG13" s="129">
        <v>0</v>
      </c>
      <c r="AH13" s="129">
        <v>0</v>
      </c>
      <c r="AI13" s="129">
        <v>0</v>
      </c>
      <c r="AJ13" s="129">
        <v>0</v>
      </c>
      <c r="AK13" s="129">
        <v>0</v>
      </c>
      <c r="AL13" s="129">
        <v>0</v>
      </c>
      <c r="AM13" s="129">
        <v>0</v>
      </c>
      <c r="AN13" s="129">
        <v>0</v>
      </c>
      <c r="AO13" s="129">
        <v>0</v>
      </c>
      <c r="AP13" s="129">
        <v>0</v>
      </c>
      <c r="AQ13" s="129">
        <v>0</v>
      </c>
      <c r="AR13" s="130">
        <v>0</v>
      </c>
    </row>
    <row r="14" spans="2:44" ht="12" customHeight="1" x14ac:dyDescent="0.25">
      <c r="B14" s="128" t="s">
        <v>56</v>
      </c>
      <c r="C14" s="129" t="s">
        <v>59</v>
      </c>
      <c r="D14" s="129" t="s">
        <v>25</v>
      </c>
      <c r="E14" s="129" t="s">
        <v>25</v>
      </c>
      <c r="F14" s="129" t="s">
        <v>25</v>
      </c>
      <c r="G14" s="129" t="s">
        <v>35</v>
      </c>
      <c r="H14" s="129" t="s">
        <v>81</v>
      </c>
      <c r="I14" s="129" t="s">
        <v>60</v>
      </c>
      <c r="J14" s="129">
        <v>0.22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0.17036159297053199</v>
      </c>
      <c r="U14" s="129">
        <v>4.6847453534204997E-2</v>
      </c>
      <c r="V14" s="129">
        <v>0</v>
      </c>
      <c r="W14" s="129">
        <v>0</v>
      </c>
      <c r="X14" s="129">
        <v>0</v>
      </c>
      <c r="Y14" s="129">
        <v>0</v>
      </c>
      <c r="Z14" s="129">
        <v>0</v>
      </c>
      <c r="AA14" s="129">
        <v>0</v>
      </c>
      <c r="AB14" s="129">
        <v>0</v>
      </c>
      <c r="AC14" s="129">
        <v>0</v>
      </c>
      <c r="AD14" s="129">
        <v>0</v>
      </c>
      <c r="AE14" s="129">
        <v>0</v>
      </c>
      <c r="AF14" s="129">
        <v>0</v>
      </c>
      <c r="AG14" s="129">
        <v>0</v>
      </c>
      <c r="AH14" s="129">
        <v>0</v>
      </c>
      <c r="AI14" s="129">
        <v>0</v>
      </c>
      <c r="AJ14" s="129">
        <v>0</v>
      </c>
      <c r="AK14" s="129">
        <v>0</v>
      </c>
      <c r="AL14" s="129">
        <v>0</v>
      </c>
      <c r="AM14" s="129">
        <v>0</v>
      </c>
      <c r="AN14" s="129">
        <v>0</v>
      </c>
      <c r="AO14" s="129">
        <v>0</v>
      </c>
      <c r="AP14" s="129">
        <v>0</v>
      </c>
      <c r="AQ14" s="129">
        <v>0</v>
      </c>
      <c r="AR14" s="130">
        <v>0</v>
      </c>
    </row>
    <row r="15" spans="2:44" ht="12" customHeight="1" x14ac:dyDescent="0.25">
      <c r="B15" s="128" t="s">
        <v>39</v>
      </c>
      <c r="C15" s="129" t="s">
        <v>40</v>
      </c>
      <c r="D15" s="129" t="s">
        <v>25</v>
      </c>
      <c r="E15" s="129" t="s">
        <v>25</v>
      </c>
      <c r="F15" s="129" t="s">
        <v>85</v>
      </c>
      <c r="G15" s="129" t="s">
        <v>34</v>
      </c>
      <c r="H15" s="129" t="s">
        <v>78</v>
      </c>
      <c r="I15" s="129" t="s">
        <v>25</v>
      </c>
      <c r="J15" s="129">
        <v>1.25</v>
      </c>
      <c r="K15" s="129">
        <v>0</v>
      </c>
      <c r="L15" s="129">
        <v>0</v>
      </c>
      <c r="M15" s="129">
        <v>0</v>
      </c>
      <c r="N15" s="129">
        <v>0</v>
      </c>
      <c r="O15" s="129">
        <v>0</v>
      </c>
      <c r="P15" s="129">
        <v>0</v>
      </c>
      <c r="Q15" s="129">
        <v>0</v>
      </c>
      <c r="R15" s="129">
        <v>0</v>
      </c>
      <c r="S15" s="129">
        <v>0</v>
      </c>
      <c r="T15" s="129">
        <v>0</v>
      </c>
      <c r="U15" s="129">
        <v>0</v>
      </c>
      <c r="V15" s="129">
        <v>0</v>
      </c>
      <c r="W15" s="129">
        <v>0</v>
      </c>
      <c r="X15" s="129">
        <v>0</v>
      </c>
      <c r="Y15" s="129">
        <v>0</v>
      </c>
      <c r="Z15" s="129">
        <v>0</v>
      </c>
      <c r="AA15" s="129">
        <v>0</v>
      </c>
      <c r="AB15" s="129">
        <v>0</v>
      </c>
      <c r="AC15" s="129">
        <v>0</v>
      </c>
      <c r="AD15" s="129">
        <v>0.91919749317250299</v>
      </c>
      <c r="AE15" s="129">
        <v>2.1672167692641599E-2</v>
      </c>
      <c r="AF15" s="129">
        <v>0.30699999412472501</v>
      </c>
      <c r="AG15" s="129">
        <v>0</v>
      </c>
      <c r="AH15" s="129">
        <v>0</v>
      </c>
      <c r="AI15" s="129">
        <v>0</v>
      </c>
      <c r="AJ15" s="129">
        <v>0</v>
      </c>
      <c r="AK15" s="129">
        <v>0</v>
      </c>
      <c r="AL15" s="129">
        <v>0</v>
      </c>
      <c r="AM15" s="129">
        <v>0</v>
      </c>
      <c r="AN15" s="129">
        <v>0</v>
      </c>
      <c r="AO15" s="129">
        <v>0</v>
      </c>
      <c r="AP15" s="129">
        <v>0</v>
      </c>
      <c r="AQ15" s="129">
        <v>0</v>
      </c>
      <c r="AR15" s="130">
        <v>0</v>
      </c>
    </row>
    <row r="16" spans="2:44" ht="12" customHeight="1" x14ac:dyDescent="0.25">
      <c r="B16" s="128" t="s">
        <v>39</v>
      </c>
      <c r="C16" s="129" t="s">
        <v>40</v>
      </c>
      <c r="D16" s="129" t="s">
        <v>25</v>
      </c>
      <c r="E16" s="129" t="s">
        <v>25</v>
      </c>
      <c r="F16" s="129" t="s">
        <v>85</v>
      </c>
      <c r="G16" s="129" t="s">
        <v>34</v>
      </c>
      <c r="H16" s="129" t="s">
        <v>81</v>
      </c>
      <c r="I16" s="129" t="s">
        <v>25</v>
      </c>
      <c r="J16" s="129">
        <v>0.34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>
        <v>0</v>
      </c>
      <c r="R16" s="129">
        <v>0</v>
      </c>
      <c r="S16" s="129">
        <v>0</v>
      </c>
      <c r="T16" s="129">
        <v>0.271134434264652</v>
      </c>
      <c r="U16" s="129">
        <v>7.3742861994386302E-2</v>
      </c>
      <c r="V16" s="129">
        <v>0</v>
      </c>
      <c r="W16" s="129">
        <v>0</v>
      </c>
      <c r="X16" s="129">
        <v>0</v>
      </c>
      <c r="Y16" s="129">
        <v>0</v>
      </c>
      <c r="Z16" s="129">
        <v>0</v>
      </c>
      <c r="AA16" s="129">
        <v>0</v>
      </c>
      <c r="AB16" s="129">
        <v>0</v>
      </c>
      <c r="AC16" s="129">
        <v>0</v>
      </c>
      <c r="AD16" s="129">
        <v>0</v>
      </c>
      <c r="AE16" s="129">
        <v>0</v>
      </c>
      <c r="AF16" s="129">
        <v>0</v>
      </c>
      <c r="AG16" s="129">
        <v>0</v>
      </c>
      <c r="AH16" s="129">
        <v>0</v>
      </c>
      <c r="AI16" s="129">
        <v>0</v>
      </c>
      <c r="AJ16" s="129">
        <v>0</v>
      </c>
      <c r="AK16" s="129">
        <v>0</v>
      </c>
      <c r="AL16" s="129">
        <v>0</v>
      </c>
      <c r="AM16" s="129">
        <v>0</v>
      </c>
      <c r="AN16" s="129">
        <v>0</v>
      </c>
      <c r="AO16" s="129">
        <v>0</v>
      </c>
      <c r="AP16" s="129">
        <v>0</v>
      </c>
      <c r="AQ16" s="129">
        <v>0</v>
      </c>
      <c r="AR16" s="130">
        <v>0</v>
      </c>
    </row>
    <row r="17" spans="2:44" ht="12" customHeight="1" x14ac:dyDescent="0.25">
      <c r="B17" s="128" t="s">
        <v>39</v>
      </c>
      <c r="C17" s="129" t="s">
        <v>40</v>
      </c>
      <c r="D17" s="129" t="s">
        <v>25</v>
      </c>
      <c r="E17" s="129" t="s">
        <v>25</v>
      </c>
      <c r="F17" s="129" t="s">
        <v>85</v>
      </c>
      <c r="G17" s="129" t="s">
        <v>35</v>
      </c>
      <c r="H17" s="129" t="s">
        <v>78</v>
      </c>
      <c r="I17" s="129" t="s">
        <v>25</v>
      </c>
      <c r="J17" s="129">
        <v>1.25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129">
        <v>0</v>
      </c>
      <c r="S17" s="129">
        <v>0</v>
      </c>
      <c r="T17" s="129">
        <v>0</v>
      </c>
      <c r="U17" s="129">
        <v>0</v>
      </c>
      <c r="V17" s="129">
        <v>0</v>
      </c>
      <c r="W17" s="129">
        <v>0</v>
      </c>
      <c r="X17" s="129">
        <v>0</v>
      </c>
      <c r="Y17" s="129">
        <v>0</v>
      </c>
      <c r="Z17" s="129">
        <v>0</v>
      </c>
      <c r="AA17" s="129">
        <v>0</v>
      </c>
      <c r="AB17" s="129">
        <v>0</v>
      </c>
      <c r="AC17" s="129">
        <v>0</v>
      </c>
      <c r="AD17" s="129">
        <v>0.91919749317250299</v>
      </c>
      <c r="AE17" s="129">
        <v>2.1672167692641599E-2</v>
      </c>
      <c r="AF17" s="129">
        <v>0.30699999412472501</v>
      </c>
      <c r="AG17" s="129">
        <v>0</v>
      </c>
      <c r="AH17" s="129">
        <v>0</v>
      </c>
      <c r="AI17" s="129">
        <v>0</v>
      </c>
      <c r="AJ17" s="129">
        <v>0</v>
      </c>
      <c r="AK17" s="129">
        <v>0</v>
      </c>
      <c r="AL17" s="129">
        <v>0</v>
      </c>
      <c r="AM17" s="129">
        <v>0</v>
      </c>
      <c r="AN17" s="129">
        <v>0</v>
      </c>
      <c r="AO17" s="129">
        <v>0</v>
      </c>
      <c r="AP17" s="129">
        <v>0</v>
      </c>
      <c r="AQ17" s="129">
        <v>0</v>
      </c>
      <c r="AR17" s="130">
        <v>0</v>
      </c>
    </row>
    <row r="18" spans="2:44" ht="12" customHeight="1" x14ac:dyDescent="0.25">
      <c r="B18" s="128" t="s">
        <v>39</v>
      </c>
      <c r="C18" s="129" t="s">
        <v>40</v>
      </c>
      <c r="D18" s="129" t="s">
        <v>25</v>
      </c>
      <c r="E18" s="129" t="s">
        <v>25</v>
      </c>
      <c r="F18" s="129" t="s">
        <v>85</v>
      </c>
      <c r="G18" s="129" t="s">
        <v>35</v>
      </c>
      <c r="H18" s="129" t="s">
        <v>81</v>
      </c>
      <c r="I18" s="129" t="s">
        <v>25</v>
      </c>
      <c r="J18" s="129">
        <v>0.26</v>
      </c>
      <c r="K18" s="129">
        <v>0</v>
      </c>
      <c r="L18" s="129">
        <v>0</v>
      </c>
      <c r="M18" s="129">
        <v>0</v>
      </c>
      <c r="N18" s="129">
        <v>0</v>
      </c>
      <c r="O18" s="129">
        <v>0</v>
      </c>
      <c r="P18" s="129">
        <v>0</v>
      </c>
      <c r="Q18" s="129">
        <v>0</v>
      </c>
      <c r="R18" s="129">
        <v>0</v>
      </c>
      <c r="S18" s="129">
        <v>0</v>
      </c>
      <c r="T18" s="129">
        <v>0.202998099724227</v>
      </c>
      <c r="U18" s="129">
        <v>5.5824796725900697E-2</v>
      </c>
      <c r="V18" s="129">
        <v>0</v>
      </c>
      <c r="W18" s="129">
        <v>0</v>
      </c>
      <c r="X18" s="129">
        <v>0</v>
      </c>
      <c r="Y18" s="129">
        <v>0</v>
      </c>
      <c r="Z18" s="129">
        <v>0</v>
      </c>
      <c r="AA18" s="129">
        <v>0</v>
      </c>
      <c r="AB18" s="129">
        <v>0</v>
      </c>
      <c r="AC18" s="129">
        <v>0</v>
      </c>
      <c r="AD18" s="129">
        <v>0</v>
      </c>
      <c r="AE18" s="129">
        <v>0</v>
      </c>
      <c r="AF18" s="129">
        <v>0</v>
      </c>
      <c r="AG18" s="129">
        <v>0</v>
      </c>
      <c r="AH18" s="129">
        <v>0</v>
      </c>
      <c r="AI18" s="129">
        <v>0</v>
      </c>
      <c r="AJ18" s="129">
        <v>0</v>
      </c>
      <c r="AK18" s="129">
        <v>0</v>
      </c>
      <c r="AL18" s="129">
        <v>0</v>
      </c>
      <c r="AM18" s="129">
        <v>0</v>
      </c>
      <c r="AN18" s="129">
        <v>0</v>
      </c>
      <c r="AO18" s="129">
        <v>0</v>
      </c>
      <c r="AP18" s="129">
        <v>0</v>
      </c>
      <c r="AQ18" s="129">
        <v>0</v>
      </c>
      <c r="AR18" s="130">
        <v>0</v>
      </c>
    </row>
    <row r="19" spans="2:44" ht="12" customHeight="1" x14ac:dyDescent="0.25">
      <c r="B19" s="128" t="s">
        <v>39</v>
      </c>
      <c r="C19" s="129" t="s">
        <v>40</v>
      </c>
      <c r="D19" s="129" t="s">
        <v>25</v>
      </c>
      <c r="E19" s="129" t="s">
        <v>25</v>
      </c>
      <c r="F19" s="129" t="s">
        <v>25</v>
      </c>
      <c r="G19" s="129" t="s">
        <v>34</v>
      </c>
      <c r="H19" s="129" t="s">
        <v>78</v>
      </c>
      <c r="I19" s="129" t="s">
        <v>25</v>
      </c>
      <c r="J19" s="129">
        <v>1.88</v>
      </c>
      <c r="K19" s="129">
        <v>84.81</v>
      </c>
      <c r="L19" s="129">
        <v>0.17580208912874901</v>
      </c>
      <c r="M19" s="129">
        <v>0</v>
      </c>
      <c r="N19" s="129">
        <v>0</v>
      </c>
      <c r="O19" s="129">
        <v>0</v>
      </c>
      <c r="P19" s="129">
        <v>0</v>
      </c>
      <c r="Q19" s="129">
        <v>-1.37457411524202E-2</v>
      </c>
      <c r="R19" s="129">
        <v>0.46648905484001002</v>
      </c>
      <c r="S19" s="129">
        <v>0</v>
      </c>
      <c r="T19" s="129">
        <v>0</v>
      </c>
      <c r="U19" s="129">
        <v>0</v>
      </c>
      <c r="V19" s="129">
        <v>0</v>
      </c>
      <c r="W19" s="129">
        <v>0</v>
      </c>
      <c r="X19" s="129">
        <v>0</v>
      </c>
      <c r="Y19" s="129">
        <v>0</v>
      </c>
      <c r="Z19" s="129">
        <v>0</v>
      </c>
      <c r="AA19" s="129">
        <v>0</v>
      </c>
      <c r="AB19" s="129">
        <v>0</v>
      </c>
      <c r="AC19" s="129">
        <v>0</v>
      </c>
      <c r="AD19" s="129">
        <v>0.91919749317250299</v>
      </c>
      <c r="AE19" s="129">
        <v>2.1672167692641599E-2</v>
      </c>
      <c r="AF19" s="129">
        <v>0.30699999412472501</v>
      </c>
      <c r="AG19" s="129">
        <v>0</v>
      </c>
      <c r="AH19" s="129">
        <v>0.89143504345749702</v>
      </c>
      <c r="AI19" s="129">
        <v>0</v>
      </c>
      <c r="AJ19" s="129">
        <v>0</v>
      </c>
      <c r="AK19" s="129">
        <v>26.378319119723699</v>
      </c>
      <c r="AL19" s="129">
        <v>0</v>
      </c>
      <c r="AM19" s="129">
        <v>56.843173154606298</v>
      </c>
      <c r="AN19" s="129">
        <v>0</v>
      </c>
      <c r="AO19" s="129">
        <v>0</v>
      </c>
      <c r="AP19" s="129">
        <v>0</v>
      </c>
      <c r="AQ19" s="129">
        <v>0</v>
      </c>
      <c r="AR19" s="130">
        <v>0.69879920291117903</v>
      </c>
    </row>
    <row r="20" spans="2:44" ht="12" customHeight="1" x14ac:dyDescent="0.25">
      <c r="B20" s="128" t="s">
        <v>39</v>
      </c>
      <c r="C20" s="129" t="s">
        <v>40</v>
      </c>
      <c r="D20" s="129" t="s">
        <v>25</v>
      </c>
      <c r="E20" s="129" t="s">
        <v>25</v>
      </c>
      <c r="F20" s="129" t="s">
        <v>25</v>
      </c>
      <c r="G20" s="129" t="s">
        <v>34</v>
      </c>
      <c r="H20" s="129" t="s">
        <v>81</v>
      </c>
      <c r="I20" s="129" t="s">
        <v>25</v>
      </c>
      <c r="J20" s="129">
        <v>0.34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  <c r="T20" s="129">
        <v>0.271134434264652</v>
      </c>
      <c r="U20" s="129">
        <v>7.3742861994386302E-2</v>
      </c>
      <c r="V20" s="129">
        <v>0</v>
      </c>
      <c r="W20" s="129">
        <v>0</v>
      </c>
      <c r="X20" s="129">
        <v>0</v>
      </c>
      <c r="Y20" s="129">
        <v>0</v>
      </c>
      <c r="Z20" s="129">
        <v>0</v>
      </c>
      <c r="AA20" s="129">
        <v>0</v>
      </c>
      <c r="AB20" s="129">
        <v>0</v>
      </c>
      <c r="AC20" s="129">
        <v>0</v>
      </c>
      <c r="AD20" s="129">
        <v>0</v>
      </c>
      <c r="AE20" s="129">
        <v>0</v>
      </c>
      <c r="AF20" s="129">
        <v>0</v>
      </c>
      <c r="AG20" s="129">
        <v>0</v>
      </c>
      <c r="AH20" s="129">
        <v>0</v>
      </c>
      <c r="AI20" s="129">
        <v>0</v>
      </c>
      <c r="AJ20" s="129">
        <v>0</v>
      </c>
      <c r="AK20" s="129">
        <v>0</v>
      </c>
      <c r="AL20" s="129">
        <v>0</v>
      </c>
      <c r="AM20" s="129">
        <v>0</v>
      </c>
      <c r="AN20" s="129">
        <v>0</v>
      </c>
      <c r="AO20" s="129">
        <v>0</v>
      </c>
      <c r="AP20" s="129">
        <v>0</v>
      </c>
      <c r="AQ20" s="129">
        <v>0</v>
      </c>
      <c r="AR20" s="130">
        <v>0</v>
      </c>
    </row>
    <row r="21" spans="2:44" ht="12" customHeight="1" x14ac:dyDescent="0.25">
      <c r="B21" s="128" t="s">
        <v>39</v>
      </c>
      <c r="C21" s="129" t="s">
        <v>40</v>
      </c>
      <c r="D21" s="129" t="s">
        <v>25</v>
      </c>
      <c r="E21" s="129" t="s">
        <v>25</v>
      </c>
      <c r="F21" s="129" t="s">
        <v>25</v>
      </c>
      <c r="G21" s="129" t="s">
        <v>35</v>
      </c>
      <c r="H21" s="129" t="s">
        <v>78</v>
      </c>
      <c r="I21" s="129" t="s">
        <v>25</v>
      </c>
      <c r="J21" s="129">
        <v>1.88</v>
      </c>
      <c r="K21" s="129">
        <v>61.02</v>
      </c>
      <c r="L21" s="129">
        <v>0.17580208912874901</v>
      </c>
      <c r="M21" s="129">
        <v>0</v>
      </c>
      <c r="N21" s="129">
        <v>0</v>
      </c>
      <c r="O21" s="129">
        <v>0</v>
      </c>
      <c r="P21" s="129">
        <v>0</v>
      </c>
      <c r="Q21" s="129">
        <v>-1.37457411524202E-2</v>
      </c>
      <c r="R21" s="129">
        <v>0.46648905484001002</v>
      </c>
      <c r="S21" s="129">
        <v>0</v>
      </c>
      <c r="T21" s="129">
        <v>0</v>
      </c>
      <c r="U21" s="129">
        <v>0</v>
      </c>
      <c r="V21" s="129">
        <v>0</v>
      </c>
      <c r="W21" s="129">
        <v>0</v>
      </c>
      <c r="X21" s="129">
        <v>0</v>
      </c>
      <c r="Y21" s="129">
        <v>0</v>
      </c>
      <c r="Z21" s="129">
        <v>0</v>
      </c>
      <c r="AA21" s="129">
        <v>0</v>
      </c>
      <c r="AB21" s="129">
        <v>0</v>
      </c>
      <c r="AC21" s="129">
        <v>0</v>
      </c>
      <c r="AD21" s="129">
        <v>0.91919749317250299</v>
      </c>
      <c r="AE21" s="129">
        <v>2.1672167692641599E-2</v>
      </c>
      <c r="AF21" s="129">
        <v>0.30699999412472501</v>
      </c>
      <c r="AG21" s="129">
        <v>0</v>
      </c>
      <c r="AH21" s="129">
        <v>0.89143504345749702</v>
      </c>
      <c r="AI21" s="129">
        <v>0</v>
      </c>
      <c r="AJ21" s="129">
        <v>0</v>
      </c>
      <c r="AK21" s="129">
        <v>26.378319119723699</v>
      </c>
      <c r="AL21" s="129">
        <v>0</v>
      </c>
      <c r="AM21" s="129">
        <v>33.048356485236198</v>
      </c>
      <c r="AN21" s="129">
        <v>0</v>
      </c>
      <c r="AO21" s="129">
        <v>0</v>
      </c>
      <c r="AP21" s="129">
        <v>0</v>
      </c>
      <c r="AQ21" s="129">
        <v>0</v>
      </c>
      <c r="AR21" s="130">
        <v>0.69879920291117903</v>
      </c>
    </row>
    <row r="22" spans="2:44" ht="12" customHeight="1" x14ac:dyDescent="0.25">
      <c r="B22" s="128" t="s">
        <v>39</v>
      </c>
      <c r="C22" s="129" t="s">
        <v>40</v>
      </c>
      <c r="D22" s="129" t="s">
        <v>25</v>
      </c>
      <c r="E22" s="129" t="s">
        <v>25</v>
      </c>
      <c r="F22" s="129" t="s">
        <v>25</v>
      </c>
      <c r="G22" s="129" t="s">
        <v>35</v>
      </c>
      <c r="H22" s="129" t="s">
        <v>81</v>
      </c>
      <c r="I22" s="129" t="s">
        <v>25</v>
      </c>
      <c r="J22" s="129">
        <v>0.26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129">
        <v>0</v>
      </c>
      <c r="R22" s="129">
        <v>0</v>
      </c>
      <c r="S22" s="129">
        <v>0</v>
      </c>
      <c r="T22" s="129">
        <v>0.202998099724227</v>
      </c>
      <c r="U22" s="129">
        <v>5.5824796725900697E-2</v>
      </c>
      <c r="V22" s="129">
        <v>0</v>
      </c>
      <c r="W22" s="129">
        <v>0</v>
      </c>
      <c r="X22" s="129">
        <v>0</v>
      </c>
      <c r="Y22" s="129">
        <v>0</v>
      </c>
      <c r="Z22" s="129">
        <v>0</v>
      </c>
      <c r="AA22" s="129">
        <v>0</v>
      </c>
      <c r="AB22" s="129">
        <v>0</v>
      </c>
      <c r="AC22" s="129">
        <v>0</v>
      </c>
      <c r="AD22" s="129">
        <v>0</v>
      </c>
      <c r="AE22" s="129">
        <v>0</v>
      </c>
      <c r="AF22" s="129">
        <v>0</v>
      </c>
      <c r="AG22" s="129">
        <v>0</v>
      </c>
      <c r="AH22" s="129">
        <v>0</v>
      </c>
      <c r="AI22" s="129">
        <v>0</v>
      </c>
      <c r="AJ22" s="129">
        <v>0</v>
      </c>
      <c r="AK22" s="129">
        <v>0</v>
      </c>
      <c r="AL22" s="129">
        <v>0</v>
      </c>
      <c r="AM22" s="129">
        <v>0</v>
      </c>
      <c r="AN22" s="129">
        <v>0</v>
      </c>
      <c r="AO22" s="129">
        <v>0</v>
      </c>
      <c r="AP22" s="129">
        <v>0</v>
      </c>
      <c r="AQ22" s="129">
        <v>0</v>
      </c>
      <c r="AR22" s="130">
        <v>0</v>
      </c>
    </row>
    <row r="23" spans="2:44" ht="12" customHeight="1" x14ac:dyDescent="0.25">
      <c r="B23" s="128" t="s">
        <v>39</v>
      </c>
      <c r="C23" s="129" t="s">
        <v>23</v>
      </c>
      <c r="D23" s="129" t="s">
        <v>25</v>
      </c>
      <c r="E23" s="129" t="s">
        <v>25</v>
      </c>
      <c r="F23" s="129" t="s">
        <v>25</v>
      </c>
      <c r="G23" s="129" t="s">
        <v>25</v>
      </c>
      <c r="H23" s="129" t="s">
        <v>78</v>
      </c>
      <c r="I23" s="129" t="s">
        <v>25</v>
      </c>
      <c r="J23" s="129">
        <v>0</v>
      </c>
      <c r="K23" s="129">
        <v>63</v>
      </c>
      <c r="L23" s="129">
        <v>0</v>
      </c>
      <c r="M23" s="129">
        <v>0</v>
      </c>
      <c r="N23" s="129">
        <v>0</v>
      </c>
      <c r="O23" s="129">
        <v>0</v>
      </c>
      <c r="P23" s="129">
        <v>0</v>
      </c>
      <c r="Q23" s="129">
        <v>0</v>
      </c>
      <c r="R23" s="129">
        <v>0</v>
      </c>
      <c r="S23" s="129">
        <v>0</v>
      </c>
      <c r="T23" s="129">
        <v>0</v>
      </c>
      <c r="U23" s="129">
        <v>0</v>
      </c>
      <c r="V23" s="129">
        <v>0</v>
      </c>
      <c r="W23" s="129">
        <v>0</v>
      </c>
      <c r="X23" s="129">
        <v>0</v>
      </c>
      <c r="Y23" s="129">
        <v>0</v>
      </c>
      <c r="Z23" s="129">
        <v>0</v>
      </c>
      <c r="AA23" s="129">
        <v>0</v>
      </c>
      <c r="AB23" s="129">
        <v>0</v>
      </c>
      <c r="AC23" s="129">
        <v>0</v>
      </c>
      <c r="AD23" s="129">
        <v>0</v>
      </c>
      <c r="AE23" s="129">
        <v>0</v>
      </c>
      <c r="AF23" s="129">
        <v>0</v>
      </c>
      <c r="AG23" s="129">
        <v>0</v>
      </c>
      <c r="AH23" s="129">
        <v>0.89143504345749702</v>
      </c>
      <c r="AI23" s="129">
        <v>0</v>
      </c>
      <c r="AJ23" s="129">
        <v>0</v>
      </c>
      <c r="AK23" s="129">
        <v>26.378319119723699</v>
      </c>
      <c r="AL23" s="129">
        <v>0</v>
      </c>
      <c r="AM23" s="129">
        <v>35.031257874350402</v>
      </c>
      <c r="AN23" s="129">
        <v>0</v>
      </c>
      <c r="AO23" s="129">
        <v>0</v>
      </c>
      <c r="AP23" s="129">
        <v>0</v>
      </c>
      <c r="AQ23" s="129">
        <v>0</v>
      </c>
      <c r="AR23" s="130">
        <v>0.69879920291117903</v>
      </c>
    </row>
    <row r="24" spans="2:44" ht="12" customHeight="1" x14ac:dyDescent="0.25">
      <c r="B24" s="128" t="s">
        <v>39</v>
      </c>
      <c r="C24" s="129" t="s">
        <v>59</v>
      </c>
      <c r="D24" s="129" t="s">
        <v>25</v>
      </c>
      <c r="E24" s="129" t="s">
        <v>25</v>
      </c>
      <c r="F24" s="129" t="s">
        <v>25</v>
      </c>
      <c r="G24" s="129" t="s">
        <v>34</v>
      </c>
      <c r="H24" s="129" t="s">
        <v>81</v>
      </c>
      <c r="I24" s="129" t="s">
        <v>60</v>
      </c>
      <c r="J24" s="129">
        <v>0.34</v>
      </c>
      <c r="K24" s="129">
        <v>0</v>
      </c>
      <c r="L24" s="129">
        <v>0</v>
      </c>
      <c r="M24" s="129">
        <v>0</v>
      </c>
      <c r="N24" s="129">
        <v>0</v>
      </c>
      <c r="O24" s="129">
        <v>0</v>
      </c>
      <c r="P24" s="129">
        <v>0</v>
      </c>
      <c r="Q24" s="129">
        <v>0</v>
      </c>
      <c r="R24" s="129">
        <v>0</v>
      </c>
      <c r="S24" s="129">
        <v>0</v>
      </c>
      <c r="T24" s="129">
        <v>0.271134434264652</v>
      </c>
      <c r="U24" s="129">
        <v>7.3742861994386302E-2</v>
      </c>
      <c r="V24" s="129">
        <v>0</v>
      </c>
      <c r="W24" s="129">
        <v>0</v>
      </c>
      <c r="X24" s="129">
        <v>0</v>
      </c>
      <c r="Y24" s="129">
        <v>0</v>
      </c>
      <c r="Z24" s="129">
        <v>0</v>
      </c>
      <c r="AA24" s="129">
        <v>0</v>
      </c>
      <c r="AB24" s="129">
        <v>0</v>
      </c>
      <c r="AC24" s="129">
        <v>0</v>
      </c>
      <c r="AD24" s="129">
        <v>0</v>
      </c>
      <c r="AE24" s="129">
        <v>0</v>
      </c>
      <c r="AF24" s="129">
        <v>0</v>
      </c>
      <c r="AG24" s="129">
        <v>0</v>
      </c>
      <c r="AH24" s="129">
        <v>0</v>
      </c>
      <c r="AI24" s="129">
        <v>0</v>
      </c>
      <c r="AJ24" s="129">
        <v>0</v>
      </c>
      <c r="AK24" s="129">
        <v>0</v>
      </c>
      <c r="AL24" s="129">
        <v>0</v>
      </c>
      <c r="AM24" s="129">
        <v>0</v>
      </c>
      <c r="AN24" s="129">
        <v>0</v>
      </c>
      <c r="AO24" s="129">
        <v>0</v>
      </c>
      <c r="AP24" s="129">
        <v>0</v>
      </c>
      <c r="AQ24" s="129">
        <v>0</v>
      </c>
      <c r="AR24" s="130">
        <v>0</v>
      </c>
    </row>
    <row r="25" spans="2:44" ht="12" customHeight="1" x14ac:dyDescent="0.25">
      <c r="B25" s="128" t="s">
        <v>39</v>
      </c>
      <c r="C25" s="129" t="s">
        <v>59</v>
      </c>
      <c r="D25" s="129" t="s">
        <v>25</v>
      </c>
      <c r="E25" s="129" t="s">
        <v>25</v>
      </c>
      <c r="F25" s="129" t="s">
        <v>25</v>
      </c>
      <c r="G25" s="129" t="s">
        <v>25</v>
      </c>
      <c r="H25" s="129" t="s">
        <v>78</v>
      </c>
      <c r="I25" s="129" t="s">
        <v>60</v>
      </c>
      <c r="J25" s="129">
        <v>0.94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129">
        <v>0</v>
      </c>
      <c r="S25" s="129">
        <v>0</v>
      </c>
      <c r="T25" s="129">
        <v>0</v>
      </c>
      <c r="U25" s="129">
        <v>0</v>
      </c>
      <c r="V25" s="129">
        <v>0</v>
      </c>
      <c r="W25" s="129">
        <v>0</v>
      </c>
      <c r="X25" s="129">
        <v>0</v>
      </c>
      <c r="Y25" s="129">
        <v>0</v>
      </c>
      <c r="Z25" s="129">
        <v>0</v>
      </c>
      <c r="AA25" s="129">
        <v>0</v>
      </c>
      <c r="AB25" s="129">
        <v>0</v>
      </c>
      <c r="AC25" s="129">
        <v>0</v>
      </c>
      <c r="AD25" s="129">
        <v>0.91919749317250299</v>
      </c>
      <c r="AE25" s="129">
        <v>2.1672167692641599E-2</v>
      </c>
      <c r="AF25" s="129">
        <v>0</v>
      </c>
      <c r="AG25" s="129">
        <v>0</v>
      </c>
      <c r="AH25" s="129">
        <v>0</v>
      </c>
      <c r="AI25" s="129">
        <v>0</v>
      </c>
      <c r="AJ25" s="129">
        <v>0</v>
      </c>
      <c r="AK25" s="129">
        <v>0</v>
      </c>
      <c r="AL25" s="129">
        <v>0</v>
      </c>
      <c r="AM25" s="129">
        <v>0</v>
      </c>
      <c r="AN25" s="129">
        <v>0</v>
      </c>
      <c r="AO25" s="129">
        <v>0</v>
      </c>
      <c r="AP25" s="129">
        <v>0</v>
      </c>
      <c r="AQ25" s="129">
        <v>0</v>
      </c>
      <c r="AR25" s="130">
        <v>0</v>
      </c>
    </row>
    <row r="26" spans="2:44" ht="12" customHeight="1" x14ac:dyDescent="0.25">
      <c r="B26" s="128" t="s">
        <v>39</v>
      </c>
      <c r="C26" s="129" t="s">
        <v>59</v>
      </c>
      <c r="D26" s="129" t="s">
        <v>25</v>
      </c>
      <c r="E26" s="129" t="s">
        <v>25</v>
      </c>
      <c r="F26" s="129" t="s">
        <v>25</v>
      </c>
      <c r="G26" s="129" t="s">
        <v>35</v>
      </c>
      <c r="H26" s="129" t="s">
        <v>81</v>
      </c>
      <c r="I26" s="129" t="s">
        <v>60</v>
      </c>
      <c r="J26" s="129">
        <v>0.26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29">
        <v>0</v>
      </c>
      <c r="Q26" s="129">
        <v>0</v>
      </c>
      <c r="R26" s="129">
        <v>0</v>
      </c>
      <c r="S26" s="129">
        <v>0</v>
      </c>
      <c r="T26" s="129">
        <v>0.202998099724227</v>
      </c>
      <c r="U26" s="129">
        <v>5.5824796725900697E-2</v>
      </c>
      <c r="V26" s="129">
        <v>0</v>
      </c>
      <c r="W26" s="129">
        <v>0</v>
      </c>
      <c r="X26" s="129">
        <v>0</v>
      </c>
      <c r="Y26" s="129">
        <v>0</v>
      </c>
      <c r="Z26" s="129">
        <v>0</v>
      </c>
      <c r="AA26" s="129">
        <v>0</v>
      </c>
      <c r="AB26" s="129">
        <v>0</v>
      </c>
      <c r="AC26" s="129">
        <v>0</v>
      </c>
      <c r="AD26" s="129">
        <v>0</v>
      </c>
      <c r="AE26" s="129">
        <v>0</v>
      </c>
      <c r="AF26" s="129">
        <v>0</v>
      </c>
      <c r="AG26" s="129">
        <v>0</v>
      </c>
      <c r="AH26" s="129">
        <v>0</v>
      </c>
      <c r="AI26" s="129">
        <v>0</v>
      </c>
      <c r="AJ26" s="129">
        <v>0</v>
      </c>
      <c r="AK26" s="129">
        <v>0</v>
      </c>
      <c r="AL26" s="129">
        <v>0</v>
      </c>
      <c r="AM26" s="129">
        <v>0</v>
      </c>
      <c r="AN26" s="129">
        <v>0</v>
      </c>
      <c r="AO26" s="129">
        <v>0</v>
      </c>
      <c r="AP26" s="129">
        <v>0</v>
      </c>
      <c r="AQ26" s="129">
        <v>0</v>
      </c>
      <c r="AR26" s="130">
        <v>0</v>
      </c>
    </row>
    <row r="27" spans="2:44" ht="12" customHeight="1" x14ac:dyDescent="0.25">
      <c r="B27" s="128" t="s">
        <v>39</v>
      </c>
      <c r="C27" s="129" t="s">
        <v>87</v>
      </c>
      <c r="D27" s="129" t="s">
        <v>25</v>
      </c>
      <c r="E27" s="129" t="s">
        <v>25</v>
      </c>
      <c r="F27" s="129" t="s">
        <v>25</v>
      </c>
      <c r="G27" s="129" t="s">
        <v>25</v>
      </c>
      <c r="H27" s="129" t="s">
        <v>81</v>
      </c>
      <c r="I27" s="129" t="s">
        <v>25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29">
        <v>0</v>
      </c>
      <c r="X27" s="129">
        <v>0</v>
      </c>
      <c r="Y27" s="129">
        <v>0</v>
      </c>
      <c r="Z27" s="129">
        <v>0</v>
      </c>
      <c r="AA27" s="129">
        <v>0</v>
      </c>
      <c r="AB27" s="129">
        <v>0</v>
      </c>
      <c r="AC27" s="129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29">
        <v>0</v>
      </c>
      <c r="AL27" s="129">
        <v>0</v>
      </c>
      <c r="AM27" s="129">
        <v>0</v>
      </c>
      <c r="AN27" s="129">
        <v>0</v>
      </c>
      <c r="AO27" s="129">
        <v>0</v>
      </c>
      <c r="AP27" s="129">
        <v>0</v>
      </c>
      <c r="AQ27" s="129">
        <v>0</v>
      </c>
      <c r="AR27" s="130">
        <v>0</v>
      </c>
    </row>
    <row r="28" spans="2:44" ht="12" customHeight="1" x14ac:dyDescent="0.25">
      <c r="B28" s="128" t="s">
        <v>39</v>
      </c>
      <c r="C28" s="129" t="s">
        <v>41</v>
      </c>
      <c r="D28" s="129" t="s">
        <v>25</v>
      </c>
      <c r="E28" s="129" t="s">
        <v>25</v>
      </c>
      <c r="F28" s="129" t="s">
        <v>85</v>
      </c>
      <c r="G28" s="129" t="s">
        <v>34</v>
      </c>
      <c r="H28" s="129" t="s">
        <v>78</v>
      </c>
      <c r="I28" s="129" t="s">
        <v>25</v>
      </c>
      <c r="J28" s="129">
        <v>9.5399999999999991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29">
        <v>0</v>
      </c>
      <c r="Q28" s="129">
        <v>0</v>
      </c>
      <c r="R28" s="129">
        <v>0</v>
      </c>
      <c r="S28" s="129">
        <v>0</v>
      </c>
      <c r="T28" s="129">
        <v>6.5207750325964904</v>
      </c>
      <c r="U28" s="129">
        <v>1.7735394838968499</v>
      </c>
      <c r="V28" s="129">
        <v>0</v>
      </c>
      <c r="W28" s="129">
        <v>0</v>
      </c>
      <c r="X28" s="129">
        <v>0</v>
      </c>
      <c r="Y28" s="129">
        <v>0</v>
      </c>
      <c r="Z28" s="129">
        <v>0</v>
      </c>
      <c r="AA28" s="129">
        <v>0</v>
      </c>
      <c r="AB28" s="129">
        <v>0</v>
      </c>
      <c r="AC28" s="129">
        <v>0</v>
      </c>
      <c r="AD28" s="129">
        <v>0.91919749317250299</v>
      </c>
      <c r="AE28" s="129">
        <v>2.1672167692641599E-2</v>
      </c>
      <c r="AF28" s="129">
        <v>0.30699999412472501</v>
      </c>
      <c r="AG28" s="129">
        <v>0</v>
      </c>
      <c r="AH28" s="129">
        <v>0</v>
      </c>
      <c r="AI28" s="129">
        <v>0</v>
      </c>
      <c r="AJ28" s="129">
        <v>0</v>
      </c>
      <c r="AK28" s="129">
        <v>0</v>
      </c>
      <c r="AL28" s="129">
        <v>0</v>
      </c>
      <c r="AM28" s="129">
        <v>0</v>
      </c>
      <c r="AN28" s="129">
        <v>0</v>
      </c>
      <c r="AO28" s="129">
        <v>0</v>
      </c>
      <c r="AP28" s="129">
        <v>0</v>
      </c>
      <c r="AQ28" s="129">
        <v>0</v>
      </c>
      <c r="AR28" s="130">
        <v>0</v>
      </c>
    </row>
    <row r="29" spans="2:44" ht="12" customHeight="1" x14ac:dyDescent="0.25">
      <c r="B29" s="128" t="s">
        <v>39</v>
      </c>
      <c r="C29" s="129" t="s">
        <v>41</v>
      </c>
      <c r="D29" s="129" t="s">
        <v>25</v>
      </c>
      <c r="E29" s="129" t="s">
        <v>25</v>
      </c>
      <c r="F29" s="129" t="s">
        <v>85</v>
      </c>
      <c r="G29" s="129" t="s">
        <v>25</v>
      </c>
      <c r="H29" s="129" t="s">
        <v>81</v>
      </c>
      <c r="I29" s="129" t="s">
        <v>25</v>
      </c>
      <c r="J29" s="129">
        <v>0.26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  <c r="P29" s="129">
        <v>0</v>
      </c>
      <c r="Q29" s="129">
        <v>0</v>
      </c>
      <c r="R29" s="129">
        <v>0</v>
      </c>
      <c r="S29" s="129">
        <v>0</v>
      </c>
      <c r="T29" s="129">
        <v>0.202998099724227</v>
      </c>
      <c r="U29" s="129">
        <v>5.5824796725900697E-2</v>
      </c>
      <c r="V29" s="129">
        <v>0</v>
      </c>
      <c r="W29" s="129">
        <v>0</v>
      </c>
      <c r="X29" s="129">
        <v>0</v>
      </c>
      <c r="Y29" s="129">
        <v>0</v>
      </c>
      <c r="Z29" s="129">
        <v>0</v>
      </c>
      <c r="AA29" s="129">
        <v>0</v>
      </c>
      <c r="AB29" s="129">
        <v>0</v>
      </c>
      <c r="AC29" s="129">
        <v>0</v>
      </c>
      <c r="AD29" s="129">
        <v>0</v>
      </c>
      <c r="AE29" s="129">
        <v>0</v>
      </c>
      <c r="AF29" s="129">
        <v>0</v>
      </c>
      <c r="AG29" s="129">
        <v>0</v>
      </c>
      <c r="AH29" s="129">
        <v>0</v>
      </c>
      <c r="AI29" s="129">
        <v>0</v>
      </c>
      <c r="AJ29" s="129">
        <v>0</v>
      </c>
      <c r="AK29" s="129">
        <v>0</v>
      </c>
      <c r="AL29" s="129">
        <v>0</v>
      </c>
      <c r="AM29" s="129">
        <v>0</v>
      </c>
      <c r="AN29" s="129">
        <v>0</v>
      </c>
      <c r="AO29" s="129">
        <v>0</v>
      </c>
      <c r="AP29" s="129">
        <v>0</v>
      </c>
      <c r="AQ29" s="129">
        <v>0</v>
      </c>
      <c r="AR29" s="130">
        <v>0</v>
      </c>
    </row>
    <row r="30" spans="2:44" ht="12" customHeight="1" x14ac:dyDescent="0.25">
      <c r="B30" s="128" t="s">
        <v>39</v>
      </c>
      <c r="C30" s="129" t="s">
        <v>41</v>
      </c>
      <c r="D30" s="129" t="s">
        <v>25</v>
      </c>
      <c r="E30" s="129" t="s">
        <v>25</v>
      </c>
      <c r="F30" s="129" t="s">
        <v>85</v>
      </c>
      <c r="G30" s="129" t="s">
        <v>35</v>
      </c>
      <c r="H30" s="129" t="s">
        <v>78</v>
      </c>
      <c r="I30" s="129" t="s">
        <v>25</v>
      </c>
      <c r="J30" s="129">
        <v>1.25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  <c r="P30" s="129">
        <v>0</v>
      </c>
      <c r="Q30" s="129">
        <v>0</v>
      </c>
      <c r="R30" s="129">
        <v>0</v>
      </c>
      <c r="S30" s="129">
        <v>0</v>
      </c>
      <c r="T30" s="129">
        <v>0</v>
      </c>
      <c r="U30" s="129">
        <v>0</v>
      </c>
      <c r="V30" s="129">
        <v>0</v>
      </c>
      <c r="W30" s="129">
        <v>0</v>
      </c>
      <c r="X30" s="129">
        <v>0</v>
      </c>
      <c r="Y30" s="129">
        <v>0</v>
      </c>
      <c r="Z30" s="129">
        <v>0</v>
      </c>
      <c r="AA30" s="129">
        <v>0</v>
      </c>
      <c r="AB30" s="129">
        <v>0</v>
      </c>
      <c r="AC30" s="129">
        <v>0</v>
      </c>
      <c r="AD30" s="129">
        <v>0.91919749317250299</v>
      </c>
      <c r="AE30" s="129">
        <v>2.1672167692641599E-2</v>
      </c>
      <c r="AF30" s="129">
        <v>0.30699999412472501</v>
      </c>
      <c r="AG30" s="129">
        <v>0</v>
      </c>
      <c r="AH30" s="129">
        <v>0</v>
      </c>
      <c r="AI30" s="129">
        <v>0</v>
      </c>
      <c r="AJ30" s="129">
        <v>0</v>
      </c>
      <c r="AK30" s="129">
        <v>0</v>
      </c>
      <c r="AL30" s="129">
        <v>0</v>
      </c>
      <c r="AM30" s="129">
        <v>0</v>
      </c>
      <c r="AN30" s="129">
        <v>0</v>
      </c>
      <c r="AO30" s="129">
        <v>0</v>
      </c>
      <c r="AP30" s="129">
        <v>0</v>
      </c>
      <c r="AQ30" s="129">
        <v>0</v>
      </c>
      <c r="AR30" s="130">
        <v>0</v>
      </c>
    </row>
    <row r="31" spans="2:44" ht="12" customHeight="1" x14ac:dyDescent="0.25">
      <c r="B31" s="128" t="s">
        <v>39</v>
      </c>
      <c r="C31" s="129" t="s">
        <v>41</v>
      </c>
      <c r="D31" s="129" t="s">
        <v>25</v>
      </c>
      <c r="E31" s="129" t="s">
        <v>25</v>
      </c>
      <c r="F31" s="129" t="s">
        <v>25</v>
      </c>
      <c r="G31" s="129" t="s">
        <v>34</v>
      </c>
      <c r="H31" s="129" t="s">
        <v>78</v>
      </c>
      <c r="I31" s="129" t="s">
        <v>25</v>
      </c>
      <c r="J31" s="129">
        <v>10.17</v>
      </c>
      <c r="K31" s="129">
        <v>84.81</v>
      </c>
      <c r="L31" s="129">
        <v>0.17580208912874901</v>
      </c>
      <c r="M31" s="129">
        <v>0</v>
      </c>
      <c r="N31" s="129">
        <v>0</v>
      </c>
      <c r="O31" s="129">
        <v>0</v>
      </c>
      <c r="P31" s="129">
        <v>0</v>
      </c>
      <c r="Q31" s="129">
        <v>-1.37457411524202E-2</v>
      </c>
      <c r="R31" s="129">
        <v>0.46648905484001002</v>
      </c>
      <c r="S31" s="129">
        <v>0</v>
      </c>
      <c r="T31" s="129">
        <v>6.5207750325964904</v>
      </c>
      <c r="U31" s="129">
        <v>1.7735394838968499</v>
      </c>
      <c r="V31" s="129">
        <v>0</v>
      </c>
      <c r="W31" s="129">
        <v>0</v>
      </c>
      <c r="X31" s="129">
        <v>0</v>
      </c>
      <c r="Y31" s="129">
        <v>0</v>
      </c>
      <c r="Z31" s="129">
        <v>0</v>
      </c>
      <c r="AA31" s="129">
        <v>0</v>
      </c>
      <c r="AB31" s="129">
        <v>0</v>
      </c>
      <c r="AC31" s="129">
        <v>0</v>
      </c>
      <c r="AD31" s="129">
        <v>0.91919749317250299</v>
      </c>
      <c r="AE31" s="129">
        <v>2.1672167692641599E-2</v>
      </c>
      <c r="AF31" s="129">
        <v>0.30699999412472501</v>
      </c>
      <c r="AG31" s="129">
        <v>0</v>
      </c>
      <c r="AH31" s="129">
        <v>0.89143504345749702</v>
      </c>
      <c r="AI31" s="129">
        <v>0</v>
      </c>
      <c r="AJ31" s="129">
        <v>0</v>
      </c>
      <c r="AK31" s="129">
        <v>26.378319119723699</v>
      </c>
      <c r="AL31" s="129">
        <v>0</v>
      </c>
      <c r="AM31" s="129">
        <v>56.843173154606298</v>
      </c>
      <c r="AN31" s="129">
        <v>0</v>
      </c>
      <c r="AO31" s="129">
        <v>0</v>
      </c>
      <c r="AP31" s="129">
        <v>0</v>
      </c>
      <c r="AQ31" s="129">
        <v>0</v>
      </c>
      <c r="AR31" s="130">
        <v>0.69879920291117903</v>
      </c>
    </row>
    <row r="32" spans="2:44" ht="12" customHeight="1" x14ac:dyDescent="0.25">
      <c r="B32" s="128" t="s">
        <v>39</v>
      </c>
      <c r="C32" s="129" t="s">
        <v>41</v>
      </c>
      <c r="D32" s="129" t="s">
        <v>25</v>
      </c>
      <c r="E32" s="129" t="s">
        <v>25</v>
      </c>
      <c r="F32" s="129" t="s">
        <v>25</v>
      </c>
      <c r="G32" s="129" t="s">
        <v>25</v>
      </c>
      <c r="H32" s="129" t="s">
        <v>81</v>
      </c>
      <c r="I32" s="129" t="s">
        <v>25</v>
      </c>
      <c r="J32" s="129">
        <v>0.26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  <c r="P32" s="129">
        <v>0</v>
      </c>
      <c r="Q32" s="129">
        <v>0</v>
      </c>
      <c r="R32" s="129">
        <v>0</v>
      </c>
      <c r="S32" s="129">
        <v>0</v>
      </c>
      <c r="T32" s="129">
        <v>0.202998099724227</v>
      </c>
      <c r="U32" s="129">
        <v>5.5824796725900697E-2</v>
      </c>
      <c r="V32" s="129">
        <v>0</v>
      </c>
      <c r="W32" s="129">
        <v>0</v>
      </c>
      <c r="X32" s="129">
        <v>0</v>
      </c>
      <c r="Y32" s="129">
        <v>0</v>
      </c>
      <c r="Z32" s="129">
        <v>0</v>
      </c>
      <c r="AA32" s="129">
        <v>0</v>
      </c>
      <c r="AB32" s="129">
        <v>0</v>
      </c>
      <c r="AC32" s="129">
        <v>0</v>
      </c>
      <c r="AD32" s="129">
        <v>0</v>
      </c>
      <c r="AE32" s="129">
        <v>0</v>
      </c>
      <c r="AF32" s="129">
        <v>0</v>
      </c>
      <c r="AG32" s="129">
        <v>0</v>
      </c>
      <c r="AH32" s="129">
        <v>0</v>
      </c>
      <c r="AI32" s="129">
        <v>0</v>
      </c>
      <c r="AJ32" s="129">
        <v>0</v>
      </c>
      <c r="AK32" s="129">
        <v>0</v>
      </c>
      <c r="AL32" s="129">
        <v>0</v>
      </c>
      <c r="AM32" s="129">
        <v>0</v>
      </c>
      <c r="AN32" s="129">
        <v>0</v>
      </c>
      <c r="AO32" s="129">
        <v>0</v>
      </c>
      <c r="AP32" s="129">
        <v>0</v>
      </c>
      <c r="AQ32" s="129">
        <v>0</v>
      </c>
      <c r="AR32" s="130">
        <v>0</v>
      </c>
    </row>
    <row r="33" spans="2:44" ht="12" customHeight="1" x14ac:dyDescent="0.25">
      <c r="B33" s="128" t="s">
        <v>39</v>
      </c>
      <c r="C33" s="129" t="s">
        <v>41</v>
      </c>
      <c r="D33" s="129" t="s">
        <v>25</v>
      </c>
      <c r="E33" s="129" t="s">
        <v>25</v>
      </c>
      <c r="F33" s="129" t="s">
        <v>25</v>
      </c>
      <c r="G33" s="129" t="s">
        <v>35</v>
      </c>
      <c r="H33" s="129" t="s">
        <v>78</v>
      </c>
      <c r="I33" s="129" t="s">
        <v>25</v>
      </c>
      <c r="J33" s="129">
        <v>1.88</v>
      </c>
      <c r="K33" s="129">
        <v>61.02</v>
      </c>
      <c r="L33" s="129">
        <v>0.17580208912874901</v>
      </c>
      <c r="M33" s="129">
        <v>0</v>
      </c>
      <c r="N33" s="129">
        <v>0</v>
      </c>
      <c r="O33" s="129">
        <v>0</v>
      </c>
      <c r="P33" s="129">
        <v>0</v>
      </c>
      <c r="Q33" s="129">
        <v>-1.37457411524202E-2</v>
      </c>
      <c r="R33" s="129">
        <v>0.46648905484001002</v>
      </c>
      <c r="S33" s="129">
        <v>0</v>
      </c>
      <c r="T33" s="129">
        <v>0</v>
      </c>
      <c r="U33" s="129">
        <v>0</v>
      </c>
      <c r="V33" s="129">
        <v>0</v>
      </c>
      <c r="W33" s="129">
        <v>0</v>
      </c>
      <c r="X33" s="129">
        <v>0</v>
      </c>
      <c r="Y33" s="129">
        <v>0</v>
      </c>
      <c r="Z33" s="129">
        <v>0</v>
      </c>
      <c r="AA33" s="129">
        <v>0</v>
      </c>
      <c r="AB33" s="129">
        <v>0</v>
      </c>
      <c r="AC33" s="129">
        <v>0</v>
      </c>
      <c r="AD33" s="129">
        <v>0.91919749317250299</v>
      </c>
      <c r="AE33" s="129">
        <v>2.1672167692641599E-2</v>
      </c>
      <c r="AF33" s="129">
        <v>0.30699999412472501</v>
      </c>
      <c r="AG33" s="129">
        <v>0</v>
      </c>
      <c r="AH33" s="129">
        <v>0.89143504345749702</v>
      </c>
      <c r="AI33" s="129">
        <v>0</v>
      </c>
      <c r="AJ33" s="129">
        <v>0</v>
      </c>
      <c r="AK33" s="129">
        <v>26.378319119723699</v>
      </c>
      <c r="AL33" s="129">
        <v>0</v>
      </c>
      <c r="AM33" s="129">
        <v>33.048356485236198</v>
      </c>
      <c r="AN33" s="129">
        <v>0</v>
      </c>
      <c r="AO33" s="129">
        <v>0</v>
      </c>
      <c r="AP33" s="129">
        <v>0</v>
      </c>
      <c r="AQ33" s="129">
        <v>0</v>
      </c>
      <c r="AR33" s="130">
        <v>0.69879920291117903</v>
      </c>
    </row>
    <row r="34" spans="2:44" ht="12" customHeight="1" x14ac:dyDescent="0.25">
      <c r="B34" s="128" t="s">
        <v>88</v>
      </c>
      <c r="C34" s="129" t="s">
        <v>87</v>
      </c>
      <c r="D34" s="129" t="s">
        <v>25</v>
      </c>
      <c r="E34" s="129" t="s">
        <v>25</v>
      </c>
      <c r="F34" s="129" t="s">
        <v>89</v>
      </c>
      <c r="G34" s="129" t="s">
        <v>25</v>
      </c>
      <c r="H34" s="129" t="s">
        <v>81</v>
      </c>
      <c r="I34" s="129" t="s">
        <v>25</v>
      </c>
      <c r="J34" s="129">
        <v>0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29">
        <v>0</v>
      </c>
      <c r="Q34" s="129">
        <v>0</v>
      </c>
      <c r="R34" s="129">
        <v>0</v>
      </c>
      <c r="S34" s="129">
        <v>0</v>
      </c>
      <c r="T34" s="129">
        <v>0</v>
      </c>
      <c r="U34" s="129">
        <v>0</v>
      </c>
      <c r="V34" s="129">
        <v>0</v>
      </c>
      <c r="W34" s="129">
        <v>0</v>
      </c>
      <c r="X34" s="129">
        <v>0</v>
      </c>
      <c r="Y34" s="129">
        <v>0</v>
      </c>
      <c r="Z34" s="129">
        <v>0</v>
      </c>
      <c r="AA34" s="129">
        <v>0</v>
      </c>
      <c r="AB34" s="129">
        <v>0</v>
      </c>
      <c r="AC34" s="129">
        <v>0</v>
      </c>
      <c r="AD34" s="129">
        <v>0</v>
      </c>
      <c r="AE34" s="129">
        <v>0</v>
      </c>
      <c r="AF34" s="129">
        <v>0</v>
      </c>
      <c r="AG34" s="129">
        <v>0</v>
      </c>
      <c r="AH34" s="129">
        <v>0</v>
      </c>
      <c r="AI34" s="129">
        <v>0</v>
      </c>
      <c r="AJ34" s="129">
        <v>0</v>
      </c>
      <c r="AK34" s="129">
        <v>0</v>
      </c>
      <c r="AL34" s="129">
        <v>0</v>
      </c>
      <c r="AM34" s="129">
        <v>0</v>
      </c>
      <c r="AN34" s="129">
        <v>0</v>
      </c>
      <c r="AO34" s="129">
        <v>0</v>
      </c>
      <c r="AP34" s="129">
        <v>0</v>
      </c>
      <c r="AQ34" s="129">
        <v>0</v>
      </c>
      <c r="AR34" s="130">
        <v>0</v>
      </c>
    </row>
    <row r="35" spans="2:44" ht="12" customHeight="1" x14ac:dyDescent="0.25">
      <c r="B35" s="128" t="s">
        <v>88</v>
      </c>
      <c r="C35" s="129" t="s">
        <v>87</v>
      </c>
      <c r="D35" s="129" t="s">
        <v>25</v>
      </c>
      <c r="E35" s="129" t="s">
        <v>25</v>
      </c>
      <c r="F35" s="129" t="s">
        <v>90</v>
      </c>
      <c r="G35" s="129" t="s">
        <v>25</v>
      </c>
      <c r="H35" s="129" t="s">
        <v>81</v>
      </c>
      <c r="I35" s="129" t="s">
        <v>25</v>
      </c>
      <c r="J35" s="129">
        <v>0</v>
      </c>
      <c r="K35" s="129">
        <v>0</v>
      </c>
      <c r="L35" s="129">
        <v>0</v>
      </c>
      <c r="M35" s="129">
        <v>0</v>
      </c>
      <c r="N35" s="129">
        <v>0</v>
      </c>
      <c r="O35" s="129">
        <v>0</v>
      </c>
      <c r="P35" s="129">
        <v>0</v>
      </c>
      <c r="Q35" s="129">
        <v>0</v>
      </c>
      <c r="R35" s="129">
        <v>0</v>
      </c>
      <c r="S35" s="129">
        <v>0</v>
      </c>
      <c r="T35" s="129">
        <v>0</v>
      </c>
      <c r="U35" s="129">
        <v>0</v>
      </c>
      <c r="V35" s="129">
        <v>0</v>
      </c>
      <c r="W35" s="129">
        <v>0</v>
      </c>
      <c r="X35" s="129">
        <v>0</v>
      </c>
      <c r="Y35" s="129">
        <v>0</v>
      </c>
      <c r="Z35" s="129">
        <v>0</v>
      </c>
      <c r="AA35" s="129">
        <v>0</v>
      </c>
      <c r="AB35" s="129">
        <v>0</v>
      </c>
      <c r="AC35" s="129">
        <v>0</v>
      </c>
      <c r="AD35" s="129">
        <v>0</v>
      </c>
      <c r="AE35" s="129">
        <v>0</v>
      </c>
      <c r="AF35" s="129">
        <v>0</v>
      </c>
      <c r="AG35" s="129">
        <v>0</v>
      </c>
      <c r="AH35" s="129">
        <v>0</v>
      </c>
      <c r="AI35" s="129">
        <v>0</v>
      </c>
      <c r="AJ35" s="129">
        <v>0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0</v>
      </c>
      <c r="AQ35" s="129">
        <v>0</v>
      </c>
      <c r="AR35" s="130">
        <v>0</v>
      </c>
    </row>
    <row r="36" spans="2:44" ht="12" customHeight="1" x14ac:dyDescent="0.25">
      <c r="B36" s="128" t="s">
        <v>22</v>
      </c>
      <c r="C36" s="129" t="s">
        <v>33</v>
      </c>
      <c r="D36" s="129" t="s">
        <v>24</v>
      </c>
      <c r="E36" s="129" t="s">
        <v>24</v>
      </c>
      <c r="F36" s="129" t="s">
        <v>25</v>
      </c>
      <c r="G36" s="129" t="s">
        <v>34</v>
      </c>
      <c r="H36" s="129" t="s">
        <v>78</v>
      </c>
      <c r="I36" s="129" t="s">
        <v>25</v>
      </c>
      <c r="J36" s="129">
        <v>7.75</v>
      </c>
      <c r="K36" s="129">
        <v>84.81</v>
      </c>
      <c r="L36" s="129">
        <v>0.20928820134374901</v>
      </c>
      <c r="M36" s="129">
        <v>0</v>
      </c>
      <c r="N36" s="129">
        <v>0</v>
      </c>
      <c r="O36" s="129">
        <v>0</v>
      </c>
      <c r="P36" s="129">
        <v>0</v>
      </c>
      <c r="Q36" s="129">
        <v>-1.6363977562404999E-2</v>
      </c>
      <c r="R36" s="129">
        <v>0.46648905484001002</v>
      </c>
      <c r="S36" s="129">
        <v>0</v>
      </c>
      <c r="T36" s="129">
        <v>3.00015085348153</v>
      </c>
      <c r="U36" s="129">
        <v>0.81991660417777701</v>
      </c>
      <c r="V36" s="129">
        <v>0</v>
      </c>
      <c r="W36" s="129">
        <v>0</v>
      </c>
      <c r="X36" s="129">
        <v>0</v>
      </c>
      <c r="Y36" s="129">
        <v>0</v>
      </c>
      <c r="Z36" s="129">
        <v>0</v>
      </c>
      <c r="AA36" s="129">
        <v>0</v>
      </c>
      <c r="AB36" s="129">
        <v>0</v>
      </c>
      <c r="AC36" s="129">
        <v>0</v>
      </c>
      <c r="AD36" s="129">
        <v>2.7701668317485102</v>
      </c>
      <c r="AE36" s="129">
        <v>6.5312971978461198E-2</v>
      </c>
      <c r="AF36" s="129">
        <v>0.434301992043712</v>
      </c>
      <c r="AG36" s="129">
        <v>0</v>
      </c>
      <c r="AH36" s="129">
        <v>0.89143504345749702</v>
      </c>
      <c r="AI36" s="129">
        <v>0</v>
      </c>
      <c r="AJ36" s="129">
        <v>0</v>
      </c>
      <c r="AK36" s="129">
        <v>26.378319119723699</v>
      </c>
      <c r="AL36" s="129">
        <v>0</v>
      </c>
      <c r="AM36" s="129">
        <v>56.843173154606298</v>
      </c>
      <c r="AN36" s="129">
        <v>0</v>
      </c>
      <c r="AO36" s="129">
        <v>0</v>
      </c>
      <c r="AP36" s="129">
        <v>0</v>
      </c>
      <c r="AQ36" s="129">
        <v>0</v>
      </c>
      <c r="AR36" s="130">
        <v>0.69879920291117903</v>
      </c>
    </row>
    <row r="37" spans="2:44" ht="12" customHeight="1" x14ac:dyDescent="0.25">
      <c r="B37" s="128" t="s">
        <v>22</v>
      </c>
      <c r="C37" s="129" t="s">
        <v>33</v>
      </c>
      <c r="D37" s="129" t="s">
        <v>24</v>
      </c>
      <c r="E37" s="129" t="s">
        <v>24</v>
      </c>
      <c r="F37" s="129" t="s">
        <v>25</v>
      </c>
      <c r="G37" s="129" t="s">
        <v>36</v>
      </c>
      <c r="H37" s="129" t="s">
        <v>78</v>
      </c>
      <c r="I37" s="129" t="s">
        <v>25</v>
      </c>
      <c r="J37" s="129">
        <v>6.22</v>
      </c>
      <c r="K37" s="129">
        <v>61.02</v>
      </c>
      <c r="L37" s="129">
        <v>0.20928820134374901</v>
      </c>
      <c r="M37" s="129">
        <v>0</v>
      </c>
      <c r="N37" s="129">
        <v>0</v>
      </c>
      <c r="O37" s="129">
        <v>0</v>
      </c>
      <c r="P37" s="129">
        <v>0</v>
      </c>
      <c r="Q37" s="129">
        <v>-1.6363977562404999E-2</v>
      </c>
      <c r="R37" s="129">
        <v>0.46648905484001002</v>
      </c>
      <c r="S37" s="129">
        <v>0</v>
      </c>
      <c r="T37" s="129">
        <v>1.8000905120889199</v>
      </c>
      <c r="U37" s="129">
        <v>0.491950824179958</v>
      </c>
      <c r="V37" s="129">
        <v>0</v>
      </c>
      <c r="W37" s="129">
        <v>0</v>
      </c>
      <c r="X37" s="129">
        <v>0</v>
      </c>
      <c r="Y37" s="129">
        <v>0</v>
      </c>
      <c r="Z37" s="129">
        <v>0</v>
      </c>
      <c r="AA37" s="129">
        <v>0</v>
      </c>
      <c r="AB37" s="129">
        <v>0</v>
      </c>
      <c r="AC37" s="129">
        <v>0</v>
      </c>
      <c r="AD37" s="129">
        <v>2.7701668317485102</v>
      </c>
      <c r="AE37" s="129">
        <v>6.5312971978461198E-2</v>
      </c>
      <c r="AF37" s="129">
        <v>0.434301992043712</v>
      </c>
      <c r="AG37" s="129">
        <v>0</v>
      </c>
      <c r="AH37" s="129">
        <v>0.89143504345749702</v>
      </c>
      <c r="AI37" s="129">
        <v>0</v>
      </c>
      <c r="AJ37" s="129">
        <v>0</v>
      </c>
      <c r="AK37" s="129">
        <v>26.378319119723699</v>
      </c>
      <c r="AL37" s="129">
        <v>0</v>
      </c>
      <c r="AM37" s="129">
        <v>33.048356485236198</v>
      </c>
      <c r="AN37" s="129">
        <v>0</v>
      </c>
      <c r="AO37" s="129">
        <v>0</v>
      </c>
      <c r="AP37" s="129">
        <v>0</v>
      </c>
      <c r="AQ37" s="129">
        <v>0</v>
      </c>
      <c r="AR37" s="130">
        <v>0.69879920291117903</v>
      </c>
    </row>
    <row r="38" spans="2:44" ht="12" customHeight="1" x14ac:dyDescent="0.25">
      <c r="B38" s="128" t="s">
        <v>22</v>
      </c>
      <c r="C38" s="129" t="s">
        <v>33</v>
      </c>
      <c r="D38" s="129" t="s">
        <v>24</v>
      </c>
      <c r="E38" s="129" t="s">
        <v>24</v>
      </c>
      <c r="F38" s="129" t="s">
        <v>25</v>
      </c>
      <c r="G38" s="129" t="s">
        <v>35</v>
      </c>
      <c r="H38" s="129" t="s">
        <v>78</v>
      </c>
      <c r="I38" s="129" t="s">
        <v>25</v>
      </c>
      <c r="J38" s="129">
        <v>4.6899999999999995</v>
      </c>
      <c r="K38" s="129">
        <v>61.02</v>
      </c>
      <c r="L38" s="129">
        <v>0.20928820134374901</v>
      </c>
      <c r="M38" s="129">
        <v>0</v>
      </c>
      <c r="N38" s="129">
        <v>0</v>
      </c>
      <c r="O38" s="129">
        <v>0</v>
      </c>
      <c r="P38" s="129">
        <v>0</v>
      </c>
      <c r="Q38" s="129">
        <v>-1.6363977562404999E-2</v>
      </c>
      <c r="R38" s="129">
        <v>0.46648905484001002</v>
      </c>
      <c r="S38" s="129">
        <v>0</v>
      </c>
      <c r="T38" s="129">
        <v>0.60003017069630604</v>
      </c>
      <c r="U38" s="129">
        <v>0.16398504418213899</v>
      </c>
      <c r="V38" s="129">
        <v>0</v>
      </c>
      <c r="W38" s="129">
        <v>0</v>
      </c>
      <c r="X38" s="129">
        <v>0</v>
      </c>
      <c r="Y38" s="129">
        <v>0</v>
      </c>
      <c r="Z38" s="129">
        <v>0</v>
      </c>
      <c r="AA38" s="129">
        <v>0</v>
      </c>
      <c r="AB38" s="129">
        <v>0</v>
      </c>
      <c r="AC38" s="129">
        <v>0</v>
      </c>
      <c r="AD38" s="129">
        <v>2.7701668317485102</v>
      </c>
      <c r="AE38" s="129">
        <v>6.5312971978461198E-2</v>
      </c>
      <c r="AF38" s="129">
        <v>0.434301992043712</v>
      </c>
      <c r="AG38" s="129">
        <v>0</v>
      </c>
      <c r="AH38" s="129">
        <v>0.89143504345749702</v>
      </c>
      <c r="AI38" s="129">
        <v>0</v>
      </c>
      <c r="AJ38" s="129">
        <v>0</v>
      </c>
      <c r="AK38" s="129">
        <v>26.378319119723699</v>
      </c>
      <c r="AL38" s="129">
        <v>0</v>
      </c>
      <c r="AM38" s="129">
        <v>33.048356485236198</v>
      </c>
      <c r="AN38" s="129">
        <v>0</v>
      </c>
      <c r="AO38" s="129">
        <v>0</v>
      </c>
      <c r="AP38" s="129">
        <v>0</v>
      </c>
      <c r="AQ38" s="129">
        <v>0</v>
      </c>
      <c r="AR38" s="130">
        <v>0.69879920291117903</v>
      </c>
    </row>
    <row r="39" spans="2:44" ht="12" customHeight="1" x14ac:dyDescent="0.25">
      <c r="B39" s="128" t="s">
        <v>22</v>
      </c>
      <c r="C39" s="129" t="s">
        <v>23</v>
      </c>
      <c r="D39" s="129" t="s">
        <v>24</v>
      </c>
      <c r="E39" s="129" t="s">
        <v>1428</v>
      </c>
      <c r="F39" s="129" t="s">
        <v>25</v>
      </c>
      <c r="G39" s="129" t="s">
        <v>25</v>
      </c>
      <c r="H39" s="129" t="s">
        <v>78</v>
      </c>
      <c r="I39" s="129" t="s">
        <v>25</v>
      </c>
      <c r="J39" s="129">
        <v>4.46</v>
      </c>
      <c r="K39" s="129">
        <v>63</v>
      </c>
      <c r="L39" s="129">
        <v>0</v>
      </c>
      <c r="M39" s="129">
        <v>0</v>
      </c>
      <c r="N39" s="129">
        <v>0</v>
      </c>
      <c r="O39" s="129">
        <v>0</v>
      </c>
      <c r="P39" s="129">
        <v>0</v>
      </c>
      <c r="Q39" s="129">
        <v>0</v>
      </c>
      <c r="R39" s="129">
        <v>0</v>
      </c>
      <c r="S39" s="129">
        <v>0</v>
      </c>
      <c r="T39" s="129">
        <v>0.93754372779530304</v>
      </c>
      <c r="U39" s="129">
        <v>0.25622286171394099</v>
      </c>
      <c r="V39" s="129">
        <v>0</v>
      </c>
      <c r="W39" s="129">
        <v>0</v>
      </c>
      <c r="X39" s="129">
        <v>0</v>
      </c>
      <c r="Y39" s="129">
        <v>0</v>
      </c>
      <c r="Z39" s="129">
        <v>0</v>
      </c>
      <c r="AA39" s="129">
        <v>0</v>
      </c>
      <c r="AB39" s="129">
        <v>0</v>
      </c>
      <c r="AC39" s="129">
        <v>0</v>
      </c>
      <c r="AD39" s="129">
        <v>2.7701668317485102</v>
      </c>
      <c r="AE39" s="129">
        <v>6.5312971978461198E-2</v>
      </c>
      <c r="AF39" s="129">
        <v>0.434301992043712</v>
      </c>
      <c r="AG39" s="129">
        <v>0</v>
      </c>
      <c r="AH39" s="129">
        <v>0.89143504345749702</v>
      </c>
      <c r="AI39" s="129">
        <v>0</v>
      </c>
      <c r="AJ39" s="129">
        <v>0</v>
      </c>
      <c r="AK39" s="129">
        <v>26.378319119723699</v>
      </c>
      <c r="AL39" s="129">
        <v>0</v>
      </c>
      <c r="AM39" s="129">
        <v>35.031257874350402</v>
      </c>
      <c r="AN39" s="129">
        <v>0</v>
      </c>
      <c r="AO39" s="129">
        <v>0</v>
      </c>
      <c r="AP39" s="129">
        <v>0</v>
      </c>
      <c r="AQ39" s="129">
        <v>0</v>
      </c>
      <c r="AR39" s="130">
        <v>0.69879920291117903</v>
      </c>
    </row>
    <row r="40" spans="2:44" ht="12" customHeight="1" x14ac:dyDescent="0.25">
      <c r="B40" s="128" t="s">
        <v>22</v>
      </c>
      <c r="C40" s="129" t="s">
        <v>23</v>
      </c>
      <c r="D40" s="129" t="s">
        <v>24</v>
      </c>
      <c r="E40" s="129" t="s">
        <v>24</v>
      </c>
      <c r="F40" s="129" t="s">
        <v>25</v>
      </c>
      <c r="G40" s="129" t="s">
        <v>25</v>
      </c>
      <c r="H40" s="129" t="s">
        <v>78</v>
      </c>
      <c r="I40" s="129" t="s">
        <v>25</v>
      </c>
      <c r="J40" s="129">
        <v>5.12</v>
      </c>
      <c r="K40" s="129">
        <v>63</v>
      </c>
      <c r="L40" s="129">
        <v>0.20928820134374901</v>
      </c>
      <c r="M40" s="129">
        <v>0</v>
      </c>
      <c r="N40" s="129">
        <v>0</v>
      </c>
      <c r="O40" s="129">
        <v>0</v>
      </c>
      <c r="P40" s="129">
        <v>0</v>
      </c>
      <c r="Q40" s="129">
        <v>-1.6363977562404999E-2</v>
      </c>
      <c r="R40" s="129">
        <v>0.46648905484001002</v>
      </c>
      <c r="S40" s="129">
        <v>0</v>
      </c>
      <c r="T40" s="129">
        <v>0.93754372779530304</v>
      </c>
      <c r="U40" s="129">
        <v>0.25622286171394099</v>
      </c>
      <c r="V40" s="129">
        <v>0</v>
      </c>
      <c r="W40" s="129">
        <v>0</v>
      </c>
      <c r="X40" s="129">
        <v>0</v>
      </c>
      <c r="Y40" s="129">
        <v>0</v>
      </c>
      <c r="Z40" s="129">
        <v>0</v>
      </c>
      <c r="AA40" s="129">
        <v>0</v>
      </c>
      <c r="AB40" s="129">
        <v>0</v>
      </c>
      <c r="AC40" s="129">
        <v>0</v>
      </c>
      <c r="AD40" s="129">
        <v>2.7701668317485102</v>
      </c>
      <c r="AE40" s="129">
        <v>6.5312971978461198E-2</v>
      </c>
      <c r="AF40" s="129">
        <v>0.434301992043712</v>
      </c>
      <c r="AG40" s="129">
        <v>0</v>
      </c>
      <c r="AH40" s="129">
        <v>0.89143504345749702</v>
      </c>
      <c r="AI40" s="129">
        <v>0</v>
      </c>
      <c r="AJ40" s="129">
        <v>0</v>
      </c>
      <c r="AK40" s="129">
        <v>26.378319119723699</v>
      </c>
      <c r="AL40" s="129">
        <v>0</v>
      </c>
      <c r="AM40" s="129">
        <v>35.031257874350402</v>
      </c>
      <c r="AN40" s="129">
        <v>0</v>
      </c>
      <c r="AO40" s="129">
        <v>0</v>
      </c>
      <c r="AP40" s="129">
        <v>0</v>
      </c>
      <c r="AQ40" s="129">
        <v>0</v>
      </c>
      <c r="AR40" s="130">
        <v>0.69879920291117903</v>
      </c>
    </row>
    <row r="41" spans="2:44" ht="12" customHeight="1" x14ac:dyDescent="0.25">
      <c r="B41" s="128" t="s">
        <v>22</v>
      </c>
      <c r="C41" s="129" t="s">
        <v>93</v>
      </c>
      <c r="D41" s="129" t="s">
        <v>24</v>
      </c>
      <c r="E41" s="129" t="s">
        <v>1428</v>
      </c>
      <c r="F41" s="129" t="s">
        <v>25</v>
      </c>
      <c r="G41" s="129" t="s">
        <v>25</v>
      </c>
      <c r="H41" s="129" t="s">
        <v>78</v>
      </c>
      <c r="I41" s="129" t="s">
        <v>25</v>
      </c>
      <c r="J41" s="129">
        <v>4.46</v>
      </c>
      <c r="K41" s="129">
        <v>63</v>
      </c>
      <c r="L41" s="129">
        <v>0</v>
      </c>
      <c r="M41" s="129">
        <v>0</v>
      </c>
      <c r="N41" s="129">
        <v>0</v>
      </c>
      <c r="O41" s="129">
        <v>0</v>
      </c>
      <c r="P41" s="129">
        <v>0</v>
      </c>
      <c r="Q41" s="129">
        <v>0</v>
      </c>
      <c r="R41" s="129">
        <v>0</v>
      </c>
      <c r="S41" s="129">
        <v>0</v>
      </c>
      <c r="T41" s="129">
        <v>0.93754372779530304</v>
      </c>
      <c r="U41" s="129">
        <v>0.25622286171394099</v>
      </c>
      <c r="V41" s="129">
        <v>0</v>
      </c>
      <c r="W41" s="129">
        <v>0</v>
      </c>
      <c r="X41" s="129">
        <v>0</v>
      </c>
      <c r="Y41" s="129">
        <v>0</v>
      </c>
      <c r="Z41" s="129">
        <v>0</v>
      </c>
      <c r="AA41" s="129">
        <v>0</v>
      </c>
      <c r="AB41" s="129">
        <v>0</v>
      </c>
      <c r="AC41" s="129">
        <v>0</v>
      </c>
      <c r="AD41" s="129">
        <v>2.7701668317485102</v>
      </c>
      <c r="AE41" s="129">
        <v>6.5312971978461198E-2</v>
      </c>
      <c r="AF41" s="129">
        <v>0.434301992043712</v>
      </c>
      <c r="AG41" s="129">
        <v>0</v>
      </c>
      <c r="AH41" s="129">
        <v>0.89143504345749702</v>
      </c>
      <c r="AI41" s="129">
        <v>0</v>
      </c>
      <c r="AJ41" s="129">
        <v>0</v>
      </c>
      <c r="AK41" s="129">
        <v>26.378319119723699</v>
      </c>
      <c r="AL41" s="129">
        <v>0</v>
      </c>
      <c r="AM41" s="129">
        <v>35.031257874350402</v>
      </c>
      <c r="AN41" s="129">
        <v>0</v>
      </c>
      <c r="AO41" s="129">
        <v>0</v>
      </c>
      <c r="AP41" s="129">
        <v>0</v>
      </c>
      <c r="AQ41" s="129">
        <v>0</v>
      </c>
      <c r="AR41" s="130">
        <v>0.69879920291117903</v>
      </c>
    </row>
    <row r="42" spans="2:44" ht="12" customHeight="1" x14ac:dyDescent="0.25">
      <c r="B42" s="128" t="s">
        <v>22</v>
      </c>
      <c r="C42" s="129" t="s">
        <v>93</v>
      </c>
      <c r="D42" s="129" t="s">
        <v>24</v>
      </c>
      <c r="E42" s="129" t="s">
        <v>24</v>
      </c>
      <c r="F42" s="129" t="s">
        <v>25</v>
      </c>
      <c r="G42" s="129" t="s">
        <v>25</v>
      </c>
      <c r="H42" s="129" t="s">
        <v>78</v>
      </c>
      <c r="I42" s="129" t="s">
        <v>25</v>
      </c>
      <c r="J42" s="129">
        <v>5.12</v>
      </c>
      <c r="K42" s="129">
        <v>63</v>
      </c>
      <c r="L42" s="129">
        <v>0.20928820134374901</v>
      </c>
      <c r="M42" s="129">
        <v>0</v>
      </c>
      <c r="N42" s="129">
        <v>0</v>
      </c>
      <c r="O42" s="129">
        <v>0</v>
      </c>
      <c r="P42" s="129">
        <v>0</v>
      </c>
      <c r="Q42" s="129">
        <v>-1.6363977562404999E-2</v>
      </c>
      <c r="R42" s="129">
        <v>0.46648905484001002</v>
      </c>
      <c r="S42" s="129">
        <v>0</v>
      </c>
      <c r="T42" s="129">
        <v>0.93754372779530304</v>
      </c>
      <c r="U42" s="129">
        <v>0.25622286171394099</v>
      </c>
      <c r="V42" s="129">
        <v>0</v>
      </c>
      <c r="W42" s="129">
        <v>0</v>
      </c>
      <c r="X42" s="129">
        <v>0</v>
      </c>
      <c r="Y42" s="129">
        <v>0</v>
      </c>
      <c r="Z42" s="129">
        <v>0</v>
      </c>
      <c r="AA42" s="129">
        <v>0</v>
      </c>
      <c r="AB42" s="129">
        <v>0</v>
      </c>
      <c r="AC42" s="129">
        <v>0</v>
      </c>
      <c r="AD42" s="129">
        <v>2.7701668317485102</v>
      </c>
      <c r="AE42" s="129">
        <v>6.5312971978461198E-2</v>
      </c>
      <c r="AF42" s="129">
        <v>0.434301992043712</v>
      </c>
      <c r="AG42" s="129">
        <v>0</v>
      </c>
      <c r="AH42" s="129">
        <v>0.89143504345749702</v>
      </c>
      <c r="AI42" s="129">
        <v>0</v>
      </c>
      <c r="AJ42" s="129">
        <v>0</v>
      </c>
      <c r="AK42" s="129">
        <v>26.378319119723699</v>
      </c>
      <c r="AL42" s="129">
        <v>0</v>
      </c>
      <c r="AM42" s="129">
        <v>35.031257874350402</v>
      </c>
      <c r="AN42" s="129">
        <v>0</v>
      </c>
      <c r="AO42" s="129">
        <v>0</v>
      </c>
      <c r="AP42" s="129">
        <v>0</v>
      </c>
      <c r="AQ42" s="129">
        <v>0</v>
      </c>
      <c r="AR42" s="130">
        <v>0.69879920291117903</v>
      </c>
    </row>
    <row r="43" spans="2:44" ht="12" customHeight="1" x14ac:dyDescent="0.25">
      <c r="B43" s="128" t="s">
        <v>43</v>
      </c>
      <c r="C43" s="129" t="s">
        <v>33</v>
      </c>
      <c r="D43" s="129" t="s">
        <v>44</v>
      </c>
      <c r="E43" s="129" t="s">
        <v>94</v>
      </c>
      <c r="F43" s="129" t="s">
        <v>25</v>
      </c>
      <c r="G43" s="129" t="s">
        <v>34</v>
      </c>
      <c r="H43" s="129" t="s">
        <v>78</v>
      </c>
      <c r="I43" s="129" t="s">
        <v>25</v>
      </c>
      <c r="J43" s="129">
        <v>7.28</v>
      </c>
      <c r="K43" s="129">
        <v>79.72</v>
      </c>
      <c r="L43" s="129">
        <v>0.196730909263124</v>
      </c>
      <c r="M43" s="129">
        <v>0</v>
      </c>
      <c r="N43" s="129">
        <v>0</v>
      </c>
      <c r="O43" s="129">
        <v>0</v>
      </c>
      <c r="P43" s="129">
        <v>0</v>
      </c>
      <c r="Q43" s="129">
        <v>-1.5382138908660701E-2</v>
      </c>
      <c r="R43" s="129">
        <v>0.43849971154960898</v>
      </c>
      <c r="S43" s="129">
        <v>0</v>
      </c>
      <c r="T43" s="129">
        <v>2.8201418022726399</v>
      </c>
      <c r="U43" s="129">
        <v>0.77072160792711097</v>
      </c>
      <c r="V43" s="129">
        <v>0</v>
      </c>
      <c r="W43" s="129">
        <v>0</v>
      </c>
      <c r="X43" s="129">
        <v>0</v>
      </c>
      <c r="Y43" s="129">
        <v>0</v>
      </c>
      <c r="Z43" s="129">
        <v>0</v>
      </c>
      <c r="AA43" s="129">
        <v>0</v>
      </c>
      <c r="AB43" s="129">
        <v>0</v>
      </c>
      <c r="AC43" s="129">
        <v>0</v>
      </c>
      <c r="AD43" s="129">
        <v>2.6039568218436</v>
      </c>
      <c r="AE43" s="129">
        <v>6.1394193659753502E-2</v>
      </c>
      <c r="AF43" s="129">
        <v>0.40824387252108901</v>
      </c>
      <c r="AG43" s="129">
        <v>0</v>
      </c>
      <c r="AH43" s="129">
        <v>0.83794894085004701</v>
      </c>
      <c r="AI43" s="129">
        <v>0</v>
      </c>
      <c r="AJ43" s="129">
        <v>0</v>
      </c>
      <c r="AK43" s="129">
        <v>24.795619972540301</v>
      </c>
      <c r="AL43" s="129">
        <v>0</v>
      </c>
      <c r="AM43" s="129">
        <v>53.432582765329897</v>
      </c>
      <c r="AN43" s="129">
        <v>0</v>
      </c>
      <c r="AO43" s="129">
        <v>0</v>
      </c>
      <c r="AP43" s="129">
        <v>0</v>
      </c>
      <c r="AQ43" s="129">
        <v>0</v>
      </c>
      <c r="AR43" s="130">
        <v>0.65687125073650898</v>
      </c>
    </row>
    <row r="44" spans="2:44" ht="12" customHeight="1" x14ac:dyDescent="0.25">
      <c r="B44" s="128" t="s">
        <v>43</v>
      </c>
      <c r="C44" s="129" t="s">
        <v>33</v>
      </c>
      <c r="D44" s="129" t="s">
        <v>44</v>
      </c>
      <c r="E44" s="129" t="s">
        <v>94</v>
      </c>
      <c r="F44" s="129" t="s">
        <v>25</v>
      </c>
      <c r="G44" s="129" t="s">
        <v>36</v>
      </c>
      <c r="H44" s="129" t="s">
        <v>78</v>
      </c>
      <c r="I44" s="129" t="s">
        <v>25</v>
      </c>
      <c r="J44" s="129">
        <v>5.85</v>
      </c>
      <c r="K44" s="129">
        <v>57.36</v>
      </c>
      <c r="L44" s="129">
        <v>0.196730909263124</v>
      </c>
      <c r="M44" s="129">
        <v>0</v>
      </c>
      <c r="N44" s="129">
        <v>0</v>
      </c>
      <c r="O44" s="129">
        <v>0</v>
      </c>
      <c r="P44" s="129">
        <v>0</v>
      </c>
      <c r="Q44" s="129">
        <v>-1.5382138908660701E-2</v>
      </c>
      <c r="R44" s="129">
        <v>0.43849971154960898</v>
      </c>
      <c r="S44" s="129">
        <v>0</v>
      </c>
      <c r="T44" s="129">
        <v>1.6920850813635799</v>
      </c>
      <c r="U44" s="129">
        <v>0.46243377472916097</v>
      </c>
      <c r="V44" s="129">
        <v>0</v>
      </c>
      <c r="W44" s="129">
        <v>0</v>
      </c>
      <c r="X44" s="129">
        <v>0</v>
      </c>
      <c r="Y44" s="129">
        <v>0</v>
      </c>
      <c r="Z44" s="129">
        <v>0</v>
      </c>
      <c r="AA44" s="129">
        <v>0</v>
      </c>
      <c r="AB44" s="129">
        <v>0</v>
      </c>
      <c r="AC44" s="129">
        <v>0</v>
      </c>
      <c r="AD44" s="129">
        <v>2.6039568218436</v>
      </c>
      <c r="AE44" s="129">
        <v>6.1394193659753502E-2</v>
      </c>
      <c r="AF44" s="129">
        <v>0.40824387252108901</v>
      </c>
      <c r="AG44" s="129">
        <v>0</v>
      </c>
      <c r="AH44" s="129">
        <v>0.83794894085004701</v>
      </c>
      <c r="AI44" s="129">
        <v>0</v>
      </c>
      <c r="AJ44" s="129">
        <v>0</v>
      </c>
      <c r="AK44" s="129">
        <v>24.795619972540301</v>
      </c>
      <c r="AL44" s="129">
        <v>0</v>
      </c>
      <c r="AM44" s="129">
        <v>31.065455096122001</v>
      </c>
      <c r="AN44" s="129">
        <v>0</v>
      </c>
      <c r="AO44" s="129">
        <v>0</v>
      </c>
      <c r="AP44" s="129">
        <v>0</v>
      </c>
      <c r="AQ44" s="129">
        <v>0</v>
      </c>
      <c r="AR44" s="130">
        <v>0.65687125073650898</v>
      </c>
    </row>
    <row r="45" spans="2:44" ht="12" customHeight="1" x14ac:dyDescent="0.25">
      <c r="B45" s="128" t="s">
        <v>43</v>
      </c>
      <c r="C45" s="129" t="s">
        <v>33</v>
      </c>
      <c r="D45" s="129" t="s">
        <v>44</v>
      </c>
      <c r="E45" s="129" t="s">
        <v>94</v>
      </c>
      <c r="F45" s="129" t="s">
        <v>25</v>
      </c>
      <c r="G45" s="129" t="s">
        <v>35</v>
      </c>
      <c r="H45" s="129" t="s">
        <v>78</v>
      </c>
      <c r="I45" s="129" t="s">
        <v>25</v>
      </c>
      <c r="J45" s="129">
        <v>4.41</v>
      </c>
      <c r="K45" s="129">
        <v>57.36</v>
      </c>
      <c r="L45" s="129">
        <v>0.196730909263124</v>
      </c>
      <c r="M45" s="129">
        <v>0</v>
      </c>
      <c r="N45" s="129">
        <v>0</v>
      </c>
      <c r="O45" s="129">
        <v>0</v>
      </c>
      <c r="P45" s="129">
        <v>0</v>
      </c>
      <c r="Q45" s="129">
        <v>-1.5382138908660701E-2</v>
      </c>
      <c r="R45" s="129">
        <v>0.43849971154960898</v>
      </c>
      <c r="S45" s="129">
        <v>0</v>
      </c>
      <c r="T45" s="129">
        <v>0.56402836045452798</v>
      </c>
      <c r="U45" s="129">
        <v>0.154145941531211</v>
      </c>
      <c r="V45" s="129">
        <v>0</v>
      </c>
      <c r="W45" s="129">
        <v>0</v>
      </c>
      <c r="X45" s="129">
        <v>0</v>
      </c>
      <c r="Y45" s="129">
        <v>0</v>
      </c>
      <c r="Z45" s="129">
        <v>0</v>
      </c>
      <c r="AA45" s="129">
        <v>0</v>
      </c>
      <c r="AB45" s="129">
        <v>0</v>
      </c>
      <c r="AC45" s="129">
        <v>0</v>
      </c>
      <c r="AD45" s="129">
        <v>2.6039568218436</v>
      </c>
      <c r="AE45" s="129">
        <v>6.1394193659753502E-2</v>
      </c>
      <c r="AF45" s="129">
        <v>0.40824387252108901</v>
      </c>
      <c r="AG45" s="129">
        <v>0</v>
      </c>
      <c r="AH45" s="129">
        <v>0.83794894085004701</v>
      </c>
      <c r="AI45" s="129">
        <v>0</v>
      </c>
      <c r="AJ45" s="129">
        <v>0</v>
      </c>
      <c r="AK45" s="129">
        <v>24.795619972540301</v>
      </c>
      <c r="AL45" s="129">
        <v>0</v>
      </c>
      <c r="AM45" s="129">
        <v>31.065455096122001</v>
      </c>
      <c r="AN45" s="129">
        <v>0</v>
      </c>
      <c r="AO45" s="129">
        <v>0</v>
      </c>
      <c r="AP45" s="129">
        <v>0</v>
      </c>
      <c r="AQ45" s="129">
        <v>0</v>
      </c>
      <c r="AR45" s="130">
        <v>0.65687125073650898</v>
      </c>
    </row>
    <row r="46" spans="2:44" ht="12" customHeight="1" x14ac:dyDescent="0.25">
      <c r="B46" s="128" t="s">
        <v>43</v>
      </c>
      <c r="C46" s="129" t="s">
        <v>33</v>
      </c>
      <c r="D46" s="129" t="s">
        <v>44</v>
      </c>
      <c r="E46" s="129" t="s">
        <v>25</v>
      </c>
      <c r="F46" s="129" t="s">
        <v>25</v>
      </c>
      <c r="G46" s="129" t="s">
        <v>34</v>
      </c>
      <c r="H46" s="129" t="s">
        <v>78</v>
      </c>
      <c r="I46" s="129" t="s">
        <v>25</v>
      </c>
      <c r="J46" s="129">
        <v>7.28</v>
      </c>
      <c r="K46" s="129">
        <v>79.72</v>
      </c>
      <c r="L46" s="129">
        <v>0.196730909263124</v>
      </c>
      <c r="M46" s="129">
        <v>0</v>
      </c>
      <c r="N46" s="129">
        <v>0</v>
      </c>
      <c r="O46" s="129">
        <v>0</v>
      </c>
      <c r="P46" s="129">
        <v>0</v>
      </c>
      <c r="Q46" s="129">
        <v>-1.5382138908660701E-2</v>
      </c>
      <c r="R46" s="129">
        <v>0.43849971154960898</v>
      </c>
      <c r="S46" s="129">
        <v>0</v>
      </c>
      <c r="T46" s="129">
        <v>2.8201418022726399</v>
      </c>
      <c r="U46" s="129">
        <v>0.77072160792711097</v>
      </c>
      <c r="V46" s="129">
        <v>0</v>
      </c>
      <c r="W46" s="129">
        <v>0</v>
      </c>
      <c r="X46" s="129">
        <v>0</v>
      </c>
      <c r="Y46" s="129">
        <v>0</v>
      </c>
      <c r="Z46" s="129">
        <v>0</v>
      </c>
      <c r="AA46" s="129">
        <v>0</v>
      </c>
      <c r="AB46" s="129">
        <v>0</v>
      </c>
      <c r="AC46" s="129">
        <v>0</v>
      </c>
      <c r="AD46" s="129">
        <v>2.6039568218436</v>
      </c>
      <c r="AE46" s="129">
        <v>6.1394193659753502E-2</v>
      </c>
      <c r="AF46" s="129">
        <v>0.40824387252108901</v>
      </c>
      <c r="AG46" s="129">
        <v>0</v>
      </c>
      <c r="AH46" s="129">
        <v>0.83794894085004701</v>
      </c>
      <c r="AI46" s="129">
        <v>0</v>
      </c>
      <c r="AJ46" s="129">
        <v>0</v>
      </c>
      <c r="AK46" s="129">
        <v>24.795619972540301</v>
      </c>
      <c r="AL46" s="129">
        <v>0</v>
      </c>
      <c r="AM46" s="129">
        <v>53.432582765329897</v>
      </c>
      <c r="AN46" s="129">
        <v>0</v>
      </c>
      <c r="AO46" s="129">
        <v>0</v>
      </c>
      <c r="AP46" s="129">
        <v>0</v>
      </c>
      <c r="AQ46" s="129">
        <v>0</v>
      </c>
      <c r="AR46" s="130">
        <v>0.65687125073650898</v>
      </c>
    </row>
    <row r="47" spans="2:44" ht="12" customHeight="1" x14ac:dyDescent="0.25">
      <c r="B47" s="128" t="s">
        <v>43</v>
      </c>
      <c r="C47" s="129" t="s">
        <v>33</v>
      </c>
      <c r="D47" s="129" t="s">
        <v>44</v>
      </c>
      <c r="E47" s="129" t="s">
        <v>25</v>
      </c>
      <c r="F47" s="129" t="s">
        <v>25</v>
      </c>
      <c r="G47" s="129" t="s">
        <v>36</v>
      </c>
      <c r="H47" s="129" t="s">
        <v>78</v>
      </c>
      <c r="I47" s="129" t="s">
        <v>25</v>
      </c>
      <c r="J47" s="129">
        <v>5.85</v>
      </c>
      <c r="K47" s="129">
        <v>57.36</v>
      </c>
      <c r="L47" s="129">
        <v>0.196730909263124</v>
      </c>
      <c r="M47" s="129">
        <v>0</v>
      </c>
      <c r="N47" s="129">
        <v>0</v>
      </c>
      <c r="O47" s="129">
        <v>0</v>
      </c>
      <c r="P47" s="129">
        <v>0</v>
      </c>
      <c r="Q47" s="129">
        <v>-1.5382138908660701E-2</v>
      </c>
      <c r="R47" s="129">
        <v>0.43849971154960898</v>
      </c>
      <c r="S47" s="129">
        <v>0</v>
      </c>
      <c r="T47" s="129">
        <v>1.6920850813635799</v>
      </c>
      <c r="U47" s="129">
        <v>0.46243377472916097</v>
      </c>
      <c r="V47" s="129">
        <v>0</v>
      </c>
      <c r="W47" s="129">
        <v>0</v>
      </c>
      <c r="X47" s="129">
        <v>0</v>
      </c>
      <c r="Y47" s="129">
        <v>0</v>
      </c>
      <c r="Z47" s="129">
        <v>0</v>
      </c>
      <c r="AA47" s="129">
        <v>0</v>
      </c>
      <c r="AB47" s="129">
        <v>0</v>
      </c>
      <c r="AC47" s="129">
        <v>0</v>
      </c>
      <c r="AD47" s="129">
        <v>2.6039568218436</v>
      </c>
      <c r="AE47" s="129">
        <v>6.1394193659753502E-2</v>
      </c>
      <c r="AF47" s="129">
        <v>0.40824387252108901</v>
      </c>
      <c r="AG47" s="129">
        <v>0</v>
      </c>
      <c r="AH47" s="129">
        <v>0.83794894085004701</v>
      </c>
      <c r="AI47" s="129">
        <v>0</v>
      </c>
      <c r="AJ47" s="129">
        <v>0</v>
      </c>
      <c r="AK47" s="129">
        <v>24.795619972540301</v>
      </c>
      <c r="AL47" s="129">
        <v>0</v>
      </c>
      <c r="AM47" s="129">
        <v>31.065455096122001</v>
      </c>
      <c r="AN47" s="129">
        <v>0</v>
      </c>
      <c r="AO47" s="129">
        <v>0</v>
      </c>
      <c r="AP47" s="129">
        <v>0</v>
      </c>
      <c r="AQ47" s="129">
        <v>0</v>
      </c>
      <c r="AR47" s="130">
        <v>0.65687125073650898</v>
      </c>
    </row>
    <row r="48" spans="2:44" ht="12" customHeight="1" x14ac:dyDescent="0.25">
      <c r="B48" s="128" t="s">
        <v>43</v>
      </c>
      <c r="C48" s="129" t="s">
        <v>33</v>
      </c>
      <c r="D48" s="129" t="s">
        <v>44</v>
      </c>
      <c r="E48" s="129" t="s">
        <v>25</v>
      </c>
      <c r="F48" s="129" t="s">
        <v>25</v>
      </c>
      <c r="G48" s="129" t="s">
        <v>35</v>
      </c>
      <c r="H48" s="129" t="s">
        <v>78</v>
      </c>
      <c r="I48" s="129" t="s">
        <v>25</v>
      </c>
      <c r="J48" s="129">
        <v>4.41</v>
      </c>
      <c r="K48" s="129">
        <v>57.36</v>
      </c>
      <c r="L48" s="129">
        <v>0.196730909263124</v>
      </c>
      <c r="M48" s="129">
        <v>0</v>
      </c>
      <c r="N48" s="129">
        <v>0</v>
      </c>
      <c r="O48" s="129">
        <v>0</v>
      </c>
      <c r="P48" s="129">
        <v>0</v>
      </c>
      <c r="Q48" s="129">
        <v>-1.5382138908660701E-2</v>
      </c>
      <c r="R48" s="129">
        <v>0.43849971154960898</v>
      </c>
      <c r="S48" s="129">
        <v>0</v>
      </c>
      <c r="T48" s="129">
        <v>0.56402836045452798</v>
      </c>
      <c r="U48" s="129">
        <v>0.154145941531211</v>
      </c>
      <c r="V48" s="129">
        <v>0</v>
      </c>
      <c r="W48" s="129">
        <v>0</v>
      </c>
      <c r="X48" s="129">
        <v>0</v>
      </c>
      <c r="Y48" s="129">
        <v>0</v>
      </c>
      <c r="Z48" s="129">
        <v>0</v>
      </c>
      <c r="AA48" s="129">
        <v>0</v>
      </c>
      <c r="AB48" s="129">
        <v>0</v>
      </c>
      <c r="AC48" s="129">
        <v>0</v>
      </c>
      <c r="AD48" s="129">
        <v>2.6039568218436</v>
      </c>
      <c r="AE48" s="129">
        <v>6.1394193659753502E-2</v>
      </c>
      <c r="AF48" s="129">
        <v>0.40824387252108901</v>
      </c>
      <c r="AG48" s="129">
        <v>0</v>
      </c>
      <c r="AH48" s="129">
        <v>0.83794894085004701</v>
      </c>
      <c r="AI48" s="129">
        <v>0</v>
      </c>
      <c r="AJ48" s="129">
        <v>0</v>
      </c>
      <c r="AK48" s="129">
        <v>24.795619972540301</v>
      </c>
      <c r="AL48" s="129">
        <v>0</v>
      </c>
      <c r="AM48" s="129">
        <v>31.065455096122001</v>
      </c>
      <c r="AN48" s="129">
        <v>0</v>
      </c>
      <c r="AO48" s="129">
        <v>0</v>
      </c>
      <c r="AP48" s="129">
        <v>0</v>
      </c>
      <c r="AQ48" s="129">
        <v>0</v>
      </c>
      <c r="AR48" s="130">
        <v>0.65687125073650898</v>
      </c>
    </row>
    <row r="49" spans="2:44" ht="12" customHeight="1" x14ac:dyDescent="0.25">
      <c r="B49" s="128" t="s">
        <v>43</v>
      </c>
      <c r="C49" s="129" t="s">
        <v>33</v>
      </c>
      <c r="D49" s="129" t="s">
        <v>44</v>
      </c>
      <c r="E49" s="129" t="s">
        <v>95</v>
      </c>
      <c r="F49" s="129" t="s">
        <v>25</v>
      </c>
      <c r="G49" s="129" t="s">
        <v>34</v>
      </c>
      <c r="H49" s="129" t="s">
        <v>78</v>
      </c>
      <c r="I49" s="129" t="s">
        <v>25</v>
      </c>
      <c r="J49" s="129">
        <v>7.13</v>
      </c>
      <c r="K49" s="129">
        <v>78.03</v>
      </c>
      <c r="L49" s="129">
        <v>0.19254514523624899</v>
      </c>
      <c r="M49" s="129">
        <v>0</v>
      </c>
      <c r="N49" s="129">
        <v>0</v>
      </c>
      <c r="O49" s="129">
        <v>0</v>
      </c>
      <c r="P49" s="129">
        <v>0</v>
      </c>
      <c r="Q49" s="129">
        <v>-1.50548593574126E-2</v>
      </c>
      <c r="R49" s="129">
        <v>0.42916993045280899</v>
      </c>
      <c r="S49" s="129">
        <v>0</v>
      </c>
      <c r="T49" s="129">
        <v>2.7601387852030101</v>
      </c>
      <c r="U49" s="129">
        <v>0.75432327584355496</v>
      </c>
      <c r="V49" s="129">
        <v>0</v>
      </c>
      <c r="W49" s="129">
        <v>0</v>
      </c>
      <c r="X49" s="129">
        <v>0</v>
      </c>
      <c r="Y49" s="129">
        <v>0</v>
      </c>
      <c r="Z49" s="129">
        <v>0</v>
      </c>
      <c r="AA49" s="129">
        <v>0</v>
      </c>
      <c r="AB49" s="129">
        <v>0</v>
      </c>
      <c r="AC49" s="129">
        <v>0</v>
      </c>
      <c r="AD49" s="129">
        <v>2.5485534852086298</v>
      </c>
      <c r="AE49" s="129">
        <v>6.0087934220184297E-2</v>
      </c>
      <c r="AF49" s="129">
        <v>0.399557832680215</v>
      </c>
      <c r="AG49" s="129">
        <v>0</v>
      </c>
      <c r="AH49" s="129">
        <v>0.820120239980897</v>
      </c>
      <c r="AI49" s="129">
        <v>0</v>
      </c>
      <c r="AJ49" s="129">
        <v>0</v>
      </c>
      <c r="AK49" s="129">
        <v>24.268053590145801</v>
      </c>
      <c r="AL49" s="129">
        <v>0</v>
      </c>
      <c r="AM49" s="129">
        <v>52.295719302237799</v>
      </c>
      <c r="AN49" s="129">
        <v>0</v>
      </c>
      <c r="AO49" s="129">
        <v>0</v>
      </c>
      <c r="AP49" s="129">
        <v>0</v>
      </c>
      <c r="AQ49" s="129">
        <v>0</v>
      </c>
      <c r="AR49" s="130">
        <v>0.642895266678285</v>
      </c>
    </row>
    <row r="50" spans="2:44" ht="12" customHeight="1" x14ac:dyDescent="0.25">
      <c r="B50" s="128" t="s">
        <v>43</v>
      </c>
      <c r="C50" s="129" t="s">
        <v>33</v>
      </c>
      <c r="D50" s="129" t="s">
        <v>44</v>
      </c>
      <c r="E50" s="129" t="s">
        <v>95</v>
      </c>
      <c r="F50" s="129" t="s">
        <v>25</v>
      </c>
      <c r="G50" s="129" t="s">
        <v>36</v>
      </c>
      <c r="H50" s="129" t="s">
        <v>78</v>
      </c>
      <c r="I50" s="129" t="s">
        <v>25</v>
      </c>
      <c r="J50" s="129">
        <v>5.72</v>
      </c>
      <c r="K50" s="129">
        <v>56.14</v>
      </c>
      <c r="L50" s="129">
        <v>0.19254514523624899</v>
      </c>
      <c r="M50" s="129">
        <v>0</v>
      </c>
      <c r="N50" s="129">
        <v>0</v>
      </c>
      <c r="O50" s="129">
        <v>0</v>
      </c>
      <c r="P50" s="129">
        <v>0</v>
      </c>
      <c r="Q50" s="129">
        <v>-1.50548593574126E-2</v>
      </c>
      <c r="R50" s="129">
        <v>0.42916993045280899</v>
      </c>
      <c r="S50" s="129">
        <v>0</v>
      </c>
      <c r="T50" s="129">
        <v>1.6560832711218101</v>
      </c>
      <c r="U50" s="129">
        <v>0.452594758245562</v>
      </c>
      <c r="V50" s="129">
        <v>0</v>
      </c>
      <c r="W50" s="129">
        <v>0</v>
      </c>
      <c r="X50" s="129">
        <v>0</v>
      </c>
      <c r="Y50" s="129">
        <v>0</v>
      </c>
      <c r="Z50" s="129">
        <v>0</v>
      </c>
      <c r="AA50" s="129">
        <v>0</v>
      </c>
      <c r="AB50" s="129">
        <v>0</v>
      </c>
      <c r="AC50" s="129">
        <v>0</v>
      </c>
      <c r="AD50" s="129">
        <v>2.5485534852086298</v>
      </c>
      <c r="AE50" s="129">
        <v>6.0087934220184297E-2</v>
      </c>
      <c r="AF50" s="129">
        <v>0.399557832680215</v>
      </c>
      <c r="AG50" s="129">
        <v>0</v>
      </c>
      <c r="AH50" s="129">
        <v>0.820120239980897</v>
      </c>
      <c r="AI50" s="129">
        <v>0</v>
      </c>
      <c r="AJ50" s="129">
        <v>0</v>
      </c>
      <c r="AK50" s="129">
        <v>24.268053590145801</v>
      </c>
      <c r="AL50" s="129">
        <v>0</v>
      </c>
      <c r="AM50" s="129">
        <v>30.4044879664173</v>
      </c>
      <c r="AN50" s="129">
        <v>0</v>
      </c>
      <c r="AO50" s="129">
        <v>0</v>
      </c>
      <c r="AP50" s="129">
        <v>0</v>
      </c>
      <c r="AQ50" s="129">
        <v>0</v>
      </c>
      <c r="AR50" s="130">
        <v>0.642895266678285</v>
      </c>
    </row>
    <row r="51" spans="2:44" ht="12" customHeight="1" x14ac:dyDescent="0.25">
      <c r="B51" s="128" t="s">
        <v>43</v>
      </c>
      <c r="C51" s="129" t="s">
        <v>33</v>
      </c>
      <c r="D51" s="129" t="s">
        <v>44</v>
      </c>
      <c r="E51" s="129" t="s">
        <v>95</v>
      </c>
      <c r="F51" s="129" t="s">
        <v>25</v>
      </c>
      <c r="G51" s="129" t="s">
        <v>35</v>
      </c>
      <c r="H51" s="129" t="s">
        <v>78</v>
      </c>
      <c r="I51" s="129" t="s">
        <v>25</v>
      </c>
      <c r="J51" s="129">
        <v>4.32</v>
      </c>
      <c r="K51" s="129">
        <v>56.14</v>
      </c>
      <c r="L51" s="129">
        <v>0.19254514523624899</v>
      </c>
      <c r="M51" s="129">
        <v>0</v>
      </c>
      <c r="N51" s="129">
        <v>0</v>
      </c>
      <c r="O51" s="129">
        <v>0</v>
      </c>
      <c r="P51" s="129">
        <v>0</v>
      </c>
      <c r="Q51" s="129">
        <v>-1.50548593574126E-2</v>
      </c>
      <c r="R51" s="129">
        <v>0.42916993045280899</v>
      </c>
      <c r="S51" s="129">
        <v>0</v>
      </c>
      <c r="T51" s="129">
        <v>0.55202775704060203</v>
      </c>
      <c r="U51" s="129">
        <v>0.15086624064756801</v>
      </c>
      <c r="V51" s="129">
        <v>0</v>
      </c>
      <c r="W51" s="129">
        <v>0</v>
      </c>
      <c r="X51" s="129">
        <v>0</v>
      </c>
      <c r="Y51" s="129">
        <v>0</v>
      </c>
      <c r="Z51" s="129">
        <v>0</v>
      </c>
      <c r="AA51" s="129">
        <v>0</v>
      </c>
      <c r="AB51" s="129">
        <v>0</v>
      </c>
      <c r="AC51" s="129">
        <v>0</v>
      </c>
      <c r="AD51" s="129">
        <v>2.5485534852086298</v>
      </c>
      <c r="AE51" s="129">
        <v>6.0087934220184297E-2</v>
      </c>
      <c r="AF51" s="129">
        <v>0.399557832680215</v>
      </c>
      <c r="AG51" s="129">
        <v>0</v>
      </c>
      <c r="AH51" s="129">
        <v>0.820120239980897</v>
      </c>
      <c r="AI51" s="129">
        <v>0</v>
      </c>
      <c r="AJ51" s="129">
        <v>0</v>
      </c>
      <c r="AK51" s="129">
        <v>24.268053590145801</v>
      </c>
      <c r="AL51" s="129">
        <v>0</v>
      </c>
      <c r="AM51" s="129">
        <v>30.4044879664173</v>
      </c>
      <c r="AN51" s="129">
        <v>0</v>
      </c>
      <c r="AO51" s="129">
        <v>0</v>
      </c>
      <c r="AP51" s="129">
        <v>0</v>
      </c>
      <c r="AQ51" s="129">
        <v>0</v>
      </c>
      <c r="AR51" s="130">
        <v>0.642895266678285</v>
      </c>
    </row>
    <row r="52" spans="2:44" ht="12" customHeight="1" x14ac:dyDescent="0.25">
      <c r="B52" s="128" t="s">
        <v>43</v>
      </c>
      <c r="C52" s="129" t="s">
        <v>23</v>
      </c>
      <c r="D52" s="129" t="s">
        <v>44</v>
      </c>
      <c r="E52" s="129" t="s">
        <v>94</v>
      </c>
      <c r="F52" s="129" t="s">
        <v>25</v>
      </c>
      <c r="G52" s="129" t="s">
        <v>25</v>
      </c>
      <c r="H52" s="129" t="s">
        <v>78</v>
      </c>
      <c r="I52" s="129" t="s">
        <v>25</v>
      </c>
      <c r="J52" s="129">
        <v>4.82</v>
      </c>
      <c r="K52" s="129">
        <v>59.22</v>
      </c>
      <c r="L52" s="129">
        <v>0.196730909263124</v>
      </c>
      <c r="M52" s="129">
        <v>0</v>
      </c>
      <c r="N52" s="129">
        <v>0</v>
      </c>
      <c r="O52" s="129">
        <v>0</v>
      </c>
      <c r="P52" s="129">
        <v>0</v>
      </c>
      <c r="Q52" s="129">
        <v>-1.5382138908660701E-2</v>
      </c>
      <c r="R52" s="129">
        <v>0.43849971154960898</v>
      </c>
      <c r="S52" s="129">
        <v>0</v>
      </c>
      <c r="T52" s="129">
        <v>0.88129110412758505</v>
      </c>
      <c r="U52" s="129">
        <v>0.24084949001110401</v>
      </c>
      <c r="V52" s="129">
        <v>0</v>
      </c>
      <c r="W52" s="129">
        <v>0</v>
      </c>
      <c r="X52" s="129">
        <v>0</v>
      </c>
      <c r="Y52" s="129">
        <v>0</v>
      </c>
      <c r="Z52" s="129">
        <v>0</v>
      </c>
      <c r="AA52" s="129">
        <v>0</v>
      </c>
      <c r="AB52" s="129">
        <v>0</v>
      </c>
      <c r="AC52" s="129">
        <v>0</v>
      </c>
      <c r="AD52" s="129">
        <v>2.6039568218436</v>
      </c>
      <c r="AE52" s="129">
        <v>6.1394193659753502E-2</v>
      </c>
      <c r="AF52" s="129">
        <v>0.40824387252108901</v>
      </c>
      <c r="AG52" s="129">
        <v>0</v>
      </c>
      <c r="AH52" s="129">
        <v>0.83794894085004701</v>
      </c>
      <c r="AI52" s="129">
        <v>0</v>
      </c>
      <c r="AJ52" s="129">
        <v>0</v>
      </c>
      <c r="AK52" s="129">
        <v>24.795619972540301</v>
      </c>
      <c r="AL52" s="129">
        <v>0</v>
      </c>
      <c r="AM52" s="129">
        <v>32.929382401889299</v>
      </c>
      <c r="AN52" s="129">
        <v>0</v>
      </c>
      <c r="AO52" s="129">
        <v>0</v>
      </c>
      <c r="AP52" s="129">
        <v>0</v>
      </c>
      <c r="AQ52" s="129">
        <v>0</v>
      </c>
      <c r="AR52" s="130">
        <v>0.65687125073650898</v>
      </c>
    </row>
    <row r="53" spans="2:44" ht="12" customHeight="1" x14ac:dyDescent="0.25">
      <c r="B53" s="128" t="s">
        <v>43</v>
      </c>
      <c r="C53" s="129" t="s">
        <v>23</v>
      </c>
      <c r="D53" s="129" t="s">
        <v>44</v>
      </c>
      <c r="E53" s="129" t="s">
        <v>25</v>
      </c>
      <c r="F53" s="129" t="s">
        <v>25</v>
      </c>
      <c r="G53" s="129" t="s">
        <v>25</v>
      </c>
      <c r="H53" s="129" t="s">
        <v>78</v>
      </c>
      <c r="I53" s="129" t="s">
        <v>25</v>
      </c>
      <c r="J53" s="129">
        <v>4.82</v>
      </c>
      <c r="K53" s="129">
        <v>59.22</v>
      </c>
      <c r="L53" s="129">
        <v>0.196730909263124</v>
      </c>
      <c r="M53" s="129">
        <v>0</v>
      </c>
      <c r="N53" s="129">
        <v>0</v>
      </c>
      <c r="O53" s="129">
        <v>0</v>
      </c>
      <c r="P53" s="129">
        <v>0</v>
      </c>
      <c r="Q53" s="129">
        <v>-1.5382138908660701E-2</v>
      </c>
      <c r="R53" s="129">
        <v>0.43849971154960898</v>
      </c>
      <c r="S53" s="129">
        <v>0</v>
      </c>
      <c r="T53" s="129">
        <v>0.88129110412758505</v>
      </c>
      <c r="U53" s="129">
        <v>0.24084949001110401</v>
      </c>
      <c r="V53" s="129">
        <v>0</v>
      </c>
      <c r="W53" s="129">
        <v>0</v>
      </c>
      <c r="X53" s="129">
        <v>0</v>
      </c>
      <c r="Y53" s="129">
        <v>0</v>
      </c>
      <c r="Z53" s="129">
        <v>0</v>
      </c>
      <c r="AA53" s="129">
        <v>0</v>
      </c>
      <c r="AB53" s="129">
        <v>0</v>
      </c>
      <c r="AC53" s="129">
        <v>0</v>
      </c>
      <c r="AD53" s="129">
        <v>2.6039568218436</v>
      </c>
      <c r="AE53" s="129">
        <v>6.1394193659753502E-2</v>
      </c>
      <c r="AF53" s="129">
        <v>0.40824387252108901</v>
      </c>
      <c r="AG53" s="129">
        <v>0</v>
      </c>
      <c r="AH53" s="129">
        <v>0.83794894085004701</v>
      </c>
      <c r="AI53" s="129">
        <v>0</v>
      </c>
      <c r="AJ53" s="129">
        <v>0</v>
      </c>
      <c r="AK53" s="129">
        <v>24.795619972540301</v>
      </c>
      <c r="AL53" s="129">
        <v>0</v>
      </c>
      <c r="AM53" s="129">
        <v>32.929382401889299</v>
      </c>
      <c r="AN53" s="129">
        <v>0</v>
      </c>
      <c r="AO53" s="129">
        <v>0</v>
      </c>
      <c r="AP53" s="129">
        <v>0</v>
      </c>
      <c r="AQ53" s="129">
        <v>0</v>
      </c>
      <c r="AR53" s="130">
        <v>0.65687125073650898</v>
      </c>
    </row>
    <row r="54" spans="2:44" ht="12" customHeight="1" x14ac:dyDescent="0.25">
      <c r="B54" s="128" t="s">
        <v>43</v>
      </c>
      <c r="C54" s="129" t="s">
        <v>23</v>
      </c>
      <c r="D54" s="129" t="s">
        <v>44</v>
      </c>
      <c r="E54" s="129" t="s">
        <v>95</v>
      </c>
      <c r="F54" s="129" t="s">
        <v>25</v>
      </c>
      <c r="G54" s="129" t="s">
        <v>25</v>
      </c>
      <c r="H54" s="129" t="s">
        <v>78</v>
      </c>
      <c r="I54" s="129" t="s">
        <v>25</v>
      </c>
      <c r="J54" s="129">
        <v>4.71</v>
      </c>
      <c r="K54" s="129">
        <v>57.96</v>
      </c>
      <c r="L54" s="129">
        <v>0.19254514523624899</v>
      </c>
      <c r="M54" s="129">
        <v>0</v>
      </c>
      <c r="N54" s="129">
        <v>0</v>
      </c>
      <c r="O54" s="129">
        <v>0</v>
      </c>
      <c r="P54" s="129">
        <v>0</v>
      </c>
      <c r="Q54" s="129">
        <v>-1.50548593574126E-2</v>
      </c>
      <c r="R54" s="129">
        <v>0.42916993045280899</v>
      </c>
      <c r="S54" s="129">
        <v>0</v>
      </c>
      <c r="T54" s="129">
        <v>0.86254022957167897</v>
      </c>
      <c r="U54" s="129">
        <v>0.23572503277682499</v>
      </c>
      <c r="V54" s="129">
        <v>0</v>
      </c>
      <c r="W54" s="129">
        <v>0</v>
      </c>
      <c r="X54" s="129">
        <v>0</v>
      </c>
      <c r="Y54" s="129">
        <v>0</v>
      </c>
      <c r="Z54" s="129">
        <v>0</v>
      </c>
      <c r="AA54" s="129">
        <v>0</v>
      </c>
      <c r="AB54" s="129">
        <v>0</v>
      </c>
      <c r="AC54" s="129">
        <v>0</v>
      </c>
      <c r="AD54" s="129">
        <v>2.5485534852086298</v>
      </c>
      <c r="AE54" s="129">
        <v>6.0087934220184297E-2</v>
      </c>
      <c r="AF54" s="129">
        <v>0.399557832680215</v>
      </c>
      <c r="AG54" s="129">
        <v>0</v>
      </c>
      <c r="AH54" s="129">
        <v>0.820120239980897</v>
      </c>
      <c r="AI54" s="129">
        <v>0</v>
      </c>
      <c r="AJ54" s="129">
        <v>0</v>
      </c>
      <c r="AK54" s="129">
        <v>24.268053590145801</v>
      </c>
      <c r="AL54" s="129">
        <v>0</v>
      </c>
      <c r="AM54" s="129">
        <v>32.228757244402303</v>
      </c>
      <c r="AN54" s="129">
        <v>0</v>
      </c>
      <c r="AO54" s="129">
        <v>0</v>
      </c>
      <c r="AP54" s="129">
        <v>0</v>
      </c>
      <c r="AQ54" s="129">
        <v>0</v>
      </c>
      <c r="AR54" s="130">
        <v>0.642895266678285</v>
      </c>
    </row>
    <row r="55" spans="2:44" ht="12" customHeight="1" x14ac:dyDescent="0.25">
      <c r="B55" s="128" t="s">
        <v>43</v>
      </c>
      <c r="C55" s="129" t="s">
        <v>93</v>
      </c>
      <c r="D55" s="129" t="s">
        <v>44</v>
      </c>
      <c r="E55" s="129" t="s">
        <v>94</v>
      </c>
      <c r="F55" s="129" t="s">
        <v>25</v>
      </c>
      <c r="G55" s="129" t="s">
        <v>25</v>
      </c>
      <c r="H55" s="129" t="s">
        <v>78</v>
      </c>
      <c r="I55" s="129" t="s">
        <v>25</v>
      </c>
      <c r="J55" s="129">
        <v>4.82</v>
      </c>
      <c r="K55" s="129">
        <v>59.22</v>
      </c>
      <c r="L55" s="129">
        <v>0.196730909263124</v>
      </c>
      <c r="M55" s="129">
        <v>0</v>
      </c>
      <c r="N55" s="129">
        <v>0</v>
      </c>
      <c r="O55" s="129">
        <v>0</v>
      </c>
      <c r="P55" s="129">
        <v>0</v>
      </c>
      <c r="Q55" s="129">
        <v>-1.5382138908660701E-2</v>
      </c>
      <c r="R55" s="129">
        <v>0.43849971154960898</v>
      </c>
      <c r="S55" s="129">
        <v>0</v>
      </c>
      <c r="T55" s="129">
        <v>0.88129110412758505</v>
      </c>
      <c r="U55" s="129">
        <v>0.24084949001110401</v>
      </c>
      <c r="V55" s="129">
        <v>0</v>
      </c>
      <c r="W55" s="129">
        <v>0</v>
      </c>
      <c r="X55" s="129">
        <v>0</v>
      </c>
      <c r="Y55" s="129">
        <v>0</v>
      </c>
      <c r="Z55" s="129">
        <v>0</v>
      </c>
      <c r="AA55" s="129">
        <v>0</v>
      </c>
      <c r="AB55" s="129">
        <v>0</v>
      </c>
      <c r="AC55" s="129">
        <v>0</v>
      </c>
      <c r="AD55" s="129">
        <v>2.6039568218436</v>
      </c>
      <c r="AE55" s="129">
        <v>6.1394193659753502E-2</v>
      </c>
      <c r="AF55" s="129">
        <v>0.40824387252108901</v>
      </c>
      <c r="AG55" s="129">
        <v>0</v>
      </c>
      <c r="AH55" s="129">
        <v>0.83794894085004701</v>
      </c>
      <c r="AI55" s="129">
        <v>0</v>
      </c>
      <c r="AJ55" s="129">
        <v>0</v>
      </c>
      <c r="AK55" s="129">
        <v>24.795619972540301</v>
      </c>
      <c r="AL55" s="129">
        <v>0</v>
      </c>
      <c r="AM55" s="129">
        <v>32.929382401889299</v>
      </c>
      <c r="AN55" s="129">
        <v>0</v>
      </c>
      <c r="AO55" s="129">
        <v>0</v>
      </c>
      <c r="AP55" s="129">
        <v>0</v>
      </c>
      <c r="AQ55" s="129">
        <v>0</v>
      </c>
      <c r="AR55" s="130">
        <v>0.65687125073650898</v>
      </c>
    </row>
    <row r="56" spans="2:44" ht="12" customHeight="1" x14ac:dyDescent="0.25">
      <c r="B56" s="128" t="s">
        <v>43</v>
      </c>
      <c r="C56" s="129" t="s">
        <v>93</v>
      </c>
      <c r="D56" s="129" t="s">
        <v>44</v>
      </c>
      <c r="E56" s="129" t="s">
        <v>25</v>
      </c>
      <c r="F56" s="129" t="s">
        <v>25</v>
      </c>
      <c r="G56" s="129" t="s">
        <v>25</v>
      </c>
      <c r="H56" s="129" t="s">
        <v>78</v>
      </c>
      <c r="I56" s="129" t="s">
        <v>25</v>
      </c>
      <c r="J56" s="129">
        <v>4.82</v>
      </c>
      <c r="K56" s="129">
        <v>59.22</v>
      </c>
      <c r="L56" s="129">
        <v>0.196730909263124</v>
      </c>
      <c r="M56" s="129">
        <v>0</v>
      </c>
      <c r="N56" s="129">
        <v>0</v>
      </c>
      <c r="O56" s="129">
        <v>0</v>
      </c>
      <c r="P56" s="129">
        <v>0</v>
      </c>
      <c r="Q56" s="129">
        <v>-1.5382138908660701E-2</v>
      </c>
      <c r="R56" s="129">
        <v>0.43849971154960898</v>
      </c>
      <c r="S56" s="129">
        <v>0</v>
      </c>
      <c r="T56" s="129">
        <v>0.88129110412758505</v>
      </c>
      <c r="U56" s="129">
        <v>0.24084949001110401</v>
      </c>
      <c r="V56" s="129">
        <v>0</v>
      </c>
      <c r="W56" s="129">
        <v>0</v>
      </c>
      <c r="X56" s="129">
        <v>0</v>
      </c>
      <c r="Y56" s="129">
        <v>0</v>
      </c>
      <c r="Z56" s="129">
        <v>0</v>
      </c>
      <c r="AA56" s="129">
        <v>0</v>
      </c>
      <c r="AB56" s="129">
        <v>0</v>
      </c>
      <c r="AC56" s="129">
        <v>0</v>
      </c>
      <c r="AD56" s="129">
        <v>2.6039568218436</v>
      </c>
      <c r="AE56" s="129">
        <v>6.1394193659753502E-2</v>
      </c>
      <c r="AF56" s="129">
        <v>0.40824387252108901</v>
      </c>
      <c r="AG56" s="129">
        <v>0</v>
      </c>
      <c r="AH56" s="129">
        <v>0.83794894085004701</v>
      </c>
      <c r="AI56" s="129">
        <v>0</v>
      </c>
      <c r="AJ56" s="129">
        <v>0</v>
      </c>
      <c r="AK56" s="129">
        <v>24.795619972540301</v>
      </c>
      <c r="AL56" s="129">
        <v>0</v>
      </c>
      <c r="AM56" s="129">
        <v>32.929382401889299</v>
      </c>
      <c r="AN56" s="129">
        <v>0</v>
      </c>
      <c r="AO56" s="129">
        <v>0</v>
      </c>
      <c r="AP56" s="129">
        <v>0</v>
      </c>
      <c r="AQ56" s="129">
        <v>0</v>
      </c>
      <c r="AR56" s="130">
        <v>0.65687125073650898</v>
      </c>
    </row>
    <row r="57" spans="2:44" ht="12" customHeight="1" x14ac:dyDescent="0.25">
      <c r="B57" s="128" t="s">
        <v>43</v>
      </c>
      <c r="C57" s="129" t="s">
        <v>93</v>
      </c>
      <c r="D57" s="129" t="s">
        <v>44</v>
      </c>
      <c r="E57" s="129" t="s">
        <v>95</v>
      </c>
      <c r="F57" s="129" t="s">
        <v>25</v>
      </c>
      <c r="G57" s="129" t="s">
        <v>25</v>
      </c>
      <c r="H57" s="129" t="s">
        <v>78</v>
      </c>
      <c r="I57" s="129" t="s">
        <v>25</v>
      </c>
      <c r="J57" s="129">
        <v>4.71</v>
      </c>
      <c r="K57" s="129">
        <v>57.96</v>
      </c>
      <c r="L57" s="129">
        <v>0.19254514523624899</v>
      </c>
      <c r="M57" s="129">
        <v>0</v>
      </c>
      <c r="N57" s="129">
        <v>0</v>
      </c>
      <c r="O57" s="129">
        <v>0</v>
      </c>
      <c r="P57" s="129">
        <v>0</v>
      </c>
      <c r="Q57" s="129">
        <v>-1.50548593574126E-2</v>
      </c>
      <c r="R57" s="129">
        <v>0.42916993045280899</v>
      </c>
      <c r="S57" s="129">
        <v>0</v>
      </c>
      <c r="T57" s="129">
        <v>0.86254022957167897</v>
      </c>
      <c r="U57" s="129">
        <v>0.23572503277682499</v>
      </c>
      <c r="V57" s="129">
        <v>0</v>
      </c>
      <c r="W57" s="129">
        <v>0</v>
      </c>
      <c r="X57" s="129">
        <v>0</v>
      </c>
      <c r="Y57" s="129">
        <v>0</v>
      </c>
      <c r="Z57" s="129">
        <v>0</v>
      </c>
      <c r="AA57" s="129">
        <v>0</v>
      </c>
      <c r="AB57" s="129">
        <v>0</v>
      </c>
      <c r="AC57" s="129">
        <v>0</v>
      </c>
      <c r="AD57" s="129">
        <v>2.5485534852086298</v>
      </c>
      <c r="AE57" s="129">
        <v>6.0087934220184297E-2</v>
      </c>
      <c r="AF57" s="129">
        <v>0.399557832680215</v>
      </c>
      <c r="AG57" s="129">
        <v>0</v>
      </c>
      <c r="AH57" s="129">
        <v>0.820120239980897</v>
      </c>
      <c r="AI57" s="129">
        <v>0</v>
      </c>
      <c r="AJ57" s="129">
        <v>0</v>
      </c>
      <c r="AK57" s="129">
        <v>24.268053590145801</v>
      </c>
      <c r="AL57" s="129">
        <v>0</v>
      </c>
      <c r="AM57" s="129">
        <v>32.228757244402303</v>
      </c>
      <c r="AN57" s="129">
        <v>0</v>
      </c>
      <c r="AO57" s="129">
        <v>0</v>
      </c>
      <c r="AP57" s="129">
        <v>0</v>
      </c>
      <c r="AQ57" s="129">
        <v>0</v>
      </c>
      <c r="AR57" s="130">
        <v>0.642895266678285</v>
      </c>
    </row>
    <row r="58" spans="2:44" ht="12" customHeight="1" x14ac:dyDescent="0.25">
      <c r="B58" s="128" t="s">
        <v>37</v>
      </c>
      <c r="C58" s="129" t="s">
        <v>33</v>
      </c>
      <c r="D58" s="129" t="s">
        <v>25</v>
      </c>
      <c r="E58" s="129" t="s">
        <v>25</v>
      </c>
      <c r="F58" s="129" t="s">
        <v>25</v>
      </c>
      <c r="G58" s="129" t="s">
        <v>34</v>
      </c>
      <c r="H58" s="129" t="s">
        <v>78</v>
      </c>
      <c r="I58" s="129" t="s">
        <v>25</v>
      </c>
      <c r="J58" s="129">
        <v>7.8100000000000005</v>
      </c>
      <c r="K58" s="129">
        <v>84.81</v>
      </c>
      <c r="L58" s="129">
        <v>0.20928820134374901</v>
      </c>
      <c r="M58" s="129">
        <v>0</v>
      </c>
      <c r="N58" s="129">
        <v>0</v>
      </c>
      <c r="O58" s="129">
        <v>0</v>
      </c>
      <c r="P58" s="129">
        <v>0</v>
      </c>
      <c r="Q58" s="129">
        <v>-1.6363977562404999E-2</v>
      </c>
      <c r="R58" s="129">
        <v>0.46648905484001002</v>
      </c>
      <c r="S58" s="129">
        <v>0</v>
      </c>
      <c r="T58" s="129">
        <v>3.0470280398713001</v>
      </c>
      <c r="U58" s="129">
        <v>0.83272968602838104</v>
      </c>
      <c r="V58" s="129">
        <v>0</v>
      </c>
      <c r="W58" s="129">
        <v>0</v>
      </c>
      <c r="X58" s="129">
        <v>0</v>
      </c>
      <c r="Y58" s="129">
        <v>0</v>
      </c>
      <c r="Z58" s="129">
        <v>0</v>
      </c>
      <c r="AA58" s="129">
        <v>0</v>
      </c>
      <c r="AB58" s="129">
        <v>0</v>
      </c>
      <c r="AC58" s="129">
        <v>0</v>
      </c>
      <c r="AD58" s="129">
        <v>2.7701668317485102</v>
      </c>
      <c r="AE58" s="129">
        <v>6.5312971978461198E-2</v>
      </c>
      <c r="AF58" s="129">
        <v>0.434301992043712</v>
      </c>
      <c r="AG58" s="129">
        <v>0</v>
      </c>
      <c r="AH58" s="129">
        <v>0.89143504345749702</v>
      </c>
      <c r="AI58" s="129">
        <v>0</v>
      </c>
      <c r="AJ58" s="129">
        <v>0</v>
      </c>
      <c r="AK58" s="129">
        <v>26.378319119723699</v>
      </c>
      <c r="AL58" s="129">
        <v>0</v>
      </c>
      <c r="AM58" s="129">
        <v>56.843173154606298</v>
      </c>
      <c r="AN58" s="129">
        <v>0</v>
      </c>
      <c r="AO58" s="129">
        <v>0</v>
      </c>
      <c r="AP58" s="129">
        <v>0</v>
      </c>
      <c r="AQ58" s="129">
        <v>0</v>
      </c>
      <c r="AR58" s="130">
        <v>0.69879920291117903</v>
      </c>
    </row>
    <row r="59" spans="2:44" ht="12" customHeight="1" x14ac:dyDescent="0.25">
      <c r="B59" s="128" t="s">
        <v>37</v>
      </c>
      <c r="C59" s="129" t="s">
        <v>33</v>
      </c>
      <c r="D59" s="129" t="s">
        <v>25</v>
      </c>
      <c r="E59" s="129" t="s">
        <v>25</v>
      </c>
      <c r="F59" s="129" t="s">
        <v>25</v>
      </c>
      <c r="G59" s="129" t="s">
        <v>36</v>
      </c>
      <c r="H59" s="129" t="s">
        <v>78</v>
      </c>
      <c r="I59" s="129" t="s">
        <v>25</v>
      </c>
      <c r="J59" s="129">
        <v>6.26</v>
      </c>
      <c r="K59" s="129">
        <v>61.02</v>
      </c>
      <c r="L59" s="129">
        <v>0.20928820134374901</v>
      </c>
      <c r="M59" s="129">
        <v>0</v>
      </c>
      <c r="N59" s="129">
        <v>0</v>
      </c>
      <c r="O59" s="129">
        <v>0</v>
      </c>
      <c r="P59" s="129">
        <v>0</v>
      </c>
      <c r="Q59" s="129">
        <v>-1.6363977562404999E-2</v>
      </c>
      <c r="R59" s="129">
        <v>0.46648905484001002</v>
      </c>
      <c r="S59" s="129">
        <v>0</v>
      </c>
      <c r="T59" s="129">
        <v>1.8282157314691201</v>
      </c>
      <c r="U59" s="129">
        <v>0.49963694994373697</v>
      </c>
      <c r="V59" s="129">
        <v>0</v>
      </c>
      <c r="W59" s="129">
        <v>0</v>
      </c>
      <c r="X59" s="129">
        <v>0</v>
      </c>
      <c r="Y59" s="129">
        <v>0</v>
      </c>
      <c r="Z59" s="129">
        <v>0</v>
      </c>
      <c r="AA59" s="129">
        <v>0</v>
      </c>
      <c r="AB59" s="129">
        <v>0</v>
      </c>
      <c r="AC59" s="129">
        <v>0</v>
      </c>
      <c r="AD59" s="129">
        <v>2.7701668317485102</v>
      </c>
      <c r="AE59" s="129">
        <v>6.5312971978461198E-2</v>
      </c>
      <c r="AF59" s="129">
        <v>0.434301992043712</v>
      </c>
      <c r="AG59" s="129">
        <v>0</v>
      </c>
      <c r="AH59" s="129">
        <v>0.89143504345749702</v>
      </c>
      <c r="AI59" s="129">
        <v>0</v>
      </c>
      <c r="AJ59" s="129">
        <v>0</v>
      </c>
      <c r="AK59" s="129">
        <v>26.378319119723699</v>
      </c>
      <c r="AL59" s="129">
        <v>0</v>
      </c>
      <c r="AM59" s="129">
        <v>33.048356485236198</v>
      </c>
      <c r="AN59" s="129">
        <v>0</v>
      </c>
      <c r="AO59" s="129">
        <v>0</v>
      </c>
      <c r="AP59" s="129">
        <v>0</v>
      </c>
      <c r="AQ59" s="129">
        <v>0</v>
      </c>
      <c r="AR59" s="130">
        <v>0.69879920291117903</v>
      </c>
    </row>
    <row r="60" spans="2:44" ht="12" customHeight="1" x14ac:dyDescent="0.25">
      <c r="B60" s="128" t="s">
        <v>37</v>
      </c>
      <c r="C60" s="129" t="s">
        <v>33</v>
      </c>
      <c r="D60" s="129" t="s">
        <v>25</v>
      </c>
      <c r="E60" s="129" t="s">
        <v>25</v>
      </c>
      <c r="F60" s="129" t="s">
        <v>25</v>
      </c>
      <c r="G60" s="129" t="s">
        <v>35</v>
      </c>
      <c r="H60" s="129" t="s">
        <v>78</v>
      </c>
      <c r="I60" s="129" t="s">
        <v>25</v>
      </c>
      <c r="J60" s="129">
        <v>4.71</v>
      </c>
      <c r="K60" s="129">
        <v>61.02</v>
      </c>
      <c r="L60" s="129">
        <v>0.20928820134374901</v>
      </c>
      <c r="M60" s="129">
        <v>0</v>
      </c>
      <c r="N60" s="129">
        <v>0</v>
      </c>
      <c r="O60" s="129">
        <v>0</v>
      </c>
      <c r="P60" s="129">
        <v>0</v>
      </c>
      <c r="Q60" s="129">
        <v>-1.6363977562404999E-2</v>
      </c>
      <c r="R60" s="129">
        <v>0.46648905484001002</v>
      </c>
      <c r="S60" s="129">
        <v>0</v>
      </c>
      <c r="T60" s="129">
        <v>0.60940342306694695</v>
      </c>
      <c r="U60" s="129">
        <v>0.16654421385909199</v>
      </c>
      <c r="V60" s="129">
        <v>0</v>
      </c>
      <c r="W60" s="129">
        <v>0</v>
      </c>
      <c r="X60" s="129">
        <v>0</v>
      </c>
      <c r="Y60" s="129">
        <v>0</v>
      </c>
      <c r="Z60" s="129">
        <v>0</v>
      </c>
      <c r="AA60" s="129">
        <v>0</v>
      </c>
      <c r="AB60" s="129">
        <v>0</v>
      </c>
      <c r="AC60" s="129">
        <v>0</v>
      </c>
      <c r="AD60" s="129">
        <v>2.7701668317485102</v>
      </c>
      <c r="AE60" s="129">
        <v>6.5312971978461198E-2</v>
      </c>
      <c r="AF60" s="129">
        <v>0.434301992043712</v>
      </c>
      <c r="AG60" s="129">
        <v>0</v>
      </c>
      <c r="AH60" s="129">
        <v>0.89143504345749702</v>
      </c>
      <c r="AI60" s="129">
        <v>0</v>
      </c>
      <c r="AJ60" s="129">
        <v>0</v>
      </c>
      <c r="AK60" s="129">
        <v>26.378319119723699</v>
      </c>
      <c r="AL60" s="129">
        <v>0</v>
      </c>
      <c r="AM60" s="129">
        <v>33.048356485236198</v>
      </c>
      <c r="AN60" s="129">
        <v>0</v>
      </c>
      <c r="AO60" s="129">
        <v>0</v>
      </c>
      <c r="AP60" s="129">
        <v>0</v>
      </c>
      <c r="AQ60" s="129">
        <v>0</v>
      </c>
      <c r="AR60" s="130">
        <v>0.69879920291117903</v>
      </c>
    </row>
    <row r="61" spans="2:44" ht="12" customHeight="1" x14ac:dyDescent="0.25">
      <c r="B61" s="128" t="s">
        <v>37</v>
      </c>
      <c r="C61" s="129" t="s">
        <v>23</v>
      </c>
      <c r="D61" s="129" t="s">
        <v>25</v>
      </c>
      <c r="E61" s="129" t="s">
        <v>25</v>
      </c>
      <c r="F61" s="129" t="s">
        <v>25</v>
      </c>
      <c r="G61" s="129" t="s">
        <v>25</v>
      </c>
      <c r="H61" s="129" t="s">
        <v>78</v>
      </c>
      <c r="I61" s="129" t="s">
        <v>25</v>
      </c>
      <c r="J61" s="129">
        <v>5.12</v>
      </c>
      <c r="K61" s="129">
        <v>63</v>
      </c>
      <c r="L61" s="129">
        <v>0.20928820134374901</v>
      </c>
      <c r="M61" s="129">
        <v>0</v>
      </c>
      <c r="N61" s="129">
        <v>0</v>
      </c>
      <c r="O61" s="129">
        <v>0</v>
      </c>
      <c r="P61" s="129">
        <v>0</v>
      </c>
      <c r="Q61" s="129">
        <v>-1.6363977562404999E-2</v>
      </c>
      <c r="R61" s="129">
        <v>0.46648905484001002</v>
      </c>
      <c r="S61" s="129">
        <v>0</v>
      </c>
      <c r="T61" s="129">
        <v>0.93754372779530304</v>
      </c>
      <c r="U61" s="129">
        <v>0.25622286171394099</v>
      </c>
      <c r="V61" s="129">
        <v>0</v>
      </c>
      <c r="W61" s="129">
        <v>0</v>
      </c>
      <c r="X61" s="129">
        <v>0</v>
      </c>
      <c r="Y61" s="129">
        <v>0</v>
      </c>
      <c r="Z61" s="129">
        <v>0</v>
      </c>
      <c r="AA61" s="129">
        <v>0</v>
      </c>
      <c r="AB61" s="129">
        <v>0</v>
      </c>
      <c r="AC61" s="129">
        <v>0</v>
      </c>
      <c r="AD61" s="129">
        <v>2.7701668317485102</v>
      </c>
      <c r="AE61" s="129">
        <v>6.5312971978461198E-2</v>
      </c>
      <c r="AF61" s="129">
        <v>0.434301992043712</v>
      </c>
      <c r="AG61" s="129">
        <v>0</v>
      </c>
      <c r="AH61" s="129">
        <v>0.89143504345749702</v>
      </c>
      <c r="AI61" s="129">
        <v>0</v>
      </c>
      <c r="AJ61" s="129">
        <v>0</v>
      </c>
      <c r="AK61" s="129">
        <v>26.378319119723699</v>
      </c>
      <c r="AL61" s="129">
        <v>0</v>
      </c>
      <c r="AM61" s="129">
        <v>35.031257874350402</v>
      </c>
      <c r="AN61" s="129">
        <v>0</v>
      </c>
      <c r="AO61" s="129">
        <v>0</v>
      </c>
      <c r="AP61" s="129">
        <v>0</v>
      </c>
      <c r="AQ61" s="129">
        <v>0</v>
      </c>
      <c r="AR61" s="130">
        <v>0.69879920291117903</v>
      </c>
    </row>
    <row r="62" spans="2:44" ht="12" customHeight="1" x14ac:dyDescent="0.25">
      <c r="B62" s="128" t="s">
        <v>37</v>
      </c>
      <c r="C62" s="129" t="s">
        <v>93</v>
      </c>
      <c r="D62" s="129" t="s">
        <v>25</v>
      </c>
      <c r="E62" s="129" t="s">
        <v>25</v>
      </c>
      <c r="F62" s="129" t="s">
        <v>25</v>
      </c>
      <c r="G62" s="129" t="s">
        <v>25</v>
      </c>
      <c r="H62" s="129" t="s">
        <v>78</v>
      </c>
      <c r="I62" s="129" t="s">
        <v>25</v>
      </c>
      <c r="J62" s="129">
        <v>5.12</v>
      </c>
      <c r="K62" s="129">
        <v>63</v>
      </c>
      <c r="L62" s="129">
        <v>0.20928820134374901</v>
      </c>
      <c r="M62" s="129">
        <v>0</v>
      </c>
      <c r="N62" s="129">
        <v>0</v>
      </c>
      <c r="O62" s="129">
        <v>0</v>
      </c>
      <c r="P62" s="129">
        <v>0</v>
      </c>
      <c r="Q62" s="129">
        <v>-1.6363977562404999E-2</v>
      </c>
      <c r="R62" s="129">
        <v>0.46648905484001002</v>
      </c>
      <c r="S62" s="129">
        <v>0</v>
      </c>
      <c r="T62" s="129">
        <v>0.93754372779530304</v>
      </c>
      <c r="U62" s="129">
        <v>0.25622286171394099</v>
      </c>
      <c r="V62" s="129">
        <v>0</v>
      </c>
      <c r="W62" s="129">
        <v>0</v>
      </c>
      <c r="X62" s="129">
        <v>0</v>
      </c>
      <c r="Y62" s="129">
        <v>0</v>
      </c>
      <c r="Z62" s="129">
        <v>0</v>
      </c>
      <c r="AA62" s="129">
        <v>0</v>
      </c>
      <c r="AB62" s="129">
        <v>0</v>
      </c>
      <c r="AC62" s="129">
        <v>0</v>
      </c>
      <c r="AD62" s="129">
        <v>2.7701668317485102</v>
      </c>
      <c r="AE62" s="129">
        <v>6.5312971978461198E-2</v>
      </c>
      <c r="AF62" s="129">
        <v>0.434301992043712</v>
      </c>
      <c r="AG62" s="129">
        <v>0</v>
      </c>
      <c r="AH62" s="129">
        <v>0.89143504345749702</v>
      </c>
      <c r="AI62" s="129">
        <v>0</v>
      </c>
      <c r="AJ62" s="129">
        <v>0</v>
      </c>
      <c r="AK62" s="129">
        <v>26.378319119723699</v>
      </c>
      <c r="AL62" s="129">
        <v>0</v>
      </c>
      <c r="AM62" s="129">
        <v>35.031257874350402</v>
      </c>
      <c r="AN62" s="129">
        <v>0</v>
      </c>
      <c r="AO62" s="129">
        <v>0</v>
      </c>
      <c r="AP62" s="129">
        <v>0</v>
      </c>
      <c r="AQ62" s="129">
        <v>0</v>
      </c>
      <c r="AR62" s="130">
        <v>0.69879920291117903</v>
      </c>
    </row>
    <row r="63" spans="2:44" ht="12" customHeight="1" x14ac:dyDescent="0.25">
      <c r="B63" s="128" t="s">
        <v>46</v>
      </c>
      <c r="C63" s="129" t="s">
        <v>23</v>
      </c>
      <c r="D63" s="129" t="s">
        <v>47</v>
      </c>
      <c r="E63" s="129" t="s">
        <v>48</v>
      </c>
      <c r="F63" s="129" t="s">
        <v>25</v>
      </c>
      <c r="G63" s="129" t="s">
        <v>25</v>
      </c>
      <c r="H63" s="129" t="s">
        <v>78</v>
      </c>
      <c r="I63" s="129" t="s">
        <v>25</v>
      </c>
      <c r="J63" s="129">
        <v>2.82</v>
      </c>
      <c r="K63" s="129">
        <v>34.65</v>
      </c>
      <c r="L63" s="129">
        <v>0.115108510739062</v>
      </c>
      <c r="M63" s="129">
        <v>0</v>
      </c>
      <c r="N63" s="129">
        <v>0</v>
      </c>
      <c r="O63" s="129">
        <v>0</v>
      </c>
      <c r="P63" s="129">
        <v>0</v>
      </c>
      <c r="Q63" s="129">
        <v>-9.0001876593227403E-3</v>
      </c>
      <c r="R63" s="129">
        <v>0.25656898016200602</v>
      </c>
      <c r="S63" s="129">
        <v>0</v>
      </c>
      <c r="T63" s="129">
        <v>0.51564905028741703</v>
      </c>
      <c r="U63" s="129">
        <v>0.140922573942667</v>
      </c>
      <c r="V63" s="129">
        <v>0</v>
      </c>
      <c r="W63" s="129">
        <v>0</v>
      </c>
      <c r="X63" s="129">
        <v>0</v>
      </c>
      <c r="Y63" s="129">
        <v>0</v>
      </c>
      <c r="Z63" s="129">
        <v>0</v>
      </c>
      <c r="AA63" s="129">
        <v>0</v>
      </c>
      <c r="AB63" s="129">
        <v>0</v>
      </c>
      <c r="AC63" s="129">
        <v>0</v>
      </c>
      <c r="AD63" s="129">
        <v>1.52359175746168</v>
      </c>
      <c r="AE63" s="129">
        <v>3.5922134588153597E-2</v>
      </c>
      <c r="AF63" s="129">
        <v>0.23886609562404201</v>
      </c>
      <c r="AG63" s="129">
        <v>0</v>
      </c>
      <c r="AH63" s="129">
        <v>0.49028927390162302</v>
      </c>
      <c r="AI63" s="129">
        <v>0</v>
      </c>
      <c r="AJ63" s="129">
        <v>0</v>
      </c>
      <c r="AK63" s="129">
        <v>14.5080755158481</v>
      </c>
      <c r="AL63" s="129">
        <v>0</v>
      </c>
      <c r="AM63" s="129">
        <v>19.267191830892699</v>
      </c>
      <c r="AN63" s="129">
        <v>0</v>
      </c>
      <c r="AO63" s="129">
        <v>0</v>
      </c>
      <c r="AP63" s="129">
        <v>0</v>
      </c>
      <c r="AQ63" s="129">
        <v>0</v>
      </c>
      <c r="AR63" s="130">
        <v>0.38433956160114902</v>
      </c>
    </row>
    <row r="64" spans="2:44" ht="12" customHeight="1" x14ac:dyDescent="0.25">
      <c r="B64" s="131" t="s">
        <v>46</v>
      </c>
      <c r="C64" s="132" t="s">
        <v>23</v>
      </c>
      <c r="D64" s="132" t="s">
        <v>47</v>
      </c>
      <c r="E64" s="132" t="s">
        <v>96</v>
      </c>
      <c r="F64" s="132" t="s">
        <v>25</v>
      </c>
      <c r="G64" s="132" t="s">
        <v>25</v>
      </c>
      <c r="H64" s="132" t="s">
        <v>78</v>
      </c>
      <c r="I64" s="132" t="s">
        <v>25</v>
      </c>
      <c r="J64" s="132">
        <v>3.07</v>
      </c>
      <c r="K64" s="132">
        <v>37.799999999999997</v>
      </c>
      <c r="L64" s="132">
        <v>0.12557292080624999</v>
      </c>
      <c r="M64" s="132">
        <v>0</v>
      </c>
      <c r="N64" s="132">
        <v>0</v>
      </c>
      <c r="O64" s="132">
        <v>0</v>
      </c>
      <c r="P64" s="132">
        <v>0</v>
      </c>
      <c r="Q64" s="132">
        <v>-9.8183865374429791E-3</v>
      </c>
      <c r="R64" s="132">
        <v>0.27989343290400598</v>
      </c>
      <c r="S64" s="132">
        <v>0</v>
      </c>
      <c r="T64" s="132">
        <v>0.56252623667718205</v>
      </c>
      <c r="U64" s="132">
        <v>0.153733717028364</v>
      </c>
      <c r="V64" s="132">
        <v>0</v>
      </c>
      <c r="W64" s="132">
        <v>0</v>
      </c>
      <c r="X64" s="132">
        <v>0</v>
      </c>
      <c r="Y64" s="132">
        <v>0</v>
      </c>
      <c r="Z64" s="132">
        <v>0</v>
      </c>
      <c r="AA64" s="132">
        <v>0</v>
      </c>
      <c r="AB64" s="132">
        <v>0</v>
      </c>
      <c r="AC64" s="132">
        <v>0</v>
      </c>
      <c r="AD64" s="132">
        <v>1.6621000990490999</v>
      </c>
      <c r="AE64" s="132">
        <v>3.9187783187076698E-2</v>
      </c>
      <c r="AF64" s="132">
        <v>0.26058119522622702</v>
      </c>
      <c r="AG64" s="132">
        <v>0</v>
      </c>
      <c r="AH64" s="132">
        <v>0.53486102607449804</v>
      </c>
      <c r="AI64" s="132">
        <v>0</v>
      </c>
      <c r="AJ64" s="132">
        <v>0</v>
      </c>
      <c r="AK64" s="132">
        <v>15.8269914718342</v>
      </c>
      <c r="AL64" s="132">
        <v>0</v>
      </c>
      <c r="AM64" s="132">
        <v>21.018754724610201</v>
      </c>
      <c r="AN64" s="132">
        <v>0</v>
      </c>
      <c r="AO64" s="132">
        <v>0</v>
      </c>
      <c r="AP64" s="132">
        <v>0</v>
      </c>
      <c r="AQ64" s="132">
        <v>0</v>
      </c>
      <c r="AR64" s="133">
        <v>0.41927952174670802</v>
      </c>
    </row>
  </sheetData>
  <mergeCells count="8">
    <mergeCell ref="L1:AG1"/>
    <mergeCell ref="AH1:AR1"/>
    <mergeCell ref="L2:S2"/>
    <mergeCell ref="T2:Z2"/>
    <mergeCell ref="AB2:AC2"/>
    <mergeCell ref="AD2:AG2"/>
    <mergeCell ref="AH2:AL2"/>
    <mergeCell ref="AN2:AQ2"/>
  </mergeCells>
  <phoneticPr fontId="15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2022-01-18T13:05:04Z</dcterms:created>
  <dcterms:modified xsi:type="dcterms:W3CDTF">2022-06-30T17:49:15Z</dcterms:modified>
</cp:coreProperties>
</file>